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890" windowHeight="11370"/>
  </bookViews>
  <sheets>
    <sheet name="202304非带宽" sheetId="1" r:id="rId1"/>
    <sheet name="合同高级查询数据-4月返" sheetId="2" r:id="rId2"/>
    <sheet name="非带宽金额核对" sheetId="3" r:id="rId3"/>
    <sheet name="备注" sheetId="4" r:id="rId4"/>
  </sheets>
  <definedNames>
    <definedName name="_xlnm._FilterDatabase" localSheetId="0" hidden="1">'202304非带宽'!$A$1:$AA$7315</definedName>
    <definedName name="_xlnm._FilterDatabase" localSheetId="1" hidden="1">'合同高级查询数据-4月返'!$A$1:$AM$53</definedName>
  </definedNames>
  <calcPr calcId="144525"/>
</workbook>
</file>

<file path=xl/sharedStrings.xml><?xml version="1.0" encoding="utf-8"?>
<sst xmlns="http://schemas.openxmlformats.org/spreadsheetml/2006/main" count="98233" uniqueCount="10083">
  <si>
    <t>体系</t>
  </si>
  <si>
    <t>地区</t>
  </si>
  <si>
    <t>省份</t>
  </si>
  <si>
    <t>BD</t>
  </si>
  <si>
    <t>供应商</t>
  </si>
  <si>
    <t>合作单位</t>
  </si>
  <si>
    <t>机架/带宽/裸光纤/电路/工位&amp;库房/其他</t>
  </si>
  <si>
    <t>当前计提合同</t>
  </si>
  <si>
    <t>是否本月新返回合同</t>
  </si>
  <si>
    <t>费用类型（机架、带宽、光纤/电路、其他）</t>
  </si>
  <si>
    <t>地点</t>
  </si>
  <si>
    <t>TCO机房名称（带宽）</t>
  </si>
  <si>
    <t>机房（机架）</t>
  </si>
  <si>
    <t>起始日期</t>
  </si>
  <si>
    <t>规格</t>
  </si>
  <si>
    <t>计费单位</t>
  </si>
  <si>
    <t>数量/长度</t>
  </si>
  <si>
    <t>金额</t>
  </si>
  <si>
    <t>费用期间</t>
  </si>
  <si>
    <t>业务备注</t>
  </si>
  <si>
    <t>财务备注</t>
  </si>
  <si>
    <t>SYS统计</t>
  </si>
  <si>
    <t>运营商统计</t>
  </si>
  <si>
    <t>合同开始日期</t>
  </si>
  <si>
    <t>合同结束时间</t>
  </si>
  <si>
    <t>代理商-电信</t>
  </si>
  <si>
    <t>代理商-吴蕊</t>
  </si>
  <si>
    <t>广西</t>
  </si>
  <si>
    <t>陈媛媛</t>
  </si>
  <si>
    <t>阿里云计算有限公司</t>
  </si>
  <si>
    <t>阿里云</t>
  </si>
  <si>
    <t>带宽</t>
  </si>
  <si>
    <t>182215IDC00608</t>
  </si>
  <si>
    <t>CDN IP</t>
  </si>
  <si>
    <t>南宁</t>
  </si>
  <si>
    <t>V南宁2电信</t>
  </si>
  <si>
    <t>CACDNVNNCT2</t>
  </si>
  <si>
    <t>个</t>
  </si>
  <si>
    <t>裸金属。202210SYS更新IP数量，实际分配64个：222.218.84.192/26，已分配已使用20个（222.218.84.193-211，233），已分配未使用44个，均免费。
20220501开始计费，使用64个，免费25个，收费39个，222.218.84.192/26</t>
  </si>
  <si>
    <t>湖北</t>
  </si>
  <si>
    <t>武汉</t>
  </si>
  <si>
    <t>V武汉电信</t>
  </si>
  <si>
    <t>CACDNVWHCT</t>
  </si>
  <si>
    <t>裸金属。202210SYS更新IP数量，实际分配64个：119.96.54.0/26，已分配已使用19个（119.96.54.1-19），已分配未使用45个，均免费。
20220501开始计费，使用128个，免费25个，收费103个，119.96.54.0/25</t>
  </si>
  <si>
    <t>浙江</t>
  </si>
  <si>
    <t>182215IDC00706</t>
  </si>
  <si>
    <t>台州</t>
  </si>
  <si>
    <t>V台州2电信</t>
  </si>
  <si>
    <t>CACDNVTZCT2</t>
  </si>
  <si>
    <t>裸金属，分配64个，使用47个：220.185.167.128/25</t>
  </si>
  <si>
    <t>云南</t>
  </si>
  <si>
    <t>昆明</t>
  </si>
  <si>
    <t>V昆明3电信</t>
  </si>
  <si>
    <t>CACDNVKMCT2</t>
  </si>
  <si>
    <t>裸金属，分配64个，使用47个：182.242.213.128/25</t>
  </si>
  <si>
    <t>182215IDC00707</t>
  </si>
  <si>
    <t>V台州电信</t>
  </si>
  <si>
    <t>CACDNVTZCT</t>
  </si>
  <si>
    <t>裸金属。202210SYS更新IP数量，实际分配64个：220.185.181.0/26，已分配已使用19个（220.185.181.1-19），已分配未使用45个，均免费。
20220501开始计费，使用128个，免费25个，收费103个，220.185.181.0/25</t>
  </si>
  <si>
    <t>V昆明2电信</t>
  </si>
  <si>
    <t>裸金属。202210SYS更新IP数量，实际分配64个：182.242.45.0/26，已分配已使用23个（182.242.45.1-19，40-43），已分配未使用41个，均免费。
20220501开始计费，使用128个，免费25个，收费103个，182.242.45.0/25</t>
  </si>
  <si>
    <t>第三方</t>
  </si>
  <si>
    <t>华东-吴蕊</t>
  </si>
  <si>
    <t>北京</t>
  </si>
  <si>
    <t>陈思旭</t>
  </si>
  <si>
    <t>北京博升拓网络技术有限责任公司</t>
  </si>
  <si>
    <t>博升拓</t>
  </si>
  <si>
    <t>裸光纤</t>
  </si>
  <si>
    <t>182115IDC00323</t>
  </si>
  <si>
    <t>光纤</t>
  </si>
  <si>
    <t>华京路6号87号楼403模块港交所隔笼B02机柜 RJ45-上海外高桥保税区华京路6号90号楼404房间 LC</t>
  </si>
  <si>
    <t>2芯</t>
  </si>
  <si>
    <t>2条华京路6号87号楼403模块港交所隔笼B02机柜 RJ45-上海外高桥保税区华京路6号90号楼404房间 LC光纤</t>
  </si>
  <si>
    <t>杨浦区隆昌路619号9号楼3楼港交所机柜SH5:3:00200:0101RJ45-杨浦区隆昌路619号运营商MMR机柜</t>
  </si>
  <si>
    <t>杨浦区隆昌路619号9号楼3楼港交所机柜SH5:3:00200:0101RJ45-杨浦区隆昌路619号运营商MMR机柜光纤</t>
  </si>
  <si>
    <t>崔益泽</t>
  </si>
  <si>
    <t>北京光环新网科技股份有限公司</t>
  </si>
  <si>
    <t>光环新网</t>
  </si>
  <si>
    <t>其他</t>
  </si>
  <si>
    <t>182215IDC00077</t>
  </si>
  <si>
    <t>技术服务费</t>
  </si>
  <si>
    <t>凉水河-窦店管机房线路接入管理服务费</t>
  </si>
  <si>
    <t>凉水河-窦店，管孔占用费</t>
  </si>
  <si>
    <t>华北-吴蕊</t>
  </si>
  <si>
    <t>全国</t>
  </si>
  <si>
    <t>纪博宇</t>
  </si>
  <si>
    <t>北京皓宽网络科技有限公司</t>
  </si>
  <si>
    <t>皓宽</t>
  </si>
  <si>
    <t>机架</t>
  </si>
  <si>
    <t>182015IDC00230</t>
  </si>
  <si>
    <t>IDC机架</t>
  </si>
  <si>
    <t>BJDHMPOP</t>
  </si>
  <si>
    <t>13A</t>
  </si>
  <si>
    <t>BJDHMPOP1F-B-13、BJDHMPOP1F-B-14</t>
  </si>
  <si>
    <t>皓宽-金山云</t>
  </si>
  <si>
    <t>知乎项目其中楼内线部分</t>
  </si>
  <si>
    <t>跳纤，爱奇艺互联使用：1楼机房 B14机柜5126-BJDHMPOP-0-12-DCP-TI1-RO1至2楼机房M03-B11机柜5126-BJDHMPOP-2-9-LSC-OUT-IN</t>
  </si>
  <si>
    <t>跳纤，爱奇艺互联使用：1楼机房 B14机柜5126-BJDHMPOP-0-12-DCP-TI2-RO2至2楼机房M03-B11机柜5126-BJDHMPOP-2-10-LSC-OUT-IN</t>
  </si>
  <si>
    <t>跳纤，爱奇艺互联使用：1楼机房 B14机柜5126-BJDHMPOP-1-12-DCP-TI1-RO1跳2楼机房M03-B11机柜5126-BJDHMPOP-2-3-LSC-OUT-IN</t>
  </si>
  <si>
    <t>跳纤，爱奇艺互联使用：新增1对芯，1楼机房 B14机柜5126-BJDHMPOP-1-12-DCP-TI2-RO2跳2楼机房M03-B11机柜5126-BJDHMPOP-2-4-LSC-OUT-IN</t>
  </si>
  <si>
    <t>跳纤，爱奇艺互联使用：1楼机房 B14机柜5126-BJDHMPOP-1-11-QCP-TI2-RO2跳2楼机房M03-B11机柜5126-BJDHMPOP-2-5-LTX-OUT-IN</t>
  </si>
  <si>
    <t>跳纤，爱奇艺互联使用：1楼机房 B14机柜5126-BJDHMPOP-2-11-QCP-TI3--RO3至2楼机房M03-B11机柜5126-BJDHMPOP-2-7-LTX-OUT-IN</t>
  </si>
  <si>
    <t>引接缆，外线光缆成端费用：南苑路3-1-10(太和桥百度东进楼井)</t>
  </si>
  <si>
    <t>引接缆，外线光缆成端费用：南苑路3-1-9（百度6号门）</t>
  </si>
  <si>
    <t>跳纤，接入间-设备机柜跳纤费：光环新网1-13（太和桥西交接箱）跳至M03-B12机柜</t>
  </si>
  <si>
    <t>跳纤，接入间-设备机柜跳纤费：南苑路3-1-10(太和桥百度东进楼井)至M03-B12机柜</t>
  </si>
  <si>
    <t>跳纤，接入间-设备机柜跳纤费：南苑路3-1-9（百度6号门）至M03-B11机柜</t>
  </si>
  <si>
    <t>跳纤，接入间-设备机柜跳纤费：光环新网1-14（百度科技园1号门）至M03-B11机柜</t>
  </si>
  <si>
    <t>B2网络均分改造，传输BJDHMPOP-BJKJY系统进行板卡扩容，需要在皓宽机房内增加互联光缆2条。
爱奇艺跳纤，业务编号20230208021：百度M01-B14机柜-百度华为DC908-5567-BJDHMPOP-子架0-1-MD02A至爱奇艺M03-B11机柜-百度华为DC908-5497-BJDHMPOP-子架0-1-EMD60-M12/D12；业务编号20230208022：百度M01-B14机柜-百度华为DC908-5567-BJDHMPOP-子架0-1-MD02A至爱奇艺M03-B11机柜-百度华为DC908-5497-BJDHMPOP-子架0-1-EMD60-M13/D13</t>
  </si>
  <si>
    <t>代理商-移动</t>
  </si>
  <si>
    <t>北京火山引擎科技有限公司</t>
  </si>
  <si>
    <t>火山引擎</t>
  </si>
  <si>
    <t>182315IDC00105</t>
  </si>
  <si>
    <t>V武汉移动</t>
  </si>
  <si>
    <t>CACDNVWHCM</t>
  </si>
  <si>
    <t>裸金属，2023.1.1开始计费，免费提供64个，超出50元，使用64个：111.48.156.128/26</t>
  </si>
  <si>
    <t>云服务器占用费</t>
  </si>
  <si>
    <t>台</t>
  </si>
  <si>
    <t>裸金属，2023.1.1开始计费，云服务器 veEN.BMg1.32xlarge</t>
  </si>
  <si>
    <t>裸金属，2023.1.1开始计费，云服务器veEN.BMs1.12xlarge</t>
  </si>
  <si>
    <t>湖南</t>
  </si>
  <si>
    <t>长沙</t>
  </si>
  <si>
    <t>V长沙2移动</t>
  </si>
  <si>
    <t>CACDNVCSCM</t>
  </si>
  <si>
    <t>裸金属，2023.1.1开始计费，免费提供64个，超出50元，使用64个：36.158.252.128/26</t>
  </si>
  <si>
    <t>陕西</t>
  </si>
  <si>
    <t>咸阳</t>
  </si>
  <si>
    <t>V咸阳2移动</t>
  </si>
  <si>
    <t>CACDNVXYCM</t>
  </si>
  <si>
    <t>裸金属，2023.1.1开始计费，免费提供64个，超出50元，使用64个：111.19.177.64/26</t>
  </si>
  <si>
    <t>裸金属，2023.2.1扩容60G，增加8台云服务器。2023.2.1开始计费，云服务器veEN.BMs1.12xlarge</t>
  </si>
  <si>
    <t>V昆明移动</t>
  </si>
  <si>
    <t>CACDNVKMCM</t>
  </si>
  <si>
    <t>裸金属，2023.2.1开始计费，免费提供64个，超出50元，使用64个：39.130.132.128/26</t>
  </si>
  <si>
    <t>裸金属，2023.2.1开始计费，云服务器 veEN.BMg1.32xlarge</t>
  </si>
  <si>
    <t>裸金属，2023.2.1开始计费，云服务器veEN.BMs1.12xlarge</t>
  </si>
  <si>
    <t>重庆</t>
  </si>
  <si>
    <t>L20230422002</t>
  </si>
  <si>
    <t>V重庆2移动</t>
  </si>
  <si>
    <t>CACDNVCQCM</t>
  </si>
  <si>
    <t>裸金属，2023.3.2开始计费，免费提供64个，超出50元，使用64个：221.178.82.128/26</t>
  </si>
  <si>
    <t>裸金属，2023.3.2开始计费，云服务器 veEN.BMg1.32xlarge</t>
  </si>
  <si>
    <t>裸金属，2023.3.2开始计费，云服务器veEN.BMs1.12xlarge</t>
  </si>
  <si>
    <t>裸金属， 【CDN扩容】V重庆移动  扩容40G  2023-04-01 节点正式上线  (VCQ2CM)，增加6台云服务器；2023.3.2开始计费，云服务器veEN.BMs1.12xlarge</t>
  </si>
  <si>
    <t>河北</t>
  </si>
  <si>
    <t>北京新流万联网络技术有限公司</t>
  </si>
  <si>
    <t>新流万联</t>
  </si>
  <si>
    <t>L20220907002</t>
  </si>
  <si>
    <t>石家庄</t>
  </si>
  <si>
    <t xml:space="preserve">V石家庄移动  </t>
  </si>
  <si>
    <t>CACDNVSJZCM</t>
  </si>
  <si>
    <t>裸金属，20220901开始计费，使用64个，111.62.181.0/26</t>
  </si>
  <si>
    <t>代理商-联通</t>
  </si>
  <si>
    <t>山东</t>
  </si>
  <si>
    <t>北京云端智度科技有限公司</t>
  </si>
  <si>
    <t>云端智度</t>
  </si>
  <si>
    <t>182215IDC00288</t>
  </si>
  <si>
    <t>济南</t>
  </si>
  <si>
    <t>V济南联通</t>
  </si>
  <si>
    <t>CACDNVJNUN</t>
  </si>
  <si>
    <t>裸金属，20220409开始计费，20220531退租，免费80个，使用64个，61.156.246.192/26</t>
  </si>
  <si>
    <t>裸金属，20220531退租，免费80个，使用64个，61.156.246.192/26</t>
  </si>
  <si>
    <t>CDN机架</t>
  </si>
  <si>
    <t>16A</t>
  </si>
  <si>
    <t>裸金属，20220409开始计费，裸金属，免费4个，使用3个，CACDNVJNUN-5F15-03,CACDNVJNUN-5F15-04,CACDNVJNUN-5F15-05</t>
  </si>
  <si>
    <t>裸金属，20220531退租</t>
  </si>
  <si>
    <t>L20230311023</t>
  </si>
  <si>
    <t>V济南3电信</t>
  </si>
  <si>
    <t>CACDNVJNCT2</t>
  </si>
  <si>
    <t>裸金属，20220407开始计费，免费160个，使用128个，182.40.29.0/25</t>
  </si>
  <si>
    <t>裸金属，20220407开始计费，赠送8个，使用6个，CACDNVJNCT2-4F05-02,CACDNVJNCT2-4F05-03,CACDNVJNCT2-4F05-04,CACDNVJNCT2-4F05-05,CACDNVJNCT2-4F04-11,CACDNVJNCT2-4F04-12</t>
  </si>
  <si>
    <t>L20230311020</t>
  </si>
  <si>
    <t>V济南电信</t>
  </si>
  <si>
    <t>CACDNVJNCT</t>
  </si>
  <si>
    <t>裸金属，20220304开始计费，赠送80个IP,使用64个，150.138.238.64/26</t>
  </si>
  <si>
    <t>裸金属，20220304开始计费，免费4个，使用3个，4f01-15,4f01-16,4f01-17</t>
  </si>
  <si>
    <t>L20230311024</t>
  </si>
  <si>
    <t>V济南2电信</t>
  </si>
  <si>
    <t>裸金属，20220401开始计费，按实际使用需求赠送，使用1个IP，150.138.216.69/32</t>
  </si>
  <si>
    <t>段</t>
  </si>
  <si>
    <t>裸金属，IPV6：按实际使用需求赠送</t>
  </si>
  <si>
    <t>裸金属，按实际使用需求赠送机柜</t>
  </si>
  <si>
    <t>182215IDC00460</t>
  </si>
  <si>
    <t>滨州</t>
  </si>
  <si>
    <t>V滨州联通</t>
  </si>
  <si>
    <t>CACDNVBZUN</t>
  </si>
  <si>
    <t>裸金属，20220501开始计费，222.134.1.39/32，按实际使用需求赠送</t>
  </si>
  <si>
    <t>裸金属，20220909退租。</t>
  </si>
  <si>
    <t>辽宁</t>
  </si>
  <si>
    <t>L20230311021</t>
  </si>
  <si>
    <t>抚顺</t>
  </si>
  <si>
    <t>V抚顺电信</t>
  </si>
  <si>
    <t>CACDNVFUSCT</t>
  </si>
  <si>
    <t>裸金属，20220501开始计费，123.246.198.200/32，按实际使用需求赠送</t>
  </si>
  <si>
    <t>V抚顺2电信</t>
  </si>
  <si>
    <t>裸金属，20220501开始计费，123.246.198.195/32，按实际使用需求赠送</t>
  </si>
  <si>
    <t>甘肃</t>
  </si>
  <si>
    <t>L20230311022</t>
  </si>
  <si>
    <t>兰州</t>
  </si>
  <si>
    <t>V兰州电信</t>
  </si>
  <si>
    <t>CACDNVLZCT</t>
  </si>
  <si>
    <t>裸金属，20220501开始计费，118.182.248.55/32，按需赠送</t>
  </si>
  <si>
    <t>182215IDC00463</t>
  </si>
  <si>
    <t>宁波</t>
  </si>
  <si>
    <t>V宁波移动</t>
  </si>
  <si>
    <t>CACDNVNBCM</t>
  </si>
  <si>
    <t>裸金属，2022.12.31退租。20220401开始计费，使用1个IP，183.249.66.45/32，按实际使用赠送</t>
  </si>
  <si>
    <t>裸金属，2022.12.31退租。IPV6：按实际使用需求赠送</t>
  </si>
  <si>
    <t>裸金属，2022.12.31退租。按实际使用需求赠送机柜</t>
  </si>
  <si>
    <t>182215IDC00465</t>
  </si>
  <si>
    <t>V宁波2移动</t>
  </si>
  <si>
    <t>裸金属，20220401开始计费，使用1个IP，183.249.66.109/32，按实际使用需求赠送</t>
  </si>
  <si>
    <t>裸金属，20220914退租。</t>
  </si>
  <si>
    <t>V宁波7移动</t>
  </si>
  <si>
    <t>裸金属，20220914开始计费，使用183.249.66.55/32</t>
  </si>
  <si>
    <t>裸金属，2022.12.31节点下线。20220914开始计费，使用183.249.66.55/32</t>
  </si>
  <si>
    <t>安徽</t>
  </si>
  <si>
    <t>L20230311017</t>
  </si>
  <si>
    <t>淮南</t>
  </si>
  <si>
    <t>V淮南移动</t>
  </si>
  <si>
    <t>CAVHNCM</t>
  </si>
  <si>
    <t>裸金属，20220801开始计费，使用112.29.197.76/32</t>
  </si>
  <si>
    <t>L20230311019</t>
  </si>
  <si>
    <t>荆州</t>
  </si>
  <si>
    <t>V荆州联通</t>
  </si>
  <si>
    <t>CAVJINGZUN</t>
  </si>
  <si>
    <t>裸金属，20220801开始计费，使用183.94.165.53/32</t>
  </si>
  <si>
    <t>吉林</t>
  </si>
  <si>
    <t>182215IDC00655</t>
  </si>
  <si>
    <t>辽源</t>
  </si>
  <si>
    <t>V辽源移动</t>
  </si>
  <si>
    <t>CAVLIAOYCM</t>
  </si>
  <si>
    <t>裸金属，20220801开始计费，使用36.135.86.39/32</t>
  </si>
  <si>
    <t>裸金属，20220831退租。</t>
  </si>
  <si>
    <t>182215IDC00656</t>
  </si>
  <si>
    <t>V宁波3移动</t>
  </si>
  <si>
    <t>CAVNBCM</t>
  </si>
  <si>
    <t>裸金属，2022.12.31退租。20220801开始计费，使用183.249.66.43/32</t>
  </si>
  <si>
    <t>江苏</t>
  </si>
  <si>
    <t>L20230311018</t>
  </si>
  <si>
    <t>苏州</t>
  </si>
  <si>
    <t>V苏州2移动</t>
  </si>
  <si>
    <t>CACDNVSUZCM</t>
  </si>
  <si>
    <t>裸金属，20220801开始计费，使用36.152.221.205/32</t>
  </si>
  <si>
    <t>V苏州移动</t>
  </si>
  <si>
    <t>裸金属，20220801开始计费，使用36.152.221.204/32</t>
  </si>
  <si>
    <t>182215IDC00658</t>
  </si>
  <si>
    <t>泰安</t>
  </si>
  <si>
    <t>V泰安联通</t>
  </si>
  <si>
    <t>CAVTAUN</t>
  </si>
  <si>
    <t>裸金属，20220801开始计费，使用61.156.50.164/32</t>
  </si>
  <si>
    <t>裸金属，2023/1/3退租。20220801开始计费，使用61.156.50.164/32</t>
  </si>
  <si>
    <t>182215IDC00659</t>
  </si>
  <si>
    <t>V泰安3联通</t>
  </si>
  <si>
    <t>CACDNVTAUN</t>
  </si>
  <si>
    <t>裸金属，20220802开始计费，使用61.156.50.166/32</t>
  </si>
  <si>
    <t>裸金属，2023/1/3退租。20220802开始计费，使用61.156.50.166/32</t>
  </si>
  <si>
    <t>L20230311016</t>
  </si>
  <si>
    <t>V淮南2移动</t>
  </si>
  <si>
    <t>CACDNVHNCM</t>
  </si>
  <si>
    <t>裸金属，20220901开始计费，使用112.29.197.75/32</t>
  </si>
  <si>
    <t>L20230311015</t>
  </si>
  <si>
    <t>V兰州3电信</t>
  </si>
  <si>
    <t>CACDNVLZCT2</t>
  </si>
  <si>
    <t>裸金属，20220901开始计费，使用118.182.248.70/32</t>
  </si>
  <si>
    <t>V兰州2电信</t>
  </si>
  <si>
    <t>裸金属，20220901开始计费，使用118.182.248.57/32</t>
  </si>
  <si>
    <t>L20230311009</t>
  </si>
  <si>
    <t>V兰州4电信</t>
  </si>
  <si>
    <t>裸金属，20220903开始计费，使用118.182.249.32/27</t>
  </si>
  <si>
    <t>L20230311013</t>
  </si>
  <si>
    <t>天水</t>
  </si>
  <si>
    <t>V天水电信</t>
  </si>
  <si>
    <t>CACDNVTIANSCT</t>
  </si>
  <si>
    <t>裸金属，20220901开始计费，使用125.75.230.168/32</t>
  </si>
  <si>
    <t>黑龙江</t>
  </si>
  <si>
    <t>L20230311014</t>
  </si>
  <si>
    <t>鹤岗</t>
  </si>
  <si>
    <t>V鹤岗移动</t>
  </si>
  <si>
    <t>CACDNVHGCM</t>
  </si>
  <si>
    <t>裸金属，20220901开始计费，使用111.42.137.18/32</t>
  </si>
  <si>
    <t>L20230311011</t>
  </si>
  <si>
    <t>V荆州2联通</t>
  </si>
  <si>
    <t>CACDNVJINGZUN</t>
  </si>
  <si>
    <t>裸金属，20220901开始计费，使用183.94.165.54/32</t>
  </si>
  <si>
    <t>182215IDC00668</t>
  </si>
  <si>
    <t>延边</t>
  </si>
  <si>
    <t>V延边移动</t>
  </si>
  <si>
    <t>CACDNVYANBCM</t>
  </si>
  <si>
    <t>裸金属，20220903开始计费，使用211.141.35.32/27</t>
  </si>
  <si>
    <t>L20230311010</t>
  </si>
  <si>
    <t>裸金属，2023/3/17退租；20220903开始计费，使用211.141.35.32/27</t>
  </si>
  <si>
    <t>L20230311012</t>
  </si>
  <si>
    <t>V苏州3移动</t>
  </si>
  <si>
    <t>裸金属，20220901开始计费，使用36.152.221.141/32</t>
  </si>
  <si>
    <t>182215IDC00670</t>
  </si>
  <si>
    <t>金华</t>
  </si>
  <si>
    <t>V金华移动</t>
  </si>
  <si>
    <t>CACDNVJHCM</t>
  </si>
  <si>
    <t>裸金属，20220901开始计费，使用111.2.88.135/32</t>
  </si>
  <si>
    <t>裸金属，2022/9/30退租。20220901开始计费，使用111.2.88.135/32</t>
  </si>
  <si>
    <t>182215IDC00672</t>
  </si>
  <si>
    <t>V宁波6移动</t>
  </si>
  <si>
    <t>裸金属，2022.12.31退租。20220901开始计费，使用183.249.66.46/32</t>
  </si>
  <si>
    <t>V宁波5移动</t>
  </si>
  <si>
    <t>裸金属，20220901开始计费，使用183.249.66.44/32</t>
  </si>
  <si>
    <t>裸金属，2022/9/9退租：183.249.66.44/32</t>
  </si>
  <si>
    <t>V宁波4移动</t>
  </si>
  <si>
    <t>裸金属，2022.12.31退租。20220901开始计费，使用183.249.66.42/32</t>
  </si>
  <si>
    <t>182215IDC00673</t>
  </si>
  <si>
    <t>V济南3联通</t>
  </si>
  <si>
    <t>CACDNVJNUN2</t>
  </si>
  <si>
    <t>裸金属，20220901开始计费，使用123.134.95.4/32</t>
  </si>
  <si>
    <t>裸金属，2023/2/28节点退租：123.134.95.4/32</t>
  </si>
  <si>
    <t>V济南2联通</t>
  </si>
  <si>
    <t>裸金属，2023/2/28节点退租。20220901开始计费，使用123.134.95.3/32</t>
  </si>
  <si>
    <t>裸金属，2023/2/28节点退租：123.134.95.3/32</t>
  </si>
  <si>
    <t>L20230421001</t>
  </si>
  <si>
    <t>V济南5联通</t>
  </si>
  <si>
    <t>CACDNVJNUN3</t>
  </si>
  <si>
    <t>裸金属，2023/3/2开始计费，使用119.188.95.212/32</t>
  </si>
  <si>
    <t>V济南6联通</t>
  </si>
  <si>
    <t>裸金属，2023/3/2开始计费，使用119.188.95.206/32</t>
  </si>
  <si>
    <t>182315IDC00021</t>
  </si>
  <si>
    <t>V济南4联通</t>
  </si>
  <si>
    <t>裸金属，20220922开始计费，替换V滨州联通。使用123.134.95.12/32</t>
  </si>
  <si>
    <t>裸金属，2023/2/28节点退租：使用123.134.95.12/32。替换V滨州联通。</t>
  </si>
  <si>
    <t>L20230421002</t>
  </si>
  <si>
    <t>V济南7联通</t>
  </si>
  <si>
    <t>裸金属，2023/3/2开始计费，使用119.188.95.209/32</t>
  </si>
  <si>
    <t>河南</t>
  </si>
  <si>
    <t>L20220902004</t>
  </si>
  <si>
    <t>鹤壁</t>
  </si>
  <si>
    <t>V鹤壁联通</t>
  </si>
  <si>
    <t>CACDNVHBUN</t>
  </si>
  <si>
    <t>裸金属，20220903开始计费，使用123.12.243.0/27</t>
  </si>
  <si>
    <t>裸金属，20220913退租，202209不计费。</t>
  </si>
  <si>
    <t>内蒙古</t>
  </si>
  <si>
    <t>L20230204009</t>
  </si>
  <si>
    <t>呼和浩特</t>
  </si>
  <si>
    <t>V呼和浩特2移动</t>
  </si>
  <si>
    <t xml:space="preserve">CACDNVHHHTCM </t>
  </si>
  <si>
    <t>裸金属，20220302开始计费，免费40个，使用32个，117.161.128.96/27</t>
  </si>
  <si>
    <t>裸金属，20220302开始计费，免费2个，使用2个</t>
  </si>
  <si>
    <t>北京中金云网科技有限公司</t>
  </si>
  <si>
    <t>中金云网</t>
  </si>
  <si>
    <t>电路</t>
  </si>
  <si>
    <t>L20230311025</t>
  </si>
  <si>
    <t>400M三线BGP服务
(电信、联通、移动）专线1</t>
  </si>
  <si>
    <t>2017/10/26
2023/3/17
2023/3/28</t>
  </si>
  <si>
    <t>1010M
-120M
-680M</t>
  </si>
  <si>
    <t>3月17日测试区两条100M降速至40M，3月28日生产区两条400M降速至60M ，办公区10M合计，210M，按照合同约定，带宽200M月租36080元，超过后167.20元/M；
存量生产区2条400M、测试区两条100M、办公区10M，合计1010M，传输资源编号：TS-OT20170325002</t>
  </si>
  <si>
    <t>移动2M本地点对点专线</t>
  </si>
  <si>
    <t>2M</t>
  </si>
  <si>
    <t>2020.9.1转签至北京移动
2020.5.1转签至北京移动
业务编号：26001947965 ， 百度科技</t>
  </si>
  <si>
    <t>移动10M本地点对点专线</t>
  </si>
  <si>
    <t>10M</t>
  </si>
  <si>
    <t>超电流费用结算(IDC机架)</t>
  </si>
  <si>
    <t>BJBX</t>
  </si>
  <si>
    <t>度</t>
  </si>
  <si>
    <t>202304 中金云网BJBX超跑电流，暂按240000度预估。每月正预提
http://www.bj.sgcc.com.cn/html/main/col40274/column_40274_1.html</t>
  </si>
  <si>
    <t>业务编号：L1709004 ， 同辉永联 
备注：联通，专线号：28731758；100M-&gt;①70M；中金--北京市朝阳区安定路5号院3号楼8层</t>
  </si>
  <si>
    <t>业务编号：L1709022 ， 万国数据（2019年1月9日提出撤销申请，3个工作日后，1月15日停止计费。）L1905011汇天机房移动10M</t>
  </si>
  <si>
    <t>业务编号：L1712001 ， 万国数据
备注：移动，专线号：26001949827；100M-&gt;①70M；中金--北京市朝阳区安定路5号院3号楼8层</t>
  </si>
  <si>
    <t>业务编号：L1711016 ， 同辉永联（2019年1月9日提出撤销申请，3个工作日后，1月15日停止计费。）L1905009汇天机房电信10M（B17558954）</t>
  </si>
  <si>
    <t>业务编号：L1801001 ， 深圳通</t>
  </si>
  <si>
    <t>业务编号：L1709013 ，深证通业务专线。长途专线号：ANE0046NP
28734084(L1709013)</t>
  </si>
  <si>
    <t>业务编号：L1805010</t>
  </si>
  <si>
    <t>业务编号：L1805004</t>
  </si>
  <si>
    <t>业务编号：L1805003</t>
  </si>
  <si>
    <t>业务编号：L1808013</t>
  </si>
  <si>
    <t>业务编号：L1808014</t>
  </si>
  <si>
    <t>业务编号：L1808015</t>
  </si>
  <si>
    <t>业务编号：L1808016</t>
  </si>
  <si>
    <t>业务编号：L1809011。中航信托：119机房电信A3-1 7-8口  ---743机房B03隔笼机柜E-01机柜</t>
  </si>
  <si>
    <t>2022/11/3退租。业务编号：L1809011。中航信托：119机房电信A3-1 7-8口  ---743机房B03隔笼机柜E-01机柜</t>
  </si>
  <si>
    <t>华胜天成 L1905028 新开通</t>
  </si>
  <si>
    <t>L1908017 B17559886</t>
  </si>
  <si>
    <t>2019/8/29开通
2021/8/31退租</t>
  </si>
  <si>
    <t xml:space="preserve">L1908009 </t>
  </si>
  <si>
    <t>L1908010</t>
  </si>
  <si>
    <t>L1908011</t>
  </si>
  <si>
    <t>L1908012</t>
  </si>
  <si>
    <t>L1908014（26009954397）</t>
  </si>
  <si>
    <t>L1911002，（B46680431 58703700） 11月新增7118-2机房 电信大猫框1 12/13槽至743机房 E12-1 电信大光猫</t>
  </si>
  <si>
    <t>L1911003，（B46680430 58703700 ）11月新增7118-2机房 电信大猫框1 12/13槽至743机房 E12-1 电信大光猫</t>
  </si>
  <si>
    <t>L1912006，西侧光交箱-腾讯747机房</t>
  </si>
  <si>
    <t>L1912005，北侧光交箱-腾讯746机房</t>
  </si>
  <si>
    <t>2020/1/7开通
2021/8/31退租</t>
  </si>
  <si>
    <t>L1912036，北辰世纪中心 A座16层机房-743 H03机柜</t>
  </si>
  <si>
    <t>L1912037，北辰世纪中心 A座16层机房-743 J04机柜</t>
  </si>
  <si>
    <t>原L1912037，更新为L2003002</t>
  </si>
  <si>
    <t>2021/6/21退租，冲销9天费用。L2003002 7118-2机房  ODF4-3  63/64芯至743机房  E02-1机柜</t>
  </si>
  <si>
    <t>原：联通10M本地点对点专线</t>
  </si>
  <si>
    <t xml:space="preserve">2020.4.14转签至北京联通
2020年2月3日降速为6M:业务编号：28726821 ， 本端：743机房B03隔笼E02机柜
对端：朝阳门北大街21号电信大厦二层机房 中信银行 </t>
  </si>
  <si>
    <t>原：电信10M本地点对点专线</t>
  </si>
  <si>
    <t>2020.5.1转签至北京电信
电信10M本地点对点专线
2020年1月21日降速为6M:业务编号：B17553231 ， 本端：743机房B03隔笼E01机柜
对端：朝阳门北大街21号电信大厦二层机房中信银行</t>
  </si>
  <si>
    <t>原：电信2M长途点对点专线</t>
  </si>
  <si>
    <t>2020.5.1转签至北京电信
业务编号：B18637943 ， 本端：743机房B03隔笼E01机柜
对端：南京市下关区张王庙88号M2-A南京凤凰机房百度李皓琦18516551024</t>
  </si>
  <si>
    <t xml:space="preserve">2020.4.14转签至北京联通
业务编号：28727771 ， 本端：743机房B03隔笼E02机柜
对端：北京南六环太和桥南瑞合西二路和瑞和东一街交口百度亦庄数据中心百度 李皓琦18516551024 </t>
  </si>
  <si>
    <t>2020.4.14转签至北京联通
业务编号：28727767 ， 本端：743机房B03隔笼E02机柜
对端：北京市西城区月坛南街79号三层东侧科技处机房 人行孙昊68559622/13466521412</t>
  </si>
  <si>
    <t>2020.5.1转签至北京电信
业务编号：B17553353 ， 本端：743机房B03隔笼E01机柜
对端：北京海淀区巨山东路99号人民银行办公区办公楼二层网络机房人行孙昊68559622/13466521412</t>
  </si>
  <si>
    <t>线路2020.10.23退租，11月整月不计费。 2020.5.1转签至北京电信
业务编号：B17553353</t>
  </si>
  <si>
    <t>2020.5.1转签至北京电信
业务编号：B17553605 ， 本端：743机房B03隔笼E01机柜   对端：北京市西城区右安门内大街新安南里甲一号人行周密15901017884</t>
  </si>
  <si>
    <t>2020.4.14转签至北京联通
业务编号：28730815 ， 本端：743机房B03隔笼E02机柜。3月21日降速至10M，
对端：北京市西城区德胜门外大街79号德胜国际C座三层机房人行周密15901017884</t>
  </si>
  <si>
    <t>原：联通2M长途点对点专线</t>
  </si>
  <si>
    <t>2020.4.14转签至北京联通
业务编号：28733395 ， 上海宝付</t>
  </si>
  <si>
    <t>线路退租，2020/9/28停止收取光纤费用。
2020.4.14转签至北京联通
业务编号：28733395 ， 上海宝付</t>
  </si>
  <si>
    <t>原：联通2M本地点对点专线</t>
  </si>
  <si>
    <t xml:space="preserve">2020.4.14转签至北京联通
业务编号：28733572（L2006010） ， 百悟科技 </t>
  </si>
  <si>
    <t>百信银行到北京百悟科技有限公司专线号：28733572，同步撤销中金机房局内布线一条 线路号为：L2006010</t>
  </si>
  <si>
    <t>2020.4.15转签至北京联通
业务编号：28734505 ， 银监会</t>
  </si>
  <si>
    <t>2022/8/25退租：银监会，联通业务编号：28734505，局内裸光纤编号：L2006011</t>
  </si>
  <si>
    <t>2020.5.1转签至北京电信
业务编号：B18638940 ， 上海宝付</t>
  </si>
  <si>
    <t>线路2020.10.12退租.2020.5.1转签至北京电信
业务编号：B18638940 ， 上海宝付</t>
  </si>
  <si>
    <t>原：联通8M本地点对点专线</t>
  </si>
  <si>
    <t>2020.4.14转签至北京联通
业务编号：28742883 ， 银联</t>
  </si>
  <si>
    <t>原：电信2M本地点对点专线</t>
  </si>
  <si>
    <t>2020.5.1转签至北京电信
业务编号：B17554529 ， 信诚人寿</t>
  </si>
  <si>
    <t>线路2020.10.23退租，11月整月不收费。2020.5.1转签至北京电信
业务编号：B17554529 ， 信诚人寿</t>
  </si>
  <si>
    <t>原：移动2M本地点对点专线</t>
  </si>
  <si>
    <t>运营商反馈2020.5.1转签至北京移动的流程未完成，线路费用仍然支付中金，不用支付局内裸光纤费用
2020.5.1转签至北京移动
业务编号：26001947965 ， 百度科技
TS-ADD20200620001</t>
  </si>
  <si>
    <t>原：电信8M长途点对点专线</t>
  </si>
  <si>
    <t>2020.5.1转签至北京电信
业务编号：B18639302,  5月8日升级至8M，按8M收费24天</t>
  </si>
  <si>
    <t>2020.5.7转签至北京联通
业务编号：28759395 ， 中债登</t>
  </si>
  <si>
    <t>2022.3.24退租。2020.5.7转签至北京联通
业务编号：28759395 ， 中债登</t>
  </si>
  <si>
    <t>2020.5.1转签至北京电信
业务编号：B17555135 ， 中债登</t>
  </si>
  <si>
    <t>原：移动10M本地点对点专线</t>
  </si>
  <si>
    <t>运营商反馈2020.5.1转签至北京移动的流程未完成，线路费用仍然支付中金，不用支付局内裸光纤费用
2020.5.1转签至北京移动
业务编号：26001962470 ， 人行-人行
TS-ADD20200620001</t>
  </si>
  <si>
    <t>2020.5.7转签至北京联通
业务编号：28762319 ， 人行</t>
  </si>
  <si>
    <t>线路2020.10.23退租，11月整月不收费。2020.5.7转签至北京联通
业务编号：28762319 ， 人行</t>
  </si>
  <si>
    <t>2020.5.1转签至北京电信
业务编号：B17555277 ， 银监会</t>
  </si>
  <si>
    <t>2020.5.7转签至北京联通
业务编号：28776179 ， 中国外汇交易中心</t>
  </si>
  <si>
    <t>2020.5.7转签至北京联通
业务编号：28776500 ， 上清所</t>
  </si>
  <si>
    <t>2020.5.7转签至北京联通
业务编号：32437191 ， 中债登</t>
  </si>
  <si>
    <t>原：联通4M长途点对点专线</t>
  </si>
  <si>
    <t>2020.5.7转签至北京联通
业务编号：32436855 ， 天津</t>
  </si>
  <si>
    <t>2020.5.7转签至北京联通
业务编号：37967171，百度汇天机房</t>
  </si>
  <si>
    <t>2020.5.7转签至北京联通
5月8日新开通，业务编号：37976297
4M长途线路</t>
  </si>
  <si>
    <t>原：电信4M长途点对点专线</t>
  </si>
  <si>
    <t>2020.5.1转签至北京电信
5月23日新开通，业务编号：B18644350，上海票交所：L2006030</t>
  </si>
  <si>
    <t>2022/11/3退租。
2020.5.1转签至北京电信
5月23日新开通，业务编号：B18644350，上海票交所：L2006030：7119机房 A5机柜 电信大猫框 0槽  ---743机房 B03隔笼 E01机柜 电信小光猫</t>
  </si>
  <si>
    <t>2020.5.1转签至北京电信
B131003140</t>
  </si>
  <si>
    <t>2022/8/25退租：银监会，电信业务编号：B131003140，局内裸光纤编号：L2006028</t>
  </si>
  <si>
    <t>移动</t>
  </si>
  <si>
    <t>1、百信银行主动发起，移动专线号L2006048：7119机房 A1机柜 移动CTN6150 2-3至743机房 HB-BJBX-B-R4431-14
2、百信银行主动发起，移动专线号L2006049：7119机房 A1机柜 移动CTN6150 2-4至743机房 HB-BJBX-B-R4431-15</t>
  </si>
  <si>
    <t>联通</t>
  </si>
  <si>
    <t>中金到美团联通专线局内裸光纤费用
L2004027（45704715）
7118-2机房 联通ODF4-3 69/70芯至743机房 E02-1机柜 联通小光猫</t>
  </si>
  <si>
    <t>电信</t>
  </si>
  <si>
    <t>中金到中信银行仲裁机房电信专线局内裸光纤费用
L2005004（B17572848)
7118-2机房 电信OSN2500 5-1口至743机房 G4-1 用户设备</t>
  </si>
  <si>
    <t>联通20M专线</t>
  </si>
  <si>
    <t>中金到中信银行仲裁机房联通专线局内裸光纤费用，2020/6/9开通，6月计费22天
L2006034（45708009）
7118-2机房 联通ODF4-4 19/20芯至743机房 H03-01机柜 用户设备</t>
  </si>
  <si>
    <t>2020.9.1转签至北京移动
业务编号：26001962470</t>
  </si>
  <si>
    <t xml:space="preserve">2020.9.1转签至北京移动
业务编号：26001947965 </t>
  </si>
  <si>
    <t xml:space="preserve">线路2020.10.23退租，11月整月不收费。2020.9.1转签至北京移动
业务编号：26001947965 </t>
  </si>
  <si>
    <t>第三方公司智博天下主动发起，联通专线号L2010001（45733354）：7118-2机房 联通MSAP 11-1口至743机房 D04机柜 ODF3 35/36芯E-12-1 联通小光猫</t>
  </si>
  <si>
    <t>百信至北京亿美软通的点对点专线对应的中金园区内的局内裸光纤已于2月26日开通，专线号：L2102007（B17560224)：4107机房 电信A1机柜 ATN950B 1-1口至743机房 H03-1 电信小光猫</t>
  </si>
  <si>
    <t>L2108020（110YTW004328)：7118-2机房 联通ODF4-3 11/12芯至743机房E-02-01机柜 用户设备</t>
  </si>
  <si>
    <t>7118-2机房 ODF4-4 39/40芯至 743机房 E02-01 用户设备
L2110003（110YTW005212)
百信银行与第三方公司（中央国债登记结算有限公司）新增1条联通专线（该专线由中央国债登记结算有限公司主动发起）接入百信中金机房</t>
  </si>
  <si>
    <t>7118-2机房 ODF4-4 47/48芯至 743机房 E02-01 用户设备
L2110001（110YTW005211)
百信银行与第三方公司（中央国债登记结算有限公司）新增1条联通专线（该专线由中央国债登记结算有限公司主动发起）接入百信中金机房</t>
  </si>
  <si>
    <t>7118-2机房 MSTP 10-2口 至 743机房 I04-01 用户设备：L2203004</t>
  </si>
  <si>
    <t>7118-2机房 ODF4-6 49/50芯 至743机房 E02-01 联通小光猫
L2204001（110YTW10850924)
百信银行与第三方公司（中国农业银行）新增1条联通（运营商）专线（该专线由中国农业银行主动发起）接入百信中金机房</t>
  </si>
  <si>
    <t>7118-2 ODF4-6 51/52至 743 I04-01机柜。L2204015</t>
  </si>
  <si>
    <t>联通10M。L2204012，
110BLZ10785856。中金-惠通职场，朝阳区姚家园南路1号。7118-2 1800 7-10至 743 J04-01。</t>
  </si>
  <si>
    <t>惠通职场。L2207003（MSTPBJ1001662535）AZ端：7F403-A-09-05-联通7118机房</t>
  </si>
  <si>
    <t>联通。增加95短号。L2208003。联通7118机房 联通传输 至7F403-A09-05</t>
  </si>
  <si>
    <t>场地租金</t>
  </si>
  <si>
    <t>机房</t>
  </si>
  <si>
    <t>新合同约定：二、 自2020年3月25日起，机房场地资源服务费的价格调整至¥23,100.00元/平米/年。办公场地费用：每月固定</t>
  </si>
  <si>
    <t>办公</t>
  </si>
  <si>
    <t>办公场地费用：每月固定</t>
  </si>
  <si>
    <t>L20200325001</t>
  </si>
  <si>
    <t>400M三线BGP服务
(电信、联通、移动）专线2</t>
  </si>
  <si>
    <t xml:space="preserve"> </t>
  </si>
  <si>
    <t>生产区</t>
  </si>
  <si>
    <t>8月1日补充协议生效，按所有互联网带宽整合计算统一费用</t>
  </si>
  <si>
    <t>联通10M本地点对点专线</t>
  </si>
  <si>
    <t>2020-2-3降速</t>
  </si>
  <si>
    <t>10M-6M</t>
  </si>
  <si>
    <t>电信10M本地点对点专线</t>
  </si>
  <si>
    <t>2020-1-21降速</t>
  </si>
  <si>
    <t>电信2M长途点对点专线</t>
  </si>
  <si>
    <t>联通2M长途点对点专线</t>
  </si>
  <si>
    <t>联通2M本地点对点专线</t>
  </si>
  <si>
    <t xml:space="preserve">2020.4.14转签至北京联通
业务编号：28733572 ， 百悟科技 </t>
  </si>
  <si>
    <t>联通8M本地点对点专线</t>
  </si>
  <si>
    <t>8M</t>
  </si>
  <si>
    <t>电信2M本地点对点专线</t>
  </si>
  <si>
    <t>电信8M长途点对点专线</t>
  </si>
  <si>
    <t>2019-11-1撤销线路，停止计费：业务编号：B18639334 ， 信城基金</t>
  </si>
  <si>
    <t>2020.5.7转签至北京联通，并于5.19撤租.5月多计提在付款时冲销
业务编号：32437284 ， 中航信南昌</t>
  </si>
  <si>
    <t>联通4M长途点对点专线</t>
  </si>
  <si>
    <t>4M</t>
  </si>
  <si>
    <t>电信4M长途点对点专线</t>
  </si>
  <si>
    <t>2020.5.1转签至北京电信
5月23日新开通，业务编号：B18644350</t>
  </si>
  <si>
    <t>2020.5.1转签至北京电信
B17554529</t>
  </si>
  <si>
    <t>L20200325002</t>
  </si>
  <si>
    <t>IDC IP</t>
  </si>
  <si>
    <t>测试区100M互联网专线</t>
  </si>
  <si>
    <t>测试区</t>
  </si>
  <si>
    <t>测试区100M互联网专线
8月1日补充协议生效，按所有互联网带宽整合计算统一费用</t>
  </si>
  <si>
    <t>L20220820001</t>
  </si>
  <si>
    <t>IDC 机架</t>
  </si>
  <si>
    <t>20A</t>
  </si>
  <si>
    <t>2022.11更新计提单价。BJBX7F404-A-02、BJBX7F404-A-03、BJBX7F404-A-05、BJBX7F404-A-06、BJBX7F404-B-02、BJBX7F404-B-03、BJBX7F404-B-05、BJBX7F404-B-06、BJBX7F404-C-02、BJBX7F404-C-03、BJBX7F404-E-01、BJBX7F404-I-05、BJBX7F404-I-06、BJBX7F404-J-05、BJBX7F404-J-06</t>
  </si>
  <si>
    <t>BJBX-云托管</t>
  </si>
  <si>
    <t>2022.11更新计提单价。BJBX7F404-A-01、BJBX7F404-A-04、BJBX7F404-B-01、BJBX7F404-B-04</t>
  </si>
  <si>
    <t>40A</t>
  </si>
  <si>
    <t>2022.11更新计提单价。BJBX7F404-G-08、BJBX7F404-H-08、BJBX7F404-I-07、BJBX7F404-I-08、BJBX7F404-J-07、BJBX7F404-J-08</t>
  </si>
  <si>
    <t>2022.11更新计提单价。BJBX7F404-A-07、BJBX7F404-B-07</t>
  </si>
  <si>
    <t>2022.11更新计提单价。BJBX7F404-C-02、BJBX7F404-C-03</t>
  </si>
  <si>
    <t>华南-吴蕊</t>
  </si>
  <si>
    <t>四川</t>
  </si>
  <si>
    <t>广州博浩互联网服务有限公司</t>
  </si>
  <si>
    <t>博浩</t>
  </si>
  <si>
    <t>L20230329003</t>
  </si>
  <si>
    <t>成都</t>
  </si>
  <si>
    <t>成都珉田</t>
  </si>
  <si>
    <t>CDMT</t>
  </si>
  <si>
    <t>CDMT1D603-F-15、CDMT1D603-F-16、CDMT1D603-F-17、CDMT1D603-F-18</t>
  </si>
  <si>
    <t>汇天网络科技有限公司</t>
  </si>
  <si>
    <t>百信汇天</t>
  </si>
  <si>
    <t>181815IDC00243</t>
  </si>
  <si>
    <t>BXHT</t>
  </si>
  <si>
    <t>14A</t>
  </si>
  <si>
    <t>30A</t>
  </si>
  <si>
    <t>BXHT4D101-E-01、BXHT4D101-E-02、BXHT4D101-E-03</t>
  </si>
  <si>
    <t>2021/10/25开通，10月计费7天：BXHT4D101-E-04、BXHT4D101-E-05、BXHT4D101-E-06</t>
  </si>
  <si>
    <t>BXHT4D101-E-07，BXHT4D101-E-08，BXHT4D101-E-09</t>
  </si>
  <si>
    <t>BXHT4D101-E-10、BXHT4D101-E-11、BXHT4D101-E-12</t>
  </si>
  <si>
    <t>机架占用费</t>
  </si>
  <si>
    <t>汇天机架占用费，合同约定：第7个月起未起租机柜收取机架预占费1984元/月/架，总量72-已使用66=占用6架
月末根据实际机架开通数量重新计算占用数量</t>
  </si>
  <si>
    <t>181915IDC00131</t>
  </si>
  <si>
    <t>端口占用费</t>
  </si>
  <si>
    <t>更新：由汇天4号楼5层A路电信间布设一条24芯光缆至百信客户4号楼101机房A06机柜，并进行熔接，ODF配线架类型采用LC接口
甲方开通22条线路，则其中12条按照416元/月/端口，剩余10条按照500元/月/端口计费。
甲方开通25条线路，则其中24条按照416元/月/端口，剩余1条按照500元/月/端口计费。
每月正预提</t>
  </si>
  <si>
    <t>恩牛 电信10M，专线号18644616
每月正预提</t>
  </si>
  <si>
    <t>百信汇天机房人行互联26009943422
本端：北京市通州区宋庄镇汇天云端产业园4号楼机房
对端：北京市经济技术开发区博兴8路1号中金云网公司7号楼4层743单元
每月正预提</t>
  </si>
  <si>
    <t>8月新增4个端口:
    1、B17553353 BXHT-4D101-A-07-09 HB-BXHT-C-NE40-164.Ext G3/0/0人行营业管理部
    2、B17554529 BXHT-4D101-A-07-01 HB-BXHT-C-NE40-160.Ext G3/0/5信诚人寿（中信保诚）
    3、B17555135 BXHT-4D101-A-07-01 HB-BXHT-C-NE40-160.Ext G3/0/3（中央国债登记结算中心）
    4、B17559886 BXHT-4D101-B-07-09 HB-BXHT-C-NE40-165.Ext G3/0/7（百信汇天人行互联）
每月正预提</t>
  </si>
  <si>
    <t>退租：B17555135 BXHT-4D101-A-07-01 HB-BXHT-C-NE40-160.Ext G3/0/3（中央国债登记结算中心）。合同约定端口占用费每满12个，前12个按416计费，其他按500，故本次退租减少月租500元
每月正预提</t>
  </si>
  <si>
    <t>8月新增1个端口:1、B18638940 BXHT-4D101-A-07-01 HB-BXHT-C-NE40-160.Ext G3/0/4宝付
每月正预提</t>
  </si>
  <si>
    <t xml:space="preserve">2020.10.31退租。
业务编号：B18638940 </t>
  </si>
  <si>
    <t>8月新增1个端口：45679941
本端：北京市通州区宋庄镇汇天云端产业园4号楼机房
对端：武汉市江汉经济开发区江旺路6号火凤凰云基地1层
每月正预提</t>
  </si>
  <si>
    <t>9月新增农信银 电信2M专线B18646486
本端：北京市通州区宋庄镇汇天云端产业园4号楼机房
对端：湖南省长沙市开福区湘春路260号星沙农村商业银行2楼长沙数据中心机房
每月正预提</t>
  </si>
  <si>
    <t>10月新增：百信移动浦发银行2M专线，FE0296KA/NP/P
本端：北京市通州区宋庄镇汇天云端产业园4号楼机房
对端：上海市莲花路1688号一楼机房
甲方开通端口数量每达到12个端口即可享受优惠，优惠后端口专线价格按416元/月/端口执行
每月正预提</t>
  </si>
  <si>
    <t>10月新增：百信联通人行营业管理部2 10M专线28762319
本端：北京市通州区宋庄镇汇天云端产业园4号楼机房
对端：北京市海淀区巨山东路99号中国人民银行营业管理部204室
甲方开通端口数量每达到12个端口即可享受优惠，优惠后端口专线价格按416元/月/端口执行
每月正预提</t>
  </si>
  <si>
    <t>11月1日新增：本端均为：汇天云端产业园4号楼机房
对端均为：酒仙桥百度云
每月正预提</t>
  </si>
  <si>
    <t>2020/6/19新增电信专线1条，专线号为：B46680635
本端：北京市通州区宋庄镇汇天云端产业园4号楼1-1机房
对端：15号楼B1电信机房
每月正预提</t>
  </si>
  <si>
    <t>本端：15号楼B1核心机房1、15#B1核心机房ODF 02柜第57盘9/10芯；2、15#B1核心机房ODF 03柜第33盘1/2芯。
对端：汇天网络云端产业园4号楼101机房的A07柜
每月正预提</t>
  </si>
  <si>
    <t>2021/8/2新增移动专线，专线号为：26010163191
本端：15号楼B1核心机房15#B1接入间R3-ZXCTN6150-2板4口
对端：汇天网络云端产业园4号楼101机房A04柜-3U-4板-42口</t>
  </si>
  <si>
    <t>联通50M。汇天-惠通职场。本端设备名称：HB-BXHT-C-CE12804-38.Int，本端设备接口：10GE4/0/45</t>
  </si>
  <si>
    <t>移动。百信银行从汇天园区18#楼移动机房至4号楼101机房的2对跳纤运营商于2022年6月22日布放完成
跳纤的端口占用信息如下：
跳纤1：18#B1移动机房ODF—18#B1传输ODF06柜-2盒-2盘-3/4芯—18#B1传输ODF04柜-5盒-2盘-5/6芯—4#b1接入间-2-10盒-2盘-5/6芯—4#b1接入间2-6盒-2盘-8/9芯—4#101百信机房
跳纤2：18#B1移动机房ODF—18#B1传输ODF06柜-2盒-2盘-5/6芯—18#B1传输ODF04柜-5盒-2盘-7/8芯—4#b1接入间-2-10盒-2盘-7/8芯—4#b1接入间2-6盒-2盘-10/12芯—4#101百信机房</t>
  </si>
  <si>
    <t>电信，50M，专线号：MSTPBJ1001663285。惠通职场</t>
  </si>
  <si>
    <t>百信95短号电信使用:15#B1核心ODF02柜-21盘-7/8芯—15#B1核心ODF05柜-9盘-11/12芯—4号楼B1接入间1-1-ODF09-3盘-11/12芯—4号楼B1接入间1-1-ODF6-2盘-5/6芯—4#百信1-1机房-A01柜-2盘-5/6芯—4#百信1-1机房-D7柜HB-BXHT-B-R4431-15.Int-G3/0/2——标签：BX-0022</t>
  </si>
  <si>
    <t>江苏凤凰数据有限公司</t>
  </si>
  <si>
    <t>凤凰数据</t>
  </si>
  <si>
    <t>182015IDC00004</t>
  </si>
  <si>
    <t>南京</t>
  </si>
  <si>
    <t>M2NJ</t>
  </si>
  <si>
    <t>历史开通累计</t>
  </si>
  <si>
    <t>73A</t>
  </si>
  <si>
    <t>M2-D-01</t>
  </si>
  <si>
    <t>27A</t>
  </si>
  <si>
    <t>M2-B-02、M2-B-03</t>
  </si>
  <si>
    <t>2017.5.25</t>
  </si>
  <si>
    <t>36A</t>
  </si>
  <si>
    <t>M2-C-02、M2-C-03</t>
  </si>
  <si>
    <t>40.9A</t>
  </si>
  <si>
    <t>M2-B-06、M2-C-06、M2-A-09</t>
  </si>
  <si>
    <t>95A</t>
  </si>
  <si>
    <t>M2-B-05、M2-C-05</t>
  </si>
  <si>
    <t>M2-B-04、M2-C-04、M2-D-02、M2-D-03、M2-D-04、M2-D-05、M2-D-06、M2-D-07</t>
  </si>
  <si>
    <t>IDC机架 网核机架</t>
  </si>
  <si>
    <t>M2-A-09</t>
  </si>
  <si>
    <t>M2-A-06 M2-A-07 
机柜单位价格为1700/kw/月，单价：8.8KW*1700=14960</t>
  </si>
  <si>
    <t>62.5A</t>
  </si>
  <si>
    <t>2020/7/10开通，M2-A-10
机柜单位价格为1700/kw/月，单价：13.75KW*1700=23375</t>
  </si>
  <si>
    <t>M2-A-01、M2-A-02、M2-A-03、M2-A-04</t>
  </si>
  <si>
    <t>2020/12/15开通，计费17天。M2-D-10</t>
  </si>
  <si>
    <t>M2-A-05。运营商从4.1开始计费</t>
  </si>
  <si>
    <t>M2-D-04、M2-D-05</t>
  </si>
  <si>
    <t>M2-D-01、M2-D-04、M2-D-05</t>
  </si>
  <si>
    <t>182215IDC00224</t>
  </si>
  <si>
    <t>NJ02</t>
  </si>
  <si>
    <t>2022/1/21 NJ02凤凰直签机房退租</t>
  </si>
  <si>
    <t>A</t>
  </si>
  <si>
    <t>2022/1/21 凤凰数据NJ02退租</t>
  </si>
  <si>
    <t>L20220727001</t>
  </si>
  <si>
    <t>NJ021B-A-11、NJ021B-A-12、NJ021B-A-13、NJ021B-A-14</t>
  </si>
  <si>
    <t>NJ021B-D-15</t>
  </si>
  <si>
    <t>M2NJ1B-B-11、M2NJ1B-B-12（与商务确认，M2NJ与NJ021B为同一机房）</t>
  </si>
  <si>
    <t>江苏凤凰新云网络科技有限公司</t>
  </si>
  <si>
    <t>凤凰新云</t>
  </si>
  <si>
    <t>182215IDC00675</t>
  </si>
  <si>
    <t>南京新港二期（108超核）</t>
  </si>
  <si>
    <t>NJXG</t>
  </si>
  <si>
    <t>136A</t>
  </si>
  <si>
    <t>2021/10/15开通，10月计费17天：NJXG108-A-10、NJXG108-B-10</t>
  </si>
  <si>
    <t>2021/10/15开通，10月计费17天：NJXG108-E-01、NJXG108-E-02</t>
  </si>
  <si>
    <t>202111SYS反馈6个机架电流实际为40.9A，调整计提行：NJXG108-F-02、NJXG108-F-06、NJXG108-F-07、NJXG108-G-02、NJXG108-H-02、NJXG108-H-03</t>
  </si>
  <si>
    <t>202111SYS反馈6个机架电流实际为40.9A，调整计提行：NJXG108-G-09、NJXG108-G-10、NJXG108-G-12、NJXG108-G-13、NJXG108-H-12、NJXG108-H-13</t>
  </si>
  <si>
    <t>0A</t>
  </si>
  <si>
    <t>2021/10/15开通2个布线柜，10月计费17天：NJXG108-F-01、NJXG108-G-01</t>
  </si>
  <si>
    <t>NJXG108-G-08</t>
  </si>
  <si>
    <t>NJXG108-H-09
NJXG108-H-10</t>
  </si>
  <si>
    <t>NJXG108-H-04、NJXG108-H-05、NJXG108-H-06、NJXG108-H-07</t>
  </si>
  <si>
    <t>NJXG108-A-07</t>
  </si>
  <si>
    <t>109A</t>
  </si>
  <si>
    <t>NJXG108-C-07、NJXG108-C-09、NJXG108-D-11、NJXG108-D-13</t>
  </si>
  <si>
    <t>NJXG108-A-08、NJXG108-B-08</t>
  </si>
  <si>
    <t>NJXG108-C-04、NJXG108-C-05、NJXG108-D-08、NJXG108-D-09、NJXG108-E-03、NJXG108-E-04</t>
  </si>
  <si>
    <t>京东云计算有限公司</t>
  </si>
  <si>
    <t>京东云</t>
  </si>
  <si>
    <t>182215IDC00636</t>
  </si>
  <si>
    <t>呼和浩特6移动</t>
  </si>
  <si>
    <t>CACDNHHHTCM2</t>
  </si>
  <si>
    <t>裸金属，2022.12.31退租。20220501开始计费，117.161.205.0/25，117.161.205.128/27</t>
  </si>
  <si>
    <t>裸金属，2022.12.31退租。20220501开始计费，117.161.205.0/25 117.161.205.128/27</t>
  </si>
  <si>
    <t>25A</t>
  </si>
  <si>
    <t>裸金属，2022.12.31退租。20220501开始计费，HHHTCM2-E-13,HHHTCM2-E-14</t>
  </si>
  <si>
    <t>北海</t>
  </si>
  <si>
    <t>北海移动</t>
  </si>
  <si>
    <t>CACDNBHCM</t>
  </si>
  <si>
    <t>裸金属，2022.12.31退租。20220501开始计费，36.136.112.0/25，36.136.94.128/25，36.136.112.160/27</t>
  </si>
  <si>
    <t>裸金属，2022.12.31退租。20220501开始计费,BHCM-A-01,BHCM-A-02</t>
  </si>
  <si>
    <t>L20221228007</t>
  </si>
  <si>
    <t>昆山博迈数据服务有限公司</t>
  </si>
  <si>
    <t>昆山博迈</t>
  </si>
  <si>
    <t>L20221126002</t>
  </si>
  <si>
    <t>苏州陆家3/5层</t>
  </si>
  <si>
    <t>SZLJ</t>
  </si>
  <si>
    <t>SZLJ1D301-A-01、SZLJ1D301-A-02、SZLJ1D301-A-03、SZLJ1D301-A-04、SZLJ1D301-A-05、SZLJ1D301-A-06、SZLJ1D301-A-07、SZLJ1D301-A-08、SZLJ1D301-A-10、SZLJ1D301-B-05、SZLJ1D301-B-13、SZLJ1D301-C-01、SZLJ1D301-C-02、SZLJ1D301-G-13、SZLJ1D301-H-02、SZLJ1D301-H-03、SZLJ1D301-H-13、SZLJ1D301-N-01、SZLJ1D301-N-02、SZLJ1D302-A-01、SZLJ1D302-A-09、SZLJ1D302-B-06、SZLJ1D302-C-01、SZLJ1D302-C-02、SZLJ1D302-G-13、SZLJ1D302-H-02、SZLJ1D302-H-03、SZLJ1D302-H-13、SZLJ1D302-N-01、SZLJ1D302-N-02、SZLJ1D501-G-09、SZLJ1D501-H-11、SZLJ1D501-L-01、SZLJ1D501-L-02、SZLJ1D501-L-03、SZLJ1D501-L-04、SZLJ1D501-L-05、SZLJ1D501-L-06、SZLJ1D501-L-07、SZLJ1D501-M-01、SZLJ1D501-M-02、SZLJ1D501-M-03、SZLJ1D501-M-04、SZLJ1D501-M-05、SZLJ1D501-M-06、SZLJ1D501-M-07、SZLJ1D501-M-08、SZLJ1D501-M-09、SZLJ1D501-M-10、SZLJ1D501-M-11、SZLJ1D501-N-01、SZLJ1D501-N-02、SZLJ1D501-N-03、SZLJ1D501-N-04、SZLJ1D501-N-05、SZLJ1D501-N-06、SZLJ1D501-N-07、SZLJ1D501-N-08、SZLJ1D501-N-09、SZLJ1D501-N-10、SZLJ1D501-N-11、SZLJ1D502-A-01、SZLJ1D502-A-03、SZLJ1D502-B-03、SZLJ1D502-B-05、SZLJ1D502-C-10、SZLJ1D502-C-11、SZLJ1D502-D-03、SZLJ1D502-D-04、SZLJ1D502-D-05、SZLJ1D502-D-06、SZLJ1D502-D-08、SZLJ1D502-D-11、SZLJ1D502-E-03、SZLJ1D502-E-04、SZLJ1D502-E-05、SZLJ1D502-E-06、SZLJ1D502-E-08、SZLJ1D502-E-10、SZLJ1D502-F-05、SZLJ1D502-F-06、SZLJ1D502-F-07、SZLJ1D502-G-05、SZLJ1D502-G-06、SZLJ1D502-G-07、SZLJ1D502-H-02、SZLJ1D502-H-03、SZLJ1D502-H-04、SZLJ1D502-H-05、SZLJ1D502-H-06、SZLJ1D502-H-07、SZLJ1D502-J-02、SZLJ1D502-J-03、SZLJ1D502-J-04、SZLJ1D502-J-05、SZLJ1D502-J-06、SZLJ1D502-J-07、SZLJ1D502-K-02、SZLJ1D502-K-03、SZLJ1D502-K-04、SZLJ1D502-K-05</t>
  </si>
  <si>
    <t>SZLJ1D502-D-02、SZLJ1D502-E-02</t>
  </si>
  <si>
    <t>SZLJ1D502-F-01、SZLJ1D502-F-03、SZLJ1D502-G-01、SZLJ1D502-G-03</t>
  </si>
  <si>
    <t>SZLJ1D302-A-02、SZLJ1D302-A-10、SZLJ1D302-B-05、SZLJ1D302-B-13</t>
  </si>
  <si>
    <t>SZLJ1D302-B-05、SZLJ1D302-B-06、SZLJ1D302-B-13、SZLJ1D501-M-06、SZLJ1D501-M-07、SZLJ1D501-M-08、SZLJ1D501-M-11</t>
  </si>
  <si>
    <t>SZLJ1D302-A-03、SZLJ1D302-A-04</t>
  </si>
  <si>
    <t>SZLJ1D302-A-05、SZLJ1D302-A-06</t>
  </si>
  <si>
    <t>SZLJ1D302-A-07、SZLJ1D302-A-08</t>
  </si>
  <si>
    <t>SZLJ1D302-A-12</t>
  </si>
  <si>
    <t>SZLJ1D502-D-07、SZLJ1D502-D-09、SZLJ1D502-E-07、SZLJ1D502-E-09</t>
  </si>
  <si>
    <t>SZLJ1D302-A-11</t>
  </si>
  <si>
    <t>SZLJ1D501-A-02、SZLJ1D501-C-02、SZLJ1D501-C-03</t>
  </si>
  <si>
    <t>王阳</t>
  </si>
  <si>
    <t>联通（江苏）产业互联网有限公司</t>
  </si>
  <si>
    <t>江苏联通</t>
  </si>
  <si>
    <t>182015IDC00341</t>
  </si>
  <si>
    <t>南京新港（1.1期）101、103-106</t>
  </si>
  <si>
    <t>NJXG106-C-12、NJXG103-C-05、NJXG103-C-06、NJXG103-E-05、NJXG103-E-06、NJXG103-E-07、NJXG103-E-08、NJXG103-E-09、NJXG103-E-10、NJXG103-E-11、NJXG103-E-12、NJXG103-E-13、NJXG103-F-05、NJXG103-F-06、NJXG103-F-07、NJXG103-F-08、NJXG103-F-09、NJXG103-F-10、NJXG103-F-11、NJXG103-F-12、NJXG103-F-13、NJXG104-E-01、NJXG104-E-02、NJXG104-H-14、NJXG103-B-05、NJXG103-B-06、NJXG103-B-07、NJXG103-B-08、NJXG104-B-01、NJXG104-B-02、NJXG101-B-01、NJXG101-B-02、NJXG101-D-01、NJXG101-D-02、NJXG105-D-11、NJXG105-D-12、NJXG106-C-11、NJXG106-E-15、NJXG106-E-16、NJXG101-H-14、NJXG105-F-01、NJXG106-H-01</t>
  </si>
  <si>
    <t>NJXG104-A-09、NJXG104-A-10、NJXG104-A-11、NJXG104-A-12、NJXG104-A-13、NJXG104-A-14、NJXG104-D-08、NJXG104-D-09、NJXG104-D-10、NJXG104-D-11、NJXG104-D-12、NJXG104-D-13、NJXG104-D-14、NJXG104-D-15、NJXG104-D-16、NJXG104-E-03、NJXG104-E-04、NJXG104-E-05、NJXG104-E-06、NJXG104-E-07、NJXG104-E-08、NJXG104-E-09、NJXG104-E-10、NJXG104-E-11、NJXG104-E-12、NJXG104-E-13、NJXG104-E-14、NJXG104-E-15、NJXG104-E-16、NJXG104-F-01、NJXG104-F-02、NJXG104-F-03、NJXG104-F-05、NJXG104-F-12、NJXG104-F-08、NJXG104-F-09、NJXG104-F-10、NJXG104-G-01、NJXG104-G-02、NJXG104-G-03、NJXG104-G-04、NJXG104-G-05、NJXG104-G-06、NJXG104-G-07、NJXG104-G-08、NJXG104-G-09、NJXG104-G-10、NJXG104-D-07、NJXG104-H-01、NJXG104-H-02、NJXG104-C-01、NJXG104-C-02、NJXG104-C-04、NJXG104-C-05、NJXG104-C-06、NJXG104-C-12、NJXG104-C-08、NJXG104-C-09、NJXG104-C-11、NJXG104-D-01、NJXG104-D-02、NJXG104-D-03、NJXG104-D-04、NJXG104-D-05、NJXG104-D-06、NJXG104-G-11、NJXG104-G-12、NJXG104-G-13、NJXG104-G-14、NJXG104-G-15、NJXG104-G-16、NJXG104-H-03、NJXG104-H-05、NJXG104-H-06、NJXG104-H-07、NJXG104-H-08、NJXG104-H-09、NJXG104-H-10、NJXG104-H-11、NJXG104-H-13、NJXG104-B-03</t>
  </si>
  <si>
    <t>NJXG103-A-02、NJXG103-A-03、NJXG103-B-02、NJXG103-B-03、NJXG103-B-04</t>
  </si>
  <si>
    <t>NJXG103-A-10、NJXG103-B-13、NJXG103-C-02、NJXG103-C-04、NJXG103-C-07、NJXG103-D-01、NJXG103-D-04、NJXG103-D-06、NJXG103-E-02、NJXG103-E-04、NJXG103-F-01、NJXG103-F-03</t>
  </si>
  <si>
    <t>NJXG103-A-01、NJXG103-A-09、NJXG103-B-01、NJXG103-B-14、NJXG103-C-01、NJXG103-C-03、NJXG103-C-08、NJXG103-C-10、NJXG103-D-02、NJXG103-D-03、NJXG103-D-05、NJXG103-D-08、NJXG103-E-01、NJXG103-E-03、NJXG103-F-02、NJXG103-F-04</t>
  </si>
  <si>
    <t>NJXG101-A-01、NJXG101-A-02、NJXG101-A-03、NJXG101-A-04、NJXG101-A-05、NJXG101-A-06、NJXG101-A-07、NJXG101-A-08、NJXG101-A-09、NJXG101-A-10、NJXG101-A-11、NJXG101-B-03、NJXG101-B-04、NJXG101-B-05、NJXG101-B-06、NJXG101-B-07、NJXG101-B-08、NJXG101-B-09、NJXG101-B-10、NJXG101-B-11、NJXG101-B-12、NJXG101-B-13、NJXG101-B-14</t>
  </si>
  <si>
    <t>NJXG101-C-05、NJXG101-C-06、NJXG101-C-07、NJXG101-C-08、NJXG101-C-09、NJXG101-C-10、NJXG101-C-11、NJXG101-C-12、NJXG101-C-13、NJXG101-C-14、NJXG101-D-03、NJXG101-D-04、NJXG101-D-05、NJXG101-D-06、NJXG101-D-07、NJXG101-D-08、NJXG101-D-09、NJXG101-D-10、NJXG101-D-11</t>
  </si>
  <si>
    <t>NJXG101-E-01、NJXG101-E-02、NJXG101-E-03、NJXG101-E-04、NJXG101-E-05、NJXG101-E-06、NJXG101-E-07、NJXG101-E-08、NJXG101-E-09、NJXG101-E-10、NJXG101-E-11、NJXG101-E-12、NJXG101-E-13、NJXG101-E-14、NJXG101-F-01、NJXG101-F-02、NJXG101-F-03、NJXG101-F-04、NJXG101-F-05、NJXG101-F-06、NJXG101-F-07、NJXG101-F-08、NJXG101-F-09、NJXG101-F-10、NJXG101-F-11、NJXG101-F-12、NJXG101-F-13、NJXG101-F-14、NJXG101-G-02、NJXG101-G-03、NJXG101-G-04、NJXG101-G-05、NJXG101-G-06、NJXG101-G-07、NJXG101-G-08、NJXG101-G-09、NJXG101-G-10、NJXG101-G-11</t>
  </si>
  <si>
    <t>NJXG101-H-01、NJXG101-H-02、NJXG101-H-03、NJXG101-H-04、NJXG101-H-05、NJXG101-H-06、NJXG101-H-07、NJXG101-H-08、NJXG101-H-09、NJXG101-H-10、NJXG101-H-11、NJXG101-H-12、NJXG101-H-13</t>
  </si>
  <si>
    <t>NJXG105-C-09、NJXG105-C-10、NJXG105-C-11、NJXG105-C-12、NJXG105-C-13、NJXG105-C-14、NJXG105-D-08、NJXG105-D-09、NJXG105-E-01、NJXG105-E-02、NJXG105-E-03、NJXG105-E-04、NJXG105-E-05、NJXG105-E-06、NJXG105-E-07、NJXG105-E-08、NJXG105-E-09、NJXG105-E-10、NJXG105-E-11、NJXG105-E-12、NJXG105-D-07、NJXG101-C-01、NJXG101-C-02、NJXG101-C-03、NJXG101-C-04</t>
  </si>
  <si>
    <t>NJXG105-A-01、NJXG105-A-02、NJXG105-A-03、NJXG105-A-04、NJXG105-A-06、NJXG105-A-07、NJXG105-A-08、NJXG105-A-09、NJXG105-A-10、NJXG105-A-11、NJXG105-A-12、NJXG105-B-01、NJXG105-B-02</t>
  </si>
  <si>
    <t>NJXG105-B-03、NJXG105-B-04、NJXG105-B-05、NJXG105-B-06、NJXG105-B-07、NJXG105-B-08、NJXG105-B-09、NJXG105-B-10、NJXG105-B-11、NJXG105-B-12、NJXG105-B-13、NJXG105-B-14、NJXG105-B-15、NJXG105-B-16、NJXG105-C-04、NJXG105-C-05、NJXG105-C-06、NJXG105-C-07、NJXG105-C-08</t>
  </si>
  <si>
    <t>NJXG106-F-03、NJXG106-F-05、NJXG106-F-08、NJXG106-F-10、NJXG106-F-12、NJXG106-G-02、NJXG106-G-04、NJXG106-G-06、NJXG106-G-08、NJXG106-G-10、NJXG106-G-12、NJXG106-G-14、NJXG106-G-16、NJXG106-H-02、NJXG106-H-04、NJXG106-H-06、NJXG106-H-08、NJXG106-H-10、NJXG106-H-12、NJXG106-H-14</t>
  </si>
  <si>
    <t>NJXG106-E-09、NJXG106-E-10、NJXG106-E-11、NJXG106-E-12、NJXG106-E-13、NJXG106-E-14、NJXG106-F-09、NJXG106-F-11</t>
  </si>
  <si>
    <t>NJXG106-C-10、NJXG106-F-04</t>
  </si>
  <si>
    <t>NJXG104-A-01、NJXG104-A-02、NJXG104-A-03、NJXG104-A-04、NJXG104-A-05、NJXG104-A-06、NJXG104-B-04、NJXG104-B-05、NJXG104-B-06、NJXG105-C-01、NJXG105-C-02、NJXG105-C-03、NJXG105-D-01、NJXG105-D-02、NJXG105-D-03、NJXG105-D-04、NJXG105-D-05、NJXG105-D-06、NJXG104-B-07、NJXG104-B-08、NJXG104-B-09、NJXG104-B-10、NJXG104-B-11、NJXG104-B-12、NJXG104-B-13</t>
  </si>
  <si>
    <t>NJXG105-E-13、NJXG105-E-14、NJXG105-E-15、NJXG105-E-16、NJXG105-F-02、NJXG105-F-03、NJXG105-F-04、NJXG105-F-05、NJXG101-G-01、NJXG104-B-14、NJXG104-B-15、NJXG104-B-16</t>
  </si>
  <si>
    <t>2021/2/24开通，计费5天：NJXG104-A-15、NJXG104-A-16</t>
  </si>
  <si>
    <t>NJXG106-G-01
NJXG106-G-03
NJXG106-G-05
NJXG106-G-07
NJXG106-H-03
NJXG106-H-05</t>
  </si>
  <si>
    <t>2021/3/4开通机架，3月计费28天
NJXG106-D-01、NJXG106-D-02、NJXG106-D-03、NJXG106-D-04、NJXG106-D-05、NJXG106-D-06、NJXG106-D-07、NJXG106-D-08、NJXG106-D-09、NJXG106-D-10、NJXG106-D-11、NJXG106-D-12、NJXG106-D-13、NJXG106-D-14、NJXG106-D-15、NJXG106-D-16</t>
  </si>
  <si>
    <t>2021/3/30开通机架，3月计费2天
NJXG105-F-06、NJXG105-F-07、NJXG105-F-08、NJXG105-F-09、NJXG105-F-10、NJXG105-F-11、NJXG105-F-12、NJXG105-F-13、NJXG106-C-01、NJXG106-C-02、NJXG106-C-03、NJXG106-C-04、NJXG106-C-07、NJXG106-C-08、NJXG106-C-09</t>
  </si>
  <si>
    <t>2021/4/14关闭，4月冲销16天费用：NJXG106-G-10、NJXG106-G-12、NJXG106-G-14、NJXG106-G-16、NJXG106-H-08、NJXG106-H-10、NJXG106-H-12</t>
  </si>
  <si>
    <t>2021/4/26开通，4月计费5天：NJXG106-E-02</t>
  </si>
  <si>
    <t>2021/4/29开通，4月计费2天：NJXG106-H-08、NJXG106-H-09、NJXG106-H-10、NJXG106-H-11</t>
  </si>
  <si>
    <t>NJXG106-G-09、NJXG106-G-10</t>
  </si>
  <si>
    <t>NJXG106-B-01、NJXG106-B-02、NJXG106-B-03、NJXG106-B-04</t>
  </si>
  <si>
    <t>2021/6/8开通机架，6月计费23天：NJXG106-G-11、NJXG106-G-12、NJXG106-B-05</t>
  </si>
  <si>
    <t>2021/7/3开通，7月计费29天：NJXG104-F-11、NJXG104-H-12、NJXG106-A-15、NJXG106-A-16</t>
  </si>
  <si>
    <t>2021/7/30开通机架，7月计费2天：NJXG106-B-09、NJXG106-B-10、NJXG106-B-11、NJXG106-B-12</t>
  </si>
  <si>
    <t>2021/8/12开通，8月计费20天：NJXG106-G-16、NJXG106-H-12、NJXG106-H-13</t>
  </si>
  <si>
    <t>2021/8/23开通机架，8月计费9天：NJXG106-B-13、NJXG106-B-14、NJXG106-B-15、NJXG106-B-16</t>
  </si>
  <si>
    <t>2021/8/30开通机架，8月计费2天：NJXG106-G-14</t>
  </si>
  <si>
    <t>2021/9/17开通，9月计费14天：NJXG106-G-13、NJXG106-G-15</t>
  </si>
  <si>
    <t>2021/10/3开通，计费29天：NJXG106-B-06、NJXG106-B-07、NJXG106-B-08、NJXG106-E-01、NJXG106-E-03、NJXG106-E-04、NJXG106-E-05、NJXG106-E-06、NJXG106-E-07、NJXG106-E-08、NJXG106-F-01、NJXG106-F-02、NJXG106-H-07</t>
  </si>
  <si>
    <t>2021/11/19开通机架，11月计费12天：NJXG104-C-03、NJXG104-C-10、NJXG104-H-04、NJXG105-A-05、NJXG105-D-10、NJXG106-C-05、NJXG106-F-07</t>
  </si>
  <si>
    <t>NJXG103-F-08</t>
  </si>
  <si>
    <t>NJXG103-B-05、NJXG103-B-06、NJXG103-B-07、NJXG103-B-08</t>
  </si>
  <si>
    <t>182015IDC00387</t>
  </si>
  <si>
    <t>常州软件园机房</t>
  </si>
  <si>
    <t>常州三级</t>
  </si>
  <si>
    <t>CDNCZIX</t>
  </si>
  <si>
    <t>【BEC扩容】常州三线扩容机柜：BECCZIX4F-F-201、BECCZIX4F-F-202、BECCZIX4F-F-203、BECCZIX4F-F-204、BECCZIX4F-F-205、BECCZIX4F-F-206、BECCZIX4F-F-207、BECCZIX4F-F-208、BECCZIX4F-F-209、BECCZIX4F-F-210、BECCZIX4F-F-211、BECCZIX4F-F-212、BECCZIX4F-F-213</t>
  </si>
  <si>
    <t>【BEC退租】BEC常州三线退租：BECCZIX4F-F-207、BECCZIX4F-F-208、BECCZIX4F-F-209</t>
  </si>
  <si>
    <t>【BEC扩容】常州三线扩容：BECCZIX4F-F-101、BECCZIX4F-F-102、BECCZIX4F-F-103、BECCZIX4F-F-104、BECCZIX4F-F-105、BECCZIX4F-F-106、BECCZIX4F-F-107、BECCZIX4F-F-108、BECCZIX4F-F-111、BECCZIX4F-F-112、BECCZIX4F-F-113、BECCZIX4F-F-114、BECCZIX4F-F-301、BECCZIX4F-F-302、BECCZIX4F-F-303</t>
  </si>
  <si>
    <t>CDNCZIX2</t>
  </si>
  <si>
    <t>【BEC扩容】常州三线扩容：BECCZIX2-B-01、BECCZIX2-B-02、BECCZIX2-B-03、BECCZIX2-B-04、BECCZIX2-B-05、BECCZIX2-B-06、BECCZIX2-B-07</t>
  </si>
  <si>
    <t>常州三级联通</t>
  </si>
  <si>
    <t>【BEC扩容】常州三线扩容新增IP：112.82.242.128/25</t>
  </si>
  <si>
    <t>常州三级电信</t>
  </si>
  <si>
    <t>【BEC扩容】常州三线扩容新增IP：61.160.243.128/25</t>
  </si>
  <si>
    <t>【BEC扩容】常州三线扩容：58.216.9.0/25</t>
  </si>
  <si>
    <t>常州三级移动</t>
  </si>
  <si>
    <t>【BEC扩容】常州三线扩容新增IP：223.109.66.0/24</t>
  </si>
  <si>
    <t>【BEC扩容】常州三线扩容：36.154.11.0/26</t>
  </si>
  <si>
    <t>CZIX4F-C-41、CZIX4F-C-44、CZIX4F-C-45、CZIX4F-C-46、CZIX4F-C-47、CZIX4F-C-48、CZIX4F-C-52、CZIX4F-C-53、CZIX4F-C-54、CZIX4F-C-57、CZIX4F-C-58、CZIX4F-C-59、CZIX4F-C-61、CZIX4F-C-62、CZIX4F-C-63、CZIX4F-C-64、CZIX4F-C-65</t>
  </si>
  <si>
    <t>10A</t>
  </si>
  <si>
    <t>江苏常州三线边缘计算节点新增1个机柜 
BECCZIX4F-C-66</t>
  </si>
  <si>
    <t>4个机架免费机架：CZIX4F-C-56、CZIX4F-C-42、CZIX4F-C-43、CZIX4F-C-51</t>
  </si>
  <si>
    <t>边缘计算
BECCZIX4F-C-13、
BECCZIX4F-C-16、
BECCZIX4F-C-17</t>
  </si>
  <si>
    <t>共使用544个IP，免费256，收费288。后期新增每个35元：153.101.66.0/27、218.98.45.0/24</t>
  </si>
  <si>
    <t>共使用544个IP，免费256，收费288。后期新增每个35元：218.98.44.0/24</t>
  </si>
  <si>
    <t>江苏常州三线边缘计算节点新增32个IP，153.101.66.0/27</t>
  </si>
  <si>
    <t xml:space="preserve">2020/8/6江苏常州三线边缘计算节点新增256个IP
联通IPv4：112.82.205.0/24
联通IPv6：2408:873C:3010:0008::/64
</t>
  </si>
  <si>
    <t>【BEC扩容】常州三线扩容32个联通IP：153.101.66.96/27</t>
  </si>
  <si>
    <t>2023.3与SYS核对后调整IP段。自9月21日正式起租：58.216.2.0/24、61.160.239.192/27</t>
  </si>
  <si>
    <t>江苏常州三线边缘计算节点新增32个IP，61.160.198.0/27</t>
  </si>
  <si>
    <t xml:space="preserve">2020/8/5江苏常州三线边缘计算节点新增256个IP
电信IPv4：58.216.11.0/24 
电信IPv6：240e:978:301:5::/64
</t>
  </si>
  <si>
    <t>自9月21日正式起租：223.112.198.0/24、218.98.26.64/27</t>
  </si>
  <si>
    <t>江苏常州三线边缘计算节点新增32个IP，36.153.95.0/27</t>
  </si>
  <si>
    <t>2020/8/5江苏常州三线边缘计算节点新增256个IP
移动IPv4：36.150.40.0/24
移动IPv6：2409:8720:4001:5::/64</t>
  </si>
  <si>
    <t>CZIX4F-C-55，CDN前期一直使用未计费，从2022/6/25开始计费</t>
  </si>
  <si>
    <t>新机房机架降价。【BEC扩容】常州三线(CZIX)扩容13个机柜：BECCZIX2-B-08、BECCZIX2-B-09、BECCZIX2-B-10、BECCZIX2-B-11、BECCZIX2-B-12、BECCZIX2-B-13、BECCZIX2-B-14、BECCZIX2-B-15、BECCZIX2-B-16、BECCZIX2-B-17、BECCZIX2-B-18、BECCZIX2-B-19、BECCZIX2-B-20</t>
  </si>
  <si>
    <t>新机房机架降价。【BEC扩容】常州三线(CZIX)扩容1个机柜：BECCZIX2-B-21</t>
  </si>
  <si>
    <t>【BEC退租】BEC常州三线退租：BECCZIX4F-F-205、BECCZIX4F-F-206、BECCZIX4F-F-210</t>
  </si>
  <si>
    <t>【BEC扩容】常州三线电信(CZIX)扩容64个IP：58.216.9.192/26</t>
  </si>
  <si>
    <t>【BEC扩容】常州三线移动(CZIX)扩容128个IP：112.21.164.128/25</t>
  </si>
  <si>
    <t>182115IDC00120</t>
  </si>
  <si>
    <t>南京新港（1.1期）102模块</t>
  </si>
  <si>
    <t>NJXG102-D-01、NJXG102-D-02、NJXG102-F-14</t>
  </si>
  <si>
    <t>NJXG102-A-01、NJXG102-A-03、NJXG102-A-05、NJXG102-A-07、NJXG102-A-09、NJXG102-A-11、NJXG102-B-03、NJXG102-B-05、NJXG102-B-07、NJXG102-B-09、NJXG102-B-11、NJXG102-B-13、NJXG102-C-02、NJXG102-C-04、NJXG102-C-06、NJXG102-C-08、NJXG102-C-10、NJXG102-C-12、NJXG102-C-14、NJXG102-D-03、NJXG102-D-05、NJXG102-D-07、NJXG102-D-09、NJXG102-D-11、NJXG102-E-02、NJXG102-E-04、NJXG102-E-06、NJXG102-E-08、NJXG102-E-10、NJXG102-E-12、NJXG102-E-14、NJXG102-F-01、NJXG102-F-03、NJXG102-F-05、NJXG102-F-07、NJXG102-F-09、NJXG102-F-11、NJXG102-F-13</t>
  </si>
  <si>
    <t>2021/4/14关闭，4月冲销16天费用：、NJXG102-A-01、NJXG102-A-03、NJXG102-A-05、NJXG102-A-07、NJXG102-A-09、NJXG102-A-11、NJXG102-B-03、NJXG102-B-05、NJXG102-B-07、NJXG102-B-09、NJXG102-B-11、NJXG102-B-13、NJXG102-C-02、NJXG102-C-04、NJXG102-C-06、NJXG102-C-08、NJXG102-C-10、NJXG102-C-12、NJXG102-C-14、NJXG102-D-03、NJXG102-D-05、NJXG102-D-07、NJXG102-D-09、NJXG102-D-11、NJXG102-E-02、NJXG102-E-04、NJXG102-E-06、NJXG102-E-08、NJXG102-E-10、NJXG102-E-12、NJXG102-E-14、NJXG102-F-01、NJXG102-F-03、NJXG102-F-05、NJXG102-F-07、NJXG102-F-09、NJXG102-F-11、NJXG102-F-13</t>
  </si>
  <si>
    <t>2021/7/2开通机架，7月计费30天：NJXG102-B-04、NJXG102-B-05、NJXG102-B-06、NJXG102-B-07、NJXG102-B-08、NJXG102-B-09、NJXG102-B-10、NJXG102-B-11、NJXG102-B-12、NJXG102-B-13、NJXG102-B-14、NJXG102-C-01、NJXG102-C-02</t>
  </si>
  <si>
    <t>2021/7/3开通机架，7月计费29天：NJXG102-A-01、NJXG102-A-02、NJXG102-A-03、NJXG102-A-04、NJXG102-A-05、NJXG102-A-06、NJXG102-A-07、NJXG102-A-08、NJXG102-A-09、NJXG102-A-10、NJXG102-A-11、NJXG102-B-03</t>
  </si>
  <si>
    <t>2021/7/10开通机架，7月计费22天：NJXG102-F-01、NJXG102-F-02、NJXG102-F-03、NJXG102-F-04、NJXG102-F-05、NJXG102-F-06、NJXG102-F-07、NJXG102-F-08、NJXG102-F-09、NJXG102-F-10、NJXG102-F-11、NJXG102-F-12</t>
  </si>
  <si>
    <t>2021/8/17开通，8月计费15天：NJXG102-D-03、NJXG102-D-04、NJXG102-D-05、NJXG102-D-06、NJXG102-D-07、NJXG102-D-08、NJXG102-D-09、NJXG102-D-10、NJXG102-D-11、NJXG102-E-01、NJXG102-E-02、NJXG102-E-03、NJXG102-E-04</t>
  </si>
  <si>
    <t>2021/10/3开通，10月计费29天：NJXG102-C-03、NJXG102-C-04、NJXG102-C-05、NJXG102-C-06、NJXG102-C-07、NJXG102-C-08、NJXG102-C-09、NJXG102-C-10、NJXG102-C-11、NJXG102-C-12、NJXG102-C-13、NJXG102-C-14、NJXG102-E-05、NJXG102-E-06、NJXG102-E-07、NJXG102-E-08、NJXG102-E-09、NJXG102-E-10、NJXG102-E-11、NJXG102-E-12、NJXG102-E-13、NJXG102-E-14、NJXG102-F-13</t>
  </si>
  <si>
    <t>L20230311026</t>
  </si>
  <si>
    <t>徐州机房</t>
  </si>
  <si>
    <t>徐州联通二级</t>
  </si>
  <si>
    <t>CDNXZUN</t>
  </si>
  <si>
    <t>历史累计开通</t>
  </si>
  <si>
    <t>从2022.9.1开始收费。
XZUN5F-2A-01、XZUN5F-2A-02、XZUN5F-2A-03、XZUN5F-2A-04、XZUN5F-2A-05、XZUN5F-2A-06、XZUN5F-2A-07、XZUN5F-2A-08、XZUN5F-2A-09、XZUN5F-2A-10、XZUN5F-2A-11</t>
  </si>
  <si>
    <t>从2022.9.1开始收费。XZUN5F-2A-08、XZUN5F-2A-09、XZUN5F-2A-10、XZUN5F-2A-11、XZUN5F-2A-06</t>
  </si>
  <si>
    <t>2022.8根据退租邮件与运营商核对存量资源，前期使用256个IP，均免费，补录计提表112.84.34.0/24</t>
  </si>
  <si>
    <t>免费256个，实际使用288，超过部分按20元/个/月：112.85.243.0/24</t>
  </si>
  <si>
    <t>免费256个，实际使用288，超过部分按20元/个/月：218.98.32.160/27</t>
  </si>
  <si>
    <t>112.85.243.0/24</t>
  </si>
  <si>
    <t>徐州2联通</t>
  </si>
  <si>
    <t>CDNXZUN2</t>
  </si>
  <si>
    <t>【BEC新建】徐州联通新增100G 节点正式上线  (XZ2UN)，开通18个机柜，13个收费，5个免费：BECXZ2UN2F-2C-F10、BECXZ2UN2F-2C-F11、BECXZ2UN2F-2C-F12、BECXZ2UN2F-2C-F13、BECXZ2UN2F-2C-F14、BECXZ2UN2F-2C-F15、BECXZ2UN2F-2C-F16、BECXZ2UN2F-2C-F17、BECXZ2UN2F-2C-F18、BECXZ2UN2F-2C-F19、BECXZ2UN2F-2C-E17、BECXZ2UN2F-2C-E18、BECXZ2UN2F-2C-E19</t>
  </si>
  <si>
    <t>【BEC新建】徐州联通新增100G 节点正式上线  (XZ2UN)，开通18个机柜，13个收费，5个免费：BECXZ2UN2F-2C-F5、BECXZ2UN2F-2C-F6、BECXZ2UN2F-2C-F7、BECXZ2UN2F-2C-F8、BECXZ2UN2F-2C-F9</t>
  </si>
  <si>
    <t>【BEC新建】徐州联通新增100G 节点正式上线  (XZ2UN)：IPV4使用288个，免费256个，收费32个：122.192.154.0/25；218.98.33.128/25；221.6.211.160/27</t>
  </si>
  <si>
    <t>苏州太湖三线-江苏联通</t>
  </si>
  <si>
    <t>182115IDC00520</t>
  </si>
  <si>
    <t>苏州太湖三线-联通</t>
  </si>
  <si>
    <t>SZTH-CU-ST-1</t>
  </si>
  <si>
    <t>2021/9/14开通苏州太湖三线，免费512个，收费1792个
103.45.72.0/24
103.45.73.0/24
103.45.74.0/24
103.45.75.0/24
103.211.221.0/24
103.211.222.0/24
120.72.52.0/24</t>
  </si>
  <si>
    <t>2022/7/6 SZTH-联通CDN 新增512个IP：112.81.85.0/24、
153.37.233.0/24</t>
  </si>
  <si>
    <t>苏州三级联通</t>
  </si>
  <si>
    <t>2021/9/14开通苏州太湖三线，免费512个，收费1792个
IPV4已使用：43.226.164.0/24；预留段：43.226.167.0/24（预留段运营商也要收费）
IPV6：2408:873D:1200::/48</t>
  </si>
  <si>
    <t>CDN退租预留IP：43.226.167.0/24</t>
  </si>
  <si>
    <t>边缘计算，114.112.200.0/24</t>
  </si>
  <si>
    <t>边缘计算退租IP：114.112.200.0/24</t>
  </si>
  <si>
    <t>182115IDC00633</t>
  </si>
  <si>
    <t>南京新港二期（1.2期）（109-111）</t>
  </si>
  <si>
    <t>2021/9/26开通，计费5天：NJXG109-B-13、NJXG109-B-14、NJXG109-G-14、NJXG109-G-15、NJXG109-H-01、NJXG110-A-01、NJXG110-B-15、NJXG110-B-16、NJXG111-D-01、NJXG111-D-02、NJXG111-G-01、NJXG111-G-02、NJXG111-H-16</t>
  </si>
  <si>
    <t>2021/9/26开通，计费5天：NJXG111-C-10、NJXG111-C-11、NJXG111-C-12、NJXG111-C-13、NJXG111-C-14、NJXG111-C-15、NJXG111-C-16、NJXG111-C-17、NJXG111-C-18、NJXG111-D-03、NJXG111-D-04、NJXG111-D-05、NJXG111-D-06、NJXG111-D-07、NJXG111-D-08、NJXG111-D-09、NJXG111-D-10、NJXG111-D-11、NJXG111-D-12、NJXG111-D-13、NJXG111-D-14、NJXG111-E-01、NJXG111-E-02、NJXG111-E-03、NJXG111-E-04、NJXG111-E-05、NJXG111-E-06、NJXG111-E-07、NJXG111-E-08、NJXG111-E-09、NJXG111-E-10、NJXG111-E-11、NJXG111-E-12、NJXG111-E-13、NJXG111-E-14、NJXG111-E-15、NJXG111-E-16、NJXG111-F-01、NJXG111-F-02、NJXG111-F-03、NJXG111-F-04、NJXG111-F-05、NJXG111-F-06、NJXG110-B-01、NJXG110-B-02、NJXG110-B-03、NJXG110-B-04、NJXG110-B-05、NJXG110-B-06、NJXG110-C-02、NJXG110-C-03、NJXG110-C-04、NJXG110-C-05、NJXG110-C-06、NJXG110-D-02、NJXG110-D-03、NJXG110-D-04、NJXG110-D-05、NJXG110-D-06、NJXG110-D-07、NJXG110-D-08、NJXG110-D-09、NJXG110-D-10、NJXG110-D-11、NJXG110-D-12、NJXG110-D-13、NJXG111-B-09、NJXG111-B-10、NJXG110-C-01、NJXG109-A-01、NJXG109-A-02、NJXG109-A-03、NJXG109-A-04、NJXG109-A-05、NJXG109-A-06、NJXG109-A-09、NJXG109-A-10、NJXG109-A-11、NJXG109-A-12、NJXG109-A-13、NJXG109-A-14、NJXG109-A-15、NJXG109-A-16、NJXG109-A-17、NJXG109-A-18、NJXG109-B-01、NJXG109-B-02、NJXG109-B-03、NJXG109-B-04、NJXG109-B-05、NJXG109-B-06、NJXG109-B-07、NJXG109-B-08、NJXG109-E-01、NJXG109-E-02、NJXG109-E-03、NJXG109-E-04、NJXG109-E-05、NJXG109-E-06、NJXG109-E-07、NJXG109-E-08、NJXG109-E-09、NJXG109-E-10、NJXG109-E-11、NJXG109-E-12、NJXG109-E-13、NJXG109-E-14、NJXG109-E-15、NJXG109-E-16、NJXG109-F-01、NJXG109-F-02、NJXG109-F-03、NJXG109-F-04、NJXG109-F-05、NJXG109-F-06、NJXG109-F-07、NJXG109-F-08、NJXG109-F-09、NJXG109-F-10、NJXG109-F-11、NJXG109-F-12、NJXG109-F-13、NJXG109-F-14、NJXG109-F-15、NJXG109-F-16、NJXG109-F-17、NJXG109-F-18、NJXG109-G-01、NJXG109-G-02、NJXG109-G-03、NJXG109-G-04、NJXG109-A-07、NJXG109-A-08、NJXG109-B-09、NJXG109-B-10、NJXG109-B-11</t>
  </si>
  <si>
    <t>2021/9/26开通，9月计费5天：NJXG109-G-05、NJXG109-G-06、NJXG109-G-07、NJXG109-G-08、NJXG109-G-09、NJXG109-G-10、NJXG109-G-11、NJXG109-G-12、NJXG109-G-13、NJXG109-H-02、NJXG109-H-03、NJXG109-H-04、NJXG109-H-05、NJXG109-H-06、NJXG109-H-07、NJXG109-H-08、NJXG109-H-10、NJXG109-H-11、NJXG109-H-12、NJXG109-H-13、NJXG109-H-14、NJXG109-H-15、NJXG109-H-16、NJXG110-A-02、NJXG110-A-03、NJXG110-A-04、NJXG110-A-05、NJXG110-A-06、NJXG110-A-07、NJXG110-A-08、NJXG110-A-09、NJXG110-A-10、NJXG110-A-11、NJXG110-A-12、NJXG110-A-13、NJXG110-A-14、NJXG110-A-15、NJXG110-B-07、NJXG110-B-08、NJXG110-B-09、NJXG110-B-10、NJXG111-B-11、NJXG111-B-12、NJXG111-B-13、NJXG111-B-14、NJXG111-C-01、NJXG111-C-02、NJXG111-C-03、NJXG111-C-04、NJXG111-C-05、NJXG111-C-06、NJXG111-C-07、NJXG111-C-08、NJXG111-C-09</t>
  </si>
  <si>
    <t>2021/9/28开通，9月计费3天：NJXG109-H-09、NJXG110-B-11、NJXG110-B-12、NJXG110-B-13、NJXG110-B-14、NJXG111-A-01、NJXG111-A-02、NJXG111-A-03、NJXG111-A-04、NJXG111-A-05、NJXG111-A-06、NJXG111-A-07、NJXG111-A-08、NJXG111-A-09、NJXG111-A-10、NJXG111-A-11、NJXG111-A-12、NJXG111-A-13、NJXG111-A-14、NJXG111-A-15、NJXG111-A-16、NJXG111-A-17、NJXG111-A-18、NJXG111-B-03、NJXG111-B-05、NJXG111-B-06、NJXG111-B-07、NJXG111-B-08、NJXG111-F-16、NJXG111-F-17、NJXG111-F-18、NJXG111-G-03、NJXG111-G-04、NJXG111-G-05、NJXG111-G-06、NJXG111-G-07、NJXG111-G-08、NJXG111-G-09、NJXG111-G-10、NJXG111-G-11、NJXG111-G-12、NJXG111-G-13、NJXG111-G-14、NJXG111-G-15、NJXG111-H-01、NJXG111-H-02、NJXG111-H-03、NJXG111-H-04、NJXG111-H-05、NJXG111-H-06、NJXG111-H-07、NJXG111-H-08、NJXG111-H-09</t>
  </si>
  <si>
    <t>2021/9/26开通：NJXG111-F-07、
NJXG111-F-08、
NJXG111-F-09、
NJXG111-F-10、
NJXG111-F-11、
NJXG111-F-12、
NJXG111-F-13、
NJXG111-F-14、
NJXG111-F-15</t>
  </si>
  <si>
    <t>2021/10/2开通，计费30天：NJXG111-H-10</t>
  </si>
  <si>
    <t>2021/10/30开通，计费2天：NJXG111-H-11、NJXG111-H-12</t>
  </si>
  <si>
    <t>2021/11/19开通机架，11月计费12天：NJXG109-D-13、NJXG109-D-14、NJXG111-B-01、NJXG111-B-02</t>
  </si>
  <si>
    <t>2021/11/19开通机架，11月计费12天：NJXG111-B-04、NJXG111-H-13、NJXG111-H-14、NJXG111-H-15</t>
  </si>
  <si>
    <t>NJXG109-C-11
NJXG109-C-12
NJXG109-C-13
NJXG109-C-14
NJXG109-C-15
NJXG109-C-16
NJXG109-C-17
NJXG109-C-18
NJXG109-D-09
NJXG109-D-10
NJXG109-D-11
NJXG109-C-01
NJXG109-C-02
NJXG109-C-03
NJXG109-C-04
NJXG109-C-05
NJXG109-C-06
NJXG109-C-07
NJXG109-C-08
NJXG109-C-09
NJXG109-C-10</t>
  </si>
  <si>
    <t>NJXG109-D-01
NJXG109-D-02
NJXG109-D-03
NJXG109-D-04
NJXG109-D-05
NJXG109-D-06
NJXG109-D-07
NJXG109-D-08</t>
  </si>
  <si>
    <t>NJXG109-C-01、NJXG109-C-02、NJXG109-C-03、NJXG109-C-04、NJXG109-C-05、NJXG109-C-06、NJXG109-C-07、NJXG109-C-08、NJXG109-C-09、NJXG109-C-10、NJXG109-C-11、NJXG109-C-12、NJXG109-C-13、NJXG109-C-14、NJXG109-C-15、NJXG109-C-16、NJXG109-C-17、NJXG109-C-18、NJXG109-D-01、NJXG109-D-02、NJXG109-D-03、NJXG109-D-04、NJXG109-D-05、NJXG109-D-06、NJXG109-D-07、NJXG109-D-08、NJXG109-D-09、NJXG109-D-10、NJXG109-D-11</t>
  </si>
  <si>
    <t>南京新港二期（1.2期）机房112-114房间</t>
  </si>
  <si>
    <t>NJXG112-A-15
NJXG113-G-01
NJXG114-H-01
NJXG112-D-01
NJXG112-D-02
NJXG113-C-13
NJXG113-C-14
NJXG114-A-13
NJXG114-A-14
NJXG114-D-13
NJXG114-D-14
NJXG113-E-13
NJXG113-E-14</t>
  </si>
  <si>
    <t>NJXG113-C-10
NJXG113-C-11
NJXG113-C-12
NJXG113-D-01
NJXG113-D-02
NJXG113-D-03
NJXG113-D-04
NJXG113-D-05
NJXG113-D-06
NJXG113-D-07
NJXG113-D-08
NJXG113-D-09
NJXG113-D-10
NJXG113-D-11
NJXG113-E-07
NJXG113-E-08
NJXG113-E-09
NJXG113-E-10
NJXG113-E-11
NJXG113-E-12
NJXG113-F-01
NJXG113-F-02
NJXG113-F-03
NJXG113-F-04
NJXG113-F-05
NJXG113-F-06
NJXG113-F-07
NJXG113-F-08
NJXG113-F-09
NJXG113-F-10
NJXG113-F-11
NJXG113-F-12
NJXG113-G-02
NJXG113-G-03
NJXG113-G-04
NJXG113-G-05
NJXG113-G-06
NJXG113-G-07
NJXG113-G-08
NJXG113-G-09
NJXG113-G-10
NJXG113-G-11
NJXG112-B-01
NJXG112-B-02
NJXG112-B-03
NJXG112-B-07
NJXG112-B-08
NJXG112-B-09
NJXG112-C-13
NJXG112-C-14
NJXG112-C-15
NJXG112-C-16
NJXG112-A-03
NJXG112-A-04
NJXG112-A-05
NJXG112-A-06
NJXG112-A-07
NJXG112-A-08
NJXG112-A-09
NJXG112-A-10
NJXG112-A-11
NJXG112-A-12
NJXG112-A-13
NJXG112-A-14
NJXG114-F-09
NJXG114-F-10
NJXG114-F-11
NJXG114-F-12
NJXG114-F-13
NJXG114-F-14
NJXG112-B-04
NJXG112-B-05
NJXG112-B-06
NJXG112-C-01
NJXG112-C-02
NJXG112-C-03
NJXG112-C-04
NJXG112-C-05
NJXG112-C-06
NJXG112-C-07
NJXG112-C-08
NJXG112-C-09
NJXG112-C-10
NJXG112-C-11
NJXG112-C-12
NJXG112-C-17
NJXG112-C-18
NJXG112-B-13
NJXG112-B-14
NJXG112-B-15
NJXG112-B-16
NJXG112-D-03
NJXG112-D-04
NJXG112-D-05
NJXG112-D-06
NJXG112-D-07
NJXG112-F-11
NJXG112-F-12
NJXG112-F-13
NJXG112-F-14
NJXG112-F-15
NJXG112-F-16
NJXG112-F-17
NJXG112-F-18</t>
  </si>
  <si>
    <t>NJXG112-B-10
NJXG112-B-11
NJXG112-B-12</t>
  </si>
  <si>
    <t>NJXG112-D-08、NJXG112-D-09</t>
  </si>
  <si>
    <t>NJXG114-F-07、NJXG114-F-08</t>
  </si>
  <si>
    <t>NJXG112-D-10、NJXG112-D-11、NJXG112-D-12、NJXG112-D-13、NJXG112-D-14</t>
  </si>
  <si>
    <t>NJXG112-E-15、NJXG112-E-16</t>
  </si>
  <si>
    <t>NJXG112-E-01、NJXG112-E-02、NJXG112-E-03、NJXG112-E-04、NJXG112-E-05、NJXG112-E-06、NJXG112-E-07、NJXG112-E-08、NJXG112-E-09、NJXG112-E-10、NJXG112-E-11、NJXG112-E-12</t>
  </si>
  <si>
    <t>NJXG112-F-01、NJXG112-F-02、NJXG112-F-03、NJXG112-F-04、NJXG112-F-05、NJXG112-F-06、NJXG112-F-07、NJXG112-F-08、NJXG112-F-09、NJXG112-F-10、NJXG114-A-01、NJXG114-A-02、NJXG114-A-03、NJXG114-A-04、NJXG114-A-05、NJXG114-A-06、NJXG114-A-07、NJXG114-A-08、NJXG114-A-09、NJXG114-A-10、NJXG114-A-11、NJXG114-A-12、NJXG114-B-01、NJXG114-B-02、NJXG114-B-03、NJXG114-B-04、NJXG114-B-05、NJXG114-B-06、NJXG114-B-07、NJXG114-B-08</t>
  </si>
  <si>
    <t>NJXG114-B-09、NJXG114-B-10</t>
  </si>
  <si>
    <t>NJXG114-G-01、NJXG114-G-02、NJXG114-G-03、NJXG114-G-04、NJXG114-G-05、NJXG114-G-06、NJXG114-G-07、NJXG114-G-08、NJXG114-G-09、NJXG114-G-10、NJXG114-G-11、NJXG114-G-12、NJXG114-H-02、NJXG114-H-03、NJXG114-H-04</t>
  </si>
  <si>
    <t>NJXG113-E-06</t>
  </si>
  <si>
    <t>NJXG111-B-01、NJXG111-B-02</t>
  </si>
  <si>
    <t>NJXG111-B-01、NJXG111-B-02、NJXG114-G-13、NJXG114-G-14</t>
  </si>
  <si>
    <t>南京新港二期</t>
  </si>
  <si>
    <t>自2021年8月26日起计算起租计划，2022年8月25日前起租达交付机柜数量的30%，2023年8月25日前起租达交付机柜数量的60%，2024年8月25日前起租达交付机柜数量的90%。预留机柜总数的10%不做起租要求。如果上述时间上架数量达不到承诺数量，则对未上电机架部分，按照5280元/月/机柜标准收取空置费。</t>
  </si>
  <si>
    <t>L20220910007</t>
  </si>
  <si>
    <t>南京凤凰(郭家山)NJ02</t>
  </si>
  <si>
    <t>2022.11调整单价。201910由南京电信转签至江苏联通：NJ022F-A-01、NJ022F-A-02、NJ022F-A-03、NJ022F-A-04、NJ022F-A-05、NJ022F-A-06、NJ022F-A-07、NJ022F-A-08、NJ022F-A-09、NJ022F-A-10、NJ022F-A-11、NJ022F-A-12、NJ022F-A-13、NJ022F-A-14、NJ022F-A-15、NJ022F-A-16、NJ022F-A-17、NJ022F-A-18、NJ022F-A-19、NJ022F-A-20、NJ022F-A-21、NJ022F-A-22、NJ022F-A-23、NJ022F-A-24、NJ022F-A-25、NJ022F-A-26、NJ022F-A-27、NJ022F-A-28、NJ022F-A-29、NJ022F-A-30、NJ022F-A-31、NJ022F-A-32、NJ022F-A-33、NJ022F-B-01、NJ022F-B-02、NJ022F-B-03、NJ022F-B-04、NJ022F-B-05、NJ022F-B-06、NJ022F-B-07、NJ022F-B-08、NJ022F-B-09、NJ022F-B-10、NJ022F-B-11、NJ022F-B-12、NJ022F-B-13、NJ022F-B-14、NJ022F-B-15、NJ022F-B-16、NJ022F-B-17、NJ022F-B-18、NJ022F-B-19、NJ022F-B-20、NJ022F-B-21、NJ022F-B-22、NJ022F-B-23、NJ022F-B-24、NJ022F-B-25、NJ022F-B-26、NJ022F-C-01、NJ022F-C-02、NJ022F-C-03、NJ022F-C-04、NJ022F-C-05、NJ022F-C-06、NJ022F-C-07、NJ022F-C-08、NJ022F-C-09、NJ022F-C-10、NJ022F-C-11、NJ022F-C-12、NJ022F-C-13、NJ022F-C-14、NJ022F-C-15、NJ022F-C-16、NJ022F-C-17、NJ022F-C-18、NJ022F-C-19、NJ022F-C-20、NJ022F-C-21、NJ022F-C-22、NJ022F-C-23、NJ022F-C-24、NJ022F-C-25、NJ022F-C-26、NJ022F-D-01、NJ022F-D-02、NJ022F-D-03、NJ022F-D-04、NJ022F-D-05、NJ022F-D-06、NJ022F-D-07、NJ022F-D-08、NJ022F-D-09、NJ022F-D-10、NJ022F-D-11、NJ022F-D-12、NJ022F-D-13、NJ022F-D-14、NJ022F-D-15、NJ022F-D-16、NJ022F-D-17、NJ022F-D-18、NJ022F-D-19、NJ022F-D-20、NJ022F-D-21、NJ022F-D-22、NJ022F-D-23、NJ022F-D-24、NJ022F-D-25、NJ022F-D-26、NJ022F-D-27、NJ022F-D-28、NJ022F-D-29、NJ022F-D-30、NJ022F-D-31、NJ022F-D-32、NJ022F-D-33、NJ022F-E-01、NJ022F-E-02、NJ022F-E-03、NJ022F-E-04、NJ022F-E-05、NJ022F-E-06、NJ022F-E-07、NJ022F-E-08、NJ022F-E-09、NJ022F-E-10、NJ022F-E-11、NJ022F-E-12、NJ022F-E-13、NJ022F-E-14、NJ022F-E-15、NJ022F-E-16、NJ022F-E-17、NJ022F-E-18、NJ022F-E-19、NJ022F-E-20、NJ022F-E-21、NJ022F-E-22、NJ022F-E-23、NJ022F-E-24、NJ022F-E-25、NJ022F-E-26、NJ022F-E-27、NJ022F-F-01、NJ022F-F-02、NJ022F-F-03、NJ022F-F-04、NJ022F-F-05、NJ022F-F-06、NJ022F-F-07、NJ022F-F-08、NJ022F-F-09、NJ022F-F-10、NJ022F-F-11、NJ022F-F-12、NJ022F-F-13、NJ022F-F-14、NJ022F-F-15、NJ022F-F-16、NJ022F-F-17、NJ022F-F-18、NJ022F-F-19、NJ022F-F-20、NJ022F-F-21、NJ022F-F-22、NJ022F-F-23、NJ022F-F-24、NJ022F-F-25、NJ022F-F-26、NJ022F-F-27、NJ022F-F-28、NJ022F-F-29、NJ022F-F-30、NJ022F-F-31、NJ022F-F-32、NJ022F-F-33、NJ022F-I-01、NJ022F-I-02、NJ022F-I-03、NJ022F-I-04、NJ022F-I-05、NJ022F-I-06、NJ022F-I-07、NJ022F-I-08、NJ022F-I-09、NJ022F-I-10、NJ022F-I-11、NJ022F-I-12、NJ022F-I-13、NJ022F-I-14、NJ022F-I-15、NJ022F-I-16、NJ022F-I-17、NJ022F-I-18、NJ022F-I-19、NJ022F-I-20、NJ022F-I-21、NJ022F-I-22、NJ022F-I-23、NJ022F-I-24、NJ022F-I-25、NJ022F-I-26、NJ022F-I-27、NJ022F-I-28、NJ022F-I-29、NJ022F-I-30、NJ022F-I-31、NJ022F-I-32、NJ022F-I-33</t>
  </si>
  <si>
    <t>2022.11调整单价。NJ022F-B-11、NJ022F-C-01、NJ022F-D-24、NJ022F-D-28、NJ022F-D-30、NJ022F-D-33</t>
  </si>
  <si>
    <t>L20230107007</t>
  </si>
  <si>
    <t>免费提供IP地址南京12个C，共计3072个IP；超出部分按50元/个/月</t>
  </si>
  <si>
    <t>苏州 SZWG</t>
  </si>
  <si>
    <t>2022.2单价调整为35元。免费提供IP地址苏州2个C，共计512个IP；超出部分按50元/个/月。实际使用6个C，收费4个C，从2021.1开始计费
实际使用6个C：153.37.235.0/24、153.37.236.0/24、157.0.145.0/24、157.0.146.0/24、157.0.147.0/24、157.0.148.0/24</t>
  </si>
  <si>
    <t>免费提供IP地址苏州2个C，共计512个IP；超出部分按50元/个/月。实际使用6个C，收费4个C，从2021.1开始计费
实际使用6个C：153.37.235.0/24、153.37.236.0/24、157.0.145.0/24、157.0.146.0/24、157.0.147.0/24、157.0.148.0/24</t>
  </si>
  <si>
    <t>IP代播</t>
  </si>
  <si>
    <t>南京凤凰机房</t>
  </si>
  <si>
    <t xml:space="preserve">2个C </t>
  </si>
  <si>
    <t>2个C IP代播：106.13.250.0/23</t>
  </si>
  <si>
    <t>2个C IP代播：106.12.250.0/23</t>
  </si>
  <si>
    <t xml:space="preserve">4个C </t>
  </si>
  <si>
    <t>4个C IP代播：114.110.96.0/22</t>
  </si>
  <si>
    <t xml:space="preserve">36个C </t>
  </si>
  <si>
    <t>2022.2开始36个C IP代播免费：
•	122.248.48.0/22
•	122.248.52.0/22
•	122.248.56.0/22
•	114.110.100.0/22
•	114.110.104.0/22
•	114.110.108.0/22
•	122.248.60.0/22
•	202.181.112.0/22
•	202.181.116.0/22</t>
  </si>
  <si>
    <t>L20230311004</t>
  </si>
  <si>
    <t>【BEC扩容】徐州2联通 (XZ2UN)新增64个IP：112.84.125.192/26</t>
  </si>
  <si>
    <t>L20230311005</t>
  </si>
  <si>
    <t>【BEC新建】常州三线移动(CZIXCM)新增80个IP：36.154.11.64/26、36.153.95.112/28</t>
  </si>
  <si>
    <t>上海</t>
  </si>
  <si>
    <t>鹏博士大数据有限公司上海分公司</t>
  </si>
  <si>
    <t>上海鹏博士</t>
  </si>
  <si>
    <t>182215IDC00486</t>
  </si>
  <si>
    <t>SHPBS</t>
  </si>
  <si>
    <t>2022.7调整单价。上海鹏博士第二POP机房3个机架：MD01-E03、MD01-E04、MD01-E05</t>
  </si>
  <si>
    <t>2022.7调整单价。上海鹏博士第二POP机房2个机架：MD01-E-06、MD01-E-07</t>
  </si>
  <si>
    <t>MD01-E04机柜至JRJ02-A07机柜 （汇枫）跳纤</t>
  </si>
  <si>
    <t>上海鹏博士pop计费，2021/4/27：1对跳纤，从MD01-E04机柜至JRJ02-A07机柜 （汇枫） 即：鹏博士-苏州太湖</t>
  </si>
  <si>
    <t>MD01-E04机柜至鹏博士光交箱宽度网络R盘</t>
  </si>
  <si>
    <t>上海鹏博士pop计费，2021/4/27：1对跳纤，从MD01-E04机柜至鹏博士光交箱宽度网络R盘 即：鹏博士-苏州太湖</t>
  </si>
  <si>
    <t>MD01-E06至接入间A07</t>
  </si>
  <si>
    <t>上海鹏博士pop计费，2021/5/14：10对跳纤，从MD01-E06至接入间A07 即：鹏博士-拼多多互联。5月计费18天</t>
  </si>
  <si>
    <t>2022/12/22退租4条，鹏博士光纤编号：QX002262、QX002263、QX002268、QX002269</t>
  </si>
  <si>
    <t>联通-MD01-E06</t>
  </si>
  <si>
    <t>新增双芯LC，从联通到MD01-E06，暂按运营商开通时间计提</t>
  </si>
  <si>
    <t>2022/12/22退租，鹏博士光纤编号QX002299。新增双芯LC，从联通到MD01-E06，暂按运营商开通时间计提</t>
  </si>
  <si>
    <t>二楼接入间/A07 汇枫网络至MD01-E06机柜</t>
  </si>
  <si>
    <t>新增1对芯，从二楼接入间/A07 汇枫网络至MD01-E06机柜</t>
  </si>
  <si>
    <t>从JRJ01-A01联通至MD01-E05</t>
  </si>
  <si>
    <t>集度专线楼内跳纤费用：从JRJ01-A01联通至MD01-E05</t>
  </si>
  <si>
    <t>上海普鼎数据科技有限公司</t>
  </si>
  <si>
    <t>普鼎数据</t>
  </si>
  <si>
    <t>182115IDC00537</t>
  </si>
  <si>
    <t>普洛斯苏州常熟东南数据中心</t>
  </si>
  <si>
    <t>CSJSCSPLS</t>
  </si>
  <si>
    <t>普罗斯至苏州太湖无锡太科园传输机柜，从2021/8/1开始计费
2021年7月22日开通：CSJSCSPLSA1-1-1、
CSJSCSPLSA1-1-2、
2021年8月1日开通：CSJSCSPLSA55-1-1、
CSJSCSPLSA55-1-2</t>
  </si>
  <si>
    <t>万国数据服务有限公司</t>
  </si>
  <si>
    <t>万国2017合约</t>
  </si>
  <si>
    <t>181915IDC00287</t>
  </si>
  <si>
    <t>IDC机架 普通机柜</t>
  </si>
  <si>
    <t>苏州昆山</t>
  </si>
  <si>
    <t>SZWG</t>
  </si>
  <si>
    <t>IDC机架 核心机柜</t>
  </si>
  <si>
    <t>双方同意自2019年7月1日起截至服务合同期满或提前终止日，于每半年对于因市场电力单价变动导致的电力费用变动进行结算并于结算后3个月内通过增减机架服务费形式进行调整</t>
  </si>
  <si>
    <t>IDC机架 外网核心</t>
  </si>
  <si>
    <t>41A</t>
  </si>
  <si>
    <t>IDC机架 标准机柜</t>
  </si>
  <si>
    <t>6月新增：SZWG301-B-01~10,SZWG303-C-11</t>
  </si>
  <si>
    <t>7月新增：SZWG301-C-01~07</t>
  </si>
  <si>
    <t>19.7.21新增1个，SZWG403-E-04</t>
  </si>
  <si>
    <t>19.8.16月新增4个：SZWG202-A-03~06</t>
  </si>
  <si>
    <t>19.8.21月新增2个：SZWG301-C-09、SZWG301-C-10</t>
  </si>
  <si>
    <t>19.8.21月新增1个：SZWG403-E-05</t>
  </si>
  <si>
    <t>19.8.31新增4个：SZWG202-A-07 SZWG202-A-08 SZWG202-A-09 SZWG202-A-10</t>
  </si>
  <si>
    <t>SZWG204-G-11</t>
  </si>
  <si>
    <t>SZWG403-F-01~SZWG403-F-22；SZWG403-G-01~SZWG403-G-07</t>
  </si>
  <si>
    <t>SZWG202-A-11、SZWG202-A-12</t>
  </si>
  <si>
    <t>SZWG202-A-13、SZWG202-A-14、SZWG202-A-15、SZWG202-A-16、SZWG202-A-17、SZWG202-A-18、SZWG202-A-19、SZWG202-A-20、SZWG202-A-21、SZWG202-A-22</t>
  </si>
  <si>
    <t>SZWG202-B-01、SZWG202-B-02</t>
  </si>
  <si>
    <t>SZWG301-C-13、SZWG301-C-14、SZWG301-C-15、SZWG301-C-16</t>
  </si>
  <si>
    <t>SZWG403-E-06、SZWG403-E-07、SZWG403-E-08、SZWG403-E-09、SZWG403-E-10、SZWG403-E-11、SZWG403-E-12、SZWG403-E-13、SZWG403-E-14</t>
  </si>
  <si>
    <t>SZWG202-B-03、SZWG202-B-04、SZWG202-B-05、SZWG202-B-06</t>
  </si>
  <si>
    <t>SZWG403-D-10、SZWG403-D-11、SZWG403-D-12</t>
  </si>
  <si>
    <t>2020/6/1开通，6月整月计费
SZWG403-D-08</t>
  </si>
  <si>
    <t>2020/7/21开通，7月计费11天：SZWG301-C-17、SZWG301-C-18</t>
  </si>
  <si>
    <t>2020/11/2开通，计费29天：SZWG301-B-11</t>
  </si>
  <si>
    <t>2020/11/5开通，计费26天：SZWG301-D-01、SZWG301-D-02</t>
  </si>
  <si>
    <t>2020/11/17开通，计费14天：SZWG303-C-19</t>
  </si>
  <si>
    <t>2020/11/19开通，计费12天：SZWG303-C-20</t>
  </si>
  <si>
    <t>2020/12/1开通，整月计费
SZWG403-E-15、SZWG403-E-16、SZWG403-E-17、SZWG403-E-18、SZWG403-E-19、SZWG403-E-20、SZWG403-E-21、SZWG403-E-22</t>
  </si>
  <si>
    <t>2020/12/28开通，计费4天：SZWG303-C-21、SZWG303-C-22</t>
  </si>
  <si>
    <t>2021/1/13开通，计费19天：
SZWG301-D-05、SZWG301-D-08、SZWG301-D-09、SZWG301-D-03、SZWG301-D-04、SZWG301-D-07、SZWG301-D-06</t>
  </si>
  <si>
    <t>2021/1/27开通，计费5天：SZWG301-E-01、SZWG301-E-02、SZWG301-E-03、SZWG301-E-04</t>
  </si>
  <si>
    <t>2021/1/29开通，计费3天：SZWG301-D-10、SZWG301-D-13、SZWG301-D-18、SZWG301-D-21、SZWG301-D-14、SZWG301-D-17、SZWG301-D-22、SZWG301-D-19、SZWG301-D-20</t>
  </si>
  <si>
    <t>2021/2/1转签至上海联通
SZWG201-G-05、SZWG201-H-06、SZWG201-E-05、SZWG201-F-07、SZWG201-G-03、SZWG201-D-22、SZWG201-D-21、SZWG201-E-06、SZWG201-E-07、SZWG201-E-08、SZWG201-G-06、SZWG201-G-07、SZWG201-F-05、SZWG201-G-01、SZWG201-G-02、SZWG201-H-05、SZWG201-H-07、SZWG201-H-08、SZWG201-H-10、SZWG201-E-10、SZWG201-E-11、SZWG201-E-01、SZWG201-G-04、SZWG201-H-04、SZWG201-H-01、SZWG201-H-02、SZWG201-H-03、SZWG201-F-02、SZWG201-F-04、SZWG201-F-03、SZWG201-E-09、SZWG201-E-02、SZWG201-E-03、SZWG201-E-04、SZWG201-E-12、SZWG201-F-01、SZWG201-C-22、SZWG201-G-11、SZWG102-F-02、SZWG102-B-01、SZWG102-C-04、SZWG102-D-18、SZWG102-C-21、SZWG102-C-01、SZWG102-C-06、SZWG102-C-03、SZWG102-C-05、SZWG102-B-07、SZWG102-G-12、SZWG102-C-10、SZWG102-C-09、SZWG102-C-15、SZWG102-C-16、SZWG102-C-14、SZWG102-C-13、SZWG102-C-19、SZWG102-C-22、SZWG102-B-05、SZWG102-B-03、SZWG102-C-12、SZWG102-B-10、SZWG102-B-09、SZWG102-D-04、SZWG102-D-01、SZWG102-D-03、SZWG102-D-02、SZWG102-D-14、SZWG102-D-13、SZWG102-D-07、SZWG102-D-10、SZWG102-D-16、SZWG102-D-12、SZWG102-D-08、SZWG102-D-15、SZWG102-G-01、SZWG102-G-02、SZWG102-G-03、SZWG102-G-04、SZWG102-G-05、SZWG102-G-06、SZWG102-G-07、SZWG102-G-08、SZWG102-G-09、SZWG102-C-18、SZWG102-C-20、SZWG102-C-07、SZWG102-C-08、SZWG102-C-02、SZWG102-E-08、SZWG102-E-01、SZWG102-E-04、SZWG102-E-05、SZWG102-E-06、SZWG102-E-07、SZWG102-D-21、SZWG102-E-03、SZWG102-E-02、SZWG102-D-22、SZWG102-E-09、SZWG102-E-10、SZWG102-E-17、SZWG102-B-06、SZWG102-B-08、SZWG102-B-02、SZWG102-B-04、SZWG102-C-17、SZWG102-G-10、SZWG102-D-09、SZWG102-D-20、SZWG102-D-17、SZWG102-D-19、SZWG102-D-05、SZWG102-C-11、SZWG102-D-11、SZWG102-D-06、SZWG102-E-15、SZWG102-E-14、SZWG102-E-13、SZWG102-E-12、SZWG102-E-18、SZWG102-E-16、SZWG102-E-11、SZWG204-C-14、SZWG204-C-13、SZWG204-C-15、SZWG204-C-17、SZWG204-C-16、SZWG204-C-12、SZWG204-D-08、SZWG204-D-07、SZWG204-D-05、SZWG204-D-06、SZWG204-C-09、SZWG204-C-10、SZWG204-C-11、SZWG204-B-08、SZWG204-B-07、SZWG204-C-01、SZWG204-C-06、SZWG204-C-08、SZWG204-C-05、SZWG204-C-07、SZWG204-C-02、SZWG204-D-01、SZWG204-D-03、SZWG204-D-02、SZWG204-D-04、SZWG204-C-18、SZWG204-B-09、SZWG204-B-10、SZWG204-C-04、SZWG204-C-03、SZWG201-G-09、SZWG102-E-20、SZWG102-E-22、SZWG102-E-21、SZWG201-F-06、SZWG201-F-08、SZWG204-B-18、SZWG204-B-19、SZWG204-B-17、SZWG204-B-20、SZWG204-B-15、SZWG204-B-16、SZWG204-B-22、SZWG204-B-21、SZWG102-G-13、SZWG102-G-14、SZWG204-B-14、SZWG101-C-02、SZWG101-C-11、SZWG101-C-04、SZWG101-C-12、SZWG101-C-15、SZWG101-C-06、SZWG101-C-05、SZWG102-G-15、SZWG102-G-16、SZWG101-C-01、SZWG101-C-03、SZWG101-C-08、SZWG101-C-07、SZWG101-C-09、SZWG101-C-10、SZWG101-C-20、SZWG101-C-19、SZWG101-C-18、SZWG101-B-11、SZWG101-C-14、SZWG101-C-16、SZWG101-C-13、SZWG101-C-17、SZWG102-G-17、SZWG102-G-18、SZWG102-G-19、SZWG102-G-20、SZWG204-B-13、SZWG204-B-11、SZWG204-B-12、SZWG102-G-21、SZWG102-G-22、SZWG102-F-01、SZWG201-D-17、SZWG201-D-19、SZWG201-D-18、SZWG201-D-20、SZWG201-D-09、SZWG201-D-10、SZWG201-D-07、SZWG201-D-13、SZWG201-D-14、SZWG201-D-16、SZWG201-D-15、SZWG201-D-06、SZWG201-D-08、SZWG201-C-12、SZWG201-C-13、SZWG201-C-21、SZWG201-D-02、SZWG201-C-17、SZWG201-C-04、SZWG201-D-04、SZWG201-C-07、SZWG201-C-19、SZWG201-D-03、SZWG201-C-01、SZWG201-C-05、SZWG201-C-14、SZWG201-D-01、SZWG201-C-06、SZWG201-C-03、SZWG201-D-05、SZWG201-C-16、SZWG201-C-02、SZWG201-C-08、SZWG201-C-18、SZWG201-C-20、SZWG201-C-15、SZWG103-G-09、SZWG102-B-11、SZWG204-B-01、SZWG204-B-02、SZWG204-B-03、SZWG103-G-05、SZWG102-E-19、SZWG101-C-22、SZWG103-G-12、SZWG103-G-10、SZWG103-G-08、SZWG103-G-04、SZWG103-G-06、SZWG103-G-11、SZWG103-G-07、SZWG103-G-03、SZWG101-C-21、SZWG103-G-01、SZWG103-G-02、SZWG101-G-22、SZWG101-G-21、SZWG101-G-20、SZWG204-B-05、SZWG101-D-11、SZWG101-D-10、SZWG101-D-09、SZWG101-D-12、SZWG101-D-13、SZWG101-D-14、SZWG101-D-03、SZWG101-D-16、SZWG101-D-15、SZWG101-D-19、SZWG101-D-22、SZWG101-D-20、SZWG101-D-21、SZWG101-D-18、SZWG101-D-17、SZWG101-D-07、SZWG101-D-05、SZWG101-D-08、SZWG101-D-06、SZWG204-B-06、SZWG103-B-11、SZWG101-D-01、SZWG101-D-02、SZWG101-D-04、SZWG204-B-04、SZWG101-F-14、SZWG204-D-15、SZWG204-D-17、SZWG204-D-18、SZWG103-F-20、SZWG103-F-21、SZWG103-F-22、SZWG103-G-13、SZWG103-G-16、SZWG103-G-15、SZWG103-G-18、SZWG103-D-06、SZWG103-D-08、SZWG103-D-04、SZWG103-F-02、SZWG103-F-01、SZWG103-F-03、SZWG103-F-04、SZWG103-F-05、SZWG103-F-06、SZWG103-F-08、SZWG103-F-09、SZWG103-F-07、SZWG103-F-18、SZWG103-E-14、SZWG103-E-20、SZWG103-D-22、SZWG103-E-16、SZWG103-D-20、SZWG103-F-14、SZWG103-E-22、SZWG103-D-18、SZWG103-F-16、SZWG103-D-16、SZWG103-C-14、SZWG103-C-16、SZWG103-C-18、SZWG103-C-20、SZWG103-C-22、SZWG103-E-10、SZWG103-E-04、SZWG103-E-08、SZWG103-D-10、SZWG101-B-10、SZWG101-B-08、SZWG101-B-06、SZWG103-D-14、SZWG103-E-18、SZWG103-E-06、SZWG103-E-02、SZWG101-E-10、SZWG103-E-05、SZWG103-G-19、SZWG103-F-19、SZWG103-G-14、SZWG103-G-17、SZWG101-G-01、SZWG101-F-01、SZWG101-F-05、SZWG101-F-04、SZWG101-F-06、SZWG101-F-07、SZWG101-F-03、SZWG101-F-08、SZWG101-F-02、SZWG101-G-03、SZWG101-G-09、SZWG101-G-05、SZWG101-G-07、SZWG101-G-02、SZWG101-G-10、SZWG204-D-12、SZWG204-D-09、SZWG204-D-11、SZWG204-D-10、SZWG204-D-13、SZWG204-D-14、SZWG204-D-16、SZWG103-B-03、SZWG103-B-06、SZWG103-B-04、SZWG103-F-10、SZWG103-E-07、SZWG103-E-09、SZWG103-E-13、SZWG103-E-15、SZWG103-E-21、SZWG103-E-17、SZWG103-E-19、SZWG103-F-13、SZWG103-F-15、SZWG103-F-17、SZWG101-G-17、SZWG101-E-01、SZWG101-E-02、SZWG101-E-03、SZWG101-E-04、SZWG101-G-06、SZWG101-G-04、SZWG101-G-08、SZWG101-E-13、SZWG101-E-15、SZWG101-E-17、SZWG101-E-19、SZWG101-E-21、SZWG101-F-21、SZWG101-F-17、SZWG103-B-10、SZWG103-B-08、SZWG103-C-02、SZWG103-D-01、SZWG103-C-07、SZWG103-C-06、SZWG103-B-09、SZWG103-C-04、SZWG101-E-06、SZWG101-E-05、SZWG103-D-07、SZWG103-D-05、SZWG103-D-03、SZWG103-B-05、SZWG103-B-02、SZWG103-B-01、SZWG103-C-05、SZWG103-C-03、SZWG103-C-10、SZWG103-B-07、SZWG103-D-02、SZWG103-C-08、SZWG103-C-01、SZWG103-C-09、SZWG101-F-15、SZWG101-F-19、SZWG101-F-09、SZWG101-F-13、SZWG101-E-07、SZWG101-E-09、SZWG101-B-03、SZWG101-B-05、SZWG101-B-07、SZWG101-B-09、SZWG101-B-01、SZWG101-G-13、SZWG101-G-15、SZWG101-F-10、SZWG101-F-18、SZWG103-C-15、SZWG101-E-16、SZWG101-B-04、SZWG103-D-19、SZWG101-F-20、SZWG103-D-12、SZWG101-E-14、SZWG101-E-22、SZWG103-C-13、SZWG103-C-12、SZWG103-D-13、SZWG103-C-17、SZWG101-B-02、SZWG103-D-17、SZWG103-C-19、SZWG103-E-01、SZWG103-E-03、SZWG103-D-15、SZWG103-D-09、SZWG101-E-18、SZWG103-E-12、SZWG101-F-16、SZWG101-E-08、SZWG101-E-20、SZWG103-D-11、SZWG103-D-21、SZWG103-C-21、SZWG101-F-22、SZWG103-E-11、SZWG103-C-11、SZWG102-F-07、SZWG102-F-04、SZWG103-G-20、SZWG102-F-12、SZWG102-F-11、SZWG102-F-03、SZWG102-F-05、SZWG102-F-08、SZWG102-F-14、SZWG102-F-10、SZWG102-F-13、SZWG102-F-06、SZWG102-F-09、SZWG103-G-22、SZWG102-F-15、SZWG102-F-19、SZWG102-F-17、SZWG102-F-18、SZWG102-F-21、SZWG102-F-20、SZWG102-F-22、SZWG103-G-21、SZWG102-F-16、SZWG101-G-18、SZWG101-G-14、SZWG101-G-16、SZWG201-H-11、SZWG201-H-12、SZWG204-C-22、SZWG204-C-21、SZWG204-C-20、SZWG204-C-19、SZWG204-D-20、SZWG204-D-19、SZWG204-D-21、SZWG201-G-12、SZWG201-G-08、SZWG201-G-10</t>
  </si>
  <si>
    <t>2021/2/9退租2个机架，冲19天费用：SZWG301-D-21、SZWG301-D-22</t>
  </si>
  <si>
    <t>2021/2/4开通，计费25天：SZWG301-E-05、SZWG301-E-06、SZWG301-E-07、SZWG301-E-08、SZWG301-E-09、SZWG301-E-10、SZWG301-D-15、SZWG301-D-16</t>
  </si>
  <si>
    <t>2021/2/24开通，计费5天：SZWG301-E-19、SZWG301-E-20</t>
  </si>
  <si>
    <t>2021/3/16开通，3月计费16天
SZWG301-F-09、SZWG301-F-10</t>
  </si>
  <si>
    <t>2021/3/19开通，3月计费13天
SZWG301-E-15、SZWG301-E-16、SZWG301-E-17、SZWG301-E-18</t>
  </si>
  <si>
    <t>2021/3/22开通，3月计SZWG301-F-07、SZWG301-F-08、SZWG301-E-13、SZWG301-E-14</t>
  </si>
  <si>
    <t>2021/3/26开通，3月计费6天
SZWG204-E-15、SZWG204-E-16、SZWG204-E-17、SZWG204-E-18</t>
  </si>
  <si>
    <t>2021/4/2开通，4月计费29天：SZWG301-F-01、SZWG301-F-02、SZWG301-F-03、SZWG301-F-04、SZWG301-F-05、SZWG301-F-06、SZWG301-G-09、SZWG301-G-10</t>
  </si>
  <si>
    <t>2021/4/6开通，4月计费25天：SZWG403-C-10、SZWG403-C-13、SZWG403-C-03、SZWG403-C-04、SZWG403-C-05、SZWG403-C-06、SZWG403-C-07、SZWG403-C-08、SZWG403-C-09、SZWG403-C-01、SZWG403-C-02、SZWG403-C-14</t>
  </si>
  <si>
    <t>2021/4/15开通，4月计费16天：SZWG403-G-08、SZWG403-G-09、SZWG403-G-10、SZWG403-G-11、SZWG403-G-12</t>
  </si>
  <si>
    <t>2021/4/20开通，4月计费11天：SZWG403-G-13、SZWG403-G-14、SZWG403-G-15、SZWG403-G-16、SZWG403-G-17、SZWG403-G-18、SZWG403-G-19、SZWG403-G-20、SZWG403-G-21、SZWG403-G-22</t>
  </si>
  <si>
    <t>2021/4/27开通，4月计费4天：SZWG403-B-07、SZWG403-B-08、SZWG403-B-09、SZWG403-B-10、SZWG403-B-11、SZWG403-D-01、SZWG403-D-02、SZWG403-D-03、SZWG403-D-04、SZWG403-D-05、SZWG403-D-06、SZWG403-D-07、SZWG403-D-09</t>
  </si>
  <si>
    <t>2021/5/2开通，5月计费30天：SZWG301-E-11、SZWG301-E-12、SZWG301-F-11、SZWG301-F-12、SZWG301-F-13、SZWG301-F-14</t>
  </si>
  <si>
    <t>2021/5/9开通，5月计费23天：SZWG101-F-12、SZWG101-G-12、SZWG101-E-12</t>
  </si>
  <si>
    <t>2021/5/15开通，5月计费17天：SZWG401-B-11、SZWG402-B-11、SZWG101-G-19</t>
  </si>
  <si>
    <t>2021/5/17开通，5月计费15天：SZWG403-C-15、SZWG403-C-16</t>
  </si>
  <si>
    <t>2021/5/25开通，5月计费7天：SZWG303-D-07、SZWG303-D-08、SZWG303-D-09、SZWG303-D-10、SZWG303-D-15、SZWG303-D-16、SZWG303-D-17、SZWG303-D-18、SZWG303-D-19、SZWG303-D-20、SZWG303-D-21、SZWG303-D-22</t>
  </si>
  <si>
    <t>2021/5/31开通，5月计费1天：SZWG403-C-17、SZWG403-C-18、SZWG403-C-19、SZWG403-C-20、SZWG403-C-21、SZWG403-C-22</t>
  </si>
  <si>
    <t>2021/6/15开通，6月计费16天：SZWG301-C-11、SZWG301-C-12、SZWG301-C-19、SZWG301-C-20、SZWG301-F-17、SZWG301-F-18、SZWG301-C-21、SZWG301-C-22、SZWG301-F-15、SZWG301-F-16</t>
  </si>
  <si>
    <t>2021/7/4开通，7月计费28天：SZWG204-E-19、SZWG204-E-20、SZWG204-E-21、SZWG204-E-22</t>
  </si>
  <si>
    <t>2021/7/5开通机架，7月计费27天：SZWG303-C-17、SZWG303-C-18、SZWG204-E-11、SZWG204-E-12、SZWG204-F-22、SZWG204-F-11、SZWG204-F-12、SZWG204-F-13、SZWG204-F-14、SZWG204-F-15、SZWG204-F-16、SZWG204-F-17、SZWG204-F-18、SZWG204-F-19、SZWG204-F-20、SZWG204-F-21</t>
  </si>
  <si>
    <t>2021/7/26开通机架，7月计费6天：SZWG303-C-15、SZWG303-C-16、SZWG402-F-11、SZWG101-E-11、SZWG101-F-11、SZWG101-G-11、SZWG102-G-11、SZWG103-F-11</t>
  </si>
  <si>
    <t>2021/7/28开通，7月计费4天：SZWG301-G-01、SZWG301-G-02、SZWG301-G-03、SZWG301-G-04、SZWG301-G-05、SZWG301-G-06</t>
  </si>
  <si>
    <t>2021/8/2开通机架，8月计费30天：SZWG103-F-12、SZWG402-F-12</t>
  </si>
  <si>
    <t>2021/11/19开通机架，11月计费12天：SZWG303-D-01、SZWG303-D-02、SZWG303-D-03、SZWG303-D-04、SZWG303-D-05、SZWG303-D-06、SZWG303-D-13、SZWG303-D-14</t>
  </si>
  <si>
    <t>2021/11/22开通机架，11月计费9天：SZWG301-F-19、SZWG301-F-20、SZWG301-F-21、SZWG301-F-22</t>
  </si>
  <si>
    <t>SZWG301-G-07
SZWG301-G-08
SZWG301-G-11
SZWG301-G-12
SZWG301-G-13</t>
  </si>
  <si>
    <t>SZWG301-G-15、SZWG301-G-16、SZWG301-G-17、SZWG301-G-18、SZWG301-G-19、SZWG301-G-20</t>
  </si>
  <si>
    <t>SZWG301-D-11、SZWG301-D-12、SZWG301-G-14、SZWG301-G-21、SZWG301-G-22</t>
  </si>
  <si>
    <t>SZWG403-C-21、SZWG403-C-22</t>
  </si>
  <si>
    <t>IDC机架空置费</t>
  </si>
  <si>
    <t>202105万国2017合约累计开通机架1062个，超过起租要求的1054个，无空置费IDC机架空置费（1054-N）*3000
机房验收6个月甲方承诺开通440个，验收12个月，甲方承诺开通614个，剩余186个不做起租要求，合计共1240个机架</t>
  </si>
  <si>
    <t>SZWG301-D-21</t>
  </si>
  <si>
    <t>SZWG201-F-09、SZWG201-G-13、SZWG201-H-09、SZWG204-E-15、SZWG204-E-16</t>
  </si>
  <si>
    <t>SZWG403-C-11、SZWG403-C-12</t>
  </si>
  <si>
    <t>SZWG204-E-15、SZWG204-E-16</t>
  </si>
  <si>
    <t>SZWG402-B-01、SZWG402-B-02、SZWG402-B-03、SZWG402-B-05、SZWG402-B-06、SZWG401-G-21、SZWG401-G-22</t>
  </si>
  <si>
    <t>SZWG402-B-08</t>
  </si>
  <si>
    <t>SZWG401-G-15、SZWG401-G-17、SZWG401-G-19、SZWG401-G-20、SZWG401-G-18、SZWG401-G-16、SZWG402-B-07</t>
  </si>
  <si>
    <t>SZWG301-E-21、SZWG301-E-22</t>
  </si>
  <si>
    <t>SZWG301-D-11</t>
  </si>
  <si>
    <t>万国</t>
  </si>
  <si>
    <t>L20201026003</t>
  </si>
  <si>
    <t>2020/7/29开通华京路6号90号1楼的北信息间-该楼的404房间光纤</t>
  </si>
  <si>
    <t>L20220126004</t>
  </si>
  <si>
    <t>跳线</t>
  </si>
  <si>
    <t>4对芯</t>
  </si>
  <si>
    <t>跳线一：百度万国-C-04 ODF—304-G2-27U M2---直连缆---302房间SZVWGA-3B-01-23/2U/CE12804；跳线二：百度万国-D-04 ODF—304-G1-27U M2---直连缆---302房间SZVWGA-3B-01-24/2U/CE12804</t>
  </si>
  <si>
    <t>L20221106007</t>
  </si>
  <si>
    <t>唐镇-外高桥</t>
  </si>
  <si>
    <t>CSSHTZPOP</t>
  </si>
  <si>
    <t>2020/11/28开通，11月计费3天：CSSHTZPOP104-B-08。光纤费用计提在中信L20201219002</t>
  </si>
  <si>
    <t>外高桥-日阪路</t>
  </si>
  <si>
    <t>CSSHRBL</t>
  </si>
  <si>
    <t>按照预审合同计提。2020/12/17开通，计费15天：SH7-B-1。 万国日阪路91号，拼多多自建机房。光纤费用计提在中信L20201219002</t>
  </si>
  <si>
    <t>2020/11/28开通，11月计费3天。跳纤费用。光纤费用计提在中信L20201219002</t>
  </si>
  <si>
    <t>按照预审合同计提。2020/12/17开通，计费15天。.跳纤费用。光纤费用计提在中信L20201219002</t>
  </si>
  <si>
    <t>武汉凌盈网络科技有限公司</t>
  </si>
  <si>
    <t>武汉凌盈</t>
  </si>
  <si>
    <t>L20221106001</t>
  </si>
  <si>
    <t>管理费</t>
  </si>
  <si>
    <t>花椒项目酒仙桥侧光纤接入管理费</t>
  </si>
  <si>
    <t>花椒项目酒仙桥侧光纤接入，北京朝阳区酒仙桥路6号院2号楼接入管理服务费</t>
  </si>
  <si>
    <t>L20230327008</t>
  </si>
  <si>
    <t>花椒项目万达广场入楼费</t>
  </si>
  <si>
    <t>花椒项目万达广场接入费，原合同182215IDC00128中的“北京市朝阳区万达广场12号楼2309室一次性接入费”23年继续收取，降价为2万/年，改为按月付费</t>
  </si>
  <si>
    <t>中国电信股份有限公司</t>
  </si>
  <si>
    <t>云堤SSL</t>
  </si>
  <si>
    <t>182215IDC00644</t>
  </si>
  <si>
    <t>防攻击费</t>
  </si>
  <si>
    <t>固定费用</t>
  </si>
  <si>
    <t>DDOS防攻击</t>
  </si>
  <si>
    <t>付瑶</t>
  </si>
  <si>
    <t>中国电信股份有限公司济南分公司</t>
  </si>
  <si>
    <t>济南电信</t>
  </si>
  <si>
    <t>182115IDC00559</t>
  </si>
  <si>
    <t>高防机架</t>
  </si>
  <si>
    <t>JNLXCT</t>
  </si>
  <si>
    <t>按照决策邮件，运营商赠送6个机柜。运营商减免5个机柜。
JNLXCT5F-A-09（高防预占用，加电，无设备）
JNLXCT5F-A-10（高防预占用，加电，无设备）
JNLXCT5F-A-11（高防预占用，加电，无设备）
JNLXCT5F-A-12（于2021.10.15上设备）
JNLXCT5F-A-13（于2021.10.15上设备）
JNLXCT5F-A-08</t>
  </si>
  <si>
    <t>JNLXCT5F-A-08（2022.1.13核对：高防未加电，运营商也未开通，免费机柜系统已关闭）</t>
  </si>
  <si>
    <t>高防IP</t>
  </si>
  <si>
    <t>免费8个C的IP，超出30元/个；CDN使用256个；高防使用1792个（150.138.243.0/24、150.138.244.0/24、150.138.245.0/24、150.138.246.0/24、150.138.247.0/24、150.138.249.0/24、150.138.250.0/24）</t>
  </si>
  <si>
    <t>济南电信二级</t>
  </si>
  <si>
    <t>免费8个C的IP，超出30元/个；CDN使用256个；150.138.248.0/24</t>
  </si>
  <si>
    <t>8个C IP代播，单价10元：182.61.192.0/23、182.61.194.0/23、182.61.196.0/23、182.61.198.0/23</t>
  </si>
  <si>
    <t>JNLXCT5F-A-01
JNLXCT5F-A-02
JNLXCT5F-A-03
JNLXCT5F-A-04
JNLXCT5F-A-05
JNLXCT5F-A-06
JNLXCT5F-A-07
JNLXCT5F-A-14
JNLXCT5F-A-15
JNLXCT5F-A-16
JNLXCT5F-A-17
JNLXCT5F-B-01
JNLXCT5F-B-02
JNLXCT5F-B-03
JNLXCT5F-B-05
JNLXCT5F-B-06
JNLXCT5F-B-07
JNLXCT5F-B-08
JNLXCT5F-B-09
JNLXCT5F-B-10
JNLXCT5F-B-11
JNLXCT5F-B-12
JNLXCT5F-B-13
JNLXCT5F-B-14
JNLXCT5F-B-15
JNLXCT5F-B-16</t>
  </si>
  <si>
    <t>JNLXCT5F-C-01、JNLXCT5F-C-05</t>
  </si>
  <si>
    <t>2021.12.31退租2个机柜
JNLXCT5F-C-01、JNLXCT5F-C-05</t>
  </si>
  <si>
    <t>其他机架</t>
  </si>
  <si>
    <t>JNLXCT5F-C-08（网络组使用）
JNLXCT5F-C-09（网络组使用）
JNLXCT5F-C-10（网络组使用）</t>
  </si>
  <si>
    <t>JNLXCT5F-C-11、 
JNLXCT5F-C-12、 
JNLXCT5F-C-13、 
JNLXCT5F-C-14、JNLXCT5F-D-01、JNLXCT5F-D-02</t>
  </si>
  <si>
    <t>JNLXCT5F-C-02、JNLXCT5F-C-03、JNLXCT5F-C-04
2022.1.19补交付邮件</t>
  </si>
  <si>
    <t>2021.5.8开通，于2021.6.1开始计费9KW机柜。JNLXCT5F-C-06</t>
  </si>
  <si>
    <t>济南电信蓝翔路IDC机房-济南经七纬五75号全景恒基308室百度机房</t>
  </si>
  <si>
    <t>2 芯</t>
  </si>
  <si>
    <t>济南电信机房-济南联通机房</t>
  </si>
  <si>
    <t>L20230119002</t>
  </si>
  <si>
    <t>济南3电信</t>
  </si>
  <si>
    <t>CDNJNCT2</t>
  </si>
  <si>
    <t>2023/3/31退租。【CDN新建】山东济南电信  新建200G  2023-1-1 节点正式上线  (JN3CT)，新增4个机柜：JNCT5F01-A-08、JNCT5F01-A-11、JNCT5F01-B-04、JNCT5F01-B-17</t>
  </si>
  <si>
    <t>2023/3/31退租。JNCT5F01-A-08、JNCT5F01-A-11、JNCT5F01-B-04、JNCT5F01-B-17</t>
  </si>
  <si>
    <t>2023/3/31退租。【CDN新建】山东济南电信  新建200G  2023-1-1 节点正式上线  (JN3CT)，新增288个IP：182.40.78.0/24、182.40.62.32/27</t>
  </si>
  <si>
    <t>2023/3/31退租：288个IP：182.40.78.0/24、182.40.62.32/27</t>
  </si>
  <si>
    <t>中国电信股份有限公司江苏分公司</t>
  </si>
  <si>
    <t>苏州电信</t>
  </si>
  <si>
    <t>182115IDC00022</t>
  </si>
  <si>
    <t>太湖机房三期一批（SZTH3D3）</t>
  </si>
  <si>
    <t>SZTH</t>
  </si>
  <si>
    <t>SZTH3D3A-01-16、SZTH3D3A-01-17、SZTH3D3A-01-01、SZTH3D3B-12-18、SZTH3D3C-12-18</t>
  </si>
  <si>
    <t>SZTH3D3A-01-06、SZTH3D3A-01-09、SZTH3D3A-01-10、SZTH3D3A-01-11、SZTH3D3A-01-12、SZTH3D3A-01-13、SZTH3D3A-01-14、SZTH3D3A-01-15、SZTH3D3A-01-07、SZTH3D3A-01-08</t>
  </si>
  <si>
    <t>SZTH3D3A-01-02、SZTH3D3A-01-03、SZTH3D3A-01-04、SZTH3D3A-01-05</t>
  </si>
  <si>
    <t>SZTH3D3A-04-02、SZTH3D3A-04-03、SZTH3D3B-03-01、SZTH3D3B-03-02、SZTH3D3B-06-01、SZTH3D3B-06-02、SZTH3D3B-07-01、SZTH3D3B-07-02、SZTH3D3C-03-01、SZTH3D3C-03-02、SZTH3D3C-06-01、SZTH3D3C-06-02、SZTH3D3C-07-01、SZTH3D3C-07-02、SZTH3D3C-10-01、SZTH3D3C-10-02</t>
  </si>
  <si>
    <t>SZTH3D3A-02-09、SZTH3D3A-02-11、SZTH3D3A-03-10、SZTH3D3A-03-12、SZTH3D3A-04-09、SZTH3D3A-04-11、SZTH3D3A-05-07、SZTH3D3A-05-09</t>
  </si>
  <si>
    <t>SZTH3D3B-01-18</t>
  </si>
  <si>
    <t>SZTH3D3B-01-01、SZTH3D3B-01-02、SZTH3D3B-01-03、SZTH3D3B-01-04、SZTH3D3B-01-05、SZTH3D3B-01-06、SZTH3D3B-01-07、SZTH3D3B-01-08、SZTH3D3B-01-09、SZTH3D3B-01-10、SZTH3D3B-01-11、SZTH3D3B-01-12、SZTH3D3B-01-13、SZTH3D3B-01-14、SZTH3D3B-01-15、SZTH3D3B-01-16、SZTH3D3B-01-17、SZTH3D3B-02-01、SZTH3D3B-02-02、SZTH3D3B-02-03、SZTH3D3B-02-04、SZTH3D3B-02-05、SZTH3D3B-02-06、SZTH3D3B-02-07、SZTH3D3B-02-08、SZTH3D3B-02-09、SZTH3D3B-02-10、SZTH3D3B-02-11、SZTH3D3B-02-12、SZTH3D3B-02-13、SZTH3D3B-02-14、SZTH3D3B-02-15、SZTH3D3B-02-16、SZTH3D3B-02-17、SZTH3D3B-02-18、SZTH3D3B-03-03、SZTH3D3B-03-04、SZTH3D3B-03-05、SZTH3D3B-03-06、SZTH3D3B-03-07、SZTH3D3B-03-08、SZTH3D3B-03-09、SZTH3D3B-03-10、SZTH3D3B-03-11、SZTH3D3B-03-12、SZTH3D3B-03-13、SZTH3D3B-03-14、SZTH3D3B-03-15、SZTH3D3B-03-16、SZTH3D3B-04-01、SZTH3D3B-04-02、SZTH3D3B-04-03</t>
  </si>
  <si>
    <t>SZTH3D3C-01-01、SZTH3D3C-01-02、SZTH3D3C-01-03、SZTH3D3C-01-04、SZTH3D3C-01-05、SZTH3D3C-01-06、SZTH3D3C-01-07、SZTH3D3C-01-08、SZTH3D3C-01-09、SZTH3D3C-01-10、SZTH3D3B-11-01、SZTH3D3B-11-02、SZTH3D3B-11-03、SZTH3D3B-11-04、SZTH3D3B-11-05、SZTH3D3B-11-06、SZTH3D3B-11-07、SZTH3D3B-11-08、SZTH3D3B-11-09、SZTH3D3B-11-10、SZTH3D3B-11-11、SZTH3D3B-11-12、SZTH3D3B-11-13、SZTH3D3B-11-14、SZTH3D3B-11-15、SZTH3D3B-11-16、SZTH3D3B-11-17、SZTH3D3B-11-18、SZTH3D3B-12-01、SZTH3D3B-12-02、SZTH3D3B-12-03、SZTH3D3B-12-04、SZTH3D3B-12-05、SZTH3D3B-12-06、SZTH3D3B-12-07、SZTH3D3B-12-08、SZTH3D3B-12-09、SZTH3D3B-12-10、SZTH3D3B-12-11、SZTH3D3B-12-12、SZTH3D3B-12-13、SZTH3D3B-12-14、SZTH3D3B-12-15、SZTH3D3B-12-16、SZTH3D3B-12-17、SZTH3D3B-09-01、SZTH3D3B-09-02、SZTH3D3B-09-03、SZTH3D3B-09-04、SZTH3D3B-09-05、SZTH3D3B-09-06、SZTH3D3B-09-07、SZTH3D3B-09-08、SZTH3D3B-09-09、SZTH3D3B-09-10、SZTH3D3B-09-11、SZTH3D3B-09-12、SZTH3D3B-09-13、SZTH3D3B-09-14、SZTH3D3B-09-15、SZTH3D3B-09-16、SZTH3D3B-09-17、SZTH3D3B-09-18、SZTH3D3B-10-03、SZTH3D3B-10-04、SZTH3D3B-10-05、SZTH3D3B-10-06、SZTH3D3B-10-07、SZTH3D3B-10-08、SZTH3D3B-10-09、SZTH3D3B-10-10、SZTH3D3B-10-11、SZTH3D3B-10-12、SZTH3D3B-10-13、SZTH3D3B-10-14、SZTH3D3B-10-15、SZTH3D3B-10-16、SZTH3D3B-07-03、SZTH3D3B-07-04、SZTH3D3B-07-05、SZTH3D3B-07-06、SZTH3D3B-07-07、SZTH3D3B-07-08、SZTH3D3B-07-09、SZTH3D3B-07-10、SZTH3D3B-07-11、SZTH3D3B-07-12、SZTH3D3B-07-13、SZTH3D3B-07-14、SZTH3D3B-07-15、SZTH3D3B-07-16、SZTH3D3B-08-01、SZTH3D3B-08-02、SZTH3D3B-08-03、SZTH3D3B-08-04、SZTH3D3B-08-05、SZTH3D3B-08-06、SZTH3D3B-08-07、SZTH3D3B-08-08、SZTH3D3B-08-09、SZTH3D3B-08-10、SZTH3D3B-08-11、SZTH3D3B-08-12、SZTH3D3B-08-13、SZTH3D3B-08-14、SZTH3D3B-08-15、SZTH3D3B-08-16、SZTH3D3B-08-17、SZTH3D3B-08-18、SZTH3D3B-04-04、SZTH3D3B-04-05、SZTH3D3B-04-06、SZTH3D3B-04-07、SZTH3D3B-04-08、SZTH3D3B-04-09、SZTH3D3B-04-10、SZTH3D3B-04-11、SZTH3D3B-04-12、SZTH3D3B-04-13、SZTH3D3B-04-14、SZTH3D3B-04-15、SZTH3D3B-04-16、SZTH3D3B-04-17、SZTH3D3B-04-18、SZTH3D3B-05-01、SZTH3D3B-05-02、SZTH3D3B-05-03、SZTH3D3B-05-04、SZTH3D3B-05-05、SZTH3D3B-05-06、SZTH3D3B-05-07、SZTH3D3B-05-08、SZTH3D3B-05-09、SZTH3D3B-05-10、SZTH3D3B-05-11、SZTH3D3B-05-12、SZTH3D3B-05-13、SZTH3D3B-05-14、SZTH3D3B-05-15、SZTH3D3B-05-16、SZTH3D3B-05-17、SZTH3D3B-05-18、SZTH3D3B-06-03、SZTH3D3B-06-04、SZTH3D3B-06-05、SZTH3D3B-06-06、SZTH3D3B-06-07、SZTH3D3B-06-08、SZTH3D3B-06-09、SZTH3D3B-06-10、SZTH3D3B-06-11、SZTH3D3B-06-12、SZTH3D3B-06-13、SZTH3D3B-06-14、SZTH3D3B-06-15、SZTH3D3B-06-16</t>
  </si>
  <si>
    <t>SZTH3D3C-01-11、SZTH3D3C-01-12、SZTH3D3C-01-13、SZTH3D3C-01-14、SZTH3D3C-01-15、SZTH3D3C-01-16、SZTH3D3C-01-17、SZTH3D3C-02-01、SZTH3D3C-02-02、SZTH3D3C-02-03</t>
  </si>
  <si>
    <t>SZTH3D3C-06-08、SZTH3D3C-06-09、SZTH3D3C-06-10、SZTH3D3C-06-11、SZTH3D3C-05-14、SZTH3D3C-05-15、SZTH3D3C-05-16、SZTH3D3C-05-17、SZTH3D3C-05-18、SZTH3D3C-06-03、SZTH3D3C-06-04、SZTH3D3C-06-05、SZTH3D3C-06-06、SZTH3D3C-06-07、SZTH3D3C-05-04、SZTH3D3C-05-05、SZTH3D3C-05-06、SZTH3D3C-05-07、SZTH3D3C-05-08、SZTH3D3C-05-09、SZTH3D3C-05-10、SZTH3D3C-05-11、SZTH3D3C-05-12、SZTH3D3C-05-13、SZTH3D3C-04-12、SZTH3D3C-04-13、SZTH3D3C-04-14、SZTH3D3C-04-15、SZTH3D3C-04-16、SZTH3D3C-04-17、SZTH3D3C-04-18、SZTH3D3C-05-01、SZTH3D3C-05-02、SZTH3D3C-05-03、SZTH3D3C-04-02、SZTH3D3C-04-03、SZTH3D3C-04-04、SZTH3D3C-04-05、SZTH3D3C-04-06、SZTH3D3C-04-07、SZTH3D3C-04-08、SZTH3D3C-04-09、SZTH3D3C-04-10、SZTH3D3C-04-11、SZTH3D3C-03-08、SZTH3D3C-03-09、SZTH3D3C-03-10、SZTH3D3C-03-11、SZTH3D3C-03-12、SZTH3D3C-03-13、SZTH3D3C-03-14、SZTH3D3C-03-15、SZTH3D3C-03-16、SZTH3D3C-04-01、SZTH3D3C-02-14、SZTH3D3C-02-15、SZTH3D3C-02-16、SZTH3D3C-02-17、SZTH3D3C-02-18、SZTH3D3C-03-03、SZTH3D3C-03-04、SZTH3D3C-03-05、SZTH3D3C-03-06、SZTH3D3C-03-07、SZTH3D3C-02-04、SZTH3D3C-02-05、SZTH3D3C-02-06、SZTH3D3C-02-07、SZTH3D3C-02-08、SZTH3D3C-02-09、SZTH3D3C-02-10、SZTH3D3C-02-11、SZTH3D3C-02-12、SZTH3D3C-02-13</t>
  </si>
  <si>
    <t>SZTH3D3C-10-14、SZTH3D3C-10-15、SZTH3D3C-10-16、SZTH3D3C-10-04、SZTH3D3C-10-05、SZTH3D3C-10-06、SZTH3D3C-10-07、SZTH3D3C-10-08、SZTH3D3C-10-09、SZTH3D3C-10-10、SZTH3D3C-10-11、SZTH3D3C-10-12、SZTH3D3C-10-13、SZTH3D3C-09-10、SZTH3D3C-09-11、SZTH3D3C-09-12、SZTH3D3C-09-13、SZTH3D3C-09-14、SZTH3D3C-09-15、SZTH3D3C-09-16、SZTH3D3C-09-17、SZTH3D3C-09-18、SZTH3D3C-10-03、SZTH3D3C-08-18、SZTH3D3C-09-01、SZTH3D3C-09-02、SZTH3D3C-09-03、SZTH3D3C-09-04、SZTH3D3C-09-05、SZTH3D3C-09-06、SZTH3D3C-09-07、SZTH3D3C-09-08、SZTH3D3C-09-09、SZTH3D3C-08-08、SZTH3D3C-08-09、SZTH3D3C-08-10、SZTH3D3C-08-11、SZTH3D3C-08-12、SZTH3D3C-08-13、SZTH3D3C-08-14、SZTH3D3C-08-15、SZTH3D3C-08-16、SZTH3D3C-08-17、SZTH3D3C-07-14、SZTH3D3C-07-15、SZTH3D3C-07-16、SZTH3D3C-08-01、SZTH3D3C-08-02、SZTH3D3C-08-03、SZTH3D3C-08-04、SZTH3D3C-08-05、SZTH3D3C-08-06、SZTH3D3C-08-07、SZTH3D3C-07-04、SZTH3D3C-07-05、SZTH3D3C-07-06、SZTH3D3C-07-07、SZTH3D3C-07-08、SZTH3D3C-07-09、SZTH3D3C-07-10、SZTH3D3C-07-11、SZTH3D3C-07-12、SZTH3D3C-07-13、SZTH3D3C-06-12、SZTH3D3C-06-13、SZTH3D3C-06-14、SZTH3D3C-06-15、SZTH3D3C-06-16、SZTH3D3C-07-03、</t>
  </si>
  <si>
    <t>SZTH3D3C-11-07、SZTH3D3C-12-10、SZTH3D3C-12-11、SZTH3D3C-12-12、SZTH3D3C-12-13、SZTH3D3C-12-14、SZTH3D3C-12-15、SZTH3D3C-12-16、SZTH3D3C-12-17、SZTH3D3C-11-18、SZTH3D3C-12-01、SZTH3D3C-12-02、SZTH3D3C-12-03、SZTH3D3C-12-04、SZTH3D3C-12-05、SZTH3D3C-12-06、SZTH3D3C-12-07、SZTH3D3C-12-08、SZTH3D3C-12-09、SZTH3D3C-11-08、SZTH3D3C-11-09、SZTH3D3C-11-10、SZTH3D3C-11-11、SZTH3D3C-11-12、SZTH3D3C-11-13、SZTH3D3C-11-14、SZTH3D3C-11-15、SZTH3D3C-11-16、SZTH3D3C-11-17、SZTH3D3C-11-01、SZTH3D3C-11-02、SZTH3D3C-11-03、SZTH3D3C-11-04、SZTH3D3C-11-05、SZTH3D3C-11-06</t>
  </si>
  <si>
    <t>2020/11/27开通，计费4天：SZTH3D3B-10-01、SZTH3D3B-10-02</t>
  </si>
  <si>
    <t>2020/12/3开通，计费29天
SZTH3D3A-02-08、SZTH3D3A-02-07、SZTH3D3A-02-05、SZTH3D3A-02-06、SZTH3D3C-01-18</t>
  </si>
  <si>
    <t>2020/12/10开通，计费22天
SZTH3D3A-02-03、SZTH3D3A-02-04、SZTH3D3A-03-04、SZTH3D3A-03-05、SZTH3D3A-03-06、SZTH3D3A-03-07、SZTH3D3A-03-08、SZTH3D3A-03-09、SZTH3D3A-04-04、SZTH3D3A-05-05、SZTH3D3A-05-06、SZTH3D3A-06-05、SZTH3D3A-07-04、SZTH3D3A-08-04、SZTH3D3A-08-05、SZTH3D3A-08-06、SZTH3D3A-08-07、SZTH3D3A-08-08、SZTH3D3A-08-09</t>
  </si>
  <si>
    <t>SZTH3D3A-10-01</t>
  </si>
  <si>
    <t>SZTH3D3A-07-02、SZTH3D3A-07-03</t>
  </si>
  <si>
    <t>SZTH3D3A-09-02、SZTH3D3A-09-01、SZTH3D3A-08-03、SZTH3D3A-08-02</t>
  </si>
  <si>
    <t>SZTH3D3A-09-11、SZTH3D3A-09-09、SZTH3D3A-08-12、SZTH3D3A-08-10、SZTH3D3A-07-11、SZTH3D3A-07-09、SZTH3D3A-06-09、SZTH3D3A-06-07、SZTH3D3A-07-05、SZTH3D3A-04-05</t>
  </si>
  <si>
    <t>SZTH3D3A-05-01、SZTH3D3A-05-03、SZTH3D3A-06-01、SZTH3D3A-06-03</t>
  </si>
  <si>
    <t>SZTH3D3A-02-01、SZTH3D3A-02-02、SZTH3D3A-03-02、SZTH3D3A-03-03</t>
  </si>
  <si>
    <t>SZTH3D3A-10-02、SZTH3D3A-10-03、SZTH3D3A-10-04、SZTH3D3A-10-05、SZTH3D3A-10-06、SZTH3D3A-10-07、SZTH3D3A-10-08、SZTH3D3A-10-09、SZTH3D3A-10-12、SZTH3D3A-10-13、SZTH3D3A-10-14、SZTH3D3A-10-15</t>
  </si>
  <si>
    <t>SZTH3D3A-10-10、SZTH3D3A-10-11</t>
  </si>
  <si>
    <t>SZTH3D3A-04-07、SZTH3D3A-07-07</t>
  </si>
  <si>
    <t>SZTH3D3A-09-03</t>
  </si>
  <si>
    <t>SZTH3D3A-09-05、SZTH3D3A-09-06</t>
  </si>
  <si>
    <t>SZTH3D3A-09-07</t>
  </si>
  <si>
    <t>SZTH3D3A-09-04、SZTH3D3A-09-08</t>
  </si>
  <si>
    <t>SZTH3D3A-02-10、SZTH3D3A-02-12、SZTH3D3A-03-01、SZTH3D3A-03-11、SZTH3D3A-03-13、SZTH3D3A-04-01、SZTH3D3A-04-06、SZTH3D3A-04-10、SZTH3D3A-04-12、SZTH3D3A-05-02、SZTH3D3A-05-04、SZTH3D3A-05-08、SZTH3D3A-05-10、SZTH3D3A-06-02、SZTH3D3A-06-04、SZTH3D3A-06-08、SZTH3D3A-06-10、SZTH3D3A-07-01、SZTH3D3A-07-06、SZTH3D3A-07-10、SZTH3D3A-07-12、SZTH3D3A-08-01、SZTH3D3A-08-11、SZTH3D3A-08-13、SZTH3D3A-09-10、SZTH3D3A-09-12</t>
  </si>
  <si>
    <t>南京电信</t>
  </si>
  <si>
    <t>182115IDC00124</t>
  </si>
  <si>
    <t>吉山机房三期(NJJS 5D2 5D3 5D4)</t>
  </si>
  <si>
    <t>NJJS</t>
  </si>
  <si>
    <t>NJJS5D201-J-13、NJJS5D202-A-17、NJJS5D301-J-13、NJJS5D402-A-18、NJJS5D302-A-01、NJJS5D302-A-02、NJJS5D302-D-16、NJJS5D303-A-07、NJJS5D303-A-08、NJJS5D303-A-11、NJJS5D303-D-09、NJJS5D303-E-15、NJJS5D302-C-01、NJJS5D302-C-02、NJJS5D301-A-01、NJJS5D301-A-02、NJJS5D301-C-01、NJJS5D301-C-02、NJJS5D301-E-01、NJJS5D301-E-02、NJJS5D301-G-01、NJJS5D301-G-02、NJJS5D301-I-01、NJJS5D301-I-02</t>
  </si>
  <si>
    <t>NJJS5D302-D-02、NJJS5D302-D-04、NJJS5D302-D-06、NJJS5D302-D-08、NJJS5D302-D-10、NJJS5D302-C-03、NJJS5D302-C-04、NJJS5D302-C-05、NJJS5D302-C-06、NJJS5D302-C-07、NJJS5D302-C-08、NJJS5D302-C-09、NJJS5D302-C-10、NJJS5D302-C-11、NJJS5D302-C-12、NJJS5D302-C-13、NJJS5D302-C-14、NJJS5D302-D-11、NJJS5D302-D-12、NJJS5D302-D-13、NJJS5D302-D-14、NJJS5D302-C-15、NJJS5D302-D-01、NJJS5D302-D-03、NJJS5D302-D-05、NJJS5D302-D-07、NJJS5D302-D-09</t>
  </si>
  <si>
    <t>NJJS5D303-B-10、NJJS5D303-B-11、NJJS5D303-C-10、NJJS5D303-C-11</t>
  </si>
  <si>
    <t>NJJS5D303-A-02、NJJS5D303-A-04、NJJS5D303-B-02、NJJS5D303-B-04、NJJS5D303-B-06、NJJS5D303-C-02、NJJS5D303-C-04、NJJS5D303-C-06、NJJS5D303-D-02、NJJS5D303-D-04</t>
  </si>
  <si>
    <t>NJJS5D302-A-04
NJJS5D302-B-01
NJJS5D302-B-03
NJJS5D302-B-05
NJJS5D302-B-02
NJJS5D302-B-04
NJJS5D302-B-06</t>
  </si>
  <si>
    <t>NJJS5D301-A-10、NJJS5D301-A-11、NJJS5D301-A-12</t>
  </si>
  <si>
    <t>NJJS5D202-A-01、NJJS5D202-A-02、NJJS5D202-C-01、NJJS5D202-C-02、NJJS5D202-E-01、NJJS5D202-E-02</t>
  </si>
  <si>
    <t>NJJS5D301-B-01、NJJS5D301-B-02、NJJS5D301-B-03、NJJS5D301-B-04、NJJS5D301-B-05、NJJS5D301-B-06、NJJS5D301-B-07、NJJS5D301-B-08</t>
  </si>
  <si>
    <t>NJJS5D301-B-09、NJJS5D301-B-10、NJJS5D301-C-03、NJJS5D301-C-04、NJJS5D301-C-05、NJJS5D301-C-06、NJJS5D301-C-07、NJJS5D301-C-08、NJJS5D301-C-09、NJJS5D301-C-10、NJJS5D301-C-11、NJJS5D301-C-12、NJJS5D301-C-13、NJJS5D301-C-14、NJJS5D301-C-15、NJJS5D301-C-16、NJJS5D301-C-17、NJJS5D301-C-18、NJJS5D301-D-02、NJJS5D301-D-03、NJJS5D301-D-04、NJJS5D301-D-05、NJJS5D301-D-06、NJJS5D301-D-07、NJJS5D301-D-08、NJJS5D301-D-09</t>
  </si>
  <si>
    <t>202201与SYS核实4个机架于3.17重新上线使用NJJS5D303-B-10、NJJS5D303-B-11、NJJS5D303-C-10、NJJS5D303-C-11</t>
  </si>
  <si>
    <t>NJJS5D301-D-12、NJJS5D301-D-13、NJJS5D301-D-14、NJJS5D301-D-15、NJJS5D301-E-14、NJJS5D301-E-15、NJJS5D301-E-16、NJJS5D301-E-17</t>
  </si>
  <si>
    <t>NJJS5D301-E-03、NJJS5D301-E-04、NJJS5D301-E-05、NJJS5D301-E-06、NJJS5D301-E-07、NJJS5D301-E-08</t>
  </si>
  <si>
    <t>NJJS5D201-C-01、NJJS5D201-C-02</t>
  </si>
  <si>
    <t>NJJS5D301-A-13、NJJS5D301-A-14</t>
  </si>
  <si>
    <t>NJJS5D301-A-15、NJJS5D301-A-16、NJJS5D301-A-17、NJJS5D201-B-17</t>
  </si>
  <si>
    <t>NJJS5D301-A-18、NJJS5D301-A-03、NJJS5D301-A-04、NJJS5D301-A-05、NJJS5D301-A-06、NJJS5D301-A-07、NJJS5D301-A-08、NJJS5D301-A-09、NJJS5D301-B-11、NJJS5D301-E-09、NJJS5D301-E-10</t>
  </si>
  <si>
    <t>NJJS5D301-B-12、NJJS5D301-B-13</t>
  </si>
  <si>
    <t>NJJS5D301-F-01、NJJS5D301-F-02、NJJS5D301-F-03、NJJS5D301-F-04、NJJS5D301-F-05、NJJS5D301-H-01、NJJS5D301-H-02、NJJS5D301-H-03、NJJS5D301-H-04</t>
  </si>
  <si>
    <t>NJJS5D301-F-06、NJJS5D301-F-07</t>
  </si>
  <si>
    <t>NJJS5D301-G-03、NJJS5D301-G-04、NJJS5D301-G-05、NJJS5D301-G-06、NJJS5D301-G-07、NJJS5D301-G-08</t>
  </si>
  <si>
    <t>NJJS5D201-A-09、NJJS5D201-A-10、NJJS5D201-A-11、NJJS5D201-A-12、NJJS5D201-A-13、NJJS5D201-A-14、NJJS5D202-A-13、NJJS5D202-A-14、NJJS5D202-A-15、NJJS5D202-A-16、NJJS5D202-B-03、NJJS5D202-B-04、NJJS5D202-B-05、NJJS5D202-B-06、NJJS5D202-B-07、NJJS5D202-B-08、NJJS5D202-B-09、NJJS5D202-B-10、NJJS5D202-B-11、NJJS5D202-B-12、NJJS5D202-B-13、NJJS5D202-B-14、NJJS5D202-B-15、NJJS5D202-B-16、NJJS5D202-B-17、NJJS5D202-C-03、NJJS5D202-C-04、NJJS5D202-C-05、NJJS5D202-C-06、NJJS5D202-C-07、NJJS5D202-C-08、NJJS5D202-C-09、NJJS5D202-C-10、NJJS5D202-C-11、NJJS5D202-C-12、NJJS5D202-C-13、NJJS5D202-C-14、NJJS5D202-D-01、NJJS5D202-D-02、NJJS5D202-D-03、NJJS5D202-D-04、NJJS5D202-D-05、NJJS5D202-D-06、NJJS5D202-D-07、NJJS5D202-D-08、NJJS5D202-D-09、NJJS5D202-D-10、NJJS5D202-D-11、NJJS5D202-D-12、NJJS5D202-D-13、NJJS5D202-D-14、NJJS5D202-D-15、NJJS5D202-D-16、NJJS5D202-D-17、NJJS5D202-E-03、NJJS5D202-E-04、NJJS5D202-E-05、NJJS5D202-E-06、NJJS5D202-E-07、NJJS5D202-E-08、NJJS5D202-E-09、NJJS5D202-E-10、NJJS5D202-E-11、NJJS5D202-E-12、NJJS5D202-E-13、NJJS5D202-E-14、NJJS5D202-E-15、NJJS5D202-E-16、NJJS5D202-F-01、NJJS5D202-F-02、NJJS5D202-F-03、NJJS5D202-F-04、NJJS5D202-F-05、NJJS5D202-F-06、NJJS5D202-F-07、NJJS5D202-F-08、NJJS5D202-F-09、NJJS5D202-F-10、NJJS5D202-F-11、NJJS5D202-F-12、NJJS5D202-F-13、NJJS5D202-F-14、NJJS5D202-F-15、NJJS5D202-F-16、NJJS5D302-A-05、NJJS5D302-A-06、NJJS5D302-A-07、NJJS5D302-A-08、NJJS5D302-A-09、NJJS5D302-A-10、NJJS5D302-A-11、NJJS5D302-A-12、NJJS5D302-B-08</t>
  </si>
  <si>
    <t>NJJS5D201-E-01、NJJS5D201-E-02、NJJS5D201-G-01、NJJS5D201-G-02、NJJS5D201-I-01、NJJS5D201-I-02</t>
  </si>
  <si>
    <t>NJJS5D202-B-01、NJJS5D202-B-02、NJJS5D301-H-05</t>
  </si>
  <si>
    <t>NJJS5D201-I-05、NJJS5D201-I-06、NJJS5D201-I-07、NJJS5D201-I-08、NJJS5D201-I-09、NJJS5D201-I-10、NJJS5D202-A-03、NJJS5D202-A-04、NJJS5D202-A-05、NJJS5D202-A-06、NJJS5D202-A-07、NJJS5D202-A-08、NJJS5D202-A-09、NJJS5D202-A-10、NJJS5D202-A-11、NJJS5D202-A-12、NJJS5D301-F-12、NJJS5D301-F-13、NJJS5D301-F-14、NJJS5D301-F-15、NJJS5D302-A-13、NJJS5D302-A-14</t>
  </si>
  <si>
    <t>NJJS5D201-A-03、NJJS5D201-A-04、NJJS5D201-A-05、NJJS5D201-A-06、NJJS5D201-A-07、NJJS5D201-A-08</t>
  </si>
  <si>
    <t>NJJS5D201-E-03、NJJS5D201-E-04、NJJS5D201-E-05、NJJS5D201-E-06、NJJS5D201-E-07、NJJS5D201-E-08、NJJS5D201-E-09、NJJS5D201-E-10、NJJS5D201-E-11、NJJS5D201-E-12、NJJS5D201-E-13、NJJS5D201-E-14、NJJS5D201-E-15、NJJS5D201-E-16、NJJS5D201-E-17、NJJS5D201-F-01、NJJS5D201-F-02、NJJS5D201-F-03、NJJS5D201-F-04、NJJS5D201-F-05、NJJS5D201-F-06、NJJS5D201-F-07、NJJS5D201-F-08、NJJS5D201-F-09、NJJS5D201-F-10、NJJS5D201-F-11、NJJS5D201-F-12、NJJS5D201-F-13、NJJS5D201-F-14、NJJS5D201-F-15、NJJS5D201-F-16、NJJS5D201-F-17、NJJS5D201-G-03、NJJS5D201-G-04</t>
  </si>
  <si>
    <t>NJJS5D201-I-11、NJJS5D201-I-12、NJJS5D201-J-01、NJJS5D201-J-02、NJJS5D201-J-03、NJJS5D201-J-04、NJJS5D201-J-05、NJJS5D201-J-06、NJJS5D201-J-07、NJJS5D201-J-08</t>
  </si>
  <si>
    <t>NJJS5D201-G-05、NJJS5D201-G-06、NJJS5D201-G-07、NJJS5D201-G-08、NJJS5D201-G-10</t>
  </si>
  <si>
    <t>运营商账单中无此机架。NJJS5D302-A-03</t>
  </si>
  <si>
    <t>NJJS5D201-G-09、NJJS5D201-G-11、NJJS5D201-H-01</t>
  </si>
  <si>
    <t>NJJS5D201-H-02、NJJS5D201-H-03</t>
  </si>
  <si>
    <t>NJJS5D402-I-01、NJJS5D402-I-02、NJJS5D402-G-01、NJJS5D402-G-02、NJJS5D402-C-01、NJJS5D402-C-02、NJJS5D402-A-01、NJJS5D402-A-02</t>
  </si>
  <si>
    <t>NJJS5D301-B-14、NJJS5D301-B-15、NJJS5D301-B-16、NJJS5D301-B-17、NJJS5D301-B-18、NJJS5D301-D-01、NJJS5D301-D-10、NJJS5D301-D-11、NJJS5D301-G-10、NJJS5D302-B-07、NJJS5D302-B-09、NJJS5D302-B-10、NJJS5D201-A-18</t>
  </si>
  <si>
    <t>NJJS5D201-D-12、NJJS5D201-D-13、NJJS5D201-D-14、NJJS5D201-D-15、NJJS5D201-H-04、NJJS5D201-H-05、NJJS5D201-H-06、NJJS5D201-H-07、NJJS5D201-H-08、NJJS5D201-H-09、NJJS5D201-H-10、NJJS5D201-H-11、NJJS5D201-H-12、NJJS5D201-H-13、NJJS5D201-I-03、NJJS5D201-I-04、NJJS5D201-J-09、NJJS5D201-J-10、NJJS5D201-J-11、NJJS5D201-J-12、NJJS5D301-E-11、NJJS5D301-E-12、NJJS5D301-E-13、NJJS5D302-B-11、NJJS5D302-B-12、NJJS5D302-B-13、NJJS5D302-B-14、NJJS5D302-B-15、NJJS5D302-B-16、NJJS5D302-C-16、NJJS5D302-D-15、NJJS5D402-H-17、NJJS5D402-I-03、NJJS5D402-I-04、NJJS5D402-I-05、NJJS5D402-I-06、NJJS5D402-I-07、NJJS5D402-I-08、NJJS5D402-I-09、NJJS5D402-I-10、NJJS5D402-I-11、NJJS5D402-I-12、NJJS5D402-I-13、NJJS5D402-I-14、NJJS5D402-I-15、NJJS5D402-I-16、NJJS5D402-J-01、NJJS5D402-J-02、NJJS5D402-J-03、NJJS5D402-J-04、NJJS5D402-J-05、NJJS5D402-J-06、NJJS5D402-J-07、NJJS5D402-J-08、NJJS5D402-J-09、NJJS5D402-J-10、NJJS5D402-J-11、NJJS5D402-J-12、NJJS5D402-J-13、NJJS5D402-J-14、NJJS5D402-J-15、NJJS5D402-J-16、NJJS5D402-H-10、NJJS5D402-H-11、NJJS5D402-H-12、NJJS5D402-H-13、NJJS5D402-H-14、NJJS5D402-H-15、NJJS5D402-H-16</t>
  </si>
  <si>
    <t>NJJS5D402-D-02、NJJS5D402-D-03、NJJS5D402-F-17、NJJS5D402-F-18</t>
  </si>
  <si>
    <t>NJJS5D402-A-16、NJJS5D402-A-17</t>
  </si>
  <si>
    <t>NJJS5D301-G-11
NJJS5D402-A-03
NJJS5D402-A-06
NJJS5D402-A-07
NJJS5D402-A-08
NJJS5D402-A-09
NJJS5D402-A-10
NJJS5D402-A-11
NJJS5D402-A-12
NJJS5D402-A-13
NJJS5D402-A-14
NJJS5D402-A-15
NJJS5D402-C-03
NJJS5D402-C-04
NJJS5D402-D-09
NJJS5D402-D-10
NJJS5D402-D-11
NJJS5D402-D-12
NJJS5D402-D-13
NJJS5D402-G-03
NJJS5D402-G-04
NJJS5D402-G-06
NJJS5D402-G-08
NJJS5D402-G-10
NJJS5D402-G-11
NJJS5D402-G-13
NJJS5D402-H-01
NJJS5D402-H-03
NJJS5D402-H-05
NJJS5D402-H-07
NJJS5D402-H-09</t>
  </si>
  <si>
    <t>NJJS5D201-I-13
NJJS5D402-D-01
NJJS5D402-D-07</t>
  </si>
  <si>
    <t>NJJS5D201-D-01
NJJS5D201-D-02
NJJS5D201-D-03
NJJS5D402-H-02
NJJS5D402-H-04</t>
  </si>
  <si>
    <t>NJJS5D301-H-06
NJJS5D301-H-07
NJJS5D301-H-08
NJJS5D402-A-04
NJJS5D402-A-05
NJJS5D402-B-01
NJJS5D402-B-02
NJJS5D402-B-03
NJJS5D402-B-04
NJJS5D402-B-05
NJJS5D402-B-06
NJJS5D402-B-07
NJJS5D402-B-08
NJJS5D402-B-09
NJJS5D402-B-10
NJJS5D402-B-11
NJJS5D402-B-12
NJJS5D402-B-13
NJJS5D402-B-14
NJJS5D402-B-15
NJJS5D402-B-16
NJJS5D402-B-17
NJJS5D402-B-18
NJJS5D402-C-05
NJJS5D402-C-07
NJJS5D402-C-08
NJJS5D402-C-09
NJJS5D402-C-10
NJJS5D402-C-11
NJJS5D402-C-12
NJJS5D402-C-13
NJJS5D402-C-14
NJJS5D402-C-15
NJJS5D402-C-16
NJJS5D402-C-17
NJJS5D402-C-18</t>
  </si>
  <si>
    <t>NJJS5D402-G-05
NJJS5D402-G-07
NJJS5D402-G-09
NJJS5D402-G-12</t>
  </si>
  <si>
    <t>NJJS5D301-F-08 NJJS5D301-F-09</t>
  </si>
  <si>
    <t>NJJS5D303-A-06、NJJS5D303-D-06</t>
  </si>
  <si>
    <t>2022.11更新开通数量，实际开通3个。NJJS5D301-F-10、NJJS5D301-F-16、NJJS5D301-F-17</t>
  </si>
  <si>
    <t>NJJS5D301-F-17</t>
  </si>
  <si>
    <t>NJJS5D301-H-10、NJJS5D301-H-11、NJJS5D301-H-12、NJJS5D301-H-13</t>
  </si>
  <si>
    <t>NJJS5D201-A-07、NJJS5D201-A-08、NJJS5D201-A-09、NJJS5D201-A-10、NJJS5D201-A-11、NJJS5D201-A-12、NJJS5D201-A-18、NJJS5D201-D-01、NJJS5D201-D-02、NJJS5D201-D-03</t>
  </si>
  <si>
    <t>NJJS5D201-A-04</t>
  </si>
  <si>
    <t>NJJS5D301-I-10、NJJS5D301-I-11、NJJS5D301-I-12</t>
  </si>
  <si>
    <t>182115IDC00379</t>
  </si>
  <si>
    <t>太湖机房三期二批（SZTH3D2）</t>
  </si>
  <si>
    <t>2021/5/15开始计费，5月计费17天：SZTH3D2A-12-01、SZTH3D2A-04-01、SZTH3D2B-02-18、SZTH3D2B-11-18、SZTH3D2C-02-18、SZTH3D2C-11-18</t>
  </si>
  <si>
    <t>2021/5/15开始计费，5月计费17天：SZTH3D2A-11-18、SZTH3D2A-09-18、SZTH3D2A-09-17、SZTH3D2A-05-18、SZTH3D2A-05-17、SZTH3D2A-03-16、SZTH3D2A-03-15、SZTH3D2A-12-18、SZTH3D2A-12-17、SZTH3D2A-12-16、SZTH3D2A-12-15、SZTH3D2A-12-14、SZTH3D2A-11-15、SZTH3D2A-11-17、SZTH3D2B-04-01、SZTH3D2B-04-02、SZTH3D2B-09-01、SZTH3D2B-09-02、SZTH3D2C-02-01、SZTH3D2C-02-02、SZTH3D2C-04-01、SZTH3D2C-04-02、SZTH3D2C-06-02、SZTH3D2C-07-02、SZTH3D2C-09-01、SZTH3D2C-09-02、SZTH3D2A-08-01、SZTH3D2A-08-02、SZTH3D2A-08-03、SZTH3D2A-08-04、SZTH3D2A-08-05、SZTH3D2A-08-06、SZTH3D2A-08-07、SZTH3D2A-08-08、SZTH3D2A-08-09、SZTH3D2A-08-10、SZTH3D2A-08-11、SZTH3D2A-08-12、SZTH3D2A-08-13、SZTH3D2A-08-14、SZTH3D2A-08-15、SZTH3D2A-08-16、SZTH3D2A-08-17、SZTH3D2A-08-18、SZTH3D2B-01-02、SZTH3D2B-01-04、SZTH3D2B-01-06、SZTH3D2B-01-08、SZTH3D2B-01-10、SZTH3D2B-01-12、SZTH3D2B-01-14、SZTH3D2B-01-16、SZTH3D2B-01-18、SZTH3D2B-02-01、SZTH3D2B-02-03、SZTH3D2B-02-05、SZTH3D2B-02-07、SZTH3D2B-02-09、SZTH3D2B-02-11、SZTH3D2B-02-13、SZTH3D2B-02-15、SZTH3D2B-02-17、SZTH3D2B-03-10、SZTH3D2B-03-12、SZTH3D2B-03-14、SZTH3D2B-03-16、SZTH3D2B-03-02、SZTH3D2B-03-04、SZTH3D2B-03-06、SZTH3D2B-03-08、SZTH3D2B-04-03、SZTH3D2B-04-05、SZTH3D2B-04-07、SZTH3D2B-04-09、SZTH3D2B-04-11、SZTH3D2B-04-13、SZTH3D2B-04-15、SZTH3D2B-04-17、SZTH3D2B-05-12、SZTH3D2B-05-14、SZTH3D2B-05-16、SZTH3D2B-05-18、SZTH3D2B-05-02、SZTH3D2B-05-04、SZTH3D2B-05-06、SZTH3D2B-05-08、SZTH3D2B-05-10、SZTH3D2B-06-02、SZTH3D2B-06-04、SZTH3D2B-06-06、SZTH3D2B-06-08、SZTH3D2B-06-10、SZTH3D2B-06-12、SZTH3D2B-06-14、SZTH3D2B-06-16、SZTH3D2B-07-13、SZTH3D2B-07-15、SZTH3D2B-07-16、SZTH3D2B-07-03、SZTH3D2B-07-05、SZTH3D2B-07-07、SZTH3D2B-07-09、SZTH3D2B-07-11、SZTH3D2B-08-01、SZTH3D2B-08-03、SZTH3D2B-08-05、SZTH3D2B-08-07、SZTH3D2B-08-09、SZTH3D2B-08-11、SZTH3D2B-08-13、SZTH3D2B-08-15、SZTH3D2B-08-17、SZTH3D2B-09-16、SZTH3D2B-09-18、SZTH3D2B-09-04、SZTH3D2B-09-06、SZTH3D2B-09-08、SZTH3D2B-09-10、SZTH3D2B-09-12、SZTH3D2B-09-14、SZTH3D2B-10-01、SZTH3D2B-10-03、SZTH3D2B-10-05、SZTH3D2B-10-07、SZTH3D2B-10-09、SZTH3D2B-10-11、SZTH3D2B-10-13、SZTH3D2B-10-15、SZTH3D2B-11-16、SZTH3D2B-11-17、SZTH3D2B-11-02、SZTH3D2B-11-04、SZTH3D2B-11-06、SZTH3D2B-11-08、SZTH3D2B-11-10、SZTH3D2B-11-12、SZTH3D2B-11-14、SZTH3D2B-12-01、SZTH3D2B-12-03、SZTH3D2B-12-05、SZTH3D2B-12-07、SZTH3D2B-12-09、SZTH3D2B-12-11、SZTH3D2B-12-13、SZTH3D2B-12-15、SZTH3D2B-12-17、SZTH3D2A-09-13、SZTH3D2A-09-14、SZTH3D2A-09-15、SZTH3D2A-09-16、SZTH3D2A-10-13、SZTH3D2A-10-14、SZTH3D2A-10-15、SZTH3D2A-10-16、SZTH3D2A-11-11、SZTH3D2A-11-12、SZTH3D2A-11-13、SZTH3D2A-11-14、SZTH3D2A-03-01、SZTH3D2A-03-02、SZTH3D2A-03-03、SZTH3D2A-03-04、SZTH3D2A-03-05、SZTH3D2A-03-06、SZTH3D2A-03-07、SZTH3D2A-03-08、SZTH3D2A-03-09、SZTH3D2A-03-10、SZTH3D2A-03-11、SZTH3D2A-03-12、SZTH3D2A-03-13、SZTH3D2A-03-14、SZTH3D2A-04-02、SZTH3D2A-04-03、SZTH3D2A-04-04、SZTH3D2A-04-05、SZTH3D2A-04-06、SZTH3D2A-04-07、SZTH3D2A-04-08、SZTH3D2A-04-09、SZTH3D2A-04-10、SZTH3D2A-04-11、SZTH3D2A-04-12、SZTH3D2A-04-13、SZTH3D2A-04-14、SZTH3D2A-04-15、SZTH3D2A-04-16、SZTH3D2A-04-17、SZTH3D2A-04-18、SZTH3D2A-05-01、SZTH3D2A-05-02、SZTH3D2A-05-03、SZTH3D2A-05-04、SZTH3D2A-05-05、SZTH3D2A-05-06、SZTH3D2A-05-07、SZTH3D2A-05-08、SZTH3D2A-05-09、SZTH3D2A-05-10、SZTH3D2A-05-11、SZTH3D2A-05-12、SZTH3D2A-05-13、SZTH3D2A-05-14、SZTH3D2A-05-15、SZTH3D2A-05-16、SZTH3D2A-06-01、SZTH3D2A-06-02、SZTH3D2A-06-03、SZTH3D2A-06-04、SZTH3D2A-06-05、SZTH3D2A-06-06、SZTH3D2A-06-07、SZTH3D2A-06-08、SZTH3D2A-06-09、SZTH3D2A-06-10、SZTH3D2A-06-11、SZTH3D2A-06-12、SZTH3D2A-06-13、SZTH3D2A-06-14、SZTH3D2A-06-15、SZTH3D2A-07-01、SZTH3D2A-07-02、SZTH3D2A-07-03、SZTH3D2A-07-04、SZTH3D2A-07-05、SZTH3D2A-07-06、SZTH3D2A-07-07、SZTH3D2A-07-08、SZTH3D2A-07-09、SZTH3D2A-07-10、SZTH3D2A-07-11、SZTH3D2A-07-12、SZTH3D2A-07-13、SZTH3D2A-07-14、SZTH3D2A-07-15、SZTH3D2A-09-01、SZTH3D2A-09-02、SZTH3D2A-09-03、SZTH3D2A-09-04、SZTH3D2A-09-05、SZTH3D2A-09-06、SZTH3D2A-09-07、SZTH3D2A-09-08、SZTH3D2A-09-09、SZTH3D2A-09-10、SZTH3D2A-09-11、SZTH3D2A-09-12、SZTH3D2A-10-01、SZTH3D2A-10-02、SZTH3D2A-10-03、SZTH3D2A-10-04、SZTH3D2A-10-05、SZTH3D2A-10-06、SZTH3D2A-10-07、SZTH3D2A-10-08、SZTH3D2A-10-09、SZTH3D2A-10-10、SZTH3D2A-10-11、SZTH3D2A-10-12、SZTH3D2A-11-01、SZTH3D2A-11-02、SZTH3D2A-11-03、SZTH3D2A-11-04、SZTH3D2A-11-05、SZTH3D2A-11-06、SZTH3D2A-11-07、SZTH3D2A-11-08、SZTH3D2A-11-09、SZTH3D2A-11-10、SZTH3D2B-01-01、SZTH3D2B-01-03、SZTH3D2B-01-05、SZTH3D2B-01-07、SZTH3D2B-01-09、SZTH3D2B-01-11、SZTH3D2B-01-13、SZTH3D2B-01-15、SZTH3D2B-01-17、SZTH3D2B-02-02、SZTH3D2B-02-04、SZTH3D2B-02-06、SZTH3D2B-02-08、SZTH3D2B-03-01、SZTH3D2B-03-03、SZTH3D2B-03-05、SZTH3D2B-03-07、SZTH3D2B-03-09、SZTH3D2B-04-04、SZTH3D2B-04-06、SZTH3D2B-04-08、SZTH3D2B-04-10、SZTH3D2B-04-12、SZTH3D2B-04-14、SZTH3D2B-04-16、SZTH3D2B-04-18、SZTH3D2B-05-01、SZTH3D2B-05-03、SZTH3D2B-05-05、SZTH3D2B-05-07、SZTH3D2B-05-09、SZTH3D2B-05-11、SZTH3D2B-05-13、SZTH3D2B-05-15、SZTH3D2B-05-17、SZTH3D2B-06-03、SZTH3D2B-06-05、SZTH3D2B-06-07、SZTH3D2B-06-09、SZTH3D2B-06-11、SZTH3D2B-06-13、SZTH3D2B-06-15、SZTH3D2B-07-02、SZTH3D2B-07-04、SZTH3D2B-07-06、SZTH3D2B-07-08、SZTH3D2B-07-10、SZTH3D2B-07-12、SZTH3D2B-07-14、SZTH3D2B-08-02、SZTH3D2B-08-04、SZTH3D2B-08-06、SZTH3D2B-08-08、SZTH3D2B-08-10、SZTH3D2B-08-12、SZTH3D2B-08-14、SZTH3D2B-08-16、SZTH3D2B-08-18、SZTH3D2B-09-03、SZTH3D2B-09-05、SZTH3D2B-02-10、SZTH3D2B-02-12、SZTH3D2B-02-14、SZTH3D2B-02-16、SZTH3D2B-03-11、SZTH3D2B-03-13、SZTH3D2B-03-15、SZTH3D2B-09-07、SZTH3D2B-09-09、SZTH3D2B-09-11、SZTH3D2B-09-13、SZTH3D2B-09-15、SZTH3D2B-09-17、SZTH3D2B-10-02、SZTH3D2B-10-04、SZTH3D2B-10-06、SZTH3D2B-10-08、SZTH3D2B-10-10、SZTH3D2B-10-12、SZTH3D2B-10-14、SZTH3D2B-10-16、SZTH3D2B-11-01、SZTH3D2B-11-03、SZTH3D2B-11-05、SZTH3D2B-11-07、SZTH3D2B-11-09、SZTH3D2B-11-11、SZTH3D2B-11-13、SZTH3D2B-11-15、SZTH3D2B-12-02、SZTH3D2B-12-04、SZTH3D2B-12-06、SZTH3D2B-12-08、SZTH3D2B-12-10、SZTH3D2B-12-12、SZTH3D2B-12-14、SZTH3D2B-12-16、SZTH3D2B-12-18</t>
  </si>
  <si>
    <t>2021/5/15开始计费，5月计费17天：SZTH3D2C-01-04、SZTH3D2C-01-06、SZTH3D2C-01-08、SZTH3D2C-01-10、SZTH3D2C-01-12、SZTH3D2C-01-14、SZTH3D2C-01-16、SZTH3D2C-01-18、SZTH3D2C-01-01、SZTH3D2C-01-02、SZTH3D2C-02-03、SZTH3D2C-02-05、SZTH3D2C-02-07、SZTH3D2C-02-09、SZTH3D2C-02-11、SZTH3D2C-02-13、SZTH3D2C-02-16、SZTH3D2C-03-01、SZTH3D2C-03-03、SZTH3D2C-03-05、SZTH3D2C-03-07、SZTH3D2C-03-09、SZTH3D2C-03-11、SZTH3D2C-03-13、SZTH3D2C-03-15、SZTH3D2C-04-04、SZTH3D2C-04-06、SZTH3D2C-04-08、SZTH3D2C-04-10、SZTH3D2C-04-12、SZTH3D2C-04-14、SZTH3D2C-04-16、SZTH3D2C-04-18、SZTH3D2C-05-01、SZTH3D2C-05-03、SZTH3D2C-05-05、SZTH3D2C-05-07、SZTH3D2C-05-09、SZTH3D2C-05-11、SZTH3D2C-05-13、SZTH3D2C-05-15、SZTH3D2C-05-17、SZTH3D2C-06-04、SZTH3D2C-06-06、SZTH3D2C-06-08、SZTH3D2C-06-10、SZTH3D2C-06-12、SZTH3D2C-06-14、SZTH3D2C-06-16、SZTH3D2C-07-03、SZTH3D2C-07-05、SZTH3D2C-07-07、SZTH3D2C-07-09、SZTH3D2C-07-11、SZTH3D2C-07-13、SZTH3D2C-07-15、SZTH3D2C-08-02、SZTH3D2C-08-04、SZTH3D2C-08-06、SZTH3D2C-08-08、SZTH3D2C-08-10、SZTH3D2C-08-12、SZTH3D2C-08-14、SZTH3D2C-08-16、SZTH3D2C-08-18、SZTH3D2C-09-03、SZTH3D2C-09-05、SZTH3D2C-09-07、SZTH3D2C-09-09、SZTH3D2C-09-11、SZTH3D2C-09-13、SZTH3D2C-09-15、SZTH3D2C-09-17、SZTH3D2C-10-02、SZTH3D2C-10-04、SZTH3D2C-10-06、SZTH3D2C-10-08、SZTH3D2C-10-10、SZTH3D2C-10-12、SZTH3D2C-10-14、SZTH3D2C-10-16、SZTH3D2C-11-07、SZTH3D2C-11-09、SZTH3D2C-11-11、SZTH3D2C-11-13、SZTH3D2C-11-15、SZTH3D2C-12-08、SZTH3D2C-12-10、SZTH3D2C-12-12、SZTH3D2C-12-14、SZTH3D2C-12-16、SZTH3D2C-12-18、SZTH3D2C-02-15、SZTH3D2C-02-17、SZTH3D2C-03-02、SZTH3D2C-03-04、SZTH3D2C-03-06、SZTH3D2C-03-08、SZTH3D2C-03-10、SZTH3D2C-03-12、SZTH3D2C-03-14、SZTH3D2C-03-16、SZTH3D2C-04-03、SZTH3D2C-04-05、SZTH3D2C-04-07、SZTH3D2C-04-09、SZTH3D2C-04-11、SZTH3D2C-04-13、SZTH3D2C-04-15、SZTH3D2C-04-17、SZTH3D2C-05-02、SZTH3D2C-05-04、SZTH3D2C-05-06、SZTH3D2C-05-08、SZTH3D2C-05-10、SZTH3D2C-05-12、SZTH3D2C-05-14、SZTH3D2C-05-16、SZTH3D2C-05-18、SZTH3D2C-06-03、SZTH3D2C-06-05、SZTH3D2C-06-07、SZTH3D2C-06-09、SZTH3D2C-06-11、SZTH3D2C-06-13、SZTH3D2C-06-15、SZTH3D2C-07-04、SZTH3D2C-07-06、SZTH3D2C-07-08、SZTH3D2C-07-10、SZTH3D2C-07-12、SZTH3D2C-07-14、SZTH3D2C-07-16、SZTH3D2C-08-01、SZTH3D2C-08-03、SZTH3D2C-08-05、SZTH3D2C-08-07、SZTH3D2C-08-09、SZTH3D2C-08-11、SZTH3D2C-08-13、SZTH3D2C-08-15、SZTH3D2C-08-17、SZTH3D2C-09-04、SZTH3D2C-09-06、SZTH3D2C-09-08、SZTH3D2C-09-10、SZTH3D2C-09-12、SZTH3D2C-09-14、SZTH3D2C-09-16、SZTH3D2C-09-18、SZTH3D2C-10-01、SZTH3D2C-10-03、SZTH3D2C-10-05、SZTH3D2C-10-07、SZTH3D2C-10-09、SZTH3D2C-10-11、SZTH3D2C-10-13、SZTH3D2C-10-15、SZTH3D2C-11-08、SZTH3D2C-11-10、SZTH3D2C-11-12、SZTH3D2C-11-14、SZTH3D2C-11-16、SZTH3D2C-11-17、SZTH3D2C-12-07、SZTH3D2C-12-09、SZTH3D2C-12-11、SZTH3D2C-12-13、SZTH3D2C-12-15、SZTH3D2C-12-17</t>
  </si>
  <si>
    <t>2021/5/19开通，5月计费13天：SZTH3D2C-02-04、SZTH3D2C-02-06、SZTH3D2C-02-08、SZTH3D2C-02-10</t>
  </si>
  <si>
    <t>2021/5/20开通，5月计费12天：SZTH3D2C-11-02、SZTH3D2C-11-04、SZTH3D2C-12-01、SZTH3D2C-12-03、SZTH3D2C-11-05、SZTH3D2C-12-06</t>
  </si>
  <si>
    <t>2021/5/24开通，5月计费8天：SZTH3D2C-11-06、SZTH3D2C-12-05</t>
  </si>
  <si>
    <t>2021/5/25开通，5月计费7天：SZTH3D2C-02-12、SZTH3D2C-02-14、SZTH3D2C-11-01、SZTH3D2C-11-03、SZTH3D2C-12-02、SZTH3D2C-12-04</t>
  </si>
  <si>
    <t>2021/5/27开通，5月计费5天：SZTH3D2A-01-01、SZTH3D2A-01-02、SZTH3D2A-01-03、SZTH3D2A-01-04、SZTH3D2A-01-05、SZTH3D2A-01-06、SZTH3D2A-01-07、SZTH3D2A-01-08、SZTH3D2A-01-09、SZTH3D2A-01-10、SZTH3D2A-01-11、SZTH3D2A-01-12、SZTH3D2A-01-13、SZTH3D2A-01-14、SZTH3D2A-01-15、SZTH3D2A-01-16</t>
  </si>
  <si>
    <t>2021/5/28开通计费，5月计费4天：SZTH3D2A-12-02、SZTH3D2A-12-03、SZTH3D2A-12-04、SZTH3D2A-12-05、SZTH3D2A-12-06、SZTH3D2A-12-07、SZTH3D2A-12-08、SZTH3D2A-12-09、SZTH3D2A-12-10</t>
  </si>
  <si>
    <t>2021/5/31开通，5月计费1天：SZTH3D2A-01-18、SZTH3D2A-02-01</t>
  </si>
  <si>
    <t>SZTH3D2A-12-11、SZTH3D2A-12-12、SZTH3D2A-12-13</t>
  </si>
  <si>
    <t>SZTH3D2A-11-16</t>
  </si>
  <si>
    <t>2021/6/2开通机架，6月计费29天：SZTH3D2A-02-02</t>
  </si>
  <si>
    <t>2021/6/7开通，6月计费24天：SZTH3D2A-02-03、SZTH3D2A-02-04、SZTH3D2A-02-05、SZTH3D2A-02-06、SZTH3D2A-02-07、SZTH3D2A-02-08、SZTH3D2A-02-09、SZTH3D2A-02-10、SZTH3D2A-02-11、SZTH3D2A-02-12、SZTH3D2A-02-13、SZTH3D2A-02-14、SZTH3D2A-02-15</t>
  </si>
  <si>
    <t>2021/6/16开通，6月计费15天：SZTH3D2A-01-17、SZTH3D2A-02-16</t>
  </si>
  <si>
    <t>2021/6/18开通，6月计费13天：SZTH3D2A-02-17、SZTH3D2A-02-18</t>
  </si>
  <si>
    <t>2021/6/30开通，6月计费1天：SZTH3D2C-01-03、SZTH3D2C-01-05、SZTH3D2C-01-07</t>
  </si>
  <si>
    <t>2021/7/15开通，7月计费17天：SZTH3D2C-01-09、SZTH3D2C-01-11、SZTH3D2C-01-13</t>
  </si>
  <si>
    <t>2021/7/22开通机架，7月计费10天：SZTH3D2C-01-15、SZTH3D2C-01-17</t>
  </si>
  <si>
    <t>SZTH3D2A-06-16、SZTH3D2A-07-16、SZTH3D2B-06-01、SZTH3D2B-07-01、SZTH3D2C-06-01、SZTH3D2C-07-01</t>
  </si>
  <si>
    <t>202304 苏州太湖三期二批超电流，暂按350A计提；40A机柜价格如果实际机柜用电量小于等于30A，按照￥8595元/月收取费用；如果实际机柜用电量大于30A，小于35A，则机柜用电量每增加1A，在￥8595元/月的价格基础上另加收￥300元/月的使用费用；如果实际机柜用电量大于等于35A，则机柜用电量每增加1A，在￥8595元/月的价格基础上，超过30A部分电流为260.5元/A/月</t>
  </si>
  <si>
    <t>182115IDC00631</t>
  </si>
  <si>
    <t>太湖机房四期（SZTH4D2、4D3C 3D）</t>
  </si>
  <si>
    <t>SZTH4D2C-04-19、SZTH4D2D-04-01、SZTH4D2D-04-21、SZTH4D2B-04-01、SZTH4D2B-04-21、SZTH4D2A-04-01、SZTH4D2A-04-21</t>
  </si>
  <si>
    <t>SZTH4D2C-01-11、SZTH4D2C-01-13、SZTH4D2C-01-15、SZTH4D2C-01-17、SZTH4D2C-01-19、SZTH4D2C-02-11、SZTH4D2C-02-13、SZTH4D2C-02-15、SZTH4D2C-02-17、SZTH4D2C-02-19、SZTH4D2C-02-21、SZTH4D2C-03-08、SZTH4D2C-03-09、SZTH4D2C-03-11、SZTH4D2C-03-13、SZTH4D2C-03-15、SZTH4D2C-03-17、SZTH4D2C-03-19、SZTH4D2C-04-13、SZTH4D2C-04-15、SZTH4D2C-04-17、SZTH4D2C-04-18、SZTH4D2C-05-08、SZTH4D2C-05-09、SZTH4D2C-05-11、SZTH4D2C-05-13、SZTH4D2C-05-15、SZTH4D2C-05-17、SZTH4D2C-05-19、SZTH4D2C-06-11、SZTH4D2C-06-13、SZTH4D2C-06-15、SZTH4D2C-06-17、SZTH4D2C-06-19、SZTH4D2C-06-21、SZTH4D2C-07-11、SZTH4D2C-07-13、SZTH4D2C-07-15、SZTH4D2C-07-17、SZTH4D2C-07-19、SZTH4D2D-01-03、SZTH4D2D-01-05、SZTH4D2D-01-07、SZTH4D2D-01-09、SZTH4D2D-01-11、SZTH4D2D-01-13、SZTH4D2D-01-15、SZTH4D2D-01-17、SZTH4D2D-01-19、SZTH4D2D-01-21、SZTH4D2D-01-23、SZTH4D2D-02-02、SZTH4D2D-02-04、SZTH4D2D-02-06、SZTH4D2D-02-08、SZTH4D2D-02-10、SZTH4D2D-02-12、SZTH4D2D-02-14、SZTH4D2D-02-15、SZTH4D2D-02-17、SZTH4D2D-02-19、SZTH4D2D-02-21、SZTH4D2D-02-23、SZTH4D2D-02-25、SZTH4D2D-03-01、SZTH4D2D-03-03、SZTH4D2D-03-05、SZTH4D2D-03-07、SZTH4D2D-03-09、SZTH4D2D-03-11、SZTH4D2D-03-13、SZTH4D2D-03-15、SZTH4D2D-03-17、SZTH4D2D-03-19、SZTH4D2D-03-21、SZTH4D2D-03-23、SZTH4D2D-04-03、SZTH4D2D-04-05、SZTH4D2D-04-07、SZTH4D2D-04-09、SZTH4D2D-04-11、SZTH4D2D-04-15、SZTH4D2D-04-17、SZTH4D2D-04-19、SZTH4D2D-04-20、SZTH4D2D-05-01、SZTH4D2D-05-03、SZTH4D2D-05-05、SZTH4D2D-05-07、SZTH4D2D-05-09、SZTH4D2D-05-11、SZTH4D2D-05-13、SZTH4D2D-05-15、SZTH4D2D-05-17、SZTH4D2D-05-19、SZTH4D2D-05-21、SZTH4D2D-05-23、SZTH4D2D-06-02、SZTH4D2D-06-04、SZTH4D2D-06-06、SZTH4D2D-06-08、SZTH4D2D-06-10、SZTH4D2D-06-12、SZTH4D2D-06-14、SZTH4D2D-06-15、SZTH4D2D-06-17、SZTH4D2D-06-19、SZTH4D2D-06-21、SZTH4D2D-06-23、SZTH4D2D-06-25、SZTH4D2D-07-01、SZTH4D2D-07-03、SZTH4D2D-07-05、SZTH4D2D-07-07、SZTH4D2D-07-09、SZTH4D2D-07-11、SZTH4D2D-07-13、SZTH4D2D-07-15、SZTH4D2D-07-17、SZTH4D2D-07-19、SZTH4D2D-07-21、SZTH4D2D-07-23、SZTH4D2B-01-03、SZTH4D2B-01-05、SZTH4D2B-01-07、SZTH4D2B-01-09、SZTH4D2B-01-11、SZTH4D2B-01-13、SZTH4D2B-01-15、SZTH4D2B-01-17、SZTH4D2B-01-19、SZTH4D2B-01-21、SZTH4D2B-01-23、SZTH4D2B-02-02、SZTH4D2B-02-04、SZTH4D2B-02-06、SZTH4D2B-02-08、SZTH4D2B-02-10、SZTH4D2B-02-12、SZTH4D2B-02-14、SZTH4D2B-02-15、SZTH4D2B-02-17、SZTH4D2B-02-19、SZTH4D2B-02-21、SZTH4D2B-02-23、SZTH4D2B-02-25、SZTH4D2B-03-01、SZTH4D2B-03-03、SZTH4D2B-03-05、SZTH4D2B-03-07、SZTH4D2B-03-09、SZTH4D2B-03-11、SZTH4D2B-03-13、SZTH4D2B-03-15、SZTH4D2B-03-17、SZTH4D2B-03-19、SZTH4D2B-03-21、SZTH4D2B-03-23、SZTH4D2B-04-03、SZTH4D2B-04-05、SZTH4D2B-04-07、SZTH4D2B-04-09、SZTH4D2B-04-11、SZTH4D2B-04-15、SZTH4D2B-04-17、SZTH4D2B-04-19、SZTH4D2B-04-20、SZTH4D2B-05-01、SZTH4D2B-05-03、SZTH4D2B-05-05、SZTH4D2B-05-07、SZTH4D2B-05-09、SZTH4D2B-05-11、SZTH4D2B-05-13、SZTH4D2B-05-15、SZTH4D2B-05-17、SZTH4D2B-05-19、SZTH4D2B-05-21、SZTH4D2B-05-23、SZTH4D2B-06-02、SZTH4D2B-06-04、SZTH4D2B-06-06、SZTH4D2B-06-08、SZTH4D2B-06-10、SZTH4D2B-06-12、SZTH4D2B-06-14、SZTH4D2B-06-15、SZTH4D2B-06-17、SZTH4D2B-06-19、SZTH4D2B-06-21、SZTH4D2B-06-23、SZTH4D2B-06-25、SZTH4D2B-07-01、SZTH4D2B-07-03、SZTH4D2B-07-05、SZTH4D2B-07-07、SZTH4D2B-07-09、SZTH4D2B-07-11、SZTH4D2B-07-13、SZTH4D2B-07-15、SZTH4D2B-07-17、SZTH4D2B-07-19、SZTH4D2B-07-21、SZTH4D2B-07-23、SZTH4D2A-01-01、SZTH4D2A-01-03、SZTH4D2A-01-05、SZTH4D2A-01-07、SZTH4D2A-01-09、SZTH4D2A-01-11、SZTH4D2A-01-13、SZTH4D2A-01-15、SZTH4D2A-01-17、SZTH4D2A-01-19、SZTH4D2A-01-21、SZTH4D2A-01-23、SZTH4D2A-02-02、SZTH4D2A-02-04、SZTH4D2A-02-06、SZTH4D2A-02-08、SZTH4D2A-02-10、SZTH4D2A-02-12、SZTH4D2A-02-14、SZTH4D2A-02-15、SZTH4D2A-02-17、SZTH4D2A-02-19、SZTH4D2A-02-21、SZTH4D2A-02-23、SZTH4D2A-02-25、SZTH4D2A-03-01、SZTH4D2A-03-03、SZTH4D2A-03-05、SZTH4D2A-03-07、SZTH4D2A-03-09、SZTH4D2A-03-11、SZTH4D2A-03-13、SZTH4D2A-03-15、SZTH4D2A-03-17、SZTH4D2A-03-19、SZTH4D2A-03-21、SZTH4D2A-03-23、SZTH4D2A-04-03、SZTH4D2A-04-05、SZTH4D2A-04-07、SZTH4D2A-04-09、SZTH4D2A-04-11、SZTH4D2A-04-15、SZTH4D2A-04-17、SZTH4D2A-04-19、SZTH4D2A-04-20、SZTH4D2A-05-02、SZTH4D2A-05-03、SZTH4D2A-05-05、SZTH4D2A-05-06、SZTH4D2A-05-08、SZTH4D2A-05-09、SZTH4D2A-05-11、SZTH4D2A-05-12、SZTH4D2A-05-13、SZTH4D2A-05-14、SZTH4D2A-05-15、SZTH4D2A-05-17、SZTH4D2A-05-19、SZTH4D2A-05-21、SZTH4D2A-05-23、SZTH4D2A-06-02、SZTH4D2A-06-03、SZTH4D2A-06-05、SZTH4D2A-06-06、SZTH4D2A-06-08、SZTH4D2A-06-09、SZTH4D2A-06-11、SZTH4D2A-06-12、SZTH4D2A-06-13、SZTH4D2A-06-14、SZTH4D2A-06-15、SZTH4D2A-06-17、SZTH4D2A-06-19、SZTH4D2A-06-21、SZTH4D2A-06-23、SZTH4D2A-06-25、SZTH4D2A-07-02、SZTH4D2A-07-03、SZTH4D2A-07-05、SZTH4D2A-07-06、SZTH4D2A-07-08、SZTH4D2A-07-09、SZTH4D2A-07-11、SZTH4D2A-07-12、SZTH4D2A-07-13、SZTH4D2A-07-14、SZTH4D2A-07-15、SZTH4D2A-07-17、SZTH4D2A-07-19、SZTH4D2A-07-21、SZTH4D2A-07-23、SZTH4D2C-01-12、SZTH4D2C-01-14、SZTH4D2C-01-16、SZTH4D2C-01-18、SZTH4D2C-01-20、SZTH4D2C-02-12、SZTH4D2C-02-14、SZTH4D2C-02-16、SZTH4D2C-02-18、SZTH4D2C-02-20、SZTH4D2C-03-12、SZTH4D2C-03-14、SZTH4D2C-03-16、SZTH4D2C-03-18、SZTH4D2C-03-20、SZTH4D2C-04-12、SZTH4D2C-04-14、SZTH4D2C-04-16、SZTH4D2C-05-12、SZTH4D2C-05-14、SZTH4D2C-05-16、SZTH4D2C-05-18、SZTH4D2C-05-20、SZTH4D2D-01-01、SZTH4D2D-01-02、SZTH4D2D-01-04、SZTH4D2D-01-06、SZTH4D2D-01-08、SZTH4D2D-01-10、SZTH4D2D-01-12、SZTH4D2D-01-14、SZTH4D2D-01-16、SZTH4D2D-01-18、SZTH4D2D-01-20、SZTH4D2D-01-22、SZTH4D2D-01-24、SZTH4D2D-02-01、SZTH4D2D-02-03、SZTH4D2D-02-05、SZTH4D2D-02-07、SZTH4D2D-02-09、SZTH4D2D-02-11、SZTH4D2D-02-13、SZTH4D2D-02-16、SZTH4D2D-02-18、SZTH4D2D-02-20、SZTH4D2D-02-22、SZTH4D2D-02-24、SZTH4D2D-03-12</t>
  </si>
  <si>
    <t>SZTH4D2C-01-09、SZTH4D2C-02-09、SZTH4D2C-03-05、SZTH4D2C-04-03、SZTH4D2C-04-05、SZTH4D2C-05-05、SZTH4D2C-06-09、SZTH4D2C-07-09</t>
  </si>
  <si>
    <t>SZTH4D2D-03-14、SZTH4D2D-03-16、SZTH4D2D-03-18、SZTH4D2D-03-20、SZTH4D2D-03-22、SZTH4D2D-03-24、SZTH4D2D-04-02、SZTH4D2D-04-04、SZTH4D2D-04-06、SZTH4D2D-04-08、SZTH4D2D-04-10、SZTH4D2D-04-14、SZTH4D2D-04-16、SZTH4D2D-04-18</t>
  </si>
  <si>
    <t>SZTH4D2D-05-02、SZTH4D2D-05-04、SZTH4D2D-05-06、SZTH4D2D-05-08、SZTH4D2D-05-10、SZTH4D2D-05-12、SZTH4D2D-05-14、SZTH4D2D-05-16</t>
  </si>
  <si>
    <t>SZTH4D2D-05-18、SZTH4D2D-05-20、SZTH4D2D-05-22、SZTH4D2D-05-24、SZTH4D2D-06-01、SZTH4D2D-06-03、SZTH4D2D-06-05</t>
  </si>
  <si>
    <t>SZTH4D2C-06-12、SZTH4D2C-06-14、SZTH4D2C-07-12、SZTH4D2C-07-14、SZTH4D2C-07-16、SZTH4D2C-07-18、SZTH4D2C-07-20</t>
  </si>
  <si>
    <t>SZTH4D2D-06-07、SZTH4D2D-06-09、SZTH4D2D-06-11、SZTH4D2D-06-13、SZTH4D2D-06-16、SZTH4D2D-06-18、SZTH4D2D-06-20、SZTH4D2D-06-22、SZTH4D2D-06-24、SZTH4D2D-07-02、SZTH4D2D-07-04、SZTH4D2D-07-06、SZTH4D2D-07-08、SZTH4D2D-07-10、SZTH4D2D-07-12、SZTH4D2D-07-14、SZTH4D2D-07-16</t>
  </si>
  <si>
    <t>SZTH4D2A-01-02、SZTH4D2A-01-04、SZTH4D2A-01-06、SZTH4D2A-01-08、SZTH4D2A-01-10、SZTH4D2A-01-12、SZTH4D2A-01-14、SZTH4D2D-03-02、SZTH4D2D-03-04、SZTH4D2D-03-06、SZTH4D2D-03-08、SZTH4D2D-03-10、SZTH4D2D-07-18、SZTH4D2D-07-20、SZTH4D2D-07-22、SZTH4D2D-07-24</t>
  </si>
  <si>
    <t>SZTH4D2A-01-16、SZTH4D2A-01-18、SZTH4D2A-01-20、SZTH4D2A-01-22、SZTH4D2A-01-24、SZTH4D2A-02-16、SZTH4D2A-02-18、SZTH4D2A-02-20、SZTH4D2A-02-22、SZTH4D2A-02-24、SZTH4D2A-03-16</t>
  </si>
  <si>
    <t>SZTH4D2A-03-18、SZTH4D2A-03-20、SZTH4D2A-03-22、SZTH4D2A-03-24</t>
  </si>
  <si>
    <t>SZTH4D2A-04-18、SZTH4D2A-05-16、SZTH4D2A-05-18、SZTH4D2A-05-20、SZTH4D2A-05-22、SZTH4D2A-05-24、SZTH4D2A-06-16</t>
  </si>
  <si>
    <t>SZTH4D3C-04-01、SZTH4D3C-04-21、SZTH4D3D-04-01、SZTH4D3D-04-21</t>
  </si>
  <si>
    <t>SZTH4D3C-01-03、SZTH4D3C-01-05、SZTH4D3C-01-07、SZTH4D3C-01-09、SZTH4D3C-01-11、SZTH4D3C-01-13、SZTH4D3C-01-15、SZTH4D3C-01-17、SZTH4D3C-01-19、SZTH4D3C-01-21、SZTH4D3C-01-23、SZTH4D3C-02-02、SZTH4D3C-02-04、SZTH4D3C-02-06、SZTH4D3C-02-08、SZTH4D3C-02-10、SZTH4D3C-02-12、SZTH4D3C-02-14、SZTH4D3C-02-15、SZTH4D3C-02-17、SZTH4D3C-02-19、SZTH4D3C-02-21、SZTH4D3C-02-23、SZTH4D3C-02-25、SZTH4D3C-03-01、SZTH4D3C-03-03、SZTH4D3C-03-05、SZTH4D3C-03-07、SZTH4D3C-03-09、SZTH4D3C-03-11、SZTH4D3C-03-13、SZTH4D3C-03-15、SZTH4D3C-03-17、SZTH4D3C-03-19、SZTH4D3C-03-21、SZTH4D3C-03-23、SZTH4D3C-04-03、SZTH4D3C-04-05、SZTH4D3C-04-07、SZTH4D3C-04-09、SZTH4D3C-04-11、SZTH4D3C-04-15、SZTH4D3C-04-17、SZTH4D3C-04-19、SZTH4D3C-04-20、SZTH4D3C-05-01、SZTH4D3C-05-03、SZTH4D3C-05-05、SZTH4D3C-05-07、SZTH4D3C-05-09、SZTH4D3C-05-11、SZTH4D3C-05-13、SZTH4D3C-05-15、SZTH4D3C-05-17、SZTH4D3C-05-19、SZTH4D3C-05-21、SZTH4D3C-05-23、SZTH4D3C-06-02、SZTH4D3C-06-04、SZTH4D3C-06-06、SZTH4D3C-06-08、SZTH4D3C-06-10、SZTH4D3C-06-12、SZTH4D3C-06-14、SZTH4D3C-06-15、SZTH4D3C-06-17、SZTH4D3C-06-19、SZTH4D3C-06-21、SZTH4D3C-06-23、SZTH4D3C-06-25、SZTH4D3C-07-01、SZTH4D3C-07-03、SZTH4D3C-07-05、SZTH4D3C-07-07、SZTH4D3C-07-09、SZTH4D3C-07-11、SZTH4D3C-07-13、SZTH4D3C-07-15、SZTH4D3C-07-17、SZTH4D3C-07-19、SZTH4D3C-07-21、SZTH4D3C-07-23、SZTH4D3D-01-01、SZTH4D3D-01-03、SZTH4D3D-01-05、SZTH4D3D-01-07、SZTH4D3D-01-09、SZTH4D3D-01-11、SZTH4D3D-01-13、SZTH4D3D-01-15、SZTH4D3D-01-17、SZTH4D3D-01-19、SZTH4D3D-01-21、SZTH4D3D-01-23、SZTH4D3D-02-02、SZTH4D3D-02-04、SZTH4D3D-02-06、SZTH4D3D-02-08、SZTH4D3D-02-10、SZTH4D3D-02-12、SZTH4D3D-02-14、SZTH4D3D-02-15、SZTH4D3D-02-17、SZTH4D3D-02-19、SZTH4D3D-02-21、SZTH4D3D-02-23、SZTH4D3D-02-25、SZTH4D3D-03-01、SZTH4D3D-03-03、SZTH4D3D-03-05、SZTH4D3D-03-07、SZTH4D3D-03-09、SZTH4D3D-03-11、SZTH4D3D-03-13、SZTH4D3D-03-15、SZTH4D3D-03-17、SZTH4D3D-03-19、SZTH4D3D-03-21、SZTH4D3D-03-23、SZTH4D3D-04-03、SZTH4D3D-04-05、SZTH4D3D-04-07、SZTH4D3D-04-09、SZTH4D3D-04-11、SZTH4D3D-04-15、SZTH4D3D-04-17、SZTH4D3D-04-19、SZTH4D3D-04-20、SZTH4D3D-05-01、SZTH4D3D-05-03、SZTH4D3D-05-05、SZTH4D3D-05-07、SZTH4D3D-05-09、SZTH4D3D-05-11、SZTH4D3D-05-13、SZTH4D3D-05-15、SZTH4D3D-05-17、SZTH4D3D-05-19、SZTH4D3D-05-21、SZTH4D3D-05-23、SZTH4D3D-06-02、SZTH4D3D-06-04、SZTH4D3D-06-06、SZTH4D3D-06-08、SZTH4D3D-06-10、SZTH4D3D-06-12、SZTH4D3D-06-13、SZTH4D3D-06-14、SZTH4D3D-06-15、SZTH4D3D-06-17、SZTH4D3D-06-19、SZTH4D3D-06-21、SZTH4D3D-06-23、SZTH4D3D-06-25、SZTH4D3D-07-01、SZTH4D3D-07-03、SZTH4D3D-07-05、SZTH4D3D-07-07、SZTH4D3D-07-09、SZTH4D3D-07-11、SZTH4D3D-07-13、SZTH4D3D-07-14、SZTH4D3D-07-15、SZTH4D3D-07-17、SZTH4D3D-07-19、SZTH4D3D-07-21、SZTH4D3D-07-23</t>
  </si>
  <si>
    <t>SZTH4D3D-05-12、SZTH4D3D-05-14、SZTH4D3D-06-01、SZTH4D3D-06-03、SZTH4D3D-06-05、SZTH4D3D-06-07、SZTH4D3D-06-09、SZTH4D3D-06-11、SZTH4D3D-07-02、SZTH4D3D-07-04、SZTH4D3D-07-06、SZTH4D3D-07-10、SZTH4D3D-07-12</t>
  </si>
  <si>
    <t>SZTH4D2A-04-02、SZTH4D2A-04-04、SZTH4D2A-04-06、SZTH4D2A-04-08、SZTH4D2A-04-10、SZTH4D2A-04-14、SZTH4D2A-04-16、SZTH4D2A-07-18、SZTH4D2A-07-20、SZTH4D2A-07-22、SZTH4D2A-07-24</t>
  </si>
  <si>
    <t>SZTH4D2A-02-01、SZTH4D2A-02-03、SZTH4D2A-02-05、SZTH4D2A-02-07、SZTH4D2A-02-09、SZTH4D2A-02-11、SZTH4D2A-02-13、SZTH4D2A-03-02、SZTH4D2A-03-04、SZTH4D2A-03-06、SZTH4D2A-03-08、SZTH4D2A-03-10、SZTH4D2A-03-12、SZTH4D2A-03-14、SZTH4D2A-06-18、SZTH4D2A-06-20、SZTH4D2A-06-22、SZTH4D2A-06-24、SZTH4D2A-07-16</t>
  </si>
  <si>
    <t>SZTH4D3C-01-01、SZTH4D3C-01-04、SZTH4D3C-01-10、SZTH4D3C-01-18、SZTH4D3C-02-05、SZTH4D3C-02-11、SZTH4D3C-02-13、SZTH4D3C-02-16、SZTH4D3C-02-18、SZTH4D3C-02-24、SZTH4D3C-03-04、SZTH4D3C-03-10、SZTH4D3C-03-18、SZTH4D3C-04-06、SZTH4D3C-04-18、SZTH4D3C-05-04、SZTH4D3C-05-10、SZTH4D3C-05-18、SZTH4D3C-06-11、SZTH4D3C-06-13、SZTH4D3C-06-16、SZTH4D3C-06-18、SZTH4D3C-06-24、SZTH4D3C-07-18、SZTH4D3D-01-04、SZTH4D3D-01-10、SZTH4D3D-01-18、SZTH4D3D-02-05、SZTH4D3D-02-11、SZTH4D3D-02-20、SZTH4D3D-03-04、SZTH4D3D-03-10、SZTH4D3D-03-18、SZTH4D3D-04-06、SZTH4D3D-04-18、SZTH4D3D-05-04、SZTH4D3D-05-10、SZTH4D3D-05-18、SZTH4D3D-06-22、SZTH4D3D-07-08、SZTH4D3D-07-18</t>
  </si>
  <si>
    <t>SZTH4D2B-01-04、SZTH4D2B-01-06、SZTH4D2B-01-08、SZTH4D2B-01-10、SZTH4D2B-01-12、SZTH4D2B-01-14、SZTH4D2B-01-16、SZTH4D2B-01-18、SZTH4D2B-01-20、SZTH4D2B-01-22、SZTH4D2B-01-24、SZTH4D2B-02-01、SZTH4D2B-02-03、SZTH4D2B-02-05、SZTH4D2B-02-07、SZTH4D2B-02-09、SZTH4D2B-02-11、SZTH4D2B-02-13、SZTH4D2B-02-16、SZTH4D2B-02-18、SZTH4D2B-02-20、SZTH4D2B-02-22、SZTH4D2B-02-24、SZTH4D2B-03-02、SZTH4D2B-03-04、SZTH4D2B-03-16、SZTH4D2B-03-18、SZTH4D2B-03-20、SZTH4D2B-03-22、SZTH4D2B-03-24、SZTH4D2B-04-14、SZTH4D2B-04-16、SZTH4D2B-04-18、SZTH4D2B-05-02、SZTH4D2B-05-04、SZTH4D2B-05-06、SZTH4D2B-05-08、SZTH4D2B-05-10、SZTH4D2B-05-12、SZTH4D2B-05-14、SZTH4D2B-05-16、SZTH4D2B-05-18、SZTH4D2B-05-20、SZTH4D2B-05-22、SZTH4D2B-05-24、SZTH4D2B-06-01、SZTH4D2B-06-03、SZTH4D2B-06-05、SZTH4D2B-06-07、SZTH4D2B-06-09、SZTH4D2B-06-11、SZTH4D2B-06-13、SZTH4D2B-06-16、SZTH4D2B-06-18、SZTH4D2B-06-20、SZTH4D2B-06-22、SZTH4D2B-06-24、SZTH4D2B-07-02、SZTH4D2B-07-04、SZTH4D2B-07-06、SZTH4D2B-07-08、SZTH4D2B-07-10、SZTH4D2B-07-12、SZTH4D2B-07-14、SZTH4D2B-07-16、SZTH4D2B-07-18、SZTH4D2B-07-20、SZTH4D2B-07-22、SZTH4D2B-07-24</t>
  </si>
  <si>
    <t>SZTH4D3D-05-06、SZTH4D3D-05-08、SZTH4D3D-06-16、SZTH4D3D-06-18、SZTH4D3D-06-20、SZTH4D3D-06-24、SZTH4D3D-07-16、SZTH4D3D-07-20、SZTH4D3D-07-22、SZTH4D3D-07-24</t>
  </si>
  <si>
    <t>SZTH4D2B-03-06、SZTH4D2B-03-08、SZTH4D2B-03-10、SZTH4D2B-03-12、SZTH4D2B-03-14、SZTH4D2B-04-02、SZTH4D2B-04-04、SZTH4D2B-04-06、SZTH4D2B-04-08、SZTH4D2B-04-10</t>
  </si>
  <si>
    <t>SZTH4D3C-01-02、SZTH4D3C-01-06、SZTH4D3C-01-08、SZTH4D3C-01-12、SZTH4D3C-01-14、SZTH4D3C-01-16、SZTH4D3C-01-20、SZTH4D3C-01-22、SZTH4D3C-01-24、SZTH4D3C-02-01SZTH4D3C-02-03SZTH4D3C-02-07SZTH4D3C-02-09SZTH4D3D-01-02SZTH4D3D-01-06、SZTH4D3D-01-08、SZTH4D3D-01-12、SZTH4D3D-01-14、SZTH4D3D-01-16、SZTH4D3D-01-20、SZTH4D3D-01-22、SZTH4D3D-01-24、SZTH4D3D-02-22SZTH4D3D-02-24、SZTH4D3D-02-01、SZTH4D3D-02-03、SZTH4D3D-02-07、SZTH4D3D-02-09、SZTH4D3D-02-13、SZTH4D3D-02-16、SZTH4D3D-02-18、SZTH4D3D-03-02、SZTH4D3D-03-06、SZTH4D3D-03-08、SZTH4D3D-03-12、SZTH4D3D-03-14、SZTH4D3D-03-16、SZTH4D3D-03-20、SZTH4D3D-03-22、SZTH4D3D-03-24、SZTH4D3D-04-02、SZTH4D3D-04-04、SZTH4D3D-04-08、SZTH4D3D-04-10、SZTH4D3D-04-14、SZTH4D3D-04-16、SZTH4D3D-05-02、SZTH4D3D-05-16、SZTH4D3D-05-20、SZTH4D3D-05-22、SZTH4D3D-05-24</t>
  </si>
  <si>
    <t>SZTH4D3C-02-20、SZTH4D3C-02-22、SZTH4D3C-03-02、SZTH4D3C-03-06、SZTH4D3C-03-08、SZTH4D3C-03-12、SZTH4D3C-03-14、SZTH4D3C-03-16、SZTH4D3C-03-20、SZTH4D3C-03-22SZTH4D3C-03-24SZTH4D3C-04-02SZTH4D3C-04-04SZTH4D3C-04-08SZTH4D3C-04-10、SZTH4D3C-04-14、SZTH4D3C-04-16、SZTH4D3C-05-02、SZTH4D3C-05-06、SZTH4D3C-05-08、SZTH4D3C-05-12、SZTH4D3C-05-14、SZTH4D3C-05-16SZTH4D3C-05-20、SZTH4D3C-05-22、SZTH4D3C-05-24、SZTH4D3C-06-09、SZTH4D3C-06-20、SZTH4D3C-06-22、SZTH4D3C-07-16、SZTH4D3C-07-20</t>
  </si>
  <si>
    <t>SZTH4D2A-05-01、SZTH4D2A-06-10</t>
  </si>
  <si>
    <t>SZTH4D2A-06-01、SZTH4D2A-06-04、SZTH4D2A-06-07、SZTH4D2A-07-10</t>
  </si>
  <si>
    <t>SZTH4D2A-07-07</t>
  </si>
  <si>
    <t>SZTH4D2A-05-05
SZTH4D2A-05-06
SZTH4D2A-05-08
SZTH4D2A-05-09
SZTH4D2A-05-11
SZTH4D2A-05-12
SZTH4D2A-07-02
SZTH4D2A-07-03
SZTH4D2A-07-05
SZTH4D2A-07-06</t>
  </si>
  <si>
    <t>SZTH4D3C-06-01
SZTH4D3C-06-03
SZTH4D3C-06-05
SZTH4D3C-07-02
SZTH4D3C-07-04
SZTH4D3C-07-06
SZTH4D3C-07-08
SZTH4D3C-07-10
SZTH4D3C-07-12
SZTH4D3C-07-14</t>
  </si>
  <si>
    <t>SZTH4D2A-07-05、SZTH4D2A-07-06</t>
  </si>
  <si>
    <t>SZTH4D2A-05-05、SZTH4D2A-05-06、SZTH4D2A-05-07、SZTH4D2A-05-08、SZTH4D2A-05-09、SZTH4D2A-05-10、SZTH4D2A-05-11、SZTH4D2A-05-12</t>
  </si>
  <si>
    <t>SZTH4D2A-05-04</t>
  </si>
  <si>
    <t>SZTH4D2A-05-07、SZTH4D2A-05-08、SZTH4D2A-05-09、SZTH4D2A-05-10、SZTH4D2A-05-11、SZTH4D2A-05-12</t>
  </si>
  <si>
    <t>SZTH4D3C-06-07、SZTH4D3C-07-22、SZTH4D3C-07-24</t>
  </si>
  <si>
    <t>SZTH4D2C-04-09、SZTH4D2C-04-10</t>
  </si>
  <si>
    <t>SZTH4D2C-01-05、SZTH4D2C-01-07、SZTH4D2C-02-03、SZTH4D2C-02-05</t>
  </si>
  <si>
    <t>SZTH4D2A-07-05、SZTH4D2A-07-06、SZTH4D2C-06-17、SZTH4D2C-06-19、SZTH4D2C-06-21、SZTH4D2C-07-11、SZTH4D2C-07-12、SZTH4D2C-07-17、SZTH4D2C-07-18、SZTH4D2C-07-19、SZTH4D2C-07-20、SZTH4D2D-01-01、SZTH4D2D-01-02</t>
  </si>
  <si>
    <t>SZTH4D2A-04-12、SZTH4D2A-04-13、SZTH4D2B-04-12、SZTH4D2B-04-13、SZTH4D2C-01-10、SZTH4D2C-02-10、SZTH4D2C-03-01、SZTH4D2C-03-10、SZTH4D2C-04-02、SZTH4D2C-04-11、SZTH4D2C-05-01、SZTH4D2C-05-10、SZTH4D2C-06-10、SZTH4D2C-07-10、SZTH4D2D-04-12、SZTH4D2D-04-13、SZTH4D3C-04-12、SZTH4D3C-04-13、SZTH4D3D-04-12、SZTH4D3D-04-13</t>
  </si>
  <si>
    <t>202304 太湖机房四期（SZTH4D2、4D3C 3D）超电流，暂按1100A计提</t>
  </si>
  <si>
    <t>182215IDC00467</t>
  </si>
  <si>
    <t>太湖机房四期三层（SZTH4D3A）4.1期</t>
  </si>
  <si>
    <t>SZTH4D3A-01-01、SZTH4D3A-01-02、SZTH4D3A-01-03、SZTH4D3A-01-04、SZTH4D3A-01-05、SZTH4D3A-01-06、SZTH4D3A-01-07、SZTH4D3A-01-08、SZTH4D3A-01-09、SZTH4D3A-01-10、SZTH4D3A-01-11、SZTH4D3A-01-12、SZTH4D3A-01-13、SZTH4D3A-01-14、SZTH4D3A-01-15、SZTH4D3A-01-16、SZTH4D3A-01-17、SZTH4D3A-01-18、SZTH4D3A-01-19、SZTH4D3A-01-20、SZTH4D3A-01-21、SZTH4D3A-01-22、SZTH4D3A-01-23、SZTH4D3A-01-24、SZTH4D3A-01-25、SZTH4D3A-01-26、SZTH4D3A-01-27、SZTH4D3A-01-28、SZTH4D3A-01-29、SZTH4D3A-01-30、SZTH4D3A-01-31、SZTH4D3A-02-01、SZTH4D3A-02-02、SZTH4D3A-02-03、SZTH4D3A-02-04、SZTH4D3A-02-05、SZTH4D3A-02-06、SZTH4D3A-02-07、SZTH4D3A-02-08、SZTH4D3A-02-09、SZTH4D3A-02-10、SZTH4D3A-02-11、SZTH4D3A-02-12、SZTH4D3A-02-13、SZTH4D3A-02-14、SZTH4D3A-02-15、SZTH4D3A-02-18、SZTH4D3A-02-19、SZTH4D3A-02-20、SZTH4D3A-02-21、SZTH4D3A-02-22、SZTH4D3A-02-23、SZTH4D3A-02-24、SZTH4D3A-02-25、SZTH4D3A-02-26、SZTH4D3A-02-27、SZTH4D3A-02-28、SZTH4D3A-02-29、SZTH4D3A-02-30、SZTH4D3A-02-31、SZTH4D3A-06-02、SZTH4D3A-06-04、SZTH4D3A-06-06、SZTH4D3A-06-08、SZTH4D3A-06-10、SZTH4D3A-06-12、SZTH4D3A-06-14、SZTH4D3A-06-16、SZTH4D3A-06-18、SZTH4D3A-06-20、SZTH4D3A-06-22、SZTH4D3A-06-24、SZTH4D3A-06-26、SZTH4D3A-06-28、SZTH4D3A-06-30、SZTH4D3A-02-16、SZTH4D3A-02-17、SZTH4D3A-05-16、SZTH4D3A-05-17、SZTH4D3A-05-18、SZTH4D3A-05-19、SZTH4D3A-03-02、SZTH4D3A-03-03、SZTH4D3A-03-04、SZTH4D3A-03-05、SZTH4D3A-03-06、SZTH4D3A-03-07、SZTH4D3A-03-08、SZTH4D3A-03-09、SZTH4D3A-03-10、SZTH4D3A-03-11、SZTH4D3A-03-12、SZTH4D3A-03-13、SZTH4D3A-03-14、SZTH4D3A-03-15、SZTH4D3A-03-16、SZTH4D3A-03-17、SZTH4D3A-03-18、SZTH4D3A-03-19、SZTH4D3A-03-20、SZTH4D3A-03-21、SZTH4D3A-03-22、SZTH4D3A-03-23、SZTH4D3A-03-24、SZTH4D3A-03-25、SZTH4D3A-03-26、SZTH4D3A-03-27、SZTH4D3A-03-28、SZTH4D3A-03-29、SZTH4D3A-03-30、SZTH4D3A-04-01、SZTH4D3A-04-02、SZTH4D3A-04-03、SZTH4D3A-04-04、SZTH4D3A-04-05、SZTH4D3A-04-06、SZTH4D3A-04-07、SZTH4D3A-04-08、SZTH4D3A-04-09、SZTH4D3A-04-10、SZTH4D3A-04-11、SZTH4D3A-04-12、SZTH4D3A-04-13、SZTH4D3A-04-14、SZTH4D3A-04-17、SZTH4D3A-04-18、SZTH4D3A-04-19、SZTH4D3A-04-20、SZTH4D3A-04-21、SZTH4D3A-04-22、SZTH4D3A-04-23、SZTH4D3A-04-24、SZTH4D3A-04-25、SZTH4D3A-04-26、SZTH4D3A-04-27、SZTH4D3A-05-01、SZTH4D3A-05-02、SZTH4D3A-05-03、SZTH4D3A-05-04、SZTH4D3A-05-05、SZTH4D3A-05-06、SZTH4D3A-05-07、SZTH4D3A-05-08、SZTH4D3A-05-09、SZTH4D3A-05-10、SZTH4D3A-05-11、SZTH4D3A-05-12、SZTH4D3A-05-13、SZTH4D3A-05-14、SZTH4D3A-05-15、SZTH4D3A-05-20、SZTH4D3A-05-21、SZTH4D3A-05-22、SZTH4D3A-05-23、SZTH4D3A-05-24、SZTH4D3A-05-25、SZTH4D3A-05-26、SZTH4D3A-05-27、SZTH4D3A-05-28、SZTH4D3A-05-29、SZTH4D3A-05-30、SZTH4D3A-05-31、SZTH4D3A-06-01、SZTH4D3A-06-03、SZTH4D3A-06-05、SZTH4D3A-06-07、SZTH4D3A-06-09、SZTH4D3A-06-11、SZTH4D3A-06-13、SZTH4D3A-06-15、SZTH4D3A-06-17、SZTH4D3A-06-19、SZTH4D3A-06-21、SZTH4D3A-06-23、SZTH4D3A-06-25、SZTH4D3A-06-27、SZTH4D3A-06-29、SZTH4D3A-06-31</t>
  </si>
  <si>
    <t>SZTH4D3A-03-01、SZTH4D3A-03-31</t>
  </si>
  <si>
    <t>SZTH4D3A-04-15、SZTH4D3A-04-16</t>
  </si>
  <si>
    <t>202304 太湖机房四期三层（SZTH4D3A）超电流，暂按50A计提</t>
  </si>
  <si>
    <t>182215IDC00523</t>
  </si>
  <si>
    <t>太湖机房四期四层（SZTH4D4D）4.2期</t>
  </si>
  <si>
    <t>SZTH4D4D-05-15</t>
  </si>
  <si>
    <t>SZTH4D4D-02-15、SZTH4D4D-02-16、SZTH4D4D-02-17、SZTH4D4D-02-18、SZTH4D4D-01-01、SZTH4D4D-01-02、SZTH4D4D-01-03、SZTH4D4D-01-04、SZTH4D4D-01-05、SZTH4D4D-01-06、SZTH4D4D-01-07、SZTH4D4D-01-08、SZTH4D4D-01-09、SZTH4D4D-01-10、SZTH4D4D-01-11、SZTH4D4D-01-12、SZTH4D4D-01-13、SZTH4D4D-01-14、SZTH4D4D-01-15、SZTH4D4D-01-18、SZTH4D4D-01-19、SZTH4D4D-01-20、SZTH4D4D-01-21、SZTH4D4D-01-22、SZTH4D4D-01-23、SZTH4D4D-01-24、SZTH4D4D-01-25、SZTH4D4D-01-26、SZTH4D4D-01-27、SZTH4D4D-01-28、SZTH4D4D-01-29、SZTH4D4D-01-30、SZTH4D4D-01-31、SZTH4D4D-02-01、SZTH4D4D-02-02、SZTH4D4D-02-03、SZTH4D4D-02-04、SZTH4D4D-02-05、SZTH4D4D-02-06、SZTH4D4D-02-07、SZTH4D4D-02-08、SZTH4D4D-02-09、SZTH4D4D-02-10、SZTH4D4D-02-11、SZTH4D4D-02-12、SZTH4D4D-02-13、SZTH4D4D-02-14、SZTH4D4D-02-19、SZTH4D4D-02-20、SZTH4D4D-02-21、SZTH4D4D-02-22、SZTH4D4D-02-23、SZTH4D4D-02-24、SZTH4D4D-02-25、SZTH4D4D-02-26、SZTH4D4D-02-27、SZTH4D4D-02-28、SZTH4D4D-02-29、SZTH4D4D-02-30、SZTH4D4D-02-31、SZTH4D4D-03-01、SZTH4D4D-03-02、SZTH4D4D-03-03、SZTH4D4D-03-04、SZTH4D4D-03-05、SZTH4D4D-03-06、SZTH4D4D-03-07、SZTH4D4D-03-08、SZTH4D4D-03-09、SZTH4D4D-03-10、SZTH4D4D-03-11、SZTH4D4D-03-12、SZTH4D4D-03-13、SZTH4D4D-03-14、SZTH4D4D-03-15、SZTH4D4D-03-16、SZTH4D4D-03-17、SZTH4D4D-03-18、SZTH4D4D-03-19、SZTH4D4D-03-20、SZTH4D4D-03-21、SZTH4D4D-03-22、SZTH4D4D-03-23、SZTH4D4D-03-24、SZTH4D4D-03-25、SZTH4D4D-03-26、SZTH4D4D-03-27、SZTH4D4D-03-28、SZTH4D4D-03-29、SZTH4D4D-03-30、SZTH4D4D-03-31、SZTH4D4D-04-01、SZTH4D4D-04-02、SZTH4D4D-04-03、SZTH4D4D-04-04、SZTH4D4D-04-05、SZTH4D4D-04-06、SZTH4D4D-04-07、SZTH4D4D-04-08、SZTH4D4D-04-09、SZTH4D4D-04-10、SZTH4D4D-04-11、SZTH4D4D-04-12、SZTH4D4D-04-13、SZTH4D4D-04-14、SZTH4D4D-04-15、SZTH4D4D-04-16、SZTH4D4D-04-17、SZTH4D4D-04-18、SZTH4D4D-04-19、SZTH4D4D-04-20、SZTH4D4D-04-21、SZTH4D4D-04-22、SZTH4D4D-04-23、SZTH4D4D-04-24、SZTH4D4D-04-25、SZTH4D4D-04-26、SZTH4D4D-04-27、SZTH4D4D-05-01、SZTH4D4D-05-02、SZTH4D4D-05-03、SZTH4D4D-05-04、SZTH4D4D-05-05</t>
  </si>
  <si>
    <t>SZTH4D4D-01-16、SZTH4D4D-01-17</t>
  </si>
  <si>
    <t>202304 太湖机房四期四层（SZTH4D4D）超电流，暂按150A计提</t>
  </si>
  <si>
    <t>182215IDC00524</t>
  </si>
  <si>
    <t>太湖机房五期（SZTH5D2A、3A、3B、3C、3D）</t>
  </si>
  <si>
    <t>SZTH5D2A-04-01、SZTH5D3A-01-01、SZTH5D3A-01-02、SZTH5D3B-04-16、SZTH5D3C-05-17、SZTH5D3D-04-16</t>
  </si>
  <si>
    <t>SZTH5D3A-02-06、SZTH5D3A-02-07、SZTH5D3A-02-08、SZTH5D3A-02-09、SZTH5D3A-02-10、SZTH5D3A-02-11、SZTH5D3A-03-05、SZTH5D3A-03-06、SZTH5D3A-03-07、SZTH5D3A-03-08、SZTH5D3A-03-09、SZTH5D3A-03-10、SZTH5D3A-04-06、SZTH5D3A-04-07、SZTH5D3A-04-08、SZTH5D3A-04-09、SZTH5D3A-04-10、SZTH5D3A-04-11、SZTH5D3A-05-06、SZTH5D3A-05-07、SZTH5D3A-05-08、SZTH5D3A-05-09、SZTH5D3A-05-10、SZTH5D3A-05-11、SZTH5D3A-06-05、SZTH5D3A-06-06、SZTH5D3A-06-07、SZTH5D3A-06-08、SZTH5D3A-06-09、SZTH5D3A-06-10、SZTH5D3A-07-06、SZTH5D3A-07-07、SZTH5D3A-07-08、SZTH5D3A-07-09、SZTH5D3A-07-10、SZTH5D3A-07-11、SZTH5D3A-08-06、SZTH5D3A-08-07、SZTH5D3A-08-08、SZTH5D3A-08-09、SZTH5D3A-08-10、SZTH5D3A-08-11、SZTH5D3A-09-06、SZTH5D3A-09-07、SZTH5D3A-09-08、SZTH5D3A-09-09、SZTH5D3A-09-10、SZTH5D3A-09-11、SZTH5D3B-03-01、SZTH5D3B-03-02、SZTH5D3B-05-01、SZTH5D3B-05-02、SZTH5D3B-08-01、SZTH5D3B-08-02、SZTH5D2A-02-16、SZTH5D2A-02-17、SZTH5D2A-04-16、SZTH5D2A-04-17、SZTH5D2A-06-14、SZTH5D2A-06-15、SZTH5D3B-02-03、SZTH5D3B-02-04、SZTH5D3B-02-05、SZTH5D3B-02-06、SZTH5D3B-02-07、SZTH5D3B-02-08、SZTH5D3B-02-09、SZTH5D3B-02-10、SZTH5D3B-02-11、SZTH5D3B-02-12、SZTH5D3B-02-13、SZTH5D3B-02-14、SZTH5D3B-02-15、SZTH5D3B-02-16、SZTH5D3B-03-03、SZTH5D3B-03-04、SZTH5D3B-03-05、SZTH5D3B-03-06、SZTH5D3B-03-07、SZTH5D3B-03-08、SZTH5D3B-03-09、SZTH5D3B-03-10、SZTH5D3B-03-11、SZTH5D3B-03-12、SZTH5D3B-03-13、SZTH5D3B-03-14、SZTH5D3B-04-02、SZTH5D3B-04-03、SZTH5D3B-04-04、SZTH5D3B-04-05、SZTH5D3B-04-06、SZTH5D3B-04-07、SZTH5D3B-04-08、SZTH5D3B-04-09、SZTH5D3B-04-10、SZTH5D3B-04-11、SZTH5D3B-04-12、SZTH5D3B-04-13、SZTH5D3B-04-14、SZTH5D3B-04-15、SZTH5D3B-05-03、SZTH5D3B-05-04、SZTH5D3B-05-05、SZTH5D3B-05-06、SZTH5D3B-05-07、SZTH5D3B-05-08、SZTH5D3B-05-09、SZTH5D3B-05-10、SZTH5D3B-05-11、SZTH5D3B-05-12、SZTH5D3B-05-13、SZTH5D3B-05-14、SZTH5D3B-05-15、SZTH5D3B-05-16、SZTH5D3B-06-02、SZTH5D3B-06-03、SZTH5D3B-06-04、SZTH5D3B-06-05、SZTH5D3B-06-06、SZTH5D3B-06-07、SZTH5D3B-06-08、SZTH5D3B-06-09、SZTH5D3B-06-10、SZTH5D3B-06-11、SZTH5D3B-06-12、SZTH5D3B-06-13、SZTH5D3B-06-14、SZTH5D3B-07-01、SZTH5D3B-07-02、SZTH5D3B-07-03、SZTH5D3B-07-04、SZTH5D3B-07-05、SZTH5D3B-07-06、SZTH5D3B-07-07、SZTH5D3B-07-08、SZTH5D3B-07-09、SZTH5D3B-07-10、SZTH5D3B-07-11、SZTH5D3B-07-12、SZTH5D3B-07-13、SZTH5D3B-07-14、SZTH5D3B-07-15、SZTH5D3B-07-16、SZTH5D3B-08-03、SZTH5D3B-08-04、SZTH5D3B-08-05、SZTH5D3B-08-06、SZTH5D3B-08-07、SZTH5D3B-08-08、SZTH5D3B-08-09、SZTH5D3B-08-10、SZTH5D3B-08-11、SZTH5D3B-08-12、SZTH5D3B-08-13、SZTH5D3B-08-14、SZTH5D3B-08-15、SZTH5D3B-08-16、SZTH5D3B-09-01、SZTH5D3B-09-02、SZTH5D3B-09-03、SZTH5D3B-09-04、SZTH5D3B-09-05、SZTH5D3B-09-06、SZTH5D3B-09-07、SZTH5D3B-09-08、SZTH5D3B-09-09、SZTH5D3B-09-10、SZTH5D3B-09-11、SZTH5D3B-09-12、SZTH5D3B-09-13、SZTH5D3B-09-14、SZTH5D3B-09-15、SZTH5D3B-09-16、SZTH5D3C-01-01、SZTH5D3C-01-02、SZTH5D3C-01-03、SZTH5D3C-01-04、SZTH5D3C-01-05、SZTH5D3C-01-06、SZTH5D3C-01-07、SZTH5D3C-01-08、SZTH5D3C-01-09、SZTH5D3C-01-10、SZTH5D3C-01-11、SZTH5D3C-01-12、SZTH5D3C-01-13、SZTH5D3C-01-14、SZTH5D3C-01-15、SZTH5D3C-01-16、SZTH5D3C-01-17、SZTH5D3C-02-03、SZTH5D3C-02-04、SZTH5D3C-02-05、SZTH5D3C-02-06、SZTH5D3C-02-07、SZTH5D3C-02-08、SZTH5D3C-02-09、SZTH5D3C-02-10、SZTH5D3C-02-11、SZTH5D3C-02-12、SZTH5D3C-02-13、SZTH5D3C-02-14、SZTH5D3C-02-15、SZTH5D3C-02-16、SZTH5D3C-02-17、SZTH5D3C-03-03、SZTH5D3C-03-04、SZTH5D3C-03-05、SZTH5D3C-03-06、SZTH5D3C-03-07、SZTH5D3C-03-08、SZTH5D3C-03-09、SZTH5D3C-03-10、SZTH5D3C-03-11、SZTH5D3C-03-12、SZTH5D3C-03-13、SZTH5D3C-03-14、SZTH5D3C-03-15、SZTH5D3C-04-02、SZTH5D3C-04-03、SZTH5D3C-04-04、SZTH5D3C-04-05、SZTH5D3C-04-06、SZTH5D3C-04-07、SZTH5D3C-04-08、SZTH5D3C-04-09、SZTH5D3C-04-10、SZTH5D3C-04-11、SZTH5D3C-04-12、SZTH5D3C-04-13、SZTH5D3C-04-14、SZTH5D3C-04-15、SZTH5D3C-04-16、SZTH5D3C-04-17、SZTH5D3C-05-03、SZTH5D3C-05-04、SZTH5D3C-05-05、SZTH5D3C-05-06、SZTH5D3C-05-07、SZTH5D3C-05-08、SZTH5D3C-05-09、SZTH5D3C-05-10、SZTH5D3C-05-11、SZTH5D3C-05-12、SZTH5D3C-05-13、SZTH5D3C-05-14、SZTH5D3C-05-15、SZTH5D3C-05-16、SZTH5D3C-06-02、SZTH5D3C-06-03、SZTH5D3C-06-04、SZTH5D3C-06-05、SZTH5D3C-06-06、SZTH5D3C-06-07、SZTH5D3C-06-08、SZTH5D3C-06-09、SZTH5D3C-06-10、SZTH5D3C-06-11、SZTH5D3C-06-12、SZTH5D3C-06-13、SZTH5D3C-06-14、SZTH5D3C-06-15、SZTH5D3C-07-01、SZTH5D3C-07-02、SZTH5D3C-07-03、SZTH5D3C-07-04、SZTH5D3C-07-05、SZTH5D3C-07-06、SZTH5D3C-07-07、SZTH5D3C-07-08、SZTH5D3C-07-09、SZTH5D3C-07-10、SZTH5D3C-07-11、SZTH5D3C-07-12、SZTH5D3C-07-13、SZTH5D3C-07-14、SZTH5D3C-07-15、SZTH5D3C-07-16、SZTH5D3C-07-17、SZTH5D3C-08-03、SZTH5D3C-08-04、SZTH5D3C-08-05、SZTH5D3C-08-06、SZTH5D3C-08-07、SZTH5D3C-08-09、SZTH5D3C-02-01、SZTH5D3C-02-02、SZTH5D3C-03-01、SZTH5D3C-03-02、SZTH5D3C-05-01、SZTH5D3C-05-02、SZTH5D3C-08-01、SZTH5D3C-08-02、SZTH5D3D-02-01、SZTH5D3D-02-02、SZTH5D3D-03-01、SZTH5D3D-03-02、SZTH5D3D-05-01、SZTH5D3D-05-02、SZTH5D3D-08-01、SZTH5D3D-08-02</t>
  </si>
  <si>
    <t>SZTH5D2A-01-11、SZTH5D2A-01-12、SZTH5D2A-01-13、SZTH5D2A-01-14、SZTH5D2A-01-16、SZTH5D2A-01-17、SZTH5D2A-01-01、SZTH5D2A-01-02、SZTH5D2A-01-03、SZTH5D2A-01-04、SZTH5D2A-01-05、SZTH5D2A-01-06、SZTH5D2A-01-07、SZTH5D2A-01-08、SZTH5D2A-01-09、SZTH5D2A-01-10、SZTH5D2A-03-02</t>
  </si>
  <si>
    <t>SZTH5D3C-08-10、SZTH5D3C-08-11、SZTH5D3C-08-12、SZTH5D3C-08-13、SZTH5D3C-08-14、SZTH5D3C-08-15、SZTH5D3C-08-16、SZTH5D3C-08-17、SZTH5D3C-09-01、SZTH5D3C-09-02、SZTH5D3C-09-03、SZTH5D3C-09-04、SZTH5D3C-09-05、SZTH5D3C-09-06、SZTH5D3C-09-07、SZTH5D3C-09-08、SZTH5D3C-09-09、SZTH5D3C-09-10、SZTH5D3C-09-11、SZTH5D3C-09-12、SZTH5D3C-09-13、SZTH5D3C-09-14、SZTH5D3C-09-15、SZTH5D3C-09-16、SZTH5D3C-09-17、SZTH5D3D-01-01、SZTH5D3D-01-02、SZTH5D3D-01-03、SZTH5D3D-01-04、SZTH5D3D-01-05、SZTH5D3D-01-06、SZTH5D3D-01-07、SZTH5D3D-01-08、SZTH5D3D-01-09、SZTH5D3D-01-10、SZTH5D3D-01-11、SZTH5D3D-01-12、SZTH5D3D-01-13、SZTH5D3D-01-14、SZTH5D3D-01-15、SZTH5D3D-01-16、SZTH5D3D-02-03、SZTH5D3D-02-04、SZTH5D3D-02-05、SZTH5D3D-02-06、SZTH5D3D-02-07、SZTH5D3D-02-08、SZTH5D3D-02-09、SZTH5D3D-02-10、SZTH5D3D-02-11、SZTH5D3D-02-12、SZTH5D3D-02-13、SZTH5D3D-02-14、SZTH5D3D-02-15、SZTH5D3D-02-16、SZTH5D3D-03-03、SZTH5D3D-03-04、SZTH5D3D-03-05、SZTH5D3D-03-06、SZTH5D3D-03-07、SZTH5D3D-03-08、SZTH5D3D-03-09、SZTH5D3D-03-10、SZTH5D3D-03-11、SZTH5D3D-03-12、SZTH5D3D-03-13、SZTH5D3D-03-14、SZTH5D3D-04-02、SZTH5D3D-04-03、SZTH5D3D-04-04、SZTH5D3D-04-05、SZTH5D3D-04-06、SZTH5D3D-04-07、SZTH5D3D-04-08、SZTH5D3D-04-09、SZTH5D3D-04-10、SZTH5D3D-04-11、SZTH5D3D-04-12、SZTH5D3D-04-13、SZTH5D3D-04-14、SZTH5D3D-04-15、SZTH5D3D-05-03、SZTH5D3D-05-04、SZTH5D3D-05-05、SZTH5D3D-05-06、SZTH5D3D-05-07、SZTH5D3D-05-08、SZTH5D3D-05-09、SZTH5D3D-05-10、SZTH5D3D-05-11、SZTH5D3D-05-12、SZTH5D3D-05-13、SZTH5D3D-05-14、SZTH5D3D-05-15、SZTH5D3C-08-08</t>
  </si>
  <si>
    <t>SZTH5D2A-03-03、SZTH5D2A-03-04、SZTH5D2A-03-05、SZTH5D2A-03-06、SZTH5D2A-03-07、SZTH5D2A-03-08、SZTH5D2A-03-09、SZTH5D2A-03-10、SZTH5D2A-03-11、SZTH5D2A-03-12、SZTH5D2A-03-13、SZTH5D2A-03-14、SZTH5D2A-04-02、SZTH5D2A-04-03、SZTH5D2A-04-04、SZTH5D2A-04-05、SZTH5D2A-04-06、SZTH5D2A-04-07、SZTH5D2A-04-08、SZTH5D2A-04-09、SZTH5D2A-04-10、SZTH5D2A-04-11、SZTH5D2A-04-12、SZTH5D2A-04-13、SZTH5D2A-04-14、SZTH5D2A-04-15</t>
  </si>
  <si>
    <t>SZTH5D2A-02-14、SZTH5D2A-03-01、SZTH5D2A-05-09、SZTH5D2A-05-10、SZTH5D2A-05-11、SZTH5D2A-05-12、SZTH5D2A-05-13、SZTH5D2A-05-14、SZTH5D2A-05-15、SZTH5D2A-05-16</t>
  </si>
  <si>
    <t>SZTH5D2A-05-08</t>
  </si>
  <si>
    <t>SZTH5D3A-04-02、SZTH5D3A-04-03、SZTH5D3A-04-04、SZTH5D3A-04-05、SZTH5D3A-05-02、SZTH5D3A-05-03、SZTH5D3A-05-04、SZTH5D3A-05-05</t>
  </si>
  <si>
    <t>SZTH5D2A-05-02</t>
  </si>
  <si>
    <t>SZTH5D2A-05-07、SZTH5D3D-05-16、SZTH5D3D-06-03、SZTH5D3D-08-03、SZTH5D3D-08-04、SZTH5D3D-08-05、SZTH5D3D-08-06、SZTH5D3D-08-07、SZTH5D3D-08-08、SZTH5D3D-08-09、SZTH5D3D-08-10、SZTH5D3D-08-11、SZTH5D3D-08-12、SZTH5D3D-08-14</t>
  </si>
  <si>
    <t>SZTH5D2A-01-15、SZTH5D2A-02-01、SZTH5D2A-02-02、SZTH5D2A-02-03、SZTH5D2A-02-04、SZTH5D2A-02-05、SZTH5D2A-02-06、SZTH5D2A-02-07、SZTH5D2A-02-08、SZTH5D2A-02-09、SZTH5D2A-02-10、SZTH5D2A-02-11、SZTH5D2A-02-12、SZTH5D2A-02-13、SZTH5D2A-02-15、SZTH5D2A-05-01、SZTH5D2A-05-03、SZTH5D2A-05-04、SZTH5D2A-05-05、SZTH5D2A-05-06、SZTH5D2A-06-01、SZTH5D2A-06-02、SZTH5D2A-06-03、SZTH5D2A-06-04、SZTH5D2A-06-05、SZTH5D2A-06-06、SZTH5D2A-06-07、SZTH5D2A-06-08、SZTH5D2A-06-09、SZTH5D2A-06-10、SZTH5D2A-06-11、SZTH5D2A-06-12、SZTH5D2A-06-13、SZTH5D2A-07-01、SZTH5D2A-07-02、SZTH5D2A-07-03、SZTH5D2A-07-04、SZTH5D2A-07-05、SZTH5D2A-07-06、SZTH5D2A-07-07、SZTH5D2A-07-08、SZTH5D2A-07-09、SZTH5D2A-07-10、SZTH5D2A-07-11、SZTH5D2A-07-12、SZTH5D2A-07-13、SZTH5D2A-07-14、SZTH5D2A-07-15、SZTH5D2A-07-16、SZTH5D2A-07-17、SZTH5D3D-06-02、SZTH5D3D-06-04、SZTH5D3D-06-05、SZTH5D3D-06-06、SZTH5D3D-06-07、SZTH5D3D-06-08、SZTH5D3D-06-09、SZTH5D3D-06-10、SZTH5D3D-06-11、SZTH5D3D-06-12、SZTH5D3D-06-13、SZTH5D3D-06-14、SZTH5D3D-07-01、SZTH5D3D-07-02、SZTH5D3D-07-03、SZTH5D3D-07-04、SZTH5D3D-07-05、SZTH5D3D-07-06、SZTH5D3D-07-07、SZTH5D3D-07-08、SZTH5D3D-07-09、SZTH5D3D-07-10、SZTH5D3D-07-11、SZTH5D3D-07-12、SZTH5D3D-07-13、SZTH5D3D-07-14、SZTH5D3D-07-15、SZTH5D3D-07-16</t>
  </si>
  <si>
    <t>SZTH5D3D-08-15、SZTH5D3D-08-16、SZTH5D3D-09-01、SZTH5D3D-09-02、SZTH5D3D-09-03</t>
  </si>
  <si>
    <t>SZTH5D3D-08-13</t>
  </si>
  <si>
    <t>SZTH5D2A-03-15、SZTH5D2A-05-17、SZTH5D3A-03-01、SZTH5D3A-03-11、SZTH5D3A-05-01、SZTH5D3A-05-12、SZTH5D3A-07-01、SZTH5D3A-07-12、SZTH5D3B-04-01、SZTH5D3B-06-01、SZTH5D3C-04-01、SZTH5D3C-06-01、SZTH5D3D-04-01、SZTH5D3D-06-01</t>
  </si>
  <si>
    <t>SZTH5D3D-09-04、SZTH5D3D-09-05、SZTH5D3D-09-06、SZTH5D3D-09-07、SZTH5D3D-09-08、SZTH5D3D-09-09、SZTH5D3D-09-10、SZTH5D3D-09-11、SZTH5D3D-09-12、SZTH5D3D-09-13、SZTH5D3D-09-14、SZTH5D3D-09-15、SZTH5D3D-09-16</t>
  </si>
  <si>
    <t>202304 太湖机房五期（SZTH5D）超电流，暂按600A计提</t>
  </si>
  <si>
    <t>182215IDC00688</t>
  </si>
  <si>
    <t>太湖机房六期6.1（SZTH5D4A、4B）</t>
  </si>
  <si>
    <t>SZTH5D4A-08-01、SZTH5D4B-08-20</t>
  </si>
  <si>
    <t>SZTH5D4A-06-08、SZTH5D4A-06-09、SZTH5D4A-06-10、SZTH5D4A-06-11、SZTH5D4A-06-12、SZTH5D4A-06-13、SZTH5D4A-06-14、SZTH5D4A-06-15、SZTH5D4A-06-16、SZTH5D4A-07-01、SZTH5D4A-07-02、SZTH5D4A-07-03、SZTH5D4A-07-04、SZTH5D4A-07-05、SZTH5D4A-07-06、SZTH5D4A-07-07、SZTH5D4A-07-08、SZTH5D4A-07-09、SZTH5D4A-07-10、SZTH5D4A-07-11、SZTH5D4A-07-12、SZTH5D4A-07-13、SZTH5D4A-07-14、SZTH5D4A-07-15、SZTH5D4A-07-16、SZTH5D4A-07-17、SZTH5D4A-07-18、SZTH5D4A-07-19、SZTH5D4A-08-05、SZTH5D4A-08-06、SZTH5D4A-08-07、SZTH5D4A-08-08、SZTH5D4A-08-09、SZTH5D4A-08-10、SZTH5D4A-08-11、SZTH5D4A-08-12、SZTH5D4A-08-13、SZTH5D4A-08-14、SZTH5D4A-08-15、SZTH5D4A-08-16、SZTH5D4A-08-17、SZTH5D4A-08-18、SZTH5D4A-08-19、SZTH5D4A-08-20、SZTH5D4B-07-13、SZTH5D4B-07-14、SZTH5D4B-07-15、SZTH5D4B-07-16、SZTH5D4B-07-17、SZTH5D4B-07-18、SZTH5D4B-07-19、SZTH5D4B-07-20、SZTH5D4B-08-03、SZTH5D4B-08-04、SZTH5D4B-08-05、SZTH5D4B-08-06、SZTH5D4B-08-07、SZTH5D4B-08-08、SZTH5D4B-08-09、SZTH5D4B-08-10、SZTH5D4B-08-11、SZTH5D4B-08-12、SZTH5D4B-08-13、SZTH5D4B-08-14、SZTH5D4B-08-15、SZTH5D4B-08-16、SZTH5D4B-08-17、SZTH5D4B-08-18、SZTH5D4B-08-19、SZTH5D4A-01-01、SZTH5D4A-01-02、SZTH5D4A-01-03、SZTH5D4A-01-04、SZTH5D4A-01-05、SZTH5D4A-01-06、SZTH5D4A-01-07、SZTH5D4A-01-08、SZTH5D4A-01-09、SZTH5D4A-01-10、SZTH5D4A-01-11、SZTH5D4A-01-12、SZTH5D4A-01-13、SZTH5D4A-01-14、SZTH5D4A-01-15、SZTH5D4A-01-16、SZTH5D4A-01-17、SZTH5D4A-01-18、SZTH5D4A-01-19、SZTH5D4A-01-20、SZTH5D4A-02-01、SZTH5D4A-02-02、SZTH5D4A-02-03、SZTH5D4A-02-04、SZTH5D4A-02-05、SZTH5D4A-02-06、SZTH5D4A-02-07、SZTH5D4A-02-08、SZTH5D4A-02-09、SZTH5D4A-02-10、SZTH5D4A-02-11、SZTH5D4A-02-12、SZTH5D4A-02-13、SZTH5D4A-02-14、SZTH5D4A-02-15、SZTH5D4A-02-16、SZTH5D4A-02-17、SZTH5D4A-02-18、SZTH5D4A-03-01、SZTH5D4A-03-02、SZTH5D4A-03-03、SZTH5D4A-03-04、SZTH5D4A-03-05、SZTH5D4A-03-06、SZTH5D4A-03-07、SZTH5D4A-03-08、SZTH5D4A-03-09、SZTH5D4A-03-10、SZTH5D4A-03-11、SZTH5D4A-03-12、SZTH5D4A-03-13、SZTH5D4A-03-14、SZTH5D4A-03-15、SZTH5D4A-03-16、SZTH5D4A-03-17、SZTH5D4A-04-01、SZTH5D4A-04-02、SZTH5D4A-04-03、SZTH5D4A-04-04、SZTH5D4A-04-05、SZTH5D4A-04-06、SZTH5D4A-04-07、SZTH5D4A-04-08、SZTH5D4A-04-09、SZTH5D4A-04-10、SZTH5D4A-04-11、SZTH5D4A-04-12、SZTH5D4A-04-13、SZTH5D4A-04-14、SZTH5D4A-04-15、SZTH5D4A-04-16、SZTH5D4A-04-17、SZTH5D4A-04-18、SZTH5D4A-04-19、SZTH5D4A-04-20、SZTH5D4A-05-01、SZTH5D4A-05-02、SZTH5D4A-05-03、SZTH5D4A-05-04、SZTH5D4A-05-05、SZTH5D4A-05-06、SZTH5D4A-05-07、SZTH5D4A-05-08、SZTH5D4A-05-09、SZTH5D4A-05-10、SZTH5D4A-05-11、SZTH5D4A-05-12、SZTH5D4A-05-13、SZTH5D4A-05-14、SZTH5D4A-05-15、SZTH5D4A-05-16、SZTH5D4A-05-17、SZTH5D4A-05-18、SZTH5D4A-05-19、SZTH5D4A-05-20、SZTH5D4A-06-01、SZTH5D4A-06-02、SZTH5D4A-06-03、SZTH5D4A-06-04、SZTH5D4A-06-05、SZTH5D4A-06-06、SZTH5D4A-06-07、SZTH5D4A-06-17、SZTH5D4A-06-18、SZTH5D4B-01-01、SZTH5D4B-01-02、SZTH5D4B-01-03、SZTH5D4B-01-04、SZTH5D4B-01-05、SZTH5D4B-01-06、SZTH5D4B-01-07、SZTH5D4B-01-08、SZTH5D4B-01-09、SZTH5D4B-01-10、SZTH5D4B-01-11、SZTH5D4B-01-12、SZTH5D4B-01-13、SZTH5D4B-01-14、SZTH5D4B-01-15、SZTH5D4B-01-16、SZTH5D4B-01-17、SZTH5D4B-01-18、SZTH5D4B-01-19、SZTH5D4B-01-20、SZTH5D4B-02-01、SZTH5D4B-02-02、SZTH5D4B-02-03、SZTH5D4B-02-04、SZTH5D4B-02-05、SZTH5D4B-02-06、SZTH5D4B-02-07、SZTH5D4B-02-08、SZTH5D4B-02-09、SZTH5D4B-02-10、SZTH5D4B-02-11、SZTH5D4B-02-12、SZTH5D4B-02-13、SZTH5D4B-02-14、SZTH5D4B-02-15、SZTH5D4B-02-16、SZTH5D4B-02-17、SZTH5D4B-02-18、SZTH5D4B-03-02、SZTH5D4B-03-03、SZTH5D4B-03-04、SZTH5D4B-03-05、SZTH5D4B-03-06、SZTH5D4B-03-07、SZTH5D4B-03-08、SZTH5D4B-03-09、SZTH5D4B-03-10、SZTH5D4B-03-11、SZTH5D4B-03-12、SZTH5D4B-03-13、SZTH5D4B-03-14、SZTH5D4B-03-15、SZTH5D4B-03-16、SZTH5D4B-03-17、SZTH5D4B-03-18、SZTH5D4B-04-01、SZTH5D4B-04-02、SZTH5D4B-04-03、SZTH5D4B-04-04、SZTH5D4B-04-05、SZTH5D4B-04-06、SZTH5D4B-04-07、SZTH5D4B-04-08、SZTH5D4B-04-09、SZTH5D4B-04-10、SZTH5D4B-04-11、SZTH5D4B-04-12、SZTH5D4B-04-13、SZTH5D4B-04-14、SZTH5D4B-04-15、SZTH5D4B-04-16、SZTH5D4B-04-17、SZTH5D4B-04-18、SZTH5D4B-04-19、SZTH5D4B-04-20、SZTH5D4B-05-01、SZTH5D4B-05-02、SZTH5D4B-05-03、SZTH5D4B-05-04、SZTH5D4B-05-05、SZTH5D4B-05-06、SZTH5D4B-05-07、SZTH5D4B-05-08、SZTH5D4B-05-09、SZTH5D4B-05-10、SZTH5D4B-05-11、SZTH5D4B-05-12、SZTH5D4B-05-13、SZTH5D4B-05-14、SZTH5D4B-05-15、SZTH5D4B-05-16、SZTH5D4B-05-17、SZTH5D4B-05-18、SZTH5D4B-05-19、SZTH5D4B-06-01、SZTH5D4B-06-02、SZTH5D4B-08-01、SZTH5D4B-08-02、SZTH5D4B-05-20、SZTH5D4B-06-03、SZTH5D4B-06-04、SZTH5D4B-06-05、SZTH5D4B-06-06、SZTH5D4B-06-07、SZTH5D4B-06-08、SZTH5D4B-06-09、SZTH5D4B-06-10、SZTH5D4B-06-11、SZTH5D4B-06-12、SZTH5D4B-06-13、SZTH5D4B-06-14、SZTH5D4B-06-15、SZTH5D4B-06-16、SZTH5D4B-06-17、SZTH5D4B-06-18、SZTH5D4B-07-02、SZTH5D4B-07-03、SZTH5D4B-07-04、SZTH5D4B-07-05、SZTH5D4B-07-06、SZTH5D4B-07-07、SZTH5D4B-07-08、SZTH5D4B-07-09、SZTH5D4B-07-10、SZTH5D4B-07-11、SZTH5D4B-07-12</t>
  </si>
  <si>
    <t>太湖机房六期6.2（SZTH5D4C、4D、5A）</t>
  </si>
  <si>
    <t>SZTH5D4D-08-20</t>
  </si>
  <si>
    <t>SZTH5D4C-01-01、SZTH5D4C-01-02、SZTH5D4C-01-03、SZTH5D4C-01-04、SZTH5D4C-01-05、SZTH5D4C-01-06、SZTH5D4C-01-07、SZTH5D4C-01-08、SZTH5D4C-01-09、SZTH5D4C-01-10、SZTH5D4C-01-11、SZTH5D4C-01-12、SZTH5D4C-01-13、SZTH5D4C-01-14、SZTH5D4C-01-15、SZTH5D4C-01-16、SZTH5D4C-01-17、SZTH5D4C-01-18、SZTH5D4C-01-19、SZTH5D4C-01-20、SZTH5D4C-02-01、SZTH5D4C-02-02、SZTH5D4C-02-03、SZTH5D4C-02-04、SZTH5D4C-02-05、SZTH5D4C-02-06、SZTH5D4C-02-07、SZTH5D4C-02-08、SZTH5D4C-02-09、SZTH5D4C-02-10、SZTH5D4C-02-11、SZTH5D4C-02-12、SZTH5D4C-02-13、SZTH5D4C-02-14、SZTH5D4C-02-15、SZTH5D4C-02-16、SZTH5D4C-02-17、SZTH5D4C-02-18、SZTH5D4C-03-02、SZTH5D4C-03-03、SZTH5D4C-03-04、SZTH5D4C-03-05、SZTH5D4C-03-06、SZTH5D4C-03-07、SZTH5D4C-03-08、SZTH5D4C-03-09、SZTH5D4C-03-10、SZTH5D4C-03-11、SZTH5D4C-03-12、SZTH5D4C-03-13、SZTH5D4C-03-14、SZTH5D4C-03-15、SZTH5D4C-03-16、SZTH5D4C-03-17、SZTH5D4C-03-18、SZTH5D4C-04-01、SZTH5D4C-04-02、SZTH5D4C-04-03、SZTH5D4C-04-04、SZTH5D4C-04-05、SZTH5D4C-04-06、SZTH5D4C-04-07、SZTH5D4C-04-08、SZTH5D4C-04-09、SZTH5D4C-04-10、SZTH5D4C-04-11、SZTH5D4C-04-12、SZTH5D4C-04-13、SZTH5D4C-04-14、SZTH5D4C-04-15、SZTH5D4C-04-16、SZTH5D4C-04-17、SZTH5D4C-05-01、SZTH5D4C-05-02、SZTH5D4C-08-01、SZTH5D4C-08-02、SZTH5D4D-02-01、SZTH5D4D-02-02、SZTH5D4D-05-01、SZTH5D4D-05-02、SZTH5D4D-08-01、SZTH5D4D-08-02、SZTH5D5A-02-01、SZTH5D5A-02-17、SZTH5D5A-02-18、SZTH5D5A-05-19、SZTH5D5A-05-20</t>
  </si>
  <si>
    <t>2023.2 SYS更新电流为20A：SZTH5D4C-08-20</t>
  </si>
  <si>
    <t>SZTH5D4C-04-18、SZTH5D4C-04-19、SZTH5D4C-04-20、SZTH5D4C-05-03、SZTH5D4C-05-04、SZTH5D4C-05-05、SZTH5D4C-05-06、SZTH5D4C-05-07、SZTH5D4C-05-08、SZTH5D4C-05-09、SZTH5D4C-05-10、SZTH5D4C-05-11、SZTH5D4C-05-12、SZTH5D4C-05-13</t>
  </si>
  <si>
    <t>SZTH5D4C-05-14、SZTH5D4C-05-15、SZTH5D4C-05-16、SZTH5D4C-05-17、SZTH5D4C-05-18、SZTH5D4C-05-19</t>
  </si>
  <si>
    <t>SZTH5D4C-05-20、SZTH5D4C-06-01、SZTH5D4C-06-02、SZTH5D4C-06-03、SZTH5D4C-06-04、SZTH5D4C-06-05、SZTH5D4C-06-06、SZTH5D4C-06-07、SZTH5D4C-06-08、SZTH5D4C-06-09、SZTH5D4C-06-10、SZTH5D4C-06-11</t>
  </si>
  <si>
    <t>SZTH5D4C-06-12、SZTH5D4C-06-13、SZTH5D4C-06-14、SZTH5D4C-06-15、SZTH5D4C-06-16、SZTH5D4C-06-17、SZTH5D4C-06-18、SZTH5D4C-07-02、SZTH5D4C-07-03</t>
  </si>
  <si>
    <t>SZTH5D4C-07-04、SZTH5D4C-07-05、SZTH5D4C-07-06、SZTH5D4C-07-07、SZTH5D4C-07-08、SZTH5D4C-07-09、SZTH5D4C-07-10、SZTH5D4C-07-11、SZTH5D4C-07-12、SZTH5D4C-07-13、SZTH5D4C-07-14、SZTH5D4C-07-15、SZTH5D4C-07-16、SZTH5D4C-07-17、SZTH5D4C-07-18、SZTH5D4C-07-19、SZTH5D4C-07-20、SZTH5D4C-08-04</t>
  </si>
  <si>
    <t>SZTH5D4C-08-03、SZTH5D4C-08-05、SZTH5D4C-08-06、SZTH5D4C-08-07、SZTH5D4C-08-08、SZTH5D4C-08-09、SZTH5D4C-08-10、SZTH5D4C-08-11、SZTH5D4C-08-12、SZTH5D4C-08-13、SZTH5D4C-08-14</t>
  </si>
  <si>
    <t>SZTH5D5A-01-17、SZTH5D5A-01-18、SZTH5D5A-01-19、SZTH5D5A-01-20</t>
  </si>
  <si>
    <t>SZTH5D4C-08-15、SZTH5D4C-08-16、SZTH5D4C-08-17、SZTH5D4C-08-18、SZTH5D4C-08-19、SZTH5D4D-01-01、SZTH5D4D-01-02、SZTH5D4D-01-03、SZTH5D4D-01-04、SZTH5D4D-01-05、SZTH5D4D-01-06、SZTH5D4D-01-07、SZTH5D4D-01-08、SZTH5D4D-01-09、SZTH5D4D-01-10、SZTH5D4D-01-11、SZTH5D4D-01-12、SZTH5D4D-01-13、SZTH5D4D-01-14、SZTH5D4D-01-15、SZTH5D4D-01-16、SZTH5D4D-01-17、SZTH5D4D-01-18、SZTH5D4D-01-19、SZTH5D4D-01-20、SZTH5D4D-02-03、SZTH5D4D-02-04、SZTH5D4D-02-05、SZTH5D4D-02-06、SZTH5D4D-02-07</t>
  </si>
  <si>
    <t>SZTH5D4D-02-08、SZTH5D4D-02-09、SZTH5D4D-02-10</t>
  </si>
  <si>
    <t>SZTH5D4D-02-11、SZTH5D4D-02-12、SZTH5D4D-02-13、SZTH5D4D-02-14、SZTH5D4D-02-15</t>
  </si>
  <si>
    <t>SZTH5D5A-01-13、SZTH5D5A-01-14、SZTH5D5A-01-15、SZTH5D5A-01-16</t>
  </si>
  <si>
    <t>每使用20个40A机柜送1个，可送24个机柜</t>
  </si>
  <si>
    <t>太湖机房六期</t>
  </si>
  <si>
    <t>202304 太湖机房六期超电流，暂按800A计提</t>
  </si>
  <si>
    <t>SZTH5D4A-08-02、SZTH5D4A-08-03、SZTH5D4A-08-04</t>
  </si>
  <si>
    <t>182215IDC00689</t>
  </si>
  <si>
    <t>吉山机房四期(NJJS 5D 503 504)</t>
  </si>
  <si>
    <t>NJJS5D504-D-15、NJJS5D503-A-07、NJJS5D503-A-08、NJJS5D503-A-09、NJJS5D503-A-10、NJJS5D503-A-11、NJJS5D503-B-07、NJJS5D503-B-08、NJJS5D503-B-09、NJJS5D503-C-09、NJJS5D503-D-07、NJJS5D503-D-08、NJJS5D503-D-09、NJJS5D503-E-01、NJJS5D503-E-02、NJJS5D503-E-03、NJJS5D503-E-06、NJJS5D503-E-09</t>
  </si>
  <si>
    <t>NJJS5D504-A-01、NJJS5D504-A-04、NJJS5D504-A-07、NJJS5D504-A-10、NJJS5D504-A-13、NJJS5D504-B-03、NJJS5D504-B-06、NJJS5D504-B-09、NJJS5D504-B-12、NJJS5D504-C-02、NJJS5D504-C-05、NJJS5D504-C-08、NJJS5D504-C-11、NJJS5D504-C-14、NJJS5D504-D-03、NJJS5D504-D-06、NJJS5D504-D-09、NJJS5D504-D-12、NJJS5D504-E-03、NJJS5D504-E-06、NJJS5D504-E-09、NJJS5D504-E-12、NJJS5D504-E-15、NJJS5D504-E-18、NJJS5D504-F-01、NJJS5D504-F-02、NJJS5D504-F-04、NJJS5D504-F-07、NJJS5D504-F-10、NJJS5D504-F-13、NJJS5D504-F-16、NJJS5D504-G-03、NJJS5D504-G-06、NJJS5D504-G-09、NJJS5D504-G-12、NJJS5D504-G-15、NJJS5D504-G-18、NJJS5D504-H-01、NJJS5D504-H-04、NJJS5D504-H-07、NJJS5D504-H-10、NJJS5D504-H-13</t>
  </si>
  <si>
    <t>54.5A</t>
  </si>
  <si>
    <t>NJJS5D503-C-01、NJJS5D503-C-02、NJJS5D503-C-03、NJJS5D503-C-04、NJJS5D503-C-05、NJJS5D503-C-06、NJJS5D503-D-01、NJJS5D503-D-02、NJJS5D503-D-03、NJJS5D503-D-04、NJJS5D503-D-05、NJJS5D503-D-06</t>
  </si>
  <si>
    <t>NJJS5D503-A-02、NJJS5D503-A-04、NJJS5D503-A-06、NJJS5D503-B-01、NJJS5D503-B-03、NJJS5D503-B-05</t>
  </si>
  <si>
    <t>NJJS5D503-C-07、NJJS5D503-C-08、NJJS5D503-C-10、NJJS5D503-E-04、NJJS5D503-E-05、NJJS5D503-E-07</t>
  </si>
  <si>
    <t>NJJS5D504-H-02、NJJS5D504-H-03</t>
  </si>
  <si>
    <t>NJJS5D504-A-02、NJJS5D504-A-03、NJJS5D504-A-05、NJJS5D504-A-06、NJJS5D504-A-08、NJJS5D504-A-09</t>
  </si>
  <si>
    <t>NJJS5D504-A-11、NJJS5D504-A-12、NJJS5D504-A-14、NJJS5D504-B-01</t>
  </si>
  <si>
    <t>NJJS5D504-B-02、NJJS5D504-B-04、NJJS5D504-B-05</t>
  </si>
  <si>
    <t>NJJS5D504-C-01、NJJS5D504-C-03、NJJS5D504-C-04、NJJS5D504-C-06、NJJS5D504-C-07、NJJS5D504-C-09、NJJS5D504-C-10、NJJS5D504-C-12</t>
  </si>
  <si>
    <t>NJJS5D504-D-02、NJJS5D504-D-04、NJJS5D504-D-05、NJJS5D504-D-07、NJJS5D504-D-08、NJJS5D504-D-10、NJJS5D504-D-11、NJJS5D504-D-13、NJJS5D504-D-14</t>
  </si>
  <si>
    <t>NJJS5D504-B-10、NJJS5D504-B-11、NJJS5D504-B-13、NJJS5D504-B-14</t>
  </si>
  <si>
    <t>NJJS5D504-B-07、NJJS5D504-B-08、NJJS5D504-C-13、NJJS5D504-E-02、NJJS5D504-E-04、NJJS5D504-E-05、NJJS5D504-E-07、NJJS5D504-E-08、NJJS5D504-E-10、NJJS5D504-E-11、NJJS5D504-E-13、NJJS5D504-E-14、NJJS5D504-E-16、NJJS5D504-E-17、NJJS5D504-F-03</t>
  </si>
  <si>
    <t>NJJS5D504-F-05、NJJS5D504-F-06、NJJS5D504-F-08、NJJS5D504-F-09、NJJS5D504-F-11、NJJS5D504-F-12、NJJS5D504-F-14、NJJS5D504-F-15、NJJS5D504-F-17、NJJS5D504-F-18、NJJS5D504-G-01、NJJS5D504-G-02、NJJS5D504-G-04、NJJS5D504-G-05、NJJS5D504-G-07、NJJS5D504-G-08、NJJS5D504-G-10、NJJS5D504-G-11</t>
  </si>
  <si>
    <t>NJJS5D504-G-13、NJJS5D504-G-14、NJJS5D504-G-16、NJJS5D504-G-17、NJJS5D504-H-05、NJJS5D504-H-06、NJJS5D504-H-08、NJJS5D504-H-09、NJJS5D504-H-11、NJJS5D504-H-12、NJJS5D504-H-14</t>
  </si>
  <si>
    <t>NJJS5D503-A-11、NJJS5D503-B-07、NJJS5D503-C-07、NJJS5D503-C-08、NJJS5D503-C-09、NJJS5D503-D-08、NJJS5D503-E-04、NJJS5D503-E-05、NJJS5D503-E-06</t>
  </si>
  <si>
    <t>NJJS5D503-D-01、NJJS5D503-D-03、NJJS5D503-D-06</t>
  </si>
  <si>
    <t>NJJS5D503-C-11、NJJS5D503-E-08</t>
  </si>
  <si>
    <t>吉山机房四期(NJJS 5D 501 502)</t>
  </si>
  <si>
    <t>NJJS5D502-E-18</t>
  </si>
  <si>
    <t>NJJS5D502-B-01、NJJS5D502-B-02、NJJS5D501-A-01、NJJS5D501-A-02</t>
  </si>
  <si>
    <t>NJJS5D502-A-01、NJJS5D502-A-02、NJJS5D502-A-03、NJJS5D502-A-04、NJJS5D502-A-05、NJJS5D502-A-06、NJJS5D502-A-07、NJJS5D502-A-08、NJJS5D502-A-09、NJJS5D502-A-10、NJJS5D502-A-11、NJJS5D502-A-12、NJJS5D502-A-13、NJJS5D502-A-14、NJJS5D502-A-15、NJJS5D502-A-16、NJJS5D502-A-17</t>
  </si>
  <si>
    <t>NJJS5D502-B-03、NJJS5D502-B-04、NJJS5D502-B-05、NJJS5D502-B-06、NJJS5D502-B-07、NJJS5D502-B-08</t>
  </si>
  <si>
    <t>NJJS5D502-B-10、NJJS5D502-B-11</t>
  </si>
  <si>
    <t>吉山机房四期(NJJS 5D 503 504 501 502)</t>
  </si>
  <si>
    <t>202304 吉山机房四期(NJJS 5D 503 504) 超电流，暂按150A计提</t>
  </si>
  <si>
    <t>L20211202005</t>
  </si>
  <si>
    <t>40A-20A</t>
  </si>
  <si>
    <t>2021.11机柜改造，由20A更新为40A，调整计提单价。SZTH3D3A-10-16、SZTH3D3A-10-17</t>
  </si>
  <si>
    <t>L20220910002</t>
  </si>
  <si>
    <t>南京
NJJS 200G</t>
  </si>
  <si>
    <t>南京吉山电信</t>
  </si>
  <si>
    <t>免费4640，使用8192，收费3552，从2020.9.25开始计费</t>
  </si>
  <si>
    <t>2个C</t>
  </si>
  <si>
    <t>南京电信NJ02  IPv4代播静态全球代播2个C</t>
  </si>
  <si>
    <t>2020/11/5开通2个CIP 代播，计费26天：106.12.250.0/23</t>
  </si>
  <si>
    <t>4个C</t>
  </si>
  <si>
    <t>2020/12/18开通4个C IP代播，114.110.96.0/22</t>
  </si>
  <si>
    <t>12个C</t>
  </si>
  <si>
    <t>122.248.48.0/22
122.248.52.0/22
122.248.56.0/22</t>
  </si>
  <si>
    <t>L20220910003</t>
  </si>
  <si>
    <t>太湖机房
苏州万国电信 40G
太湖电信 80G</t>
  </si>
  <si>
    <t>太湖电信</t>
  </si>
  <si>
    <t>免费960，使用6144，收费5184，从2020.9.25开始计费</t>
  </si>
  <si>
    <t>苏州太湖三线-苏州电信</t>
  </si>
  <si>
    <t>L20220910005</t>
  </si>
  <si>
    <t>苏州太湖三线-电信</t>
  </si>
  <si>
    <t>苏州三级电信</t>
  </si>
  <si>
    <t>2021/10/1开通苏州太湖三线，CDN免费768个
IPV4使用：121.228.171.0/24、121.228.173.0/24，预留：121.228.179.0/24（预留段运营商也要收费）
IPV6使用：240E:0979:0E03::/48</t>
  </si>
  <si>
    <t>退租前期预留的256个CDN IP：121.228.179.0/24</t>
  </si>
  <si>
    <t>SZTH-CT-ST-2</t>
  </si>
  <si>
    <t>2021/10/1开通苏州太湖三线，IDC免费1536个，收费768个，其中1024为IDC使用，512为CDN在苏州BGP二级使用。收费IP段为：
121.228.176.0/24
121.228.177.0/24
121.228.180.0/24
121.228.181.0/24</t>
  </si>
  <si>
    <t>苏州太湖三线-电信（苏州BGP二级）</t>
  </si>
  <si>
    <t>SZTH-CT-ST-2（苏州BGP二级）</t>
  </si>
  <si>
    <t>2021/10/1开通苏州太湖三线，IDC免费1536个，收费768个，其中1024为IDC使用，512为CDN在苏州BGP二级使用。
收费IP段为：121.228.178.0/24
121.228.174.0/24</t>
  </si>
  <si>
    <t>2021/10/1开通苏州太湖三线，IDC免费1536个，收费768个，免费IP段为：121.228.182.0/24
121.228.183.0/24
121.228.184.0/24</t>
  </si>
  <si>
    <t>2022/7/6 SZTH-电信CDN 新增512个IP：117.81.94.0/24、
114.219.141.0/24</t>
  </si>
  <si>
    <t>边缘计算，180.101.85.0/24</t>
  </si>
  <si>
    <t>边缘计算退租IP：180.101.85.0/24</t>
  </si>
  <si>
    <t>CDNSUZIX</t>
  </si>
  <si>
    <t>2021/10/1开通苏州太湖三线，实际使用19个机柜。SUZIX303-B07-23、SUZIX303-B07-22、SUZIX303-B07-21、SUZIX303-B07-20、SUZIX303-B07-19、SUZIX303-B06-19、SUZIX303-B06-20、SUZIX303-B06-21、SUZIX303-B06-22、SUZIX303-B06-23、SUZIX303-B06-24、SUZIX303-B06-25、SUZIX303-B06-26、SUZIX303-B06-27、SUZIX303-B06-28、SUZIX303-B06-29、SUZIX303-B06-30、SUZIX303-B06-31、SUZIX303-B06-32</t>
  </si>
  <si>
    <t>苏州三级电信（苏州BGP二级）</t>
  </si>
  <si>
    <t>SUZBGPCACHE303-B07-24、SUZBGPCACHE303-B07-25、SUZBGPCACHE303-B07-26、SUZBGPCACHE303-B07-27、SUZBGPCACHE303-B07-28、SUZBGPCACHE303-B07-29、SUZBGPCACHE303-B07-30、SUZBGPCACHE303-B07-31</t>
  </si>
  <si>
    <t>宿迁电信</t>
  </si>
  <si>
    <t>L20221215008</t>
  </si>
  <si>
    <t>宿迁电信
SQCT 200G</t>
  </si>
  <si>
    <t>宿迁电信二级</t>
  </si>
  <si>
    <t>使用544个IP，均免费。222.187.255.0/24;218.93.204.0/24;222.187.242.160/27</t>
  </si>
  <si>
    <t>宿迁</t>
  </si>
  <si>
    <t>2022/6/18 由CDN转BEC使用：180.101.38.0/24（该段 IP于2022/6/18由CDN转BEC使用）;222.187.242.128/27;180.101.161.0/24（CDN继续使用）。
宿迁电信每万兆送32IP，共送1280个，超过单价50</t>
  </si>
  <si>
    <t>宿迁2电信
SQ2CT 200G</t>
  </si>
  <si>
    <t>2023.3经与SYS核对：222.187.242.128/27，为CDN已分配，未使用</t>
  </si>
  <si>
    <t>2023.3经与SYS核对：180.101.161.0/24</t>
  </si>
  <si>
    <t>【BEC新建】宿迁电信新建0G  2022-06-18 节点正式上线  (SQCTCACHE)，新增IP:180.101.78.0/24</t>
  </si>
  <si>
    <t>宿迁电信+宿迁2
SQCT+SQ2CT</t>
  </si>
  <si>
    <t>宿迁2电信</t>
  </si>
  <si>
    <t>CDNSQCT</t>
  </si>
  <si>
    <t>SQCT SQ2CT免费提供40个机架：SQCT2F-11-05、SQCT2F-11-04、SQCT2F-11-03、SQCT2F-11-02、SQCT2F-10-14、SQCT2F-10-13、SQCT2F-10-12、SQCT2F-11-01</t>
  </si>
  <si>
    <t>2021/7/14退租，免费机柜 SQCT2F-11-05、SQCT2F-11-04、SQCT2F-11-03</t>
  </si>
  <si>
    <t>SQCT2F-11-03</t>
  </si>
  <si>
    <t>SQCT SQ2CT免费提供40个机架：SQCT2F-10-10、SQCT2F-10-09、SQCT2F-10-08</t>
  </si>
  <si>
    <t>SQCT2F-10-10、SQCT2F-10-09、SQCT2F-10-08</t>
  </si>
  <si>
    <t>【BEC新建】宿迁电信新建0G  2022-06-18 节点正式上线  (SQCTCACHE)：BECSQCTCACHE-2F1-05、BECSQCTCACHE-2F1-06、BECSQCTCACHE-2F1-07、BECSQCTCACHE-2F1-08、BECSQCTCACHE-2F1-09、BECSQCTCACHE-2F1-10、BECSQCTCACHE-2F1-11、BECSQCTCACHE-2F1-12、BECSQCTCACHE-2F1-13、BECSQCTCACHE-2F2-01、BECSQCTCACHE-2F2-02、BECSQCTCACHE-2F2-03、BECSQCTCACHE-2F2-04、BECSQCTCACHE-2F2-05、BECSQCTCACHE-2F2-06、BECSQCTCACHE-2F2-07、BECSQCTCACHE-2F2-08、BECSQCTCACHE-2F2-09、BECSQCTCACHE-2F2-10、BECSQCTCACHE-2F2-11、BECSQCTCACHE-2F2-12、BECSQCTCACHE-2F2-13、BECSQCTCACHE-2F2-14、BECSQCTCACHE-2F1-01（申请未使用）、BECSQCTCACHE-2F1-02（申请未使用）、BECSQCTCACHE-2F1-03（申请未使用）、BECSQCTCACHE-2F1-04（申请未使用）</t>
  </si>
  <si>
    <t>【BEC扩容】宿迁电信扩容0G，新增1个机柜：BECSQCTCACHE-2F1-14</t>
  </si>
  <si>
    <t>L20221215009</t>
  </si>
  <si>
    <t>SSL IP</t>
  </si>
  <si>
    <t>苏州-南施街</t>
  </si>
  <si>
    <t>苏州电信SSL</t>
  </si>
  <si>
    <t>CDNSZ</t>
  </si>
  <si>
    <t>SSL使用768个IP，均免费（58.211.2.0/24,58.211.137.0/24,61.155.149.0/24）</t>
  </si>
  <si>
    <t>2021/9/15机房搬迁，退租768个IP，冲销15天费用。
SSL使用768个IP，均免费（58.211.2.0/24,58.211.137.0/24,61.155.149.0/24）</t>
  </si>
  <si>
    <t>SSLKSCT</t>
  </si>
  <si>
    <t>2021/9/23机房搬迁，开通768个IP，9月计费8天
SSL使用768个IP，均免费（58.211.2.0/24,58.211.137.0/24,61.155.149.0/24）</t>
  </si>
  <si>
    <t>昆山 
SUZCT 160G</t>
  </si>
  <si>
    <t>CDN使用：180.97.64.0/24;180.97.65.0/24</t>
  </si>
  <si>
    <t>BEC使用：121.227.196.0/24;121.227.168.0/24</t>
  </si>
  <si>
    <t>昆山 
SUZ2CT 160G</t>
  </si>
  <si>
    <t>苏州2电信</t>
  </si>
  <si>
    <t>使用512个IP，均免费。180.97.67.0/24;180.97.66.0/24</t>
  </si>
  <si>
    <t>SSL机架</t>
  </si>
  <si>
    <t>SSL机架2个收费。SUZ-09-17、SUZ-09-18、</t>
  </si>
  <si>
    <t>SSL机架4个收费。SUZ-10-27、SUZ-10-28、SUZ-10-29、SUZ-10-30</t>
  </si>
  <si>
    <t>2021/9/15机房搬迁，下电，冲销15天费用。SSL机架2个收费。SUZ-09-17、SUZ-09-18</t>
  </si>
  <si>
    <t>2021/9/15机房搬迁，下电，冲销15天费用。SSL机架4个收费。SUZ-10-27、SUZ-10-28、SUZ-10-29、SUZ-10-30</t>
  </si>
  <si>
    <t>苏州昆山SSL</t>
  </si>
  <si>
    <t>带宽退租后SSL2个机柜运营商未收费，每月负预提冲销。2021/9/23机房搬迁，开通，9月计费8天。SSL机架2个收费。SSLKSCT3F-I-03、SSLKSCT3F-I-04</t>
  </si>
  <si>
    <t>2021/9/23机房搬迁，开通，9月计费8天。SSL机架4个免费。SSLKSCT3F-I-05、SSLKSCT3F-I-06、SSLKSCT3F-I-07、SSLKSCT3F-I-08</t>
  </si>
  <si>
    <t>CDNSUZCT</t>
  </si>
  <si>
    <t>SUZCT3F-O-10、SUZCT3F-O-07、SUZCT3F-O-06、SUZCT3F-O-05、SUZCT3F-O-04、SUZCT3F-O-03、SUZCT3F-O-08、SUZCT3F-O-09、SUZCT3F-O-11</t>
  </si>
  <si>
    <t>SUZCT3F-N-08、SUZCT3F-N-07、SUZCT3F-N-06、SUZCT3F-N-05、SUZCT3F-N-04、SUZCT3F-N-03</t>
  </si>
  <si>
    <t>2023.3根据与SYS核对结果，调整机架编号，本单操作开通
调整前：SUZ3CT3F-O-03、SUZ3CT3F-O-04、SUZ3CT3F-O-05
调整后：SUZ3CT3F-O-12、SUZ3CT3F-O-13、SUZ3CT3F-O-14</t>
  </si>
  <si>
    <t>苏州电信扩容边缘计算，SUZ3CT3F-O-15</t>
  </si>
  <si>
    <t>中国电信股份有限公司连云港分公司</t>
  </si>
  <si>
    <t>连云港电信</t>
  </si>
  <si>
    <t>L20230227001</t>
  </si>
  <si>
    <t>连云港</t>
  </si>
  <si>
    <t>连云港三线电信</t>
  </si>
  <si>
    <t>CDNLYGIX</t>
  </si>
  <si>
    <t>23A</t>
  </si>
  <si>
    <t>【BEC新建】连云港三线电信新建50G 2023-2-1节点正式上线  (LYGIXCT)：7L1F-B-BEC02</t>
  </si>
  <si>
    <t>【BEC新建】连云港三线电信新建50G 2023-2-1节点正式上线  (LYGIXCT)：ipv4: 218.92.87.0/25、218.92.87.128/27；
ipv6: 240E:97B:608:400::/64</t>
  </si>
  <si>
    <t>中国电信股份有限公司南京分公司</t>
  </si>
  <si>
    <t>181515IDC0066</t>
  </si>
  <si>
    <t>南京03-南京吉山</t>
  </si>
  <si>
    <t>025G00129769A拆机 ，025G00129772A单价6800，025G00129775A单价6400
线路一： 编号025G00129772【NJ02南京凤凰机房 】到【南京市下关区清江花苑明月园1栋1单元102室传输机房】的2芯光纤通道，长度17公里
线路二：编号025G00129775 从[【NJ03南京河西机房】到【南京市下关区清江花苑明月园1栋1单元102室传输机房】的2芯光纤通道，长度16公里
（原合同中南京泰山新村至南京下关清江花苑明月园的光纤已经退租）</t>
  </si>
  <si>
    <t>181715IDC00008</t>
  </si>
  <si>
    <t>吉山机房NJJS一期</t>
  </si>
  <si>
    <t xml:space="preserve">吉山机房，2017年12月22日验收，12月25日开始计费，NJJS401-E-03
NJJS401-E-04
NJJS401-E-05
NJJS401-E-06
NJJS401-E-07
NJJS401-E-08
NJJS401-E-09
NJJS401-E-10
NJJS401-E-11
NJJS401-E-12
NJJS401-E-13
NJJS401-E-14
NJJS401-E-15
NJJS401-E-16
NJJS401-E-17
NJJS401-E-18
NJJS401-F-01
NJJS401-F-02
NJJS401-F-03
NJJS401-F-04
NJJS401-F-05
NJJS401-F-06
NJJS401-F-07
NJJS401-F-08
NJJS401-F-09
NJJS401-F-10
NJJS401-F-11
NJJS401-F-12
NJJS401-F-13
NJJS401-F-14
NJJS401-F-15
NJJS401-F-16
NJJS401-F-17
NJJS401-F-18
NJJS401-G-03
NJJS401-G-04
NJJS401-G-05
NJJS401-G-06
NJJS401-G-07
NJJS401-G-08
NJJS401-G-09
NJJS401-G-10
NJJS401-G-11
NJJS401-G-12
NJJS401-G-13
NJJS401-H-01
NJJS401-H-02
NJJS401-H-03
NJJS401-H-04
NJJS401-H-05
NJJS401-H-06
NJJS401-H-07
NJJS401-H-08
NJJS401-H-09
NJJS401-H-10
NJJS401-H-11
NJJS401-H-12
NJJS401-H-13
NJJS401-I-01
NJJS401-I-02
NJJS401-I-03
NJJS401-I-04
NJJS401-I-05
NJJS401-I-06
NJJS401-I-07
NJJS401-I-08
NJJS401-I-09
NJJS401-I-10
NJJS401-I-11
NJJS401-I-12
NJJS401-I-13
NJJS401-I-14
NJJS401-J-01
NJJS401-J-02
NJJS401-J-03
NJJS401-J-04
NJJS401-J-05
NJJS401-J-06
NJJS401-J-07
NJJS401-J-08
NJJS401-J-09
NJJS401-J-10
NJJS401-J-11
NJJS401-J-12
NJJS401-J-13
NJJS401-J-14
NJJS401-H-14
NJJS401-H-15
</t>
  </si>
  <si>
    <t>吉山机房，2018年1月7日上架，NJJS302-D-15
NJJS302-F-01
NJJS302-F-02</t>
  </si>
  <si>
    <t>吉山机房，2018年1月17日上架，NJJS302-G-06
NJJS302-G-07
NJJS302-G-08
NJJS302-G-09
NJJS302-G-10</t>
  </si>
  <si>
    <t>2018年8月15日关闭8个机架
NJJS402-A-07，NJJS402-A-10，NJJS402-A-12，NJJS402-B-01，NJJS402-B-04，NJJS402-B-07，NJJS402-B-10，NJJS402-B-13</t>
  </si>
  <si>
    <t>NJJS402-A-11，13，14</t>
  </si>
  <si>
    <t>NJJS402-A-12</t>
  </si>
  <si>
    <t>NJJS401-A-14
NJJS401-A-15</t>
  </si>
  <si>
    <t>NJJS401-B-07
NJJS401-B-08</t>
  </si>
  <si>
    <t>NJJS401-B-09，9月新增</t>
  </si>
  <si>
    <t>NJJS402-D-07~13,NJJS401-B-13</t>
  </si>
  <si>
    <t>NJJS401-B-10~12</t>
  </si>
  <si>
    <t>NJJS401-B-14~15,NJJS402-D-14</t>
  </si>
  <si>
    <t>NJJS401-A-05~12，NJJS402-C-04</t>
  </si>
  <si>
    <t>NNJS401-A-04</t>
  </si>
  <si>
    <t>历史开通</t>
  </si>
  <si>
    <t>201909月末与运营商核对吉山机架情况，之前少计提4个6000的机架，从9月开始补计提</t>
  </si>
  <si>
    <t>NJJS402-A-06、NJJS402-B-01、NJJS402-B-02、NJJS402-B-03、NJJS402-B-04、NJJS402-B-05、NJJS402-B-06、NJJS402-B-07、NJJS402-B-08、NJJS402-B-09、NJJS402-B-10、NJJS402-B-11、NJJS402-B-12、NJJS402-B-13、NJJS402-B-14</t>
  </si>
  <si>
    <t>NJJS402-D-15</t>
  </si>
  <si>
    <t>2022/10/27 关闭4个机柜，运营商账单中按单价6000元扣减费用，但此部分机柜在IDC侧未开通，未计费，故增加一行0金额的预提行。每月拆分出4*6000=24000不支付不冲销。NJJS402-A-07、NJJS402-A-08、NJJS402-A-09、NJJS402-A-10</t>
  </si>
  <si>
    <t>吉山机房NJJS</t>
  </si>
  <si>
    <t>1A</t>
  </si>
  <si>
    <t>202304  NJJS 3 4层超电流，暂按3000A数据计提</t>
  </si>
  <si>
    <t>1817202IDC00191</t>
  </si>
  <si>
    <t>南京凤凰M2NJ-南京市建宁路30号金桥办公管理办公楼5楼</t>
  </si>
  <si>
    <t>线路编号：025G00136292A。南京M2核心数据中心凤凰机房到百度传输节点的备用光纤线路，从[南京凤凰机房]到[南京市建宁路30号金桥办公管理办公楼5楼]的[ 两 ]芯光纤通道，长度为：[ 4 ]公里</t>
  </si>
  <si>
    <t>181815IDC00198</t>
  </si>
  <si>
    <t>吉山机房NJJS二期</t>
  </si>
  <si>
    <t>202112  NJJS 3 4层超电流，暂按3500A数据计提</t>
  </si>
  <si>
    <t xml:space="preserve">NJJS603-D-10
20190524关闭
</t>
  </si>
  <si>
    <t>NJJS603-A-07</t>
  </si>
  <si>
    <t>NJJS601-A-01、NJJS601-A-02、NJJS601-A-03</t>
  </si>
  <si>
    <t>NJJS601-I-02~13，NJJS601-J-02~13，NJJS602-B-03~08</t>
  </si>
  <si>
    <t>NJJS602-B-09~14，NJJS602-C-02~10,NJJS602-A-03~16,NJJS602-C-01</t>
  </si>
  <si>
    <t>NJJS602-C-11~13，NJJS602-D-01~14，NJJS602-E-01~14</t>
  </si>
  <si>
    <t xml:space="preserve">NJJS601-A-04 NJJS601-A-05 NJJS601-A-06 NJJS601-A-07 NJJS601-A-08 NJJS601-A-09 NJJS601-A-10 NJJS601-A-11
</t>
  </si>
  <si>
    <t>NJJS601-E-01,03~18,NJJS601-F-01~19,NJJS601-G-03~13,NJJS601-H-01~14,NJJS601-A-17,NJJS601-B-01,NJJS601-B-02~19,NJJS601-C-03~06,NJJS601-C-07~18,NJJS701-A-04,NJJS601-D-13~16,NJJS601-E-02,NJJS601-D-01~04,NJJS701-A-01,03;NJJS701-A-14~17,NJJS701-B-01~19,NJJS701-C-01~18,NJJS701-D-01~16,NJJS701-E-01~03,NJJS601-I-02~13,NJJS601-J-02~13,NJJS602-A-03~16,NJJS602-B-03~14,NJJS602-C-01~13,NJJS602-D-01~14,NJJS602-E-01~14</t>
  </si>
  <si>
    <t>NJJS601-D-10~12</t>
  </si>
  <si>
    <t>NJJS701-A-05~09，NJJS601-J-14</t>
  </si>
  <si>
    <t>NJJS701-A-10</t>
  </si>
  <si>
    <t>NJJS701-A-17~18，NJJS701-F-01~02，NJJS701-G-01~02，NJJS702-B-01~02，NJJS702-F-01~02，NJJS702-G-01~02</t>
  </si>
  <si>
    <t/>
  </si>
  <si>
    <t>NJJS601-D-05~D-08</t>
  </si>
  <si>
    <t>NJJS601-D-09</t>
  </si>
  <si>
    <t>NJJS701-A-11~13，NJJS601-J-01</t>
  </si>
  <si>
    <t>NJJS701-F-03~15，NJJS701-E-08~18,NJJS601-I-01，NJJS601-I-14</t>
  </si>
  <si>
    <t>NJJS701-J-10~14</t>
  </si>
  <si>
    <t>NJJS701-F-16~19，NJJS701-G-03~05，NJJS701-I-08~09</t>
  </si>
  <si>
    <t>19.9与运营商核实后，单价由5950调整为5900.
NJJS201-A-21，NJJS501-A-18，NJJS502-A-17，NJJS501-G-01~02，NJJS501-F-01~02，NJJS502-B-01~02，NJJS502-F-01~02，NJJS502-G-01~02，NJJS201-C-01~04，NJJS201-H-01~04</t>
  </si>
  <si>
    <t>NJJS701-H-11~14，NJJS701-I-04~07，NJJS701-J-01~03</t>
  </si>
  <si>
    <t>NJJS701-G-06~12，NJJS701-H-01~10，NJJS701-I-10，NJJS701-I-14，NJJS702-A-01~12</t>
  </si>
  <si>
    <t>NJJS701-I-11~12</t>
  </si>
  <si>
    <t>NJJS702-A-13~15，NJJS701-E-07</t>
  </si>
  <si>
    <t>NJJS701-I-13，NJJS702-B-03~07</t>
  </si>
  <si>
    <t>NJJS702-B-08~09，NJJS702-J-01，NJJS701-J-07~09</t>
  </si>
  <si>
    <t>原计提数量为187，单价均为5950，19.9与运营商核对后，将计提拆分为129个5950和58个5900</t>
  </si>
  <si>
    <t>19.9与运营商核实后，单价由5950调整为5900.</t>
  </si>
  <si>
    <t>19.9与运营商核实后，单价由5950调整为5900.
NJJS502-D-01
NJJS502-D-02
NJJS502-D-03</t>
  </si>
  <si>
    <t>19.9与运营商核实后，单价由5950调整为5900.
NJJS502-C-17</t>
  </si>
  <si>
    <t xml:space="preserve">19.9与运营商核实后，单价由5950调整为5900.
NJJS502-D-05
NJJS502-D-06
NJJS502-D-07
NJJS502-D-08
NJJS502-D-09
</t>
  </si>
  <si>
    <t xml:space="preserve">19.9与运营商核实后，单价由5950调整为5900.
NJJS502-D-10
NJJS502-D-11
</t>
  </si>
  <si>
    <t xml:space="preserve">19.9与运营商核实后，单价由5950调整为5900.
NJJS502-H-04
NJJS502-H-05
NJJS502-H-06
NJJS502-H-07
NJJS502-H-08
NJJS502-H-09
NJJS502-H-10
NJJS502-H-11
NJJS502-H-12
NJJS502-H-13
NJJS502-I-12
NJJS502-I-13
NJJS502-I-14
NJJS502-G-03
</t>
  </si>
  <si>
    <t xml:space="preserve">19.9与运营商核实后，单价由5950调整为5900.
NJJS502-G-04
NJJS502-G-05
NJJS502-H-01
NJJS502-H-02
NJJS502-H-03
</t>
  </si>
  <si>
    <t xml:space="preserve">19.9与运营商核实后，单价由5950调整为5900.
二期，单价调整为5900,9月多计提在付款时冲销。NJJS501-A-01~NJJS501-A-17；
NJJS501-B-01~NJJS501-B-19；
NJJS501-C-01~NJJS501-C-18；
NJJS501-D-01~NJJS501-D-16；
NJJS501-E-03~NJJS501-E-17
</t>
  </si>
  <si>
    <t>19.9与运营商核实后，单价由5950调整为5900.
NJJS502-E-01~NJJS502-E-07；
NJJS502-F-08~NJJS502-F-15</t>
  </si>
  <si>
    <t>19.9与运营商核实后，单价由5950调整为5900.
NJJS502-G-06、NJJS502-G-07、NJJS502-G-08、NJJS502-G-09、NJJS502-G-10</t>
  </si>
  <si>
    <t>201909月末与运营商核对吉山机架情况，之前少计提37个5900的机架，从9月开始补计提</t>
  </si>
  <si>
    <t>NJJS501-F-06</t>
  </si>
  <si>
    <t>NJJS501-F-03、NJJS501-F-04、NJJS501-F-05、NJJS501-F-07、NJJS501-F-10</t>
  </si>
  <si>
    <t>NJJS501-F-08、NJJS501-F-09、NJJS501-F-11、NJJS501-F-12</t>
  </si>
  <si>
    <t>NJJS501-F-13</t>
  </si>
  <si>
    <t>NJJS501-F-17</t>
  </si>
  <si>
    <t>NJJS501-F-15</t>
  </si>
  <si>
    <t>NJJS501-H-01、NJJS501-H-02、NJJS501-H-03、NJJS501-H-04、NJJS501-H-05、NJJS501-H-06、NJJS501-H-07、NJJS501-H-08、NJJS501-H-09、NJJS501-H-10、NJJS501-H-11、NJJS501-H-12</t>
  </si>
  <si>
    <t>NJJS501-G-03、NJJS501-G-04</t>
  </si>
  <si>
    <t>NJJS502-D-12、NJJS502-D-13、NJJS502-D-14、NJJS502-F-16、NJJS502-F-17、NJJS502-F-18、NJJS502-G-11</t>
  </si>
  <si>
    <t>NJJS502-G-12、NJJS501-E-01、NJJS501-E-02、NJJS501-F-16、NJJS502-D-15</t>
  </si>
  <si>
    <t>202104根据运营商同外包现场盘点结果，更新计提价格，由5900更新为5950
2020.8更新计提价格，运营商按5900结算。NJJS601-A-01、NJJS601-A-02、NJJS601-A-03、NJJS601-C-11、NJJS602-B-15、NJJS701-H-15、NJJS701-I-01、NJJS701-I-02、NJJS701-I-03、NJJS701-J-06</t>
  </si>
  <si>
    <t>NJJS501-E-18、NJJS501-F-18、NJJS501-H-13、NJJS501-H-14、NJJS501-H-15、NJJS501-I-13、NJJS501-I-14、NJJS501-F-19、NJJS501-G-06、NJJS501-G-07、NJJS501-G-08、NJJS501-G-09、NJJS501-G-10、NJJS501-G-11、NJJS501-G-12、NJJS501-I-02、NJJS501-I-03</t>
  </si>
  <si>
    <t>NJJS501-J-01、NJJS501-J-02、NJJS501-J-03、NJJS501-J-04、NJJS501-J-05、NJJS501-J-06、NJJS501-J-07、NJJS501-J-08、NJJS501-J-09、NJJS501-J-10、NJJS501-J-11、NJJS501-J-12、NJJS501-J-13</t>
  </si>
  <si>
    <t>NJJS501-I-01、NJJS501-F-14、NJJS501-I-04、NJJS501-I-05、NJJS501-I-06、NJJS501-I-07、NJJS501-I-08、NJJS501-I-09、NJJS501-I-10、NJJS501-I-11、NJJS501-I-12、NJJS501-G-05</t>
  </si>
  <si>
    <t>NJJS501-J-14</t>
  </si>
  <si>
    <t>NJJS603-A-14、NJJS603-A-15</t>
  </si>
  <si>
    <t>NJJS502-A-16
202104根据运营商同外包现场盘点结果，增加计提行.运营商要求从202011开始追溯，故开始计费日期写为2020/11/1</t>
  </si>
  <si>
    <t>NJJS603-B-08、NJJS603-C-08
202104根据运营商同外包现场盘点结果，增加计提行.运营商要求从202011开始追溯，故开始计费日期写为2020/11/1</t>
  </si>
  <si>
    <t>NJJS603-D-12
202104根据运营商同外包现场盘点结果，增加计提行.运营商要求从202011开始追溯，故开始计费日期写为2020/11/1</t>
  </si>
  <si>
    <t>2021/5/19开通，5月计费13天：NJJS603-B-15、NJJS603-B-16</t>
  </si>
  <si>
    <t>NJJS502-G-09、NJJS502-G-10</t>
  </si>
  <si>
    <t>NJJS603-D-07、NJJS603-D-08</t>
  </si>
  <si>
    <t>202304 NJJS 5 6 7层超电流，暂按6500A数据计提（除20A之外的其他电流规格机柜的费用收取是在20A机柜的价格基础上，机柜用电量每增加1A，则另加收￥300元/月的使用费用）</t>
  </si>
  <si>
    <t>182115IDC00317</t>
  </si>
  <si>
    <t>[南京市建邺区江东中路49号二长机房8层 ]-[南京市鼓楼区张王庙88号凤凰机房]
NJ03-M2NJ</t>
  </si>
  <si>
    <t>线路编号：025G00156780。乙方为甲方建设从[南京市建邺区江东中路49号二长机房8层 ]到[南京市鼓楼区张王庙88号凤凰机房]的[ 两 ]芯光纤通道，用于[ 数据传输 ]。连接费：[2]端*[2]芯* 2000元/芯/端=[ 8000，优惠为0]元。月服务费：线路=[27]公里*1000元/月/芯/公里*[ 2 ]芯=[54000，优惠为10800]元/月。</t>
  </si>
  <si>
    <t>[南京市建邺区江东中路49号二长机房8层  ]-[南京市鼓楼区张王庙88号凤凰机房]
NJ03-M2NJ</t>
  </si>
  <si>
    <t>线路编号：025G00156779。乙方为甲方建设从[南京市建邺区江东中路49号二长机房8层  ]到[南京市鼓楼区张王庙88号凤凰机房]的[ 两 ]芯光纤通道，用于[ 数据传输 ]。连接费：[2]端*[2]芯* 2000元/芯/端=[ 8000，优惠为0]元。月服务费：线路=[16]公里*1000元/月/芯/公里*[ 2 ]芯=[32000，优惠为6400]元/月</t>
  </si>
  <si>
    <t>[南京市江宁区谷里街道东吉大道1号江苏软件园电信吉山机房1层101室]-[南京市鼓楼区张王庙88号凤凰机房]
NJJS-M2NJ</t>
  </si>
  <si>
    <t>线路编号：025G00156778。乙方为甲方建设从[南京市江宁区谷里街道东吉大道1号江苏软件园电信吉山机房1层101室]到[南京市鼓楼区张王庙88号凤凰机房]的[ 两 ]芯光纤通道， 用于[ 数据传输 ]。连接费：[2]端*[2]芯* 2000元/芯/端=[ 8000，优惠为0]元。月服务费：线路=[50]公里*1000元/月/芯/公里*[ 2 ]芯=[100000，优惠为20000]元/月</t>
  </si>
  <si>
    <t>线路编号：025G00156777。乙方为甲方建设从[南京市江宁区谷里街道东吉大道1号江苏软件园电信吉山机房1层101室]到[南京市鼓楼区张王庙88号凤凰机房]的[ 两 ]芯光纤通道，用于[ 数据传输 ]。连接费：[2]端*[2]芯* 2000元/芯/端=[ 8000，优惠为0]元。月服务费：线路=[47]公里*1000元/月/芯/公里*[ 2 ]芯=[94000，优惠为18800]元/月</t>
  </si>
  <si>
    <t>182215IDC00485</t>
  </si>
  <si>
    <t>河西二长NJ03</t>
  </si>
  <si>
    <t>NJ03</t>
  </si>
  <si>
    <t>NJ038B-G-10-13</t>
  </si>
  <si>
    <t>NJ038B-H-03</t>
  </si>
  <si>
    <t>202104根据运营商同外包现场盘点结果，更新计提数量。1个机架前期已开通，未计费。运营商从202011开始计费，故开始计费日期为2020/11/1</t>
  </si>
  <si>
    <t>202104根据运营商同外包现场盘点结果，更新计提数量。6个机架前期已开通，未计费。运营商从202011开始计费，故开始计费日期为2020/11/1</t>
  </si>
  <si>
    <t>63A</t>
  </si>
  <si>
    <t>202104根据运营商同外包现场盘点结果，更新计提数量。2个机架前期已开通，未计费。运营商从202011开始计费，故开始计费日期为2020/11/1</t>
  </si>
  <si>
    <t>NJ0311A-C-08、NJ0311A-C-11、NJ0310B-J-01～03</t>
  </si>
  <si>
    <t>NJ0310B-G-03
NJ0310B-G-04</t>
  </si>
  <si>
    <t>202104根据运营商同外包现场盘点结果，更新计提数量。原1189个，其中8个布线柜，1个未开通，（数量减少1）拆分计提行
6月26日开通7个机架
 NJ0311D-I-09~~ NJ0311D-I-15</t>
  </si>
  <si>
    <t>2021/5/18开通，5月计费14天：NJ038B-G-02</t>
  </si>
  <si>
    <t>2021/5/18开通，5月计费14天：NJ038B-H-02</t>
  </si>
  <si>
    <t>81.8A</t>
  </si>
  <si>
    <t>机柜电流改造为81.8A，按照20A标准计费。NJ038B-G-05</t>
  </si>
  <si>
    <t>NJ038B-H-08、NJ038B-H-09</t>
  </si>
  <si>
    <t>NJ038B-H-08：由27A改造为81.8A，参考原合同20A单价4450，折算单安成本222.5元，暂按此价格折算81.8A的单价</t>
  </si>
  <si>
    <t>NJ038B-G-01。未在运营商账单中体现</t>
  </si>
  <si>
    <t>NJ038B-H-01。未在运营商账单中体现</t>
  </si>
  <si>
    <t>L20230311034</t>
  </si>
  <si>
    <t>南京吉山-昆山万国 NJJS-SZWG</t>
  </si>
  <si>
    <t>NJJS-WGM2B；8M。线路编号：025M20626385A</t>
  </si>
  <si>
    <t>苏州二长局-昆山万国机房 NJ03-SZWG</t>
  </si>
  <si>
    <t>Nj03-WGM2B；8M。线路编号：025M20626382A</t>
  </si>
  <si>
    <t>苏州万国-南京凤凰 SZWG-NJ02</t>
  </si>
  <si>
    <t>SZWG-M2NJ；8M。线路编号：025M20626383A</t>
  </si>
  <si>
    <t>太湖机房-南京凤凰 SZTH-NJ02</t>
  </si>
  <si>
    <t>SZTH-NJM2A ；8M。线路编号：025M20626381A</t>
  </si>
  <si>
    <t>凤凰-华东金融云外高桥</t>
  </si>
  <si>
    <t>线路编号：025M20651397A（ETN0521NP）</t>
  </si>
  <si>
    <t>182315IDC00068</t>
  </si>
  <si>
    <t>南京新港-南京二长</t>
  </si>
  <si>
    <t>G00160983：南京市栖霞区仙新东路20号百度光交箱紫泉物流园北面南京市建邺区江东中路49号二长机房8层北京百度网络科技有限公司</t>
  </si>
  <si>
    <t>G00160997：南京市栖霞区仙新东路20号百度光交箱紫泉物流园外恒业路南京市建邺区江东中路49号二长机房8层北京百度网络科技有限公司</t>
  </si>
  <si>
    <t>南京新港-南京吉山</t>
  </si>
  <si>
    <t>L20200317008</t>
  </si>
  <si>
    <t>A端地址：南京凤凰机房，南京市下关区张王庙88号M2-A，Z端地址：北京市东城区建国门内大街28号民生金融中心c座8层机房</t>
  </si>
  <si>
    <t>从20204.1开始转由度小满核算。已冲销前期计提
接入号码：025M21526385A 
长途电路编号：北京南京ETN2423NP
框架协议：181515IDC0067
委托南京电信收款</t>
  </si>
  <si>
    <t>L20220108004</t>
  </si>
  <si>
    <t>南京泰山-昆山万国机房</t>
  </si>
  <si>
    <t>Nj01-WGM2B,8M 1908该条电路撤租，8月停止计费</t>
  </si>
  <si>
    <t>L20220910006</t>
  </si>
  <si>
    <t>南京凤凰NJ02</t>
  </si>
  <si>
    <t>NJ022E-F-10、NJ022E-F-11</t>
  </si>
  <si>
    <t>NJ023B-A-05、NJ023B-C-13、NJ023B-D-10、NJ023B-E-04、NJ023B-E-07、NJ023B-F-03、NJ023B-F-05、NJ023B-F-11、NJ023B-H-01、NJ023B-H-06</t>
  </si>
  <si>
    <t>NJ022D-C-10、NJ022E-B-06、NJ022E-B-10、NJ022E-B-15、NJ022E-C-01、NJ022E-C-02、NJ022E-C-10、NJ022E-C-12、NJ022E-I-07、NJ022E-I-11、NJ023B-A-02、NJ023B-A-04、NJ023B-A-14、NJ023B-A-17、NJ023B-B-04、NJ023B-B-13、NJ023B-C-04、NJ023B-D-16、NJ023B-D-18、NJ023B-E-11、NJ023B-F-01、NJ023B-G-09、NJ023B-H-03、NJ023B-H-05、NJ023F-C-06、NJ023F-C-11、NJ023F-D-04、NJ023F-D-06、NJ023F-D-16、NJ022C-F-06、NJ022C-F-09、NJ022C-F-13、NJ022C-F-14、NJ022C-F-28、NJ022C-G-02、NJ022C-G-07、NJ022C-G-12、NJ022C-G-13、NJ022C-G-23、NJ022C-G-25、NJ022C-G-27、NJ022C-H-04、NJ022C-H-05、NJ022C-H-07、NJ022C-H-09、NJ022C-H-10、NJ022C-H-12、NJ022C-H-14、NJ022C-H-15、NJ023E-A-06、NJ023E-A-09、NJ023E-B-05、NJ023E-B-13、NJ023E-D-01、NJ023E-D-03、NJ023E-D-05、NJ023E-D-07、NJ023E-D-08、NJ023E-D-13</t>
  </si>
  <si>
    <t>NJ023C-A-01、NJ023C-A-07、NJ023C-A-10、NJ023C-A-23、NJ023C-A-25、NJ023C-A-32、NJ023C-B-12、NJ023C-C-22、NJ023C-C-25、NJ023C-F-09、NJ023C-G-03、NJ023C-G-04、NJ023C-G-06、NJ023C-G-09、NJ023C-G-12、NJ023C-G-16、NJ023C-H-02、NJ023C-H-03、NJ023C-H-05、NJ023C-H-06、NJ023C-H-10、NJ023C-H-13、NJ023C-H-15、NJ023C-H-22</t>
  </si>
  <si>
    <t>202304 NJ02暂按500A计提。单机柜用电若超出标准电流120%，超出部分按300元/A结算。</t>
  </si>
  <si>
    <t>L20221215018</t>
  </si>
  <si>
    <t>南京吉山机房核心区域-百度南京凤凰NJM2机房核心</t>
  </si>
  <si>
    <t>线路编号：025G00136352A。[南京吉山机房核心区域 ]到[百度南京凤凰NJM2机房核心区域]路由一，72.3km？72.4km？</t>
  </si>
  <si>
    <t>[南京吉山机房核心区域 ]到[南京市建宁路30号金桥管理办公楼5楼百度中转机房]，49.1km</t>
  </si>
  <si>
    <t>线路编号：025G00136355A。[南京吉山机房核心区域 ]到[百度南京凤凰NJM2机房核心区域]路由二，47.8km</t>
  </si>
  <si>
    <t>中国电信股份有限公司青岛分公司</t>
  </si>
  <si>
    <t>青岛电信</t>
  </si>
  <si>
    <t>182115IDC00088</t>
  </si>
  <si>
    <t>济南市天桥区蓝翔路15号 时代总部基地 三期18号楼1单元电信机房-青岛市高新区蓝湾创业产业园 E2栋一楼 B05-08机柜</t>
  </si>
  <si>
    <t>200G</t>
  </si>
  <si>
    <t>用于CDN数据传输：济南市天桥区蓝翔路15号 时代总部基地 三期18号楼1单元电信机房-青岛市高新区蓝湾创业产业园 E2栋一楼 B05-08机柜，2条，各100G，共200G</t>
  </si>
  <si>
    <t>L20230331002</t>
  </si>
  <si>
    <t>存量8条，1月24日新增8条：山东省青岛市高新区 蓝湾创业产业园 E2栋一楼-山东省青岛市李沧区移动万年泉路IDC机房 15条；青岛电信-青岛联通 1条</t>
  </si>
  <si>
    <t>山东省青岛市高新区 蓝湾创业产业园 E2栋一楼-山东省青岛市崂山区 株洲路168号 株洲路核心机房 3-6房间 4条；
山东省青岛市高新区 蓝湾创业产业园 E2栋一楼-山东省青岛市李沧区移动万年泉路IDC机房 8条</t>
  </si>
  <si>
    <t>联通6条：山东省青岛市高新区 蓝湾创业产业园 E2栋一楼-山东省青岛市高新区 蓝湾创业产业园 E2栋一楼
移动4条：山东省青岛市高新区 蓝湾创业产业园 E2栋一楼-山东省青岛市李沧区移动万年泉路IDC机房</t>
  </si>
  <si>
    <t>电信至移动6条光纤，青岛电信高新区百度三线-万年泉路移动云工厂</t>
  </si>
  <si>
    <t>青岛电信SSL</t>
  </si>
  <si>
    <t>SSLQDCT</t>
  </si>
  <si>
    <t>历史开通
2021/1/1</t>
  </si>
  <si>
    <t>SSLQDCT3F-A-03、SSLQDCT3F-A-02</t>
  </si>
  <si>
    <t>2021.1.1开通SSLQDCT3F-A-05
L20210329004
182015IDC00127</t>
  </si>
  <si>
    <t>免费1个机柜，SSLQDCT3F-A-04(运营商记录02免费，04收费)</t>
  </si>
  <si>
    <t>SSL节点共使用768个IP，赠送32个，收费736个（150.138.149.0/24,150.138.150.0/24,150.138.151.0/24）</t>
  </si>
  <si>
    <t>青岛4电信</t>
  </si>
  <si>
    <t>CDNQDCT3</t>
  </si>
  <si>
    <t>双方核对一致，青岛4电信使用8个免费机柜：QD4CT2F-204-11、QD4CT2F-204-10、QD4CT2F-204-09、QD4CT2F-204-08、QD4CT2F-204-05、QD4CT2F-204-04、QD4CT2F-204-03、QD4CT2F-204-02</t>
  </si>
  <si>
    <t>青岛三级电信</t>
  </si>
  <si>
    <t>青岛三级</t>
  </si>
  <si>
    <t>CDNQDCT</t>
  </si>
  <si>
    <t>2023.3经与SYS核对，调整机架编号，由QD3CT1F-A05-09、QD3CT1F-A05-10、QD3CT1F-A05-11调整为BECQDCT-A05-09、BECQDCT-A05-10、BECQDCT-A05-11；
双方核对一致，青岛2电信使用10个免费机柜：QD2CT1F-A05-05、QD2CT1F-A05-08、QD2CT1F-A05-07、QD2CT1F-A05-06、QD2CT1F-A05-04、QD2CT1F-A05-03、QD2CT1F-A05-02、QD3CT1F-A05-09、QD3CT1F-A05-10、QD3CT1F-A05-11</t>
  </si>
  <si>
    <t>2023.3经与SYS核对，调整机架编号，由QD3CT1F-A05-09、QD3CT1F-A05-10、QD3CT1F-A05-11调整为BECQDCT-A05-09、BECQDCT-A05-10、BECQDCT-A05-11；
青岛2电信于2021.6.30退租7个机柜，退租后剩余3个机柜目前为青岛三线BEC使用
QD2CT1F-A05-05、QD2CT1F-A05-08、QD2CT1F-A05-07、QD2CT1F-A05-06、QD2CT1F-A05-04、QD2CT1F-A05-03、QD2CT1F-A05-02</t>
  </si>
  <si>
    <t>青岛2电信</t>
  </si>
  <si>
    <t>青岛电信2</t>
  </si>
  <si>
    <t>青岛2电信实际使用576个IP</t>
  </si>
  <si>
    <t>青岛2电信于2021.6.30退租288个IP
140.249.32.0/24 140.249.35.0/27</t>
  </si>
  <si>
    <t>双方核对一致，青岛三级电信使用17个免费机柜：E2-B06-16、E2-B05-16、E2-B05-15、E2-B05-14、E2-B05-13、E2-B05-12、E2-B05-11、E2-B05-10、E2-B05-09、E2-B05-07、E2-B05-06、E2-B05-05、E2-B05-04、E2-B05-03、E2-B05-02、E2-B06-15、E2-B05-08</t>
  </si>
  <si>
    <t xml:space="preserve">CDN使用150.138.138.0/24,150.138.139.0/24 </t>
  </si>
  <si>
    <t>边缘计算使用：140.249.33.0/24</t>
  </si>
  <si>
    <t>CDNQDCT3机房，于2020-11-23退租3个机柜QD4CT2F-204-09、QD4CT2F-204-10、QD4CT2F-204-11</t>
  </si>
  <si>
    <t>2021.4.9边缘计算新增2个机柜，免费
BECQD4CT2F-02-09、BECQD4CT2F-02-10</t>
  </si>
  <si>
    <t>青岛4电信实际使用544个IP：140.249.244.0/24;140.249.246.0/24;140.249.245.0/27</t>
  </si>
  <si>
    <t>2021.4.9边缘计算新增128个IP，免费140.249.225.128/25</t>
  </si>
  <si>
    <t>2021.8.13边缘计算新增128个IP，免费140.249.250.0/25</t>
  </si>
  <si>
    <t>青岛滨海电信</t>
  </si>
  <si>
    <t>QDBH</t>
  </si>
  <si>
    <t>合同预审，IDC使用768个IP</t>
  </si>
  <si>
    <t>L20230311035</t>
  </si>
  <si>
    <t>青岛-济南200G</t>
  </si>
  <si>
    <t>2022.11根据预审合同调整单价。青岛市高新区蓝湾创业产业园 E2栋一楼 B05-08机柜-济南经七纬五机房 2条，各100G，共200G</t>
  </si>
  <si>
    <t>中国电信股份有限公司上海分公司</t>
  </si>
  <si>
    <t>上海电信SSL</t>
  </si>
  <si>
    <t>182115IDC00264</t>
  </si>
  <si>
    <t>SSLSHCT</t>
  </si>
  <si>
    <t>SHCT6F-I-06、SHCT6F-I-05、SHCT6F-I-08、SHCT6F-I-07、SHCT6F-I-09、SHCT6F-I-04、SHCT6F-E-09、SHCT6F-I-16、SHCT6F-I-17、SHCT6F-I-18</t>
  </si>
  <si>
    <t>SHCT6F-H-22、SHCT6F-H-23、SHCT6F-H-24、SHCT6F-H-25、SHCT6F-H-17、SHCT6F-H-26</t>
  </si>
  <si>
    <t>退3个SSL机柜，11月多计提已在付款时冲销：SHCT6F-I-16    SHCT6F-I-17    SHCT6F-I-18</t>
  </si>
  <si>
    <t>SHCT6F-I-04、SHCT6F-I-05、SHCT6F-I-06、SHCT6F-I-07、SHCT6F-I-08、SHCT6F-I-09、SHCT6F-H-17、SHCT6F-H-22、SHCT6F-H-23、SHCT6F-H-24、SHCT6F-H-25、SHCT6F-H-26、SHCT6F-E-09</t>
  </si>
  <si>
    <t>上海电信-电路</t>
  </si>
  <si>
    <t>182115IDC00546</t>
  </si>
  <si>
    <t>上海外高桥保税区华京路6号90号楼404房间机架位SHWGQ404-E-06-24-上海市浦东新区浦东南路528号3楼机房</t>
  </si>
  <si>
    <t>30M</t>
  </si>
  <si>
    <t>上海外高桥保税区华京路6号90号楼404房间机架位SHWGQ404-E-06-24-上海市浦东新区浦东南路528号3楼机房30M电路</t>
  </si>
  <si>
    <t>SHWGQ-隆昌路</t>
  </si>
  <si>
    <t>20M</t>
  </si>
  <si>
    <t>上海外高桥保税区华京路6号90号楼404房间机架位SHWGQ404-E-06-24-上海市杨浦区隆昌路619号9号楼3楼</t>
  </si>
  <si>
    <t>182215IDC00422</t>
  </si>
  <si>
    <t>浦东新区华京路6号90号楼404房间E06 机柜-南汇电信机房</t>
  </si>
  <si>
    <t>10G</t>
  </si>
  <si>
    <t>喜马拉雅云专线：浦东新区华京路6号90号楼404房间E06 机柜-南汇电信机房</t>
  </si>
  <si>
    <t>上海CDN</t>
  </si>
  <si>
    <t>182215IDC00692</t>
  </si>
  <si>
    <t>上海电信-华信</t>
  </si>
  <si>
    <t>上海电信</t>
  </si>
  <si>
    <t>CDNSHCT</t>
  </si>
  <si>
    <t>12A</t>
  </si>
  <si>
    <t>SHCT8F-C-01、SHCT8F-C-07、SHCT8F-C-08、SHCT8F-C-09</t>
  </si>
  <si>
    <t>2022.8机柜转为SSL使用。SHCT8F-C-02、SHCT8F-C-03、SHCT8F-C-04、SHCT8F-C-05、SHCT8F-C-06</t>
  </si>
  <si>
    <t>19.7.8扩容160G,开通4个机柜。SHCT8F-C-12,SHCT8F-C-13,SHCT8F-C-14,SHCT8F-C-15</t>
  </si>
  <si>
    <t>上海4电信</t>
  </si>
  <si>
    <t>新建240G，增加6个机柜，2019/7/14计费。SH4CT8FIDC-D-02、SH4CT8FIDC-D-03、SH4CT8FIDC-D-04、SH4CT8FIDC-D-05、SH4CT8FIDC-D-06、SH4CT8FIDC-D-07</t>
  </si>
  <si>
    <t>【CDN退租】CDN上海上海电信退租信息 (SH4CT)：SH4CT8FIDC-D-05、SH4CT8FIDC-D-06、SH4CT8FIDC-D-07、SH4CT8FIDC-D-02</t>
  </si>
  <si>
    <t>边缘计算
BECSH4CT8FIDC-D-08、
BECSH4CT8FIDC-C-16</t>
  </si>
  <si>
    <t>上海电信边缘计算节点扩容（SH4CT）,新增一个机柜BECSH4CT8FIDC-B-14</t>
  </si>
  <si>
    <t>上海电信退租机柜：SHCT8F-C-09、SHCT8F-C-08、SHCT8F-C-01、SHCT8F-C-12</t>
  </si>
  <si>
    <t>SHCT8F-C-13、SHCT8F-C-14,、SHCT8F-C-15</t>
  </si>
  <si>
    <t>SHCT8F-C-07</t>
  </si>
  <si>
    <t>2022.8开始使用1440个，免费192个，收费1248个。
SSL实际使用IP 1024个：180.163.113.0/24、180.163.188.0/24、101.227.206.0/24、101.227.207.0/24。
从2020.1开始使用768个IP，免费768个</t>
  </si>
  <si>
    <t>2022.8开始使用1440个，免费192个，收费1248个。
SSL实际使用IP 1024个：180.163.113.0/24、180.163.188.0/24、101.227.206.0/24、101.227.207.0/24。</t>
  </si>
  <si>
    <t>2022.8开始使用1440个，免费192个，收费1248个。
SSL实际使用IP 1024个：180.163.113.0/24、180.163.188.0/24、101.227.206.0/24、101.227.207.0/24。2020/8/31退租3个C IP：180.163.153.0/24；180.163.154.0/24；180.163.189.0/24</t>
  </si>
  <si>
    <t>2022.8开始使用1440个，免费192个，收费1248个。
新合同约定送832个，实际使用832个，其中SH4CT使用：114.80.31.0/27;114.80.30.0/24</t>
  </si>
  <si>
    <t>2022.8开始使用1440个，免费192个，收费1248个。</t>
  </si>
  <si>
    <t>2022.8开始使用1440个，免费192个，收费1248个。
新合同约定送832个，实际使用832个，其中SHCT使用:180.163.199.0/24;180.163.198.0/24；114.80.31.192/27</t>
  </si>
  <si>
    <t>2022.8开始使用1440个，免费192个，收费1248个。
180.163.198.0/24 180.163.199.0/24 114.80.31.192/27</t>
  </si>
  <si>
    <t xml:space="preserve">2022.8开始使用1440个，免费192个，收费1248个。
边缘计算新增128个IP
180.153.129.128/25 </t>
  </si>
  <si>
    <t>【CDN退租】CDN上海上海电信退租信息 (SH4CT)：114.80.30.128/25</t>
  </si>
  <si>
    <t>中国电信股份有限公司苏州分公司</t>
  </si>
  <si>
    <t>181915IDC00146</t>
  </si>
  <si>
    <t>太湖机房二期</t>
  </si>
  <si>
    <t>SZTH3D-D8-02</t>
  </si>
  <si>
    <t>SZTH3C-C1-06，SZTH3C-C1-08,SZTH3C-C1-11,SZTH3C-C1-13,SZTH3C-C2-06,SZTH3C-C2-08,SZTH3C-C2-11,SZTH3C-C2-13</t>
  </si>
  <si>
    <t>SZTH3A-A2-16,SZTH3B-B1-18,SZTH3C-C8-01,SZTH3D-D8-01,SZTH3C-C3-17~20</t>
  </si>
  <si>
    <t>SZTH3D-D1-01~11</t>
  </si>
  <si>
    <t>SZTH3D-D1-12</t>
  </si>
  <si>
    <t>SZTH3C-C3-13~23</t>
  </si>
  <si>
    <t>SZTH3D-D1-13~22,SZTH3D-D2-01~19,SZTH3D-D5-03~22,SZTH3D-D6-01~05,SZTH3D-D4-03~05</t>
  </si>
  <si>
    <t>SZTH3D-D4-18~19,SZTH3D-D6-10~12,SZTH3D-D2-20 ,SZTH3D-D3-01~04</t>
  </si>
  <si>
    <t>SZTH3D-D8-03~11,SZTH3B-B8-07~09</t>
  </si>
  <si>
    <t>SZTH3B-B1-08~14,SZTH3B-B8-01~03</t>
  </si>
  <si>
    <t>SZTH3D-D3-11~18,SZTH3D-D6-06~09,SZTH3D-D5-01~02,SZTH3D-D3-09~10,SZTH3D-D3-19,SZTH3D-D4-01,SZTH3D-D4-06~11</t>
  </si>
  <si>
    <t>SZTH3D-D4-12~17,SZTH3D-D4-20~22,SZTH3B-B1-01~03</t>
  </si>
  <si>
    <t>SZTH3D-D2-21,SZTH3D-D3-05~07</t>
  </si>
  <si>
    <t>SZTH3B-B1-04~07  SZTH3D-D4-02</t>
  </si>
  <si>
    <t>SZTH3D-D3-08，SZTH3B-B2-14~15</t>
  </si>
  <si>
    <t>SZTH3B-B1-15~17，SZTH3B-B2-01~05,07，08</t>
  </si>
  <si>
    <t>SZTH3B-B2-06，SZTH3D-D6-13~15，SZTH3B-B2-16，SZTH3B-B2-17</t>
  </si>
  <si>
    <t>SZTH3B-B8-04~05</t>
  </si>
  <si>
    <t>SZTH3B-B7-01，02；SZTH3B-B8-10~13,17,18；SZTH3B-B8-06</t>
  </si>
  <si>
    <t>SZTH3B-B8-12~13</t>
  </si>
  <si>
    <t>SZTH3B-B7-03~15</t>
  </si>
  <si>
    <t>SZTH3B-B2-13,SZTH3B-B2-09~12，SZTH3B-B3-01</t>
  </si>
  <si>
    <t>SZTH3C-C5-01~05</t>
  </si>
  <si>
    <t>SZTH3C-C5-19~21,SZTH3C-C6-01</t>
  </si>
  <si>
    <t>SZTH3C-C5-06~18,SZTH3B-B7-16,SZTH3B-D7-17,SZTH3D-D8-12~19,SZTH3D-D7-05</t>
  </si>
  <si>
    <t>SZTH3B-B3-13~17</t>
  </si>
  <si>
    <t>SZTH3B-B3-18，SZTH3B-B4-01</t>
  </si>
  <si>
    <t>SZTH3D-D7-6~19</t>
  </si>
  <si>
    <t>SZTH3B-B3-,3~4，SZTH3B-B3-6~12，SZTH3C-C6-14~17</t>
  </si>
  <si>
    <t>SZTH3B-B3-2,SZTH3C-C6-02~12</t>
  </si>
  <si>
    <t>SZTH3B-C6-13</t>
  </si>
  <si>
    <t>SZTH4C-C1-7,SZTH4C-C1-9,SZTH4C-C1-10,SZTH4C-C1-12,SZTH4C-C2-6,SZTH4C-C2-8,SZTH4C-C2-11,SZTH4C-C2-13。</t>
  </si>
  <si>
    <t>SZTH4C-C8-01,SZTH4A-A2-16,SZTH4B-B1-18,SZTH4D-D8-01。</t>
  </si>
  <si>
    <t>SZTH3C-C7-01~15,SZTH3C-D7-20</t>
  </si>
  <si>
    <t>SZTH3C-C7-16,SZTH3C-B4-04</t>
  </si>
  <si>
    <t>SZTH3B-B6-03~09,SZTH3B-B4-06,SZTH3B-D7-21</t>
  </si>
  <si>
    <t xml:space="preserve">SZTH3C-C7-19
SZTH3C-C7-20
SZTH3C-C7-21
SZTH3C-C8-07
SZTH3C-C8-08
SZTH3C-C8-09
SZTH3C-C8-10
</t>
  </si>
  <si>
    <t xml:space="preserve">SZTH3B-B4-3
SZTH3B-B4-8
</t>
  </si>
  <si>
    <t>SZTH3C-C8-11</t>
  </si>
  <si>
    <t xml:space="preserve">SZTH3C-C8-12
SZTH3C-C8-13
SZTH3D-D2-22
</t>
  </si>
  <si>
    <t xml:space="preserve">SZTH3B-B6-2
SZTH3B-B8-14
SZTH3B-B8-15
SZTH3B-B8-16
</t>
  </si>
  <si>
    <t>SZTH3B-B4-09</t>
  </si>
  <si>
    <t>SZTH3B-B6-16</t>
  </si>
  <si>
    <t>SZTH3B-B4-07、SZTH3C-C6-18、SZTH3C-C8-02、SZTH3C-C8-03</t>
  </si>
  <si>
    <t>SZTH4C-C1-7~12、SZTH4C-C2-6\8\11\13、SZTH4C-C8-1、SZTH4A-A2-16、SZTH4B-B1-18</t>
  </si>
  <si>
    <t>SZTH3B-B6-10~14</t>
  </si>
  <si>
    <t>SZTH3C-C7-17~18、SZTH3C-C8-4</t>
  </si>
  <si>
    <t>SZTH4C-C1-14~17</t>
  </si>
  <si>
    <t>跟运营商核对后，按核对后的清单更新计提表。清单中20A 单价5950共32个</t>
  </si>
  <si>
    <t xml:space="preserve">20190520开通:
SZTH3B-B5-06
SZTH3C-C8-14
SZTH3C-C8-15
</t>
  </si>
  <si>
    <t xml:space="preserve">20190521开通:
SZTH3A-A1-01
SZTH3A-A1-02
SZTH3A-A1-03
SZTH3A-A1-04
SZTH3A-A1-05
SZTH3A-A1-06
SZTH3A-A1-07
</t>
  </si>
  <si>
    <t>SZTH3B-B5-09·14</t>
  </si>
  <si>
    <t>跟运营商核对后，按核对后的清单更新计提表。清单中40A 单价11700共577个</t>
  </si>
  <si>
    <t>SZTH3A-A1-10 SZTH3B-B4-11</t>
  </si>
  <si>
    <t>SZTH3B-B5-08 SZTH3B-B6-17</t>
  </si>
  <si>
    <t>SZTH3A-A1-08 SZTH3A-A1-09 SZTH3B-B5-07 SZTH4C-C3-02</t>
  </si>
  <si>
    <t>SZTH3B-B4-10</t>
  </si>
  <si>
    <t>19.7.26开通1个SZTH3B-B5-05</t>
  </si>
  <si>
    <t>SZTH3A-A1-11</t>
  </si>
  <si>
    <t>与运营商协商从2022.6.1开始计费。按SYS提供的数据：19.8.9开通2个，SZTH3B-B6-18 SZTH3B-B4-16</t>
  </si>
  <si>
    <t>19.8.19开通15个：SZTH4C-C6-02~10；SZTH3C-C8-16~18；SZTH4C-C6-01、SZTH4C-C6-11、SZTH4C-C6-12</t>
  </si>
  <si>
    <t>与运营商协商从2022.6.1开始计费。按SYS提供的数据：19.8.28开通1个：SZTH3B-B5-04。</t>
  </si>
  <si>
    <t>SZTH3B-B4-14</t>
  </si>
  <si>
    <t>SZTH4C-C1-14、SZTH4C-C2-14</t>
  </si>
  <si>
    <t>SZTH3C-C3-14、SZTH4C-C1-15~SZTH4C-C1-17、SZTH4C-C2-15~SZTH4C-C2-17</t>
  </si>
  <si>
    <t>19.8.29关闭5个机柜。SZTH3B-B7-02 SZTH3B-B7-03 SZTH3B-B7-08 SZTH3B-B7-12 SZTH3B-B7-13</t>
  </si>
  <si>
    <t>SZTH4C-C1-15 SZTH4C-C1-16 SZTH4C-C2-15 SZTH4C-C2-16</t>
  </si>
  <si>
    <t>SZTH4C-C3-05  SZTH4C-C3-06</t>
  </si>
  <si>
    <t>SZTH4C-C3-03  SZTH4C-C3-04</t>
  </si>
  <si>
    <t>与运营商协商从2022.6.1开始计费。19.10添加在计提表中，SZTH3D-D7-04,RMS状态为开通，盘点结果为开通，线上也关联了这个资源</t>
  </si>
  <si>
    <t>SZTH3B-B7-12</t>
  </si>
  <si>
    <t>SZTH3D-D7-22、SZTH4C-C3-08、SZTH4C-C3-10</t>
  </si>
  <si>
    <t>SZTH3A-A2-04</t>
  </si>
  <si>
    <t>SZTH3B-B5-01、SZTH3B-B5-02、SZTH3B-B5-03</t>
  </si>
  <si>
    <t>SZTH3B-B7-08</t>
  </si>
  <si>
    <t>SZTH3A-A2-05、SZTH4C-C5-01、SZTH4C-C5-02、SZTH4C-C5-03、SZTH4C-C5-04</t>
  </si>
  <si>
    <t>SZTH4C-C4-02、SZTH4C-C4-03</t>
  </si>
  <si>
    <t>SZTH3B-B4-12、SZTH3B-B4-13、SZTH3B-B4-15</t>
  </si>
  <si>
    <t>SZTH4C-C3-09</t>
  </si>
  <si>
    <t>SZTH3B-B7-13、SZTH3B-B7-02、SZTH3B-B7-03</t>
  </si>
  <si>
    <t>SZTH4C-C4-07</t>
  </si>
  <si>
    <t>SZTH4C-C4-08</t>
  </si>
  <si>
    <t>SZTH4C-C6-13、SZTH4C-C6-14、SZTH4C-C6-15</t>
  </si>
  <si>
    <t>SZTH4C-C5-09、SZTH4C-C5-10、SZTH4C-C5-11、SZTH4C-C5-12、SZTH4C-C5-13、SZTH4C-C5-14</t>
  </si>
  <si>
    <t>与运营商协商从2022.6.1开始计费。SZTH4C-C5-08。</t>
  </si>
  <si>
    <t>SZTH-云托管</t>
  </si>
  <si>
    <t>SZTH3C-C3-01</t>
  </si>
  <si>
    <t>SZTH3C-C1-01</t>
  </si>
  <si>
    <t>SZTH4C-C1-04、SZTH4C-C1-05、SZTH4C-C2-02</t>
  </si>
  <si>
    <t>SZTH3C-C3-02</t>
  </si>
  <si>
    <t>SZTH3A-A2-12、SZTH3A-A2-13</t>
  </si>
  <si>
    <t>SZTH3A-A2-14</t>
  </si>
  <si>
    <t>SZTH3B-B4-07</t>
  </si>
  <si>
    <t>SZTH4C-C1-02、SZTH4C-C1-03</t>
  </si>
  <si>
    <t>SZTH4C-C5-15</t>
  </si>
  <si>
    <t>SZTH3C-C4-01、SZTH3C-C4-02、SZTH3C-C4-03、SZTH3C-C4-04、SZTH3C-C4-05</t>
  </si>
  <si>
    <t>SZTH3B-B4-17、SZTH3B-B4-18、SZTH4C-C4-10、SZTH4C-C4-11</t>
  </si>
  <si>
    <t>SZTH3C-C3-03</t>
  </si>
  <si>
    <t>SZTH4C-C6-16、SZTH4C-C6-17</t>
  </si>
  <si>
    <t>SZTH4C-C6-18</t>
  </si>
  <si>
    <t>SZTH4C-C5-16、SZTH4C-C5-18</t>
  </si>
  <si>
    <t>SZTH4C-C5-05</t>
  </si>
  <si>
    <t>SZTH4C-C7-12</t>
  </si>
  <si>
    <t>SZTH4C-C2-04、SZTH4C-C2-05</t>
  </si>
  <si>
    <t>SZTH4B-B1-01、SZTH4B-B1-02</t>
  </si>
  <si>
    <t>SZTH4C-C5-17、SZTH4C-C5-19、SZTH4C-C5-20、SZTH4C-C5-21</t>
  </si>
  <si>
    <t>202010SYS更新开通时间，拆分计提行。9月反馈20209/9/14开通27个，实际为2020/9/4开通17个，20209/9/14开通10个，SZTH4B-B2-01、SZTH4B-B2-02、SZTH4B-B2-03、SZTH4B-B2-04、SZTH4B-B2-05、SZTH4B-B2-06、SZTH4B-B2-07、SZTH4B-B2-08、SZTH4B-B2-09、SZTH4B-B2-10、SZTH4B-B2-11、SZTH4B-B2-12、SZTH4B-B2-13、SZTH4B-B2-14、SZTH4B-B2-15、SZTH4B-B2-16、SZTH4B-B2-17</t>
  </si>
  <si>
    <t>202010SYS更新开通时间，拆分计提行。9月反馈20209/9/14开通27个，实际为2020/9/4开通17个，20209/9/14开通10个
SZTH4B-B3-09、SZTH4B-B3-10、SZTH4B-B3-11、SZTH4B-B3-12、SZTH4B-B3-13、SZTH4B-B3-14、SZTH4B-B3-15、SZTH4B-B3-16、SZTH4B-B3-17、SZTH4B-B3-18</t>
  </si>
  <si>
    <t>SZTH4B-B4-17、SZTH4B-B4-10、SZTH4B-B4-09、SZTH4B-B4-11、SZTH4B-B4-12、SZTH4B-B4-13、SZTH4B-B4-14、SZTH4B-B4-15、SZTH4B-B4-16、SZTH4B-B4-18</t>
  </si>
  <si>
    <t>SZTH4B-B2-18、SZTH4B-B5-01、SZTH4B-B5-02、SZTH4B-B5-03、SZTH4B-B5-04、SZTH4B-B5-05、SZTH4B-B5-06、SZTH4B-B5-07、SZTH4B-B5-08、SZTH4B-B5-09、SZTH4B-B5-10、SZTH4B-B5-11、SZTH4B-B5-12、SZTH4B-B5-13、SZTH4B-B5-14、SZTH4B-B6-01、SZTH4B-B6-02、SZTH4B-B6-03、SZTH4B-B6-04、SZTH4B-B6-05、SZTH4B-B6-06、SZTH4B-B6-07、SZTH4B-B6-08、SZTH4B-B6-09、SZTH4B-B6-10、SZTH4B-B6-11、SZTH4B-B6-12、SZTH4B-B6-13、SZTH4B-B6-14、SZTH4B-B6-15、SZTH4B-B6-16、SZTH4B-B6-17、SZTH4B-B6-18</t>
  </si>
  <si>
    <t>SZTH4B-B1-07、SZTH4B-B1-08、SZTH4B-B1-09</t>
  </si>
  <si>
    <t>SZTH4B-B1-10、SZTH4B-B1-11、SZTH4B-B1-12、SZTH4B-B1-13、SZTH4B-B1-14、SZTH4B-B1-15、SZTH4B-B1-16、SZTH4B-B1-17、SZTH4B-B1-05、SZTH4B-B1-06</t>
  </si>
  <si>
    <t>SZTH4C-C7-16</t>
  </si>
  <si>
    <t>2020/10/14开通，计费18天。SZTH4B-B4-01、SZTH4B-B4-02、SZTH4B-B4-03、SZTH4B-B4-04、SZTH4B-B4-05</t>
  </si>
  <si>
    <t>2020/10/15开通，计费17天。SZTH4B-B3-01、SZTH4B-B3-02、SZTH4B-B3-03、SZTH4B-B3-04、SZTH4B-B3-05、SZTH4B-B3-06、SZTH4B-B3-07</t>
  </si>
  <si>
    <t>2020/11/10开通，计费21天：SZTH4A-A1-06</t>
  </si>
  <si>
    <t>2020/11/12开通，计费19天
SZTH3C-C3-04、SZTH3C-C3-05、SZTH3C-C3-06、SZTH3C-C3-07、SZTH3C-C3-08、SZTH3C-C3-09、SZTH3C-C3-10、SZTH3C-C4-08、SZTH3C-C4-09、SZTH3C-C4-10、SZTH3C-C4-11、SZTH4A-A1-01、SZTH4A-A1-02、SZTH4A-A1-03、SZTH4A-A1-04、SZTH4A-A1-05、SZTH4A-A1-07、SZTH4A-A1-08、SZTH4A-A1-09、SZTH4A-A1-10、SZTH4A-A1-11、SZTH4A-A1-12、SZTH4A-A1-13、</t>
  </si>
  <si>
    <t>SZTH4A-A2-05、SZTH4A-A2-04、SZTH4A-A2-03、SZTH4A-A2-02、SZTH4A-A2-01、SZTH4A-A1-16、SZTH4A-A1-15</t>
  </si>
  <si>
    <t>2020/12/8开通，计费24天
SZTH4A-A2-06、SZTH4A-A2-07、SZTH4A-A2-08、SZTH4A-A2-09、SZTH4A-A2-10、SZTH4A-A2-11、SZTH4A-A2-12、SZTH4A-A2-13、SZTH4A-A2-14</t>
  </si>
  <si>
    <t>2020/12/8开通，计费17天。SZTH4A-A2-15</t>
  </si>
  <si>
    <t>2020/12/14开通，计费18天：SZTH4B-B3-08、SZTH4B-B4-06、SZTH4B-B4-07、SZTH4B-B4-08</t>
  </si>
  <si>
    <t>SYS20210222更新SZTH18个机架开通时间，由原2021/1/30开通，更新为2020/12/30
SZTH4C-C3-11、SZTH4C-C3-12、SZTH4C-C3-13、SZTH4C-C3-14、SZTH4C-C3-15、SZTH4C-C3-16、SZTH4C-C3-17、SZTH4C-C3-18、SZTH4C-C4-12、SZTH4C-C4-13、SZTH4C-C4-14、SZTH4C-C4-15、SZTH4C-C4-16、SZTH4C-C4-17、SZTH4C-C4-18、SZTH4C-C4-19、SZTH4C-C4-20、SZTH4C-C4-21</t>
  </si>
  <si>
    <t>2021/2/3开通，计费26天：SZTH4B-B1-03</t>
  </si>
  <si>
    <t>2021/2/24开通，计费5天：SZTH4B-B1-04</t>
  </si>
  <si>
    <t>2021/3/15开通，3月计费17天：
SZTH4C-C7-14、SZTH4C-C7-15</t>
  </si>
  <si>
    <t>2021/3/26开通，3月计费6天
SZTH4B-B7-12、SZTH4B-B7-13、SZTH4B-B7-14、SZTH4B-B7-15、SZTH4B-B7-16、SZTH4B-B7-17、SZTH4B-B7-18</t>
  </si>
  <si>
    <t>2021/4/15开通，4月计费16天：SZTH4B-B8-01、SZTH4B-B8-02、SZTH4B-B8-03、SZTH4B-B8-04、SZTH4B-B8-05</t>
  </si>
  <si>
    <t>2021/4/2开通，4月计费29天：SZTH4C-C1-17、SZTH4C-C2-17</t>
  </si>
  <si>
    <t>2021/5/11关闭，5月冲销20天费用：SZTH3A-A2-14</t>
  </si>
  <si>
    <t>2021/5/17关闭，5月冲销14天费用：SZTH3A-A1-08、SZTH3A-A1-09、SZTH3A-A1-10</t>
  </si>
  <si>
    <t>2021/5/27关闭，5月冲销4天费用：SZTH4B-B1-03</t>
  </si>
  <si>
    <t>202106调整计提行，5月计提表为开19个，拆分成15+4个：SZTH3A-A1-08、SZTH3A-A1-09、SZTH3A-A1-10、SZTH3A-A2-14（当月关闭当月开通的还在正式合同上）</t>
  </si>
  <si>
    <t>太湖机房二期4楼</t>
  </si>
  <si>
    <t>2021/7/13开通，7月计费19天：SZTH4C-C1-18、SZTH4C-C2-18</t>
  </si>
  <si>
    <t>太湖机房二期3楼</t>
  </si>
  <si>
    <t>2021/7/28关闭机架，冲销3天费用：SZTH3C-C3-03</t>
  </si>
  <si>
    <t>2021/10/13开通机架，10月计费19天：SZTH4C-C1-01</t>
  </si>
  <si>
    <t>与运营商协商从2022.6.1开始计费。SZTH3C-C8-19、SZTH3C-C8-20、SZTH3C-C8-21
2021.11运营商盘点发现该机架未计费，经核对开通时间与电流与SYS记录一致，追诉期3个，从2021.8开始计费
运营商账单中无此机架。</t>
  </si>
  <si>
    <t>SZTH4C-C2-03</t>
  </si>
  <si>
    <t>SZTH3C-C4-02、SZTH3C-C4-03、SZTH3C-C4-04、SZTH3C-C4-05</t>
  </si>
  <si>
    <t>SZTH4C-C3-13、SZTH4C-C3-14、SZTH4C-C3-16、SZTH4C-C4-12、SZTH4C-C4-13、SZTH4C-C4-14、SZTH4C-C4-15、SZTH4C-C4-16</t>
  </si>
  <si>
    <t>SZTH4C-C2-05</t>
  </si>
  <si>
    <t>SZTH3C-C4-01</t>
  </si>
  <si>
    <t>SZTH3C-C5-01、SZTH3C-C5-02、SZTH3C-C5-03、SZTH3C-C5-04、SZTH3C-C5-07、SZTH3C-C5-08、SZTH3C-C5-09、SZTH3C-C5-10、SZTH3C-C5-12、SZTH3C-C5-13、SZTH3C-C5-14、SZTH3C-C5-15、SZTH3C-C5-16、SZTH3C-C5-17、SZTH3C-C5-18、SZTH3C-C5-20、SZTH3C-C5-21、SZTH3C-C6-01、SZTH3C-C6-03、SZTH3C-C6-04、SZTH3C-C6-05、SZTH3C-C6-06、SZTH3C-C6-07、SZTH3C-C6-08、SZTH3C-C6-09、SZTH3C-C6-10、SZTH3C-C6-11、SZTH3C-C6-13、SZTH3C-C6-14、SZTH3C-C6-15、SZTH3C-C6-16、SZTH3C-C6-18、SZTH3C-C7-01、SZTH3C-C7-04、SZTH3C-C7-05、SZTH3C-C7-06、SZTH3C-C7-08、SZTH3C-C7-09、SZTH3C-C7-10、SZTH3C-C7-12、SZTH3C-C7-13、SZTH3C-C7-16、SZTH3C-C7-17、SZTH3C-C7-19、SZTH3C-C8-02、SZTH3C-C8-03、SZTH3C-C8-04、SZTH3C-C8-05、SZTH3C-C8-07、SZTH3C-C8-09、SZTH3C-C8-11、SZTH3C-C8-12、SZTH3C-C8-13、SZTH3C-C8-14、SZTH3C-C8-15</t>
  </si>
  <si>
    <t>SZTH3C-C5-05、SZTH3C-C5-06、SZTH3C-C5-11、SZTH3C-C5-19、SZTH3C-C6-02、SZTH3C-C6-12、SZTH3C-C6-17、SZTH3C-C7-02、SZTH3C-C7-03、SZTH3C-C7-07、SZTH3C-C7-11、SZTH3C-C7-14、SZTH3C-C7-15、SZTH3C-C7-18、SZTH3C-C7-20、SZTH3C-C7-21、SZTH3C-C8-06、SZTH3C-C8-08、SZTH3C-C8-10、SZTH3C-C8-16、SZTH3C-C8-17、SZTH3C-C8-18、SZTH3C-C8-19、SZTH3C-C8-20、SZTH3C-C8-21</t>
  </si>
  <si>
    <t>SZTH3D-D1-01、SZTH3D-D1-02、SZTH3D-D1-03、SZTH3D-D1-04、SZTH3D-D1-05、SZTH3D-D1-06、SZTH3D-D1-07、SZTH3D-D1-08、SZTH3D-D1-09、SZTH3D-D1-10、SZTH3D-D1-11、SZTH3D-D1-12、SZTH3D-D1-13、SZTH3D-D1-14、SZTH3D-D1-15、SZTH3D-D1-16、SZTH3D-D1-17、SZTH3D-D1-18、SZTH3D-D1-19、SZTH3D-D1-20、SZTH3D-D1-21、SZTH3D-D1-22、SZTH3D-D2-01、SZTH3D-D2-02、SZTH3D-D2-03、SZTH3D-D2-04、SZTH3D-D2-05、SZTH3D-D2-06、SZTH3D-D2-07、SZTH3D-D2-08、SZTH3D-D2-09、SZTH3D-D2-10、SZTH3D-D2-11、SZTH3D-D2-12、SZTH3D-D2-13、SZTH3D-D2-14、SZTH3D-D2-15、SZTH3D-D2-16、SZTH3D-D2-17、SZTH3D-D2-18、SZTH3D-D2-19、SZTH3D-D2-20、SZTH3D-D2-21、SZTH3D-D2-22、SZTH3D-D3-01、SZTH3D-D3-02、SZTH3D-D3-03、SZTH3D-D3-04、SZTH3D-D3-05、SZTH3D-D3-06、SZTH3D-D3-07、SZTH3D-D3-08、SZTH3D-D3-09、SZTH3D-D3-10、SZTH3D-D3-11、SZTH3D-D3-12、SZTH3D-D3-13、SZTH3D-D3-14、SZTH3D-D3-15、SZTH3D-D3-16、SZTH3D-D3-17、SZTH3D-D3-18、SZTH3D-D3-19、SZTH3D-D4-01、SZTH3D-D4-02、SZTH3D-D4-03、SZTH3D-D4-04、SZTH3D-D4-05、SZTH3D-D4-06、SZTH3D-D4-07、SZTH3D-D4-08、SZTH3D-D4-09、SZTH3D-D4-10、SZTH3D-D4-11、SZTH3D-D4-12、SZTH3D-D4-13、SZTH3D-D4-14、SZTH3D-D4-15、SZTH3D-D4-16、SZTH3D-D4-17、SZTH3D-D4-18、SZTH3D-D4-19、SZTH3D-D4-20、SZTH3D-D4-21、SZTH3D-D4-22、SZTH3D-D5-01、SZTH3D-D5-02、SZTH3D-D5-03、SZTH3D-D5-04、SZTH3D-D5-05、SZTH3D-D5-06、SZTH3D-D5-07、SZTH3D-D5-08、SZTH3D-D5-09、SZTH3D-D5-10、SZTH3D-D5-11、SZTH3D-D5-12、SZTH3D-D5-13、SZTH3D-D5-14、SZTH3D-D5-15、SZTH3D-D5-16、SZTH3D-D5-17、SZTH3D-D5-18、SZTH3D-D5-19、SZTH3D-D5-20、SZTH3D-D5-21、SZTH3D-D5-22、SZTH3D-D6-01、SZTH3D-D6-02、SZTH3D-D6-03、SZTH3D-D6-04、SZTH3D-D6-05、SZTH3D-D6-06、SZTH3D-D6-07、SZTH3D-D6-08、SZTH3D-D6-09、SZTH3D-D6-10、SZTH3D-D6-11、SZTH3D-D6-12、SZTH3D-D6-13、SZTH3D-D6-14、SZTH3D-D6-15、SZTH3D-D6-16、SZTH3D-D6-17、SZTH3D-D6-18、SZTH3D-D6-19、SZTH3D-D7-01、SZTH3D-D7-02、SZTH3D-D7-03、SZTH3D-D7-04、SZTH3D-D7-05、SZTH3D-D7-06、SZTH3D-D7-07、SZTH3D-D7-08、SZTH3D-D7-09、SZTH3D-D7-10、SZTH3D-D7-11、SZTH3D-D7-12、SZTH3D-D7-13、SZTH3D-D7-14、SZTH3D-D7-15、SZTH3D-D7-16、SZTH3D-D7-17、SZTH3D-D7-18、SZTH3D-D7-19、SZTH3D-D7-20、SZTH3D-D7-21、SZTH3D-D7-22、SZTH3D-D8-02、SZTH3D-D8-03、SZTH3D-D8-04、SZTH3D-D8-05、SZTH3D-D8-06、SZTH3D-D8-07、SZTH3D-D8-08、SZTH3D-D8-09、SZTH3D-D8-10、SZTH3D-D8-11、SZTH3D-D8-12、SZTH3D-D8-13、SZTH3D-D8-14、SZTH3D-D8-15、SZTH3D-D8-16、SZTH3D-D8-17、SZTH3D-D8-18、SZTH3D-D8-19、SZTH3D-D8-20、SZTH3D-D8-21、SZTH3D-D8-22</t>
  </si>
  <si>
    <t>SZTH3C-C4-16、SZTH3C-C4-17、SZTH3C-C4-18、SZTH3C-C4-19、SZTH3C-C4-20、SZTH3C-C4-21、SZTH3C-C4-22、SZTH3C-C4-23</t>
  </si>
  <si>
    <t>SZTH4B-B1-01、SZTH4B-B1-02、SZTH4B-B1-04、SZTH4B-B1-05、SZTH4B-B1-06、SZTH4B-B1-12、SZTH4B-B1-13、SZTH4B-B1-14、SZTH4B-B1-16、SZTH4B-B1-17、SZTH4B-B2-01、SZTH4B-B2-02、SZTH4B-B2-03、SZTH4B-B2-05、SZTH4B-B2-06、SZTH4B-B2-07、SZTH4B-B2-08、SZTH4B-B2-09、SZTH4B-B2-10、SZTH4B-B2-11、SZTH4B-B2-12、SZTH4B-B2-13、SZTH4B-B2-15、SZTH4B-B2-18、SZTH4B-B3-09、SZTH4B-B3-10、SZTH4B-B3-11、SZTH4B-B3-12、SZTH4B-B3-13、SZTH4B-B3-14、SZTH4B-B3-15、SZTH4B-B3-16、SZTH4B-B3-17、SZTH4B-B3-18、SZTH4B-B4-09、SZTH4B-B4-10、SZTH4B-B4-11、SZTH4B-B4-12、SZTH4B-B4-13、SZTH4B-B4-14、SZTH4B-B4-15、SZTH4B-B4-16、SZTH4B-B4-18、SZTH4B-B5-01、SZTH4B-B5-02、SZTH4B-B5-03、SZTH4B-B5-04、SZTH4B-B5-05、SZTH4B-B5-06、SZTH4B-B5-07、SZTH4B-B5-08、SZTH4B-B5-09、SZTH4B-B5-10、SZTH4B-B5-11、SZTH4B-B5-12、SZTH4B-B5-13、SZTH4B-B5-14、SZTH4B-B6-02、SZTH4B-B6-03、SZTH4B-B6-04、SZTH4B-B6-05、SZTH4B-B6-07、SZTH4B-B6-08、SZTH4B-B6-09、SZTH4B-B6-10、SZTH4B-B6-11、SZTH4B-B6-12、SZTH4B-B6-13、SZTH4B-B6-14、SZTH4B-B6-15、SZTH4B-B6-16</t>
  </si>
  <si>
    <t>SZTH4B-B6-01、SZTH4B-B6-17、SZTH4B-B4-17、SZTH4B-B2-17、SZTH4B-B2-16、SZTH4B-B2-14、SZTH4B-B1-15、SZTH4B-B1-10、SZTH4B-B1-11、SZTH4B-B6-18、SZTH4B-B1-07、SZTH4B-B1-08、SZTH4B-B1-09、SZTH4B-B6-06</t>
  </si>
  <si>
    <t>SZTH4C-C5-01、SZTH4C-C5-02、SZTH4C-C5-03、SZTH4C-C5-04、SZTH4C-C5-05、SZTH4C-C5-08、SZTH4C-C5-09、SZTH4C-C5-10、SZTH4C-C5-11、SZTH4C-C5-12、SZTH4C-C5-13、SZTH4C-C5-14、SZTH4C-C5-15、SZTH4C-C5-16、SZTH4C-C5-17、SZTH4C-C5-18、SZTH4C-C5-19、SZTH4C-C5-20、SZTH4C-C5-21、SZTH4C-C6-01、SZTH4C-C6-02、SZTH4C-C6-03、SZTH4C-C6-04、SZTH4C-C6-05、SZTH4C-C6-06、SZTH4C-C6-07、SZTH4C-C6-08、SZTH4C-C6-09、SZTH4C-C6-10、SZTH4C-C6-11、SZTH4C-C6-12、SZTH4C-C6-16、SZTH4C-C6-17、SZTH4C-C6-18、SZTH4C-C7-01、SZTH4C-C7-02、SZTH4C-C7-03、SZTH4C-C7-04、SZTH4C-C7-05、SZTH4C-C7-06、SZTH4C-C7-07、SZTH4C-C7-08、SZTH4C-C7-09、SZTH4C-C7-10、SZTH4C-C7-12、SZTH4C-C7-14、SZTH4C-C7-15、SZTH4C-C7-16、SZTH4C-C8-02、SZTH4C-C8-03、SZTH4C-C8-04、SZTH4C-C8-06、SZTH4C-C8-07、SZTH4C-C8-08、SZTH4C-C8-09、SZTH4C-C8-10、SZTH4C-C8-11、SZTH4C-C8-13、SZTH4C-C8-14、SZTH4C-C8-15、SZTH4C-C8-16、SZTH4C-C8-17、SZTH4C-C8-18、SZTH4C-C8-19、SZTH4C-C8-20、SZTH4C-C8-21、SZTH4D-D1-01、SZTH4D-D1-03、SZTH4D-D1-04、SZTH4D-D1-05、SZTH4D-D1-06、SZTH4D-D1-08、SZTH4D-D1-09、SZTH4D-D1-10、SZTH4D-D1-11、SZTH4D-D1-12、SZTH4D-D1-15、SZTH4D-D1-16、SZTH4D-D1-17、SZTH4D-D1-18、SZTH4D-D1-19、SZTH4D-D1-20、SZTH4D-D1-21、SZTH4D-D1-22、SZTH4D-D2-01、SZTH4D-D2-02、SZTH4D-D2-03、SZTH4D-D2-04、SZTH4D-D2-05、SZTH4D-D2-06、SZTH4D-D2-07、SZTH4D-D2-08、SZTH4D-D2-09、SZTH4D-D2-10、SZTH4D-D2-11、SZTH4D-D2-12、SZTH4D-D2-13、SZTH4D-D2-14、SZTH4D-D2-15、SZTH4D-D2-16、SZTH4D-D2-17、SZTH4D-D2-18、SZTH4D-D2-19、SZTH4D-D2-20、SZTH4D-D2-21、SZTH4D-D2-22、SZTH4D-D3-01、SZTH4D-D3-02、SZTH4D-D3-03、SZTH4D-D3-04、SZTH4D-D3-05、SZTH4D-D3-06、SZTH4D-D3-07、SZTH4D-D3-08、SZTH4D-D3-09、SZTH4D-D3-10、SZTH4D-D3-11、SZTH4D-D3-12、SZTH4D-D3-13、SZTH4D-D3-14、SZTH4D-D3-15、SZTH4D-D3-16、SZTH4D-D3-17、SZTH4D-D3-18、SZTH4D-D3-19、SZTH4D-D4-01、SZTH4D-D4-02、SZTH4D-D4-03、SZTH4D-D4-04、SZTH4D-D4-05、SZTH4D-D4-06、SZTH4D-D4-07、SZTH4D-D4-08、SZTH4D-D4-09、SZTH4D-D4-10、SZTH4D-D4-11、SZTH4D-D4-12、SZTH4D-D4-13、SZTH4D-D4-14、SZTH4D-D4-15、SZTH4D-D4-16、SZTH4D-D4-17、SZTH4D-D4-18、SZTH4D-D4-19、SZTH4D-D4-20、SZTH4D-D4-21、SZTH4D-D4-22、SZTH4D-D5-01、SZTH4D-D5-02、SZTH4D-D5-03、SZTH4D-D5-04、SZTH4D-D5-05、SZTH4D-D5-06、SZTH4D-D5-07、SZTH4D-D5-08、SZTH4D-D5-09、SZTH4D-D5-10、SZTH4D-D5-11、SZTH4D-D5-12、SZTH4D-D5-13、SZTH4D-D5-14、SZTH4D-D5-15、SZTH4D-D5-16、SZTH4D-D5-17、SZTH4D-D5-18、SZTH4D-D5-19、SZTH4D-D5-20、SZTH4D-D5-21、SZTH4D-D5-22、SZTH4D-D6-01、SZTH4D-D6-02、SZTH4D-D6-03、SZTH4D-D6-04、SZTH4D-D6-05、SZTH4D-D6-06、SZTH4D-D6-07、SZTH4D-D6-08、SZTH4D-D6-09、SZTH4D-D6-10、SZTH4D-D6-11、SZTH4D-D6-12、SZTH4D-D6-13、SZTH4D-D6-14、SZTH4D-D6-15、SZTH4D-D6-16、SZTH4D-D6-17、SZTH4D-D6-18、SZTH4D-D6-19、SZTH4D-D7-01、SZTH4D-D7-02、SZTH4D-D7-03、SZTH4D-D7-04、SZTH4D-D7-05、SZTH4D-D7-07、SZTH4D-D7-08、SZTH4D-D7-11、SZTH4D-D7-12、SZTH4D-D7-13、SZTH4D-D7-14、SZTH4D-D7-15、SZTH4D-D7-16、SZTH4D-D7-17、SZTH4D-D7-18、SZTH4D-D7-19、SZTH4D-D7-20、SZTH4D-D7-21、SZTH4D-D7-22、SZTH4D-D8-02、SZTH4D-D8-03、SZTH4D-D8-04、SZTH4D-D8-05、SZTH4D-D8-06、SZTH4D-D8-07、SZTH4D-D8-08、SZTH4D-D8-09、SZTH4D-D8-10、SZTH4D-D8-11、SZTH4D-D8-12、SZTH4D-D8-13、SZTH4D-D8-14、SZTH4D-D8-15、SZTH4D-D8-16、SZTH4D-D8-17、SZTH4D-D8-18、SZTH4D-D8-19、SZTH4D-D8-20、SZTH4D-D8-21、SZTH4D-D8-22</t>
  </si>
  <si>
    <t>SZTH4C-C6-13、SZTH4C-C6-14、SZTH4C-C6-15、SZTH4C-C8-05、SZTH4C-C8-12、SZTH4D-D1-02、SZTH4D-D1-07、SZTH4D-D1-13、SZTH4D-D1-14、SZTH4D-D7-06、SZTH4D-D7-09、SZTH4D-D7-10</t>
  </si>
  <si>
    <t>SZTH4B-B2-04</t>
  </si>
  <si>
    <t>181915IDC00358</t>
  </si>
  <si>
    <t>苏州4电信</t>
  </si>
  <si>
    <t>使用288个IP，均免费。180.97.198.0/24;58.211.8.96/27</t>
  </si>
  <si>
    <t>182115IDC00526</t>
  </si>
  <si>
    <t>苏州太湖数据中心SZTH-常熟普洛斯物流园</t>
  </si>
  <si>
    <t>8芯</t>
  </si>
  <si>
    <t>2021/8/10开通太湖数据中心到常熟普洛斯物流园4条裸光纤，每条100KM，共400KM，每公里200元。8月计费22天
租纤业务编号：G00246202A、G00246207A、G00246210A、G00246213A</t>
  </si>
  <si>
    <t>182215IDC00073</t>
  </si>
  <si>
    <t>SZTH4C-C5-06、SZTH4C-C5-07、SZTH4C-C7-11、SZTH4C-C7-13、SZTH4C-C7-17、SZTH4C-C7-18、SZTH4C-C7-19、SZTH4C-C7-20、SZTH4C-C7-21</t>
  </si>
  <si>
    <t>布线柜不收费。SZTH3C-C1-05、SZTH3C-C1-07、SZTH3C-C1-09、SZTH3C-C1-10、SZTH3C-C1-12、SZTH3C-C1-14、SZTH3C-C2-05、SZTH3C-C2-07、SZTH3C-C2-09、SZTH3C-C2-10、SZTH3C-C2-12、SZTH3C-C2-14、SZTH4C-C1-06、SZTH4C-C1-08、SZTH4C-C1-11、SZTH4C-C1-13、SZTH4C-C2-07、SZTH4C-C2-09、SZTH4C-C2-10、SZTH4C-C2-12</t>
  </si>
  <si>
    <t>SZTH4B-B8-06、SZTH4B-B8-07、SZTH4B-B8-08、SZTH4B-B8-09、SZTH4B-B8-10、SZTH4B-B8-11、SZTH4B-B8-12、SZTH4B-B8-13、SZTH4B-B8-14、SZTH4B-B8-15、SZTH4B-B8-16、SZTH4B-B8-17、SZTH4B-B8-18</t>
  </si>
  <si>
    <t>SZTH4C-C7-13、SZTH4C-C7-17、SZTH4C-C7-18、SZTH4C-C7-19、SZTH4B-B7-02、SZTH4B-B7-03、SZTH4B-B7-04、SZTH4B-B7-05、SZTH4B-B7-06、SZTH4B-B7-07、SZTH4B-B7-08、SZTH4B-B7-09、SZTH4B-B7-10、SZTH4B-B7-11、SZTH4B-B7-01</t>
  </si>
  <si>
    <t>SZTH4C-C7-20、SZTH4C-C7-21</t>
  </si>
  <si>
    <t>SZTH4C-C7-11、SZTH4C-C5-06</t>
  </si>
  <si>
    <t>SZTH3C-C4-06</t>
  </si>
  <si>
    <t>SZTH4C-C5-07</t>
  </si>
  <si>
    <t>202106调整计提行，5月计提表为开19个，拆分成15+4个：SZTH3A-A1-12、SZTH3A-A1-13、SZTH3A-A1-14、SZTH3A-A1-15、SZTH3A-A1-16、SZTH3A-A2-01、SZTH3A-A2-02、SZTH3A-A2-03、SZTH3A-A2-06、SZTH3A-A2-07、SZTH3A-A2-08、SZTH3A-A2-09、SZTH3A-A2-10、SZTH3A-A2-11、SZTH3A-A2-15</t>
  </si>
  <si>
    <t>SZTH4B-B1-18</t>
  </si>
  <si>
    <t>SZTH3C-C8-01、SZTH3D-D8-01</t>
  </si>
  <si>
    <t>182215IDC00376</t>
  </si>
  <si>
    <t>苏州太湖SZTH-昆山M2B</t>
  </si>
  <si>
    <t>从  苏州市吕梁山路和金沙江路口太湖国际数据中心  到 苏州市昆山市花桥镇花桥经济技术开发区东城大道数据机房
2对芯，总长度201KM，每对芯每公里400元。400元*201KM=  80400</t>
  </si>
  <si>
    <t>从  苏州市吕梁山路和金沙江路口太湖国际数据中心  到 苏州市昆山市花桥镇花桥经济技术开发区东城大道数据机房
200 元/纤/KM*  2  纤数*  100  KM= 40000</t>
  </si>
  <si>
    <t>从  苏州市吕梁山路和金沙江路口太湖国际数据中心  到 苏州市昆山市花桥镇花桥经济技术开发区东城大道数据机房
200 元/纤/KM*  2  纤数*  140KM= 56000</t>
  </si>
  <si>
    <t>L20191117001</t>
  </si>
  <si>
    <t>昆山-冠元花园</t>
  </si>
  <si>
    <t>退租</t>
  </si>
  <si>
    <t>L20201114002</t>
  </si>
  <si>
    <t xml:space="preserve"> 金沙江路太湖信息中心SZTH--唐庄路2号</t>
  </si>
  <si>
    <t>G00176940A：1 对光纤（共 2 纤），使用长度： 36  KM；使用地点：从  苏州市吕梁山路和金沙江路口太湖国际数据中心  到  苏州工业园区唐庄路180号2楼
250  元/纤/KM*  2  纤数*  36  KM=  18000  元/月</t>
  </si>
  <si>
    <t xml:space="preserve">G00176938A： 1 对光纤（共 2 纤），使用长度： 29  KM；使用地点：从  苏州市吕梁山路和金沙江路口太湖国际数据中心  到  苏州工业园区唐庄路180号2楼
250  元/纤/KM*  2  纤数*  29  KM=  14500 
</t>
  </si>
  <si>
    <t>2021/5/31退租。G00176940A：1 对光纤（共 2 纤），使用长度： 36  KM；使用地点：从  苏州市吕梁山路和金沙江路口太湖国际数据中心  到  苏州工业园区唐庄路180号2楼
250  元/纤/KM*  2  纤数*  36  KM=  18000  元/月</t>
  </si>
  <si>
    <t xml:space="preserve">2021/5/31退租。G00176938A： 1 对光纤（共 2 纤），使用长度： 29  KM；使用地点：从  苏州市吕梁山路和金沙江路口太湖国际数据中心  到  苏州工业园区唐庄路180号2楼
250  元/纤/KM*  2  纤数*  29  KM=  14500 
</t>
  </si>
  <si>
    <t>L20221005004</t>
  </si>
  <si>
    <t>太湖机房一期</t>
  </si>
  <si>
    <t>32A</t>
  </si>
  <si>
    <t>202001计提数量由137调整为135，减少2个，调整后线上合计计提机架615个，与2019.9.18财务盘点结果一致
20A机柜6000，其他机柜单价计算公式为6000+（电流-20A）*300</t>
  </si>
  <si>
    <t>28A</t>
  </si>
  <si>
    <t>37A</t>
  </si>
  <si>
    <t>SZTH2D-D4-17</t>
  </si>
  <si>
    <t xml:space="preserve">SZTH2C-C8-01、SZTH2C-C8-02 、SZTH2C-C9-17 、SZTH2C-C9-18 、SZTH2C-C9-19 、SZTH2C-C9-20、SZTH2C-C9-21 、SZTH2C-C9-22、SZTH2C-C9-23、SZTH2C-C9-24 </t>
  </si>
  <si>
    <t>SZTH2B-B1-01、SZTH2B-B2-11、SZTH2B-B2-12、SZTH2B-B2-13、SZTH2B-B2-14、SZTH2B-B2-15</t>
  </si>
  <si>
    <t xml:space="preserve">SZTH2D-D5-06、SZTH2D-D5-07、SZTH2D-D5-08、SZTH2D-D5-09、SZTH2D-D5-10 </t>
  </si>
  <si>
    <t>SZTH2D-D5-12、SZTH2D-D6-13、SZTH2D-D6-15、SZTH2D-D6-16、SZTH2D-D6-18、SZTH2D-D6-19、SZTH2D-D6-21</t>
  </si>
  <si>
    <t>SZTH2B-B2-16 
SZTH2A-A1-07</t>
  </si>
  <si>
    <t>SZTH2D-D8-01、SZTH2D-D8-02、 SZTH2D-D8-03</t>
  </si>
  <si>
    <t xml:space="preserve">SZTH2C-C5-10 </t>
  </si>
  <si>
    <t xml:space="preserve">SZTH2C-C5-07、SZTH2C-C5-08 SZTH2C-C5-09 </t>
  </si>
  <si>
    <t>SZTH2B-B9-05、SZTH2B-B9-06、SZTH2B-B9-07</t>
  </si>
  <si>
    <t>SZTH2B-B9-02、SZTH2B-B9-03、SZTH2B-B9-04</t>
  </si>
  <si>
    <t xml:space="preserve">SZTH2D-D4-18、SZTH2D-D4-19、SZTH2D-D7-01、SZTH2D-D7-02 、SZTH2D-D7-03、 SZTH2D-D7-04 </t>
  </si>
  <si>
    <t>SZTH2A-A1-08</t>
  </si>
  <si>
    <t xml:space="preserve">SZTH2D-D7-17 、SZTH2D-D7-18 、SZTH2D-D7-19 </t>
  </si>
  <si>
    <t>SZTH2D-D7-08</t>
  </si>
  <si>
    <t xml:space="preserve">SZTH2C-C5-11、SZTH2C-C5-12、SZTH2C-C6-07、SZTH2C-C6-08 、SZTH2C-C6-09 、SZTH2C-C6-10 </t>
  </si>
  <si>
    <t xml:space="preserve">SZTH2D-D5-11、SZTH2D-D6-14、SZTH2D-D6-17、SZTH2D-D6-20 </t>
  </si>
  <si>
    <t>SZTH2D-D5-13、SZTH2D-D5-14、SZTH2D-D5-15、SZTH2D-D5-16</t>
  </si>
  <si>
    <t>SZTH2D-D5-17、SZTH2D-D5-18、SZTH2D-D5-19、SZTH2D-D5-20、SZTH2D-D5-21、SZTH2D-D5-22、SZTH2D-D5-23、SZTH2D-D5-24</t>
  </si>
  <si>
    <t>SZTH2B-B2-17、SZTH2B-B2-18、SZTH2B-B2-19、SZTH2B-B2-20</t>
  </si>
  <si>
    <t>SZTH2B-B2-10、SZTH2B-B3-01、SZTH2B-B3-02、SZTH2B-B3-03、SZTH2B-B3-04</t>
  </si>
  <si>
    <t xml:space="preserve">D6-22 D6-23 D6-24 D7-11 D7-12 D7-13 D7-14  </t>
  </si>
  <si>
    <t>SZTH2D-D8-04</t>
  </si>
  <si>
    <t>SZTH2B-B5-01、SZTH2B-B5-02 、SZTH2B-B5-03 、SZTH2B-B5-04 、SZTH2B-B5-05 、SZTH2B-B5-06 、SZTH2B-B5-07 、SZTH2B-B5-08 、SZTH2B-B5-09 、SZTH2B-B5-10。</t>
  </si>
  <si>
    <t xml:space="preserve">SZTH2C-C8-04、SZTH2C-C8-05 、SZTH2C-C8-06 、SZTH2C-C8-07、SZTH2C-C8-08 、SZTH2C-C8-09 、SZTH2C-C8-10 、SZTH2C-C8-11 、SZTH2C-C8-12 、SZTH2C-C8-13 、SZTH2C-C8-14 、SZTH2C-C8-15 </t>
  </si>
  <si>
    <t>SZTH2C-C6-03、SZTH2C-C6-04、SZTH2C-C6-05、SZTH2C-C6-06</t>
  </si>
  <si>
    <t>SZTH2C-C6-02</t>
  </si>
  <si>
    <t>SZTH2D-D4-20、SZTH2D-D7-10、SZTH2D-D7-15、SZTH2D-D7-16、SZTH2D-D7-20、SZTH2B-B3-17</t>
  </si>
  <si>
    <t>SZTH2B-B5-11~SZTH2B-B5-17，SZTH2B-B6-14~SZTH2B-B6-16</t>
  </si>
  <si>
    <t>SZTH2B-B3-05、SZTH2B-B3-06、SZTH2B-B3-07、SZTH2B-B4-10、SZTH2B-B4-11、SZTH2B-B4-12、SZTH2B-B4-13 、SZTH2B-B4-14、SZTH2B-B4-15、SZTH2B-B4-16 、SZTH2B-B4-17、SZTH2B-B4-18、SZTH2B-B4-19、SZTH2B-B4-20</t>
  </si>
  <si>
    <t>SZTH2D-D9-05、SZTH2D-D9-06、SZTH2D-D9-07、SZTH2D-D9-08、SZTH2D-D9-09、SZTH2D-D9-10、SZTH2D-D9-13、SZTH2D-D9-14、SZTH2D-D9-15、SZTH2D-D9-16、SZTH2D-D9-17、
SZTH2D-D9-18、SZTH2D-D9-19、SZTH2D-D9-20 、SZTH2D-D9-21 、SZTH2D-D9-22、SZTH2D-D9-23、SZTH2D-D9-24</t>
  </si>
  <si>
    <t xml:space="preserve">SZTH2B-B5-18 </t>
  </si>
  <si>
    <t>SZTH2B-B4-01、SZTH2B-B4-02 、SZTH2B-B4-03、SZTH2B-B4-04、SZTH2B-B4-05、SZTH2B-B4-06、SZTH2B-B4-07、SZTH2B-B4-08、SZTH2B-B4-09</t>
  </si>
  <si>
    <t>SZTH2B-B3-08、SZTH2B-B3-09、SZTH2B-B3-10 、SZTH2B-B3-11 、SZTH2B-B3-12、SZTH2B-B3-13 、SZTH2B-B3-14、SZTH2B-B3-15、SZTH2B-B3-16</t>
  </si>
  <si>
    <t>SZTH2D-D7-05、SZTH2D-D7-06</t>
  </si>
  <si>
    <t>SZTH2C-C6-11</t>
  </si>
  <si>
    <t>SZTH2A-A1-09 、SZTH2A-A1-10</t>
  </si>
  <si>
    <t>SZTH2B-B2-01
SZTH2B-B2-02
SZTH2B-B2-03
SZTH2B-B2-04
SZTH2B-B2-05
SZTH2B-B2-06</t>
  </si>
  <si>
    <t>SZTH2C-C6-12~SZTH2C-C6-16</t>
  </si>
  <si>
    <t>SZTH2B-B6-09、SZTH2B-B6-10</t>
  </si>
  <si>
    <t>SZTH2B-B7-13、SZTH2B-B7-14</t>
  </si>
  <si>
    <t>SZTH2D-D8-15、SZTH2B-B6-12</t>
  </si>
  <si>
    <t>SZTH2D-D8-22
SZTH2D-D8-23
SZTH2D-D8-24
SZTH2D-D9-11
经核实，开通日期从10月31日，修改为11月3日</t>
  </si>
  <si>
    <t>SZTH2B-B7-10
SZTH2B-B7-11
SZTH2B-B7-12</t>
  </si>
  <si>
    <t>SZTH2A-A1-11、SZTH2A-A1-12、SZTH2A-A1-13
经核实，开通日期从11月1日，修改为11月2日</t>
  </si>
  <si>
    <t>SZTH2D-D8-13、SZTH2D-D8-14</t>
  </si>
  <si>
    <t>SZTH2D-D8-16
SZTH2D-D8-17
SZTH2D-D8-18
SZTH2D-D8-19</t>
  </si>
  <si>
    <t>SZTH2B-B3-18</t>
  </si>
  <si>
    <t>SZTH2D-D8-05
SZTH2D-D8-06
SZTH2D-D8-07
SZTH2D-D8-08
SZTH2D-D8-09
SZTH2D-D8-10
经核实，开通日期从11月15日，修改为11月16日</t>
  </si>
  <si>
    <t>SZTH2B-B7-15</t>
  </si>
  <si>
    <t xml:space="preserve">SZTH2B-B6-01 
SZTH2B-B6-02 
SZTH2B-B7-20 </t>
  </si>
  <si>
    <t>SZTH2B-B7-16
SZTH2B-B7-17
SZTH2B-B7-18
SZTH2B-B7-19</t>
  </si>
  <si>
    <t>SZTH2D-D8-20
SZTH2D-D8-21</t>
  </si>
  <si>
    <t>SZTH2B-B6-03
SZTH2B-B6-04
SZTH2B-B6-05
SZTH2B-B6-06
SZTH2B-B6-07</t>
  </si>
  <si>
    <t>SZTH2B-B7-02</t>
  </si>
  <si>
    <t xml:space="preserve">SZTH2B-B7-08 
SZTH2B-B7-09 </t>
  </si>
  <si>
    <t>SZTH2B-B8-19
SZTH2B-B8-20</t>
  </si>
  <si>
    <t>SZTH2C-C7-01
SZTH2C-C7-02
SZTH2C-C7-03
SZTH2C-C7-04
SZTH2C-C7-05</t>
  </si>
  <si>
    <t>SZTH2A-A1-14</t>
  </si>
  <si>
    <t>SZTH2A-A2-01
SZTH2A-A2-02
SZTH2A-A2-03
SZTH2A-A2-04
SZTH2A-A2-05
SZTH2A-A2-06</t>
  </si>
  <si>
    <t>SZTH2A-A3-07至SZTH2A-A3-13</t>
  </si>
  <si>
    <t xml:space="preserve">SZTH2A-A3-15至SZTH2A-A3-20
</t>
  </si>
  <si>
    <t>SZTH2B-B8-11至SZTH2B-B8-18</t>
  </si>
  <si>
    <t>SZTH2A-A2-11至SZTH2A-A2-13</t>
  </si>
  <si>
    <t>SZTH2A-A2-10</t>
  </si>
  <si>
    <t>SZTH2B-B7-06</t>
  </si>
  <si>
    <t>SZTH2B-B7-04
SZTH2B-B7-05</t>
  </si>
  <si>
    <t>SZTH2A-A4-01至SZTH2A-A4-13</t>
  </si>
  <si>
    <t>SZTH2A-A2-07
SZTH2A-A2-08
SZTH2A-A2-09
SZTH2A-A3-04
SZTH2A-A3-05 
SZTH2A-A3-06</t>
  </si>
  <si>
    <t>SZTH2A-A3-14
SZTH2A-A3-21
SZTH2A-A3-22</t>
  </si>
  <si>
    <t>SZTH2B-B7-07</t>
  </si>
  <si>
    <t>SZTH2B-B8-01至SZTH2B-B8-08
SZTH2A-A4-14至SZTH2A-A4-17</t>
  </si>
  <si>
    <t>SZTH2A-A3-03</t>
  </si>
  <si>
    <t>SZTH2A-A4-20</t>
  </si>
  <si>
    <t>SZTH2A-A3-01</t>
  </si>
  <si>
    <t>SZTH2C-C7-14
SZTH2C-C7-15</t>
  </si>
  <si>
    <t>SZTH2C-C7-11
SZTH2C-C7-12
SZTH2C-C7-13</t>
  </si>
  <si>
    <t>SZTH2C-C7-20</t>
  </si>
  <si>
    <t>SZTH2A-A4-18</t>
  </si>
  <si>
    <t>SZTH2C-C7-09</t>
  </si>
  <si>
    <t>SZTH2C-C7-08</t>
  </si>
  <si>
    <t>SZTH2A-A4-19</t>
  </si>
  <si>
    <t>SZTH2B-B8-09
SZTH2B-B8-10</t>
  </si>
  <si>
    <t>SZTH2B-B6-11</t>
  </si>
  <si>
    <t>SZTH2B-B6-08</t>
  </si>
  <si>
    <t>SZTH2B-B6-13</t>
  </si>
  <si>
    <t>SZTH2B-B2-07</t>
  </si>
  <si>
    <t>SZTH2D-D1-01</t>
  </si>
  <si>
    <t>SZTH2A-A2-14</t>
  </si>
  <si>
    <t>SZTH2B-B9-08
SZTH2B-B9-09
SZTH2B-B9-10
SZTH2A-A2-16 
SZTH2A-A2-17
SZTH2A-A2-18
SZTH2A-A2-19
SZTH2A-A2-20</t>
  </si>
  <si>
    <t>SZTH2C-C7-19</t>
  </si>
  <si>
    <t xml:space="preserve">SZTH2B-B2-08 
SZTH2B-B2-09 </t>
  </si>
  <si>
    <t>SZTH2A-A3-02</t>
  </si>
  <si>
    <t>SZTH2D-D9-12</t>
  </si>
  <si>
    <t>SZTH2B-B9-11
SZTH2B-B9-12
SZTH2B-B9-13</t>
  </si>
  <si>
    <t>SZTH2c-c7-17
SZTH2c-c7-18</t>
  </si>
  <si>
    <t>SZTH2B-B9-14</t>
  </si>
  <si>
    <t>SZTH2D-D8-11
SZTH2B-D8-12</t>
  </si>
  <si>
    <t xml:space="preserve">SZTH2B-B7-01 </t>
  </si>
  <si>
    <t>SZTH2B-B7-03</t>
  </si>
  <si>
    <t>SZTH2D-D1-02～04</t>
  </si>
  <si>
    <t>SZTH2C-C8-20~22</t>
  </si>
  <si>
    <t>SZTH2C-C8-16~18</t>
  </si>
  <si>
    <t>SZTH2C-C7-07~08</t>
  </si>
  <si>
    <t xml:space="preserve">SZTH2C-C7-06 
SZTH2C-C7-07 </t>
  </si>
  <si>
    <t xml:space="preserve">SZTH2C-C8-20 
SZTH2C-C8-21 
SZTH2C-C8-22 </t>
  </si>
  <si>
    <t>SZTH2C-C3-11</t>
  </si>
  <si>
    <t xml:space="preserve">SZTH2C-C3-10 
SZTH2C-C3-17 </t>
  </si>
  <si>
    <t>SZTH2C-C6-17</t>
  </si>
  <si>
    <t xml:space="preserve">SZTH2C-C3-18 
SZTH2C-C3-19 
SZTH2C-C6-18 
SZTH2C-C6-19 
SZTH2C-C6-20 
SZTH2C-C8-23 
SZTH2C-C8-24 </t>
  </si>
  <si>
    <t>SZTH2C-C3-12 
SZTH2C-C3-13 
SZTH2C-C3-14 
SZTH2C-C3-15
SZTH2C-C3-16 
SZTH2C-C4-12  
SZTH2C-C4-13  
SZTH2C-C4-14 
SZTH2C-C4-15 
SZTH2C-C4-16 
SZTH2C-C4-17 
SZTH2C-C4-18 
SZTH2C-C4-19</t>
  </si>
  <si>
    <t>SZTH2D-D1-23,SZTH2D-D1-24</t>
  </si>
  <si>
    <t>SZTH2C-C2-09,SZTH2C-C1-09</t>
  </si>
  <si>
    <t>SZTH2D-D1-09，SZTH2D-D1-10</t>
  </si>
  <si>
    <t>SZTH2D-D1-12，SZTH2D-D1-11</t>
  </si>
  <si>
    <t>SZTH2A-A1-18,SZTH2A-A1-17</t>
  </si>
  <si>
    <t>2018/5/4关闭8个。SZTH2C-C1-07~18,SZTH2C-C1-10,SZTH2C-C2-07~08,SZTH2C-C2-10，SZTH2C-C2-09,SZTH2C-C1-09</t>
  </si>
  <si>
    <t>SZTH2D-D1-23,SZTH2D-D1-24关闭2个。</t>
  </si>
  <si>
    <t>SZTH2C-C2-01 SZTH2C-C2-02</t>
  </si>
  <si>
    <t>2021/4/29开通，4月计费2天：SZTH2D-D1-19、SZTH2D-D1-20、SZTH2D-D1-21</t>
  </si>
  <si>
    <t>2021/4/30开通，4月计费1天：SZTH2D-D1-22</t>
  </si>
  <si>
    <t>2021/5/31开通，计费1天：SZTH2C-C4-21、SZTH2C-C8-19、SZTH2D-D1-23、SZTH2D-D1-24</t>
  </si>
  <si>
    <t>SZTH2D-D1-20</t>
  </si>
  <si>
    <t>布线机柜，免费</t>
  </si>
  <si>
    <t>SZTH2D-D1-01、SZTH2D-D1-02、SZTH2D-D1-03、SZTH2D-D1-04</t>
  </si>
  <si>
    <t>SZTH2B-B2-01、SZTH2B-B2-02、SZTH2B-B2-03、SZTH2B-B2-04、SZTH2B-B2-05、SZTH2B-B2-07、SZTH2B-B2-08、SZTH2B-B2-11、SZTH2B-B2-12、SZTH2B-B2-17、SZTH2B-B2-19、SZTH2B-B2-20、SZTH2B-B3-01、SZTH2B-B3-02、SZTH2B-B3-03、SZTH2B-B3-04、SZTH2B-B3-05、SZTH2B-B3-06、SZTH2B-B3-07、SZTH2B-B3-08、SZTH2B-B3-09、SZTH2B-B3-10、SZTH2B-B3-11、SZTH2B-B3-12、SZTH2B-B3-13、SZTH2B-B3-14、SZTH2B-B3-15、SZTH2B-B3-16、SZTH2B-B3-17、SZTH2B-B4-04、SZTH2B-B4-05、SZTH2B-B4-06、SZTH2B-B4-09、SZTH2B-B4-12、SZTH2B-B4-14、SZTH2B-B4-15、SZTH2B-B4-16、SZTH2B-B4-17、SZTH2B-B4-18、SZTH2B-B4-20、SZTH2B-B5-01、SZTH2B-B5-02、SZTH2B-B5-03、SZTH2B-B5-04、SZTH2B-B5-06、SZTH2B-B5-07、SZTH2B-B5-08、SZTH2B-B5-09、SZTH2B-B5-10、SZTH2B-B5-12、SZTH2B-B5-13、SZTH2B-B5-15、SZTH2B-B5-16、SZTH2B-B5-17、SZTH2B-B6-02、SZTH2B-B6-04、SZTH2B-B6-08、SZTH2B-B6-11、SZTH2B-B6-15、SZTH2B-B6-16、SZTH2B-B7-01、SZTH2B-B7-03、SZTH2B-B7-06、SZTH2B-B7-08、SZTH2B-B7-09、SZTH2B-B7-10、SZTH2B-B7-12、SZTH2B-B7-13、SZTH2B-B7-14、SZTH2B-B7-16、SZTH2B-B7-18、SZTH2B-B7-19、SZTH2B-B7-20、SZTH2B-B8-02、SZTH2B-B8-03、SZTH2B-B8-04、SZTH2B-B8-05、SZTH2B-B8-06、SZTH2B-B8-08、SZTH2B-B8-09、SZTH2B-B8-14、SZTH2B-B8-15、SZTH2B-B8-16、SZTH2B-B8-18、SZTH2B-B8-19、SZTH2B-B9-02、SZTH2B-B9-05、SZTH2B-B9-06、SZTH2B-B9-07、SZTH2B-B9-08、SZTH2B-B9-11、SZTH2B-B9-12、SZTH2B-B9-13、SZTH2B-B9-14、SZTH2B-B9-15、SZTH2B-B9-16</t>
  </si>
  <si>
    <t>SZTH2A-A4-20、SZTH2A-A4-18、SZTH2A-A4-17、SZTH2A-A4-16、SZTH2A-A4-15、SZTH2A-A4-14、SZTH2A-A4-13、SZTH2A-A4-12、SZTH2A-A4-11、SZTH2A-A4-10、SZTH2A-A4-09、SZTH2A-A4-08、SZTH2A-A4-05、SZTH2A-A4-04、SZTH2A-A4-03、SZTH2A-A3-20、SZTH2A-A3-19、SZTH2A-A3-18、SZTH2A-A3-17、SZTH2A-A3-16、SZTH2A-A3-15、SZTH2A-A3-14、SZTH2A-A3-13、SZTH2A-A3-12、SZTH2A-A3-11、SZTH2A-A3-10、SZTH2A-A3-09、SZTH2A-A3-08、SZTH2A-A3-07、SZTH2A-A3-06、SZTH2A-A3-05、SZTH2A-A3-04、SZTH2A-A3-03、SZTH2A-A2-20、SZTH2A-A2-19、SZTH2A-A2-18、SZTH2A-A2-17、SZTH2A-A2-16、SZTH2A-A2-11、SZTH2A-A2-09、SZTH2A-A2-08、SZTH2A-A2-07、SZTH2A-A2-05、SZTH2A-A2-04、SZTH2A-A2-03、SZTH2A-A2-01、SZTH2A-A1-20、SZTH2A-A1-17、SZTH2A-A1-13、SZTH2A-A1-12、SZTH2A-A1-11、SZTH2A-A1-09、SZTH2A-A1-07、SZTH2A-A1-06、SZTH2A-A1-04、SZTH2A-A1-03、SZTH2A-A1-02、SZTH2A-A1-01</t>
  </si>
  <si>
    <t>SZTH2D-D8-02、SZTH2D-D8-05、SZTH2D-D8-08、SZTH2D-D8-11、SZTH2D-D9-06、SZTH2D-D9-09、SZTH2D-D9-14、SZTH2D-D9-17、SZTH2D-D9-20、SZTH2D-D9-23、SZTH2B-B1-01、SZTH2B-B1-02、SZTH2B-B1-03、SZTH2B-B1-05、SZTH2B-B1-07、SZTH2B-B1-08、SZTH2B-B1-09、SZTH2B-B1-10、SZTH2B-B1-12、SZTH2B-B1-13、SZTH2B-B1-14、SZTH2B-B1-15、SZTH2B-B1-18、SZTH2B-B2-06、SZTH2B-B2-09、SZTH2B-B2-13、SZTH2B-B2-14、SZTH2B-B2-15、SZTH2B-B2-16、SZTH2B-B2-18、SZTH2B-B3-18、SZTH2B-B4-01、SZTH2B-B4-03、SZTH2B-B4-07、SZTH2B-B4-08、SZTH2B-B4-10、SZTH2B-B4-11、SZTH2B-B4-13、SZTH2B-B4-19、SZTH2B-B5-05、SZTH2B-B5-11、SZTH2B-B5-18、SZTH2B-B6-01、SZTH2B-B6-05、SZTH2B-B6-07、SZTH2B-B6-09、SZTH2B-B6-10、SZTH2B-B6-12、SZTH2B-B7-02、SZTH2B-B7-04、SZTH2B-B7-05、SZTH2B-B7-17、SZTH2B-B8-07、SZTH2B-B8-10、SZTH2B-B8-11、SZTH2B-B8-12、SZTH2B-B8-13、SZTH2B-B8-17、SZTH2B-B9-03、SZTH2B-B9-04、SZTH2B-B9-09、SZTH2B-B9-10、SZTH2B-B9-17、SZTH2B-B9-18</t>
  </si>
  <si>
    <t>SZTH2A-A1-08、SZTH2A-A1-10、SZTH2A-A1-14、SZTH2A-A1-18、SZTH2A-A1-21、SZTH2A-A2-02、SZTH2A-A2-06、SZTH2A-A2-10、SZTH2A-A2-12、SZTH2A-A2-13、SZTH2A-A2-14、SZTH2A-A3-01、SZTH2A-A3-02、SZTH2A-A3-21、SZTH2A-A3-22、SZTH2A-A4-01、SZTH2A-A4-02、SZTH2A-A4-06、SZTH2A-A4-07、SZTH2A-A4-19</t>
  </si>
  <si>
    <t>SZTH2B-B1-04、SZTH2B-B1-06、SZTH2B-B1-11、SZTH2B-B1-16、SZTH2B-B1-17、SZTH2B-B2-10、SZTH2B-B4-02、SZTH2B-B5-14、SZTH2B-B6-03、SZTH2B-B6-06、SZTH2B-B6-13、SZTH2B-B6-14、SZTH2B-B7-07、SZTH2B-B7-11、SZTH2B-B7-15、SZTH2B-B8-01、SZTH2B-B8-20、SZTH2A-A1-22</t>
  </si>
  <si>
    <t>SZTH2D-D8-01、SZTH2D-D8-03、SZTH2D-D8-04、SZTH2D-D8-06、SZTH2D-D8-07、SZTH2D-D8-09、SZTH2D-D8-10、SZTH2D-D8-12、SZTH2D-D8-13、SZTH2D-D8-14、SZTH2D-D8-15、SZTH2D-D8-16、SZTH2D-D8-17、SZTH2D-D8-18、SZTH2D-D8-19、SZTH2D-D8-20、SZTH2D-D8-21、SZTH2D-D8-22、SZTH2D-D8-23、SZTH2D-D8-24、SZTH2D-D9-03、SZTH2D-D9-04、SZTH2D-D9-05、SZTH2D-D9-07、SZTH2D-D9-08、SZTH2D-D9-10、SZTH2D-D9-11、SZTH2D-D9-12、SZTH2D-D9-13、SZTH2D-D9-15、SZTH2D-D9-16、SZTH2D-D9-18、SZTH2D-D9-19、SZTH2D-D9-21、SZTH2D-D9-22、SZTH2D-D9-24</t>
  </si>
  <si>
    <t>SZTH2D-D1-05、SZTH2D-D1-06、SZTH2D-D1-07、SZTH2D-D1-08、SZTH2D-D1-09、SZTH2D-D1-10、SZTH2D-D1-11、SZTH2D-D1-12、SZTH2D-D1-13、SZTH2D-D1-14、SZTH2D-D1-15、SZTH2D-D1-16、SZTH2D-D1-19、SZTH2D-D1-21、SZTH2D-D1-22、SZTH2D-D1-23、SZTH2D-D1-24、SZTH2D-D2-01、SZTH2D-D2-02、SZTH2D-D2-03、SZTH2D-D2-04、SZTH2D-D2-05、SZTH2D-D2-06、SZTH2D-D2-07、SZTH2D-D2-08、SZTH2D-D2-09、SZTH2D-D2-10、SZTH2D-D2-11、SZTH2D-D2-12、SZTH2D-D2-13、SZTH2D-D2-14、SZTH2D-D2-15、SZTH2D-D2-16、SZTH2D-D2-17、SZTH2D-D2-18、SZTH2D-D2-19、SZTH2D-D2-20、SZTH2D-D2-21、SZTH2D-D2-22、SZTH2D-D2-23、SZTH2D-D2-24、SZTH2D-D3-01、SZTH2D-D3-02、SZTH2D-D3-03、SZTH2D-D3-04、SZTH2D-D3-05、SZTH2D-D3-06、SZTH2D-D3-07、SZTH2D-D3-08、SZTH2D-D3-09、SZTH2D-D3-10、SZTH2D-D3-11、SZTH2D-D3-12、SZTH2D-D3-13、SZTH2D-D3-14、SZTH2D-D3-15、SZTH2D-D3-16、SZTH2D-D3-17、SZTH2D-D3-18、SZTH2D-D3-19、SZTH2D-D3-20、SZTH2D-D4-01、SZTH2D-D4-02、SZTH2D-D4-03、SZTH2D-D4-04、SZTH2D-D4-05、SZTH2D-D4-06、SZTH2D-D4-07、SZTH2D-D4-08、SZTH2D-D4-09、SZTH2D-D4-10、SZTH2D-D4-11、SZTH2D-D4-12、SZTH2D-D4-13、SZTH2D-D4-14、SZTH2D-D4-15、SZTH2D-D4-16、SZTH2D-D4-17、SZTH2D-D4-18、SZTH2D-D4-19、SZTH2D-D4-20、SZTH2D-D5-01、SZTH2D-D5-02、SZTH2D-D5-03、SZTH2D-D5-04、SZTH2D-D5-05、SZTH2D-D5-06、SZTH2D-D5-07、SZTH2D-D5-08、SZTH2D-D5-09、SZTH2D-D5-10、SZTH2D-D5-11、SZTH2D-D5-12、SZTH2D-D5-13、SZTH2D-D5-14、SZTH2D-D5-15、SZTH2D-D5-16、SZTH2D-D5-17、SZTH2D-D5-18、SZTH2D-D5-19、SZTH2D-D5-20、SZTH2D-D5-21、SZTH2D-D5-22、SZTH2D-D5-23、SZTH2D-D5-24、SZTH2D-D6-01、SZTH2D-D6-02、SZTH2D-D6-03、SZTH2D-D6-04、SZTH2D-D6-05、SZTH2D-D6-06、SZTH2D-D6-07、SZTH2D-D6-08、SZTH2D-D6-09、SZTH2D-D6-10、SZTH2D-D6-11、SZTH2D-D6-12、SZTH2D-D6-13、SZTH2D-D6-14、SZTH2D-D6-15、SZTH2D-D6-16、SZTH2D-D6-17、SZTH2D-D6-18、SZTH2D-D6-19、SZTH2D-D6-20、SZTH2D-D6-21、SZTH2D-D6-22、SZTH2D-D6-23、SZTH2D-D6-24、SZTH2D-D7-01、SZTH2D-D7-02、SZTH2D-D7-03、SZTH2D-D7-04、SZTH2D-D7-05、SZTH2D-D7-06、SZTH2D-D7-07、SZTH2D-D7-08、SZTH2D-D7-09、SZTH2D-D7-10、SZTH2D-D7-11、SZTH2D-D7-12、SZTH2D-D7-13、SZTH2D-D7-14、SZTH2D-D7-15、SZTH2D-D7-16、SZTH2D-D7-17、SZTH2D-D7-18、SZTH2D-D7-19、SZTH2D-D7-20</t>
  </si>
  <si>
    <t>SZTH2C-C4-21</t>
  </si>
  <si>
    <t>SUZ4CT-N-09、SUZ4CT-N-10、SUZ4CT-N-11</t>
  </si>
  <si>
    <t>L20230311006</t>
  </si>
  <si>
    <t>太湖机房一二期（改造后）</t>
  </si>
  <si>
    <t>SZTH1D3C-08-01、SZTH1D3D-08-01、SZTH1D4B-01-18</t>
  </si>
  <si>
    <t>SZTH1D3C-06-08、SZTH1D3C-06-09、SZTH1D3C-05-02、SZTH1D3C-05-03、SZTH1D3C-05-04、SZTH1D3C-05-05、SZTH1D3C-05-06、SZTH1D3C-06-02、SZTH1D3C-06-03、SZTH1D3C-06-04、SZTH1D3C-07-02、SZTH1D3C-07-03、SZTH1D3C-07-04、SZTH1D3C-07-05、SZTH1D3C-07-06、SZTH1D3C-08-02、SZTH1D3C-08-03、SZTH1D3C-08-04、SZTH1D3D-01-10、SZTH1D3D-01-11、SZTH1D3D-04-10、SZTH1D3D-04-11、SZTH1D3D-06-09、SZTH1D3D-06-10、SZTH1D4B-02-10、SZTH1D4B-02-11、SZTH1D4B-05-07、SZTH1D4B-05-08</t>
  </si>
  <si>
    <t>SZTH1D4B-01-01</t>
  </si>
  <si>
    <t>SZTH1D4B-01-02、SZTH1D4B-01-03、SZTH1D4B-01-04、SZTH1D4B-01-05</t>
  </si>
  <si>
    <t>太湖机房一期（改造后）</t>
  </si>
  <si>
    <t>202304 太湖机房一期（改造后）SZTH1D超电费用，暂按100A计提</t>
  </si>
  <si>
    <t>L20230320002</t>
  </si>
  <si>
    <t>苏州太湖-仙途</t>
  </si>
  <si>
    <t>苏州电信裸光纤，楼内客户间互联：苏州太湖-仙途</t>
  </si>
  <si>
    <t>苏州太湖-同程</t>
  </si>
  <si>
    <t>苏州电信裸光纤，楼内客户间互联：苏州太湖-同程</t>
  </si>
  <si>
    <t>中国联合网络通信有限公司常州市分公司</t>
  </si>
  <si>
    <t>常州联通</t>
  </si>
  <si>
    <t>182315IDC00116</t>
  </si>
  <si>
    <t>南京凤凰机房-昆山万国机房（一期）</t>
  </si>
  <si>
    <t>2023.2调整单价。南京凤凰机房-昆山万国机房（一期）存量裸光纤，长度由900.36，调整为913.36</t>
  </si>
  <si>
    <t>南京凤凰机房-昆山万国机房（二期）</t>
  </si>
  <si>
    <t>2023.2调整单价。南京凤凰机房-昆山万国机房（二期）扩容，新增2条2芯裸光纤.19.9.1开始计费</t>
  </si>
  <si>
    <t>南京凤凰机房-昆山万国机房（三期）</t>
  </si>
  <si>
    <t>2023.2调整单价。南京凤凰机房-昆山万国机房（三期）光纤，2021/2/1开始计费（ 江苏联通昆山-南京裸光纤，因剥离中信与联通城域部分，增加扬州汊河机房-南京新港机房-南京凤凰机房122.27KM，退租扬州-六合58.1KM，变更时间2021年2月1日。
      本次变更主要针对昆山-南京线路第一期进行线路变更
）</t>
  </si>
  <si>
    <t>南京凤凰机房-昆山万国机房（四期）扩容</t>
  </si>
  <si>
    <t>2023.2调整单价。扩容30.9KM:  原路由：无锡——苏州：75.1km
调整后：无锡——太湖：61.7km；太湖——苏州：44.3km
光纤长度增加：30.9km</t>
  </si>
  <si>
    <t>2023.2调整单价。南京凤凰机房-昆山万国机房（一期）存量机房占用费</t>
  </si>
  <si>
    <t>2023.2调整单价。南京凤凰机房-昆山万国机房（二期）扩容，新增6个机房</t>
  </si>
  <si>
    <t>中国联合网络通信有限公司济南市分公司</t>
  </si>
  <si>
    <t>云-济南联通</t>
  </si>
  <si>
    <t>182215IDC00348</t>
  </si>
  <si>
    <t>济南三枢纽楼内线</t>
  </si>
  <si>
    <t>济南联通</t>
  </si>
  <si>
    <t>济南2联通</t>
  </si>
  <si>
    <t>CDNJNUN</t>
  </si>
  <si>
    <t>历史开通
2019/1/26</t>
  </si>
  <si>
    <t xml:space="preserve">2023.3与SYS核对，JN2UN共13个免费机柜
JNUN2F-E-B7,JNUN2F-E-B6,JNUN2F-E-B12,JNUN2F-E-B13,JNUN2F-E-B11,JNUN2F-E-B10,JNUN2F-E-B9,JNUN2F-E-B8,JNUN2F-E-B5,JNUN2F-E-B4,JNUN2F-E-B3,JNUN2F-E-B2,JNUN2F-E-B1B8,目前使用了4个：JNUN2F-E-B6，JNUN2F-E-B7，JNUN2F-E-B8，JNUN2F-E-B9；
根据合同规定，CDN和SSL业务每2个万兆赠送1个机柜，一共64个万兆，合计赠送32个机柜。30个CDN机柜，2个SSL机柜。2021.6.25退租1个CDN免费机柜（JNUN2F-E-B14），运营商从SSL收费机柜中找一个替代免费JN4F-VC-09。更新为29个CDN机柜，3个SSL机柜。
</t>
  </si>
  <si>
    <t>根据合同规定，CDN和SSL业务每2个万兆赠送1个机柜，一共64个万兆，合计赠送32个机柜。30个CDN机柜，2个SSL机柜。2021.6.25退租1个CDN免费机柜（JNUN2F-E-B14），运营商从SSL收费机柜中找一个替代免费JN4F-VC-09。更新为29个CDN机柜，3个SSL机柜。
JNUN2F-C-01、JNUN2F-C-02、JNUN2F-C-03、JNUN2F-C-04</t>
  </si>
  <si>
    <t>2023.经与SYS核对，济南2联通CDN免费13个机柜，实际使用4个，计提表中关闭暂时不用的9个，线上未操作关闭。(JN2UN共13个免费机柜
JNUN2F-E-B7,JNUN2F-E-B6,JNUN2F-E-B12,JNUN2F-E-B13,JNUN2F-E-B11,JNUN2F-E-B10,JNUN2F-E-B9,JNUN2F-E-B8,JNUN2F-E-B5,JNUN2F-E-B4,JNUN2F-E-B3,JNUN2F-E-B2,JNUN2F-E-B1B8,目前使用了4个：JNUN2F-E-B6，JNUN2F-E-B7，JNUN2F-E-B8，JNUN2F-E-B9)
根据合同规定，CDN和SSL业务每2个万兆赠送1个机柜，一共64个万兆，合计赠送32个机柜。30个CDN机柜，2个SSL机柜。2021.6.25退租1个CDN免费机柜（JNUN2F-E-B14），运营商从SSL收费机柜中找一个替代免费JN4F-VC-09。更新为29个CDN机柜，3个SSL机柜。
JNUN2F-E-B1、JNUN2F-E-B2、JNUN2F-E-B3、JNUN2F-E-B4、JNUN2F-E-B5、JNUN2F-E-B10、JNUN2F-E-B11、JNUN2F-E-B12、JNUN2F-E-B13</t>
  </si>
  <si>
    <t>济南4联通</t>
  </si>
  <si>
    <t>JNGXUN</t>
  </si>
  <si>
    <t>2023.3经与SYS核对，JN4UN使用4个机柜：JNGXUN3F-B-12、JNGXUN3F-B-13、JNGXUN3F-B-14、JNGXUN3F-B-15；
根据合同规定，CDN和SSL业务每2个万兆赠送1个机柜，一共64个万兆，合计赠送32个机柜。30个CDN机柜，2个SSL机柜。2021.6.25退租1个CDN免费机柜（JNUN2F-E-B14），运营商从SSL收费机柜中找一个替代免费JN4F-VC-09。更新为29个CDN机柜，3个SSL机柜。
JNUN2F-E-B1、JNUN2F-E-B2、JNUN2F-E-B3、JNUN2F-E-B4、JNUN2F-E-B5、JNUN2F-E-B6、JNUN2F-E-B7、JNUN2F-E-B8、JNUN2F-E-B9、JNUN2F-E-B10、JNUN2F-E-B11、JNUN2F-E-B12、JNUN2F-E-B13、JNGXUN3F-B-12、JNGXUN3F-B-13、JNGXUN3F-B-14、JNGXUN3F-B-15、JNUN2F-A-03、JNUN2F-A-04、JNUN2F-A-05、JNUN2F-A-06、JNUN2F-A-07、JNUN2F-A-08、JNUN2F-A-09、JNUN2F-A-10、JNUN2F-C-01、JNUN2F-C-02、JNUN2F-C-03、JNUN2F-C-04</t>
  </si>
  <si>
    <t>济南联通二级</t>
  </si>
  <si>
    <t>根据合同规定，CDN和SSL业务每2个万兆赠送1个机柜，一共64个万兆，合计赠送32个机柜。30个CDN机柜，2个SSL机柜。2021.6.25退租1个CDN免费机柜（JNUN2F-E-B14），运营商从SSL收费机柜中找一个替代免费JN4F-VC-09。更新为29个CDN机柜，3个SSL机柜。
JNUN2F-E-B1、JNUN2F-E-B2、JNUN2F-E-B3、JNUN2F-E-B4、JNUN2F-E-B5、JNUN2F-E-B6、JNUN2F-E-B7、JNUN2F-E-B8、JNUN2F-E-B9、JNUN2F-E-B10、JNUN2F-E-B11、JNUN2F-E-B12、JNUN2F-E-B13、JNGXUN3F-B-12、JNGXUN3F-B-13、JNGXUN3F-B-14、JNGXUN3F-B-15、JNUN2F-A-03、JNUN2F-A-04、JNUN2F-A-05、JNUN2F-A-06、JNUN2F-A-07、JNUN2F-A-08、JNUN2F-A-09、JNUN2F-A-10、JNUN2F-C-01、JNUN2F-C-02、JNUN2F-C-03、JNUN2F-C-04</t>
  </si>
  <si>
    <t>2022.1.1扩容3个边缘计算机柜
JNUN2F-A-11、JNUN2F-A-12、JNUN2F-B-14</t>
  </si>
  <si>
    <t>JNUN2F-A-11、JNUN2F-A-12、JNUN2F-B-14</t>
  </si>
  <si>
    <t>济南联通SSL</t>
  </si>
  <si>
    <t>CDNJN</t>
  </si>
  <si>
    <t>根据合同规定，CDN和SSL业务每2个万兆赠送1个机柜，一共64个万兆，合计赠送32个机柜。30个CDN机柜，2个SSL机柜。2021.6.25退租1个CDN免费机柜（JNUN2F-E-B14），运营商从SSL收费机柜中找一个替代免费JN4F-VC-09。更新为29个CDN机柜，3个SSL机柜。JN4F-VC-09、JN4F-VC-10、JN4F-VC-11；2021.10.1扩容60G，共700G带宽，依据合同免费35个机柜，SSL收费机柜中选3个作为免费机柜（JN4F-VG-09
JN4F-VG-10
JN4F-VC-08），更新为免费29个CDN机柜、6个SSL机柜。</t>
  </si>
  <si>
    <t>2021.10.1扩容60G，共700G带宽，依据合同免费35个机柜，SSL收费机柜中选3个作为免费机柜（JN4F-VG-09
JN4F-VG-10
JN4F-VC-08），更新为免费29个CDN机柜、6个SSL机柜。</t>
  </si>
  <si>
    <t>CDNJN、CDNJNUN</t>
  </si>
  <si>
    <t>1907已核对。共使用16个机柜，赠送2个，收费14个。2021.6.30退租1个CDN免费机柜，从SSL收费机柜中减去1个机柜费用;2021.10.1扩容60G，共700G带宽，依据合同再免费3个机柜，从SSL收费机柜中减去3个机柜。
JN4F-VA-12
JN4F-VA-13
JN4F-VA-14
JN4F-VA-15
JN4F-VA-16
JN4F-VA-17
JN4F-VG-05
JN4F-VG-06
JN4F-VG-07
JN4F-VG-08
JN4F-VC-09</t>
  </si>
  <si>
    <t>2021.6.25退租1个CDN免费机柜（JNUN2F-E-B14），运营商从SSL收费机柜中找一个替代免费JN4F-VC-09。</t>
  </si>
  <si>
    <t>JN4F-VA-12、JN4F-VA-13、JN4F-VA-14、JN4F-VA-15、JN4F-VA-16、JN4F-VA-17、JN4F-VG-05、JN4F-VG-06、JN4F-VG-07、JN4F-VG-08、JN4F-VG-09、JN4F-VG-10、JN4F-VC-08、JN4F-VC-09、JN4F-VC-10、JN4F-VC-11</t>
  </si>
  <si>
    <t>JNGXUN3F-A-06、JNGXUN3F-A-07、JNGXUN3F-A-08、JNGXUN3F-A-09、JNGXUN3F-A-10、JNGXUN3F-A-15、JNGXUN3F-B-01、JNGXUN3F-B-02</t>
  </si>
  <si>
    <t>历史开通
2017/1/20
2017/11/28</t>
  </si>
  <si>
    <t>共赠送18个C的IP：已使用：119.188.212.0/27;27.221.124.0/24</t>
  </si>
  <si>
    <t>共赠送18个C的IP：已使用：123.129.234.0/24</t>
  </si>
  <si>
    <t>共赠送18个C的IP：CDN已使用544个：123.129.248.0/27;119.188.176.0/24;119.188.177.0/24</t>
  </si>
  <si>
    <t>共赠送18个C的IP：BEC已使用：27.221.109.0/24;119.188.72.128/25</t>
  </si>
  <si>
    <t>赠送18个C的IP；SSL使用1088个（119.188.9.0/24,119.188.97.0/24,119.188.14.0/24,119.188.70.64/26,119.188.132.0/24）；</t>
  </si>
  <si>
    <t>119.188.97.0/24 
119.188.9.0/24   
119.188.14.0/24
119.188.132.0/24
60.217.232.0/24</t>
  </si>
  <si>
    <t>119.188.97.0/24 
119.188.9.0/24   
119.188.14.0/24
119.188.132.0/24
60.217.232.0/24
2408:8719:0064:0017::/64</t>
  </si>
  <si>
    <t>赠送18个C的IP；高防使用768个（119.188.178.0/24、119.188.179.0/24、119.188.131.128/25、60.217.242.128/25）；</t>
  </si>
  <si>
    <t>JNGXUN3F-A-01
JNGXUN3F-A-02
JNGXUN3F-A-03
JNGXUN3F-A-04
JNGXUN3F-A-05
JNGXUN3F-A-11
JNGXUN3F-A-12</t>
  </si>
  <si>
    <t>JNGXUN3F-A-13
JNGXUN3F-A-14</t>
  </si>
  <si>
    <t>高防IP代播</t>
  </si>
  <si>
    <t>济南三枢纽—恒基大厦</t>
  </si>
  <si>
    <t>济南市三枢纽三层西机房A4机柜-济南市经七纬五路75号全景恒基大厦308室</t>
  </si>
  <si>
    <t>CDNJNUN2</t>
  </si>
  <si>
    <t>免费，2020-12-11边缘计算新增128个IPV4；60.217.236.0/25</t>
  </si>
  <si>
    <t>2022.1.1边缘计算开通128个IP：
123.129.251.0/25</t>
  </si>
  <si>
    <t>JN2UN</t>
  </si>
  <si>
    <t>2022/3/31BEC退租128个IP
123.129.251.0/25</t>
  </si>
  <si>
    <t>济南三枢纽</t>
  </si>
  <si>
    <t>2021.4.25扩容1个9KW机柜，于2021.5.1开始计费JNGXUN3F-A-16</t>
  </si>
  <si>
    <t>济南6联通</t>
  </si>
  <si>
    <t>2021.10.1开通500G带宽、22个机柜、544个IP。临时免费节点（2021.10.1~2021.11.30）
JNUN4F-G-7、
JNUN4F-G-8、
JNUN4F-G-9、
JNUN4F-G-10、JNUN4F-G-11、JNUN4F-G-12、JNUN4F-G-13、JNUN4F-G-18、JNUN4F-G-19、JNUN4F-G-20、JNUN4F-G-21、JNUN4F-G-22、JNUN4F-G-23、JNUN4F-H-1、
JNUN4F-H-2、
JNUN4F-H-3、
JNUN4F-H-4、
JNUN4F-H-5、
JNUN4F-H-6、
JNUN4F-H-7、
JNUN4F-H-8、
JNUN4F-H-9</t>
  </si>
  <si>
    <t>2021.11.30退租</t>
  </si>
  <si>
    <t>百度机房—爱奇艺机房</t>
  </si>
  <si>
    <t>济南联通新增2条裸光纤，用于百度机房与爱奇艺机房互联，单价2000元/対芯/月，使用4芯共计4000元/月，开通日期为2022年2月23日，实际计费时间为2022年3月1日</t>
  </si>
  <si>
    <t>济南9联通</t>
  </si>
  <si>
    <t>CDNJNUN3</t>
  </si>
  <si>
    <t>【BEC新建】济南联通新建500G ，使用1个机柜：BECJN9UN-C-02、BECJN9UN-D-02</t>
  </si>
  <si>
    <t>L20211025001</t>
  </si>
  <si>
    <t>2021.10.1开通500G带宽、22个机柜、544个IP。临时免费节点（2021.10.1~2021.11.30）
119.188.195.0/24 27.221.107.0/24 27.221.102.160/27</t>
  </si>
  <si>
    <t>2021.11.30退租：119.188.195.0/24 27.221.107.0/24 27.221.102.160/27</t>
  </si>
  <si>
    <t>L20220710006</t>
  </si>
  <si>
    <t>济南8联通</t>
  </si>
  <si>
    <t>免费节点。【CDN新建】山东济南联通  新建100G  2022-07-01 节点正式上线  (JN8UN)：JN8UNN3FXN-E-01、JN8UNN3FXN-E-02、JN8UNN3FXN-E-03；2023.4.1SYS更新机柜编号为CDNJNUN2:3F:WS-E-CDN01、CDNJNUN2:3F:WS-E-CDN02、CDNJNUN2:3F:WS-E-CDN03</t>
  </si>
  <si>
    <t>免费节点。【CDN新建】山东济南联通  扩容40G  2023-04-01 节点正式上线  (JN8UN)，使用1个机柜：CDNJNUN2:3F:WS-E-CDN04</t>
  </si>
  <si>
    <t>免费节点。【CDN新建】山东济南联通  新建100G  2022-07-01 节点正式上线  (JN8UN)：39.91.182.0/24、119.188.96.0/27</t>
  </si>
  <si>
    <t>L20230131001</t>
  </si>
  <si>
    <t>2023.1更新IP，【BEC新建】济南联通新建500G ，使用2560个IP：218.57.21.0/24、123.129.201.0/24、123.129.202.0/24、123.129.199.0/24、119.188.114.0/24、119.188.195.0/24、119.188.135.0/24、119.188.137.0/24、119.188.64.0/24、119.188.65.0/24；IPV6:2408:8719:409:: /48</t>
  </si>
  <si>
    <t>中国联合网络通信有限公司江苏省分公司</t>
  </si>
  <si>
    <t>江苏联通-电路</t>
  </si>
  <si>
    <t>182015IDC00283</t>
  </si>
  <si>
    <t>北京M1-南京新港</t>
  </si>
  <si>
    <t>400G</t>
  </si>
  <si>
    <t>2020/12/1开通北京M1-南京新港400G电路</t>
  </si>
  <si>
    <t>中国联合网络通信有限公司连云港市分公司</t>
  </si>
  <si>
    <t>连云港联通</t>
  </si>
  <si>
    <t>L20230227003</t>
  </si>
  <si>
    <t>连云港三线联通</t>
  </si>
  <si>
    <t>【BEC新建】连云港三线联通新建30G 2023-2-1节点正式上线  (LYGIXUN)：ipv4: 122.194.218.0/25、122.194.218.128/27
ipv6:
2408:873C:C001:0003::2/127
2408:873C:C010:0003::/64</t>
  </si>
  <si>
    <t>江西</t>
  </si>
  <si>
    <t>中国联合网络通信有限公司南京市分公司</t>
  </si>
  <si>
    <t>南京联通</t>
  </si>
  <si>
    <t>182115IDC00244</t>
  </si>
  <si>
    <t>上海移动金桥机房-南京凤凰机房</t>
  </si>
  <si>
    <t>宜春联通转签南京联通。上海移动金桥机房-南京凤凰机房400G电路</t>
  </si>
  <si>
    <t>本业务于2021年12月31日退租</t>
  </si>
  <si>
    <t>182115IDC00435</t>
  </si>
  <si>
    <t>南京新港-南京凤凰（张王庙一路由）</t>
  </si>
  <si>
    <t>依据新的商务谈判结果，2021.5调整开始计费时间，单价和长度。南京新港-南京凤凰（南京栖霞区仙新东路紫泉物流园南门-南京是下关区张王庙88号）</t>
  </si>
  <si>
    <t>南京新港-南京凤凰（张王庙二路由1）</t>
  </si>
  <si>
    <t>南京新港-南京凤凰（张王庙2）</t>
  </si>
  <si>
    <t>南京新港-南京凤凰（张王庙三路由）</t>
  </si>
  <si>
    <t>南京新港-江东二长一路由</t>
  </si>
  <si>
    <t>南京新港-江东二长二路由</t>
  </si>
  <si>
    <t>南京新港-吉山一路由</t>
  </si>
  <si>
    <t>南京新港-吉山二路由</t>
  </si>
  <si>
    <t>中国联合网络通信有限公司青岛市分公司</t>
  </si>
  <si>
    <t>青岛联通</t>
  </si>
  <si>
    <t>L20230311036</t>
  </si>
  <si>
    <t>二枢纽IDC机房</t>
  </si>
  <si>
    <t>青岛5联通</t>
  </si>
  <si>
    <t>CDNQD</t>
  </si>
  <si>
    <t>2019年1月17日开通7个3.5KW机架:CDNQD202-I-01、CDNQD202-I-02、CDNQD202-I-03、CDNQD202-I-04、CDNQD202-I-05、CDNQD202-I-06、CDNQD202-H-10
2019年1月25日开通28个万兆后，新合同共97个万兆，赠送29个16A机柜+13个20A机柜，故自2月账期开始7个机柜免费。</t>
  </si>
  <si>
    <t>二枢纽机房</t>
  </si>
  <si>
    <t>青岛3联通</t>
  </si>
  <si>
    <t>每2个万兆赠送一个
CDNQD202-H-07、CDNQD202-H-06、CDNQD202-H-04、CDNQD202-H-05、
CDNQD202-H-03、CDNQD202-H-02、CDNQD202-H-01</t>
  </si>
  <si>
    <t>2021.8.13退租7个机柜；CDNQD202-H-07、CDNQD202-H-06、CDNQD202-H-04、CDNQD202-H-05、
CDNQD202-H-03、CDNQD202-H-02、CDNQD202-H-01</t>
  </si>
  <si>
    <t>青岛6联通</t>
  </si>
  <si>
    <t>2020.6.15新增2个机柜
QD6UN2F-H-08、QD6UN2F-H-09
于2022.1.20转为边缘计算使用</t>
  </si>
  <si>
    <t>2022.2.25新增2个机柜
QD6UN2F-I-11、QD6UN2F-H-11
实际核实可能为2020.6开通，于2022.2.25补交付邮件；2022.1.20转为边缘计算使用</t>
  </si>
  <si>
    <t>2022/5/31 节点全部退租：QD6UN2F-H-09、QD6UN2F-H-08、QD6UN2F-I-11、QD6UN2F-H-11</t>
  </si>
  <si>
    <t>2020.6.15新增288个IP
119.167.158.0/24；27.221.56.32/27。182015IDC00252约定IP地址免费 3680 个，收费 256 个，租用费： 20 元/月/个</t>
  </si>
  <si>
    <t>2022/5/31节点退租：119.167.158.0/24；27.221.56.32/27</t>
  </si>
  <si>
    <t xml:space="preserve">SSL机架 </t>
  </si>
  <si>
    <t>青岛联通SSL</t>
  </si>
  <si>
    <t>每2个万兆赠送一个；CDNQD202-E-02、CDNQD202-E-03、CDNQD202-E-04</t>
  </si>
  <si>
    <t>开通1个C（119.167.246.0/24）。182015IDC00252约定IP地址免费 3680 个，收费 256 个，租用费： 20 元/月/个</t>
  </si>
  <si>
    <t>2022/8/31节点下线，退租3个机柜：CDNQD202-E-02、CDNQD202-E-03、CDNQD202-E-04</t>
  </si>
  <si>
    <t>2022/8/31节点下线，退租IP:IPv4:
119.167.246.0/24；IPv6:2408:8719:2100:0005::/64</t>
  </si>
  <si>
    <t>青岛2联通</t>
  </si>
  <si>
    <t>QD01</t>
  </si>
  <si>
    <t>每2个万兆赠送一个；QD01204-A-02、QD01204-A-03、QD01204-A-04、QD01204-A-05、QD01204-A-06</t>
  </si>
  <si>
    <t xml:space="preserve">开通1个C
27.221.38.0/24 </t>
  </si>
  <si>
    <t>青岛三级联通</t>
  </si>
  <si>
    <t>BEC使用：119.167.192.0/24。182015IDC00252约定IP地址免费 3680 个，收费 256 个，租用费： 20 元/月/个</t>
  </si>
  <si>
    <t>CDN使用：123.235.30.0/24,123.235.31.0/24,119.167.138.224/27 。182015IDC00252约定IP地址免费 3680 个，收费 256 个，租用费： 20 元/月/个</t>
  </si>
  <si>
    <t>青岛8联通</t>
  </si>
  <si>
    <t>2022.12.31节点退租。2022.9.1转移2个机柜至QD9UN：QD8UN2F-H-01、QD8UN2F-H-02</t>
  </si>
  <si>
    <t>青岛9联通</t>
  </si>
  <si>
    <t>2022.12.31节点退租。2022.9.1转移2个机柜至QD9UN：QD8UN2F-H-03、QD8UN2F-H-04</t>
  </si>
  <si>
    <t>2022.12.31节点退租。119.167.254.0/24 27.221.56.64/27。</t>
  </si>
  <si>
    <t>2022.12.31节点退租。2022.9.1从青岛8联通迁移160个IP至新建节点青岛9联通。119.167.224.0/25 119.167.138.192/27</t>
  </si>
  <si>
    <t>182215IDC00586</t>
  </si>
  <si>
    <t>青岛联通滨海数据中心百度-科技园机房</t>
  </si>
  <si>
    <t>100G</t>
  </si>
  <si>
    <t>青岛联通滨海数据中心百度QDBH-科技园机房BJKJY</t>
  </si>
  <si>
    <t>青岛联通滨海数据中心百度-M1</t>
  </si>
  <si>
    <t>青岛联通滨海数据中心百度QDBH-M1</t>
  </si>
  <si>
    <t>L20210323002</t>
  </si>
  <si>
    <t>青岛7联通</t>
  </si>
  <si>
    <t>此节点免费，增量100G、开通4个机柜、288个IP，于2021-02-01开始正式切流量上线（QD7UN2F202-E-07、QD7UN2F202-E-06、QD7UN2F202-E-05、QD7UN2F202-E-08）</t>
  </si>
  <si>
    <t>此节点免费，于2022.1.12退租1个机柜（QD7UN2F202-E-08），免费机柜，运营商侧不退租</t>
  </si>
  <si>
    <t>此节点免费，于2022/11/18关停：QD7UN2F202-E-07、QD7UN2F202-E-06、QD7UN2F202-E-05</t>
  </si>
  <si>
    <t>QD7UN2F202-E-07、QD7UN2F202-E-06、QD7UN2F202-E-05</t>
  </si>
  <si>
    <t>此节点免费，IP段为2022.4核对后更新。增量100G、开通4个机柜、288个IP，于2021-02-01开始正式切流量上线（119.167.139.0/24
119.167.138.96/27
）</t>
  </si>
  <si>
    <t>此节点免费，于2022/11/18关停，119.167.139.0/24 119.167.138.96/27</t>
  </si>
  <si>
    <t>此节点免费：119.167.139.0/24 119.167.138.96/27</t>
  </si>
  <si>
    <t>L20220330004</t>
  </si>
  <si>
    <t>青岛滨海联通</t>
  </si>
  <si>
    <t>119.167.143.0/24
119.167.145.0/24
119.167.152.0/24
119.167.161.0/24
119.167.193.0/24
119.167.212.0/24
27.221.9.0/24接口地址，不包含进开通IP，正式合同182015IDC00246无IP合同行，故关联临时合同</t>
  </si>
  <si>
    <t>L20230204002</t>
  </si>
  <si>
    <t>青岛10联通</t>
  </si>
  <si>
    <t>CDNQD2</t>
  </si>
  <si>
    <t>【CDN新建】山东青岛联通  新建120G  2023-02-01 节点正式上线  (QD10UN)：QD10UN2F204-A-08、QD10UN2F204-A-09、QD10UN2F204-A-07</t>
  </si>
  <si>
    <t>【CDN新建】山东青岛联通  新建120G  2023-02-01 节点正式上线  (QD10UN)：119.167.210.0/25、27.221.24.96/27</t>
  </si>
  <si>
    <t>L20230204003</t>
  </si>
  <si>
    <t>滨海机房</t>
  </si>
  <si>
    <t>自2月7日起计费</t>
  </si>
  <si>
    <t>QDBH3E1-G-03、QDBH3E1-G-05、QDBH3E1-G-07、QDBH3E1-H-03、QDBH3E1-H-05、QDBH3E1-H-07。13.75W。自2月7日起计费</t>
  </si>
  <si>
    <t>QDBH3E1-G-11、QDBH3E1-H-11。6KW。自2月7日起计费</t>
  </si>
  <si>
    <t>8KW。自2月7日起计费</t>
  </si>
  <si>
    <t>3月1日开通2个机架</t>
  </si>
  <si>
    <t>5月11日开通2个机架</t>
  </si>
  <si>
    <t>5月31日开通2个机架</t>
  </si>
  <si>
    <t>6月1日开通1个机架</t>
  </si>
  <si>
    <t>6月22日开通19个机架</t>
  </si>
  <si>
    <t>6月25日开通1个机架</t>
  </si>
  <si>
    <t>6月27日开通1个机架</t>
  </si>
  <si>
    <t>7月20日开通9个机架</t>
  </si>
  <si>
    <t>7月25日开通4个机架</t>
  </si>
  <si>
    <t>8月23日开通13个机架</t>
  </si>
  <si>
    <t>8月24日开通1个机架</t>
  </si>
  <si>
    <t>8月27日开通7个机架</t>
  </si>
  <si>
    <t>9月3日开通11个机架</t>
  </si>
  <si>
    <t>9月12日开通10个机架</t>
  </si>
  <si>
    <t>9月17日开通1个机架</t>
  </si>
  <si>
    <t>10月31日开通12个4.4KW机架（编号：QDBH2E1-A-01~QDBH2E1-A-12）</t>
  </si>
  <si>
    <t>11月8日开通25个4.4KW机架（编号：QDBH2E1-B-05~QDBH2E1-B-17、QDBH2E1-C-05~QDBH2E1-C-15、QDBH2E1-A-17）</t>
  </si>
  <si>
    <t>11月12日开通2个4.4KW机架（编号：QDBH2E1-I-07、QDBH2E1-I-08）</t>
  </si>
  <si>
    <t>11月13日开通9个4.4KW机架（编号：QDBH2E1-C-01、QDBH2E1-A-13~QDBH2E1-A-16、QDBH2E1-B-01~QDBH2E1-B-04）</t>
  </si>
  <si>
    <t>11月20日开通2个4.4KW机架（编号：QDBH2E1-C-03、QDBH2E1-C-04）</t>
  </si>
  <si>
    <t>11月30日关闭2个机架自12月1日起不计费（编号：QDBH2E1-C-15、QDBH2E1-B-17）</t>
  </si>
  <si>
    <t>11月30日开通11个4.4KW机架（编号：QDBH2E1-D-01~QDBH2E1-D-10、QDBH2E1-D-12）</t>
  </si>
  <si>
    <t>12月2日开通1个4.4KW机架（编号：QDBH2E1-D-11）</t>
  </si>
  <si>
    <t>12月28日开通4个4.4KW机架（编号：QDBH2E1-N-03~QDBH2E1-N-06）</t>
  </si>
  <si>
    <t>2019年1月19日开通20个4.4KW机架（编号：QDBH2E1-D-13~16、QDBH2E1-E-01~16）</t>
  </si>
  <si>
    <t>2019年1月19日开通20个4.4KW机架（编号：QDBH2E1-F-01~14、QDBH2E1-G-01~06）</t>
  </si>
  <si>
    <t>2019年1月21日开通26个4.4KW机架（编号：QDBH2E1-D-17、QDBH2E1-E-17、QDBH2E1-F-15、QDBH2E1-G-07~17、QDBH2E1-H-01~12）</t>
  </si>
  <si>
    <t>2019年1月25日开通1个4.4KW机架（编号：QDBH2E1-N-02）</t>
  </si>
  <si>
    <t>2019年3月18日开通2个4.4KW机架（编号：QDBH2E1-I-09、QDBH2E1-I-10）</t>
  </si>
  <si>
    <t>2019年5月9日开通16个4.4KW机架（编号：QDBH2E1-L-01~QDBH2E1-L-14、QDBH2E1-M-01、QDBH2E1-M-03）</t>
  </si>
  <si>
    <t>2019年5月10日开通10个4.4KW机架（编号：QDBH2E1-M-05~QDBH2E1-M-12、QDBH2E1-M-02、QDBH2E1-M-04）</t>
  </si>
  <si>
    <t>2019年5月15日开通20个4.4KW机架（编号：QDBH2E1-K-13~QDBH2E1-K-16、QDBH2E1-M-13~QDBH2E1-M-16、QDBH2E1-N-07~QDBH2E1-N-16、QDBH2E1-K-03、QDBH2E1-K-04）</t>
  </si>
  <si>
    <t>2019年5月20日开通5个4.4KW机架（编号：QDBH2E1-B-17、QDBH2E1-C-15、QDBH2E1-L-15、QDBH2E1-M-17、QDBH2E1-N-17）</t>
  </si>
  <si>
    <t>7月费用。2019年5月31日开通12个4.4KW机架（编号：QDBH2E1-H-15、QDBH2E1-H-16、QDBH2E1-I-11、QDBH2E1-I-12、QDBH2E1-I-13、QDBH2E1-I-14、QDBH2E1-K-5至QDBH2E1-K-10）</t>
  </si>
  <si>
    <t>7月费用。2019年6月28日开通5个4.4KW机架（编号：QDBH2E1-H-17、QDBH2E1-I-15、QDBH2E1-J-17、QDBH2E1-K-11、QDBH2E1-K-12）</t>
  </si>
  <si>
    <t>8KW。2019年5月27日关闭1个8KW机架（编号：QDBH3E1-G-13）</t>
  </si>
  <si>
    <t>190710开通10个机架，7月22天的费用</t>
  </si>
  <si>
    <t>190716开通8个机架，7月16天的费用</t>
  </si>
  <si>
    <t>8月新增</t>
  </si>
  <si>
    <t>QDBH3E1-G-13。8KW</t>
  </si>
  <si>
    <t>2020-7月新增</t>
  </si>
  <si>
    <t>于2020.11.15日关闭，2020.11.16开始计费在度友科技下QDBH3E1-H-09</t>
  </si>
  <si>
    <t>L20230204005</t>
  </si>
  <si>
    <t>滨海机房QDBH-百度济南中继POP点</t>
  </si>
  <si>
    <t>自2月13日起计费。滨海机房QDBH-百度济南中继POP点双路由</t>
  </si>
  <si>
    <t>L20230225001</t>
  </si>
  <si>
    <t>QDBH3E1-G-08、QDBH3E1-H-08</t>
  </si>
  <si>
    <t>中国联合网络通信有限公司上海市分公司</t>
  </si>
  <si>
    <t>万国2017合约转签上海联通</t>
  </si>
  <si>
    <t>182115IDC00128</t>
  </si>
  <si>
    <t>2021/2/1由万国2017新合约转签至上海联通
SZWG201-G-05、SZWG201-H-06、SZWG201-E-05、SZWG201-F-07、SZWG201-G-03、SZWG201-D-22、SZWG201-D-21、SZWG201-E-06、SZWG201-E-07、SZWG201-E-08、SZWG201-G-06、SZWG201-G-07、SZWG201-F-05、SZWG201-G-01、SZWG201-G-02、SZWG201-H-05、SZWG201-H-07、SZWG201-H-08、SZWG201-H-10、SZWG201-E-10、SZWG201-E-11、SZWG201-E-01、SZWG201-G-04、SZWG201-H-04、SZWG201-H-01、SZWG201-H-02、SZWG201-H-03、SZWG201-F-02、SZWG201-F-04、SZWG201-F-03、SZWG201-E-09、SZWG201-E-02、SZWG201-E-03、SZWG201-E-04、SZWG201-E-12、SZWG201-F-01、SZWG201-C-22、SZWG201-G-11、SZWG102-F-02、SZWG102-B-01、SZWG102-C-04、SZWG102-D-18、SZWG102-C-21、SZWG102-C-01、SZWG102-C-06、SZWG102-C-03、SZWG102-C-05、SZWG102-B-07、SZWG102-G-12、SZWG102-C-10、SZWG102-C-09、SZWG102-C-15、SZWG102-C-16、SZWG102-C-14、SZWG102-C-13、SZWG102-C-19、SZWG102-C-22、SZWG102-B-05、SZWG102-B-03、SZWG102-C-12、SZWG102-B-10、SZWG102-B-09、SZWG102-D-04、SZWG102-D-01、SZWG102-D-03、SZWG102-D-02、SZWG102-D-14、SZWG102-D-13、SZWG102-D-07、SZWG102-D-10、SZWG102-D-16、SZWG102-D-12、SZWG102-D-08、SZWG102-D-15、SZWG102-G-01、SZWG102-G-02、SZWG102-G-03、SZWG102-G-04、SZWG102-G-05、SZWG102-G-06、SZWG102-G-07、SZWG102-G-08、SZWG102-G-09、SZWG102-C-18、SZWG102-C-20、SZWG102-C-07、SZWG102-C-08、SZWG102-C-02、SZWG102-E-08、SZWG102-E-01、SZWG102-E-04、SZWG102-E-05、SZWG102-E-06、SZWG102-E-07、SZWG102-D-21、SZWG102-E-03、SZWG102-E-02、SZWG102-D-22、SZWG102-E-09、SZWG102-E-10、SZWG102-E-17、SZWG102-B-06、SZWG102-B-08、SZWG102-B-02、SZWG102-B-04、SZWG102-C-17、SZWG102-G-10、SZWG102-D-09、SZWG102-D-20、SZWG102-D-17、SZWG102-D-19、SZWG102-D-05、SZWG102-C-11、SZWG102-D-11、SZWG102-D-06、SZWG102-E-15、SZWG102-E-14、SZWG102-E-13、SZWG102-E-12、SZWG102-E-18、SZWG102-E-16、SZWG102-E-11、SZWG204-C-14、SZWG204-C-13、SZWG204-C-15、SZWG204-C-17、SZWG204-C-16、SZWG204-C-12、SZWG204-D-08、SZWG204-D-07、SZWG204-D-05、SZWG204-D-06、SZWG204-C-09、SZWG204-C-10、SZWG204-C-11、SZWG204-B-08、SZWG204-B-07、SZWG204-C-01、SZWG204-C-06、SZWG204-C-08、SZWG204-C-05、SZWG204-C-07、SZWG204-C-02、SZWG204-D-01、SZWG204-D-03、SZWG204-D-02、SZWG204-D-04、SZWG204-C-18、SZWG204-B-09、SZWG204-B-10、SZWG204-C-04、SZWG204-C-03、SZWG201-G-09、SZWG102-E-20、SZWG102-E-22、SZWG102-E-21、SZWG201-F-06、SZWG201-F-08、SZWG204-B-18、SZWG204-B-19、SZWG204-B-17、SZWG204-B-20、SZWG204-B-15、SZWG204-B-16、SZWG204-B-22、SZWG204-B-21、SZWG102-G-13、SZWG102-G-14、SZWG204-B-14、SZWG101-C-02、SZWG101-C-11、SZWG101-C-04、SZWG101-C-12、SZWG101-C-15、SZWG101-C-06、SZWG101-C-05、SZWG102-G-15、SZWG102-G-16、SZWG101-C-01、SZWG101-C-03、SZWG101-C-08、SZWG101-C-07、SZWG101-C-09、SZWG101-C-10、SZWG101-C-20、SZWG101-C-19、SZWG101-C-18、SZWG101-B-11、SZWG101-C-14、SZWG101-C-16、SZWG101-C-13、SZWG101-C-17、SZWG102-G-17、SZWG102-G-18、SZWG102-G-19、SZWG102-G-20、SZWG204-B-13、SZWG204-B-11、SZWG204-B-12、SZWG102-G-21、SZWG102-G-22、SZWG102-F-01、SZWG201-D-17、SZWG201-D-19、SZWG201-D-18、SZWG201-D-20、SZWG201-D-09、SZWG201-D-10、SZWG201-D-07、SZWG201-D-13、SZWG201-D-14、SZWG201-D-16、SZWG201-D-15、SZWG201-D-06、SZWG201-D-08、SZWG201-C-12、SZWG201-C-13、SZWG201-C-21、SZWG201-D-02、SZWG201-C-17、SZWG201-C-04、SZWG201-D-04、SZWG201-C-07、SZWG201-C-19、SZWG201-D-03、SZWG201-C-01、SZWG201-C-05、SZWG201-C-14、SZWG201-D-01、SZWG201-C-06、SZWG201-C-03、SZWG201-D-05、SZWG201-C-16、SZWG201-C-02、SZWG201-C-08、SZWG201-C-18、SZWG201-C-20、SZWG201-C-15、SZWG103-G-09、SZWG102-B-11、SZWG204-B-01、SZWG204-B-02、SZWG204-B-03、SZWG103-G-05、SZWG102-E-19、SZWG101-C-22、SZWG103-G-12、SZWG103-G-10、SZWG103-G-08、SZWG103-G-04、SZWG103-G-06、SZWG103-G-11、SZWG103-G-07、SZWG103-G-03、SZWG101-C-21、SZWG103-G-01、SZWG103-G-02、SZWG101-G-22、SZWG101-G-21、SZWG101-G-20、SZWG204-B-05、SZWG101-D-11、SZWG101-D-10、SZWG101-D-09、SZWG101-D-12、SZWG101-D-13、SZWG101-D-14、SZWG101-D-03、SZWG101-D-16、SZWG101-D-15、SZWG101-D-19、SZWG101-D-22、SZWG101-D-20、SZWG101-D-21、SZWG101-D-18、SZWG101-D-17、SZWG101-D-07、SZWG101-D-05、SZWG101-D-08、SZWG101-D-06、SZWG204-B-06、SZWG103-B-11、SZWG101-D-01、SZWG101-D-02、SZWG101-D-04、SZWG204-B-04、SZWG101-F-14、SZWG204-D-15、SZWG204-D-17、SZWG204-D-18、SZWG103-F-20、SZWG103-F-21、SZWG103-F-22、SZWG103-G-13、SZWG103-G-16、SZWG103-G-15、SZWG103-G-18、SZWG103-D-06、SZWG103-D-08、SZWG103-D-04、SZWG103-F-02、SZWG103-F-01、SZWG103-F-03、SZWG103-F-04、SZWG103-F-05、SZWG103-F-06、SZWG103-F-08、SZWG103-F-09、SZWG103-F-07、SZWG103-F-18、SZWG103-E-14、SZWG103-E-20、SZWG103-D-22、SZWG103-E-16、SZWG103-D-20、SZWG103-F-14、SZWG103-E-22、SZWG103-D-18、SZWG103-F-16、SZWG103-D-16、SZWG103-C-14、SZWG103-C-16、SZWG103-C-18、SZWG103-C-20、SZWG103-C-22、SZWG103-E-10、SZWG103-E-04、SZWG103-E-08、SZWG103-D-10、SZWG101-B-10、SZWG101-B-08、SZWG101-B-06、SZWG103-D-14、SZWG103-E-18、SZWG103-E-06、SZWG103-E-02、SZWG101-E-10、SZWG103-E-05、SZWG103-G-19、SZWG103-F-19、SZWG103-G-14、SZWG103-G-17、SZWG101-G-01、SZWG101-F-01、SZWG101-F-05、SZWG101-F-04、SZWG101-F-06、SZWG101-F-07、SZWG101-F-03、SZWG101-F-08、SZWG101-F-02、SZWG101-G-03、SZWG101-G-09、SZWG101-G-05、SZWG101-G-07、SZWG101-G-02、SZWG101-G-10、SZWG204-D-12、SZWG204-D-09、SZWG204-D-11、SZWG204-D-10、SZWG204-D-13、SZWG204-D-14、SZWG204-D-16、SZWG103-B-03、SZWG103-B-06、SZWG103-B-04、SZWG103-F-10、SZWG103-E-07、SZWG103-E-09、SZWG103-E-13、SZWG103-E-15、SZWG103-E-21、SZWG103-E-17、SZWG103-E-19、SZWG103-F-13、SZWG103-F-15、SZWG103-F-17、SZWG101-G-17、SZWG101-E-01、SZWG101-E-02、SZWG101-E-03、SZWG101-E-04、SZWG101-G-06、SZWG101-G-04、SZWG101-G-08、SZWG101-E-13、SZWG101-E-15、SZWG101-E-17、SZWG101-E-19、SZWG101-E-21、SZWG101-F-21、SZWG101-F-17、SZWG103-B-10、SZWG103-B-08、SZWG103-C-02、SZWG103-D-01、SZWG103-C-07、SZWG103-C-06、SZWG103-B-09、SZWG103-C-04、SZWG101-E-06、SZWG101-E-05、SZWG103-D-07、SZWG103-D-05、SZWG103-D-03、SZWG103-B-05、SZWG103-B-02、SZWG103-B-01、SZWG103-C-05、SZWG103-C-03、SZWG103-C-10、SZWG103-B-07、SZWG103-D-02、SZWG103-C-08、SZWG103-C-01、SZWG103-C-09、SZWG101-F-15、SZWG101-F-19、SZWG101-F-09、SZWG101-F-13、SZWG101-E-07、SZWG101-E-09、SZWG101-B-03、SZWG101-B-05、SZWG101-B-07、SZWG101-B-09、SZWG101-B-01、SZWG101-G-13、SZWG101-G-15、SZWG101-F-10、SZWG101-F-18、SZWG103-C-15、SZWG101-E-16、SZWG101-B-04、SZWG103-D-19、SZWG101-F-20、SZWG103-D-12、SZWG101-E-14、SZWG101-E-22、SZWG103-C-13、SZWG103-C-12、SZWG103-D-13、SZWG103-C-17、SZWG101-B-02、SZWG103-D-17、SZWG103-C-19、SZWG103-E-01、SZWG103-E-03、SZWG103-D-15、SZWG103-D-09、SZWG101-E-18、SZWG103-E-12、SZWG101-F-16、SZWG101-E-08、SZWG101-E-20、SZWG103-D-11、SZWG103-D-21、SZWG103-C-21、SZWG101-F-22、SZWG103-E-11、SZWG103-C-11、SZWG102-F-07、SZWG102-F-04、SZWG103-G-20、SZWG102-F-12、SZWG102-F-11、SZWG102-F-03、SZWG102-F-05、SZWG102-F-08、SZWG102-F-14、SZWG102-F-10、SZWG102-F-13、SZWG102-F-06、SZWG102-F-09、SZWG103-G-22、SZWG102-F-15、SZWG102-F-19、SZWG102-F-17、SZWG102-F-18、SZWG102-F-21、SZWG102-F-20、SZWG102-F-22、SZWG103-G-21、SZWG102-F-16、SZWG101-G-18、SZWG101-G-14、SZWG101-G-16、SZWG201-H-11、SZWG201-H-12、SZWG204-C-22、SZWG204-C-21、SZWG204-C-20、SZWG204-C-19、SZWG204-D-20、SZWG204-D-19、SZWG204-D-21、SZWG201-G-12、SZWG201-G-08、SZWG201-G-10</t>
  </si>
  <si>
    <t>SZWG103-F-03、SZWG103-F-04、SZWG103-F-05、SZWG103-F-06、SZWG103-F-09、SZWG103-F-07、SZWG101-F-04、SZWG101-F-03、SZWG103-F-10、SZWG101-G-09</t>
  </si>
  <si>
    <t>上海联通-电路</t>
  </si>
  <si>
    <t>182315IDC00086</t>
  </si>
  <si>
    <t>SHWGQ-上证（上海市浦东新区外高桥台中北路 8 号 148 机房）</t>
  </si>
  <si>
    <t>上海联通</t>
  </si>
  <si>
    <t>L20221215017</t>
  </si>
  <si>
    <t>CDNSHUN</t>
  </si>
  <si>
    <t>SHUN2F-G-01~SHUN2F-G-08</t>
  </si>
  <si>
    <t>SHUN2F-H-02、SHUN2F-H-03、SHUN2F-H-04</t>
  </si>
  <si>
    <t>2021/8/31上海联通搬迁，退租机柜：SHUN2F-H-03、SHUN2F-G-07、SHUN2F-G-08、SHUN2F-G-01、SHUN2F-G-02、SHUN2F-G-03、SHUN2F-G-04、SHUN2F-G-05、SHUN2F-G-06</t>
  </si>
  <si>
    <t>BEC退租：BECSHUN2F-G-10、BECSHUN2F-G-09</t>
  </si>
  <si>
    <t>上海联通搬迁后使用15个机架，从2021/9/1开始计费：SHUN2F-D4-05、SHUN2F-D4-06、SHUN2F-D4-07、SHUN2F-D4-08、SHUN2F-D4-09、SHUN2F-D4-10、SHUN2F-D4-11、SHUN2F-D4-12、SHUN2F-D4-13、SHUN2F-D4-14</t>
  </si>
  <si>
    <t>BEC退租：BECSHUN2F-D4-15</t>
  </si>
  <si>
    <t>2021/9/14退租4个机架：D4-31、D4-32、D4-33、D4-34（这4个机柜由于只用了9.1-9.14共14天即退租，RMS系统中未建立这4个机架编号，未对机架做开通，费用以正预提做进系统）</t>
  </si>
  <si>
    <t>SHUN2F-H-02 SHUN2F-H-04</t>
  </si>
  <si>
    <t>BEC退租：BECSHUN2F-G-09、BECSHUN2F-G-10</t>
  </si>
  <si>
    <t>SHUN2F-D4-14、SHUN2F-D4-13、SHUN2F-D4-12、SHUN2F-D4-11、SHUN2F-D4-10、SHUN2F-D4-09、SHUN2F-D4-08</t>
  </si>
  <si>
    <t>2014/1/14
2015/1/10</t>
  </si>
  <si>
    <t>CDN使用544个IP 均免费：112.65.203.0/24，112.65.204.0/24 ，140.206.233.32/27。合同约定免费提供832个IPv4地址,/64位IPv6地址</t>
  </si>
  <si>
    <t>BEC使用128个IP均免费:112.65.33.128/25</t>
  </si>
  <si>
    <t>CDN退租：112.65.204.0/24</t>
  </si>
  <si>
    <t>中国联合网络通信有限公司无锡市分公司</t>
  </si>
  <si>
    <t>无锡联通</t>
  </si>
  <si>
    <t>182115IDC00628</t>
  </si>
  <si>
    <t>SZZJ-WGM2B</t>
  </si>
  <si>
    <t>2021/8/15开通，8月计费17天：SZZJ昆山市花桥镇金中路192号-WGM2B昆山市花桥经济技术开发区东城大道万国数据中心</t>
  </si>
  <si>
    <t>SZZJ-SZTH</t>
  </si>
  <si>
    <t>SZZJ-SZTH路由一</t>
  </si>
  <si>
    <t>SZZJ-SZTH中继站</t>
  </si>
  <si>
    <t>SZZJ-SZTH路由一1个中继站</t>
  </si>
  <si>
    <t>SZZJ-SZTH路由二</t>
  </si>
  <si>
    <t>SZZJ-SZTH路由二1个中继站</t>
  </si>
  <si>
    <t>SZZJ-SZTH路由三</t>
  </si>
  <si>
    <t>SZZJ-SZTH路由三1个中继站</t>
  </si>
  <si>
    <t>SZZJ-SZTH路由四</t>
  </si>
  <si>
    <t>SZZJ-WXTKY</t>
  </si>
  <si>
    <t>SZZJ-WXTKY路由一</t>
  </si>
  <si>
    <t>SZZJ-WXTKY中继站</t>
  </si>
  <si>
    <t>SZZJ-WXTKY路由一1个中继站</t>
  </si>
  <si>
    <t>SZZJ-WXTKY路由二</t>
  </si>
  <si>
    <t>SZZJ-WXTKY路由二1个中继站</t>
  </si>
  <si>
    <t>SZZJ-WXTKY路由三</t>
  </si>
  <si>
    <t>SZZJ-WXTKY路由三1个中继站</t>
  </si>
  <si>
    <t>SZZJ-WXTKY路由四</t>
  </si>
  <si>
    <t>SZZJ-WXTKY路由四1个中继站</t>
  </si>
  <si>
    <t>中国联合网络通信有限公司烟台市分公司</t>
  </si>
  <si>
    <t>烟台联通</t>
  </si>
  <si>
    <t>L20221106003</t>
  </si>
  <si>
    <t>烟台联通IDC机房</t>
  </si>
  <si>
    <t>XACDNYTUN</t>
  </si>
  <si>
    <t>YTUN4F-B-02、YTUN4F-B-03、YTUN4F-B-04、YTUN4F-B-01、YTUN4F-B-05、YTUN4F-B-06</t>
  </si>
  <si>
    <t>2021.10.31退租2个机柜，YTUN4F-B-05、YTUN4F-B-06</t>
  </si>
  <si>
    <t>免费使用288个，超出部分20元：123.130.123.0/24;123.130.119.128/27</t>
  </si>
  <si>
    <t>山西</t>
  </si>
  <si>
    <t>中国联合网络通信有限公司阳泉市分公司</t>
  </si>
  <si>
    <t>阳泉联通</t>
  </si>
  <si>
    <t>182015IDC00285</t>
  </si>
  <si>
    <t>阳泉-M1</t>
  </si>
  <si>
    <t>600G</t>
  </si>
  <si>
    <t>A端：北京百度酒仙桥M1机房，B端：山西阳泉百度云计算中心</t>
  </si>
  <si>
    <t>中国移动通信集团江苏有限公司连云港分公司</t>
  </si>
  <si>
    <t>连云港移动</t>
  </si>
  <si>
    <t>L20230227002</t>
  </si>
  <si>
    <t>连云港三线移动</t>
  </si>
  <si>
    <t>【BEC新建】连云港三线移动新建70G 2023-2-1节点正式上线  (LYGIXCM)：ipv4:  36.150.28.0/25、  36.150.28.128/27；
ipv6:  2409:8C20:6ED1:000E::/64</t>
  </si>
  <si>
    <t>中国移动通信集团江苏有限公司南京分公司</t>
  </si>
  <si>
    <t>南京移动</t>
  </si>
  <si>
    <t>182215IDC00320</t>
  </si>
  <si>
    <t>随200G带宽免费赠送1024个
与集团签署200G，提出限速。省内实际开通400G不限速，2021/1/6扩容的200G，无法体现，故2021.6已将端口恢复为200G</t>
  </si>
  <si>
    <t>2022.5 IP代播免费： 106.12.250.0/23</t>
  </si>
  <si>
    <t>2022.5 IP代播免费。2020/11/18开通2个C IP代播，计费13天：106.12.250.0/23</t>
  </si>
  <si>
    <t>2022.5 IP代播免费。4个C IP代播：114.110.96.0/22</t>
  </si>
  <si>
    <t>2022.5 IP代播免费。2021/6/3开通，6月计费28天
12个C IP代播：
a)  122.248.48.0/22
b)  122.248.52.0/22
c)  122.248.56.0/22</t>
  </si>
  <si>
    <t>中国移动通信集团江苏有限公司苏州分公司</t>
  </si>
  <si>
    <t>苏州移动</t>
  </si>
  <si>
    <t>182215IDC00510</t>
  </si>
  <si>
    <t>昆山万国-苏州新海宜机房</t>
  </si>
  <si>
    <t>2022.6调整单价。2020/5/15由40G降为10G
已冲销5 6月多计提</t>
  </si>
  <si>
    <t>苏州太湖三线-苏州移动</t>
  </si>
  <si>
    <t>L20221215007</t>
  </si>
  <si>
    <t>苏州太湖三线-移动</t>
  </si>
  <si>
    <t>苏州三级移动</t>
  </si>
  <si>
    <t>2021/9/11开通苏州太湖三线，免费512个，收费1792个
IPV4已使用：36.150.138.0/24；预留段：36.150.139.0/24（预留段运营商也要收费）
IPV6：2409:8C20:5022::/48；2409:8C20:5021:0108::/64</t>
  </si>
  <si>
    <t>2022/12/20退租预留IP段：36.150.139.0/24</t>
  </si>
  <si>
    <t>SZTH-CM-ST-1</t>
  </si>
  <si>
    <t>2021/9/11开通苏州太湖三线，免费512个，收费1792个
36.150.140.0/24
36.150.141.0/24
36.150.142.0/24
36.150.143.0/24
223.109.80.0/24
223.109.81.0/24
223.109.82.0/24</t>
  </si>
  <si>
    <t>2022/7/6 SZTH-移动CDN 新增512个IP：223.109.85.0/24、
223.109.86.0/24</t>
  </si>
  <si>
    <t>边缘计算，223.109.83.0/24、223.109.84.0/24</t>
  </si>
  <si>
    <t>边缘计算退租IP：223.109.83.0/24、223.109.84.0/24</t>
  </si>
  <si>
    <t>SZFH</t>
  </si>
  <si>
    <t>2021/9/11开通苏州太湖三线外拉机柜：
SZFH201-C-10</t>
  </si>
  <si>
    <t>中国移动通信集团江苏有限公司宿迁分公司</t>
  </si>
  <si>
    <t>宿迁移动</t>
  </si>
  <si>
    <t>182215IDC00424</t>
  </si>
  <si>
    <t>宿迁3移动</t>
  </si>
  <si>
    <t>CDNSQCM</t>
  </si>
  <si>
    <t>2022/5/1【CDN新建】江苏宿迁移动新建，使用4个机柜：SQ3CM3D6FIDCE-C-13、SQ3CM3D6FIDCE-C-14、SQ3CM3D6FIDCE-C-15、SQ3CM3D6FIDCE-C-16</t>
  </si>
  <si>
    <t>2022/6/30【CDN退租】CDN江苏宿迁移动退租信息 (SQ3CM)：SQ3CM3D6FIDCE-C-13、SQ3CM3D6FIDCE-C-14、SQ3CM3D6FIDCE-C-15、SQ3CM3D6FIDCE-C-16</t>
  </si>
  <si>
    <t>2022.7.1【BEC新建】宿迁移动CDN转让带宽200G (SQ3CM)：BECSQ3CM-6F-C08、BECSQ3CM-6F-C09、BECSQ3CM-6F-C10、BECSQ3CM-6F-C11</t>
  </si>
  <si>
    <t>2022/5/1【CDN新建】江苏宿迁移动新建200G，每万兆赠送32个IPv4地址，超出50元。共送640个，实际使用288个：223.109.49.0/24、223.109.50.0/27</t>
  </si>
  <si>
    <t>2022/6/30【CDN退租】CDN江苏宿迁移动退租信息 (SQ3CM)，每万兆赠送32个IPv4地址，超出50元。共送640个，实际使用288个：223.109.49.0/24、223.109.50.0/27</t>
  </si>
  <si>
    <t>2022.7.1【BEC新建】宿迁移动CDN转让带宽200G (SQ3CM)，使用128个IP，为CDN转让。223.109.49.128/25</t>
  </si>
  <si>
    <t>中国移动通信集团江苏有限公司泰州分公司</t>
  </si>
  <si>
    <t>泰州移动</t>
  </si>
  <si>
    <t>182215IDC00693</t>
  </si>
  <si>
    <t>泰州</t>
  </si>
  <si>
    <t>CDNTAIZCM</t>
  </si>
  <si>
    <t>【BEC新建】泰州移动新建220G 2022-12-30节点正式上线 (TAIZCM)：BECTAIZCM-C-14</t>
  </si>
  <si>
    <t>【BEC新建】泰州移动新建220G 2022-12-30节点正式上线 (TAIZCM)：223.113.139.64/27</t>
  </si>
  <si>
    <t>中国移动通信集团江苏有限公司无锡分公司</t>
  </si>
  <si>
    <t>无锡移动</t>
  </si>
  <si>
    <t>181915IDC00153</t>
  </si>
  <si>
    <t>无锡太科园</t>
  </si>
  <si>
    <t>WXTKY</t>
  </si>
  <si>
    <t>2020.1与运营商对账后更新电流和计提单价</t>
  </si>
  <si>
    <t>WXTKY4D203-H-01、WXTKY4D203-H-02、WXTKY4D203-H-11、WXTKY4D203-H-12、WXTKY4D203-I-01、WXTKY4D203-I-02</t>
  </si>
  <si>
    <t>WXTKY4D203-A-07、WXTKY4D203-A-08、WXTKY4D203-A-09、WXTKY4D203-A-10</t>
  </si>
  <si>
    <t>2020/4/15开通，计费16天
WXTKY4D203-A-11、WXTKY4D203-A-12</t>
  </si>
  <si>
    <t>4月多计提已在付款时冲销
WXTKY4D301-A-07、WXTKY4D301-A-08、WXTKY4D301-C-06、WXTKY4D301-I-09、WXTKY4D301-I-10、WXTKY4D303-A-18、WXTKY4D303-A-19、WXTKY4D303-A-22</t>
  </si>
  <si>
    <t>WXTKY4D203-A-19</t>
  </si>
  <si>
    <t>WXTKY4D203-B-01、WXTKY4D203-B-02</t>
  </si>
  <si>
    <t xml:space="preserve">2020/6/5开通，6月计费26天
WXTKY4D203-B-04
</t>
  </si>
  <si>
    <t>2020/6/22开通，6月计费9天
WXTKY4D301-C-06</t>
  </si>
  <si>
    <t>2020/6/24开通，6月计费7天
WXTKY4D301-I-09</t>
  </si>
  <si>
    <t>2020/6/5关闭，冲减25天费用
WXTKY4D203-A-19</t>
  </si>
  <si>
    <t>2020/6/10开通，计费21天费用
WXTKY4D203-A-19</t>
  </si>
  <si>
    <t>WXTKY4D301-I-10</t>
  </si>
  <si>
    <t>WXTKY4D203-B-03、WXTKY4D203-A-13、WXTKY4D203-A-14、WXTKY4D203-A-15、WXTKY4D203-A-16</t>
  </si>
  <si>
    <t>WXTKY4D203-B-05、WXTKY4D203-B-06、WXTKY4D203-B-07</t>
  </si>
  <si>
    <t>WXTKY4D203-B-11、WXTKY4D203-B-12、WXTKY4D203-B-13、WXTKY4D203-B-14、WXTKY4D203-B-08、WXTKY4D203-B-09、WXTKY4D203-B-10</t>
  </si>
  <si>
    <t>WXTKY4D203-B-15、WXTKY4D203-B-16、WXTKY4D203-B-17、WXTKY4D203-B-18、WXTKY4D203-B-19、WXTKY4D203-B-20、WXTKY4D203-B-21、WXTKY4D203-B-22、WXTKY4D203-C-01、WXTKY4D203-C-02、WXTKY4D203-C-03、WXTKY4D203-C-04、WXTKY4D203-C-05、WXTKY4D203-C-06、WXTKY4D203-C-07、WXTKY4D203-C-08、WXTKY4D203-C-09、WXTKY4D203-C-10、WXTKY4D203-C-11、WXTKY4D203-C-12、WXTKY4D203-C-13、WXTKY4D203-C-14、WXTKY4D203-C-15、WXTKY4D203-C-16、WXTKY4D203-D-01、WXTKY4D203-D-02、WXTKY4D203-D-03、WXTKY4D203-D-04、WXTKY4D203-D-05、WXTKY4D203-D-06、WXTKY4D203-D-07、WXTKY4D203-D-08、WXTKY4D203-D-09、WXTKY4D203-D-10、WXTKY4D203-D-11、WXTKY4D203-D-12、WXTKY4D203-D-13、WXTKY4D203-D-14、WXTKY4D203-D-15、WXTKY4D203-D-16、WXTKY4D203-D-17、WXTKY4D203-D-18、WXTKY4D203-D-19、WXTKY4D203-D-20、WXTKY4D203-D-21、WXTKY4D203-D-22、WXTKY4D203-E-01、WXTKY4D203-E-02、WXTKY4D203-E-03、WXTKY4D203-E-04、WXTKY4D203-E-05、WXTKY4D203-E-06、WXTKY4D203-E-07、WXTKY4D203-E-08、WXTKY4D203-E-09、WXTKY4D203-E-10、WXTKY4D203-E-11、WXTKY4D203-E-12、WXTKY4D203-E-13、WXTKY4D203-E-14、WXTKY4D203-E-15、WXTKY4D203-E-16、WXTKY4D203-E-17</t>
  </si>
  <si>
    <t>WXTKY4D203-E-18、WXTKY4D203-E-19、WXTKY4D203-E-20、WXTKY4D203-E-21、WXTKY4D203-E-22、WXTKY4D203-F-01、WXTKY4D203-F-02、WXTKY4D203-F-03、WXTKY4D203-F-04、WXTKY4D203-F-05、WXTKY4D203-F-06、WXTKY4D203-F-07、WXTKY4D203-F-08、WXTKY4D203-F-09、WXTKY4D203-F-10、WXTKY4D203-F-11、WXTKY4D203-F-12、WXTKY4D203-F-13、WXTKY4D203-F-14、WXTKY4D203-F-15、WXTKY4D203-F-16、WXTKY4D203-G-01、WXTKY4D203-G-02、WXTKY4D203-G-03、WXTKY4D203-G-04、WXTKY4D203-G-05、WXTKY4D203-G-06、WXTKY4D203-G-07、WXTKY4D203-G-08、WXTKY4D203-G-09、WXTKY4D203-G-10、WXTKY4D303-A-01、WXTKY4D303-A-02、WXTKY4D303-A-03、WXTKY4D303-A-04、WXTKY4D303-A-05、WXTKY4D303-A-06、WXTKY4D303-A-07、WXTKY4D303-A-08、WXTKY4D303-A-09、WXTKY4D303-A-10、WXTKY4D303-B-01、WXTKY4D303-B-02、WXTKY4D303-B-03、WXTKY4D303-B-04、WXTKY4D303-B-05、WXTKY4D303-B-06、WXTKY4D303-B-07、WXTKY4D303-B-08、WXTKY4D303-B-09、WXTKY4D303-B-10、WXTKY4D303-B-11、WXTKY4D303-B-12、WXTKY4D303-B-13、WXTKY4D303-B-14、WXTKY4D303-B-15、WXTKY4D303-B-16、WXTKY4D303-B-17、WXTKY4D303-B-18、WXTKY4D303-B-19、WXTKY4D303-B-20、WXTKY4D303-B-21、WXTKY4D303-B-22、WXTKY4D303-C-01、WXTKY4D303-C-02、WXTKY4D303-C-03、WXTKY4D303-C-04、WXTKY4D303-C-05、WXTKY4D303-C-06、WXTKY4D303-C-07、WXTKY4D303-C-08、WXTKY4D303-C-09、WXTKY4D303-C-10、WXTKY4D303-C-11、WXTKY4D303-C-12、WXTKY4D303-C-13、WXTKY4D303-C-14、WXTKY4D303-C-15、WXTKY4D303-C-16、WXTKY4D303-D-01、WXTKY4D303-D-02、WXTKY4D303-D-03、WXTKY4D303-D-04、WXTKY4D303-D-05、WXTKY4D303-D-06、WXTKY4D303-D-07、WXTKY4D303-D-08、WXTKY4D303-D-09、WXTKY4D303-D-10、WXTKY4D303-D-11、WXTKY4D303-D-12、WXTKY4D303-D-13、WXTKY4D303-D-14、WXTKY4D303-D-15、WXTKY4D303-D-16、WXTKY4D303-D-17、WXTKY4D303-D-18、WXTKY4D303-D-19、WXTKY4D303-D-20、WXTKY4D303-D-21、WXTKY4D303-D-22、WXTKY4D303-E-01、WXTKY4D303-E-02、WXTKY4D303-E-03、WXTKY4D303-E-04、WXTKY4D303-E-05、WXTKY4D303-E-06、WXTKY4D303-E-07、WXTKY4D303-E-08、WXTKY4D303-E-09、WXTKY4D303-E-10、WXTKY4D303-E-11、WXTKY4D303-E-12、WXTKY4D303-E-13、WXTKY4D303-E-14、WXTKY4D303-E-15、WXTKY4D303-E-16、WXTKY4D303-E-17、WXTKY4D303-E-18、WXTKY4D303-E-19、WXTKY4D303-E-20、WXTKY4D303-E-21、WXTKY4D303-E-22、WXTKY4D303-F-01、WXTKY4D303-F-02、WXTKY4D303-F-03、WXTKY4D303-F-04、WXTKY4D303-F-05、WXTKY4D303-F-06、WXTKY4D303-F-07、WXTKY4D303-F-08、WXTKY4D303-F-09、WXTKY4D303-F-10、WXTKY4D303-F-11、WXTKY4D303-F-12、WXTKY4D303-F-13、WXTKY4D303-F-14、WXTKY4D303-F-15、WXTKY4D303-F-16、WXTKY4D303-G-01、WXTKY4D303-G-02、WXTKY4D303-G-03、WXTKY4D303-G-04、WXTKY4D303-G-05、WXTKY4D303-G-06、WXTKY4D303-G-07、WXTKY4D303-G-08、WXTKY4D303-G-09、WXTKY4D303-G-10</t>
  </si>
  <si>
    <t>WXTKY4D303-G-11、WXTKY4D303-G-12、WXTKY4D303-G-13、WXTKY4D303-G-14、WXTKY4D303-G-15、WXTKY4D303-G-16、WXTKY4D303-G-17、WXTKY4D303-G-18、WXTKY4D303-G-19、WXTKY4D303-G-20、WXTKY4D303-G-21</t>
  </si>
  <si>
    <t>WXTKY4D303-G-22、WXTKY4D303-H-02、WXTKY4D303-H-03、WXTKY4D303-H-04</t>
  </si>
  <si>
    <t>2021.11机柜改造，由40.9A更新为109A，因运营商11月仍按低功率结算，暂时计提在正式合同上，未调整单价。WXTKY4D301-C-08、 WXTKY4D301-D-06</t>
  </si>
  <si>
    <t>WXTKY4D203-G-01、WXTKY4D203-G-02、WXTKY4D203-G-03、WXTKY4D203-G-04、WXTKY4D203-G-05、WXTKY4D203-G-06、WXTKY4D203-G-07、WXTKY4D203-G-08、WXTKY4D203-G-09、WXTKY4D203-G-10</t>
  </si>
  <si>
    <t>WXTKY-云托管</t>
  </si>
  <si>
    <t>WXTKY4D203-A-17</t>
  </si>
  <si>
    <t>WXTKY4D303-H-05、WXTKY4D303-H-06、WXTKY4D303-H-07、WXTKY4D303-H-08、WXTKY4D303-H-09、WXTKY4D303-H-10、WXTKY4D303-H-11、WXTKY4D303-H-12、WXTKY4D303-H-13、WXTKY4D303-H-14、WXTKY4D303-H-15、WXTKY4D303-H-16、WXTKY4D303-H-17、WXTKY4D303-H-18、WXTKY4D303-H-19、WXTKY4D303-H-20、WXTKY4D303-H-21、WXTKY4D303-H-22、WXTKY4D303-I-01、WXTKY4D303-I-02、WXTKY4D303-I-03、WXTKY4D303-I-04、WXTKY4D303-I-05、WXTKY4D303-I-06、WXTKY4D303-I-07、WXTKY4D303-I-08、WXTKY4D303-I-09、WXTKY4D303-I-10、WXTKY4D303-J-01、WXTKY4D303-J-02、WXTKY4D303-J-03</t>
  </si>
  <si>
    <t>WXTKY4D203-G-01、WXTKY4D203-G-02、WXTKY4D203-G-03、WXTKY4D203-G-04、WXTKY4D203-G-05、WXTKY4D203-G-06、WXTKY4D203-G-07、WXTKY4D203-G-08、WXTKY4D203-G-09、WXTKY4D203-G-10、WXTKY4D203-G-16、WXTKY4D203-G-17、WXTKY4D203-G-18、WXTKY4D203-G-19、WXTKY4D203-G-20、WXTKY4D203-G-21、WXTKY4D203-G-22、WXTKY4D203-H-03、WXTKY4D203-H-04、WXTKY4D203-H-05、WXTKY4D303-J-04、WXTKY4D303-J-05、WXTKY4D303-J-06、WXTKY4D303-J-07、WXTKY4D303-J-08、WXTKY4D303-J-09、WXTKY4D303-J-10、WXTKY4D303-J-11、WXTKY4D303-J-12、WXTKY4D203-H-06、WXTKY4D203-H-07、WXTKY4D203-H-08、WXTKY4D203-H-09、WXTKY4D203-H-10、WXTKY4D203-H-13、WXTKY4D203-H-14、WXTKY4D203-H-15、WXTKY4D203-H-16、WXTKY4D203-H-17、WXTKY4D203-H-18、WXTKY4D203-H-19、WXTKY4D203-H-20、WXTKY4D203-H-21、WXTKY4D203-H-22、WXTKY4D203-I-03、WXTKY4D203-I-04、WXTKY4D203-I-05、WXTKY4D203-I-06、WXTKY4D203-I-07、WXTKY4D203-I-08、WXTKY4D203-I-09、WXTKY4D203-I-10、WXTKY4D203-I-11、WXTKY4D203-I-12、WXTKY4D203-I-13、WXTKY4D203-I-14、WXTKY4D203-I-15、WXTKY4D203-I-16</t>
  </si>
  <si>
    <t>布线柜WXTKY4D301-A-01、WXTKY4D301-A-03、WXTKY4D301-B-01、WXTKY4D301-B-03、WXTKY4D301-C-01、WXTKY4D301-C-03、WXTKY4D301-D-01、WXTKY4D301-D-03、WXTKY4D301-E-08、WXTKY4D301-F-07、WXTKY4D301-G-01、WXTKY4D301-G-08、WXTKY4D301-H-01、WXTKY4D301-H-07</t>
  </si>
  <si>
    <t>WXTKY4D203-A-18</t>
  </si>
  <si>
    <t>WXTKY4D201-L-01、WXTKY4D401-N-01、WXTKY4D403-H-01、WXTKY4D201-C-14、WXTKY4D201-C-15、WXTKY4D201-H-17、WXTKY4D201-H-18、WXTKY4D401-F-15、WXTKY4D401-F-16、WXTKY4D401-I-15、WXTKY4D401-I-16、WXTKY4D403-A-21、WXTKY4D403-A-22、WXTKY4D403-F-17、WXTKY4D403-F-18</t>
  </si>
  <si>
    <t>WXTKY4D401-A-01、WXTKY4D401-A-02、WXTKY4D401-A-05、WXTKY4D401-A-06、WXTKY4D403-A-01、WXTKY4D403-A-02、WXTKY4D403-A-05、WXTKY4D403-A-06、WXTKY4D403-A-09、WXTKY4D403-A-10、WXTKY4D403-A-11、WXTKY4D403-A-12、WXTKY4D403-A-14、WXTKY4D403-A-15、WXTKY4D403-A-18</t>
  </si>
  <si>
    <t>WXTKY4D201-A-01、WXTKY4D201-A-02、WXTKY4D201-A-05、WXTKY4D201-A-06、WXTKY4D201-A-09、WXTKY4D201-A-10、WXTKY4D201-A-12、WXTKY4D201-A-13、WXTKY4D201-A-16、WXTKY4D201-A-17、WXTKY4D201-B-01、WXTKY4D201-B-02、WXTKY4D201-B-04、WXTKY4D201-B-05、WXTKY4D201-B-07、WXTKY4D201-B-08、WXTKY4D201-B-11、WXTKY4D201-B-12、WXTKY4D201-B-15、WXTKY4D201-B-16、WXTKY4D201-C-01、WXTKY4D201-C-02、WXTKY4D201-C-05、WXTKY4D201-C-06、WXTKY4D201-C-09、WXTKY4D201-C-10、WXTKY4D201-C-11、WXTKY4D201-C-12、WXTKY4D201-D-01、WXTKY4D201-D-02、WXTKY4D201-D-04、WXTKY4D201-D-05、WXTKY4D201-D-07、WXTKY4D201-D-08、WXTKY4D201-D-11、WXTKY4D201-D-12、WXTKY4D201-D-15、WXTKY4D201-D-16、WXTKY4D201-E-01、WXTKY4D201-E-02、WXTKY4D201-E-05、WXTKY4D201-E-06、WXTKY4D201-E-08、WXTKY4D201-E-09、WXTKY4D201-E-12、WXTKY4D201-E-13、WXTKY4D201-E-16、WXTKY4D201-E-17、WXTKY4D201-F-01、WXTKY4D201-F-02、WXTKY4D201-F-04、WXTKY4D201-F-05、WXTKY4D201-F-08、WXTKY4D201-F-09、WXTKY4D201-F-12、WXTKY4D201-F-13、WXTKY4D201-G-01、WXTKY4D201-G-02、WXTKY4D201-G-05、WXTKY4D201-G-06、WXTKY4D201-G-08、WXTKY4D201-G-09、WXTKY4D201-G-12、WXTKY4D201-G-13、WXTKY4D201-G-16、WXTKY4D201-G-17、WXTKY4D201-H-01、WXTKY4D201-H-02、WXTKY4D201-H-05、WXTKY4D201-H-06、WXTKY4D201-H-09、WXTKY4D201-H-10、WXTKY4D201-H-13、WXTKY4D201-H-14、WXTKY4D201-I-01、WXTKY4D201-I-02、WXTKY4D201-I-05、WXTKY4D201-I-06、WXTKY4D201-I-09、WXTKY4D201-I-10、WXTKY4D201-I-13、WXTKY4D201-I-14、WXTKY4D201-J-01、WXTKY4D201-J-02、WXTKY4D201-J-04、WXTKY4D201-J-05、WXTKY4D201-J-07、WXTKY4D201-J-08、WXTKY4D201-J-11、WXTKY4D201-J-12、WXTKY4D201-J-15、WXTKY4D201-J-16、WXTKY4D201-K-01、WXTKY4D201-K-02、WXTKY4D201-K-05、WXTKY4D201-K-06、WXTKY4D201-K-08、WXTKY4D201-K-09、WXTKY4D201-K-11、WXTKY4D201-K-12、WXTKY4D201-K-15、WXTKY4D201-K-16、WXTKY4D201-L-02、WXTKY4D201-L-03、WXTKY4D201-L-04、WXTKY4D201-L-05、WXTKY4D201-L-08、WXTKY4D201-L-09、WXTKY4D201-L-11、WXTKY4D201-L-12、WXTKY4D401-A-09、WXTKY4D401-A-10、WXTKY4D401-A-13、WXTKY4D401-A-14、WXTKY4D401-A-16、WXTKY4D401-A-17、WXTKY4D401-B-01、WXTKY4D401-B-02、WXTKY4D401-B-04、WXTKY4D401-B-05、WXTKY4D401-B-08、WXTKY4D401-B-09、WXTKY4D401-B-12、WXTKY4D401-B-13、WXTKY4D401-B-15、WXTKY4D401-B-16、WXTKY4D401-C-01、WXTKY4D401-C-02、WXTKY4D401-C-05、WXTKY4D401-C-06、WXTKY4D401-C-09、WXTKY4D401-C-10、WXTKY4D401-C-14、WXTKY4D401-C-15、WXTKY4D401-D-01、WXTKY4D401-D-02、WXTKY4D401-D-04、WXTKY4D401-D-05、WXTKY4D401-D-08、WXTKY4D401-D-09、WXTKY4D401-D-12、WXTKY4D401-D-13、WXTKY4D401-D-15、WXTKY4D401-D-16、WXTKY4D401-E-01、WXTKY4D401-E-02、WXTKY4D401-E-05、WXTKY4D401-E-06、WXTKY4D401-E-09、WXTKY4D401-E-10、WXTKY4D401-E-13、WXTKY4D401-E-14、WXTKY4D401-E-16、WXTKY4D401-E-17、WXTKY4D401-F-01、WXTKY4D401-F-02、WXTKY4D401-F-05、WXTKY4D401-F-06、WXTKY4D401-F-10、WXTKY4D401-F-11、WXTKY4D401-F-13、WXTKY4D401-F-14、WXTKY4D401-G-01、WXTKY4D401-G-02、WXTKY4D401-G-05、WXTKY4D401-G-06、WXTKY4D401-G-09、WXTKY4D401-G-10、WXTKY4D401-G-13、WXTKY4D401-G-14、WXTKY4D401-G-16、WXTKY4D401-G-17、WXTKY4D401-H-01、WXTKY4D401-H-02、WXTKY4D401-H-04、WXTKY4D401-H-05、WXTKY4D401-H-08、WXTKY4D401-H-09、WXTKY4D401-H-12、WXTKY4D401-H-13、WXTKY4D401-H-15、WXTKY4D401-H-16、WXTKY4D401-I-01、WXTKY4D401-I-02、WXTKY4D401-I-05、WXTKY4D401-I-06、WXTKY4D401-I-09、WXTKY4D401-I-10、WXTKY4D401-I-12、WXTKY4D401-I-13、WXTKY4D401-J-01、WXTKY4D401-J-02、WXTKY4D401-J-04、WXTKY4D401-J-05、WXTKY4D401-J-08、WXTKY4D401-J-09、WXTKY4D401-J-12、WXTKY4D401-J-13、WXTKY4D401-J-15、WXTKY4D401-J-16、WXTKY4D401-K-01、WXTKY4D401-K-02、WXTKY4D401-K-05、WXTKY4D401-K-06、WXTKY4D401-K-09、WXTKY4D401-K-10、WXTKY4D401-K-13、WXTKY4D401-K-14、WXTKY4D401-K-16、WXTKY4D401-K-17、WXTKY4D401-L-01、WXTKY4D401-L-02、WXTKY4D401-L-05、WXTKY4D401-L-06、WXTKY4D401-L-10、WXTKY4D401-L-11、WXTKY4D401-L-13、WXTKY4D401-L-14、WXTKY4D401-M-01、WXTKY4D401-M-02、WXTKY4D401-M-05、WXTKY4D401-M-06、WXTKY4D401-M-09、WXTKY4D401-M-10、WXTKY4D401-M-13、WXTKY4D401-M-14、WXTKY4D401-M-16、WXTKY4D401-M-17、WXTKY4D401-N-02、WXTKY4D401-N-03、WXTKY4D401-N-04、WXTKY4D401-N-05、WXTKY4D401-N-08、WXTKY4D401-N-09、WXTKY4D401-N-12、WXTKY4D401-N-13、WXTKY4D401-N-15、WXTKY4D401-N-16、WXTKY4D403-C-09、WXTKY4D403-C-10、WXTKY4D403-C-11、WXTKY4D403-C-12、WXTKY4D403-C-16、WXTKY4D403-C-17、WXTKY4D403-D-01、WXTKY4D403-D-02、WXTKY4D403-D-05、WXTKY4D403-D-06、WXTKY4D403-D-09、WXTKY4D403-D-10、WXTKY4D403-D-11、WXTKY4D403-D-12、WXTKY4D403-D-15、WXTKY4D403-D-16、WXTKY4D403-D-19、WXTKY4D403-D-20、WXTKY4D403-E-01、WXTKY4D403-E-02、WXTKY4D403-E-05、WXTKY4D403-E-06、WXTKY4D403-E-09、WXTKY4D403-E-10、WXTKY4D403-E-11、WXTKY4D403-E-12、WXTKY4D403-E-15、WXTKY4D403-E-16、WXTKY4D403-E-19、WXTKY4D403-E-20、WXTKY4D403-F-01、WXTKY4D403-F-02、WXTKY4D403-F-06、WXTKY4D403-F-07、WXTKY4D403-F-09、WXTKY4D403-F-10、WXTKY4D403-F-11、WXTKY4D403-F-12、WXTKY4D403-F-15、WXTKY4D403-F-16、WXTKY4D403-G-01、WXTKY4D403-G-02、WXTKY4D403-G-05、WXTKY4D403-G-06、WXTKY4D403-G-09、WXTKY4D403-G-10、WXTKY4D403-G-11、WXTKY4D403-G-12、WXTKY4D403-G-15、WXTKY4D403-G-16、WXTKY4D403-G-19、WXTKY4D403-G-20、WXTKY4D403-H-03、WXTKY4D403-H-04、WXTKY4D403-H-06、WXTKY4D403-H-07、WXTKY4D403-H-08、WXTKY4D403-H-09、WXTKY4D403-H-11、WXTKY4D403-H-12、WXTKY4D403-H-15、WXTKY4D403-H-16、WXTKY4D403-H-20、WXTKY4D403-H-21、WXTKY4D403-I-01、WXTKY4D403-I-02、WXTKY4D403-I-04、WXTKY4D403-I-05、WXTKY4D403-I-08、WXTKY4D403-I-09、WXTKY4D403-J-01、WXTKY4D403-J-02、WXTKY4D403-J-05、WXTKY4D403-J-06、WXTKY4D403-J-09、WXTKY4D403-J-10</t>
  </si>
  <si>
    <t>WXTKY4D203-A-22、WXTKY4D203-G-13、WXTKY4D203-J-02、WXTKY4D203-J-03、WXTKY4D203-J-04、WXTKY4D203-J-05、WXTKY4D203-J-06、WXTKY4D203-J-07、WXTKY4D203-J-08、WXTKY4D203-J-09、WXTKY4D203-J-10、WXTKY4D203-J-11、WXTKY4D203-J-12、WXTKY4D203-J-13、WXTKY4D203-J-14、</t>
  </si>
  <si>
    <t>WXTKY4D403-A-03、WXTKY4D403-A-04、WXTKY4D403-A-07、WXTKY4D403-A-08、WXTKY4D403-A-13、WXTKY4D403-A-16、WXTKY4D403-A-17、WXTKY4D403-A-20、WXTKY4D403-B-03、WXTKY4D403-B-04、WXTKY4D403-B-05、WXTKY4D403-B-10、WXTKY4D403-B-13、WXTKY4D403-B-14、WXTKY4D403-B-17、WXTKY4D403-B-18、WXTKY4D403-B-19、WXTKY4D403-B-22、WXTKY4D403-C-03、WXTKY4D403-C-04、WXTKY4D403-C-05</t>
  </si>
  <si>
    <t>WXTKY4D403-C-08、WXTKY4D403-C-13、WXTKY4D403-C-14、WXTKY4D403-C-15、WXTKY4D403-C-18、WXTKY4D403-D-03、WXTKY4D403-D-04、WXTKY4D403-D-07、WXTKY4D403-D-08、WXTKY4D403-D-13、WXTKY4D403-D-14、WXTKY4D403-D-17、WXTKY4D403-D-18、WXTKY4D403-D-21、WXTKY4D403-D-22、WXTKY4D403-E-03、WXTKY4D403-E-04、WXTKY4D403-E-07、WXTKY4D403-E-08、WXTKY4D403-E-13、WXTKY4D403-E-14、WXTKY4D403-E-17、WXTKY4D403-E-18、WXTKY4D403-E-21、WXTKY4D403-E-22、WXTKY4D403-F-03、WXTKY4D403-F-04、WXTKY4D403-F-05、WXTKY4D403-F-08、WXTKY4D403-F-13、WXTKY4D403-F-14、WXTKY4D403-G-03、WXTKY4D403-G-04、WXTKY4D403-G-07、WXTKY4D403-G-08、WXTKY4D403-G-13、WXTKY4D403-G-14、WXTKY4D403-G-17、WXTKY4D403-G-18、WXTKY4D403-G-21、WXTKY4D403-G-22、WXTKY4D403-H-02、WXTKY4D403-H-05、WXTKY4D403-H-10、WXTKY4D403-H-13、WXTKY4D403-H-14、WXTKY4D403-H-17、WXTKY4D403-H-18、WXTKY4D403-H-19、WXTKY4D403-H-22、WXTKY4D403-I-03、WXTKY4D403-I-06、WXTKY4D403-I-07、WXTKY4D403-I-10、WXTKY4D403-J-03、WXTKY4D403-J-04、WXTKY4D403-J-07、WXTKY4D403-J-08、WXTKY4D403-J-11、WXTKY4D403-J-12</t>
  </si>
  <si>
    <t>WXTKY4D401-A-03、WXTKY4D401-A-04、WXTKY4D401-A-07、WXTKY4D401-A-08、WXTKY4D401-A-11、WXTKY4D401-A-12、WXTKY4D401-A-15、WXTKY4D401-A-18、WXTKY4D401-B-03、WXTKY4D401-B-06、WXTKY4D401-B-07、WXTKY4D401-B-10、WXTKY4D401-B-11、WXTKY4D401-B-14、WXTKY4D401-B-17、WXTKY4D401-B-18、WXTKY4D401-C-03、WXTKY4D401-C-04、WXTKY4D401-C-07、WXTKY4D401-C-08、WXTKY4D401-C-11、WXTKY4D401-C-12、WXTKY4D401-C-13、WXTKY4D401-C-16、WXTKY4D401-D-03、WXTKY4D401-D-06、WXTKY4D401-D-07、WXTKY4D401-D-10、WXTKY4D401-D-11、WXTKY4D401-D-14、WXTKY4D401-D-17、WXTKY4D401-D-18、WXTKY4D401-E-03、WXTKY4D401-E-04、WXTKY4D401-E-07、WXTKY4D401-E-08、WXTKY4D401-E-11、WXTKY4D401-E-12、WXTKY4D401-E-15、WXTKY4D401-E-18、WXTKY4D401-F-03、WXTKY4D401-F-04、WXTKY4D401-F-07、WXTKY4D401-F-08、WXTKY4D401-F-09、WXTKY4D401-F-12、WXTKY4D401-G-03、WXTKY4D401-G-04、WXTKY4D401-G-07、WXTKY4D401-G-08、WXTKY4D401-G-11、WXTKY4D401-G-12、WXTKY4D401-G-15、WXTKY4D401-G-18、WXTKY4D401-H-03、WXTKY4D401-H-06、WXTKY4D401-H-07、WXTKY4D401-H-10、WXTKY4D401-H-11、WXTKY4D401-H-14、WXTKY4D401-H-17、WXTKY4D401-H-18、WXTKY4D401-I-03、WXTKY4D401-I-04、WXTKY4D401-I-07、WXTKY4D401-I-08、WXTKY4D401-I-11、WXTKY4D401-I-14、WXTKY4D401-J-03、WXTKY4D401-J-06、WXTKY4D401-J-07、WXTKY4D401-J-10、WXTKY4D401-J-11、WXTKY4D401-J-14、WXTKY4D401-J-17、WXTKY4D401-J-18、WXTKY4D401-K-03、WXTKY4D401-K-04、WXTKY4D401-K-07、WXTKY4D401-K-08、WXTKY4D401-K-11、WXTKY4D401-K-12、WXTKY4D401-K-15、WXTKY4D401-K-18、WXTKY4D401-L-03、WXTKY4D401-L-04、WXTKY4D401-L-07、WXTKY4D401-L-08、WXTKY4D401-L-09、WXTKY4D401-L-12、WXTKY4D401-L-15、WXTKY4D401-L-16、WXTKY4D401-M-03、WXTKY4D401-M-04、WXTKY4D401-M-07、WXTKY4D401-M-08、WXTKY4D401-M-11、WXTKY4D401-M-12、WXTKY4D401-M-15、WXTKY4D401-M-18、WXTKY4D401-N-06、WXTKY4D401-N-07、WXTKY4D401-N-10、WXTKY4D401-N-11、WXTKY4D401-N-14、WXTKY4D401-N-17、WXTKY4D401-N-18、WXTKY4D201-A-03、WXTKY4D201-A-04、WXTKY4D201-A-07、WXTKY4D201-A-08、WXTKY4D201-A-11、WXTKY4D201-A-14、WXTKY4D201-A-15、WXTKY4D201-B-03、WXTKY4D201-B-06、WXTKY4D201-B-09、WXTKY4D201-B-10、WXTKY4D201-B-13、WXTKY4D201-B-14、WXTKY4D201-B-17、WXTKY4D201-C-03、WXTKY4D201-C-04、WXTKY4D201-C-07、WXTKY4D201-C-08、WXTKY4D201-C-13、WXTKY4D201-D-03、WXTKY4D201-D-06、WXTKY4D201-D-09、WXTKY4D201-D-10、WXTKY4D201-D-13、WXTKY4D201-D-14、WXTKY4D201-D-17、WXTKY4D201-D-18、WXTKY4D201-E-03、WXTKY4D201-E-04、WXTKY4D201-E-07、WXTKY4D201-E-10、WXTKY4D201-E-11、WXTKY4D201-E-14、WXTKY4D201-E-15、WXTKY4D201-E-18、WXTKY4D201-F-03、WXTKY4D201-F-06、WXTKY4D201-F-07、WXTKY4D201-F-10、WXTKY4D201-F-11、WXTKY4D201-F-14、WXTKY4D201-F-15、WXTKY4D201-G-03、WXTKY4D201-G-04、WXTKY4D201-G-07、WXTKY4D201-G-10、WXTKY4D201-G-11、WXTKY4D201-G-14、WXTKY4D201-G-15、WXTKY4D201-G-18、WXTKY4D201-H-03、WXTKY4D201-H-04、WXTKY4D201-H-07、WXTKY4D201-H-08、WXTKY4D201-H-11、WXTKY4D201-H-12、WXTKY4D201-H-15、WXTKY4D201-H-16、WXTKY4D201-I-03、WXTKY4D201-I-04、WXTKY4D201-I-07、WXTKY4D201-I-08、WXTKY4D201-I-11、WXTKY4D201-I-12、WXTKY4D201-I-15、WXTKY4D201-J-03、WXTKY4D201-J-06、WXTKY4D201-J-09、WXTKY4D201-J-10、WXTKY4D201-J-13、WXTKY4D201-J-14、WXTKY4D201-J-17、WXTKY4D201-J-18、WXTKY4D201-K-03、WXTKY4D201-K-04、WXTKY4D201-K-07、WXTKY4D201-K-10、WXTKY4D201-K-13、WXTKY4D201-K-14、WXTKY4D201-K-17、WXTKY4D201-K-18、WXTKY4D201-L-06、WXTKY4D201-L-07、WXTKY4D201-L-10、WXTKY4D201-L-13</t>
  </si>
  <si>
    <t>WXTKY4D203-A-22</t>
  </si>
  <si>
    <t>WXTKY4D203-A-20、WXTKY4D203-A-21</t>
  </si>
  <si>
    <t>WXTKY4D403-A-19、WXTKY4D403-B-01、WXTKY4D403-B-02、WXTKY4D403-B-06、WXTKY4D403-B-07、WXTKY4D403-B-08、WXTKY4D403-B-09、WXTKY4D403-B-11、WXTKY4D403-B-12、WXTKY4D403-B-15、WXTKY4D403-B-16、WXTKY4D403-B-20、WXTKY4D403-B-21、WXTKY4D403-C-01、WXTKY4D403-C-02、WXTKY4D403-C-06、WXTKY4D403-C-07</t>
  </si>
  <si>
    <t>2020/11/16开通，计费15天：WXTKY4D301-A-07、WXTKY4D301-A-08、WXTKY4D303-A-18、WXTKY4D303-A-19</t>
  </si>
  <si>
    <t>2020/12/3开通，计费29天：WXTKY4D301-A-09、WXTKY4D301-B-07、WXTKY4D301-E-05、WXTKY4D301-F-04</t>
  </si>
  <si>
    <t>2020/12/3开通，计费29天：WXTKY4D301-E-02、WXTKY4D301-F-02</t>
  </si>
  <si>
    <t>无锡太科园-二期</t>
  </si>
  <si>
    <t>2021/1/4开通，计费28天：WXTKY4D601-C-17、WXTKY4D601-C-18、WXTKY4D601-E-01、WXTKY4D601-A-01、WXTKY4D601-A-02、WXTKY4D601-A-05、WXTKY4D601-A-06、WXTKY4D601-A-09、WXTKY4D601-A-10、WXTKY4D601-A-13、WXTKY4D601-A-14、WXTKY4D601-A-16、WXTKY4D601-A-17、WXTKY4D601-B-01、WXTKY4D601-B-02、WXTKY4D601-B-05、WXTKY4D601-B-06、WXTKY4D601-B-08、WXTKY4D601-B-09、WXTKY4D601-B-12、WXTKY4D601-B-13、WXTKY4D601-C-01、WXTKY4D601-C-02、WXTKY4D601-C-05、WXTKY4D601-C-06、WXTKY4D601-C-09、WXTKY4D601-C-10、WXTKY4D601-C-13、WXTKY4D601-C-14、WXTKY4D601-D-01、WXTKY4D601-D-02、WXTKY4D601-D-05、WXTKY4D601-D-06、WXTKY4D601-D-08、WXTKY4D601-D-09、WXTKY4D601-D-11、WXTKY4D601-D-12、WXTKY4D601-D-15、WXTKY4D601-D-16、WXTKY4D601-E-02、WXTKY4D601-E-03、WXTKY4D601-E-04、WXTKY4D601-E-05、WXTKY4D601-E-07、WXTKY4D601-E-08、WXTKY4D601-E-11、WXTKY4D601-E-12、WXTKY4D601-B-03、WXTKY4D601-B-04、WXTKY4D601-B-07、WXTKY4D601-B-10、WXTKY4D601-B-11、WXTKY4D601-B-14、WXTKY4D601-B-15、WXTKY4D601-C-03、WXTKY4D601-C-04、WXTKY4D601-D-04、WXTKY4D601-D-07、WXTKY4D601-D-10、WXTKY4D601-D-13、WXTKY4D601-D-14、WXTKY4D601-D-17、WXTKY4D601-D-18、WXTKY4D601-E-06、WXTKY4D601-E-09、WXTKY4D601-E-10、WXTKY4D601-E-13、WXTKY4D601-A-11、WXTKY4D601-A-12、WXTKY4D601-A-15、WXTKY4D601-A-18、WXTKY4D601-A-03、WXTKY4D601-A-04、WXTKY4D601-A-07、WXTKY4D601-A-08、WXTKY4D601-C-15、WXTKY4D601-C-16、WXTKY4D601-D-03、WXTKY4D601-C-07、WXTKY4D601-C-08、WXTKY4D601-C-11、WXTKY4D601-C-12、WXTKY4D602-F-01、WXTKY4D602-A-05、WXTKY4D602-A-06、WXTKY4D602-C-05、WXTKY4D602-C-06、WXTKY4D602-E-01、WXTKY4D602-E-02、WXTKY4D602-E-03、WXTKY4D602-E-04、WXTKY4D602-E-05、WXTKY4D602-E-06、WXTKY4D602-E-07、WXTKY4D602-E-08、WXTKY4D602-E-09、WXTKY4D602-E-10、WXTKY4D602-F-02、WXTKY4D602-F-03、WXTKY4D602-F-04、WXTKY4D602-F-05、WXTKY4D602-F-06、WXTKY4D602-F-07、WXTKY4D602-F-08、WXTKY4D602-F-09、WXTKY4D602-F-10、WXTKY4D604-C-17、WXTKY4D604-C-18、WXTKY4D604-I-01、WXTKY4D604-J-21、WXTKY4D604-J-22、WXTKY4D604-I-09、WXTKY4D604-I-10、WXTKY4D604-J-02、WXTKY4D604-J-03、WXTKY4D604-J-15、WXTKY4D604-J-16、WXTKY4D604-A-01、WXTKY4D604-A-02、WXTKY4D604-A-05、WXTKY4D604-A-06、WXTKY4D604-A-09、WXTKY4D604-A-10、WXTKY4D604-A-11、WXTKY4D604-A-12、WXTKY4D604-A-15、WXTKY4D604-A-16、WXTKY4D604-A-19、WXTKY4D604-A-20、WXTKY4D604-B-01、WXTKY4D604-B-02、WXTKY4D604-B-05、WXTKY4D604-B-06、WXTKY4D604-B-08、WXTKY4D604-B-09、WXTKY4D604-B-11、WXTKY4D604-B-12、WXTKY4D604-B-15、WXTKY4D604-B-16、WXTKY4D604-B-20、WXTKY4D604-B-21、WXTKY4D604-C-01、WXTKY4D604-C-02、WXTKY4D604-C-05、WXTKY4D604-C-06、WXTKY4D604-C-09、WXTKY4D604-C-10、WXTKY4D604-C-11、WXTKY4D604-C-12、WXTKY4D604-C-15、WXTKY4D604-C-16、WXTKY4D604-D-01、WXTKY4D604-D-02、WXTKY4D604-D-05、WXTKY4D604-D-06、WXTKY4D604-D-09、WXTKY4D604-D-10、WXTKY4D604-D-11、WXTKY4D604-D-12、WXTKY4D604-D-15、WXTKY4D604-D-16、WXTKY4D604-D-19、WXTKY4D604-D-20、WXTKY4D604-E-01、WXTKY4D604-E-02、WXTKY4D604-E-05、WXTKY4D604-E-06、WXTKY4D604-E-09、WXTKY4D604-E-10、WXTKY4D604-E-11、WXTKY4D604-E-12、WXTKY4D604-E-15、WXTKY4D604-E-16、WXTKY4D604-E-19、WXTKY4D604-E-20、WXTKY4D604-F-01、WXTKY4D604-F-02、WXTKY4D604-F-05、WXTKY4D604-F-06、WXTKY4D604-F-09、WXTKY4D604-F-10、WXTKY4D604-F-11、WXTKY4D604-F-12、WXTKY4D604-F-15、WXTKY4D604-F-16、WXTKY4D604-G-05、WXTKY4D604-G-06、WXTKY4D604-G-09、WXTKY4D604-G-10、WXTKY4D604-G-11、WXTKY4D604-G-12、WXTKY4D604-H-01、WXTKY4D604-H-02、WXTKY4D604-H-08、WXTKY4D604-H-09、WXTKY4D604-H-15、WXTKY4D604-H-16、WXTKY4D604-H-19、WXTKY4D604-H-20、WXTKY4D604-I-02、WXTKY4D604-I-05、WXTKY4D604-I-06、WXTKY4D604-J-01、WXTKY4D604-A-03、WXTKY4D604-A-04、WXTKY4D604-A-07、WXTKY4D604-A-08、WXTKY4D604-A-13、WXTKY4D604-A-14、WXTKY4D604-A-17、WXTKY4D604-A-18、WXTKY4D604-A-21、WXTKY4D604-A-22、WXTKY4D604-B-03、WXTKY4D604-B-04、WXTKY4D604-B-07、WXTKY4D604-B-10、WXTKY4D604-B-13、WXTKY4D604-B-14、WXTKY4D604-B-17、WXTKY4D604-B-18、WXTKY4D604-B-19</t>
  </si>
  <si>
    <t>2021/1/9开通，计费23天：WXTKY4D604-J-18、WXTKY4D604-J-19、WXTKY4D604-J-20</t>
  </si>
  <si>
    <t>2021/1/11开通，计费21天：WXTKY4D604-E-03、WXTKY4D604-E-04、WXTKY4D604-E-07、WXTKY4D604-E-08、WXTKY4D604-E-13、WXTKY4D604-E-14、WXTKY4D604-E-17、WXTKY4D604-E-18、WXTKY4D604-F-03、WXTKY4D604-F-04、WXTKY4D604-F-07、WXTKY4D604-F-08、WXTKY4D604-F-13、WXTKY4D604-F-14、WXTKY4D604-F-17、WXTKY4D604-F-18、WXTKY4D604-G-01、WXTKY4D604-G-02、WXTKY4D604-G-03、WXTKY4D604-G-04、WXTKY4D604-G-07、WXTKY4D604-G-08、WXTKY4D604-G-13、WXTKY4D604-G-14、WXTKY4D604-G-15、WXTKY4D604-G-16、WXTKY4D604-G-17、WXTKY4D604-G-18、WXTKY4D604-G-19、WXTKY4D604-G-20、WXTKY4D604-G-21、WXTKY4D604-G-22、WXTKY4D604-H-03、WXTKY4D604-H-04、WXTKY4D604-H-05、WXTKY4D604-H-06、WXTKY4D604-H-07、WXTKY4D604-H-10、WXTKY4D604-H-11、WXTKY4D604-H-12、WXTKY4D604-H-13、WXTKY4D604-H-14、WXTKY4D604-H-17、WXTKY4D604-H-18、WXTKY4D604-H-21、WXTKY4D604-H-22、WXTKY4D604-I-03、WXTKY4D604-I-04、WXTKY4D604-I-07、WXTKY4D604-I-08、WXTKY4D604-I-11、WXTKY4D604-I-12、WXTKY4D604-I-13、WXTKY4D604-I-14、WXTKY4D604-I-15、WXTKY4D604-I-16、WXTKY4D604-I-17、WXTKY4D604-I-18、WXTKY4D604-J-04、WXTKY4D604-J-05、WXTKY4D604-J-06、WXTKY4D604-J-07、WXTKY4D604-J-08、WXTKY4D604-J-09、WXTKY4D604-J-10、WXTKY4D604-J-11、WXTKY4D604-J-12、WXTKY4D604-J-13、WXTKY4D604-J-14、WXTKY4D604-J-17、WXTKY4D701-A-03、WXTKY4D701-A-04、WXTKY4D701-A-07、WXTKY4D701-A-08、WXTKY4D701-A-11、WXTKY4D701-A-12、WXTKY4D701-A-15、WXTKY4D701-A-18、WXTKY4D701-B-03、WXTKY4D701-B-06、WXTKY4D701-B-07、WXTKY4D701-B-10、WXTKY4D701-B-11、WXTKY4D701-B-14、WXTKY4D701-B-17、WXTKY4D701-B-18、WXTKY4D701-C-03、WXTKY4D701-C-04、WXTKY4D701-C-07、WXTKY4D701-C-08、WXTKY4D701-C-11、WXTKY4D701-C-12、WXTKY4D701-C-15、WXTKY4D701-C-16、WXTKY4D701-D-03、WXTKY4D701-D-04、WXTKY4D701-D-07、WXTKY4D701-D-08、WXTKY4D701-D-11、WXTKY4D701-D-12、WXTKY4D701-D-15、WXTKY4D701-D-16、WXTKY4D701-E-03、WXTKY4D701-E-04、WXTKY4D701-E-07、WXTKY4D701-E-08、WXTKY4D701-E-11、WXTKY4D701-E-12、WXTKY4D701-E-15、WXTKY4D701-E-18、WXTKY4D701-F-03、WXTKY4D701-F-04、WXTKY4D701-F-07、WXTKY4D701-F-08、WXTKY4D701-F-11、WXTKY4D701-F-12、WXTKY4D701-F-15、WXTKY4D701-F-16、WXTKY4D701-G-03、WXTKY4D701-G-04、WXTKY4D701-G-07、WXTKY4D701-G-08、WXTKY4D701-G-11、WXTKY4D701-G-12、WXTKY4D701-G-15、WXTKY4D701-G-18、WXTKY4D701-H-03、WXTKY4D701-H-06、WXTKY4D701-H-07、WXTKY4D701-H-10、WXTKY4D701-H-11、WXTKY4D701-H-14、WXTKY4D701-H-17、WXTKY4D701-H-18、WXTKY4D701-I-03、WXTKY4D701-I-04、WXTKY4D701-I-07、WXTKY4D701-I-08、WXTKY4D701-I-11、WXTKY4D701-I-12、WXTKY4D701-I-15、WXTKY4D701-I-16、WXTKY4D701-J-03、WXTKY4D701-J-04、WXTKY4D701-J-07、WXTKY4D701-J-08、WXTKY4D701-J-11、WXTKY4D701-J-12、WXTKY4D701-J-15、WXTKY4D701-J-16、WXTKY4D701-K-03、WXTKY4D701-K-04、WXTKY4D701-K-07、WXTKY4D701-K-08、WXTKY4D701-K-11、WXTKY4D701-K-12、WXTKY4D701-K-15、WXTKY4D701-K-18、WXTKY4D701-L-04、WXTKY4D701-L-07、WXTKY4D701-L-08、WXTKY4D701-L-11、WXTKY4D701-L-12、WXTKY4D701-L-15、WXTKY4D701-L-16、WXTKY4D701-A-01、WXTKY4D701-A-02、WXTKY4D701-A-05、WXTKY4D701-A-06、WXTKY4D701-A-09、WXTKY4D701-A-10、WXTKY4D701-A-13、WXTKY4D701-A-14、WXTKY4D701-A-16、WXTKY4D701-A-17、WXTKY4D701-B-01、WXTKY4D701-B-02、WXTKY4D701-B-04、WXTKY4D701-B-05、WXTKY4D701-B-08、WXTKY4D701-B-09、WXTKY4D701-B-12、WXTKY4D701-B-13、WXTKY4D701-B-15、WXTKY4D701-B-16、WXTKY4D701-C-01、WXTKY4D701-C-02、WXTKY4D701-C-05、WXTKY4D701-C-06、WXTKY4D701-C-09、WXTKY4D701-C-10、WXTKY4D701-C-13、WXTKY4D701-C-14、WXTKY4D701-D-01、WXTKY4D701-D-02、WXTKY4D701-D-05、WXTKY4D701-D-06、WXTKY4D701-D-09、WXTKY4D701-D-10、WXTKY4D701-D-13、WXTKY4D701-D-14、WXTKY4D701-E-01、WXTKY4D701-E-02、WXTKY4D701-E-05、WXTKY4D701-E-06、WXTKY4D701-E-09、WXTKY4D701-E-10、WXTKY4D701-E-13、WXTKY4D701-E-14、WXTKY4D701-E-16、WXTKY4D701-E-17、WXTKY4D701-F-01、WXTKY4D701-F-02、WXTKY4D701-F-05、WXTKY4D701-F-06、WXTKY4D701-F-09、WXTKY4D701-F-10、WXTKY4D701-F-13、WXTKY4D701-F-14、WXTKY4D701-G-01、WXTKY4D701-G-02、WXTKY4D701-G-05、WXTKY4D701-G-06、WXTKY4D701-G-09、WXTKY4D701-G-10、WXTKY4D701-G-13、WXTKY4D701-G-14、WXTKY4D701-G-16、WXTKY4D701-G-17、WXTKY4D701-H-01、WXTKY4D701-H-02、WXTKY4D701-H-04、WXTKY4D701-H-05、WXTKY4D701-H-08、WXTKY4D701-H-09、WXTKY4D701-H-12、WXTKY4D701-H-13、WXTKY4D701-H-15、WXTKY4D701-H-16、WXTKY4D701-I-01、WXTKY4D701-I-02、WXTKY4D701-I-05、WXTKY4D701-I-06、WXTKY4D701-I-09、WXTKY4D701-I-10、WXTKY4D701-I-13、WXTKY4D701-I-14、WXTKY4D701-J-01、WXTKY4D701-J-02、WXTKY4D701-J-05、WXTKY4D701-J-06、WXTKY4D701-J-09、WXTKY4D701-J-10、WXTKY4D701-J-13、WXTKY4D701-J-14、WXTKY4D701-K-01、WXTKY4D701-K-02、WXTKY4D701-K-05、WXTKY4D701-K-06、WXTKY4D701-K-09、WXTKY4D701-K-10、WXTKY4D701-K-13、WXTKY4D701-K-14、WXTKY4D701-K-16、WXTKY4D701-K-17、WXTKY4D701-L-02、WXTKY4D701-L-03、WXTKY4D701-L-05、WXTKY4D701-L-06、WXTKY4D701-L-09、WXTKY4D701-L-10、WXTKY4D701-L-13、WXTKY4D701-L-14、WXTKY4D701-D-17、WXTKY4D701-D-18、WXTKY4D701-J-17、WXTKY4D701-J-18、WXTKY4D701-L-01、WXTKY4D703-C-17、WXTKY4D703-C-18、WXTKY4D703-F-17、WXTKY4D703-F-18、WXTKY4D703-H-01、WXTKY4D703-D-08、WXTKY4D703-D-07、WXTKY4D703-D-06、WXTKY4D703-D-05、WXTKY4D703-D-04、WXTKY4D703-D-03、WXTKY4D703-D-02、WXTKY4D703-D-01、WXTKY4D703-C-16、WXTKY4D703-C-15、WXTKY4D703-C-14、WXTKY4D703-C-13、WXTKY4D703-C-12、WXTKY4D703-C-11、WXTKY4D703-C-10、WXTKY4D703-C-09、WXTKY4D703-C-08、WXTKY4D703-C-07、WXTKY4D703-C-06、WXTKY4D703-C-05、WXTKY4D703-C-04、WXTKY4D703-C-03、WXTKY4D703-C-02、WXTKY4D703-C-01、WXTKY4D703-B-22、WXTKY4D703-B-21、WXTKY4D703-B-20、WXTKY4D703-B-19、WXTKY4D703-B-18、WXTKY4D703-B-17、WXTKY4D703-B-16、WXTKY4D703-B-15、WXTKY4D703-B-14、WXTKY4D703-B-13、WXTKY4D703-B-12、WXTKY4D703-B-11、WXTKY4D703-B-10、WXTKY4D703-B-09、WXTKY4D703-B-08、WXTKY4D703-B-07、WXTKY4D703-B-06、WXTKY4D703-B-05、WXTKY4D703-B-04、WXTKY4D703-B-03、WXTKY4D703-B-02、WXTKY4D703-B-01、WXTKY4D703-A-22、WXTKY4D703-A-21、WXTKY4D703-A-20、WXTKY4D703-A-19、WXTKY4D703-A-18、WXTKY4D703-A-17、WXTKY4D703-A-16、WXTKY4D703-A-15、WXTKY4D703-A-14、WXTKY4D703-A-13、WXTKY4D703-A-12、WXTKY4D703-A-11、WXTKY4D703-A-10、WXTKY4D703-A-09、WXTKY4D703-A-08、WXTKY4D703-A-07、WXTKY4D703-A-06、WXTKY4D703-A-05、WXTKY4D703-A-04、WXTKY4D703-A-03、WXTKY4D703-A-02、WXTKY4D703-A-01、WXTKY4D703-D-09、WXTKY4D703-D-10、WXTKY4D703-D-11、WXTKY4D703-D-12、WXTKY4D703-D-13、WXTKY4D703-D-14、WXTKY4D703-D-15、WXTKY4D703-D-16、WXTKY4D703-D-17、WXTKY4D703-D-18、WXTKY4D703-D-19、WXTKY4D703-D-20、WXTKY4D703-D-21、WXTKY4D703-D-22、WXTKY4D703-E-01、WXTKY4D703-E-02、WXTKY4D703-E-03、WXTKY4D703-E-04、WXTKY4D703-E-05、WXTKY4D703-E-06、WXTKY4D703-E-07、WXTKY4D703-E-08、WXTKY4D703-E-09、WXTKY4D703-E-10、WXTKY4D703-E-11、WXTKY4D703-E-12、WXTKY4D703-E-13、WXTKY4D703-E-14、WXTKY4D703-E-15、WXTKY4D703-E-16、WXTKY4D703-E-17、WXTKY4D703-E-18、WXTKY4D703-E-19、WXTKY4D703-E-20、WXTKY4D703-E-21、WXTKY4D703-E-22、WXTKY4D703-F-01、WXTKY4D703-F-02、WXTKY4D703-F-03、WXTKY4D703-F-04、WXTKY4D703-F-05、WXTKY4D703-F-06、WXTKY4D703-F-07、WXTKY4D703-F-08、WXTKY4D703-F-09、WXTKY4D703-F-10、WXTKY4D703-F-11、WXTKY4D703-F-12、WXTKY4D703-F-13、WXTKY4D703-F-14、WXTKY4D703-F-15、WXTKY4D703-F-16、WXTKY4D703-G-09、WXTKY4D703-G-10、WXTKY4D703-G-11、WXTKY4D703-G-12、WXTKY4D703-G-13、WXTKY4D703-G-14、WXTKY4D703-G-15、WXTKY4D703-G-16、WXTKY4D703-G-17、WXTKY4D703-G-18、WXTKY4D703-G-19、WXTKY4D703-G-20、WXTKY4D703-G-21、WXTKY4D703-G-22</t>
  </si>
  <si>
    <t>2021/1/13开通，计费19天：WXTKY4D604-B-22、WXTKY4D604-C-03、WXTKY4D604-C-04、WXTKY4D604-C-07、WXTKY4D604-C-08、WXTKY4D604-C-13、WXTKY4D604-C-14、WXTKY4D604-D-03、WXTKY4D604-D-04、WXTKY4D604-D-07、WXTKY4D604-D-08、WXTKY4D604-D-13、WXTKY4D604-D-14、WXTKY4D604-D-17、WXTKY4D604-D-18、WXTKY4D604-D-21、WXTKY4D604-D-22、WXTKY4D604-E-21、WXTKY4D604-E-22</t>
  </si>
  <si>
    <t>2021/1/15开通，计费17天：WXTKY4D501-D-17、WXTKY4D501-D-18、WXTKY4D501-J-17、WXTKY4D501-J-18、WXTKY4D501-N-01、WXTKY4D503-A-01、WXTKY4D503-A-02、WXTKY4D503-A-05、WXTKY4D503-A-06、WXTKY4D503-A-09、WXTKY4D503-A-10、WXTKY4D503-A-11、WXTKY4D503-A-12、WXTKY4D503-A-15、WXTKY4D503-A-16、WXTKY4D503-A-19、WXTKY4D503-A-20、WXTKY4D503-C-17、WXTKY4D503-C-18、WXTKY4D503-F-17、WXTKY4D503-F-18、WXTKY4D503-H-01</t>
  </si>
  <si>
    <t>2021/1/18开通，计费14天：WXTKY4D503-B-01、WXTKY4D503-B-02、WXTKY4D503-B-03、WXTKY4D503-B-04、WXTKY4D503-B-05、WXTKY4D503-B-06、WXTKY4D503-B-07、WXTKY4D503-B-08、WXTKY4D503-B-09、WXTKY4D503-B-10、WXTKY4D503-B-11、WXTKY4D503-B-12、WXTKY4D503-B-13、WXTKY4D503-B-14、WXTKY4D503-B-15、WXTKY4D503-B-16、WXTKY4D503-B-17、WXTKY4D503-B-18、WXTKY4D503-B-19、WXTKY4D503-B-20、WXTKY4D503-B-21、WXTKY4D503-B-22、WXTKY4D503-C-01、WXTKY4D503-C-02、WXTKY4D503-C-03、WXTKY4D503-C-04</t>
  </si>
  <si>
    <t>2021/1/4开通，计费28天：WXTKY4D602-C-07、WXTKY4D602-D-05</t>
  </si>
  <si>
    <t>2021/1/4开通，计费28天：
WXTKY4D602-A-07、WXTKY4D602-A-08、WXTKY4D602-B-05、WXTKY4D602-B-06</t>
  </si>
  <si>
    <t>2021/1/4开通，计费28天：
WXTKY4D602-A-02、WXTKY4D602-A-04、WXTKY4D602-B-02、WXTKY4D602-B-04、WXTKY4D602-C-02、WXTKY4D602-C-04、WXTKY4D602-D-02、WXTKY4D602-D-04</t>
  </si>
  <si>
    <t>2021/1/28关闭，冲销3天费用：WXTKY4D503-A-01、WXTKY4D503-A-02、WXTKY4D503-A-05、（WXTKY4D503-A-03、WXTKY4D503-A-04系统部反馈关闭，但前期并未开通，本次仅按关闭3个更新计提表）</t>
  </si>
  <si>
    <t>2021/1/4开通布线柜，计费28天：WXTKY4D602-A-01、WXTKY4D602-A-03、WXTKY4D602-B-01、WXTKY4D602-B-03、WXTKY4D602-C-01、WXTKY4D602-C-03、WXTKY4D602-C-08、WXTKY4D602-D-01、WXTKY4D602-D-03、WXTKY4D602-D-06</t>
  </si>
  <si>
    <t>WXTKY4D301-E-01、WXTKY4D301-F-01</t>
  </si>
  <si>
    <t>2021/3/31开通，3月计费1天
WXTKY4D501-B-01、WXTKY4D501-B-02</t>
  </si>
  <si>
    <t>2021/4/16开通机架，4月计费15天：WXTKY4D703-G-01、WXTKY4D703-G-02、WXTKY4D703-G-03、WXTKY4D703-G-04、WXTKY4D703-G-05、WXTKY4D703-G-06、WXTKY4D703-G-07、WXTKY4D703-G-08、WXTKY4D703-H-02、WXTKY4D703-H-03、WXTKY4D703-H-04、WXTKY4D703-H-05、WXTKY4D703-H-06、WXTKY4D703-H-07、WXTKY4D703-H-08、WXTKY4D703-H-09、WXTKY4D703-H-10、WXTKY4D703-H-11、WXTKY4D703-H-12、WXTKY4D703-H-13、WXTKY4D703-H-14、WXTKY4D703-H-15、WXTKY4D703-H-16、WXTKY4D703-H-17、WXTKY4D703-H-18、WXTKY4D703-H-19、WXTKY4D703-H-20、WXTKY4D703-H-21、WXTKY4D703-H-22、WXTKY4D703-I-01、WXTKY4D703-I-02、WXTKY4D703-I-03、WXTKY4D703-I-04、WXTKY4D703-I-05、WXTKY4D703-I-06、WXTKY4D703-I-07、WXTKY4D703-I-08、WXTKY4D703-I-09、WXTKY4D703-I-10</t>
  </si>
  <si>
    <t>2021/4/17开通，4月计费14天：WXTKY4D503-C-09</t>
  </si>
  <si>
    <t>2021/4/20开通，4月计费11天：WXTKY4D503-C-05、WXTKY4D503-C-06、WXTKY4D503-C-07、WXTKY4D503-C-08、WXTKY4D503-D-01、WXTKY4D503-D-02、WXTKY4D503-D-03、WXTKY4D503-D-04、WXTKY4D503-D-05、WXTKY4D503-D-06、WXTKY4D703-J-01、WXTKY4D703-J-02、WXTKY4D703-J-03、WXTKY4D703-J-04、WXTKY4D703-J-05、WXTKY4D703-J-06</t>
  </si>
  <si>
    <t>2021/4/21开通，4月计费10天：WXTKY4D501-A-01、WXTKY4D501-A-02、WXTKY4D501-A-03、WXTKY4D501-A-04、WXTKY4D501-A-05、WXTKY4D501-A-06、WXTKY4D501-A-07、WXTKY4D501-A-08、WXTKY4D501-A-09、WXTKY4D501-A-10、WXTKY4D501-A-11、WXTKY4D501-A-12、WXTKY4D501-A-13、WXTKY4D501-A-14、WXTKY4D501-A-15、WXTKY4D501-A-16、WXTKY4D501-A-17、WXTKY4D501-A-18、WXTKY4D501-B-03、WXTKY4D501-B-04、WXTKY4D501-B-05、WXTKY4D501-B-06、WXTKY4D501-B-07、WXTKY4D501-B-08、WXTKY4D501-B-09、WXTKY4D501-B-10、WXTKY4D501-B-11、WXTKY4D501-B-12、WXTKY4D501-B-13、WXTKY4D501-B-14、WXTKY4D501-B-15、WXTKY4D501-B-16、WXTKY4D501-B-17、WXTKY4D501-B-18、WXTKY4D501-C-01、WXTKY4D501-C-02、WXTKY4D501-C-03、WXTKY4D501-C-04、WXTKY4D501-C-05、WXTKY4D501-C-06、WXTKY4D501-C-07、WXTKY4D501-C-08、WXTKY4D501-C-09、WXTKY4D501-C-10、WXTKY4D501-C-11、WXTKY4D501-C-12、WXTKY4D501-C-13、WXTKY4D501-C-14、WXTKY4D501-C-15、WXTKY4D501-C-16、WXTKY4D501-D-01、WXTKY4D501-D-02、WXTKY4D501-D-03、WXTKY4D501-D-04、WXTKY4D501-D-05、WXTKY4D501-D-06、WXTKY4D501-D-07、WXTKY4D501-D-08、WXTKY4D501-D-09、WXTKY4D501-D-10、WXTKY4D501-D-11、WXTKY4D501-D-12、WXTKY4D501-D-13、WXTKY4D501-D-14、WXTKY4D501-D-15、WXTKY4D501-E-01、WXTKY4D501-E-02、WXTKY4D501-E-03、WXTKY4D501-E-04、WXTKY4D501-E-05、WXTKY4D501-E-06、WXTKY4D501-E-07、WXTKY4D501-E-08、WXTKY4D501-E-09、WXTKY4D501-E-10、WXTKY4D501-E-11、WXTKY4D501-E-12、WXTKY4D501-E-13、WXTKY4D501-E-14、WXTKY4D501-E-15、WXTKY4D501-E-16、WXTKY4D501-E-17、WXTKY4D501-E-18、WXTKY4D501-F-01、WXTKY4D501-F-02、WXTKY4D501-F-03、WXTKY4D501-F-04、WXTKY4D501-F-05、WXTKY4D501-F-06、WXTKY4D501-F-07、WXTKY4D501-F-08、WXTKY4D501-F-09、WXTKY4D501-F-10、WXTKY4D501-F-11、WXTKY4D501-F-12、WXTKY4D501-F-13、WXTKY4D501-F-14、WXTKY4D501-F-15、WXTKY4D501-F-16</t>
  </si>
  <si>
    <t>2021/4/24开通，4月计费7天：WXTKY4D501-G-01、WXTKY4D501-G-02、WXTKY4D501-G-03、WXTKY4D501-G-04、WXTKY4D501-G-05、WXTKY4D501-G-06、WXTKY4D501-G-07、WXTKY4D501-G-08、WXTKY4D501-G-09、WXTKY4D501-G-10、WXTKY4D501-G-11、WXTKY4D501-G-12、WXTKY4D501-G-13、WXTKY4D501-G-14、WXTKY4D501-G-15、WXTKY4D503-C-10</t>
  </si>
  <si>
    <t>2021/4/28开通，4月计费3天：WXTKY4D501-G-16、WXTKY4D501-G-17、WXTKY4D501-G-18、WXTKY4D501-H-01、WXTKY4D501-H-02、WXTKY4D501-H-03、WXTKY4D501-H-04、WXTKY4D501-H-05、WXTKY4D501-H-06</t>
  </si>
  <si>
    <t>2021/5/18开通，5月计费14天：WXTKY4D203-A-22</t>
  </si>
  <si>
    <t>2021/5/18开通，5月计费14天：WXTKY4D503-A-01、WXTKY4D503-A-02</t>
  </si>
  <si>
    <t>2021/5/15开通，5月计费17天：WXTKY4D501-I-16、WXTKY4D501-I-15</t>
  </si>
  <si>
    <t>2021/5/16开通，5月计费16天：WXTKY4D501-I-14</t>
  </si>
  <si>
    <t>2021/5/17开通，5月计费15天：WXTKY4D501-K-07、WXTKY4D501-H-14、WXTKY4D503-I-08、WXTKY4D503-I-07、WXTKY4D503-I-05、WXTKY4D503-H-20、WXTKY4D503-H-19、WXTKY4D503-H-16、WXTKY4D503-H-15、WXTKY4D503-H-12、WXTKY4D503-H-11、WXTKY4D503-H-09、WXTKY4D503-H-08、WXTKY4D503-H-06、WXTKY4D503-H-05、WXTKY4D503-H-03、WXTKY4D503-H-02、WXTKY4D503-G-05、WXTKY4D503-G-02、WXTKY4D503-G-01</t>
  </si>
  <si>
    <t>2021/5/18开通，5月计费14天：WXTKY4D501-M-17、WXTKY4D501-M-15、WXTKY4D501-M-14、WXTKY4D501-M-12、WXTKY4D501-M-11、WXTKY4D501-M-10、WXTKY4D501-M-08、WXTKY4D501-M-07、WXTKY4D501-M-06、WXTKY4D501-M-04、WXTKY4D501-M-03、WXTKY4D501-M-02、WXTKY4D501-L-16、WXTKY4D501-L-15、WXTKY4D501-L-14、WXTKY4D501-L-12、WXTKY4D501-L-11、WXTKY4D501-L-10、WXTKY4D501-L-08、WXTKY4D501-L-07、WXTKY4D501-L-06、WXTKY4D501-L-04、WXTKY4D501-L-03、WXTKY4D501-L-02、WXTKY4D501-K-18、WXTKY4D501-K-17、WXTKY4D501-K-15、WXTKY4D501-K-14、WXTKY4D501-K-12、WXTKY4D501-K-11、WXTKY4D501-K-10、WXTKY4D501-K-08、WXTKY4D501-K-06、WXTKY4D501-K-04、WXTKY4D501-K-03、WXTKY4D501-K-02、WXTKY4D501-J-16、WXTKY4D501-J-15、WXTKY4D501-J-14、WXTKY4D501-J-12、WXTKY4D501-J-11、WXTKY4D501-J-10、WXTKY4D501-J-08、WXTKY4D501-J-07、WXTKY4D501-J-06、WXTKY4D501-J-04、WXTKY4D501-J-03、WXTKY4D501-J-02、WXTKY4D501-I-12、WXTKY4D501-I-11、WXTKY4D501-I-10、WXTKY4D501-I-08、WXTKY4D501-I-07、WXTKY4D501-I-06、WXTKY4D501-I-04、WXTKY4D501-I-03、WXTKY4D501-I-02、WXTKY4D501-H-18、WXTKY4D501-H-17、WXTKY4D501-H-16、WXTKY4D501-H-13、WXTKY4D501-H-11、WXTKY4D501-H-10、WXTKY4D501-H-09、WXTKY4D501-H-07</t>
  </si>
  <si>
    <t>2021/5/19开通，5月计费13天：WXTKY4D501-N-16、WXTKY4D501-N-15、WXTKY4D501-N-13、WXTKY4D501-N-12、WXTKY4D501-N-09、WXTKY4D501-N-08、WXTKY4D501-N-05、WXTKY4D501-N-04、WXTKY4D501-N-03、WXTKY4D501-N-02、WXTKY4D501-M-16、WXTKY4D501-M-13、WXTKY4D501-M-09、WXTKY4D501-M-05、WXTKY4D501-M-01、WXTKY4D501-L-13、WXTKY4D501-L-09、WXTKY4D501-L-05、WXTKY4D501-L-01、WXTKY4D501-K-16、WXTKY4D501-K-13、WXTKY4D501-K-09、WXTKY4D501-K-05、WXTKY4D501-K-01、WXTKY4D501-J-13、WXTKY4D501-J-09、WXTKY4D501-J-05、WXTKY4D501-J-01、WXTKY4D501-I-13、WXTKY4D501-I-09、WXTKY4D501-I-05、WXTKY4D501-I-01、WXTKY4D501-H-15、WXTKY4D501-H-12、WXTKY4D501-H-08、WXTKY4D503-J-10、WXTKY4D503-J-09、WXTKY4D503-J-07、WXTKY4D503-J-06、WXTKY4D503-J-05、WXTKY4D503-J-04、WXTKY4D503-J-03、WXTKY4D503-J-02、WXTKY4D503-J-01、WXTKY4D503-I-04、WXTKY4D503-I-02、WXTKY4D503-I-01、WXTKY4D503-G-20、WXTKY4D503-G-19、WXTKY4D503-G-16、WXTKY4D503-G-15、WXTKY4D503-G-12、WXTKY4D503-G-11、WXTKY4D503-G-10、WXTKY4D503-G-09、WXTKY4D503-G-06、WXTKY4D503-F-06、WXTKY4D503-F-05、WXTKY4D503-F-02、WXTKY4D503-F-01</t>
  </si>
  <si>
    <t>2021/5/21开通，5月计费11天：WXTKY4D503-D-20、WXTKY4D503-F-16、WXTKY4D503-F-15、WXTKY4D503-F-12、WXTKY4D503-F-11、WXTKY4D503-F-10、WXTKY4D503-F-09、WXTKY4D503-E-20、WXTKY4D503-E-19、WXTKY4D503-E-16、WXTKY4D503-E-15、WXTKY4D503-E-12、WXTKY4D503-E-11、WXTKY4D503-E-10、WXTKY4D503-E-09、WXTKY4D503-E-06、WXTKY4D503-E-05、WXTKY4D503-E-02、WXTKY4D503-E-01</t>
  </si>
  <si>
    <t>WXTKY4D503-A-06、WXTKY4D503-A-09、WXTKY4D503-A-10、WXTKY4D503-A-19、WXTKY4D503-A-20、WXTKY4D503-E-11、WXTKY4D503-E-12、WXTKY4D503-E-15、WXTKY4D503-E-16</t>
  </si>
  <si>
    <t>2023/1/6完成机柜改造，由0A改造为62.5A：WXTKY4D301-E-08、WXTKY4D301-G-08，2023/2/16重新开通上线</t>
  </si>
  <si>
    <t>WXTKY4D602-E-01、WXTKY4D602-E-02、WXTKY4D602-E-03、WXTKY4D602-E-08、WXTKY4D602-E-09、WXTKY4D602-F-04、WXTKY4D602-F-05、WXTKY4D602-F-06、WXTKY4D602-F-07</t>
  </si>
  <si>
    <t>181915IDC00156</t>
  </si>
  <si>
    <t>无锡太科院-南京凤凰机房</t>
  </si>
  <si>
    <t>181915IDC00156约定400G单价900000，目前只开通100G，单价225000</t>
  </si>
  <si>
    <t>2023/2/28退租无锡太科院-南京凤凰机房100G电路</t>
  </si>
  <si>
    <t>无锡数据中心-苏州太湖</t>
  </si>
  <si>
    <t xml:space="preserve">共4条，每条2芯，共8芯:
无锡至太湖35.25KM,老312方向
无锡至太湖64.82KM,新312方向
无锡至太湖64.82KM,新312方向
无锡至太湖66.45KM,高速方向
</t>
  </si>
  <si>
    <t>无锡数据中心-苏州昆山万国</t>
  </si>
  <si>
    <t xml:space="preserve">共4条，每条2芯，共8芯:
无锡至昆山106.51KM,G312方向
无锡至昆山117.63KM,高速方向
无锡至昆山117.63KM,高速方向
无锡至昆山106.63KM,G343方向
</t>
  </si>
  <si>
    <t>182115IDC00552</t>
  </si>
  <si>
    <t>2021/5/21开通，5月计费11天：WXTKY4D503-C-11、WXTKY4D503-C-12、WXTKY4D503-C-15、WXTKY4D503-C-16、WXTKY4D503-D-12、WXTKY4D503-D-11、WXTKY4D503-D-10、WXTKY4D503-D-09、WXTKY4D503-D-15、WXTKY4D503-D-16、WXTKY4D503-D-19</t>
  </si>
  <si>
    <t>2021/6/18开通，6月计费13天：WXTKY4D503-A-03、WXTKY4D503-A-05</t>
  </si>
  <si>
    <t>2021/7/2开通机架，7月计费30天：WXTKY4D503-A-07、WXTKY4D503-A-08、WXTKY4D503-A-13、WXTKY4D503-A-14、WXTKY4D503-A-17、WXTKY4D503-A-18、WXTKY4D503-A-21、WXTKY4D503-A-22</t>
  </si>
  <si>
    <t>2021/7/14开通机架，7月计费18天：WXTKY4D503-D-14、WXTKY4D503-D-17、WXTKY4D503-D-21、WXTKY4D503-E-14、WXTKY4D503-E-17、WXTKY4D503-E-18、WXTKY4D503-E-21、WXTKY4D503-E-22</t>
  </si>
  <si>
    <t>2021/7/15开通，7月计费17天：WXTKY4D503-D-18、WXTKY4D503-D-22</t>
  </si>
  <si>
    <t>2021/10/8开通，10月计费24天：WXTKY4D501-D-16、WXTKY4D501-M-18、WXTKY4D501-N-06、WXTKY4D501-N-07、WXTKY4D501-N-10、WXTKY4D501-N-11、WXTKY4D501-N-14、WXTKY4D501-N-17、WXTKY4D501-N-18、WXTKY4D503-C-13、WXTKY4D503-C-14、WXTKY4D503-D-07、WXTKY4D503-D-08、WXTKY4D503-E-03、WXTKY4D503-E-04、WXTKY4D503-E-07、WXTKY4D503-E-08、WXTKY4D503-F-03、WXTKY4D503-F-04、WXTKY4D503-F-07、WXTKY4D503-F-08、WXTKY4D503-F-13、WXTKY4D503-F-14、WXTKY4D503-G-03、WXTKY4D503-G-04、WXTKY4D503-G-07、WXTKY4D503-G-08、WXTKY4D503-G-13、WXTKY4D503-G-14、WXTKY4D503-G-17、WXTKY4D503-G-18、WXTKY4D503-G-21、WXTKY4D503-G-22、WXTKY4D503-H-04、WXTKY4D503-H-07、WXTKY4D503-H-10、WXTKY4D503-H-13、WXTKY4D503-H-14、WXTKY4D503-H-17、WXTKY4D503-H-18、WXTKY4D503-H-21、WXTKY4D503-H-22、WXTKY4D503-I-03、WXTKY4D503-I-06、WXTKY4D503-I-09、WXTKY4D503-I-10、WXTKY4D503-J-08、WXTKY4D503-J-11、WXTKY4D503-J-12</t>
  </si>
  <si>
    <t>2021/10/10开通，10月计费22天：WXTKY4D703-J-07、WXTKY4D703-J-08、WXTKY4D703-J-09、WXTKY4D703-J-10、WXTKY4D703-J-11、WXTKY4D703-J-12</t>
  </si>
  <si>
    <t>2021.11机柜改造，由20A更新为40A，，因运营商11月仍按低功率结算，暂时计提在正式合同上，未调整单价。WXTKY4D503-D-13、WXTKY4D503-E-13</t>
  </si>
  <si>
    <t>WXTKY4D503-A-04</t>
  </si>
  <si>
    <t>WXTKY4D503-D-14、WXTKY4D503-D-17、WXTKY4D503-E-14、WXTKY4D503-E-17</t>
  </si>
  <si>
    <t>WXTKY4D503-A-18、WXTKY4D503-D-11、WXTKY4D503-D-12、WXTKY4D503-D-15、WXTKY4D503-D-16</t>
  </si>
  <si>
    <t>WXTKY4D503-A-18</t>
  </si>
  <si>
    <t>WXTKY-常熟普洛斯</t>
  </si>
  <si>
    <t>2021/7/16开通WXTKY-常熟普洛斯光纤，路由一100KM</t>
  </si>
  <si>
    <t>2021/7/16开通WXTKY-常熟普洛斯光纤，路由二85KM</t>
  </si>
  <si>
    <t>2021/8/19开通WXTKY-常熟普洛斯光纤， 8月计费13天</t>
  </si>
  <si>
    <t>2021/9/3开通WXTKY-常熟普洛斯光纤，9月计费28天</t>
  </si>
  <si>
    <t>无锡太科园-苏州太湖</t>
  </si>
  <si>
    <t>无锡太科园WXTKY-苏州太湖SZTH</t>
  </si>
  <si>
    <t>182315IDC00075</t>
  </si>
  <si>
    <t>无锡</t>
  </si>
  <si>
    <t>CDNWXCM</t>
  </si>
  <si>
    <t>WXCM5F-C-01、WXCM5F-C-02、WXCM5F-C-03、WXCM5F-C-04、WXCM5F-C-05、WXCM5F-C-06、WXCM5F-C-07、WXCM5F-C-08。</t>
  </si>
  <si>
    <t>2022/5/31节点退租：WXCM5F-C-01、WXCM5F-C-02、WXCM5F-C-03、WXCM5F-C-04、WXCM5F-C-05、WXCM5F-C-06、WXCM5F-C-07、WXCM5F-C-08。</t>
  </si>
  <si>
    <t>无锡移动SSL</t>
  </si>
  <si>
    <t>SSLWXCM</t>
  </si>
  <si>
    <t>WX2CM5F-E-07、WX2CM5F-E-08、WX2CM5F-E-09、WX2CM5F-C-09</t>
  </si>
  <si>
    <t>WX2CM5F-C-09</t>
  </si>
  <si>
    <t>无锡 WX3CM</t>
  </si>
  <si>
    <t>无锡3移动</t>
  </si>
  <si>
    <t>2023.3根据与SYS核对结果，调整机架编号，由WXCM5F-A-01调整为WX3CM5F-A-01；江苏无锡移动 增量100G完成业务测试，已于2020-05-15开始正式切流量上线。2020/7/1开始计费
WXCM5F-A-01、WXCM5F-A-02、WXCM5F-A-03</t>
  </si>
  <si>
    <t>CDN江苏无锡移动退租信息 (WX3CM)，退租一个机柜WXCM5F-A-03</t>
  </si>
  <si>
    <t>WX3CM5F-A-02</t>
  </si>
  <si>
    <t>CDN使用832，SSL使用768(122.25.89.0/24,122.25.90.0/24,112.25.91.0/24)，共1600，免费1256，收费344。IPv6  1个/64：2409:8C20:1831:0203::/64</t>
  </si>
  <si>
    <t>2022.7.31开始带宽量为40G，同比可免费132个，使用928，收费796个，运营商账单按344个，对百度有利。
CDN使用832，SSL使用768(122.25.89.0/24,122.25.90.0/24,112.25.91.0/24)，共1600，免费1256，收费344。IPv6  1个/64：2409:8C20:1831:0203::/64</t>
  </si>
  <si>
    <t>112.25.92.0/24 
江苏无锡移动 增量100G完成业务测试，已于2020-05-15开始正式切流量上线。2020/7/1开始计费
CDN使用832，SSL使用768，共1600，免费1256，收费344
2021年合同约定，免费提供2×64位的IPv6地址，超出部分的IPv6地址按照0元/个/月收取</t>
  </si>
  <si>
    <t>112.25.92.128/25</t>
  </si>
  <si>
    <t>无锡 WXCM</t>
  </si>
  <si>
    <t>112.25.85.0/27;112.25.86.0/24;112.25.87.0/24
CDN使用832，SSL使用768，共1600，免费1256，收费344
2021年合同约定，免费提供2×64位的IPv6地址，超出部分的IPv6地址按照0元/个/月收取</t>
  </si>
  <si>
    <t>2022/5/31节点退租：112.25.85.0/27;112.25.86.0/24;112.25.87.0/24</t>
  </si>
  <si>
    <t>L20230227005</t>
  </si>
  <si>
    <t>中国移动通信集团江苏有限公司盐城分公司</t>
  </si>
  <si>
    <t>盐城移动</t>
  </si>
  <si>
    <t>L20221101004</t>
  </si>
  <si>
    <t>盐城3移动</t>
  </si>
  <si>
    <t>CACDNYANCCM</t>
  </si>
  <si>
    <t>2023.3调整单价，按收费机柜计提。计费确认单未包含机柜IP，放在临时合同计提。【BEC新建】盐城移动新建2022-10-1节点正式上线  (YANC3CM)：机柜编号更新为：CACDNYANCCM:2F:10-10-BEC20、CACDNYANCCM:2F:10-10-BEC21、CACDNYANCCM:2F:10-10-BEC22；更新前为：BECYANC3CM2F-10-17、BECYANC3CM2F-10-18、BECYANC3CM2F-10-19</t>
  </si>
  <si>
    <t>182315IDC00158</t>
  </si>
  <si>
    <t>CDNYANCCM2</t>
  </si>
  <si>
    <t>计费确认单未包含机柜IP，放在临时合同计提。【BEC新建】盐城移动新建2022-10-1节点正式上线  (YANC3CM)：IPV4：120.195.37.0/24；IPV6:2409:8C20:8AB1:28::/64</t>
  </si>
  <si>
    <t>【BEC扩容】盐城移动2023-1-16扩容3个机柜 (YANC3CM)：CACDNYANCCM:2F:10-10-BEC20、CACDNYANCCM:2F:10-10-BEC21、CACDNYANCCM:2F:10-10-BEC22</t>
  </si>
  <si>
    <t>【BEC扩容】盐城移动2023-3-20扩容3个机柜 (YANC3CM)：CACDNYANCCM:2F:10-10-BEC14、CACDNYANCCM:2F:10-10-BEC15、CACDNYANCCM:2F:10-10-BEC16</t>
  </si>
  <si>
    <t>CDNYANCCM</t>
  </si>
  <si>
    <t>YANCCM2F-H-02、YANCCM2F-H-03、YANCCM2F-H-04、YANCCM2F-H-06、YANCCM2F-H-07、YANCCM2F-H-08</t>
  </si>
  <si>
    <t>（剩余YANCCM2F-H-05转为BEC使用，编号更新为BECYANCCM2F-H-05）YANCCM2F-H-02、YANCCM2F-H-03、YANCCM2F-H-04、YANCCM2F-H-06、YANCCM2F-H-07、YANCCM2F-H-08</t>
  </si>
  <si>
    <t>182315IDC00077</t>
  </si>
  <si>
    <t>2022.5带宽退租后IP任然未收费。合同约定送288个IP，使用288个，均免费；免费提供64位的IPv6地址，超出部分的IPv6地址按照0元/个/月收取
36.156.94.0/24(CDN转让BEC使用)
2409:8c20:8ab1:0001::/64(CDN转让BEC使用)</t>
  </si>
  <si>
    <t xml:space="preserve">2022.5带宽退租后IP任然未收费。合同约定送288个IP，使用288个，均免费：223.111.146.32/27
</t>
  </si>
  <si>
    <t>中国移动通信集团江苏有限公司扬州分公司</t>
  </si>
  <si>
    <t>扬州移动</t>
  </si>
  <si>
    <t>L20220726003</t>
  </si>
  <si>
    <t>扬州2</t>
  </si>
  <si>
    <t>扬州移动二级</t>
  </si>
  <si>
    <t>CDNYANGZCM2</t>
  </si>
  <si>
    <t>CDN使用，YANGZCACHE3FIDC-K-02，免费</t>
  </si>
  <si>
    <t>182315IDC00076</t>
  </si>
  <si>
    <t>传输使用：YANGZCACHE3FIDC-K-03</t>
  </si>
  <si>
    <t>扬州移动CDN-扬州汊河传输机房</t>
  </si>
  <si>
    <t>4芯</t>
  </si>
  <si>
    <t>扬州移动 B2回源光纤双路由：扬州移动CDN-扬州汊河传输机房</t>
  </si>
  <si>
    <t xml:space="preserve">2022.10商务确认机架开始收费。YANGZ2CM3F-M-05  、YANGZ2CM3F-M-06 </t>
  </si>
  <si>
    <t>L20221215014</t>
  </si>
  <si>
    <t>扬州</t>
  </si>
  <si>
    <t>CDNYANGZCM</t>
  </si>
  <si>
    <t>YANGZCM1F-C-01、YANGZCM1F-C-02、YANGZCM1F-C-03、YANGZCM1F-C-04、YANGZCM1F-C-05</t>
  </si>
  <si>
    <t>2022/4/30 扬州移动节点全部退租。YANGZCM1F-C-01、YANGZCM1F-C-02、YANGZCM1F-C-03、YANGZCM1F-C-04、YANGZCM1F-C-05</t>
  </si>
  <si>
    <t>YANGZCM</t>
  </si>
  <si>
    <t>223.111.133.0/24;223.111.202.32/27。
乙方免费提供1540个IPv4地址，  4段64位  的IPv6地址，超出部分的IPv4地址按照20元/个/月收取，超出部分的IPv6地址按照  0  收取。使用288，均免费</t>
  </si>
  <si>
    <t>2022/4/30 扬州移动节点全部退租。223.111.133.0/24;223.111.202.32/27。
乙方免费提供1540个IPv4地址，  4段64位  的IPv6地址，超出部分的IPv4地址按照20元/个/月收取，超出部分的IPv6地址按照  0  收取。使用288，均免费</t>
  </si>
  <si>
    <t>YANGZ2CM3F-M-01、YANGZ2CM3F-M-02、YANGZ2CM3F-M-03、YANGZ2CM3F-M-04
实际使用6个，收费4个，赠送2个</t>
  </si>
  <si>
    <t>YANGZCMCACHE</t>
  </si>
  <si>
    <t>223.111.127.0/24
乙方免费提供1540个IPv4地址，  4段64位  的IPv6地址，超出部分的IPv4地址按照20元/个/月收取，超出部分的IPv6地址按照  0  收取。使用256，均免费</t>
  </si>
  <si>
    <t>扬州3</t>
  </si>
  <si>
    <t>扬州3移动</t>
  </si>
  <si>
    <t>CDNYANGZCM3</t>
  </si>
  <si>
    <t>YANGZCM8F-D-07、YANGZCM8F-D-06、YANGZCM8F-D-08、YANGZCM8F-D-09、YANGZCM8F-D-10、YANGZCM8F-D-11、YANGZCM8F-D-12、YANGZCM8F-D-13、YANGZCM8F-E-08、YANGZCM8F-E-09</t>
  </si>
  <si>
    <t>按退租邮件，2022.7.31开始机柜转BEC使用：YANGZCM8F-E-10、YANGZCM8F-E-11、YANGZCM8F-E-12</t>
  </si>
  <si>
    <t>2022/5/31退租：YANGZCM8F-D-06、YANGZCM8F-D-08、YANGZCM8F-D-07、YANGZCM8F-D-13、YANGZCM8F-E-08、YANGZCM8F-E-09</t>
  </si>
  <si>
    <t>扬州移动边缘计算节点新申请（扩容）1个机架于2021-04-7正式开通，2021/5/1开始计费，本次扩容未新增IP：
BECYANGZ2CM8F-E-13</t>
  </si>
  <si>
    <t>YANGZ3CM边缘计算扩容，新增2个机柜：BECYANGZ2CM8F-E-14，BECYANGZ2CM8F-E-15</t>
  </si>
  <si>
    <t>YANGZCM8F-D-09,YANGZCM8F-D-10,YANGZCM8F-D-11,YANGZCM8F-D-12</t>
  </si>
  <si>
    <t>YANGZ3CM</t>
  </si>
  <si>
    <t>存量资源：36.156.58.0/24。
2022/7/31退租288个：36.156.36.0/24,36.156.32.128/27，剩余256个按退租邮件转BEC使用：36.156.58.0/24。
乙方免费提供1540个IPv4地址，  4段64位  的IPv6地址，超出部分的IPv4地址按照20元/个/月收取，超出部分的IPv6地址按照  0  收取。使用544，均免费</t>
  </si>
  <si>
    <t>存量资源：36.156.32.128/27；36.156.36.0/24。
乙方免费提供1540个IPv4地址，  4段64位  的IPv6地址，超出部分的IPv4地址按照20元/个/月收取，超出部分的IPv6地址按照  0  收取。使用544，均免费</t>
  </si>
  <si>
    <t>2022/7/31退租288个：36.156.36.0/24,36.156.32.128/27，剩余256个按退租邮件转BEC使用：36.156.58.0/24</t>
  </si>
  <si>
    <t>边缘计算新增：36.156.59.0/25;
乙方免费提供1540个IPv4地址，  4段64位  的IPv6地址，超出部分的IPv4地址按照20元/个/月收取，超出部分的IPv6地址按照  0  收取。1909配合边缘计算资源上线，新增384个IP</t>
  </si>
  <si>
    <t>边缘计算新增：36.156.37.0/24;
乙方免费提供1540个IPv4地址，  4段64位  的IPv6地址，超出部分的IPv4地址按照20元/个/月收取，超出部分的IPv6地址按照  0  收取。1909配合边缘计算资源上线，新增384个IP</t>
  </si>
  <si>
    <t>2022/7/31退租256个：36.156.37.0/24，剩余128个按退租邮件转BEC使用：36.156.59.0/25</t>
  </si>
  <si>
    <t>截止2022.7剩余使用512个，BEC使用：223.109.62.0/25(BEC IP) 36.156.58.0/24(BEC IP) 36.156.59.0/25(BEC IP);
YANGZ3CM边缘计算扩容，新增128个IP：223.109.62.0/25
202206累计使用1312，免费1540，均在免费范围</t>
  </si>
  <si>
    <t>中国移动通信集团山东有限公司济南分公司</t>
  </si>
  <si>
    <t>济南移动</t>
  </si>
  <si>
    <t>L20230311037</t>
  </si>
  <si>
    <t>济南移动回源</t>
  </si>
  <si>
    <t>济南移动回源电路（光纤）续约，线路用于接入B2，节省回源带宽；山东省济南市高新区春晖路与科远路交叉路口东北角150米中国移动济南IDC数据中心-济南市经七纬五路75号泉景恒基308室</t>
  </si>
  <si>
    <t>济南移动二级</t>
  </si>
  <si>
    <t>CDNJNCM2</t>
  </si>
  <si>
    <t>传输机柜：JN2CM2F-E-22</t>
  </si>
  <si>
    <t>182315IDC00078</t>
  </si>
  <si>
    <t xml:space="preserve">CDN机架 </t>
  </si>
  <si>
    <t>CDNJNCM、CDNJNCM2</t>
  </si>
  <si>
    <t>7月30日新增4个机架，3KW</t>
  </si>
  <si>
    <t>8月9日关闭4个</t>
  </si>
  <si>
    <t>CDNJNCM</t>
  </si>
  <si>
    <t>JNCM2F-01A-01、JNCM2F-01A-02、JNCM2F-01A-03、JNCM2F-01A-04、JNCM2F-01A-05、JNCM2F-01A-06、JNCM2F-01A-07、JNCM2F-01A-08、JNCM2F-01A-09</t>
  </si>
  <si>
    <t>JNCM2F-01A-06,JNCM2F-01A-05,JNCM2F-01A-04,JNCM2F-01A-03,JNCM2F-01A-02,JNCM2F-01A-01,JNCM2F-01A-08,JNCM2F-01A-07,JNCM2F-01A-09</t>
  </si>
  <si>
    <t>2023.3经于SYS核对，调整机架编号，由JNCM2201-7-21、JNCM2201-7-20、JNCM2201-7-19、JNCM2201-7-18、JNCM2201-7-17、JNCM2201-7-16、JNCM2201-7-15调整为JNCM2201-8-21、JNCM2201-8-20、JNCM2201-8-19、JNCM2201-8-18、JNCM2201-8-17、JNCM2201-8-16、JNCM2201-8-15；JNCM2201-7-15、JNCM2201-7-16、JNCM2201-7-17、JNCM2201-7-18、JNCM2201-7-19、JNCM2201-7-20、JNCM2201-7-21、JNCM2201-6-18、JNCM2201-6-20、JNCM2201-6-19</t>
  </si>
  <si>
    <t>济南4移动</t>
  </si>
  <si>
    <t>JNCM502-W-10、JNCM502-W-11、JNCM502-W-12、JNCM502-W-13</t>
  </si>
  <si>
    <t>边缘计算8月9日新增机柜：JNCM502-W-14、JNCM502-W-15、JNCM502-W-16</t>
  </si>
  <si>
    <t>边缘计算2021年4月8日新增机柜，自4.12开始计费：BECJNCM502-10W-17</t>
  </si>
  <si>
    <t>JNCM502-W-13、JNCM502-W-10</t>
  </si>
  <si>
    <t>合同约定送1792个，超过30元/月/个。223.99.241.0/24;120.192.80.192/27;223.99.240.0/24</t>
  </si>
  <si>
    <t>223.99.240.0/24 223.99.241.0/24 120.192.80.192/27</t>
  </si>
  <si>
    <t>BEC使用，合同约定送1792个，超过30元/月/个。223.99.241.0/24;CDN288（120.221.175.0/24;120.221.176.0/27）+BEC384（120.221.147.0/24,120.221.144.128/25）</t>
  </si>
  <si>
    <t>CDN使用，合同约定送1792个，超过30元/月/个。223.99.241.0/24;CDN288（120.221.175.0/24;120.221.176.0/27）+BEC384（120.221.147.0/24,120.221.144.128/25）</t>
  </si>
  <si>
    <t>合同约定送1792个，超过30元/月/个。120.221.138.0/24;120.221.157.128/27;120.221.136.0/24</t>
  </si>
  <si>
    <t>济南10移动</t>
  </si>
  <si>
    <t>CDNJNCM3</t>
  </si>
  <si>
    <t>【BEC新建】济南移动新建  (JN10CM)节点正式上线，IP免费。IPV4 224个：120.220.181.32/27，
120.220.181.64/26，
120.220.181.128/25；IPV6：2408:8719:409:: /48</t>
  </si>
  <si>
    <t>【BEC新建】济南移动新建  (JN10CM)节点正式上线，开通1个机柜：BECJN10CM-A1-502</t>
  </si>
  <si>
    <t>中国移动通信集团山东有限公司青岛分公司</t>
  </si>
  <si>
    <t>青岛移动</t>
  </si>
  <si>
    <t>182315IDC00079</t>
  </si>
  <si>
    <t>青岛4移动</t>
  </si>
  <si>
    <t>CDNQDCM</t>
  </si>
  <si>
    <t>QD4CMA1304-S-01、QD4CMA1304-S-02、QD4CMA1304-S-03、QD4CMA1304-S-04、QD4CMA1304-S-05、QD4CMA1304-S-06、QD4CMA1304-S-07、QD4CMA1304-S-08</t>
  </si>
  <si>
    <t>2021.7.31退租2个机柜
QD4CMA1304-S-08、QD4CMA1304-S-07</t>
  </si>
  <si>
    <t>QD4CMA1304-S-06</t>
  </si>
  <si>
    <t>青岛移动二级</t>
  </si>
  <si>
    <t>青岛2移动二级</t>
  </si>
  <si>
    <t>CDNQDCM2</t>
  </si>
  <si>
    <t>QD2CMA1L4F-11N-5、QD2CMA1L4F-11N-6、QD2CMA1L4F-11N-7、QD2CMA1L4F-11N-8</t>
  </si>
  <si>
    <t>每万兆送64个IP，共开通600G，送3840个，超出单价50元。120.221.242.0/24;120.221.243.0/24;120.221.233.64/27</t>
  </si>
  <si>
    <t>120.221.243.0/24</t>
  </si>
  <si>
    <t>每万兆送64个IP，共开通600G，送3840个，超出单价50元。2021-2-1开通200G带宽，288个IP免费。120.222.198.0/24 120.221.94.96/27</t>
  </si>
  <si>
    <t>L20230318001</t>
  </si>
  <si>
    <t>青岛三级移动</t>
  </si>
  <si>
    <t>2023.3与SYS核对后，补录青岛移动三线IP资源： 120.220.219.0/24
2409:8C3C:0A00:0125::/64</t>
  </si>
  <si>
    <t>中国移动通信集团山东有限公司潍坊分公司</t>
  </si>
  <si>
    <t>潍坊移动</t>
  </si>
  <si>
    <t>182315IDC00113</t>
  </si>
  <si>
    <t>潍坊</t>
  </si>
  <si>
    <t>潍坊3移动</t>
  </si>
  <si>
    <t>CDNWFCM</t>
  </si>
  <si>
    <t>【BEC新建】潍坊移动增量600G 2023-2-1节点正式上线  (WF3CM)：120.220.130.0/24
120.220.131.0/24
120.220.132.0/24
120.220.133.0/24
120.220.134.0/24
120.220.135.0/24
2409:8c3c:3600:100::/56</t>
  </si>
  <si>
    <t>CDN 机架</t>
  </si>
  <si>
    <t>【BEC扩容】潍坊移动2023-3-23扩容1个机柜  (WF3CM)：CDNWFCM:4F:401-G-BEC15</t>
  </si>
  <si>
    <t>中国移动通信集团上海有限公司</t>
  </si>
  <si>
    <t>上海移动</t>
  </si>
  <si>
    <t>L20211203016</t>
  </si>
  <si>
    <t>新合同约定免费赠送3153个IP，新合同签署中</t>
  </si>
  <si>
    <t>2022/3/31 SH01退租</t>
  </si>
  <si>
    <t>金桥机房</t>
  </si>
  <si>
    <t>SH01</t>
  </si>
  <si>
    <t>调整数量，合同签署中.182015IDC00085</t>
  </si>
  <si>
    <t>L20221215016</t>
  </si>
  <si>
    <t>上海4移动</t>
  </si>
  <si>
    <t>CDNSHCM2</t>
  </si>
  <si>
    <t>上海上海移动 增量100G完成业务测试，已于2020-06-28开始正式切流量上线,2020.6.29开始计费
SH2CM1F102-10-1、SH2CM1F102-10-2、SH2CM1F102-10-3</t>
  </si>
  <si>
    <t>SH2CM1F102-10-2、SH2CM1F102-10-3</t>
  </si>
  <si>
    <t>2022.9开始机柜数量剩余1个，可送16个IP，使用160个，收费144个。
2022/8/31退租128个 IP 地址：117.185.135.128/25。2022.9开始使用1个机柜，每机柜送16个IP，使用160个，收费144个，免费16个。
存量使用288个IP,每机柜送16个，3个机柜送48个，收费240个：117.185.135.0/24 117.135.164.64/27
上海上海移动 增量100G完成业务测试，已于2020-06-28开始正式切流量上线。</t>
  </si>
  <si>
    <t>2022.9开始机柜数量剩余1个，可送16个IP，使用160个，收费144个50。
2022/8/31退租128个 IP 地址：117.185.135.128/25。2022.9开始使用1个机柜，每机柜送16个IP，使用160个，收费144个，免费16个。</t>
  </si>
  <si>
    <t>2022.9开始机柜数量剩余1个，可送16个IP，使用160个，收费144个。
2022/8/31退租128个 IP 地址：117.185.135.128/25。
2022.9开始使用1个机柜，每机柜送16个IP，使用160个，收费144个，免费16个。</t>
  </si>
  <si>
    <t>中国有线电视网络有限公司</t>
  </si>
  <si>
    <t>中国有线</t>
  </si>
  <si>
    <t>182115IDC00356</t>
  </si>
  <si>
    <t xml:space="preserve"> 北京百度科技园BJKJY/北京百度酒仙桥M1-山西阳泉云计算基地YQ01</t>
  </si>
  <si>
    <t>不大于24000G</t>
  </si>
  <si>
    <t>北京百度科技园BJKJY/北京百度酒仙桥M1-山西阳泉云计算基地YQ01，带宽量不超过2.4T</t>
  </si>
  <si>
    <t>182115IDC00394</t>
  </si>
  <si>
    <t>上海市静安区江场西路387号数据港大厦-江苏省苏州市虎丘区金沙江路和吕梁山路交叉口东北角太湖机房中国电信太湖国际信息中心</t>
  </si>
  <si>
    <t>7200G</t>
  </si>
  <si>
    <t>2021.9开始，之前计提的4个机架改为按电路计提。A端：上海市静安区江场西路387号数据港大厦；Z端：江苏省苏州市虎丘区金沙江路和吕梁山路交叉口东北角太湖机房中国电信太湖国际信息中心
机架关联在L20210927002上</t>
  </si>
  <si>
    <t>182315IDC00027</t>
  </si>
  <si>
    <t>亦庄日上-河北固安</t>
  </si>
  <si>
    <t>800G</t>
  </si>
  <si>
    <t>2023.1按预审合同调整单价。亦庄日上-河北固安</t>
  </si>
  <si>
    <t>河北固安-大兴星光影视</t>
  </si>
  <si>
    <t>2022.11调整计提主体，中信调为有线。固安-星光影视</t>
  </si>
  <si>
    <t>中金汇融（昆山）信息科技有限公司</t>
  </si>
  <si>
    <t>中金昆山</t>
  </si>
  <si>
    <t>182215IDC00134</t>
  </si>
  <si>
    <t>苏州中金一期</t>
  </si>
  <si>
    <t>SZZJ</t>
  </si>
  <si>
    <t>2021/9/15开通，9月计费16天：SZZJ3D401E-I-01、SZZJ3D402E-A-09、SZZJ3D402E-B-09、SZZJ3D402E-G-08、SZZJ3D402E-G-09、SZZJ3D402E-G-12、SZZJ3D402E-G-13、SZZJ3D402E-G-14、SZZJ3D402E-G-15、SZZJ3D402E-H-01、SZZJ3D402E-H-02、SZZJ3D402E-H-06、SZZJ3D402E-H-07、SZZJ3D402E-H-08、SZZJ3D402E-H-09、SZZJ3D402E-H-12、SZZJ3D402E-H-13、SZZJ3D402E-H-14、SZZJ3D402E-H-15、SZZJ3D403E-A-01、SZZJ3D403E-B-01、SZZJ3D403E-C-01、SZZJ3D403E-D-01、SZZJ3D403E-G-01、SZZJ3D403E-G-09、SZZJ3D403E-G-10、SZZJ3D403E-G-11、SZZJ3D403E-G-12、SZZJ3D403E-H-01、SZZJ3D403E-H-09、SZZJ3D403E-H-10、SZZJ3D403E-H-11、SZZJ3D403E-H-12、SZZJ3D404E-I-16、SZZJ3D402E-C-09、SZZJ3D402E-D-09、SZZJ3D402E-E-09、SZZJ3D402E-F-09、SZZJ3D402E-G-02、SZZJ3D402E-G-03、SZZJ3D402E-G-04、SZZJ3D402E-G-05、SZZJ3D402E-G-06、SZZJ3D402E-G-07、SZZJ3D402E-H-04、SZZJ3D402E-H-05、SZZJ3D403E-E-01、SZZJ3D403E-F-01、SZZJ3D301E-I-01、SZZJ3D302E-I-16、SZZJ3D403E-G-08、SZZJ3D403E-H-08</t>
  </si>
  <si>
    <t>2021/9/15开通，9月计费16天：SZZJ3D401E-B-15、SZZJ3D401E-B-16、SZZJ3D401E-G-16、SZZJ3D401E-G-17、SZZJ3D402E-E-01、SZZJ3D402E-F-01、SZZJ3D404E-B-01、SZZJ3D404E-B-02、SZZJ3D404E-G-01、SZZJ3D404E-G-02、SZZJ3D404E-H-02、SZZJ3D404E-H-03、SZZJ3D404E-H-04、SZZJ3D301E-B-15、SZZJ3D301E-B-16、SZZJ3D301E-G-16、SZZJ3D301E-G-17、SZZJ3D302E-B-01、SZZJ3D302E-B-02、SZZJ3D302E-G-01、SZZJ3D302E-G-02、SZZJ3D401E-A-01、SZZJ3D401E-A-02、SZZJ3D401E-A-03、SZZJ3D401E-A-04、SZZJ3D401E-A-05、SZZJ3D401E-A-06、SZZJ3D401E-A-07、SZZJ3D401E-A-08、SZZJ3D401E-A-09、SZZJ3D401E-A-10、SZZJ3D401E-A-11、SZZJ3D401E-A-12、SZZJ3D401E-A-13、SZZJ3D401E-A-14、SZZJ3D401E-A-15、SZZJ3D401E-A-16、SZZJ3D401E-A-17、SZZJ3D401E-B-01、SZZJ3D401E-B-02、SZZJ3D401E-B-03、SZZJ3D401E-B-04</t>
  </si>
  <si>
    <t>2021/9/15开通，9月计费16天：SZZJ3D402E-A-01、SZZJ3D402E-A-03、SZZJ3D402E-A-05、SZZJ3D402E-A-07、SZZJ3D402E-B-01、SZZJ3D402E-B-03、SZZJ3D402E-B-05、SZZJ3D402E-B-07、SZZJ3D402E-E-03、SZZJ3D402E-E-05、SZZJ3D402E-E-07、SZZJ3D402E-F-03、SZZJ3D402E-F-05、SZZJ3D402E-F-07、SZZJ3D403E-A-02、SZZJ3D403E-A-04、SZZJ3D403E-A-06、SZZJ3D403E-A-08、SZZJ3D403E-B-02、SZZJ3D403E-B-04、SZZJ3D403E-B-06、SZZJ3D403E-B-08、SZZJ3D403E-C-02、SZZJ3D403E-C-04、SZZJ3D403E-C-06、SZZJ3D403E-C-08、SZZJ3D403E-D-02、SZZJ3D403E-D-04、SZZJ3D403E-D-06、SZZJ3D403E-D-08、SZZJ3D403E-E-02、SZZJ3D403E-E-04、SZZJ3D403E-E-06、SZZJ3D403E-E-08、SZZJ3D403E-F-02、SZZJ3D403E-F-04、SZZJ3D403E-F-06、SZZJ3D403E-F-08、SZZJ3D403E-G-02、SZZJ3D403E-G-04、SZZJ3D403E-H-02、SZZJ3D403E-H-04</t>
  </si>
  <si>
    <t>2021/9/24开通，9月计费7天：SZZJ3D401E-B-05、SZZJ3D401E-B-06、SZZJ3D401E-B-07、SZZJ3D401E-B-08、SZZJ3D401E-B-09、SZZJ3D401E-B-10、SZZJ3D401E-B-11、SZZJ3D401E-B-12、SZZJ3D401E-B-13、SZZJ3D401E-B-14、SZZJ3D401E-C-01、SZZJ3D401E-C-02、SZZJ3D401E-C-03SZZJ3D401E-C-04、SZZJ3D401E-C-05、SZZJ3D401E-C-06、SZZJ3D401E-C-07、SZZJ3D401E-C-08、SZZJ3D401E-C-09、SZZJ3D401E-C-10</t>
  </si>
  <si>
    <t>2021/9/27开通，9月计费4天：SZZJ3D401E-C-11、SZZJ3D401E-C-12、SZZJ3D401E-C-13、SZZJ3D401E-C-14、SZZJ3D401E-C-15、SZZJ3D401E-C-16、SZZJ3D401E-D-01、SZZJ3D401E-D-02、SZZJ3D401E-D-03、SZZJ3D401E-D-04、SZZJ3D401E-D-05、SZZJ3D401E-D-06、SZZJ3D401E-D-07、SZZJ3D401E-D-08、SZZJ3D401E-D-09、SZZJ3D401E-D-10、SZZJ3D401E-D-11、SZZJ3D401E-D-12、SZZJ3D401E-D-13、SZZJ3D401E-D-14、SZZJ3D401E-D-15、SZZJ3D401E-D-16、SZZJ3D401E-E-01、SZZJ3D401E-E-02、SZZJ3D401E-E-03、SZZJ3D401E-E-04</t>
  </si>
  <si>
    <t>2021/9/28开通，9月计费3天：SZZJ3D403E-G-06、SZZJ3D403E-G-07、SZZJ3D403E-H-06、SZZJ3D403E-H-07</t>
  </si>
  <si>
    <t>2021/9/28开通，9月计费3天：SZZJ3D401E-E-05、SZZJ3D401E-E-06、SZZJ3D401E-E-07、SZZJ3D401E-E-08、SZZJ3D401E-E-09、SZZJ3D401E-E-10、SZZJ3D401E-E-11、SZZJ3D401E-E-12、SZZJ3D401E-E-13、SZZJ3D401E-E-14、SZZJ3D401E-E-15、SZZJ3D401E-E-16、SZZJ3D401E-F-01、SZZJ3D401E-F-02、SZZJ3D401E-F-03、SZZJ3D401E-F-04、SZZJ3D401E-F-05、SZZJ3D401E-F-06、SZZJ3D401E-F-07</t>
  </si>
  <si>
    <t>2021/10/12开通，10月计费20天：SZZJ3D404E-I-02、SZZJ3D404E-I-03</t>
  </si>
  <si>
    <t>2021/10/13开通，10月计费19天：SZZJ3D301E-A-01、SZZJ3D301E-A-02、SZZJ3D301E-A-03、SZZJ3D301E-A-04、SZZJ3D301E-A-05、SZZJ3D301E-A-06、SZZJ3D301E-A-07、SZZJ3D301E-A-08、SZZJ3D301E-A-09、SZZJ3D301E-A-10、SZZJ3D301E-A-11、SZZJ3D301E-A-12、SZZJ3D301E-A-13、SZZJ3D301E-A-14、SZZJ3D301E-A-15、SZZJ3D301E-A-16、SZZJ3D301E-A-17、SZZJ3D301E-B-01、SZZJ3D301E-B-02、SZZJ3D301E-B-03、SZZJ3D301E-B-04、SZZJ3D301E-B-05、SZZJ3D301E-B-06、SZZJ3D301E-B-07、SZZJ3D301E-B-08、SZZJ3D301E-B-09、SZZJ3D301E-B-10、SZZJ3D301E-B-11、SZZJ3D301E-B-12、SZZJ3D301E-B-13、SZZJ3D301E-B-14</t>
  </si>
  <si>
    <t>2021/10/15开通，10月计费17天：SZZJ3D301E-C-01、SZZJ3D301E-C-02、SZZJ3D301E-C-03、SZZJ3D301E-C-04、SZZJ3D301E-C-05、SZZJ3D301E-C-06、SZZJ3D301E-C-07、SZZJ3D301E-C-08、SZZJ3D301E-C-09、SZZJ3D301E-C-10、SZZJ3D301E-C-11、SZZJ3D301E-C-12、SZZJ3D301E-C-13、SZZJ3D301E-C-14、SZZJ3D301E-C-15、SZZJ3D301E-C-16</t>
  </si>
  <si>
    <t>2021/10/29开通，10月计费3天：SZZJ3D301E-D-03、SZZJ3D301E-D-04、SZZJ3D401E-G-01、SZZJ3D401E-G-02、SZZJ3D401E-G-03、SZZJ3D401E-G-04、SZZJ3D401E-G-05、SZZJ3D401E-G-06</t>
  </si>
  <si>
    <t>SZZJ3D301E-D-01、SZZJ3D301E-D-02、SZZJ3D301E-D-05</t>
  </si>
  <si>
    <t>2021/11/3开通机架，11月计费28天：SZZJ3D404E-H-05、SZZJ3D404E-H-06、SZZJ3D404E-H-07、SZZJ3D404E-H-08、SZZJ3D404E-H-09、SZZJ3D404E-H-10、SZZJ3D404E-H-11、SZZJ3D404E-H-12、SZZJ3D404E-H-13、SZZJ3D404E-H-14、SZZJ3D404E-H-15、SZZJ3D404E-H-16、SZZJ3D404E-I-05、SZZJ3D404E-I-06、SZZJ3D404E-I-07、SZZJ3D404E-I-08、SZZJ3D404E-I-09、SZZJ3D404E-I-10、SZZJ3D404E-I-11、SZZJ3D404E-I-12、SZZJ3D404E-I-13、SZZJ3D404E-I-14、SZZJ3D404E-I-15</t>
  </si>
  <si>
    <t>2021/11/6开通机架，11月计费25天：SZZJ3D401E-F-13、SZZJ3D401E-F-14、SZZJ3D401E-F-15、SZZJ3D401E-F-16、SZZJ3D401E-G-07、SZZJ3D401E-G-08、SZZJ3D401E-G-09、SZZJ3D401E-G-10、SZZJ3D401E-G-11、SZZJ3D401E-G-12、SZZJ3D401E-G-13、SZZJ3D401E-G-14、SZZJ3D401E-G-15</t>
  </si>
  <si>
    <t>2021/11/8开通机架，11月计费23天：SZZJ3D301E-D-06、SZZJ3D301E-D-07、SZZJ3D301E-D-08</t>
  </si>
  <si>
    <t>2021/11/11开通机架，11月计费20天：SZZJ3D404E-C-13、SZZJ3D404E-C-14、SZZJ3D404E-C-15、SZZJ3D404E-C-16、SZZJ3D404E-C-17、SZZJ3D404E-D-01、SZZJ3D404E-D-02、SZZJ3D404E-D-03、SZZJ3D404E-D-04、SZZJ3D404E-D-05、SZZJ3D404E-D-06、SZZJ3D404E-D-07、SZZJ3D404E-D-08、SZZJ3D404E-D-09、SZZJ3D404E-D-10、SZZJ3D404E-D-11、SZZJ3D404E-D-12、SZZJ3D404E-D-13、SZZJ3D404E-D-14、SZZJ3D404E-D-15、SZZJ3D404E-D-16</t>
  </si>
  <si>
    <t>2021/11/11开通机架，11月计费9天：SZZJ3D301E-D-09、SZZJ3D301E-D-10</t>
  </si>
  <si>
    <t>SZZJ3D301E-D-11、SZZJ3D301E-D-12、SZZJ3D301E-D-13、SZZJ3D301E-D-14、SZZJ3D301E-D-15、SZZJ3D301E-D-16、SZZJ3D301E-E-01、SZZJ3D301E-E-02</t>
  </si>
  <si>
    <t>SZZJ-云托管</t>
  </si>
  <si>
    <t>SZZJ3D404E-A-01 SZZJ3D404E-A-02 SZZJ3D404E-A-03</t>
  </si>
  <si>
    <t>SZZJ3D204E-G-02
SZZJ3D204E-G-04
SZZJ3D204E-G-06
SZZJ3D204E-G-08
SZZJ3D204E-G-10
SZZJ3D204E-H-01
SZZJ3D204E-H-02
SZZJ3D204E-H-03
SZZJ3D204E-H-05
SZZJ3D204E-H-07
SZZJ3D204E-H-09
SZZJ3D204E-H-11
SZZJ3D204E-H-13
SZZJ3D204E-H-15
SZZJ3D204E-I-02
SZZJ3D204E-I-04
SZZJ3D204E-I-06
SZZJ3D204E-I-08
SZZJ3D204E-I-10
SZZJ3D204E-I-12
SZZJ3D204E-I-14
SZZJ3D204E-I-15</t>
  </si>
  <si>
    <t>SZZJ3D204E-I-16</t>
  </si>
  <si>
    <t>SZIX</t>
  </si>
  <si>
    <t>BECSZZJ</t>
  </si>
  <si>
    <t>BECSZZJ3D201E-A-01、BECSZZJ3D201E-A-02、BECSZZJ3D201E-A-03、BECSZZJ3D201E-A-04、BECSZZJ3D201E-A-05、BECSZZJ3D201E-A-06、BECSZZJ3D201E-A-07、BECSZZJ3D201E-A-08、BECSZZJ3D201E-A-09、BECSZZJ3D201E-A-10、BECSZZJ3D201E-A-11、BECSZZJ3D201E-A-12、BECSZZJ3D201E-A-13、BECSZZJ3D201E-A-14、BECSZZJ3D201E-A-15、BECSZZJ3D201E-A-16、BECSZZJ3D201E-A-17、BECSZZJ3D201E-B-01、BECSZZJ3D201E-B-02、BECSZZJ3D201E-B-03、BECSZZJ3D201E-B-04、BECSZZJ3D201E-B-05、BECSZZJ3D201E-B-06、BECSZZJ3D201E-B-07、BECSZZJ3D201E-B-08、BECSZZJ3D201E-B-09、BECSZZJ3D201E-B-10、BECSZZJ3D201E-B-11、BECSZZJ3D201E-B-12</t>
  </si>
  <si>
    <t>SZZJ3D303E-I-01</t>
  </si>
  <si>
    <t>SZZJ3D204E-A-01、SZZJ3D204E-A-02、SZZJ3D204E-C-02、SZZJ3D204E-C-04、SZZJ3D204E-C-06、SZZJ3D204E-C-08、SZZJ3D204E-C-10、SZZJ3D204E-D-03、SZZJ3D204E-D-05、SZZJ3D204E-D-07、SZZJ3D204E-D-09、SZZJ3D204E-D-11、SZZJ3D204E-D-13、SZZJ3D204E-D-15、SZZJ3D204E-E-02、SZZJ3D204E-E-04、SZZJ3D204E-E-06、SZZJ3D204E-E-08、SZZJ3D204E-E-10、SZZJ3D204E-E-12、SZZJ3D204E-E-14、SZZJ3D204E-E-16、SZZJ3D204E-E-17、SZZJ3D204E-F-03、SZZJ3D204E-F-05、SZZJ3D204E-F-07、SZZJ3D204E-F-09、SZZJ3D204E-F-11、SZZJ3D204E-F-13、SZZJ3D204E-F-15、SZZJ3D204E-G-12、SZZJ3D204E-G-14、SZZJ3D204E-G-16、SZZJ3D204E-G-17、SZZJ3D303E-A-02、SZZJ3D303E-A-04、SZZJ3D303E-A-06、SZZJ3D303E-A-08、SZZJ3D303E-A-10、SZZJ3D303E-A-12、SZZJ3D303E-A-14、SZZJ3D303E-A-16、SZZJ3D303E-A-17、SZZJ3D303E-B-01、SZZJ3D303E-B-03、SZZJ3D303E-B-05、SZZJ3D303E-B-07、SZZJ3D303E-B-09、SZZJ3D303E-B-11、SZZJ3D303E-B-13、SZZJ3D303E-C-02、SZZJ3D303E-C-04、SZZJ3D303E-C-06、SZZJ3D303E-C-08、SZZJ3D303E-C-10、SZZJ3D303E-C-12、SZZJ3D303E-C-14、SZZJ3D303E-C-16、SZZJ3D303E-D-01、SZZJ3D303E-D-03、SZZJ3D303E-D-05、SZZJ3D303E-D-07、SZZJ3D303E-D-09、SZZJ3D303E-D-11、SZZJ3D303E-D-13、SZZJ3D303E-D-15、SZZJ3D303E-E-02、SZZJ3D303E-E-04、SZZJ3D303E-E-06、SZZJ3D303E-E-08、SZZJ3D303E-E-10、SZZJ3D303E-E-12、SZZJ3D303E-E-14、SZZJ3D303E-E-16、SZZJ3D303E-F-01、SZZJ3D303E-F-03、SZZJ3D303E-F-05、SZZJ3D303E-F-07、SZZJ3D303E-F-09、SZZJ3D303E-F-11、SZZJ3D303E-F-13、SZZJ3D303E-F-15、SZZJ3D303E-G-02、SZZJ3D303E-G-04、SZZJ3D303E-G-06、SZZJ3D303E-G-08、SZZJ3D303E-G-10、SZZJ3D303E-G-12、SZZJ3D303E-G-14、SZZJ3D303E-G-15、SZZJ3D303E-H-01、SZZJ3D303E-H-03、SZZJ3D303E-H-05、SZZJ3D303E-H-07、SZZJ3D303E-H-09、SZZJ3D303E-H-11、SZZJ3D303E-H-13、SZZJ3D303E-H-15、SZZJ3D303E-I-04、SZZJ3D303E-I-06、SZZJ3D303E-I-08、SZZJ3D303E-I-10、SZZJ3D303E-I-12、SZZJ3D303E-I-14、SZZJ3D303E-I-16</t>
  </si>
  <si>
    <t>SZZJ3D204E-D-01、SZZJ3D204E-D-02、SZZJ3D204E-F-01、SZZJ3D204E-F-02、SZZJ3D303E-B-15、SZZJ3D303E-B-16、SZZJ3D303E-G-16、SZZJ3D303E-G-17</t>
  </si>
  <si>
    <t>SZZJ3D401E-F-08、SZZJ3D401E-F-09、SZZJ3D401E-F-10、SZZJ3D401E-F-11、SZZJ3D401E-F-12</t>
  </si>
  <si>
    <t>SZZJ3D204E-A-08、SZZJ3D204E-A-09、SZZJ3D204E-A-10、SZZJ3D204E-A-13、SZZJ3D204E-A-14</t>
  </si>
  <si>
    <t>SZZJ3D204E-C-02、SZZJ3D204E-C-04、SZZJ3D204E-C-06、SZZJ3D204E-C-08、SZZJ3D204E-C-10、SZZJ3D204E-D-03、SZZJ3D204E-D-05、SZZJ3D204E-D-07、SZZJ3D204E-D-09、SZZJ3D204E-D-11、SZZJ3D204E-D-13、SZZJ3D204E-D-15、SZZJ3D204E-E-02、SZZJ3D204E-E-04、SZZJ3D204E-E-06、SZZJ3D204E-E-08、SZZJ3D204E-E-10、SZZJ3D204E-E-12、SZZJ3D204E-E-14、SZZJ3D204E-E-16、SZZJ3D204E-E-17、SZZJ3D204E-F-03、SZZJ3D204E-F-05、SZZJ3D204E-F-07、SZZJ3D204E-F-09、SZZJ3D204E-F-11、SZZJ3D204E-F-13、SZZJ3D204E-F-15、SZZJ3D204E-G-12、SZZJ3D204E-G-14、SZZJ3D204E-G-16、SZZJ3D204E-G-17、SZZJ3D303E-A-02、SZZJ3D303E-A-04、SZZJ3D303E-A-06、SZZJ3D303E-A-08、SZZJ3D303E-A-10、SZZJ3D303E-A-12、SZZJ3D303E-A-14、SZZJ3D303E-A-16、SZZJ3D303E-A-17、SZZJ3D303E-B-01、SZZJ3D303E-B-03、SZZJ3D303E-B-05、SZZJ3D303E-B-07、SZZJ3D303E-B-09、SZZJ3D303E-B-11、SZZJ3D303E-B-13、SZZJ3D303E-C-02、SZZJ3D303E-C-04、SZZJ3D303E-C-06、SZZJ3D303E-C-08、SZZJ3D303E-C-10、SZZJ3D303E-C-12、SZZJ3D303E-C-14、SZZJ3D303E-C-16、SZZJ3D303E-D-01、SZZJ3D303E-D-03、SZZJ3D303E-D-05、SZZJ3D303E-D-07、SZZJ3D303E-D-09、SZZJ3D303E-D-11、SZZJ3D303E-D-13、SZZJ3D303E-D-15、SZZJ3D303E-E-02、SZZJ3D303E-E-04、SZZJ3D303E-E-06、SZZJ3D303E-E-08、SZZJ3D303E-E-10、SZZJ3D303E-E-12、SZZJ3D303E-E-14、SZZJ3D303E-E-16、SZZJ3D303E-F-01、SZZJ3D303E-F-03、SZZJ3D303E-F-05、SZZJ3D303E-F-07、SZZJ3D303E-F-09、SZZJ3D303E-F-11、SZZJ3D303E-F-13、SZZJ3D303E-F-15、SZZJ3D303E-G-02、SZZJ3D303E-G-04、SZZJ3D303E-G-06、SZZJ3D303E-G-08、SZZJ3D303E-G-10、SZZJ3D303E-G-12、SZZJ3D303E-G-14、SZZJ3D303E-G-15、SZZJ3D303E-H-01、SZZJ3D303E-H-03、SZZJ3D303E-H-05、SZZJ3D303E-H-07、SZZJ3D303E-H-09、SZZJ3D303E-H-11、SZZJ3D303E-H-13、SZZJ3D303E-H-15、SZZJ3D303E-I-04、SZZJ3D303E-I-06、SZZJ3D303E-I-08、SZZJ3D303E-I-10、SZZJ3D303E-I-12、SZZJ3D303E-I-14、SZZJ3D303E-I-16</t>
  </si>
  <si>
    <t>SZZJ3D404E-C-04、SZZJ3D404E-C-05、SZZJ3D404E-C-06、SZZJ3D404E-C-07、SZZJ3D404E-C-08、SZZJ3D404E-C-09、SZZJ3D404E-C-10</t>
  </si>
  <si>
    <t>SZZJ3D404E-C-11、SZZJ3D404E-C-12</t>
  </si>
  <si>
    <t>SZZJ3D204E-A-07、SZZJ3D204E-A-11、SZZJ3D204E-A-12、SZZJ3D204E-B-14、SZZJ3D204E-C-03、SZZJ3D204E-C-05、SZZJ3D204E-C-07</t>
  </si>
  <si>
    <t>SZZJ3D404E-E-02、SZZJ3D404E-E-03、SZZJ3D404E-E-04、SZZJ3D404E-E-05、SZZJ3D404E-E-06、SZZJ3D404E-E-07、SZZJ3D404E-E-08、SZZJ3D404E-E-09、SZZJ3D404E-E-10、SZZJ3D404E-E-11、SZZJ3D404E-E-12</t>
  </si>
  <si>
    <t>SZZJ3D404E-E-13、SZZJ3D404E-E-14、SZZJ3D404E-E-15、SZZJ3D404E-E-16、SZZJ3D404E-E-17、SZZJ3D404E-F-01、SZZJ3D404E-F-02、SZZJ3D404E-F-03、SZZJ3D404E-F-04、SZZJ3D404E-F-05、SZZJ3D404E-F-06、SZZJ3D404E-F-07、SZZJ3D404E-F-08、SZZJ3D404E-F-09、SZZJ3D404E-F-10、SZZJ3D404E-F-11、SZZJ3D404E-F-12、SZZJ3D404E-F-13、SZZJ3D404E-F-14、SZZJ3D404E-F-15、SZZJ3D404E-F-16、SZZJ3D404E-G-03、SZZJ3D404E-G-04、SZZJ3D404E-G-05、SZZJ3D404E-G-06、SZZJ3D404E-G-07、SZZJ3D404E-G-08、SZZJ3D404E-G-09、SZZJ3D404E-G-10、SZZJ3D404E-G-11、SZZJ3D404E-G-12、SZZJ3D404E-G-13、SZZJ3D404E-G-14、SZZJ3D404E-G-15、SZZJ3D404E-G-16、SZZJ3D404E-G-17、SZZJ3D302E-A-01、SZZJ3D302E-A-02、SZZJ3D302E-A-03、SZZJ3D302E-A-04、SZZJ3D302E-A-05、SZZJ3D302E-A-06、SZZJ3D302E-A-07、SZZJ3D302E-A-08、SZZJ3D302E-A-09、SZZJ3D302E-A-10、SZZJ3D302E-A-11、SZZJ3D302E-A-12、SZZJ3D302E-A-13、SZZJ3D302E-A-14、SZZJ3D204E-C-09、SZZJ3D204E-G-01、SZZJ3D204E-G-03、SZZJ3D204E-G-05、SZZJ3D204E-G-07、SZZJ3D204E-G-09</t>
  </si>
  <si>
    <t>SZZJ3D302E-A-15、SZZJ3D302E-A-16、SZZJ3D302E-A-17、SZZJ3D302E-B-03、SZZJ3D302E-B-04</t>
  </si>
  <si>
    <t>SZZJ3D204E-C-02、SZZJ3D204E-C-04、SZZJ3D204E-C-06、SZZJ3D204E-C-08</t>
  </si>
  <si>
    <t>SZZJ3D204E-C-10</t>
  </si>
  <si>
    <t>SZZJ3D204E-F-03、SZZJ3D204E-F-04、SZZJ3D204E-F-05、SZZJ3D204E-F-06、SZZJ3D204E-F-07、SZZJ3D204E-F-08、SZZJ3D303E-A-01、SZZJ3D303E-A-02、SZZJ3D303E-A-03、SZZJ3D303E-A-04</t>
  </si>
  <si>
    <t>SZZJ3D204E-F-09、SZZJ3D204E-F-10、SZZJ3D204E-F-11、SZZJ3D204E-F-12、SZZJ3D204E-F-13、SZZJ3D204E-F-14、SZZJ3D204E-F-15、SZZJ3D204E-F-16</t>
  </si>
  <si>
    <t>SZZJ3D204E-E-11、SZZJ3D204E-E-12、SZZJ3D204E-G-11、SZZJ3D204E-G-12、SZZJ3D204E-G-13、SZZJ3D204E-G-14、SZZJ3D204E-G-15、SZZJ3D204E-G-16、SZZJ3D204E-G-17</t>
  </si>
  <si>
    <t>SZZJ3D302E-B-05</t>
  </si>
  <si>
    <t>SZZJ3D301E-E-03、SZZJ3D301E-E-04、SZZJ3D301E-E-05、SZZJ3D301E-E-06</t>
  </si>
  <si>
    <t>SZZJ3D302E-B-06、SZZJ3D302E-B-07、SZZJ3D302E-B-08、SZZJ3D302E-B-09、SZZJ3D302E-B-10、SZZJ3D302E-B-11、SZZJ3D302E-B-12、SZZJ3D302E-B-13、SZZJ3D302E-B-14、SZZJ3D302E-B-15、SZZJ3D302E-B-16</t>
  </si>
  <si>
    <t>SZZJ3D302E-D-01、SZZJ3D302E-D-02、SZZJ3D302E-D-03、SZZJ3D302E-D-04、SZZJ3D302E-D-05、SZZJ3D302E-D-06</t>
  </si>
  <si>
    <t>SZZJ3D404E-A-01、SZZJ3D404E-A-02、SZZJ3D404E-A-03</t>
  </si>
  <si>
    <t>SZZJ3D302E-C-05、SZZJ3D302E-C-06、SZZJ3D302E-C-07、SZZJ3D302E-C-08、SZZJ3D302E-C-09、SZZJ3D302E-C-10、SZZJ3D302E-C-11、SZZJ3D302E-C-12、SZZJ3D302E-C-13、SZZJ3D302E-C-14、SZZJ3D302E-C-15、SZZJ3D302E-C-16</t>
  </si>
  <si>
    <t>SZZJ3D302E-D-07、SZZJ3D302E-D-08、SZZJ3D302E-D-09、SZZJ3D302E-D-10、SZZJ3D302E-D-11、SZZJ3D302E-D-12、SZZJ3D302E-D-13、SZZJ3D302E-D-14、SZZJ3D302E-D-15、SZZJ3D302E-D-16、SZZJ3D302E-E-02、SZZJ3D302E-E-03、SZZJ3D302E-E-04、SZZJ3D302E-E-05、SZZJ3D302E-E-06、SZZJ3D302E-E-07、SZZJ3D302E-E-08、SZZJ3D302E-E-09、SZZJ3D302E-E-10、SZZJ3D302E-E-11、SZZJ3D302E-E-12、SZZJ3D302E-E-13、SZZJ3D302E-E-14</t>
  </si>
  <si>
    <t>SZZJ3D204E-D-03、SZZJ3D204E-D-04</t>
  </si>
  <si>
    <t>SZZJ3D203E-B-15、SZZJ3D203E-B-16、SZZJ3D203E-D-15、SZZJ3D203E-D-16、SZZJ3D203E-F-15、SZZJ3D203E-F-16、SZZJ3D203E-H-15、SZZJ3D203E-H-16、SZZJ3D202E-B-01、SZZJ3D202E-B-02、SZZJ3D202E-D-01、SZZJ3D202E-D-02、SZZJ3D202E-F-01、SZZJ3D202E-F-02、SZZJ3D202E-H-01、SZZJ3D202E-H-02</t>
  </si>
  <si>
    <t>2022.6.6 SYS更新机柜电流为20A：SZZJ3D203E-I-01、SZZJ3D202E-I-16</t>
  </si>
  <si>
    <t>SZZJ3D203E-A-02、SZZJ3D203E-A-04、SZZJ3D203E-A-06、SZZJ3D203E-A-08、SZZJ3D203E-A-10、SZZJ3D203E-A-12、SZZJ3D203E-A-14、SZZJ3D203E-A-16、SZZJ3D203E-A-17、SZZJ3D203E-B-01、SZZJ3D203E-B-03、SZZJ3D203E-B-05、SZZJ3D203E-B-07、SZZJ3D203E-B-09、SZZJ3D203E-B-11、SZZJ3D203E-B-13、SZZJ3D203E-C-02、SZZJ3D203E-C-04、SZZJ3D203E-C-06、SZZJ3D203E-C-08、SZZJ3D203E-C-10、SZZJ3D203E-C-12、SZZJ3D203E-C-14、SZZJ3D203E-C-16、SZZJ3D203E-D-01、SZZJ3D203E-D-03、SZZJ3D203E-D-05、SZZJ3D203E-D-07、SZZJ3D203E-D-09、SZZJ3D203E-D-11、SZZJ3D203E-D-13、SZZJ3D203E-E-02、SZZJ3D203E-E-04、SZZJ3D203E-E-06、SZZJ3D203E-E-08、SZZJ3D203E-E-10、SZZJ3D203E-E-12、SZZJ3D203E-E-14、SZZJ3D203E-E-16、SZZJ3D203E-F-01、SZZJ3D203E-F-03、SZZJ3D203E-F-05、SZZJ3D203E-F-07、SZZJ3D203E-F-09、SZZJ3D203E-F-11、SZZJ3D203E-F-13、SZZJ3D203E-G-02、SZZJ3D203E-G-04、SZZJ3D203E-G-06、SZZJ3D203E-G-08、SZZJ3D203E-G-10、SZZJ3D203E-G-12、SZZJ3D203E-G-14、SZZJ3D203E-G-16、SZZJ3D203E-G-17、SZZJ3D203E-H-01、SZZJ3D203E-H-03、SZZJ3D203E-H-05、SZZJ3D203E-H-07、SZZJ3D203E-H-09、SZZJ3D203E-H-11、SZZJ3D203E-H-13、SZZJ3D203E-I-02、SZZJ3D203E-I-04、SZZJ3D203E-I-06、SZZJ3D203E-I-08、SZZJ3D203E-I-10、SZZJ3D203E-I-12、SZZJ3D203E-I-14、SZZJ3D203E-I-16、SZZJ3D202E-A-02、SZZJ3D202E-A-04、SZZJ3D202E-A-06、SZZJ3D202E-A-08、SZZJ3D202E-A-10、SZZJ3D202E-A-12、SZZJ3D202E-A-14、SZZJ3D202E-A-16、SZZJ3D202E-A-17、SZZJ3D202E-B-03、SZZJ3D202E-B-05、SZZJ3D202E-B-07、SZZJ3D202E-B-09、SZZJ3D202E-B-11、SZZJ3D202E-B-13、SZZJ3D202E-B-15、SZZJ3D202E-C-02、SZZJ3D202E-C-04、SZZJ3D202E-C-06、SZZJ3D202E-C-08、SZZJ3D202E-C-10、SZZJ3D202E-C-12、SZZJ3D202E-C-14、SZZJ3D202E-C-16、SZZJ3D202E-C-17、SZZJ3D202E-D-03、SZZJ3D202E-D-05、SZZJ3D202E-D-07、SZZJ3D202E-D-09、SZZJ3D202E-D-11、SZZJ3D202E-D-13、SZZJ3D202E-D-15、SZZJ3D202E-E-02、SZZJ3D202E-E-04、SZZJ3D202E-E-06、SZZJ3D202E-E-08、SZZJ3D202E-E-10、SZZJ3D202E-E-12、SZZJ3D202E-E-14、SZZJ3D202E-E-16、SZZJ3D202E-E-17、SZZJ3D202E-F-03、SZZJ3D202E-F-05、SZZJ3D202E-F-07、SZZJ3D202E-F-09、SZZJ3D202E-F-11、SZZJ3D202E-F-13、SZZJ3D202E-F-15、SZZJ3D202E-G-02、SZZJ3D202E-G-04、SZZJ3D202E-G-06、SZZJ3D202E-G-08、SZZJ3D202E-G-10、SZZJ3D202E-G-12、SZZJ3D202E-G-14、SZZJ3D202E-G-16、SZZJ3D202E-G-17、SZZJ3D202E-H-03、SZZJ3D202E-H-05、SZZJ3D202E-H-07、SZZJ3D202E-H-09、SZZJ3D202E-H-11、SZZJ3D202E-H-13、SZZJ3D202E-H-15、SZZJ3D202E-I-02、SZZJ3D202E-I-04、SZZJ3D202E-I-06、SZZJ3D202E-I-08、SZZJ3D202E-I-10、SZZJ3D202E-I-12、SZZJ3D202E-I-14、SZZJ3D202E-I-15</t>
  </si>
  <si>
    <t>SULCC01</t>
  </si>
  <si>
    <t>SULCC01（SZZJ）：SULCC01SZZJ3D201E-C-01、SULCC01SZZJ3D201E-C-03、SULCC01SZZJ3D201E-C-05、SULCC01SZZJ3D201E-C-07、SULCC01SZZJ3D201E-C-08、SULCC01SZZJ3D201E-C-09、SULCC01SZZJ3D201E-C-11</t>
  </si>
  <si>
    <t>SZZJ3D203E-G-01、SZZJ3D203E-G-03、SZZJ3D203E-G-05、SZZJ3D203E-G-07、SZZJ3D203E-H-02、SZZJ3D203E-H-04</t>
  </si>
  <si>
    <t>SZZJ3D301E-F-13、SZZJ3D301E-F-14、SZZJ3D301E-F-15、SZZJ3D301E-F-16、SZZJ3D301E-G-01、SZZJ3D301E-G-02、SZZJ3D301E-G-03、SZZJ3D301E-G-04、SZZJ3D301E-G-05、SZZJ3D301E-G-06</t>
  </si>
  <si>
    <t>SULCC01（SZZJ）：SULCC01SZZJ3D201E-C-02、SULCC01SZZJ3D201E-C-04、SULCC01SZZJ3D201E-C-06、SULCC01SZZJ3D201E-C-10、SULCC01SZZJ3D201E-C-12</t>
  </si>
  <si>
    <t>SZZJ3D301E-G-07、SZZJ3D301E-G-08、SZZJ3D301E-G-09、SZZJ3D301E-G-10、SZZJ3D301E-G-11、SZZJ3D301E-G-12、SZZJ3D301E-G-13、SZZJ3D301E-G-14、SZZJ3D301E-G-15</t>
  </si>
  <si>
    <t>SZZJ3D301E-H-01、SZZJ3D301E-H-02、SZZJ3D301E-H-03、SZZJ3D301E-H-04、SZZJ3D301E-H-05、SZZJ3D301E-H-06、SZZJ3D301E-H-07、SZZJ3D301E-H-08、SZZJ3D301E-H-09、SZZJ3D301E-H-10、SZZJ3D301E-H-11、SZZJ3D301E-H-12、SZZJ3D301E-H-13、SZZJ3D301E-H-14、SZZJ3D301E-H-15</t>
  </si>
  <si>
    <t>SZZJ3D301E-F-11、SZZJ3D301E-F-12</t>
  </si>
  <si>
    <t>SZZJ3D204E-E-02、SZZJ3D204E-E-03、SZZJ3D204E-E-04、SZZJ3D204E-E-05、SZZJ3D204E-E-06</t>
  </si>
  <si>
    <t>SZZJ3D204E-E-13、SZZJ3D204E-E-14、SZZJ3D204E-E-15、SZZJ3D204E-E-16、SZZJ3D204E-E-17</t>
  </si>
  <si>
    <t>SZZJ3D203E-A-02、SZZJ3D203E-A-04、SZZJ3D203E-A-06、SZZJ3D203E-A-08、SZZJ3D203E-A-10、SZZJ3D203E-A-12、SZZJ3D203E-A-14、SZZJ3D203E-A-16、SZZJ3D203E-A-17、SZZJ3D203E-B-01、SZZJ3D203E-B-03、SZZJ3D203E-B-05、SZZJ3D203E-B-07、SZZJ3D203E-B-09、SZZJ3D203E-B-11、SZZJ3D203E-B-13、SZZJ3D203E-C-02、SZZJ3D203E-C-04、SZZJ3D203E-C-06、SZZJ3D203E-C-08、SZZJ3D203E-C-10、SZZJ3D203E-C-12、SZZJ3D203E-C-14、SZZJ3D203E-C-16、SZZJ3D203E-D-01、SZZJ3D203E-D-03、SZZJ3D203E-D-05、SZZJ3D203E-D-07、SZZJ3D203E-D-09、SZZJ3D203E-D-11、SZZJ3D203E-D-13、SZZJ3D203E-E-02、SZZJ3D203E-E-04、SZZJ3D203E-E-06、SZZJ3D203E-E-08、SZZJ3D203E-E-10、SZZJ3D203E-E-12、SZZJ3D203E-E-14、SZZJ3D203E-E-16、SZZJ3D203E-F-01、SZZJ3D203E-F-03、SZZJ3D203E-F-05、SZZJ3D203E-F-07、SZZJ3D203E-F-09、SZZJ3D203E-F-11、SZZJ3D203E-F-13、SZZJ3D203E-G-10、SZZJ3D203E-G-12、SZZJ3D203E-G-14、SZZJ3D203E-G-16、SZZJ3D203E-G-17、SZZJ3D202E-A-02、SZZJ3D202E-A-04、SZZJ3D202E-A-06、SZZJ3D202E-A-08、SZZJ3D202E-A-10、SZZJ3D202E-A-12、SZZJ3D202E-A-14、SZZJ3D202E-A-16、SZZJ3D202E-A-17、SZZJ3D202E-B-03、SZZJ3D202E-B-05、SZZJ3D202E-B-07、SZZJ3D202E-B-09、SZZJ3D202E-B-11、SZZJ3D202E-B-13、SZZJ3D202E-B-15、SZZJ3D202E-C-02、SZZJ3D202E-C-04、SZZJ3D202E-C-06、SZZJ3D202E-C-08、SZZJ3D202E-C-10、SZZJ3D202E-C-12、SZZJ3D202E-C-14、SZZJ3D202E-C-16、SZZJ3D202E-C-17、SZZJ3D202E-D-03、SZZJ3D202E-D-05、SZZJ3D202E-D-07、SZZJ3D202E-D-09、SZZJ3D202E-D-11、SZZJ3D202E-D-13、SZZJ3D202E-D-15、SZZJ3D202E-E-02、SZZJ3D202E-E-04、SZZJ3D202E-E-06、SZZJ3D202E-E-08、SZZJ3D202E-E-10、SZZJ3D202E-E-12、SZZJ3D202E-E-14、SZZJ3D202E-E-16、SZZJ3D202E-E-17、SZZJ3D202E-F-03、SZZJ3D202E-F-05、SZZJ3D202E-F-07、SZZJ3D202E-F-09、SZZJ3D202E-F-11、SZZJ3D202E-F-13、SZZJ3D202E-F-15、SZZJ3D202E-G-02、SZZJ3D202E-G-04、SZZJ3D202E-G-06、SZZJ3D202E-G-08、SZZJ3D202E-G-10、SZZJ3D202E-G-12、SZZJ3D202E-G-14、SZZJ3D202E-G-16、SZZJ3D202E-G-17、SZZJ3D202E-H-03、SZZJ3D202E-H-05、SZZJ3D202E-H-07、SZZJ3D202E-H-09、SZZJ3D202E-H-11、SZZJ3D202E-H-13、SZZJ3D202E-H-15、SZZJ3D202E-I-02、SZZJ3D202E-I-04、SZZJ3D202E-I-06、SZZJ3D202E-I-08、SZZJ3D202E-I-10、SZZJ3D202E-I-12、SZZJ3D202E-I-14、SZZJ3D202E-I-15、</t>
  </si>
  <si>
    <t>SZZJ3D201E-I-01、SZZJ3D304E-I-16</t>
  </si>
  <si>
    <t>SZZJ3D303E-A-05、SZZJ3D303E-A-06</t>
  </si>
  <si>
    <t>SZZJ3D404E-A-01、SZZJ3D404E-A-02</t>
  </si>
  <si>
    <t>SZZJ3D303E-A-07、SZZJ3D303E-A-08</t>
  </si>
  <si>
    <t>SZZJ3D303E-A-09、SZZJ3D303E-A-10、SZZJ3D303E-A-11、SZZJ3D303E-A-12、SZZJ3D303E-A-13、SZZJ3D303E-A-14、SZZJ3D303E-A-15、SZZJ3D303E-A-16、SZZJ3D303E-A-17</t>
  </si>
  <si>
    <t>SZZJ3D201E-D-01、SZZJ3D201E-D-15、SZZJ3D201E-D-16、SZZJ3D201E-H-15、SZZJ3D201E-H-16、SZZJ3D304E-A-02、SZZJ3D304E-B-01、SZZJ3D304E-B-02、SZZJ3D304E-G-01、SZZJ3D304E-G-02</t>
  </si>
  <si>
    <t>SZZJ3D401E-H-01、SZZJ3D401E-H-02、SZZJ3D401E-H-03、SZZJ3D401E-H-04、SZZJ3D401E-H-05、SZZJ3D401E-H-06、SZZJ3D401E-H-07、SZZJ3D401E-H-08、SZZJ3D401E-H-09、SZZJ3D401E-H-10、SZZJ3D401E-H-11、SZZJ3D401E-H-12、SZZJ3D401E-H-13、SZZJ3D401E-H-14、SZZJ3D401E-H-15、SZZJ3D401E-H-16、SZZJ3D401E-I-02、SZZJ3D401E-I-03、SZZJ3D401E-I-04、SZZJ3D401E-I-05、SZZJ3D401E-I-06、SZZJ3D401E-I-07、SZZJ3D401E-I-08、SZZJ3D401E-I-09、SZZJ3D401E-I-10、SZZJ3D401E-I-11、SZZJ3D401E-I-12、SZZJ3D401E-I-13、SZZJ3D401E-I-14、SZZJ3D401E-I-15、SZZJ3D401E-I-16、SZZJ3D301E-H-16</t>
  </si>
  <si>
    <t>SZZJ3D303E-F-01、SZZJ3D303E-F-02、SZZJ3D303E-F-03、SZZJ3D303E-F-04、SZZJ3D303E-F-05、SZZJ3D303E-F-06、SZZJ3D303E-F-07、SZZJ3D303E-F-08、SZZJ3D303E-F-09、SZZJ3D303E-F-10、SZZJ3D303E-F-11、SZZJ3D303E-F-12、SZZJ3D303E-F-13、SZZJ3D303E-F-14、SZZJ3D303E-F-15、SZZJ3D303E-F-16、SZZJ3D303E-G-01、SZZJ3D303E-G-02、SZZJ3D303E-G-03、SZZJ3D303E-G-04、SZZJ3D303E-G-05、SZZJ3D303E-G-06、SZZJ3D303E-G-07、SZZJ3D303E-G-08、SZZJ3D303E-G-09、SZZJ3D303E-G-10、SZZJ3D303E-G-11、SZZJ3D303E-G-12、SZZJ3D303E-G-13、SZZJ3D303E-G-14、SZZJ3D303E-G-15、SZZJ3D303E-H-01、SZZJ3D303E-H-02、SZZJ3D303E-H-03、SZZJ3D303E-H-04、SZZJ3D303E-H-05、SZZJ3D303E-H-06、SZZJ3D303E-H-07、SZZJ3D303E-H-08、SZZJ3D303E-H-09、SZZJ3D303E-H-10、SZZJ3D303E-H-11、SZZJ3D303E-H-12、SZZJ3D303E-H-13、SZZJ3D303E-H-14、SZZJ3D303E-H-15、SZZJ3D303E-H-16、SZZJ3D303E-I-02、SZZJ3D303E-I-03、SZZJ3D303E-I-04、SZZJ3D303E-I-05、SZZJ3D303E-I-06、SZZJ3D303E-I-07、SZZJ3D303E-I-08、SZZJ3D303E-I-09、SZZJ3D303E-I-10、SZZJ3D303E-I-11、SZZJ3D303E-I-12、SZZJ3D303E-I-13、SZZJ3D303E-I-14、SZZJ3D303E-I-15、SZZJ3D303E-I-16</t>
  </si>
  <si>
    <t>SZZJ3D404E-C-02、SZZJ3D404E-C-03、SZZJ3D302E-C-02、SZZJ3D302E-C-03、SZZJ3D302E-C-04、SZZJ3D302E-C-17</t>
  </si>
  <si>
    <t>SZZJ3D303E-B-01、SZZJ3D303E-B-02、SZZJ3D303E-B-03、SZZJ3D303E-B-04、SZZJ3D303E-B-05、SZZJ3D303E-B-06、SZZJ3D303E-B-07、SZZJ3D303E-B-08、SZZJ3D303E-B-09、SZZJ3D303E-B-10、SZZJ3D303E-B-11、SZZJ3D303E-B-12、SZZJ3D303E-B-13、SZZJ3D303E-B-14、SZZJ3D303E-C-01、SZZJ3D303E-C-02、SZZJ3D303E-C-03、SZZJ3D303E-C-04、SZZJ3D303E-C-05、SZZJ3D303E-C-06、SZZJ3D303E-C-07、SZZJ3D303E-C-08、SZZJ3D303E-C-09、SZZJ3D303E-C-10、SZZJ3D303E-C-11、SZZJ3D303E-C-12、SZZJ3D303E-C-13、SZZJ3D303E-C-14、SZZJ3D303E-C-15、SZZJ3D303E-C-16、SZZJ3D303E-D-01、SZZJ3D303E-D-02、SZZJ3D303E-D-03、SZZJ3D303E-D-04、SZZJ3D303E-D-05、SZZJ3D303E-D-06、SZZJ3D303E-D-07、SZZJ3D303E-D-08、SZZJ3D303E-D-09、SZZJ3D303E-D-10、SZZJ3D303E-D-11、SZZJ3D303E-D-12、SZZJ3D303E-D-13、SZZJ3D303E-D-14、SZZJ3D303E-D-15、SZZJ3D303E-D-16、SZZJ3D303E-E-01、SZZJ3D303E-E-02、SZZJ3D303E-E-03、SZZJ3D303E-E-04、SZZJ3D303E-E-05、SZZJ3D303E-E-06、SZZJ3D303E-E-07、SZZJ3D303E-E-08、SZZJ3D303E-E-09、SZZJ3D303E-E-10、SZZJ3D303E-E-11、SZZJ3D303E-E-12、SZZJ3D303E-E-13、SZZJ3D303E-E-14、SZZJ3D303E-E-15、SZZJ3D303E-E-16</t>
  </si>
  <si>
    <t>SZZJ3D304E-A-01、SZZJ3D304E-A-03、SZZJ3D304E-A-04、SZZJ3D304E-A-05、SZZJ3D304E-A-06、SZZJ3D304E-A-07、SZZJ3D304E-A-08、SZZJ3D304E-A-09、SZZJ3D304E-A-10、SZZJ3D304E-A-11、SZZJ3D304E-A-12、SZZJ3D304E-A-13、SZZJ3D304E-A-14、SZZJ3D304E-A-15、SZZJ3D304E-A-16、SZZJ3D304E-A-17、SZZJ3D304E-B-03、SZZJ3D304E-B-04、SZZJ3D304E-B-05、SZZJ3D304E-B-06、SZZJ3D304E-B-07、SZZJ3D304E-B-08、SZZJ3D304E-B-09、SZZJ3D304E-B-10、SZZJ3D304E-B-11、SZZJ3D304E-B-12、SZZJ3D304E-B-13、SZZJ3D304E-B-14、SZZJ3D304E-B-15、SZZJ3D304E-B-16、SZZJ3D304E-C-02、SZZJ3D304E-C-03、SZZJ3D304E-C-04、SZZJ3D304E-C-05、SZZJ3D304E-C-06、SZZJ3D304E-C-07、SZZJ3D304E-C-08、SZZJ3D304E-C-09、SZZJ3D304E-C-10、SZZJ3D304E-C-11、SZZJ3D304E-C-12、SZZJ3D304E-C-13、SZZJ3D304E-C-14、SZZJ3D304E-C-15、SZZJ3D304E-C-16、SZZJ3D304E-C-17、SZZJ3D304E-D-01、SZZJ3D304E-D-02、SZZJ3D304E-D-03、SZZJ3D304E-D-04、SZZJ3D304E-D-05、SZZJ3D304E-D-06、SZZJ3D304E-D-07、SZZJ3D304E-D-08、SZZJ3D304E-D-09、SZZJ3D304E-D-10、SZZJ3D304E-D-11、SZZJ3D304E-D-12、SZZJ3D304E-D-13、SZZJ3D304E-D-14、SZZJ3D304E-D-15、SZZJ3D304E-E-02、SZZJ3D304E-E-03、SZZJ3D304E-E-04、SZZJ3D304E-E-05、SZZJ3D304E-E-06、SZZJ3D304E-E-07、SZZJ3D304E-E-08、SZZJ3D304E-E-09、SZZJ3D304E-E-10、SZZJ3D304E-E-11、SZZJ3D304E-E-12、SZZJ3D304E-E-13、SZZJ3D304E-E-14、SZZJ3D304E-E-15、SZZJ3D304E-E-16、SZZJ3D304E-E-17、SZZJ3D304E-F-01、SZZJ3D304E-F-02、SZZJ3D304E-F-03、SZZJ3D304E-F-04、SZZJ3D304E-F-05、SZZJ3D304E-F-06、SZZJ3D304E-F-07、SZZJ3D304E-F-08、SZZJ3D304E-F-09、SZZJ3D304E-F-10、SZZJ3D304E-F-11、SZZJ3D304E-F-12、SZZJ3D304E-F-13、SZZJ3D304E-F-14、SZZJ3D304E-F-15、SZZJ3D304E-F-16</t>
  </si>
  <si>
    <t>SZZJ3D201E-D-02、SZZJ3D201E-D-03、SZZJ3D201E-D-04、SZZJ3D201E-D-05、SZZJ3D201E-D-06、SZZJ3D201E-D-07、SZZJ3D201E-D-08、SZZJ3D201E-D-09、SZZJ3D201E-D-10、SZZJ3D201E-D-11、SZZJ3D201E-D-12、SZZJ3D201E-D-13、SZZJ3D201E-D-14、SZZJ3D201E-E-01、SZZJ3D201E-E-02、SZZJ3D201E-E-03、SZZJ3D201E-E-04、SZZJ3D201E-E-05、SZZJ3D201E-E-06、SZZJ3D201E-E-07、SZZJ3D201E-E-08、SZZJ3D201E-E-09、SZZJ3D201E-E-10、SZZJ3D201E-E-11、SZZJ3D201E-E-12、SZZJ3D201E-E-13、SZZJ3D201E-E-14、SZZJ3D201E-E-15、SZZJ3D201E-E-16、SZZJ3D201E-F-01、SZZJ3D201E-F-02、SZZJ3D201E-F-03、SZZJ3D201E-F-04、SZZJ3D201E-F-05、SZZJ3D201E-F-06、SZZJ3D201E-F-07、SZZJ3D201E-F-08、SZZJ3D201E-F-09、SZZJ3D201E-F-10、SZZJ3D201E-F-11、SZZJ3D201E-F-12、SZZJ3D201E-F-13、SZZJ3D201E-F-14、SZZJ3D201E-F-15、SZZJ3D201E-F-16、SZZJ3D201E-G-01、SZZJ3D201E-G-02、SZZJ3D201E-G-03、SZZJ3D201E-G-04、SZZJ3D201E-G-05、SZZJ3D201E-G-06、SZZJ3D201E-G-07、SZZJ3D201E-G-08、SZZJ3D201E-G-09、SZZJ3D201E-G-10、SZZJ3D201E-G-11、SZZJ3D201E-G-12、SZZJ3D201E-G-13、SZZJ3D201E-G-14、SZZJ3D201E-G-15、SZZJ3D201E-G-16、SZZJ3D201E-H-01、SZZJ3D201E-H-02、SZZJ3D201E-H-03、SZZJ3D201E-H-04、SZZJ3D201E-H-05、SZZJ3D201E-H-06、SZZJ3D201E-H-07、SZZJ3D201E-H-08、SZZJ3D201E-H-09、SZZJ3D201E-H-10、SZZJ3D201E-H-11、SZZJ3D201E-H-12、SZZJ3D201E-H-13、SZZJ3D201E-H-14、SZZJ3D201E-I-02、SZZJ3D201E-I-03、SZZJ3D201E-I-04、SZZJ3D201E-I-05、SZZJ3D201E-I-06、SZZJ3D201E-I-07、SZZJ3D201E-I-08、SZZJ3D201E-I-09、SZZJ3D201E-I-10、SZZJ3D201E-I-11、SZZJ3D201E-I-12、SZZJ3D201E-I-13、SZZJ3D201E-I-14、SZZJ3D201E-I-15、SZZJ3D201E-I-16、SZZJ3D304E-D-16、SZZJ3D304E-G-03、SZZJ3D304E-G-04、SZZJ3D304E-G-05、SZZJ3D304E-G-06、SZZJ3D304E-G-07、SZZJ3D304E-G-08、SZZJ3D304E-G-09、SZZJ3D304E-G-10、SZZJ3D304E-G-11、SZZJ3D304E-G-12、SZZJ3D304E-G-13、SZZJ3D304E-G-14、SZZJ3D304E-G-15、SZZJ3D304E-G-16、SZZJ3D304E-G-17、SZZJ3D304E-H-01、SZZJ3D304E-H-02、SZZJ3D304E-H-03、SZZJ3D304E-H-04、SZZJ3D304E-H-05、SZZJ3D304E-H-06、SZZJ3D304E-H-07、SZZJ3D304E-H-08、SZZJ3D304E-H-09、SZZJ3D304E-H-10、SZZJ3D304E-H-11、SZZJ3D304E-H-12、SZZJ3D304E-H-13、SZZJ3D304E-H-14、SZZJ3D304E-H-15、SZZJ3D304E-H-16、SZZJ3D304E-I-01、SZZJ3D304E-I-02、SZZJ3D304E-I-03、SZZJ3D304E-I-04、SZZJ3D304E-I-05、SZZJ3D304E-I-06、SZZJ3D304E-I-07、SZZJ3D304E-I-08、SZZJ3D304E-I-09、SZZJ3D304E-I-10、SZZJ3D304E-I-11、SZZJ3D304E-I-12、SZZJ3D304E-I-13、SZZJ3D304E-I-14、SZZJ3D304E-I-15</t>
  </si>
  <si>
    <t>SZZJ3D202E-A-01、SZZJ3D202E-A-02、SZZJ3D202E-A-03、SZZJ3D202E-A-04、SZZJ3D202E-A-05、SZZJ3D202E-A-06、SZZJ3D202E-A-07、SZZJ3D202E-A-08、SZZJ3D202E-A-09、SZZJ3D202E-A-10、SZZJ3D202E-A-11、SZZJ3D202E-A-12、SZZJ3D202E-A-13、SZZJ3D202E-A-14、SZZJ3D202E-A-15、SZZJ3D202E-A-16、SZZJ3D202E-A-17、SZZJ3D202E-B-03、SZZJ3D202E-B-04、SZZJ3D202E-B-05、SZZJ3D202E-B-06、SZZJ3D202E-B-07、SZZJ3D202E-B-08、SZZJ3D202E-B-09、SZZJ3D202E-B-10、SZZJ3D202E-B-11、SZZJ3D202E-B-12、SZZJ3D202E-B-13、SZZJ3D202E-B-14、SZZJ3D202E-B-15、SZZJ3D202E-B-16、SZZJ3D202E-C-02、SZZJ3D202E-C-03、SZZJ3D202E-C-04、SZZJ3D202E-C-05、SZZJ3D202E-C-06、SZZJ3D202E-C-07、SZZJ3D202E-C-08、SZZJ3D202E-C-09、SZZJ3D202E-C-10、SZZJ3D202E-C-11、SZZJ3D202E-C-12、SZZJ3D202E-C-13、SZZJ3D202E-C-14、SZZJ3D202E-C-15、SZZJ3D202E-C-16、SZZJ3D202E-C-17、SZZJ3D202E-D-03、SZZJ3D202E-D-04、SZZJ3D202E-D-05、SZZJ3D202E-D-06、SZZJ3D202E-D-07、SZZJ3D202E-D-08、SZZJ3D202E-D-09</t>
  </si>
  <si>
    <t>SZZJ3D203E-I-13</t>
  </si>
  <si>
    <t>SZZJ3D202E-G-01、SZZJ3D202E-G-02</t>
  </si>
  <si>
    <t>SZZJ3D202E-D-10、SZZJ3D202E-D-11</t>
  </si>
  <si>
    <t>SZZJ3D202E-D-12、SZZJ3D202E-D-13、SZZJ3D202E-D-14、SZZJ3D202E-D-15</t>
  </si>
  <si>
    <t>SZZJ3D204E-C-09、SZZJ3D204E-C-10、SZZJ3D204E-F-06、SZZJ3D204E-G-05</t>
  </si>
  <si>
    <t>SZZJ3D301E-E-07、SZZJ3D301E-E-08、SZZJ3D301E-E-09、SZZJ3D301E-E-10、SZZJ3D301E-E-11、SZZJ3D301E-E-12、SZZJ3D301E-E-13、SZZJ3D301E-E-14、SZZJ3D301E-E-15、SZZJ3D301E-E-16、SZZJ3D301E-I-02、SZZJ3D301E-I-03、SZZJ3D301E-I-04、SZZJ3D301E-I-05</t>
  </si>
  <si>
    <t>BECSZZJ3D201E-A-03、BECSZZJ3D201E-A-04、BECSZZJ3D201E-A-06、BECSZZJ3D201E-A-07、BECSZZJ3D201E-A-08、BECSZZJ3D201E-A-10、BECSZZJ3D201E-A-11、BECSZZJ3D201E-A-12、BECSZZJ3D201E-A-14、BECSZZJ3D201E-A-15、BECSZZJ3D201E-A-17、BECSZZJ3D201E-B-03、BECSZZJ3D201E-B-04、BECSZZJ3D201E-B-05、BECSZZJ3D201E-B-07、BECSZZJ3D201E-B-08、BECSZZJ3D201E-B-09、BECSZZJ3D201E-B-11、BECSZZJ3D201E-B-12</t>
  </si>
  <si>
    <t>SZZJ3D204E-B-13、SZZJ3D204E-B-15、SZZJ3D204E-B-16</t>
  </si>
  <si>
    <t>SZZJ3D203E-H-06、SZZJ3D203E-H-08</t>
  </si>
  <si>
    <t>SZZJ3D404E-A-03</t>
  </si>
  <si>
    <t>SZZJ3D203E-H-09、SZZJ3D203E-H-06、SZZJ3D203E-H-07、SZZJ3D203E-H-08、SZZJ3D203E-H-11、SZZJ3D203E-H-13</t>
  </si>
  <si>
    <t>SZZJ3D404E-H-15、SZZJ3D404E-H-16、SZZJ3D301E-E-09、SZZJ3D301E-G-07、SZZJ3D301E-I-05、SZZJ3D204E-F-04、SZZJ3D204E-F-05、SZZJ3D204E-F-08、SZZJ3D204E-G-07、SZZJ3D203E-G-03、SZZJ3D203E-I-08、SZZJ3D203E-I-10</t>
  </si>
  <si>
    <t>SZZJ3D404E-A-04、SZZJ3D404E-A-05</t>
  </si>
  <si>
    <t>SZZJ3D203E-H-09、SZZJ3D203E-H-10</t>
  </si>
  <si>
    <t>SZZJ3D303E-I-02</t>
  </si>
  <si>
    <t>SZZJ3D402E-C-01、SZZJ3D402E-C-03、SZZJ3D402E-C-05、SZZJ3D402E-C-07、SZZJ3D402E-D-01、SZZJ3D402E-D-03、SZZJ3D402E-D-05、SZZJ3D402E-D-07</t>
  </si>
  <si>
    <t>SZZJ3D301E-F-01</t>
  </si>
  <si>
    <t>202304 SZZJ一期电费参照3月金额预估</t>
  </si>
  <si>
    <t>L20220929002</t>
  </si>
  <si>
    <t>苏州中金二期（SZZJ3D5 SZZJ3D6）</t>
  </si>
  <si>
    <t>SZZJ3D501E-I-01、SZZJ3D502E-I-16、SZZJ3D503E-I-01</t>
  </si>
  <si>
    <t>SZZJ3D502E-B-01、SZZJ3D502E-B-02。2022.9反馈为20A，10月更新为40A</t>
  </si>
  <si>
    <t>SZZJ3D501E-B-15、SZZJ3D501E-B-16、SZZJ3D501E-G-16、SZZJ3D501E-G-17、SZZJ3D502E-G-01、SZZJ3D502E-G-02、SZZJ3D503E-B-15、SZZJ3D503E-B-16</t>
  </si>
  <si>
    <t>SZZJ3D502E-A-01、SZZJ3D502E-A-02、SZZJ3D502E-A-03、SZZJ3D502E-A-04、SZZJ3D502E-A-05、SZZJ3D502E-A-06、SZZJ3D502E-A-07、SZZJ3D502E-A-08、SZZJ3D502E-A-09、SZZJ3D502E-A-10、SZZJ3D502E-A-11、SZZJ3D502E-A-12、SZZJ3D502E-A-13、SZZJ3D502E-A-14、SZZJ3D502E-A-15、SZZJ3D502E-A-16、SZZJ3D502E-A-17、SZZJ3D502E-B-03、SZZJ3D502E-B-04、SZZJ3D502E-B-05、SZZJ3D502E-B-06、SZZJ3D502E-B-07、SZZJ3D502E-B-08、SZZJ3D502E-B-09、SZZJ3D502E-B-10、SZZJ3D502E-B-11、SZZJ3D502E-B-12、SZZJ3D502E-B-13、SZZJ3D502E-B-14、SZZJ3D502E-B-15、SZZJ3D502E-B-16、SZZJ3D502E-C-02、SZZJ3D502E-C-03、SZZJ3D502E-C-04、SZZJ3D502E-C-05、SZZJ3D502E-C-06、SZZJ3D502E-C-07、SZZJ3D502E-C-08、SZZJ3D502E-C-09、SZZJ3D502E-C-10、SZZJ3D502E-C-11、SZZJ3D502E-C-12、SZZJ3D502E-C-13、SZZJ3D502E-C-14、SZZJ3D502E-C-15、SZZJ3D502E-C-16、SZZJ3D502E-C-17</t>
  </si>
  <si>
    <t>SZZJ3D501E-C-08、SZZJ3D501E-C-09、SZZJ3D501E-C-10、SZZJ3D501E-C-11、SZZJ3D501E-C-12、SZZJ3D501E-C-13、SZZJ3D501E-C-14、SZZJ3D501E-C-15、SZZJ3D501E-C-16、SZZJ3D501E-D-01、SZZJ3D501E-D-02、SZZJ3D501E-D-03、SZZJ3D501E-D-04、SZZJ3D501E-D-05、SZZJ3D501E-D-06、SZZJ3D502E-D-01、SZZJ3D502E-D-02、SZZJ3D502E-D-03、SZZJ3D502E-D-04、SZZJ3D502E-D-05、SZZJ3D502E-D-06、SZZJ3D502E-D-07、SZZJ3D502E-D-08、SZZJ3D502E-D-09、SZZJ3D502E-D-10、SZZJ3D502E-D-11、SZZJ3D502E-D-12、SZZJ3D502E-D-13、SZZJ3D502E-D-14、SZZJ3D502E-D-15、SZZJ3D502E-D-16、SZZJ3D502E-E-02、SZZJ3D502E-E-03、SZZJ3D502E-E-04、SZZJ3D502E-E-05、SZZJ3D502E-E-06、SZZJ3D502E-E-07、SZZJ3D502E-E-08、SZZJ3D502E-E-09、SZZJ3D502E-E-10</t>
  </si>
  <si>
    <t>SZZJ3D501E-A-01、SZZJ3D501E-A-02、SZZJ3D502E-E-11、SZZJ3D502E-E-12、SZZJ3D502E-E-13、SZZJ3D502E-E-14、SZZJ3D502E-E-15、SZZJ3D502E-E-16、SZZJ3D502E-E-17、SZZJ3D502E-F-01、SZZJ3D502E-F-02、SZZJ3D502E-F-03、SZZJ3D502E-F-04、SZZJ3D502E-F-05、SZZJ3D502E-F-06、SZZJ3D502E-F-07、SZZJ3D502E-G-03、SZZJ3D502E-G-04、SZZJ3D502E-G-05、SZZJ3D502E-G-06、SZZJ3D502E-G-07、SZZJ3D502E-G-08、SZZJ3D502E-G-09、SZZJ3D502E-G-10、SZZJ3D502E-G-11、SZZJ3D502E-G-12、SZZJ3D502E-G-13、SZZJ3D502E-G-14、SZZJ3D502E-G-15、SZZJ3D502E-G-16、SZZJ3D502E-G-17、SZZJ3D502E-H-01、SZZJ3D502E-H-02、SZZJ3D502E-H-03、SZZJ3D502E-H-04、SZZJ3D502E-H-05、SZZJ3D502E-H-06、SZZJ3D502E-H-07、SZZJ3D502E-H-08、SZZJ3D502E-H-09、SZZJ3D502E-H-10、SZZJ3D502E-H-11、SZZJ3D502E-H-12、SZZJ3D502E-H-13、SZZJ3D502E-H-14、SZZJ3D502E-H-15、SZZJ3D502E-H-16SZZJ3D202E-D-03、SZZJ3D202E-D-04、SZZJ3D202E-D-05、SZZJ3D202E-D-06、SZZJ3D202E-D-07、SZZJ3D202E-D-08、SZZJ3D202E-D-09、SZZJ3D501E-C-08、SZZJ3D501E-C-09、SZZJ3D501E-C-10、SZZJ3D501E-C-11、SZZJ3D501E-C-12、SZZJ3D501E-C-13、SZZJ3D501E-C-14、SZZJ3D501E-C-15、SZZJ3D501E-C-16、SZZJ3D501E-D-01、SZZJ3D501E-D-02、SZZJ3D501E-D-03、SZZJ3D501E-D-04、SZZJ3D501E-D-05、SZZJ3D501E-D-06、SZZJ3D502E-D-01、SZZJ3D502E-D-02、SZZJ3D502E-D-03、SZZJ3D502E-D-04、SZZJ3D502E-D-05、SZZJ3D502E-D-06、SZZJ3D502E-D-07、SZZJ3D502E-D-08、SZZJ3D502E-D-09、SZZJ3D502E-D-10、SZZJ3D502E-D-11、SZZJ3D502E-D-12、SZZJ3D502E-D-13、SZZJ3D502E-D-14、SZZJ3D502E-D-15、SZZJ3D502E-D-16、SZZJ3D502E-E-02、SZZJ3D502E-E-03、SZZJ3D502E-E-04、SZZJ3D502E-E-05、SZZJ3D502E-E-06、SZZJ3D502E-E-07、SZZJ3D502E-E-08、SZZJ3D502E-E-09、SZZJ3D502E-E-10</t>
  </si>
  <si>
    <t>SZZJ3D501E-B-01、SZZJ3D501E-B-02、SZZJ3D501E-B-03、SZZJ3D501E-B-04、SZZJ3D501E-B-05、SZZJ3D501E-B-06、SZZJ3D501E-B-07、SZZJ3D501E-B-08、SZZJ3D501E-B-09、SZZJ3D501E-B-10、SZZJ3D501E-B-11、SZZJ3D501E-B-12、SZZJ3D502E-F-08、SZZJ3D502E-F-09、SZZJ3D502E-F-10、SZZJ3D502E-F-11、SZZJ3D502E-F-12、SZZJ3D502E-F-13、SZZJ3D502E-F-14、SZZJ3D502E-F-15、SZZJ3D502E-F-16、SZZJ3D502E-I-01、SZZJ3D502E-I-02、SZZJ3D502E-I-03、SZZJ3D502E-I-04、SZZJ3D502E-I-05、SZZJ3D502E-I-06、SZZJ3D502E-I-07、SZZJ3D502E-I-08、SZZJ3D502E-I-09、SZZJ3D502E-I-10、SZZJ3D502E-I-11、SZZJ3D502E-I-12、SZZJ3D502E-I-13、SZZJ3D502E-I-14、SZZJ3D502E-I-15</t>
  </si>
  <si>
    <t>SZZJ3D501E-A-03、SZZJ3D501E-A-04</t>
  </si>
  <si>
    <t>SZZJ3D501E-A-05、SZZJ3D501E-A-06、SZZJ3D501E-A-07、SZZJ3D501E-A-08、SZZJ3D501E-A-09、SZZJ3D501E-A-10</t>
  </si>
  <si>
    <t>SZZJ3D501E-A-11、SZZJ3D501E-A-12、SZZJ3D501E-A-13、SZZJ3D501E-A-14、SZZJ3D501E-A-15、SZZJ3D501E-A-16、SZZJ3D501E-A-17、SZZJ3D501E-C-06、SZZJ3D501E-C-07</t>
  </si>
  <si>
    <t>SZZJ3D501E-C-01、SZZJ3D501E-C-02、SZZJ3D501E-C-03、SZZJ3D501E-C-04、SZZJ3D501E-C-05</t>
  </si>
  <si>
    <t>SZZJ3D501E-D-07、SZZJ3D501E-D-08、SZZJ3D501E-D-09、SZZJ3D501E-D-10、SZZJ3D501E-D-11、SZZJ3D501E-D-12</t>
  </si>
  <si>
    <t>SZZJ3D501E-D-13、SZZJ3D501E-D-14、SZZJ3D501E-D-15、SZZJ3D501E-D-16、SZZJ3D501E-E-01、SZZJ3D501E-E-02、SZZJ3D501E-E-03、SZZJ3D501E-E-04、SZZJ3D501E-E-06</t>
  </si>
  <si>
    <t>SZZJ3D501E-E-05、SZZJ3D501E-E-08</t>
  </si>
  <si>
    <t>SZZJ3D501E-I-09、SZZJ3D501E-I-10、SZZJ3D501E-I-11、SZZJ3D501E-I-12、SZZJ3D501E-I-13、SZZJ3D501E-I-14、SZZJ3D501E-I-15、SZZJ3D501E-I-16</t>
  </si>
  <si>
    <t>SZZJ3D501E-E-07</t>
  </si>
  <si>
    <t>SZZJ3D504E-I-16、SZZJ3D601E-I-01、SZZJ3D602E-I-16、SZZJ3D603E-I-16</t>
  </si>
  <si>
    <t>SZZJ3D503E-F-01、SZZJ3D503E-F-03、SZZJ3D503E-F-05、SZZJ3D503E-F-07、SZZJ3D503E-H-01、SZZJ3D503E-H-03、SZZJ3D503E-H-05、SZZJ3D503E-H-07、SZZJ3D503E-I-03、SZZJ3D503E-I-05、SZZJ3D503E-I-07、SZZJ3D503E-I-09、SZZJ3D601E-A-11、SZZJ3D601E-A-13、SZZJ3D601E-A-15、SZZJ3D601E-A-17、SZZJ3D601E-C-09、SZZJ3D601E-C-11、SZZJ3D601E-C-13、SZZJ3D601E-C-15、SZZJ3D601E-D-09、SZZJ3D601E-D-11、SZZJ3D601E-D-13、SZZJ3D601E-D-15、SZZJ3D601E-E-09、SZZJ3D601E-E-11、SZZJ3D601E-E-13、SZZJ3D601E-E-15、SZZJ3D601E-F-09、SZZJ3D601E-F-11、SZZJ3D601E-F-13、SZZJ3D601E-F-15、SZZJ3D601E-H-09、SZZJ3D601E-H-11、SZZJ3D601E-H-13、SZZJ3D601E-H-15、SZZJ3D601E-I-09、SZZJ3D601E-I-11、SZZJ3D601E-I-13、SZZJ3D601E-I-15、SZZJ3D602E-A-01、SZZJ3D602E-A-03、SZZJ3D602E-A-05、SZZJ3D602E-A-07、SZZJ3D602E-C-03、SZZJ3D602E-C-05、SZZJ3D602E-C-07、SZZJ3D602E-C-09、SZZJ3D602E-D-01、SZZJ3D602E-D-03、SZZJ3D602E-D-05、SZZJ3D602E-D-07、SZZJ3D602E-E-03、SZZJ3D602E-E-05、SZZJ3D602E-E-07、SZZJ3D602E-E-09、SZZJ3D602E-F-01、SZZJ3D602E-F-03、SZZJ3D602E-F-05、SZZJ3D602E-F-07、SZZJ3D602E-G-01、SZZJ3D602E-G-02、SZZJ3D602E-G-16、SZZJ3D602E-G-17、SZZJ3D602E-H-01、SZZJ3D602E-H-03、SZZJ3D602E-H-05、SZZJ3D602E-H-07</t>
  </si>
  <si>
    <t>SZZJ3D504E-A-01、SZZJ3D504E-A-03、SZZJ3D504E-A-05、SZZJ3D504E-A-07、SZZJ3D504E-C-03、SZZJ3D504E-C-05、SZZJ3D504E-C-07、SZZJ3D504E-C-09、SZZJ3D504E-D-01、SZZJ3D504E-D-03、SZZJ3D504E-D-05、SZZJ3D504E-D-07、SZZJ3D504E-E-03、SZZJ3D504E-E-05、SZZJ3D504E-E-07、SZZJ3D504E-E-09、SZZJ3D504E-F-01、SZZJ3D504E-F-03、SZZJ3D504E-F-05、SZZJ3D504E-F-07、SZZJ3D504E-H-01、SZZJ3D504E-H-03、SZZJ3D504E-H-05、SZZJ3D504E-H-07、SZZJ3D504E-I-01、SZZJ3D504E-I-03、SZZJ3D504E-I-05、SZZJ3D504E-I-07、SZZJ3D603E-A-01、SZZJ3D603E-A-03、SZZJ3D603E-A-05、SZZJ3D603E-A-07、SZZJ3D603E-C-01、SZZJ3D603E-C-03、SZZJ3D603E-C-05、SZZJ3D603E-C-07、SZZJ3D603E-D-01、SZZJ3D603E-D-03、SZZJ3D603E-D-05、SZZJ3D603E-D-07、SZZJ3D603E-E-01、SZZJ3D603E-E-03、SZZJ3D603E-E-05、SZZJ3D603E-E-07、SZZJ3D603E-F-01、SZZJ3D603E-F-03、SZZJ3D603E-F-05、SZZJ3D603E-F-07、SZZJ3D603E-H-01、SZZJ3D603E-H-03、SZZJ3D603E-H-05、SZZJ3D603E-H-07、SZZJ3D603E-I-01、SZZJ3D603E-I-03、SZZJ3D603E-I-05、SZZJ3D603E-I-07</t>
  </si>
  <si>
    <t>SZZJ3D601E-A-01、SZZJ3D601E-A-02、SZZJ3D601E-A-03、SZZJ3D601E-A-04、SZZJ3D601E-A-05、SZZJ3D601E-A-06、SZZJ3D601E-A-07、SZZJ3D601E-A-08、SZZJ3D601E-A-09、SZZJ3D601E-A-10、SZZJ3D601E-A-12、SZZJ3D601E-A-14、SZZJ3D601E-A-16、SZZJ3D601E-B-01、SZZJ3D601E-B-02、SZZJ3D601E-B-03、SZZJ3D601E-B-04、SZZJ3D601E-B-05、SZZJ3D601E-B-06、SZZJ3D601E-B-07、SZZJ3D601E-B-08、SZZJ3D601E-B-09、SZZJ3D601E-B-10、SZZJ3D601E-B-11、SZZJ3D601E-B-12、SZZJ3D601E-B-13、SZZJ3D601E-B-14、SZZJ3D601E-B-15、SZZJ3D601E-B-16、SZZJ3D601E-C-01、SZZJ3D601E-C-02、SZZJ3D601E-C-03、SZZJ3D601E-C-04、SZZJ3D601E-C-05、SZZJ3D601E-C-06、SZZJ3D601E-C-07、SZZJ3D601E-C-08、SZZJ3D601E-C-10、SZZJ3D601E-C-12、SZZJ3D601E-C-14、SZZJ3D601E-C-16、SZZJ3D601E-D-01、SZZJ3D601E-D-02、SZZJ3D601E-D-03、SZZJ3D601E-D-04、SZZJ3D601E-D-05、SZZJ3D601E-D-06、SZZJ3D601E-D-07、SZZJ3D601E-D-08、SZZJ3D601E-D-10、SZZJ3D601E-D-12、SZZJ3D601E-D-14、SZZJ3D601E-D-16、SZZJ3D601E-E-01、SZZJ3D601E-E-02、SZZJ3D601E-E-03、SZZJ3D601E-E-04、SZZJ3D601E-E-05、SZZJ3D601E-E-06、SZZJ3D601E-E-07、SZZJ3D601E-E-08、SZZJ3D601E-E-10、SZZJ3D601E-E-12、SZZJ3D601E-E-14、SZZJ3D601E-E-16、SZZJ3D601E-F-01、SZZJ3D601E-F-02、SZZJ3D601E-F-03、SZZJ3D601E-F-04、SZZJ3D601E-F-05、SZZJ3D601E-F-06、SZZJ3D601E-F-07、SZZJ3D601E-F-08、SZZJ3D601E-F-10、SZZJ3D601E-F-12、SZZJ3D601E-F-14、SZZJ3D601E-F-16、SZZJ3D601E-G-01、SZZJ3D601E-G-02、SZZJ3D601E-G-03、SZZJ3D601E-G-04、SZZJ3D601E-G-05、SZZJ3D601E-G-06、SZZJ3D601E-G-07、SZZJ3D601E-G-08、SZZJ3D601E-G-09、SZZJ3D601E-G-10、SZZJ3D601E-G-11、SZZJ3D601E-G-12、SZZJ3D601E-G-13、SZZJ3D601E-G-14、SZZJ3D601E-G-15、SZZJ3D601E-G-16、SZZJ3D601E-G-17、SZZJ3D601E-H-01、SZZJ3D601E-H-02、SZZJ3D601E-H-03、SZZJ3D601E-H-04、SZZJ3D601E-H-05、SZZJ3D601E-H-06、SZZJ3D601E-H-07、SZZJ3D601E-H-08、SZZJ3D601E-H-10、SZZJ3D601E-H-12、SZZJ3D601E-H-14、SZZJ3D601E-H-16、SZZJ3D601E-I-02、SZZJ3D601E-I-03、SZZJ3D601E-I-04、SZZJ3D601E-I-05、SZZJ3D601E-I-06、SZZJ3D601E-I-07、SZZJ3D601E-I-08、SZZJ3D601E-I-10、SZZJ3D601E-I-12、SZZJ3D601E-I-14、SZZJ3D601E-I-16</t>
  </si>
  <si>
    <t>SZZJ3D503E-F-02、SZZJ3D503E-F-04、SZZJ3D503E-F-06、SZZJ3D503E-F-08、SZZJ3D503E-F-09、SZZJ3D503E-F-10、SZZJ3D503E-F-11、SZZJ3D503E-F-12、SZZJ3D503E-F-13、SZZJ3D503E-F-14、SZZJ3D503E-F-15、SZZJ3D503E-F-16、SZZJ3D503E-G-01、SZZJ3D503E-G-02、SZZJ3D503E-G-03、SZZJ3D503E-G-04、SZZJ3D503E-G-05、SZZJ3D503E-G-06、SZZJ3D503E-G-07、SZZJ3D503E-G-08、SZZJ3D503E-G-09、SZZJ3D503E-G-10、SZZJ3D503E-G-11、SZZJ3D503E-G-12、SZZJ3D503E-G-13、SZZJ3D503E-G-14、SZZJ3D503E-G-15、SZZJ3D503E-H-02、SZZJ3D503E-H-04、SZZJ3D503E-H-06、SZZJ3D503E-H-08、SZZJ3D503E-H-09、SZZJ3D503E-H-10、SZZJ3D503E-H-11、SZZJ3D503E-H-12、SZZJ3D503E-H-13、SZZJ3D503E-H-14、SZZJ3D503E-H-15、SZZJ3D503E-H-16、SZZJ3D503E-I-02、SZZJ3D503E-I-04、SZZJ3D503E-I-06、SZZJ3D503E-I-08、SZZJ3D503E-I-10、SZZJ3D503E-I-11、SZZJ3D503E-I-12、SZZJ3D503E-I-13、SZZJ3D503E-I-14、SZZJ3D503E-I-15、SZZJ3D503E-I-16、SZZJ3D504E-A-02、SZZJ3D504E-A-04、SZZJ3D504E-A-06、SZZJ3D504E-A-08、SZZJ3D504E-A-09、SZZJ3D504E-A-10、SZZJ3D504E-A-11、SZZJ3D504E-A-12、SZZJ3D504E-A-13、SZZJ3D504E-A-14、SZZJ3D504E-A-15、SZZJ3D504E-A-16、SZZJ3D504E-A-17、SZZJ3D504E-B-03、SZZJ3D504E-B-04、SZZJ3D504E-B-05、SZZJ3D504E-B-06、SZZJ3D504E-B-07</t>
  </si>
  <si>
    <t>SZZJ3D602E-A-02、SZZJ3D602E-A-04、SZZJ3D602E-A-06、SZZJ3D602E-A-08、SZZJ3D602E-A-09、SZZJ3D602E-A-10、SZZJ3D602E-A-11、SZZJ3D602E-A-12、SZZJ3D602E-A-13、SZZJ3D602E-A-14、SZZJ3D602E-A-15、SZZJ3D602E-A-16、SZZJ3D602E-A-17、SZZJ3D602E-B-03、SZZJ3D602E-B-04、SZZJ3D602E-B-05、SZZJ3D602E-B-06、SZZJ3D602E-B-07、SZZJ3D602E-B-08、SZZJ3D602E-B-09、SZZJ3D602E-B-10、SZZJ3D602E-B-11、SZZJ3D602E-B-12、SZZJ3D602E-B-13、SZZJ3D602E-B-14、SZZJ3D602E-B-15、SZZJ3D602E-B-16、SZZJ3D602E-C-02、SZZJ3D602E-C-04、SZZJ3D602E-C-06、SZZJ3D602E-C-08、SZZJ3D602E-C-10、SZZJ3D602E-C-11、SZZJ3D602E-C-12、SZZJ3D602E-C-13、SZZJ3D602E-C-14、SZZJ3D602E-C-15、SZZJ3D602E-C-16、SZZJ3D602E-C-17、SZZJ3D602E-D-02、SZZJ3D602E-D-04、SZZJ3D602E-D-06、SZZJ3D602E-D-08、SZZJ3D602E-D-09、SZZJ3D602E-D-10、SZZJ3D602E-D-11、SZZJ3D602E-D-12、SZZJ3D602E-D-13、SZZJ3D602E-D-14、SZZJ3D602E-D-15、SZZJ3D602E-D-16、SZZJ3D602E-E-02、SZZJ3D602E-E-04、SZZJ3D602E-E-06、SZZJ3D602E-E-08、SZZJ3D602E-E-10、SZZJ3D602E-E-11、SZZJ3D602E-E-12、SZZJ3D602E-E-13、SZZJ3D602E-E-14、SZZJ3D602E-E-15、SZZJ3D602E-E-16、SZZJ3D602E-E-17、SZZJ3D602E-F-02、SZZJ3D602E-F-04、SZZJ3D602E-F-06、SZZJ3D602E-F-08、SZZJ3D602E-F-09、SZZJ3D602E-F-10、SZZJ3D602E-F-11、SZZJ3D602E-F-12、SZZJ3D602E-F-13、SZZJ3D602E-F-14、SZZJ3D602E-F-15、SZZJ3D602E-F-16、SZZJ3D602E-G-03、SZZJ3D602E-G-04、SZZJ3D602E-G-05、SZZJ3D602E-G-06、SZZJ3D602E-G-07、SZZJ3D602E-G-08、SZZJ3D602E-G-09、SZZJ3D602E-G-13、SZZJ3D602E-G-15</t>
  </si>
  <si>
    <t>SZZJ3D602E-H-13、SZZJ3D602E-H-15</t>
  </si>
  <si>
    <t>SZZJ3D602E-G-10、SZZJ3D602E-G-11、SZZJ3D602E-G-12、SZZJ3D602E-G-14、SZZJ3D602E-H-02、SZZJ3D602E-H-04、SZZJ3D602E-H-06、SZZJ3D602E-H-08、SZZJ3D602E-H-09、SZZJ3D602E-H-10、SZZJ3D602E-H-11、SZZJ3D602E-H-12、SZZJ3D602E-H-14、SZZJ3D602E-H-16</t>
  </si>
  <si>
    <t>SZZJ3D602E-I-01</t>
  </si>
  <si>
    <t>202304 SZZJ二期电费参照3月金额预估</t>
  </si>
  <si>
    <t>中信网络有限公司</t>
  </si>
  <si>
    <t>中信</t>
  </si>
  <si>
    <t>182015IDC00087</t>
  </si>
  <si>
    <t>昆山-深圳</t>
  </si>
  <si>
    <t>昆山市花桥经济技术开发区东城大道万国数据机房-广东省深圳市南山区学府路百度国际大厦东塔楼2楼。月付，6%</t>
  </si>
  <si>
    <t>昆山-武汉</t>
  </si>
  <si>
    <t>昆山市花桥经济技术开发区东城大道万国数据机-湖北省武汉市关山大道光谷软件园三期C4栋银联商务大厦4楼机房。月付，6%</t>
  </si>
  <si>
    <t>北京-深圳</t>
  </si>
  <si>
    <t>北京市海淀区西北旺东路10号院百度科技园2号楼-广东省深圳市南山区学府路百度国际大厦东塔楼2楼。月付，6%</t>
  </si>
  <si>
    <t>北京-昆山</t>
  </si>
  <si>
    <t>北京市海淀区西北旺东路10号院百度科技园2号楼-昆山市花桥经济技术开发区东城大道万国数据机房。月付，6%</t>
  </si>
  <si>
    <t>182015IDC00137</t>
  </si>
  <si>
    <t>预计近期退租，需要关注。上海拼多多专线
（1）机房园区至机房内光纤，月单价1236
（2）拼多多斜土路POP点至百度云外高桥机房，单价433，长度54.4公里，月单价23555
（3）机房至指定机架模块，月单价742
税率9%，月付</t>
  </si>
  <si>
    <t>2021/8/10退租，冲销21天费用</t>
  </si>
  <si>
    <t>182015IDC00148</t>
  </si>
  <si>
    <t>百度大厦-北京骏豪中央公园A7</t>
  </si>
  <si>
    <t>1G</t>
  </si>
  <si>
    <t>因为合规整改骨干网网管监控需求，开通一条1G电路从百度大厦-朝阳区骏豪中央公园广场A7，开通日期2020.6.4。税率6%，月付</t>
  </si>
  <si>
    <t>182015IDC00193</t>
  </si>
  <si>
    <t>上地百度大厦-清华205机房</t>
  </si>
  <si>
    <t>园外15KM，单价440
2020.5.15由天地通转签中信网络
A端：上地百度大厦；B端：清华205机房
季付，未明确预定税率，一般按9%开票</t>
  </si>
  <si>
    <t>清华东交接箱-清华205机房</t>
  </si>
  <si>
    <t>园内0.5KM，单价880，不足0.1km 以0.1km 计
2020.5.15由天地通转签中信网络
A端：清华东交接箱；B端：清华205机房
季付，未明确预定税率，一般按9%开票</t>
  </si>
  <si>
    <t>上地百度大厦-清华306机房</t>
  </si>
  <si>
    <t>园外26.5KM，单价440
2020.5.15由天地通转签中信网络
A端：上地百度大厦；B端：清华306机房
季付，未明确预定税率，一般按9%开票</t>
  </si>
  <si>
    <t>上地百度大厦-清华园区</t>
  </si>
  <si>
    <t>园内2.5KM，单价880
2020.5.15由天地通转签中信网络
A端：上地百度大厦；B端：清华园区
季付，未明确预定税率，一般按9%开票</t>
  </si>
  <si>
    <t>百度大厦-永丰电信机房</t>
  </si>
  <si>
    <t>2020.5.15由天地通转签中信网络
A端：上地百度大厦；B端：永丰电信机房 
季付，未明确预定税率，一般按9%开票</t>
  </si>
  <si>
    <t>永丰电信机房-酒仙桥M1</t>
  </si>
  <si>
    <t>2020.5.15由天地通转签中信网络
A端：永丰电信机房；B端：酒仙桥M1  
季付，未明确预定税率，一般按9%开票</t>
  </si>
  <si>
    <t>酒仙桥北路M1-方庄方安苑缆信机房</t>
  </si>
  <si>
    <t>2020.5.15由天地通转签中信网络
A端：酒仙桥北路M1；B端：方庄方安苑缆信机房
季付，未明确预定税率，一般按9%开票</t>
  </si>
  <si>
    <t>商务反馈2020.5.31退租，多支付的款项在以后付款中扣回（已支付5.16-8.31的费用，需要扣回6-8月的费用14520*3=43560）
2020.5.15由天地通转签中信网络
A端：酒仙桥北路M1；B端：方庄方安苑缆信机房
季付，未明确预定税率，一般按9%开票</t>
  </si>
  <si>
    <t>上地百度大厦-通州光机电电信次渠机房</t>
  </si>
  <si>
    <t xml:space="preserve">2020.5.15由天地通转签中信网络
A端：上地百度大厦；B端：通州光机电电信次渠机房
季付，未明确预定税率，一般按9%开票               </t>
  </si>
  <si>
    <t>酒仙桥M1-百度大厦</t>
  </si>
  <si>
    <t>2020.5.15由天地通转签中信网络
A端：酒仙桥M1；B端：上地百度大厦
季付，未明确预定税率，一般按9%开票</t>
  </si>
  <si>
    <t>通州光机电电信次渠机房-酒仙桥M1</t>
  </si>
  <si>
    <t>2020.5.15由天地通转签中信网络
A端：通州光机电电信次渠机房；B端：酒仙桥M1
季付，未明确预定税率，一般按9%开票</t>
  </si>
  <si>
    <t>数字北京大厦-上地百度大厦（路由二）
（北京快手-百度大厦）</t>
  </si>
  <si>
    <t>2020.5.15由天地通转签中信网络
A端：数字北京大厦；B端：上地百度大厦（路由二）
季付，未明确预定税率，一般按9%开票</t>
  </si>
  <si>
    <t>酒仙桥M1-互联港湾M7机房（路由二）</t>
  </si>
  <si>
    <t>2020.5.15由天地通转签中信网络
A端：酒仙桥M1；B端：互联港湾M7机房（路由二）
季付，未明确预定税率，一般按9%开票</t>
  </si>
  <si>
    <t>数字北京大厦-上地百度大厦（路由一）</t>
  </si>
  <si>
    <t>2020.5.15由天地通转签中信网络
A端：数字北京大厦；B端：上地百度大厦（路由一）
季付，未明确预定税率，一般按9%开票</t>
  </si>
  <si>
    <t>酒仙桥M1机房-互联港湾M7机房（路由一）</t>
  </si>
  <si>
    <t>2020.5.15由天地通转签中信网络
A端：酒仙桥M1；B端：互联港湾M7机房（路由一）
季付，未明确预定税率，一般按9%开票</t>
  </si>
  <si>
    <t>2020/8/15退租
2020.5.15由天地通转签中信网络
A端：数字北京大厦；B端：上地百度大厦（路由二）
季付，未明确预定税率，一般按9%开票</t>
  </si>
  <si>
    <t>2020/8/15退租
2020.5.15由天地通转签中信网络
A端：酒仙桥M1；B端：互联港湾M7机房（路由二）
季付，未明确预定税率，一般按9%开票</t>
  </si>
  <si>
    <t>2020/8/15退租
2020.5.15由天地通转签中信网络
A端：数字北京大厦；B端：上地百度大厦（路由一）
季付，未明确预定税率，一般按9%开票</t>
  </si>
  <si>
    <t>2020/8/15退租
2020.5.15由天地通转签中信网络
A端：酒仙桥M1；B端：互联港湾M7机房（路由一）</t>
  </si>
  <si>
    <t>中经云机房-亦庄移动（百度）机房（路由一、六环）</t>
  </si>
  <si>
    <t>2020.5.15由天地通转签中信网络
A端：中经云机房；B端：亦庄移动（百度）机房（路由一、六环）</t>
  </si>
  <si>
    <t>中经云机房-亦庄移动（百度）机房（路由二、亦庄）</t>
  </si>
  <si>
    <t>2020.5.15由天地通转签中信网络
A端：中经云机房；B端：亦庄移动（百度）机房（路由二、亦庄）
季付，未明确预定税率，一般按9%开票</t>
  </si>
  <si>
    <t>凉水河机房-中金机房（路由一）</t>
  </si>
  <si>
    <t>2020.5.15由天地通转签中信网络
A端：凉水河机房；B端：中金机房（路由一）
季付，未明确预定税率，一般按9%开票</t>
  </si>
  <si>
    <t>凉水河机房-中金机房（路由二）</t>
  </si>
  <si>
    <t>2020.5.15由天地通转签中信网络
A端：凉水河机房；B端：中金机房（路由二）
季付，未明确预定税率，一般按9%开票</t>
  </si>
  <si>
    <t>182015IDC00205</t>
  </si>
  <si>
    <t>北京M1/百度大厦-阳泉</t>
  </si>
  <si>
    <t>G</t>
  </si>
  <si>
    <t>202006北京M1/百度大厦-阳泉4.75T电路。应通光纤转入。税率9%；月付</t>
  </si>
  <si>
    <t>182115IDC00003</t>
  </si>
  <si>
    <t>北京 M1-阳泉、北京百度大厦-阳泉</t>
  </si>
  <si>
    <t>90G</t>
  </si>
  <si>
    <t>月付，9%
2020/4/23开通骨干网：百度科技园（南96芯--五排--3、4芯）-软件园4号楼光纤,39.83KM，每公里600元；
合同预审中：2020/4/23开通骨干网：软件园4号楼-酒仙桥M1（E2-02机柜48芯ODF1、2芯,，5KM，每公里1320元，固定每月6000对应合规，北京 M1-阳泉、北京百度大厦-阳泉共90G</t>
  </si>
  <si>
    <t>182115IDC00008</t>
  </si>
  <si>
    <t>万荣路（云立方）-外高桥 光纤使用</t>
  </si>
  <si>
    <t>CSSHYLFPOP</t>
  </si>
  <si>
    <t>万荣路（云立方）-外高桥光纤使用的1个机架CSSHYLFPOP204-D-01。税率9%，月付</t>
  </si>
  <si>
    <t>2022/2/15退租。万荣路（云立方）-外高桥光纤使用的1个机架CSSHYLFPOP204-D-01。税率9%，月付</t>
  </si>
  <si>
    <t>百度大厦-软件园1号楼（内）</t>
  </si>
  <si>
    <t>2020.12更新单价。百度大厦-百度科技新建系统。税率9%，月付</t>
  </si>
  <si>
    <t>软件园1号楼-百度科技园（外）</t>
  </si>
  <si>
    <t>百度大厦-软件园4号楼（内）</t>
  </si>
  <si>
    <t>百度大厦-百度科技新建系统。税率9%，月付</t>
  </si>
  <si>
    <t>软件园4号楼-百度科技园（外）</t>
  </si>
  <si>
    <t>科技园-M1</t>
  </si>
  <si>
    <t>2020/8/15开通：上地百度科技园（北）-酒仙桥百度M1（机场辅路方向）（园区外）。税率9%，月付</t>
  </si>
  <si>
    <t>2020/8/15开通：上地百度科技园（北）-酒仙桥百度M1（机场辅路方向）（园区内）。税率9%，月付</t>
  </si>
  <si>
    <t>2020/8/15开通：上地百度科技园（南）-酒仙桥百度。税率9%，月付M1（酒仙桥北路方向）（园区外）</t>
  </si>
  <si>
    <t>2020/8/15开通：上地百度科技园（南）-酒仙桥百度M1（酒仙桥北路方向）（园区内）。税率9%，月付</t>
  </si>
  <si>
    <t>上地百度科技园（北）-太和桥百度亦庄（西）</t>
  </si>
  <si>
    <t>2020/10/21开通：上地百度科技园（北）-太和桥百度亦庄（西）光纤(园区外)，计费11天。。税率9%，月付</t>
  </si>
  <si>
    <t>2020/10/21开通：上地百度科技园（北）-太和桥百度亦庄（西）光纤(园区内)，计费11天。。税率9%，月付</t>
  </si>
  <si>
    <t>上地百度科技园（南）-太和桥百度亦庄（东）</t>
  </si>
  <si>
    <t>2020/10/21开通：上地百度科技园（南）-太和桥百度亦庄（东）光纤，(园区外)，计费11天。。税率9%，月付</t>
  </si>
  <si>
    <t>2020/10/21开通：上地百度科技园（南）-太和桥百度亦庄（东）光纤(园区内)，计费11天。。税率9%，月付</t>
  </si>
  <si>
    <t>斜土路（东方网）-外高桥</t>
  </si>
  <si>
    <t>2020/7/27开通，斜土路（东方网）-外高桥，65.7KM.。每月固定33558。税率9%，月付</t>
  </si>
  <si>
    <t>万荣路（云立方）-外高桥</t>
  </si>
  <si>
    <t>2020/6/10开通万荣路（云立方）-外高桥光纤。45KM，每月固定33379。税率9%，月付</t>
  </si>
  <si>
    <t>2020/7/28开通万荣路（云立方）-外高桥光纤，57KM，每月固定27826。税率9%，月付</t>
  </si>
  <si>
    <t>2022/2/15退租。2020/6/10开通万荣路（云立方）-外高桥光纤。45KM，每月固定33379。税率9%，月付</t>
  </si>
  <si>
    <t>2022/2/15退租。2020/7/28开通万荣路（云立方）-外高桥光纤，57KM，每月固定27826。税率9%，月付</t>
  </si>
  <si>
    <t>武汉银商-武汉临空港</t>
  </si>
  <si>
    <t>2020/8/21开通武汉银商-武汉临空港光纤，75KM，从2020/10/10开始计费，10月计费22天。税率9%，月付</t>
  </si>
  <si>
    <t>2020/10/10开通武汉银商-武汉临空港光纤，70KM,10月计费22天。税率9%，月付</t>
  </si>
  <si>
    <t>深圳百度大厦-深圳市南山区软件产业基地5A；2芯，1KM。税率9%，月付</t>
  </si>
  <si>
    <t>北京百度大厦-北京市东城区和平里东街11号航星科技园3号楼5层；2芯，59KM。税率9%，月付</t>
  </si>
  <si>
    <t>182115IDC00010</t>
  </si>
  <si>
    <t>上海-江苏</t>
  </si>
  <si>
    <t>3.62T</t>
  </si>
  <si>
    <t>税率9%，月付
1、2020/8/19开通斜土路-昆山，78.2KM，固定费用56520/月。包含1个机柜：CSSHDFWPOP101-C-02，关联在临时合同L20201025004上
2、2020/8/19开通斜土路-昆山，84.2KM，固定费用52120/月
3、2020/11/1开通昆山-外高桥，95KM，固定费用57000/月
4、2020/11/1开通昆山-外高桥，117KM，固定费用70200/月</t>
  </si>
  <si>
    <t>182115IDC00015</t>
  </si>
  <si>
    <t>阳泉-西安
北京-西安</t>
  </si>
  <si>
    <t>2.4T
0.8T</t>
  </si>
  <si>
    <t>2020年11月1日费用调整为1474128
阳泉-西安电路费用。税率9%，月付</t>
  </si>
  <si>
    <t>182115IDC00016</t>
  </si>
  <si>
    <t>北京百度科技园/北京百度M1-定兴/徐水</t>
  </si>
  <si>
    <t>9600G</t>
  </si>
  <si>
    <t>北京百度科技园-定兴，北京百度M1-徐水，共9.6T。税率9%，月付</t>
  </si>
  <si>
    <t>182215IDC00251</t>
  </si>
  <si>
    <t>2022.4.10退租两条上海-昆山电路，带宽量分别为800G和90G，退租计算公式：515*308/1.06*1.09。退租后带宽总量为19590G
202109调整北京-南京等（除北京-阳泉外）电路月租费，带宽总量20480G，详细计算过程参考202108计提表中的附件一。应通光纤转入</t>
  </si>
  <si>
    <t>2022.4.10退租两条上海-昆山电路，带宽量分别为800G和90G，退租计算公式：515*308/1.06*1.09。退租后带宽总量为19590G</t>
  </si>
  <si>
    <t>182215IDC00389</t>
  </si>
  <si>
    <t>原卅思云合同于2020.2.29到期，到期后转签至中信
A端：北京市朝阳区酒仙桥北路九号恒通国际创新园C12的乙方ODF,B端：北京市通州区宋庄镇徐尹路与富壁路交叉口汇天云端产业园的ODF
税率9%，月付</t>
  </si>
  <si>
    <t>原卅思云合同于2020.2.29到期，到期后转签至中信
A端：北京市通州区宋庄镇徐尹路与富壁路交叉口汇天云端产业园的乙方ODF,B端：北京市亦庄区经济技术开发区博兴八路1号百信银行中金机房的ODF
税率9%，月付</t>
  </si>
  <si>
    <t>原卅思云合同于2020.2.29到期，到期后转签至中信
A端：北京市亦庄区经济技术开发区博兴八路1号百信银行中金机房的乙方ODF,B端：北京市南六环太和桥南百度亦庄数据中心的ODF
税率9%，月付</t>
  </si>
  <si>
    <t>原卅思云合同于2020.2.29到期，到期后转签至中信
A端：北京市大兴区亦庄镇科创三街16号日上集团日上万国数据中心的乙方ODF,B端：北京市经济技术开发区科创九街十五号中经云机房的ODF
税率9%，月付</t>
  </si>
  <si>
    <t>2023/2/28退租：原卅思云合同于2020.2.29到期，到期后转签至中信
A端：北京市大兴区亦庄镇科创三街16号日上集团日上万国数据中心的乙方ODF,B端：北京市经济技术开发区科创九街十五号中经云机房的ODF
税率9%，月付</t>
  </si>
  <si>
    <t>CSSHDFWPOP</t>
  </si>
  <si>
    <t>上海拼多多专线租用机架CSSHDFWPOP101-E-01
税率9%，月付。商务确认光纤退租，机柜仍需使用</t>
  </si>
  <si>
    <t>A端：武汉银商机房（湖北省武汉市关山大道光谷软件园三期 c4 栋银联商务大楼 4 楼机房）
B端：洪山区文秀 8 号天宇创意大厦 8楼</t>
  </si>
  <si>
    <t>两条2芯，35公里。原主体在武汉优普拉斯，合规整改签至泰龙；2020.6合规整改签至中信。税率9%，月付</t>
  </si>
  <si>
    <t xml:space="preserve">海淀区中关村西区内创新大厦爱奇艺机房-上地十街百度大厦机房
</t>
  </si>
  <si>
    <t>20190901京宽转入网联光通；202006由网联光通转签至中信网络
税率9%，月付</t>
  </si>
  <si>
    <t>2022/11/30退租。20190901京宽转入网联光通；202006由网联光通转签至中信网络
税率9%，月付</t>
  </si>
  <si>
    <t>富丰路铁通机房-上地十街百度大厦机房</t>
  </si>
  <si>
    <t>酒仙桥M1百度机房-上地十街百度大厦机房</t>
  </si>
  <si>
    <t>上地软件园机房-上地十街百度大厦机房</t>
  </si>
  <si>
    <t xml:space="preserve"> 上地软件园机房-上地十街百度大厦机房</t>
  </si>
  <si>
    <t>百度大厦-大红门</t>
  </si>
  <si>
    <t>原卅思云合同于2020.1.31到期，到期后转签至中信
上地十街10号百度大厦-北京市丰台区大红门大红门南路56号院-7号楼
税率9%，月付</t>
  </si>
  <si>
    <t>182215IDC00394</t>
  </si>
  <si>
    <t>北京亦庄日上-北京亦庄太和桥</t>
  </si>
  <si>
    <t>北京和协科技大厦（软件园内）-北京海淀软件园（软件园内）</t>
  </si>
  <si>
    <t>2022.7调整单价。北京和协科技大厦（软件园内）-北京海淀软件园（软件园内）</t>
  </si>
  <si>
    <t>北京海淀软件园（软件园外）-北京海淀百度大厦</t>
  </si>
  <si>
    <t>2022.7调整单价。北京海淀软件园（软件园外）-北京海淀百度大厦</t>
  </si>
  <si>
    <t>宁波电信（宁波市高新区凌云路1177号）（路由1）-宁波传输机房（宁波市海曙区鄞奉路964号）</t>
  </si>
  <si>
    <t>回源光纤：宁波电信（宁波市高新区凌云路1177号）（路由1）-宁波传输机房（宁波市海曙区鄞奉路964号）</t>
  </si>
  <si>
    <t>宁波电信（宁波市高新区凌云路1177号）（路由2）-宁波传输机房（宁波市海曙区鄞奉路964号）</t>
  </si>
  <si>
    <t>回源光纤：宁波电信（宁波市高新区凌云路1177号）（路由2）-宁波传输机房（宁波市海曙区鄞奉路964号）</t>
  </si>
  <si>
    <t>182215IDC00423</t>
  </si>
  <si>
    <t>河北保定-山西阳泉</t>
  </si>
  <si>
    <t>16000G</t>
  </si>
  <si>
    <t>2022.7调整单价。YQ01:山西阳泉-BDDX:河北保定定兴/BDDWD:河北保定徐水，16T，月租464000元，另包含8个中继站</t>
  </si>
  <si>
    <t>万国二期转签中信</t>
  </si>
  <si>
    <t>182215IDC00539</t>
  </si>
  <si>
    <t>开通累计</t>
  </si>
  <si>
    <t>万国三期转签中信</t>
  </si>
  <si>
    <t>万国转签中信</t>
  </si>
  <si>
    <t>SZWG202-B-07、SZWG202-B-08</t>
  </si>
  <si>
    <t>SZWG202-B-09、SZWG202-B-10</t>
  </si>
  <si>
    <t>SZWG202-B-11、SZWG202-B-12</t>
  </si>
  <si>
    <t>SZWG202-B-13、SZWG202-B-14、SZWG202-B-15、SZWG202-B-16、SZWG202-B-17、SZWG202-B-18、</t>
  </si>
  <si>
    <t>SZWG-云托管</t>
  </si>
  <si>
    <t>SZWG202-C-17、SZWG202-C-18</t>
  </si>
  <si>
    <t>SZWG202-C-01、SZWG202-C-02、SZWG202-C-03、SZWG202-C-04、SZWG202-C-05、SZWG202-C-06</t>
  </si>
  <si>
    <t>SZWG202-C-08 SZWG202-C-07</t>
  </si>
  <si>
    <t>历史开通，按照20210601开始计费SZWG104-D-02 SZWG104-D-01</t>
  </si>
  <si>
    <t>SZWG201-D-11、SZWG201-D-12</t>
  </si>
  <si>
    <t>SZWG202-C-07、SZWG202-C-08</t>
  </si>
  <si>
    <t>SZWG201-A-17</t>
  </si>
  <si>
    <t>SZWG201-A-18</t>
  </si>
  <si>
    <t>182215IDC00606</t>
  </si>
  <si>
    <t>广东南沙-广东东泰</t>
  </si>
  <si>
    <t>广东南沙-广东东泰，140km，每公里400  140*400=56000元/月。月付，9%</t>
  </si>
  <si>
    <t xml:space="preserve">	广东华新园-广东东泰</t>
  </si>
  <si>
    <t xml:space="preserve">	广东华新园-广东东泰。月付，9%</t>
  </si>
  <si>
    <t>河北省涿州市开发区阳光大街30号-百度云计算（保定定兴）有限公司</t>
  </si>
  <si>
    <t>河北省涿州市开发区阳光大街30号-百度云计算（保定定兴）有限公司。月付，9%</t>
  </si>
  <si>
    <t xml:space="preserve">	广东博浩-广东东泰</t>
  </si>
  <si>
    <t xml:space="preserve">	广东博浩-广东东泰。月付，9%</t>
  </si>
  <si>
    <t xml:space="preserve">	广东化龙-广东东泰</t>
  </si>
  <si>
    <t xml:space="preserve">	广东化龙-广东东泰。月付，9%</t>
  </si>
  <si>
    <t>北京市朝阳酒仙桥北路9号恒通国际创新园C12-北京海淀西北旺东路10号百度科技园(软件园内）</t>
  </si>
  <si>
    <t>北京市朝阳酒仙桥北路9号恒通国际创新园C12-北京海淀西北旺东路10号百度科技园(软件园内）。6.2KM，单价1320元。月付，9%</t>
  </si>
  <si>
    <t>北京市朝阳酒仙桥北路9号恒通国际创新园C12-北京海淀西北旺东路10号百度科技园(软件园外）</t>
  </si>
  <si>
    <t>北京市朝阳酒仙桥北路9号恒通国际创新园C12-北京海淀西北旺东路10号百度科技园(软件园外）44KM，单价440元。月付，9%</t>
  </si>
  <si>
    <t>江苏南京市栖霞区仙新东路紫泉物流园南门新港机房-江苏南京市张王庙88号江苏凤凰数据中心（路由1）</t>
  </si>
  <si>
    <t>江苏南京市栖霞区仙新东路紫泉物流园南门新港机房-江苏南京市张王庙88号江苏凤凰数据中心（路由1）19KM，单价422.75元。月付，9%</t>
  </si>
  <si>
    <t>江苏南京市栖霞区仙新东路紫泉物流园南门新港机房-江苏南京市张王庙88号江苏凤凰数据中心（路由2）</t>
  </si>
  <si>
    <t>江苏南京市栖霞区仙新东路紫泉物流园南门新港机房-江苏南京市张王庙88号江苏凤凰数据中心（路由2）27KM，单价422.75元。月付，9%</t>
  </si>
  <si>
    <t>北京凉水河-北京亦庄大族</t>
  </si>
  <si>
    <t>北京凉水河-北京亦庄大族。4芯共5.3KM，单价758.66，包含一次引接费2万元/年。月付，9%</t>
  </si>
  <si>
    <t>182215IDC00674</t>
  </si>
  <si>
    <t>华北-华东</t>
  </si>
  <si>
    <t>2022.12调整计提单价。华北-华东。月付</t>
  </si>
  <si>
    <t>北京-河北固安</t>
  </si>
  <si>
    <t>14400G</t>
  </si>
  <si>
    <t>北京窦店-河北固安；北京亦庄-河北固安。8芯，共750KM。月付</t>
  </si>
  <si>
    <t>182215IDC00697</t>
  </si>
  <si>
    <t>皓宽-亦庄</t>
  </si>
  <si>
    <t>皓宽-百度科技园</t>
  </si>
  <si>
    <t>皓宽-科技园（园区内）</t>
  </si>
  <si>
    <t>广州先进-广州博浩</t>
  </si>
  <si>
    <t>广州先进-广州博浩，含3个中继站</t>
  </si>
  <si>
    <t>广州先进-广州东泰</t>
  </si>
  <si>
    <t>广州先进-广州云硕</t>
  </si>
  <si>
    <t>苏州陆家-昆山万国</t>
  </si>
  <si>
    <t>昆山陆家-苏州太湖电信</t>
  </si>
  <si>
    <t>昆山陆家-苏州太湖电信，含3个中继站</t>
  </si>
  <si>
    <t>昆山陆家-苏州太湖电信入局引接缆</t>
  </si>
  <si>
    <t>外高桥-国华</t>
  </si>
  <si>
    <t>鹏博士-云立方跳纤</t>
  </si>
  <si>
    <t>182315IDC00031</t>
  </si>
  <si>
    <t>缆信机房广州市白云区麦地西街圣地大厦丽枫酒店6楼-广州市南沙区榄核镇榄核大道107号</t>
  </si>
  <si>
    <t>缆信机房广州市白云区麦地西街圣地大厦丽枫酒店6楼-广州市南沙区榄核镇榄核大道107号。16km,每公里399.9</t>
  </si>
  <si>
    <t>温州、宁波缆信机柜联络缆</t>
  </si>
  <si>
    <t>长沙、武汉缆信机柜跳纤费</t>
  </si>
  <si>
    <t>福安、诏安、宁波中继机柜</t>
  </si>
  <si>
    <t>CSFJFA</t>
  </si>
  <si>
    <t>福安中继机柜：CSFJFA-01-02、CSFJFA-01-03、CSFJFA-01-04</t>
  </si>
  <si>
    <t>CSZJNB</t>
  </si>
  <si>
    <t>宁波中继机柜：CSZJNB-01-02</t>
  </si>
  <si>
    <t>CSFJZA</t>
  </si>
  <si>
    <t>绍安中继机柜：CSFJZA-01-02、CSFJZA-01-03、CSFJZA-01-04</t>
  </si>
  <si>
    <t>合肥、长沙、武汉中继机柜</t>
  </si>
  <si>
    <t>CSAHHF</t>
  </si>
  <si>
    <t>合肥中继机柜：CSAHHF-01-03</t>
  </si>
  <si>
    <t>CSHUNCS</t>
  </si>
  <si>
    <t>长沙中继机柜：CSHUNCS-01-03、CSHUNCS-01-04、CSHUNCS-01-05</t>
  </si>
  <si>
    <t>CSHUBWH</t>
  </si>
  <si>
    <t>武汉中继机柜：CSHUBWH-01-05</t>
  </si>
  <si>
    <t>182315IDC00043</t>
  </si>
  <si>
    <t>阳泉-西安（路由1）
阳泉-西安（路由2）</t>
  </si>
  <si>
    <t>2022/9/29
2023/1/1</t>
  </si>
  <si>
    <t>1.6T</t>
  </si>
  <si>
    <t>阳泉-西安 双路由共计2319.72公里，机柜31个。合规后单公里438元/月，中继8000元/个</t>
  </si>
  <si>
    <t>华东-华南</t>
  </si>
  <si>
    <t>6.4T</t>
  </si>
  <si>
    <t>华东-华南，双路由共计4345.49公里，包含69个中继站，合规后单公里438元/月，中继8000元/个</t>
  </si>
  <si>
    <t>L20201025004</t>
  </si>
  <si>
    <t>斜土路（东方网）-昆山使用</t>
  </si>
  <si>
    <t>合同预审中：
1、2020/8/19开通斜土路-昆山，78.2KM，固定费用56520/月。包含1个机柜：CSSHDFWPOP101-C-02</t>
  </si>
  <si>
    <t>L20220727005</t>
  </si>
  <si>
    <t>鹏博士-云立方</t>
  </si>
  <si>
    <t>L20221214001</t>
  </si>
  <si>
    <t>百度大厦-百度科技园（园区内）</t>
  </si>
  <si>
    <t>2021.6按照预审合同，光纤于2020/12/1由中关村转签至中信，每月的价差已在2021.5补计提在中关村下。京宽转签至中关村：百度大厦-百度科技园（园区内）。季付，9%</t>
  </si>
  <si>
    <t xml:space="preserve">2021.6按照预算合同，调整计提单价。唐镇-外高桥光纤长度，共52.1公里
路由A：22.6公里
路由B：29.5公里
季付，9%
</t>
  </si>
  <si>
    <t>日阪路-外高桥（华京路6号）</t>
  </si>
  <si>
    <t>日阪路-外高桥（华京路6号）双路由光纤长度，共15公里。2020/12/22开通，计费10天
路由A：7.5公里
路由B：7.5公里
。季付，9%</t>
  </si>
  <si>
    <t>建宁路-南京凤凰</t>
  </si>
  <si>
    <t>建宁路-南京凤凰光纤。季付，9%</t>
  </si>
  <si>
    <t>南沙M3A-揽信虎门-M3B</t>
  </si>
  <si>
    <t>2021/4/27开通，2021/5/1开始计费。光纤编号：B755001；线路编号：M3A-HMLX-HW。季付，9%</t>
  </si>
  <si>
    <t>2021/4/27开通，2021/5/1开始计费。光纤编号：B755002；线路编号：M3A-HMLX-Nok。季付，9%</t>
  </si>
  <si>
    <t>CSGDHM</t>
  </si>
  <si>
    <t>2021/4/27开通，2021/5/1开始计费： 
CSGDCA-01-01。季付，9%</t>
  </si>
  <si>
    <t>亦庄-M1</t>
  </si>
  <si>
    <t>202105根据商务提供的传输清单，增加计提行。亦庄-M1。季付，9%</t>
  </si>
  <si>
    <t>华威-M1</t>
  </si>
  <si>
    <t>202105根据商务提供的传输清单，增加计提行。华威-M1。季付，9%</t>
  </si>
  <si>
    <t>亦庄-科技园</t>
  </si>
  <si>
    <t>202105根据商务提供的传输清单，增加计提行。亦庄-科技园。季付，9%</t>
  </si>
  <si>
    <t>亦庄-科技园（科技园内）</t>
  </si>
  <si>
    <t>202105根据商务提供的传输清单，增加计提行。亦庄-科技园（科技园内）。季付，9%</t>
  </si>
  <si>
    <t>华威-科技园</t>
  </si>
  <si>
    <t>202105根据商务提供的传输清单，增加计提行。华威-科技园。季付，9%</t>
  </si>
  <si>
    <t>华威-科技园（科技园内）</t>
  </si>
  <si>
    <t>202105根据商务提供的传输清单，增加计提行。华威-科技园（科技园内）。季付，9%</t>
  </si>
  <si>
    <t>上海鹏博士POP-上海市静安区万荣路1268号云立方</t>
  </si>
  <si>
    <t>2021/5/24开通鹏博士-云立方，5月计费8天。季付，9%</t>
  </si>
  <si>
    <t>引接费</t>
  </si>
  <si>
    <t>上海鹏博士POP-云立方引接费</t>
  </si>
  <si>
    <t>202201上海鹏博士POP-云立方引接费。季付，9%</t>
  </si>
  <si>
    <t>2022/1/31上海鹏博士POP-云立方引接费退租。季付，9%</t>
  </si>
  <si>
    <t>上海鹏博士POP-上海市浦东新区达秀路51号唐镇万国</t>
  </si>
  <si>
    <t>2021/5/24开通鹏博士-东方网，5月计费8天。季付，9%</t>
  </si>
  <si>
    <t>上海鹏博士POP-上海日阪路91号万国新发展数据中心</t>
  </si>
  <si>
    <t>上海鹏博士POP-上海市徐汇区斜土路2567号东方网机房</t>
  </si>
  <si>
    <t>上海鹏博士POP-东方网引接费</t>
  </si>
  <si>
    <t>上海鹏博士POP-东方网引接费。季付，9%</t>
  </si>
  <si>
    <t>上海鹏博士POP-上海市华京路6号</t>
  </si>
  <si>
    <t>2021/5/24开通鹏博士-华京路，5月计费8天。季付，9%</t>
  </si>
  <si>
    <t>上海鹏博士POP-华京路引接费</t>
  </si>
  <si>
    <t>上海鹏博士POP-华京路引接费。季付，9%</t>
  </si>
  <si>
    <t>L20221227003</t>
  </si>
  <si>
    <t>亦庄入局缆</t>
  </si>
  <si>
    <t>亦庄入局引接费</t>
  </si>
  <si>
    <t>L20230107008</t>
  </si>
  <si>
    <t>北京朝阳区万达广场12号楼2309-北京酒仙桥北路恒通国际创新园C12</t>
  </si>
  <si>
    <t>北京朝阳区酒仙桥路6号院2号楼-北京酒仙桥北路恒通国际创新园C12</t>
  </si>
  <si>
    <t>酒仙桥恒通国际创新园C12栋-酒仙桥德信大厦6层美团机房</t>
  </si>
  <si>
    <t>2023.1.31退租：酒仙桥恒通国际创新园C12栋-酒仙桥德信大厦6层美团机房</t>
  </si>
  <si>
    <t>河北省保定市定兴县福朔路166号-河北定兴县兴华街南玻璃管厂院内(路由1)</t>
  </si>
  <si>
    <t>河北省保定市定兴县福朔路166号 -河北定兴县兴华街南玻璃管厂院内(路由2)</t>
  </si>
  <si>
    <t>广州市天河区五山路381号华南理工大学电讯楼1楼-广州市南沙区平谦国际现代产业园B栋一层M3A（路由1）</t>
  </si>
  <si>
    <t>教育网，20220201由广东有线合规至中信，广州市天河区五山路381号华南理工大学电讯楼1楼-广州市南沙区平谦国际现代产业园B栋一层M3A（路由1）</t>
  </si>
  <si>
    <t>华南理工校内跳纤费（路由1）</t>
  </si>
  <si>
    <t>教育网，20220201由广东有线合规至中信，华南理工校内跳纤费（路由1）</t>
  </si>
  <si>
    <t>广州市天河区五山路381号华南理工大学电讯楼1楼-广州市南沙区平谦国际现代产业园B栋一层M3A（路由2）</t>
  </si>
  <si>
    <t>教育网，20220201由广东有线合规至中信，广州市天河区五山路381号华南理工大学电讯楼1楼-广州市南沙区平谦国际现代产业园B栋一层M3A（路由2）</t>
  </si>
  <si>
    <t>华南理工校内跳纤费（路由2）</t>
  </si>
  <si>
    <t>教育网，20220201由广东有线合规至中信，华南理工校内跳纤费（路由2）</t>
  </si>
  <si>
    <t>L20230128007</t>
  </si>
  <si>
    <t>河北涿州-河北固安（路由1）</t>
  </si>
  <si>
    <t>河北涿州-河北固安（路由2）</t>
  </si>
  <si>
    <t>河北涿州-河北固安（路由3）</t>
  </si>
  <si>
    <t>河北涿州-河北固安（路由4）</t>
  </si>
  <si>
    <t>河北定兴-河北徐水（路由1）</t>
  </si>
  <si>
    <t>河北定兴-河北徐水（路由2）</t>
  </si>
  <si>
    <t>涿州登云信息科技有限公司</t>
  </si>
  <si>
    <t>涿州登云</t>
  </si>
  <si>
    <t>182315IDC00074</t>
  </si>
  <si>
    <t>河北涿州</t>
  </si>
  <si>
    <t>ZZJG</t>
  </si>
  <si>
    <t>2022.11拆分计提，2个机柜前期按40A，本月调整为0A。ZZJG303-B-06、ZZJG303-A-06、ZZJG301-K-01、ZZJG301-K-02、ZZJG301-K-03、ZZJG301-K-04、ZZJG301-K-05、ZZJG301-K-06、ZZJG301-K-11、ZZJG301-L-02、ZZJG301-L-03、ZZJG301-L-04、ZZJG301-L-05、ZZJG301-L-06、ZZJG301-J-01、ZZJG301-J-02、ZZJG301-J-03、ZZJG301-J-04、ZZJG301-J-05、ZZJG301-J-06、ZZJG301-K-07、ZZJG301-K-09、ZZJG301-K-10、ZZJG301-L-07</t>
  </si>
  <si>
    <t>2022.11拆分计提，2个机柜前期按40A，本月调整为0A:ZZJG301-K-01、ZZJG301-L-01</t>
  </si>
  <si>
    <t>ZZJG301-K-12</t>
  </si>
  <si>
    <t>ZZJG303-C-01、ZZJG303-C-02、ZZJG303-C-03、ZZJG303-C-04、ZZJG303-C-05、ZZJG303-C-06、ZZJG303-C-07、ZZJG303-C-08、ZZJG303-D-01、ZZJG303-D-02、ZZJG303-D-03、ZZJG303-D-09、ZZJG303-D-10、ZZJG303-D-11、ZZJG303-D-12、ZZJG303-E-12、ZZJG304-C-01、ZZJG304-C-02、ZZJG304-C-03、ZZJG304-C-04、ZZJG304-C-05、ZZJG304-C-06、ZZJG304-D-01、ZZJG304-D-02、ZZJG304-D-03、ZZJG304-E-12</t>
  </si>
  <si>
    <t>ZZJG303-A-02、ZZJG303-A-04、ZZJG303-A-05、ZZJG303-B-02、ZZJG303-B-04、ZZJG303-B-05、ZZJG304-A-02、ZZJG304-A-04、ZZJG304-A-06、ZZJG304-B-02、ZZJG304-B-04、ZZJG304-B-06</t>
  </si>
  <si>
    <t>ZZJG301-F-01、ZZJG301-F-02、ZZJG301-F-03、ZZJG301-F-04、ZZJG301-F-05、ZZJG301-F-06、ZZJG301-F-07、ZZJG301-F-08</t>
  </si>
  <si>
    <t>ZZJG301-F-09、ZZJG301-F-10、ZZJG301-G-01、ZZJG301-G-02、ZZJG301-G-03、ZZJG301-G-04、ZZJG301-G-05、ZZJG301-G-06、ZZJG303-D-06、ZZJG303-E-01、ZZJG303-E-02、ZZJG304-A-07、ZZJG304-A-08、ZZJG304-A-09、ZZJG304-A-10、ZZJG304-B-07、ZZJG304-B-08、ZZJG304-B-09、ZZJG304-B-10、ZZJG304-C-07</t>
  </si>
  <si>
    <t>ZZJG301-L-09、ZZJG301-L-10、ZZJG303-D-07、ZZJG304-D-06、ZZJG304-D-07</t>
  </si>
  <si>
    <t>ZZJG301-H-01、ZZJG301-H-02</t>
  </si>
  <si>
    <t>ZZJG301-H-05、ZZJG301-H-06、ZZJG301-H-07、ZZJG301-H-08</t>
  </si>
  <si>
    <t>ZZJG301-H-03、ZZJG301-H-04</t>
  </si>
  <si>
    <t>ZZJG304-E-01、ZZJG304-E-02、ZZJG304-E-03、ZZJG304-E-04、ZZJG304-E-05、ZZJG304-E-06</t>
  </si>
  <si>
    <t>ZZJG301-G-07、ZZJG301-G-08、ZZJG301-G-09、ZZJG301-G-10、ZZJG301-I-01、ZZJG301-I-02、ZZJG301-I-03、ZZJG301-I-04、ZZJG301-I-05、ZZJG301-I-06、ZZJG301-I-07、ZZJG301-I-08</t>
  </si>
  <si>
    <t>ZZJG301-K-08、ZZJG301-L-08</t>
  </si>
  <si>
    <t>ZZJG303-E-03、ZZJG303-E-04、ZZJG303-E-07、ZZJG303-E-08</t>
  </si>
  <si>
    <t>ZZJG303-F-01、ZZJG303-F-02、ZZJG303-F-03、ZZJG303-F-04、ZZJG303-F-05、ZZJG303-F-06、ZZJG303-F-07、ZZJG303-F-08</t>
  </si>
  <si>
    <t>ZZJG-云托管</t>
  </si>
  <si>
    <t>ZZJG303-E-05、ZZJG303-E-06、ZZJG303-E-09、ZZJG303-E-10、ZZJG303-F-09、ZZJG303-F-10、ZZJG303-G-01、ZZJG303-G-02、ZZJG303-G-03、ZZJG303-G-04、ZZJG303-G-05、ZZJG303-G-06、ZZJG303-G-07、ZZJG303-G-08、ZZJG303-G-09、ZZJG303-G-10、ZZJG303-G-11、ZZJG303-G-12、ZZJG303-H-01、ZZJG303-H-02、ZZJG303-H-03、ZZJG303-H-04</t>
  </si>
  <si>
    <t>ZZJG303-J-03、ZZJG303-J-04、ZZJG303-J-05、ZZJG303-J-06、ZZJG304-C-08、ZZJG304-C-09、ZZJG304-E-07、ZZJG304-E-08、ZZJG304-E-09、ZZJG304-E-10</t>
  </si>
  <si>
    <t>ZZJG303-H-05、ZZJG303-H-06、ZZJG303-H-07、ZZJG303-H-08、ZZJG303-H-09、ZZJG303-H-10、ZZJG303-H-11、ZZJG303-H-12、ZZJG303-I-01、ZZJG303-I-02、ZZJG303-I-03、ZZJG303-I-04、ZZJG303-I-05、ZZJG303-I-06、ZZJG303-I-07、ZZJG303-I-08、ZZJG303-J-01、ZZJG303-J-02</t>
  </si>
  <si>
    <t>2023.2SYS更新电流为20A：ZZJG203-E-12</t>
  </si>
  <si>
    <t>ZZJG203-A-01、ZZJG203-A-02、ZZJG203-A-03、ZZJG203-A-04、ZZJG203-A-05、ZZJG203-A-06、ZZJG203-A-07、ZZJG203-A-08、ZZJG203-A-09、ZZJG203-A-10、ZZJG203-A-11、ZZJG203-A-12、ZZJG203-B-01、ZZJG203-B-02、ZZJG203-B-03、ZZJG203-B-04</t>
  </si>
  <si>
    <t>ZZJG304-C-10、ZZJG304-C-11、ZZJG304-D-08、ZZJG304-D-09、ZZJG304-D-10、ZZJG304-D-11、ZZJG304-D-12、ZZJG304-D-13、ZZJG304-F-01、ZZJG304-F-02、ZZJG304-F-03、ZZJG304-F-04ZZJG304-F-05、ZZJG304-F-06ZZJG304-F-07、ZZJG304-F-08</t>
  </si>
  <si>
    <t>ZZJG203-B-05、ZZJG203-B-06、ZZJG203-B-07、ZZJG203-B-08、ZZJG203-B-09、ZZJG203-B-10、ZZJG203-B-11、ZZJG203-B-12</t>
  </si>
  <si>
    <t>ZZJG204-E-10、ZZJG204-E-09、ZZJG204-F-10、ZZJG204-F-07、ZZJG204-F-08、ZZJG204-G-09、ZZJG204-G-12、ZZJG204-F-09、ZZJG204-G-10</t>
  </si>
  <si>
    <t>2023.3经SYS复核机架电流为40A，调整计提单价。ZZJG204-E-12</t>
  </si>
  <si>
    <t>ZZJG204-G-11、ZZJG204-E-11</t>
  </si>
  <si>
    <t>ZZJG304-G-05、ZZJG304-G-06</t>
  </si>
  <si>
    <t>ZZJG304-G-07、ZZJG304-G-08</t>
  </si>
  <si>
    <t>ZZJG203-C-01、ZZJG203-C-02，运营商从2023.3.1开始计费</t>
  </si>
  <si>
    <t>ZZJG304-H-01、ZZJG304-H-02</t>
  </si>
  <si>
    <t>ZZJG204-C-01、ZZJG204-C-02、ZZJG204-C-03、ZZJG204-C-04、ZZJG204-C-05、ZZJG204-C-06、ZZJG204-C-07、ZZJG204-C-08、ZZJG204-C-09、ZZJG204-C-10</t>
  </si>
  <si>
    <t>ZZJG304-G-09、ZZJG304-G-10</t>
  </si>
  <si>
    <t>补提3月 ZZJG204-D-12机架费用，运营商计费4天</t>
  </si>
  <si>
    <t>ZZJG204-D-12</t>
  </si>
  <si>
    <t>山东省济南市明发路-山东省济南市蓝翔路（路由1）</t>
  </si>
  <si>
    <t>山东省济南市明发路-山东省济南市蓝翔路（路由2）</t>
  </si>
  <si>
    <t>广东广州东泰机房-广东广州南沙中山大学第一附属医院</t>
  </si>
  <si>
    <t>2023.3.31退租，SZZJ-WXTKY路由一</t>
  </si>
  <si>
    <t>2023.3.31退租，SZZJ-WXTKY路由一1个中继站</t>
  </si>
  <si>
    <t>2023.3.31退租，SZZJ-WXTKY路由二</t>
  </si>
  <si>
    <t>2023.3.31退租，SZZJ-WXTKY路由二1个中继站</t>
  </si>
  <si>
    <t>2023.3.31退租，SZZJ-WXTKY路由三</t>
  </si>
  <si>
    <t>2023.3.31退租，SZZJ-WXTKY路由三1个中继站</t>
  </si>
  <si>
    <t>2023.3.31退租，SZZJ-WXTKY路由四</t>
  </si>
  <si>
    <t>2023.3.31退租，SZZJ-WXTKY路由四1个中继站</t>
  </si>
  <si>
    <t>【BEC扩容】徐州2联通 (XZ2UN)新增36个IP：
221.6.214.32/30；218.98.15.192/27</t>
  </si>
  <si>
    <t>202304补提3月SZWG402-B-08 2天费用，SYS首次反馈2023/3/22关闭，后更新关闭时间为2023/3/24</t>
  </si>
  <si>
    <t>182215IDC00667</t>
  </si>
  <si>
    <t>业务费</t>
  </si>
  <si>
    <t>百信私有云项目风险评估及安全审计费，已在2022.11月预提，因正式合同生效时间为12月，故冲销原费用行，重新按正确期间预提。冲销编号
IDCWS2023041908</t>
  </si>
  <si>
    <t>L20230424016</t>
  </si>
  <si>
    <t>M1-同程</t>
  </si>
  <si>
    <t>M1-同程，58km，每公里400元/月，58*400=23200元/月</t>
  </si>
  <si>
    <t>M1-中轻大厦</t>
  </si>
  <si>
    <t>M1-中轻大厦，6.2km，每公里387元/月，6.2*387=2400元/月</t>
  </si>
  <si>
    <t>武汉金融-武汉光谷</t>
  </si>
  <si>
    <t>武汉金融-武汉光谷，20km，每公里400元/月，20*400=8000元/月</t>
  </si>
  <si>
    <t>武汉金融-光谷跳纤费</t>
  </si>
  <si>
    <t>武汉金融-光谷跳纤费，1对芯2000元/月，2对芯2000*2=4000元/月</t>
  </si>
  <si>
    <t>北京共建恒业通信技术有限责任公司</t>
  </si>
  <si>
    <t>共建</t>
  </si>
  <si>
    <t>L20230424014</t>
  </si>
  <si>
    <t>云专线 同程跳纤</t>
  </si>
  <si>
    <t>云专线 同程跳纤，跳纤一对1000元/月，共两对，月租1000*2=2000元/月</t>
  </si>
  <si>
    <t>云专线 同程机架</t>
  </si>
  <si>
    <t>LXSM</t>
  </si>
  <si>
    <t>云专线 同程机柜：LXSM501-G-08</t>
  </si>
  <si>
    <t>15A</t>
  </si>
  <si>
    <t>CDMT1D603-D-01、CDMT1D603-D-02、CDMT1D603-D-03、CDMT1D603-D-04、CDMT1D603-D-05、CDMT1D603-D-06、CDMT1D603-D-07、CDMT1D603-D-08、CDMT1D603-D-09、CDMT1D603-D-10、CDMT1D603-D-11、CDMT1D603-D-12、CDMT1D603-D-13、CDMT1D603-D-14、CDMT1D603-D-15、CDMT1D603-D-16、CDMT1D603-D-17、CDMT1D603-D-18、CDMT1D603-D-19、CDMT1D603-D-20、CDMT1D603-D-21、CDMT1D603-D-22、CDMT1D603-D-23、CDMT1D603-D-24</t>
  </si>
  <si>
    <t>CDMT1D603-C-01、CDMT1D603-C-02、CDMT1D603-C-03、CDMT1D603-C-09、CDMT1D603-B-03、CDMT1D603-B-04、CDMT1D603-B-05、CDMT1D603-B-06、CDMT1D603-B-07、CDMT1D603-B-08、CDMT1D603-B-11</t>
  </si>
  <si>
    <t>CDMT1D603-B-09、CDMT1D603-B-10、CDMT1D603-B-12、CDMT1D603-B-13、CDMT1D603-B-17、CDMT1D603-B-23</t>
  </si>
  <si>
    <t>CDMT1D603-B-18、CDMT1D603-B-24</t>
  </si>
  <si>
    <t>CDMT1D603-B-14</t>
  </si>
  <si>
    <t>中国移动通信集团山东有限公司淄博分公司</t>
  </si>
  <si>
    <t>淄博移动</t>
  </si>
  <si>
    <t>L20230426005</t>
  </si>
  <si>
    <t>淄博</t>
  </si>
  <si>
    <t>淄博三级移动</t>
  </si>
  <si>
    <t>CDNZBIX</t>
  </si>
  <si>
    <t>【CDN新建】山东淄博三级移动新建200G  2023-04-06 节点正式上线  (ZBIXCM)：ZBIXCM:2F:202-03-CDN01 移动合规机柜</t>
  </si>
  <si>
    <t>【CDN新建】山东淄博三级移动新建200G  2023-04-06 节点正式上线  (ZBIXCM)，新增512个IP：120.220.26.0/24，120.220.57.0/24。超出免费额度，每个50元。</t>
  </si>
  <si>
    <t>百度-爱奇艺跳纤2条：20230408060、20230408061</t>
  </si>
  <si>
    <t>百度-金山云跳纤1条：20230408059</t>
  </si>
  <si>
    <t>边缘计算托管节点下线/缩容需求-常州三线，退租5个机柜：BECCZIX4F-F-203、BECCZIX4F-F-204、BECCZIX4F-F-211、BECCZIX4F-F-212、BECCZIX4F-F-213</t>
  </si>
  <si>
    <t>ZZJG304-F-09、ZZJG304-F-10、ZZJG304-G-11、ZZJG304-G-12</t>
  </si>
  <si>
    <t>ZZJG204-A-05、ZZJG204-A-06</t>
  </si>
  <si>
    <t>L20230427001</t>
  </si>
  <si>
    <t>乐金：ZZJG302-A-01、ZZJG302-A-02、ZZJG302-A-03、ZZJG302-A-04、ZZJG302-A-05、ZZJG302-A-06、ZZJG302-A-07、ZZJG302-A-08、ZZJG302-A-09、ZZJG302-A-10、ZZJG302-B-01、ZZJG302-B-02、ZZJG302-B-03、ZZJG302-B-04、ZZJG302-B-05、ZZJG302-B-06、ZZJG302-B-07、ZZJG302-B-08、ZZJG302-B-09、ZZJG302-B-10、ZZJG302-B-11</t>
  </si>
  <si>
    <t>补提3月太湖机房三期二批（SZTH3D2）超电费用</t>
  </si>
  <si>
    <t>补提3月NJJS 5 6 7层超电流费用</t>
  </si>
  <si>
    <t>补提3月苏州中金一期电费</t>
  </si>
  <si>
    <t>补提3月苏州中金二期（SZZJ3D5 SZZJ3D6）电费</t>
  </si>
  <si>
    <t>华北-WM</t>
  </si>
  <si>
    <t>杨星</t>
  </si>
  <si>
    <t>中国电信股份有限公司北京分公司</t>
  </si>
  <si>
    <t>北京电信</t>
  </si>
  <si>
    <t>181715IDC00162</t>
  </si>
  <si>
    <t xml:space="preserve"> IDC机架</t>
  </si>
  <si>
    <t>JXAI兆维</t>
  </si>
  <si>
    <t>JX</t>
  </si>
  <si>
    <t xml:space="preserve">182215IDC00519 </t>
  </si>
  <si>
    <t>BGP端口占用费</t>
  </si>
  <si>
    <t>8个万兆端口，其中6个万兆端口收取端口占用费， 3万元/个/月，共计18万元/月（含保底4.8万元/月天翼云服务）；每提高5G保底，可减免一个端口占用费。</t>
  </si>
  <si>
    <t>BGPIP</t>
  </si>
  <si>
    <t>12个C的IP，每个月16万。每月负预提-51.2元。</t>
  </si>
  <si>
    <t>182115IDC00131</t>
  </si>
  <si>
    <t>CQ01次渠</t>
  </si>
  <si>
    <t>CQ01</t>
  </si>
  <si>
    <t>6月关闭13个</t>
  </si>
  <si>
    <t>50A</t>
  </si>
  <si>
    <t>8月新增：CQ01202-09-10，CQ01202-09-14</t>
  </si>
  <si>
    <t>其他-工位（含电话）</t>
  </si>
  <si>
    <t>2020/6/8关闭</t>
  </si>
  <si>
    <t>2020.6.8关闭</t>
  </si>
  <si>
    <t>2022.8.31关闭</t>
  </si>
  <si>
    <t>其他-库房</t>
  </si>
  <si>
    <t>2019-12-4关闭</t>
  </si>
  <si>
    <t>2021/2/5关闭</t>
  </si>
  <si>
    <t>2021.3.30开通，
CQ01103-01-01
CQ01103-01-04
CQ01103-01-07
CQ01103-01-10
CQ01103-01-11
CQ01103-02-01
CQ01103-02-02
CQ01103-02-03
CQ01103-02-05
CQ01103-02-06
CQ01103-02-07
CQ01103-02-08
CQ01103-03-01
CQ01103-03-02
CQ01103-03-03
CQ01103-03-04
CQ01103-03-05
CQ01103-03-06
CQ01103-04-01
CQ01103-04-07
CQ01103-07-01
CQ01103-07-02
CQ01103-07-03
CQ01103-07-04
CQ01103-07-05
CQ01103-07-06
CQ01103-07-07
CQ01103-07-08
CQ01103-07-09
CQ01103-10-07
CQ01103-10-08
CQ01103-10-09
CQ01103-11-01
CQ01103-11-02
CQ01103-11-03
CQ01103-11-04
CQ01103-12-07
CQ01102-02-01
CQ01102-02-03
CQ01102-02-10
CQ01102-02-11
CQ01102-02-12
CQ01102-03-01
CQ01102-03-02
CQ01102-01-01
CQ01102-01-02
CQ01102-01-03
CQ01102-01-04
CQ01102-01-05
CQ01102-01-06
CQ01102-01-07
CQ01102-01-08
CQ01102-01-09
CQ01102-01-10
CQ01102-01-11
CQ01102-01-12
CQ01101-11-03
CQ01101-11-04
CQ01101-11-05
CQ01101-11-06
CQ01101-11-07
CQ01101-11-08
CQ01101-11-09
CQ01101-11-10
CQ01101-11-11
CQ01101-11-12
CQ01204-08-02
CQ01204-08-03
CQ01204-08-04
CQ01101-09-02
CQ01101-09-03
CQ01101-09-04
CQ01101-09-05
CQ01101-09-06
CQ01101-09-07
CQ01101-09-08
CQ01101-09-09
CQ01101-09-10
CQ01101-09-11
CQ01101-09-12
CQ01101-10-01
CQ01101-10-02
CQ01101-10-03
CQ01101-10-04
CQ01103-12-04
CQ01103-12-05
CQ01103-12-06
CQ01103-13-10
CQ01103-13-01
CQ01103-13-02
CQ01103-13-03
CQ01103-13-04
CQ01103-13-05
CQ01103-13-06
CQ01103-13-07
CQ01103-13-08
CQ01103-13-09
CQ01103-14-01
CQ01103-14-02
CQ01103-14-03</t>
  </si>
  <si>
    <t>2021.4.7开通，CQ01201-15-02
CQ01201-15-03
CQ01201-15-04
CQ01201-15-05
CQ01201-15-06
CQ01103-14-04
CQ01103-14-05
CQ01103-14-06
CQ01103-14-07
CQ01103-14-08
CQ01103-14-09
CQ01103-14-10
CQ01103-14-11
CQ01103-13-11
CQ01204-07-01
CQ01204-07-03
CQ01204-07-07
CQ01204-07-08
CQ01204-07-09
CQ01204-08-01
CQ01204-06-07
CQ01204-04-07
CQ01204-05-01
CQ01204-03-01
CQ01101-04-05
CQ01101-04-07
CQ01101-04-08
CQ01101-04-11
CQ01101-05-02
CQ01101-05-03
CQ01101-05-04
CQ01101-05-05
CQ01101-05-06
CQ01101-05-07
CQ01101-05-08
CQ01101-05-09
CQ01101-03-13
CQ01101-02-01
CQ01101-02-02
CQ01101-02-03
CQ01101-02-04
CQ01101-02-05
CQ01101-02-10
CQ01101-02-11
CQ01101-02-12
CQ01101-03-01
CQ01101-03-02
CQ01101-01-01
CQ01101-01-04
CQ01101-01-05
CQ01101-01-06
CQ01101-01-07
CQ01101-01-10
CQ01101-01-11
CQ01101-01-12
CQ01101-01-13
CQ01101-02-13
CQ01101-03-04
CQ01101-03-05
CQ01101-03-06
CQ01101-03-07
CQ01101-03-08
CQ01101-03-09
CQ01101-03-10
CQ01101-03-11
CQ01101-03-12
CQ01101-04-01
CQ01101-04-02
CQ01101-04-03
CQ01101-05-10
CQ01101-05-11
CQ01101-05-12
CQ01101-06-01
CQ01101-06-02
CQ01101-06-03
CQ01101-06-04
CQ01101-06-05
CQ01101-06-06
CQ01101-06-07
CQ01101-06-08
CQ01101-06-09
CQ01101-06-10
CQ01101-06-11
CQ01101-06-12
CQ01101-05-13
CQ01101-06-13
CQ01101-07-13
CQ01101-07-01
CQ01101-07-02
CQ01101-07-03
CQ01101-07-10
CQ01101-07-11
CQ01101-07-12
CQ01101-08-01
CQ01101-08-02
CQ01101-08-03
CQ01101-08-04
CQ01101-08-05
CQ01101-08-06
CQ01101-08-07
CQ01101-08-08
CQ01101-08-09
CQ01101-08-10
CQ01101-08-11
CQ01101-03-03
CQ01101-09-01
CQ01101-10-05
CQ01101-10-06
CQ01101-10-07
CQ01101-10-08
CQ01101-10-09
CQ01101-10-10
CQ01101-10-12
CQ01101-09-13
CQ01101-10-13
CQ01101-11-13
CQ01101-11-01
CQ01101-11-02
CQ01102-03-03
CQ01102-03-04
CQ01102-03-05
CQ01102-03-06
CQ01102-03-07
CQ01102-03-08
CQ01102-03-09
CQ01102-04-11
CQ01102-05-10
CQ01102-05-13
CQ01102-08-01
CQ01102-08-02
CQ01102-08-03
CQ01102-08-04
CQ01102-08-05
CQ01102-08-06
CQ01102-08-07
CQ01102-08-08
CQ01102-08-10
CQ01102-08-11
CQ01102-09-01
CQ01102-09-05
CQ01102-09-07
CQ01102-09-08
CQ01102-09-09
CQ01102-09-10
CQ01102-09-11
CQ01102-09-12
CQ01102-10-01
CQ01102-10-02
CQ01102-10-03
CQ01102-10-05
CQ01102-10-06
CQ01102-10-07
CQ01102-10-08
CQ01102-10-09
CQ01102-10-12
CQ01102-09-13
CQ01102-10-13
CQ01102-11-13
CQ01102-11-01
CQ01102-11-02
CQ01102-11-03
CQ01102-11-04
CQ01102-11-05
CQ01102-11-06
CQ01102-11-07
CQ01102-11-10
CQ01201-01-01
CQ01201-01-02
CQ01201-01-03
CQ01201-01-07
CQ01201-01-12
CQ01201-01-13
CQ01201-03-13
CQ01201-02-01
CQ01201-02-04
CQ01201-02-05
CQ01201-02-06
CQ01201-02-07
CQ01201-03-01
CQ01201-03-07
CQ01201-03-08
CQ01201-03-09
CQ01201-04-01
CQ01201-04-02
CQ01201-04-03
CQ01201-04-11
CQ01201-05-01
CQ01201-05-10
CQ01201-05-11
CQ01201-05-12
CQ01201-06-03
CQ01201-06-07
CQ01201-06-08
CQ01201-06-09
CQ01201-06-10
CQ01201-06-11
CQ01201-06-12
CQ01201-05-13
CQ01201-06-13
CQ01201-07-13
CQ01201-07-07
CQ01201-07-08
CQ01201-07-09
CQ01201-07-10
CQ01201-07-11
CQ01201-07-12
CQ01201-08-01
CQ01201-08-02
CQ01201-08-03
CQ01201-08-04
CQ01201-08-05
CQ01201-08-06
CQ01201-08-07
CQ01201-08-10
CQ01201-08-11
CQ01201-09-13
CQ01201-09-01
CQ01201-09-02
CQ01201-09-03
CQ01201-09-04
CQ01201-09-05
CQ01201-09-06
CQ01201-09-07
CQ01201-09-08
CQ01201-09-09
CQ01201-09-10
CQ01201-09-11
CQ01201-09-12
CQ01201-10-01
CQ01201-10-02
CQ01201-10-03
CQ01201-10-04
CQ01201-10-05
CQ01201-10-06
CQ01201-10-07
CQ01201-10-08
CQ01201-10-09
CQ01201-10-10
CQ01201-10-11
CQ01201-10-12
CQ01201-11-01
CQ01201-11-02
CQ01201-11-03
CQ01201-11-04
CQ01201-11-05
CQ01201-11-06
CQ01201-11-09
CQ01201-11-10
CQ01201-11-11
CQ01201-11-12
CQ01201-10-13
CQ01201-11-13
CQ01201-12-11
CQ01201-12-02
CQ01201-12-03
CQ01201-12-04
CQ01201-12-05
CQ01201-12-06
CQ01201-12-07
CQ01201-12-08
CQ01201-12-09
CQ01201-12-10
CQ01201-13-01
CQ01201-13-02
CQ01201-13-03
CQ01201-13-04
CQ01201-13-05
CQ01201-13-06
CQ01201-13-07
CQ01201-13-10
CQ01201-14-01
CQ01201-14-02
CQ01201-14-03
CQ01201-14-04
CQ01201-14-07
CQ01201-14-08
CQ01201-14-09
CQ01201-14-10
CQ01201-13-13
CQ01201-14-13
CQ01201-15-13
CQ01201-15-01
CQ01201-15-08
CQ01201-15-09
CQ01203-03-09
CQ01204-13-03
CQ01204-13-04
CQ01204-13-05
CQ01204-13-07
CQ01204-13-08
CQ01204-13-09
CQ01204-14-01
CQ01204-14-04
CQ01204-14-05
CQ01204-14-06
CQ01204-14-07
CQ01204-14-08
CQ01204-14-09
CQ01204-15-01
CQ01204-15-07
CQ01204-14-10
CQ01204-15-10
CQ01204-15-11
CQ01202-03-05
CQ01203-06-07
CQ01204-11-10
CQ01204-13-01</t>
  </si>
  <si>
    <t>2021.4.16开通，CQ01103-08-01
CQ01103-08-02
CQ01103-08-03
CQ01103-08-05
CQ01103-08-06
CQ01103-08-08
CQ01103-09-10
CQ01103-09-01
CQ01103-09-02
CQ01103-09-03
CQ01103-09-04
CQ01103-09-05
CQ01103-09-06
CQ01103-09-07
CQ01103-09-08
CQ01103-09-09
CQ01103-10-11
CQ01103-09-11
CQ01201-15-07
CQ01201-15-10
CQ01201-15-11
CQ01201-15-12
CQ01204-09-01
CQ01204-09-04
CQ01204-10-04
CQ01204-11-04
CQ01204-11-07
CQ01204-11-08
CQ01204-11-09
CQ01204-12-01
CQ01204-12-07
CQ01204-12-08
CQ01204-13-02
CQ01204-13-06
CQ01202-01-01
CQ01202-01-04
CQ01202-01-10
CQ01202-01-12
CQ01202-03-13
CQ01202-02-01
CQ01202-02-12
CQ01202-03-04
CQ01202-03-06
CQ01202-03-07
CQ01202-03-10
CQ01202-03-11
CQ01202-03-12
CQ01202-04-01
CQ01202-04-02
CQ01202-04-03
CQ01202-04-04
CQ01202-04-05
CQ01202-04-06
CQ01202-04-07
CQ01202-04-08
CQ01202-04-11
CQ01202-05-01
CQ01202-07-01
CQ01202-07-02
CQ01202-07-03
CQ01202-07-05
CQ01202-07-06
CQ01202-07-08
CQ01202-07-09
CQ01202-07-11
CQ01202-07-12
CQ01202-07-13
CQ01202-07-14
CQ01202-08-12
CQ01202-08-01
CQ01202-08-07
CQ01202-08-08
CQ01202-08-09
CQ01202-08-10
CQ01202-08-11
CQ01202-09-13
CQ01202-09-01
CQ01202-09-02
CQ01202-09-03
CQ01202-09-05
CQ01202-09-06
CQ01202-09-08
CQ01202-09-09
CQ01202-09-10
CQ01202-09-11
CQ01202-09-12
CQ01202-10-01
CQ01202-10-02
CQ01202-10-03
CQ01202-10-05
CQ01202-10-06
CQ01202-10-08
CQ01202-10-09
CQ01202-10-11
CQ01202-10-12
CQ01202-10-13
CQ01202-10-14
CQ01202-09-14
CQ01203-01-01
CQ01203-01-04
CQ01203-01-05
CQ01203-01-06
CQ01203-01-07
CQ01203-03-04
CQ01203-03-05
CQ01203-03-06
CQ01203-03-07
CQ01203-03-08
CQ01203-04-01
CQ01203-05-01
CQ01203-05-02
CQ01203-05-03
CQ01203-05-05
CQ01203-05-06
CQ01203-05-08
CQ01203-05-09
CQ01203-05-10
CQ01203-06-10
CQ01203-07-10
CQ01203-06-01
CQ01203-06-02
CQ01203-06-03
CQ01203-06-04
CQ01203-06-05
CQ01203-06-06
CQ01203-06-08
CQ01203-06-09
CQ01203-07-01
CQ01203-07-02
CQ01203-07-03
CQ01203-07-04
CQ01203-07-05
CQ01203-07-06
CQ01203-07-07
CQ01203-07-08
CQ01203-07-09
CQ01203-08-01
CQ01203-08-02
CQ01203-08-03
CQ01203-08-04
CQ01203-08-05
CQ01203-08-06
CQ01203-09-01
CQ01203-09-02
CQ01203-09-03
CQ01203-09-04
CQ01203-09-06
CQ01203-09-07
CQ01203-09-08
CQ01203-09-09
CQ01203-09-10
CQ01203-09-11
CQ01203-10-11
CQ01203-10-01
CQ01203-10-02
CQ01203-10-03
CQ01203-10-04
CQ01203-10-05
CQ01203-10-06
CQ01203-10-07
CQ01203-10-08
CQ01203-10-09
CQ01203-11-01
CQ01203-11-02
CQ01203-11-03
CQ01203-11-04
CQ01203-11-05
CQ01203-11-06
CQ01203-11-07
CQ01203-11-08
CQ01203-11-09
CQ01203-11-10
CQ01203-11-11
CQ01203-10-10</t>
  </si>
  <si>
    <t>2022.8.1关闭973个20A机柜
CQ01101-01-01
CQ01101-01-02
CQ01101-01-03
CQ01101-01-04
CQ01101-01-05
CQ01101-01-06
CQ01101-01-07
CQ01101-01-08
CQ01101-01-09
CQ01101-01-10
CQ01101-01-11
CQ01101-01-12
CQ01101-01-13
CQ01101-02-13
CQ01101-03-13
CQ01101-02-01
CQ01101-02-02
CQ01101-02-03
CQ01101-02-04
CQ01101-02-05
CQ01101-02-06
CQ01101-02-07
CQ01101-02-08
CQ01101-02-09
CQ01101-02-10
CQ01101-02-11
CQ01101-02-12
CQ01101-03-01
CQ01101-03-02
CQ01101-03-03
CQ01101-03-04
CQ01101-03-05
CQ01101-03-06
CQ01101-03-07
CQ01101-03-08
CQ01101-03-09
CQ01101-03-10
CQ01101-03-11
CQ01101-03-12
CQ01101-04-01
CQ01101-04-02
CQ01101-04-03
CQ01101-04-04
CQ01101-04-05
CQ01101-04-06
CQ01101-04-07
CQ01101-04-08
CQ01101-04-09
CQ01101-04-10
CQ01101-04-11
CQ01101-05-02
CQ01101-05-03
CQ01101-05-04
CQ01101-05-05
CQ01101-05-06
CQ01101-05-07
CQ01101-05-08
CQ01101-05-09
CQ01101-05-10
CQ01101-05-11
CQ01101-05-12
CQ01101-06-01
CQ01101-06-02
CQ01101-06-03
CQ01101-06-04
CQ01101-06-05
CQ01101-06-06
CQ01101-06-07
CQ01101-06-08
CQ01101-06-09
CQ01101-06-10
CQ01101-06-11
CQ01101-06-12
CQ01101-05-13
CQ01101-06-13
CQ01101-07-13
CQ01101-07-01
CQ01101-07-02
CQ01101-07-03
CQ01101-07-04
CQ01101-07-05
CQ01101-07-06
CQ01101-07-07
CQ01101-07-08
CQ01101-07-09
CQ01101-07-10
CQ01101-07-11
CQ01101-07-12
CQ01101-08-01
CQ01101-08-02
CQ01101-08-03
CQ01101-08-04
CQ01101-08-05
CQ01101-08-06
CQ01101-08-07
CQ01101-08-08
CQ01101-08-09
CQ01101-08-10
CQ01101-08-11
CQ01101-09-01
CQ01101-09-02
CQ01101-09-03
CQ01101-09-04
CQ01101-09-05
CQ01101-09-06
CQ01101-09-07
CQ01101-09-08
CQ01101-09-09
CQ01101-09-10
CQ01101-09-11
CQ01101-09-12
CQ01101-10-01
CQ01101-10-02
CQ01101-10-03
CQ01101-10-04
CQ01101-10-05
CQ01101-10-06
CQ01101-10-07
CQ01101-10-08
CQ01101-10-09
CQ01101-10-10
CQ01101-10-11
CQ01101-10-12
CQ01101-09-13
CQ01101-10-13
CQ01101-11-13
CQ01101-11-01
CQ01101-11-02
CQ01101-11-03
CQ01101-11-04
CQ01101-11-05
CQ01101-11-06
CQ01101-11-07
CQ01101-11-08
CQ01101-11-09
CQ01101-11-10
CQ01101-11-11
CQ01101-11-12
CQ01102-01-01
CQ01102-01-02
CQ01102-01-03
CQ01102-01-04
CQ01102-01-05
CQ01102-01-06
CQ01102-01-07
CQ01102-01-08
CQ01102-01-09
CQ01102-01-10
CQ01102-01-11
CQ01102-01-12
CQ01102-01-13
CQ01102-02-13
CQ01102-03-13
CQ01102-02-01
CQ01102-02-02
CQ01102-02-03
CQ01102-02-04
CQ01102-02-05
CQ01102-02-06
CQ01102-02-07
CQ01102-02-08
CQ01102-02-09
CQ01102-02-10
CQ01102-02-11
CQ01102-02-12
CQ01102-03-01
CQ01102-03-02
CQ01102-03-03
CQ01102-03-04
CQ01102-03-05
CQ01102-03-06
CQ01102-03-07
CQ01102-03-08
CQ01102-03-09
CQ01102-03-10
CQ01102-03-11
CQ01102-03-12
CQ01102-04-01
CQ01102-04-02
CQ01102-04-03
CQ01102-04-04
CQ01102-04-05
CQ01102-04-06
CQ01102-04-07
CQ01102-04-08
CQ01102-04-09
CQ01102-04-10
CQ01102-04-11
CQ01102-05-01
CQ01102-05-02
CQ01102-05-03
CQ01102-05-04
CQ01102-05-05
CQ01102-05-06
CQ01102-05-07
CQ01102-05-08
CQ01102-05-09
CQ01102-05-10
CQ01102-05-11
CQ01102-05-12
CQ01102-06-01
CQ01102-06-02
CQ01102-06-03
CQ01102-06-04
CQ01102-06-05
CQ01102-06-06
CQ01102-06-07
CQ01102-06-08
CQ01102-06-09
CQ01102-06-10
CQ01102-06-11
CQ01102-06-12
CQ01102-05-13
CQ01102-06-13
CQ01102-07-13
CQ01102-07-01
CQ01102-07-02
CQ01102-07-03
CQ01102-07-04
CQ01102-07-05
CQ01102-07-06
CQ01102-07-07
CQ01102-07-08
CQ01102-07-09
CQ01102-07-10
CQ01102-07-11
CQ01102-07-12
CQ01102-08-01
CQ01102-08-02
CQ01102-08-03
CQ01102-08-04
CQ01102-08-05
CQ01102-08-06
CQ01102-08-07
CQ01102-08-08
CQ01102-08-09
CQ01102-08-10
CQ01102-08-11
CQ01102-09-01
CQ01102-09-02
CQ01102-09-03
CQ01102-09-04
CQ01102-09-05
CQ01102-09-06
CQ01102-09-07
CQ01102-09-08
CQ01102-09-09
CQ01102-09-10
CQ01102-09-11
CQ01102-09-12
CQ01102-10-01
CQ01102-10-02
CQ01102-10-03
CQ01102-10-04
CQ01102-10-05
CQ01102-10-06
CQ01102-10-07
CQ01102-10-08
CQ01102-10-09
CQ01102-10-10
CQ01102-10-11
CQ01102-10-12
CQ01102-09-13
CQ01102-10-13
CQ01102-11-13
CQ01102-11-01
CQ01102-11-02
CQ01102-11-03
CQ01102-11-04
CQ01102-11-05
CQ01102-11-06
CQ01102-11-07
CQ01102-11-08
CQ01102-11-09
CQ01102-11-10
CQ01102-11-11
CQ01102-11-12
CQ01103-01-01
CQ01103-01-02
CQ01103-01-03
CQ01103-01-04
CQ01103-01-05
CQ01103-01-06
CQ01103-01-07
CQ01103-01-08
CQ01103-01-09
CQ01103-01-10
CQ01103-01-11
CQ01103-02-02
CQ01103-02-03
CQ01103-02-04
CQ01103-02-05
CQ01103-02-06
CQ01103-02-07
CQ01103-02-08
CQ01103-02-09
CQ01103-03-01
CQ01103-03-02
CQ01103-03-03
CQ01103-03-04
CQ01103-03-05
CQ01103-03-06
CQ01103-03-07
CQ01103-03-08
CQ01103-03-09
CQ01103-03-10
CQ01103-02-11
CQ01103-04-01
CQ01103-04-02
CQ01103-04-03
CQ01103-04-04
CQ01103-04-05
CQ01103-04-06
CQ01103-04-07
CQ01103-04-08
CQ01103-04-09
CQ01103-07-01
CQ01103-07-03
CQ01103-07-04
CQ01103-07-05
CQ01103-07-06
CQ01103-07-07
CQ01103-07-08
CQ01103-07-09
CQ01103-07-10
CQ01103-07-11
CQ01103-06-09
CQ01103-08-01
CQ01103-08-02
CQ01103-08-03
CQ01103-08-04
CQ01103-08-05
CQ01103-08-06
CQ01103-08-07
CQ01103-08-08
CQ01103-09-10
CQ01103-09-01
CQ01103-09-02
CQ01103-09-03
CQ01103-09-04
CQ01103-09-05
CQ01103-09-06
CQ01103-09-07
CQ01103-09-08
CQ01103-09-09
CQ01103-10-01
CQ01103-10-02
CQ01103-10-03
CQ01103-10-04
CQ01103-10-05
CQ01103-10-06
CQ01103-10-07
CQ01103-10-08
CQ01103-10-09
CQ01103-10-10
CQ01103-10-11
CQ01103-09-11
CQ01103-11-01
CQ01103-11-02
CQ01103-11-03
CQ01103-11-04
CQ01103-11-05
CQ01103-11-06
CQ01103-11-07
CQ01103-11-08
CQ01103-11-09
CQ01103-11-10
CQ01103-11-11
CQ01103-12-07
CQ01103-12-01
CQ01103-12-02
CQ01103-12-03
CQ01103-12-04
CQ01103-12-05
CQ01103-12-06
CQ01103-12-08
CQ01103-12-09
CQ01103-13-10
CQ01103-13-01
CQ01103-13-02
CQ01103-13-03
CQ01103-13-04
CQ01103-13-05
CQ01103-13-06
CQ01103-13-07
CQ01103-13-08
CQ01103-13-09
CQ01103-14-01
CQ01103-14-02
CQ01103-14-03
CQ01103-14-04
CQ01103-14-05
CQ01103-14-06
CQ01103-14-07
CQ01103-14-08
CQ01103-14-09
CQ01103-14-10
CQ01103-14-11
CQ01103-13-11
CQ01103-05-08
CQ01103-05-09
CQ01103-06-06
CQ01103-06-07
CQ01103-06-08
CQ01103-05-03
CQ01103-05-06
CQ01103-05-07
CQ01103-06-01
CQ01103-06-02
CQ01204-01-01
CQ01204-01-02
CQ01204-01-03
CQ01204-01-04
CQ01204-01-05
CQ01204-01-06
CQ01204-01-07
CQ01204-01-08
CQ01204-01-09
CQ01204-01-10
CQ01204-01-11
CQ01204-02-01
CQ01204-02-02
CQ01204-02-03
CQ01204-02-04
CQ01204-02-05
CQ01204-02-06
CQ01204-02-07
CQ01204-02-08
CQ01204-02-09
CQ01204-02-10
CQ01204-02-11
CQ01204-03-10
CQ01204-03-01
CQ01204-03-02
CQ01204-03-03
CQ01204-03-04
CQ01204-03-05
CQ01204-03-06
CQ01204-03-07
CQ01204-03-08
CQ01204-03-09
CQ01204-04-02
CQ01204-04-03
CQ01204-04-04
CQ01204-04-05
CQ01204-04-06
CQ01204-04-07
CQ01204-04-08
CQ01204-04-09
CQ01204-05-01
CQ01204-05-02
CQ01204-05-03
CQ01204-05-04
CQ01204-05-05
CQ01204-05-06
CQ01204-05-07
CQ01204-05-08
CQ01204-05-09
CQ01204-06-01
CQ01204-06-02
CQ01204-06-03
CQ01204-06-04
CQ01204-06-05
CQ01204-06-06
CQ01204-06-07
CQ01204-06-08
CQ01204-06-09
CQ01204-05-10
CQ01204-06-10
CQ01204-07-10
CQ01204-07-01
CQ01204-07-02
CQ01204-07-03
CQ01204-07-04
CQ01204-07-05
CQ01204-07-06
CQ01204-07-07
CQ01204-07-08
CQ01204-07-09
CQ01204-08-01
CQ01204-08-02
CQ01204-08-03
CQ01204-08-04
CQ01204-08-05
CQ01204-08-06
CQ01204-08-07
CQ01204-08-08
CQ01204-08-09
CQ01103-07-02
CQ01201-01-01
CQ01201-01-02
CQ01201-01-03
CQ01201-01-04
CQ01201-01-05
CQ01201-01-06
CQ01201-01-07
CQ01201-01-08
CQ01201-01-09
CQ01201-01-10
CQ01201-01-11
CQ01201-01-12
CQ01201-01-13
CQ01201-02-13
CQ01201-03-13
CQ01201-02-01
CQ01201-02-02
CQ01201-02-03
CQ01201-02-04
CQ01201-02-05
CQ01201-02-06
CQ01201-02-07
CQ01201-02-08
CQ01201-02-09
CQ01201-02-10
CQ01201-02-11
CQ01201-02-12
CQ01201-03-01
CQ01201-03-02
CQ01201-03-03
CQ01201-03-04
CQ01201-03-05
CQ01201-03-06
CQ01201-03-07
CQ01201-03-08
CQ01201-03-09
CQ01201-03-10
CQ01201-03-11
CQ01201-03-12
CQ01201-04-01
CQ01201-04-02
CQ01201-04-03
CQ01201-04-04
CQ01201-04-05
CQ01201-04-06
CQ01201-04-07
CQ01201-04-08
CQ01201-04-09
CQ01201-04-10
CQ01201-04-11
CQ01201-05-01
CQ01201-05-02
CQ01201-05-03
CQ01201-05-04
CQ01201-05-05
CQ01201-05-06
CQ01201-05-07
CQ01201-05-08
CQ01201-05-09
CQ01201-05-10
CQ01201-05-11
CQ01201-05-12
CQ01201-06-01
CQ01201-06-02
CQ01201-06-03
CQ01201-06-04
CQ01201-06-05
CQ01201-06-06
CQ01201-06-07
CQ01201-06-08
CQ01201-06-09
CQ01201-06-10
CQ01201-06-11
CQ01201-06-12
CQ01201-05-13
CQ01201-06-13
CQ01201-07-13
CQ01201-07-01
CQ01201-07-02
CQ01201-07-03
CQ01201-07-04
CQ01201-07-05
CQ01201-07-06
CQ01201-07-07
CQ01201-07-08
CQ01201-07-09
CQ01201-07-10
CQ01201-07-11
CQ01201-07-12
CQ01201-08-01
CQ01201-08-02
CQ01201-08-03
CQ01201-08-04
CQ01201-08-05
CQ01201-08-06
CQ01201-08-07
CQ01201-08-08
CQ01201-08-09
CQ01201-08-10
CQ01201-08-11
CQ01201-09-13
CQ01201-09-01
CQ01201-09-02
CQ01201-09-03
CQ01201-09-04
CQ01201-09-05
CQ01201-09-06
CQ01201-09-07
CQ01201-09-08
CQ01201-09-09
CQ01201-09-10
CQ01201-09-11
CQ01201-09-12
CQ01201-10-01
CQ01201-10-02
CQ01201-10-03
CQ01201-10-04
CQ01201-10-05
CQ01201-10-06
CQ01201-10-07
CQ01201-10-08
CQ01201-10-09
CQ01201-10-10
CQ01201-10-11
CQ01201-10-12
CQ01201-11-01
CQ01201-11-02
CQ01201-11-03
CQ01201-11-04
CQ01201-11-05
CQ01201-11-06
CQ01201-11-07
CQ01201-11-08
CQ01201-11-09
CQ01201-11-10
CQ01201-11-11
CQ01201-11-12
CQ01201-10-13
CQ01201-11-13
CQ01201-12-11
CQ01201-12-02
CQ01201-12-03
CQ01201-12-04
CQ01201-12-05
CQ01201-12-06
CQ01201-12-07
CQ01201-12-08
CQ01201-12-09
CQ01201-12-10
CQ01201-13-01
CQ01201-13-02
CQ01201-13-03
CQ01201-13-04
CQ01201-13-05
CQ01201-13-06
CQ01201-13-07
CQ01201-13-08
CQ01201-13-09
CQ01201-13-10
CQ01201-13-11
CQ01201-13-12
CQ01201-14-01
CQ01201-14-02
CQ01201-14-03
CQ01201-14-04
CQ01201-14-05
CQ01201-14-06
CQ01201-14-07
CQ01201-14-08
CQ01201-14-09
CQ01201-14-10
CQ01201-14-11
CQ01201-14-12
CQ01201-13-13
CQ01201-14-13
CQ01201-15-13
CQ01201-15-01
CQ01201-15-02
CQ01201-15-03
CQ01201-15-04
CQ01201-15-05
CQ01201-15-06
CQ01201-15-07
CQ01201-15-08
CQ01201-15-09
CQ01201-15-10
CQ01201-15-11
CQ01201-15-12
CQ01204-09-01
CQ01204-09-02
CQ01204-09-03
CQ01204-09-04
CQ01204-09-05
CQ01204-09-06
CQ01204-09-07
CQ01204-09-08
CQ01204-09-09
CQ01204-10-01
CQ01204-10-02
CQ01204-10-03
CQ01204-10-04
CQ01204-10-05
CQ01204-10-06
CQ01204-10-07
CQ01204-10-08
CQ01204-10-09
CQ01204-10-10
CQ01204-10-11
CQ01204-09-10
CQ01204-11-01
CQ01204-11-02
CQ01204-11-03
CQ01204-11-04
CQ01204-11-05
CQ01204-11-06
CQ01204-11-07
CQ01204-11-08
CQ01204-11-09
CQ01204-11-10
CQ01204-11-11
CQ01204-12-01
CQ01204-12-02
CQ01204-12-03
CQ01204-12-04
CQ01204-12-05
CQ01204-12-06
CQ01204-12-07
CQ01204-12-08
CQ01204-12-09
CQ01204-13-01
CQ01204-13-02
CQ01204-13-03
CQ01204-13-04
CQ01204-13-05
CQ01204-13-06
CQ01204-13-07
CQ01204-13-08
CQ01204-13-09
CQ01204-13-10
CQ01204-13-11
CQ01204-14-11
CQ01204-14-01
CQ01204-14-02
CQ01204-14-03
CQ01204-14-04
CQ01204-14-05
CQ01204-14-06
CQ01204-14-07
CQ01204-14-08
CQ01204-14-09
CQ01204-15-01
CQ01204-15-02
CQ01204-15-03
CQ01204-15-04
CQ01204-15-05
CQ01204-15-06
CQ01204-15-07
CQ01204-15-08
CQ01204-15-09
CQ01204-15-10
CQ01204-15-11
CQ01204-14-10
CQ01202-01-01
CQ01202-01-02
CQ01202-01-03
CQ01202-01-04
CQ01202-01-05
CQ01202-01-06
CQ01202-01-07
CQ01202-01-08
CQ01202-01-09
CQ01202-01-10
CQ01202-01-11
CQ01202-01-12
CQ01202-01-13
CQ01202-02-13
CQ01202-03-13
CQ01202-02-01
CQ01202-02-02
CQ01202-02-03
CQ01202-02-04
CQ01202-02-05
CQ01202-02-06
CQ01202-02-07
CQ01202-02-08
CQ01202-02-09
CQ01202-02-10
CQ01202-02-11
CQ01202-02-12
CQ01202-03-01
CQ01202-03-02
CQ01202-03-03
CQ01202-03-04
CQ01202-03-05
CQ01202-03-06
CQ01202-03-07
CQ01202-03-08
CQ01202-03-09
CQ01202-03-10
CQ01202-03-11
CQ01202-03-12
CQ01202-04-01
CQ01202-04-02
CQ01202-04-03
CQ01202-04-04
CQ01202-04-05
CQ01202-04-06
CQ01202-04-07
CQ01202-04-08
CQ01202-04-09
CQ01202-04-10
CQ01202-04-11
CQ01202-05-01
CQ01202-05-02
CQ01202-05-03
CQ01202-05-04
CQ01202-05-05
CQ01202-05-06
CQ01202-05-07
CQ01202-05-08
CQ01202-05-09
CQ01202-05-10
CQ01202-05-11
CQ01202-05-12
CQ01202-05-13
CQ01202-06-13
CQ01202-06-01
CQ01202-06-02
CQ01202-06-03
CQ01202-06-04
CQ01202-06-05
CQ01202-06-06
CQ01202-06-07
CQ01202-06-08
CQ01202-06-09
CQ01202-06-10
CQ01202-06-11
CQ01202-06-12
CQ01202-07-01
CQ01202-07-02
CQ01202-07-03
CQ01202-07-05
CQ01202-07-06
CQ01202-07-08
CQ01202-07-09
CQ01202-07-11
CQ01202-07-12
CQ01202-07-13
CQ01202-07-14
CQ01202-08-12
CQ01202-08-01
CQ01202-08-07
CQ01202-08-08
CQ01202-08-09
CQ01202-08-10
CQ01202-08-11
CQ01202-09-13
CQ01202-09-01
CQ01202-09-02
CQ01202-09-03
CQ01202-09-05
CQ01202-09-06
CQ01202-09-08
CQ01202-09-09
CQ01202-09-10
CQ01202-09-11
CQ01202-09-12
CQ01202-10-01
CQ01202-10-02
CQ01202-10-03
CQ01202-10-05
CQ01202-10-06
CQ01202-10-08
CQ01202-10-09
CQ01202-10-11
CQ01202-10-12
CQ01202-10-13
CQ01202-10-14
CQ01202-09-14
CQ01203-01-01
CQ01203-01-02
CQ01203-01-03
CQ01203-01-04
CQ01203-01-05
CQ01203-01-06
CQ01203-01-07
CQ01203-01-08
CQ01203-01-09
CQ01203-02-01
CQ01203-02-02
CQ01203-02-03
CQ01203-02-04
CQ01203-02-05
CQ01203-02-06
CQ01203-02-07
CQ01203-02-08
CQ01203-02-09
CQ01203-03-01
CQ01203-03-02
CQ01203-03-03
CQ01203-03-04
CQ01203-03-05
CQ01203-03-06
CQ01203-03-07
CQ01203-03-08
CQ01203-03-09
CQ01203-04-01
CQ01203-04-02
CQ01203-04-03
CQ01203-04-04
CQ01203-04-05
CQ01203-04-06
CQ01203-04-07
CQ01203-04-08
CQ01203-05-01
CQ01203-05-02
CQ01203-05-03
CQ01203-05-05
CQ01203-05-06
CQ01203-05-08
CQ01203-05-09
CQ01203-05-10
CQ01203-06-10
CQ01203-07-10
CQ01203-06-01
CQ01203-06-02
CQ01203-06-03
CQ01203-06-04
CQ01203-06-05
CQ01203-06-06
CQ01203-06-07
CQ01203-06-08
CQ01203-06-09
CQ01203-07-01
CQ01203-07-02
CQ01203-07-03
CQ01203-07-04
CQ01203-07-05
CQ01203-07-06
CQ01203-07-07
CQ01203-07-08
CQ01203-07-09
CQ01203-08-01
CQ01203-08-02
CQ01203-08-03
CQ01203-08-04
CQ01203-08-05
CQ01203-08-06
CQ01203-08-07
CQ01203-08-08
CQ01203-08-09
CQ01203-09-01
CQ01203-09-02
CQ01203-09-03
CQ01203-09-04
CQ01203-09-05
CQ01203-09-06
CQ01203-09-07
CQ01203-09-08
CQ01203-09-09
CQ01203-09-10
CQ01203-09-11
CQ01203-10-11
CQ01203-10-01
CQ01203-10-02
CQ01203-10-03
CQ01203-10-04
CQ01203-10-05
CQ01203-10-06
CQ01203-10-07
CQ01203-10-08
CQ01203-10-09
CQ01203-11-01
CQ01203-11-02
CQ01203-11-03
CQ01203-11-04
CQ01203-11-05
CQ01203-11-06
CQ01203-11-07
CQ01203-11-08
CQ01203-11-09
CQ01203-11-10
CQ01203-11-11
CQ01203-10-10</t>
  </si>
  <si>
    <t>2022.8.1关闭1个27A机柜
CQ01103-06-03</t>
  </si>
  <si>
    <t>2022.8.1关闭1个27A机柜
CQ01201-12-01</t>
  </si>
  <si>
    <t>2022.8.23关闭4个0A机柜，实际关闭2个0A机柜
CQ01101-05-01
CQ01103-05-01未开通
CQ01103-05-02未开通
CQ01204-04-01</t>
  </si>
  <si>
    <t>2022.8.23关闭1个20A机柜
CQ01103-02-01</t>
  </si>
  <si>
    <t>2022.8.23关闭4个50A机柜
CQ01103-05-04
CQ01103-05-05
CQ01103-06-04
CQ01103-06-05</t>
  </si>
  <si>
    <t>YF永丰</t>
  </si>
  <si>
    <t>QYYF</t>
  </si>
  <si>
    <t>YF</t>
  </si>
  <si>
    <t>2021.1.21退租</t>
  </si>
  <si>
    <t>62A</t>
  </si>
  <si>
    <t>2018年1月10日</t>
  </si>
  <si>
    <t>20190612关闭244个</t>
  </si>
  <si>
    <t>20190624开通45个</t>
  </si>
  <si>
    <t>20190625拆机324个</t>
  </si>
  <si>
    <t>对方反馈20190628拆机53个，其中YFB105-08-06我方反馈暂不关闭</t>
  </si>
  <si>
    <t>7月2日关闭117个</t>
  </si>
  <si>
    <t>7月2日关闭4个，实际电流为20A：YFB105-08-09，YFB105-08-10， 
YFB205-08-09，YFB205-08-10</t>
  </si>
  <si>
    <t>7月4日开通43个</t>
  </si>
  <si>
    <t>7月12日开通27个</t>
  </si>
  <si>
    <t>7月15日开通127个</t>
  </si>
  <si>
    <t>YF机房70个，QYYF17个</t>
  </si>
  <si>
    <t>其中6个万兆端口收取端口占用费， 3万元/个/月，共计18万元/月。每提高5G保底，可减免一个端口占用费。</t>
  </si>
  <si>
    <t>IDC机架占用费</t>
  </si>
  <si>
    <t>在2019年对永丰机房进行改造，保留的房间为B103、B104、B203、B204 共485机柜。如甲方未在2020年3月月31日前完成起租，则需要自4月1日起对未起租机柜按照3000元/机柜/月向乙方交纳资源预占费；每月正预提</t>
  </si>
  <si>
    <t>于2022.3.31退租，不再计提。</t>
  </si>
  <si>
    <t>IDCIP</t>
  </si>
  <si>
    <t>1月28日开通</t>
  </si>
  <si>
    <t>裸光纤（5条）</t>
  </si>
  <si>
    <t>L20221129003</t>
  </si>
  <si>
    <t>BJHW</t>
  </si>
  <si>
    <t>BJHW-电信</t>
  </si>
  <si>
    <t>此段IP为兆维机房外拉至华威机房。兆维机房于2021.1.28新增256个IP。220.181.44.0/24
自2022.6.1开始单价降为20元</t>
  </si>
  <si>
    <t>L20201125002</t>
  </si>
  <si>
    <t>CP01昌平 CDN</t>
  </si>
  <si>
    <t>CP01</t>
  </si>
  <si>
    <t>2021-2-5关闭</t>
  </si>
  <si>
    <t>CQ01 次渠  CDN</t>
  </si>
  <si>
    <t>于2021.4.27迁移至CQ01机房。自2022.5.1开始单价降为20元</t>
  </si>
  <si>
    <t>兆维CDN</t>
  </si>
  <si>
    <t>CDNBJCT</t>
  </si>
  <si>
    <t>2014-1-27</t>
  </si>
  <si>
    <t>L20230322001</t>
  </si>
  <si>
    <t>百度大厦-阳泉</t>
  </si>
  <si>
    <t xml:space="preserve">北京阳泉 ETN0007NP </t>
  </si>
  <si>
    <t>中金机房至汇天机房</t>
  </si>
  <si>
    <t>B17558954</t>
  </si>
  <si>
    <t xml:space="preserve">10M IDC管理专线，付款账户3842
</t>
  </si>
  <si>
    <t xml:space="preserve">10M IDC管理专线，付款账户3842；2022.8.25由10M升速至20M
</t>
  </si>
  <si>
    <t>182215IDC00612</t>
  </si>
  <si>
    <t>凉水河</t>
  </si>
  <si>
    <t>BJLSH</t>
  </si>
  <si>
    <t>9月新增</t>
  </si>
  <si>
    <t>12月新增</t>
  </si>
  <si>
    <t>110A</t>
  </si>
  <si>
    <t>2019.8.26开通14个ODF机柜，2021年5月对账时发现，商务确认暂时先从2021年6月开始计提。BJLSH3D201-01-01
BJLSH3D201-01-06
BJLSH3D201-01-08
BJLSH3D201-02-05
BJLSH3D201-02-07
BJLSH3D201-03-05
BJLSH3D201-03-07
BJLSH3D201-03-08
BJLSH3D201-03-10
BJLSH3D201-04-01
BJLSH3D201-04-06
BJLSH3D201-04-08
BJLSH3D201-04-09
BJLSH3D201-04-11</t>
  </si>
  <si>
    <t>202001新增</t>
  </si>
  <si>
    <t>202002新增</t>
  </si>
  <si>
    <t>2020/2/14关闭</t>
  </si>
  <si>
    <t>2020/3/6关闭</t>
  </si>
  <si>
    <t>2020/3/31关闭</t>
  </si>
  <si>
    <t>2020/4/24关闭</t>
  </si>
  <si>
    <t>202006新增</t>
  </si>
  <si>
    <t>202007新增</t>
  </si>
  <si>
    <t>202008新增</t>
  </si>
  <si>
    <t>202009新增</t>
  </si>
  <si>
    <t>2020-10新增，BJLSH3D301-02-13、BJLSH3D301-02-14、BJLSH3D301-02-15</t>
  </si>
  <si>
    <t>2020-10-26新增，BJLSH3D301-02-16~19</t>
  </si>
  <si>
    <t>2020-10-28新增，BJLSH3D301-02-20、BJLSH3D301-02-21、BJLSH3D301-02-22、
BJLSH3D301-02-23</t>
  </si>
  <si>
    <t>2020-11-3新增，BJLSH3D301-03-01~BJLSH3D301-03-06</t>
  </si>
  <si>
    <t>2020-11-7新增，BJLSH3D301-02-24~BJLSH3D301-02-26、BJLSH3D301-03-07~BJLSH3D301-03-12</t>
  </si>
  <si>
    <t>2020-11-13新增，BJLSH3D301-03-13、BJLSH3D301-03-14</t>
  </si>
  <si>
    <t>2020-11-18新增，BJLSH3D301-03-19~BJLSH3D301-03-26</t>
  </si>
  <si>
    <t>2020-11-24新增，BJLSH3D301-03-27~BJLSH3D301-03-29</t>
  </si>
  <si>
    <t>2020-11-25新增，BJLSH3D301-03-30~BJLSH3D301-03-32</t>
  </si>
  <si>
    <t>2020-11-30新增，BJLSH3D301-04-16、BJLSH3D301-04-17</t>
  </si>
  <si>
    <t>2020-12-3新增，BJLSH3D301-04-06</t>
  </si>
  <si>
    <t>2020-12-7新增，BJLSH3D301-04-01</t>
  </si>
  <si>
    <t>2020-12-8新增，BJLSH3D301-04-02</t>
  </si>
  <si>
    <t>2020-12-10新增，BJLSH3D301-04-03~05</t>
  </si>
  <si>
    <t>2020-12-11新增，BJLSH3D301-04-07~09</t>
  </si>
  <si>
    <t>2020-12-16新增，BJLSH3D301-04-10~15、BJLSH3D301-04-18~22</t>
  </si>
  <si>
    <t>2020-12-22新增，BJLSH3D301-04-23~34</t>
  </si>
  <si>
    <t>2020-12-23新增，BJLSH3D301-05-02~09</t>
  </si>
  <si>
    <t>2020-12-31新增，
BJLSH3D301-05-10
BJLSH3D301-05-11
BJLSH3D301-05-12</t>
  </si>
  <si>
    <t>2021-1-8开通，BJLSH3D302-01-01~16、BJLSH3D302-02-01~06</t>
  </si>
  <si>
    <t>2021-1-12关闭，BJLSH3D302-01-01~16、BJLSH3D302-02-01~06</t>
  </si>
  <si>
    <t>2021-1-12新增，BJLSH3D302-05-01~12、BJLSH3D302-06-01~09、BJLSH3D302-07-02~09</t>
  </si>
  <si>
    <t>2021-1-22新增，BJLSH3D301-05-13~27、BJLSH3D301-06-01~12</t>
  </si>
  <si>
    <t>2021-2-5新增，BJLSH3D302-02-09~13</t>
  </si>
  <si>
    <t>2021-2-24新增，BJLSH3D301-07-01~06</t>
  </si>
  <si>
    <t>2021-2-26新增，BJLSH3D301-06-13
BJLSH3D301-06-14
BJLSH3D301-06-15
BJLSH3D301-06-16
BJLSH3D301-06-17
BJLSH3D301-06-18
BJLSH3D301-06-19
BJLSH3D301-06-20
BJLSH3D301-06-21
BJLSH3D301-06-22
BJLSH3D301-06-23
BJLSH3D302-02-01
BJLSH3D302-02-02
BJLSH3D302-02-03
BJLSH3D302-02-04
BJLSH3D302-02-05
BJLSH3D302-03-01
BJLSH3D302-03-02
BJLSH3D302-03-03
BJLSH3D302-03-04
BJLSH3D302-03-05
BJLSH3D302-03-06
BJLSH3D302-03-07
BJLSH3D302-03-08
BJLSH3D302-03-09
BJLSH3D302-03-10
BJLSH3D302-03-11
BJLSH3D302-03-12
BJLSH3D302-03-13
BJLSH3D302-03-14
BJLSH3D302-03-15
BJLSH3D302-03-16
BJLSH3D302-04-03
BJLSH3D302-04-04
BJLSH3D302-04-05
BJLSH3D302-04-06
BJLSH3D302-04-07
BJLSH3D302-04-08
BJLSH3D302-04-09
BJLSH3D302-04-10
BJLSH3D302-04-11
BJLSH3D302-04-12
BJLSH3D302-04-13
BJLSH3D302-04-14
BJLSH3D302-04-15
BJLSH3D302-04-16
BJLSH3D302-04-17</t>
  </si>
  <si>
    <t>2021-3-8新增，BJLSH3D302-01-01
BJLSH3D302-01-02
BJLSH3D302-01-03
BJLSH3D302-01-04
BJLSH3D302-01-05
BJLSH3D302-01-06
BJLSH3D302-01-07
BJLSH3D302-01-08
BJLSH3D302-02-06
BJLSH3D302-02-07
BJLSH3D302-02-08</t>
  </si>
  <si>
    <t>2021-3-15新增，BJLSH3D301-07-07
BJLSH3D301-07-08
BJLSH3D301-07-09</t>
  </si>
  <si>
    <t>2021-3-16新增，BJLSH3D301-07-10
BJLSH3D301-07-11
BJLSH3D301-07-12
BJLSH3D301-07-13
BJLSH3D301-07-14
BJLSH3D301-07-15
BJLSH3D301-07-16
BJLSH3D301-07-17</t>
  </si>
  <si>
    <t>2021-3-23新增，BJLSH3D301-07-18
BJLSH3D301-07-19
BJLSH3D301-07-20
BJLSH3D301-07-21
BJLSH3D301-07-22</t>
  </si>
  <si>
    <t>2021-3-25新增，BJLSH3D301-07-23
BJLSH3D301-07-24
BJLSH3D301-07-25
BJLSH3D301-07-26
BJLSH3D301-07-27
BJLSH3D301-07-28</t>
  </si>
  <si>
    <t>2021-4-2新增，BJLSH3D302-01-09
BJLSH3D302-01-10
BJLSH3D302-01-11
BJLSH3D302-01-12
BJLSH3D302-01-13
BJLSH3D302-01-14
BJLSH3D302-01-15
BJLSH3D302-01-16</t>
  </si>
  <si>
    <t>2021-4-23新增，BJLSH3D301-08-02
BJLSH3D301-08-03
BJLSH3D301-08-08
BJLSH3D301-08-09
BJLSH3D301-08-14
BJLSH3D301-08-20
BJLSH3D301-08-01
BJLSH3D301-08-07
BJLSH3D301-08-13
BJLSH3D301-08-19</t>
  </si>
  <si>
    <t>2021-4-28新增，BJLSH3D301-08-04
BJLSH3D301-08-05
BJLSH3D301-08-06</t>
  </si>
  <si>
    <t>2021-6-3新增，BJLSH3D301-08-15
BJLSH3D301-08-16
BJLSH3D301-08-17
BJLSH3D301-08-18</t>
  </si>
  <si>
    <t>2021-6-11新增，BJLSH3D302-08-04
BJLSH3D302-08-05
BJLSH3D302-08-06
BJLSH3D302-08-07
BJLSH3D302-08-08
BJLSH3D302-08-09
BJLSH3D302-08-10
BJLSH3D302-08-11
BJLSH3D302-08-12
BJLSH3D302-08-13
BJLSH3D302-08-14
BJLSH3D302-08-15</t>
  </si>
  <si>
    <t>2021-6-4新增，BJLSH3D302-08-03</t>
  </si>
  <si>
    <t>2021-9-1新增，BJLSH3D201-08-01
BJLSH3D201-08-02
BJLSH3D201-08-03
BJLSH3D301-07-29
BJLSH3D301-07-30
BJLSH3D301-07-31
BJLSH3D301-07-32
BJLSH3D301-07-33
BJLSH3D301-07-34
BJLSH3D301-08-10
BJLSH3D301-08-11
BJLSH3D301-08-12</t>
  </si>
  <si>
    <t>2021-9-13新增，
BJLSH3D301-08-21
BJLSH3D301-08-22
BJLSH3D301-08-23</t>
  </si>
  <si>
    <t>2021-11-29关闭，BJLSH3D302-08-07
BJLSH3D302-08-09
BJLSH3D302-08-14
BJLSH3D302-08-15</t>
  </si>
  <si>
    <t>2021-11-29关闭，BJLSH3D201-02-02
BJLSH3D201-02-03
BJLSH3D201-03-02
BJLSH3D201-03-03</t>
  </si>
  <si>
    <t>2022-2-15开通，BJLSH3D302-07-14
BJLSH3D302-07-15
BJLSH3D302-07-16
BJLSH3D302-07-17</t>
  </si>
  <si>
    <t>2022-2-16开通，BJLSH3D302-07-12
BJLSH3D302-07-13</t>
  </si>
  <si>
    <t>2022-2-17开通，BJLSH3D302-07-01</t>
  </si>
  <si>
    <t>2022-2-19开通，BJLSH3D302-07-10
BJLSH3D302-07-11</t>
  </si>
  <si>
    <t>2022-2-21开通，BJLSH3D301-08-24
BJLSH3D301-08-25
BJLSH3D301-08-26
BJLSH3D301-08-27
BJLSH3D301-08-28
BJLSH3D301-08-29
BJLSH3D301-08-30
BJLSH3D301-08-31
BJLSH3D301-08-32</t>
  </si>
  <si>
    <t>2022-12-2关闭，BJLSH3D302-08-04
BJLSH3D302-08-05
BJLSH3D302-08-06
BJLSH3D302-08-13</t>
  </si>
  <si>
    <t>2023-4-18关闭
BJLSH3D302-08-03</t>
  </si>
  <si>
    <t>凉水河到窦店</t>
  </si>
  <si>
    <t>天地祥云---kddi----太和桥---十三里桥----窦店东交接箱，单价605元/月/公里；自2021年6月开始按390元/月/公里计提，差额部分将计提在光环新网</t>
  </si>
  <si>
    <t>天地祥云---南三环东铁营桥--紫竹桥--窦店西交接箱，单价605元/月/公里；自2021年6月开始按390元/月/公里计提，差额部分将计提在光环新网</t>
  </si>
  <si>
    <t>M1-凉水河</t>
  </si>
  <si>
    <t>凉水河到亦庄</t>
  </si>
  <si>
    <t>科技园到凉水河</t>
  </si>
  <si>
    <t>IDCIP代播</t>
  </si>
  <si>
    <t>新增4个C的IP代播，于7月3日开始计费
106.13.244.0/23
106.13.246.0/23</t>
  </si>
  <si>
    <t>182015IDC00224</t>
  </si>
  <si>
    <t>CDNIP</t>
  </si>
  <si>
    <t>新增288个IP，于7月31日开始计费，科技城256个（于2021.4.27迁移至CQ01机房。），兆维32个
221.100.20.32/27</t>
  </si>
  <si>
    <t>新增288个IP，于7月31日开始计费，科技城256个（于2021.4.27迁移至CQ01机房。），兆维32个
106.38.179.0/24；自2022.5.1开始单价降为20元</t>
  </si>
  <si>
    <t>次渠CDN静态</t>
  </si>
  <si>
    <t>BJDD-电信CDN</t>
  </si>
  <si>
    <t>BJDD-电信CDN节点，于2022.5.1新增8个C的IP，免费3个，收费5个
36.110.192.0/24
36.110.219.0/24
36.110.135.0/24
36.110.147.0/24
36.110.164.0/24
36.110.173.0/24
36.110.171.0/24
36.110.176.0/24
自2022.5.1开始单价降为20元</t>
  </si>
  <si>
    <t>中金机房-北京西城区</t>
  </si>
  <si>
    <t>B131003140</t>
  </si>
  <si>
    <t>自2020/5/1从中金云转至北京电信；电路编号：B131003140中金机房-北京西城区金融大街甲15号3层  182015ITE00001</t>
  </si>
  <si>
    <t>2022.8.8退租。
自2020/5/1从中金云转至北京电信；电路编号：B131003140中金机房-北京西城区金融大街甲15号3层  182015ITE00001</t>
  </si>
  <si>
    <t>中金机房-北京通州区</t>
  </si>
  <si>
    <t>B17553231</t>
  </si>
  <si>
    <t>自2020/5/1从中金云转至北京电信；自2021/1/6升速为10M;电路编号：B17553231中金机房-北京市通州区宋庄镇徐尹路与富壁路交叉口，云端产业园4号楼5层</t>
  </si>
  <si>
    <t>汇天机房-北京海淀区</t>
  </si>
  <si>
    <t>B17553353</t>
  </si>
  <si>
    <t>自2020/5/1从中金云转至北京电信；电路编号：B17553353汇天机房- 北京海淀区巨山东路99号人民银行办公区办公楼二层网络机房</t>
  </si>
  <si>
    <t>B17553605</t>
  </si>
  <si>
    <t>自2020/5/1从中金云转至北京电信；电路编号：B17553605中金机房-北京市西城区右安门内大街新安南里甲一号人行</t>
  </si>
  <si>
    <t>汇天机房-北京朝阳区</t>
  </si>
  <si>
    <t>B17554529</t>
  </si>
  <si>
    <t>电路编号：B17554529汇天机房-北京市朝阳区酒仙桥北路甲10号德信大厦6层    客户编号44157</t>
  </si>
  <si>
    <t>汇天机房-北京西城区</t>
  </si>
  <si>
    <t>B17555135</t>
  </si>
  <si>
    <t>电路编号：B17555135汇天机房-北京市西城区金融街33号通泰大厦B座2层机房（中央国债登记结算有限公司）</t>
  </si>
  <si>
    <t>2022.3.31退租。电路编号：B17555135汇天机房-北京市西城区金融街33号通泰大厦B座2层机房（中央国债登记结算有限公司）</t>
  </si>
  <si>
    <t>中金机房-北京金融大街</t>
  </si>
  <si>
    <t>B17555277</t>
  </si>
  <si>
    <t>电路编号：B17555277中金机房-北京市金融大街甲15号3层机房（司法查冻控接入银监会专线）</t>
  </si>
  <si>
    <t>永丰机房-百度大厦</t>
  </si>
  <si>
    <t>BJ1000963609</t>
  </si>
  <si>
    <t>工信部数据中心：北京海淀区永澄北路永丰产业园C区永丰路28号北京电信永丰IDC F319房间8-1机柜；百度数据中心：北京市海淀区上地十街十号百度大厦</t>
  </si>
  <si>
    <t>中金机房-南京</t>
  </si>
  <si>
    <t>B18637943</t>
  </si>
  <si>
    <t>电路编号：B18637943中金机房-南京市下关区张王庙88号M2-A南京凤凰机房</t>
  </si>
  <si>
    <t>中金机房-上海闸北</t>
  </si>
  <si>
    <t>B18638940</t>
  </si>
  <si>
    <t>电路编号：B18638940中金机房-上海市闸北区江场西路387号数据港大厦2楼VIP04的E01机柜</t>
  </si>
  <si>
    <t>于2020.9.30退租。电路编号：B18638940中金机房-上海市闸北区江场西路387号数据港大厦2楼VIP04的E01机柜</t>
  </si>
  <si>
    <t>中金机房-上海浦东</t>
  </si>
  <si>
    <t>B18639302</t>
  </si>
  <si>
    <t>自2021/5/10降速为4M；电路编号：B18639302中金机房-上海市浦东新区顾唐路1699号2号楼4楼机房</t>
  </si>
  <si>
    <t>中金机房-上海嘉定</t>
  </si>
  <si>
    <t>B18644350</t>
  </si>
  <si>
    <t>自2021/5/6降速为2M；电路编号：B18644350中金机房-嘉定数据中心线路上海市汇旺东路 398 号 6 号楼 1 楼上海票交所</t>
  </si>
  <si>
    <t>182215IDC00058</t>
  </si>
  <si>
    <t>其他-防攻击费</t>
  </si>
  <si>
    <t>云堤防攻击费，自2022.1.1开始计提</t>
  </si>
  <si>
    <t>华南-WM</t>
  </si>
  <si>
    <t>广东</t>
  </si>
  <si>
    <t>广东奥飞数据科技股份有限公司</t>
  </si>
  <si>
    <t>奥飞数据</t>
  </si>
  <si>
    <t>182215IDC00694</t>
  </si>
  <si>
    <t>超跑电量</t>
  </si>
  <si>
    <t>根据上月预估，每月正预提</t>
  </si>
  <si>
    <t>80A</t>
  </si>
  <si>
    <t>2022-12-13开通，BJLSH3D201-02-02
BJLSH3D201-03-02
80A（18KW）按40A结算</t>
  </si>
  <si>
    <t>182315IDC00094</t>
  </si>
  <si>
    <t>固安聚龙一期一批</t>
  </si>
  <si>
    <t>GAJL</t>
  </si>
  <si>
    <t>2022.8.19开通
GAJLD742-E-14
GAJLD742-H-14
GAJLD741-E-01
GAJLD741-F-01
GAJLD731-J-10
GAJLD731-N-10</t>
  </si>
  <si>
    <t>2022.8.19开通
GAJLD741-D-01
GAJLD741-D-02
GAJLD741-D-03
GAJLD741-D-04
GAJLD741-D-05
GAJLD741-D-06
GAJLD741-D-07
GAJLD741-D-08
GAJLD741-E-02
GAJLD741-E-03
GAJLD741-E-04
GAJLD741-E-05
GAJLD741-E-06
GAJLD741-E-07
GAJLD741-E-08
GAJLD741-E-09
GAJLD741-E-10
GAJLD741-E-11
GAJLD741-E-12
GAJLD741-E-13
GAJLD741-F-02
GAJLD741-F-03
GAJLD741-F-04
GAJLD741-F-05
GAJLD741-F-06
GAJLD741-F-07
GAJLD741-F-08
GAJLD741-F-09
GAJLD741-F-10
GAJLD741-F-11
GAJLD742-C-01
GAJLD742-D-01
GAJLD742-E-03
GAJLD742-E-06
GAJLD742-F-01
GAJLD742-F-05
GAJLD742-F-08
GAJLD742-G-01
GAJLD742-G-06
GAJLD742-G-09
GAJLD742-H-06
GAJLD742-H-12
GAJLD731-A-02
GAJLD731-A-03
GAJLD731-A-04
GAJLD731-A-05
GAJLD731-A-06
GAJLD731-B-02
GAJLD731-B-03
GAJLD731-B-04
GAJLD731-C-05
GAJLD731-C-06
GAJLD731-C-07
GAJLD731-C-08
GAJLD731-D-03
GAJLD731-D-04
GAJLD731-D-05
GAJLD731-D-06
GAJLD731-E-11
GAJLD731-F-11
GAJLD731-J-06
GAJLD731-J-07
GAJLD731-J-08
GAJLD731-J-09
GAJLD731-K-02
GAJLD731-K-04
GAJLD731-K-06
GAJLD731-K-07
GAJLD731-M-06
GAJLD731-M-07
GAJLD731-N-06
GAJLD731-N-07
GAJLD731-N-08
GAJLD731-N-09
GAJLD741-A-01
GAJLD741-A-02
GAJLD741-A-03
GAJLD741-A-04
GAJLD741-A-05
GAJLD741-A-06
GAJLD741-A-07
GAJLD741-A-08
GAJLD741-B-01
GAJLD741-B-02
GAJLD741-B-03
GAJLD741-B-04
GAJLD741-B-05
GAJLD741-B-06
GAJLD741-B-07
GAJLD741-B-08
GAJLD741-C-01
GAJLD741-C-02
GAJLD741-C-03
GAJLD741-C-04
GAJLD741-C-05
GAJLD741-C-06
GAJLD741-D-09
GAJLD741-D-10
GAJLD741-H-13
GAJLD741-G-13</t>
  </si>
  <si>
    <t>2022.8.19开通
GAJLD731-K-02
GAJLD731-K-04</t>
  </si>
  <si>
    <t>2022.8.19开通
GAJLD731-K-06
GAJLD731-M-06</t>
  </si>
  <si>
    <t>L20220826002</t>
  </si>
  <si>
    <t>2022.8.20开通2个ODF机柜，免费
GAJLD742-E-01
GAJLD742-H-01</t>
  </si>
  <si>
    <t>2022.8.26开通
GAJLD731-E-09
GAJLD731-E-10
GAJLD731-F-09
GAJLD731-F-10</t>
  </si>
  <si>
    <t>2022.9.8开通
GAJLD731-G-02
GAJLD731-H-02</t>
  </si>
  <si>
    <t>2022.9.9开通
GAJLD742-A-02
GAJLD742-A-03</t>
  </si>
  <si>
    <t xml:space="preserve">2022.9.10开通2个ODF机柜，免费
GAJLD731-J-01
GAJLD731-N-01 </t>
  </si>
  <si>
    <t>2022.11.2开通
GAJLD731-M-02
GAJLD731-M-04</t>
  </si>
  <si>
    <t>2022.11.2开通
GAJLD742-E-02</t>
  </si>
  <si>
    <t>2022.11.5开通
GAJLD742-F-11
GAJLD742-G-12
GAJLD742-J-02
GAJLD742-J-05
GAJLD742-K-05
GAJLD742-M-02</t>
  </si>
  <si>
    <t>2022.11.17开通
GAJLD742-E-04
GAJLD742-E-05
GAJLD742-E-07
GAJLD742-E-08
GAJLD742-E-09</t>
  </si>
  <si>
    <t>2022.12.8开通
GAJLD732-E-14</t>
  </si>
  <si>
    <t>2022.12.8开通
GAJLD732-F-01
GAJLD732-G-01</t>
  </si>
  <si>
    <t>2022.12.10开通
GAJLD742-F-02
GAJLD742-G-03</t>
  </si>
  <si>
    <t>2022.12.14开通
GAJLD742-F-03
GAJLD742-F-04
GAJLD742-F-06</t>
  </si>
  <si>
    <t>2022.12.15开通
GAJLD742-E-10</t>
  </si>
  <si>
    <t>2022.12.19开通GAJLD742-G-02
GAJLD742-G-04
GAJLD742-G-05</t>
  </si>
  <si>
    <t>2023.1.2开通
GAJLD742-D-02
GAJLD742-D-03
GAJLD742-D-04
GAJLD742-D-05
GAJLD742-D-06
GAJLD742-D-07
GAJLD742-D-08
GAJLD742-D-09
GAJLD742-D-10
GAJLD742-D-11
GAJLD742-D-12
GAJLD742-D-13
GAJLD742-D-14
GAJLD751-A-03</t>
  </si>
  <si>
    <t>2023.1.3开通
GAJLD751-F-14</t>
  </si>
  <si>
    <t>2023.1.3开通
GAJLD741-G-10
GAJLD741-G-11
GAJLD741-G-12
GAJLD741-H-10
GAJLD741-H-11
GAJLD741-H-12</t>
  </si>
  <si>
    <t>2023.1.3开通
GAJLD751-A-01
GAJLD751-A-02
GAJLD751-A-12
GAJLD751-A-13
GAJLD751-A-14
GAJLD751-A-15
GAJLD751-B-01
GAJLD751-B-02
GAJLD751-B-12
GAJLD751-B-13
GAJLD751-B-14
GAJLD751-B-15
GAJLD751-C-01
GAJLD751-C-02
GAJLD751-D-02
GAJLD751-D-03</t>
  </si>
  <si>
    <t>已与财务达成一致关联40A合同行，每月负预提7950元调整差额。
2023.1.3开通
GAJLD751-D-01
GAJLD751-E-01
2个机柜SYS反馈40A，运营商反馈从2023.3.22开始改造为20A，以运营商侧数据为准对我方有利，故2个40A机柜按20A价格结算。</t>
  </si>
  <si>
    <t>2023.1.4开通
GAJLD751-A-04
GAJLD751-A-05
GAJLD751-A-06
GAJLD751-A-07
GAJLD751-B-03
GAJLD751-B-04
GAJLD751-B-05
GAJLD751-B-06
GAJLD751-B-07
GAJLD751-B-08
GAJLD751-B-09
GAJLD751-B-10
GAJLD751-B-11</t>
  </si>
  <si>
    <t>2023.1.8开通
GAJLD751-A-08
GAJLD751-A-09
GAJLD751-A-10
GAJLD751-A-11
GAJLD751-C-03
GAJLD751-C-04
GAJLD751-C-05
GAJLD751-C-06
GAJLD751-C-07
GAJLD751-C-08
GAJLD751-C-09
GAJLD751-C-10</t>
  </si>
  <si>
    <t>2023.1.11开通GAJLD742-C-11</t>
  </si>
  <si>
    <t>2023.1.12开通GAJLD742-K-01
GAJLD742-K-02
GAJLD742-K-03</t>
  </si>
  <si>
    <t>2023.1.31开通
GAJLD732-G-14</t>
  </si>
  <si>
    <t>2023.1.31开通
GAJLD732-K-01
GAJLD732-K-02</t>
  </si>
  <si>
    <t>2022.12.23开通
GAJLD751-A-16
GAJLD751-B-16</t>
  </si>
  <si>
    <t>2023.2.1开通
GAJLD751-C-11
GAJLD751-C-12
GAJLD751-C-13
GAJLD751-C-14
GAJLD751-D-04
GAJLD751-D-05
GAJLD751-D-06
GAJLD751-D-07
GAJLD751-D-08
GAJLD751-D-09
GAJLD751-D-10
GAJLD751-D-11
GAJLD751-D-12
GAJLD751-D-13
GAJLD751-D-14
GAJLD751-D-15</t>
  </si>
  <si>
    <t>2023.2.1开通
GAJLD751-D-16</t>
  </si>
  <si>
    <t>2023.2.9开通
GAJLD751-E-02
GAJLD751-E-03
GAJLD751-E-12
GAJLD751-E-13
GAJLD751-E-14
GAJLD751-E-15
GAJLD751-F-01
GAJLD751-F-02
GAJLD751-G-01
GAJLD751-G-02
GAJLD751-H-01
GAJLD751-H-02
GAJLD751-H-12
GAJLD751-H-13
GAJLD751-H-14
GAJLD751-H-15</t>
  </si>
  <si>
    <t>2023.2.10开通
GAJLD751-E-16
GAJLD751-H-16</t>
  </si>
  <si>
    <t>2023.2.15开通GAJLD751-E-04
GAJLD751-E-05
GAJLD751-E-06
GAJLD751-E-07
GAJLD751-E-08
GAJLD751-E-09
GAJLD751-E-10
GAJLD751-E-11
GAJLD751-F-03
GAJLD751-F-04</t>
  </si>
  <si>
    <t>2023.2.17开通GAJLD751-H-10
GAJLD751-H-11</t>
  </si>
  <si>
    <t>2023.2.21开通GAJLD751-F-13
GAJLD751-G-03
GAJLD751-G-04
GAJLD751-G-05
GAJLD751-G-06
GAJLD751-G-08
GAJLD751-G-09
GAJLD751-G-10
GAJLD751-H-08
GAJLD751-H-09</t>
  </si>
  <si>
    <t>2023.2.24开通
GAJLD751-J-01
GAJLD751-J-02
GAJLD751-K-01
GAJLD751-K-02
GAJLD751-M-01
GAJLD751-M-02
GAJLD751-M-12
GAJLD751-M-13
GAJLD751-M-14
GAJLD751-M-15
GAJLD751-M-16
GAJLD751-N-01
GAJLD751-N-02
GAJLD751-N-10
GAJLD751-N-11
GAJLD751-N-12
GAJLD751-N-13
GAJLD751-N-14</t>
  </si>
  <si>
    <t>2023.2.25开通GAJLD751-F-05
GAJLD751-F-06
GAJLD751-F-07
GAJLD751-F-08
GAJLD751-G-07</t>
  </si>
  <si>
    <t>2023.2.28开通GAJLD733-F-01
GAJLD733-G-01</t>
  </si>
  <si>
    <t>2023.2.28开通GAJLD733-F-14</t>
  </si>
  <si>
    <t>2023.3.1开通
GAJLD751-G-11
GAJLD751-G-12</t>
  </si>
  <si>
    <t>2023.3.2开通
GAJLD732-N-11</t>
  </si>
  <si>
    <t>2023.3.3开通
GAJLD751-G-13
GAJLD751-G-14
GAJLD751-G-15
GAJLD751-H-03
GAJLD751-H-04
GAJLD751-H-05
GAJLD751-H-06
GAJLD751-H-07
GAJLD751-J-03
GAJLD751-J-04
GAJLD751-J-05
GAJLD751-J-06
GAJLD733-A-01
GAJLD733-A-13
GAJLD733-A-14
GAJLD733-A-15
GAJLD733-A-16
GAJLD733-B-01
GAJLD733-B-13
GAJLD733-B-14
GAJLD733-B-15
GAJLD733-B-16
GAJLD733-C-01
GAJLD733-D-01</t>
  </si>
  <si>
    <t>2023.3.6开通
GAJLD751-M-03
GAJLD751-M-04
GAJLD751-M-05
GAJLD751-M-06
GAJLD751-M-07
GAJLD751-M-08</t>
  </si>
  <si>
    <t>2023.3.7开通
GAJLD751-J-07
GAJLD751-J-08
GAJLD751-J-09
GAJLD751-J-10
GAJLD751-J-11
GAJLD751-J-12
GAJLD751-J-13
GAJLD751-J-14
GAJLD751-K-03
GAJLD751-K-04
GAJLD751-K-05
GAJLD751-K-06
GAJLD751-K-07
GAJLD751-K-08
GAJLD751-K-09
GAJLD751-K-10
GAJLD751-K-11
GAJLD751-K-12
GAJLD751-K-13
GAJLD751-K-14
GAJLD751-K-15
GAJLD751-K-16
GAJLD751-M-09
GAJLD751-M-10
GAJLD751-M-11
GAJLD751-F-09
GAJLD751-F-10
GAJLD751-F-11
GAJLD751-F-12</t>
  </si>
  <si>
    <t>补3月计提
2023.3.7补开通4个40A机柜
GAJLD751-F-09
GAJLD751-F-10
GAJLD751-F-11
GAJLD751-F-12</t>
  </si>
  <si>
    <t>2023.3.9开通
GAJLD751-N-03
GAJLD751-N-04
GAJLD751-N-05
GAJLD733-A-02
GAJLD733-A-03
GAJLD733-A-04</t>
  </si>
  <si>
    <t>2023.3.10开通
GAJLD751-N-06
GAJLD751-N-07
GAJLD751-N-08</t>
  </si>
  <si>
    <t xml:space="preserve">2023.3.14开通
GAJLD742-J-01
GAJLD742-J-03
GAJLD742-J-04
GAJLD742-J-06
GAJLD742-J-07
GAJLD742-J-08 </t>
  </si>
  <si>
    <t>2023.3.15开通
GAJLD733-A-05
GAJLD733-A-06
GAJLD733-A-07
GAJLD733-A-08</t>
  </si>
  <si>
    <t>2023.3.15关闭
GAJLD741-F-08
GAJLD741-F-09
GAJLD741-F-10
GAJLD742-C-11
GAJLD742-D-14</t>
  </si>
  <si>
    <t>2023.3.16开通
GAJLD742-F-07
GAJLD742-G-07
GAJLD742-H-13
GAJLD742-K-04
GAJLD742-K-06
GAJLD742-M-01
GAJLD742-M-13
GAJLD742-M-14
GAJLD742-N-10
GAJLD742-N-11</t>
  </si>
  <si>
    <t>2023.3.17开通
GAJLD741-G-07
GAJLD741-G-08
GAJLD741-G-09
GAJLD741-H-07
GAJLD741-H-08
GAJLD741-H-09
GAJLD742-F-12
GAJLD742-G-10
GAJLD742-G-11
GAJLD742-G-13
GAJLD742-H-02
GAJLD742-H-03
GAJLD742-J-10
GAJLD742-J-11
GAJLD742-K-13
GAJLD742-K-14
GAJLD742-N-12
GAJLD742-F-09
GAJLD742-F-10
GAJLD742-G-08
GAJLD742-H-11
GAJLD742-J-09
GAJLD742-M-03</t>
  </si>
  <si>
    <t>补3月计提
2023.3.17补开通6个40A机柜
GAJLD742-F-09
GAJLD742-F-10
GAJLD742-G-08
GAJLD742-H-11
GAJLD742-J-09
GAJLD742-M-03</t>
  </si>
  <si>
    <t>2023.3.18开通
GAJLD742-H-04
GAJLD742-H-05
GAJLD742-H-07
GAJLD742-H-08
GAJLD742-H-09
GAJLD742-H-10
GAJLD742-J-12
GAJLD742-K-07
GAJLD742-K-08
GAJLD742-K-09
GAJLD742-K-10
GAJLD742-K-11
GAJLD742-K-12</t>
  </si>
  <si>
    <t>2023.3.19开通
GAJLD733-E-13
GAJLD733-E-14
GAJLD733-E-15
GAJLD733-E-16
GAJLD733-H-13
GAJLD733-H-14
GAJLD733-H-15
GAJLD733-H-16
GAJLD733-M-13
GAJLD733-M-14
GAJLD733-M-15
GAJLD733-N-11
GAJLD733-N-12
GAJLD733-N-13
GAJLD733-N-14</t>
  </si>
  <si>
    <t xml:space="preserve">2023.3.20开通
GAJLD742-M-07
GAJLD742-M-08
GAJLD742-M-09
</t>
  </si>
  <si>
    <t>2023.3.21开通
GAJLD742-A-01
GAJLD733-M-16
GAJLD742-M-04
GAJLD742-M-05
GAJLD742-M-06
GAJLD742-M-10
GAJLD742-M-11
GAJLD742-M-12
GAJLD742-N-01
GAJLD742-N-02
GAJLD742-N-03
GAJLD742-N-04
GAJLD742-N-05
GAJLD742-N-06
GAJLD742-N-07
GAJLD742-N-08
GAJLD742-N-09</t>
  </si>
  <si>
    <t>补3月计提
2023.3.21补开通16个40A机柜
GAJLD733-M-16
GAJLD742-M-04
GAJLD742-M-05
GAJLD742-M-06
GAJLD742-M-10
GAJLD742-M-11
GAJLD742-M-12
GAJLD742-N-01
GAJLD742-N-02
GAJLD742-N-03
GAJLD742-N-04
GAJLD742-N-05
GAJLD742-N-06
GAJLD742-N-07
GAJLD742-N-08
GAJLD742-N-09</t>
  </si>
  <si>
    <t>2023.3.22开通
GAJLD732-A-01
GAJLD732-A-03
GAJLD733-A-09
GAJLD733-A-10
GAJLD733-A-11
GAJLD733-A-12</t>
  </si>
  <si>
    <t>2023.3.23开通
GAJLD732-A-02</t>
  </si>
  <si>
    <t>补3月计提
2023.3.23补开通1个40A机柜
GAJLD732-A-02</t>
  </si>
  <si>
    <t>2023.3.24开通
GAJLD733-B-02
GAJLD733-B-03
GAJLD733-B-04
GAJLD733-B-05
GAJLD733-B-06
GAJLD733-B-07
GAJLD733-B-08
GAJLD733-B-09
GAJLD733-B-10
GAJLD733-B-11
GAJLD733-B-12
GAJLD733-C-02
GAJLD733-C-03
GAJLD733-C-04
GAJLD733-C-05
GAJLD733-C-06
GAJLD733-C-07
GAJLD733-C-08
GAJLD733-C-09
GAJLD733-C-10
GAJLD733-C-11
GAJLD733-C-12
GAJLD733-C-13
GAJLD733-C-14
GAJLD733-D-02
GAJLD733-D-03
GAJLD733-D-04
GAJLD733-D-05
GAJLD733-D-06
GAJLD733-D-07
GAJLD733-D-08
GAJLD733-D-09
GAJLD733-D-10
GAJLD733-D-11
GAJLD733-D-12
GAJLD733-D-13
GAJLD733-D-14
GAJLD733-D-15
GAJLD733-D-16
GAJLD733-E-01
GAJLD733-E-03
GAJLD733-E-04
GAJLD733-E-05
GAJLD733-E-06
GAJLD733-E-07
GAJLD733-E-08
GAJLD733-E-09
GAJLD733-E-10
GAJLD733-E-11
GAJLD733-E-12
GAJLD733-F-03
GAJLD733-F-04
GAJLD733-F-05
GAJLD733-F-06
GAJLD733-F-07
GAJLD733-F-08
GAJLD733-F-09
GAJLD733-F-10
GAJLD733-F-11
GAJLD733-F-12
GAJLD733-F-13</t>
  </si>
  <si>
    <t>补3月计提
2023.3.24补开通61个40A机柜
GAJLD733-B-02
GAJLD733-B-03
GAJLD733-B-04
GAJLD733-B-05
GAJLD733-B-06
GAJLD733-B-07
GAJLD733-B-08
GAJLD733-B-09
GAJLD733-B-10
GAJLD733-B-11
GAJLD733-B-12
GAJLD733-C-02
GAJLD733-C-03
GAJLD733-C-04
GAJLD733-C-05
GAJLD733-C-06
GAJLD733-C-07
GAJLD733-C-08
GAJLD733-C-09
GAJLD733-C-10
GAJLD733-C-11
GAJLD733-C-12
GAJLD733-C-13
GAJLD733-C-14
GAJLD733-D-02
GAJLD733-D-03
GAJLD733-D-04
GAJLD733-D-05
GAJLD733-D-06
GAJLD733-D-07
GAJLD733-D-08
GAJLD733-D-09
GAJLD733-D-10
GAJLD733-D-11
GAJLD733-D-12
GAJLD733-D-13
GAJLD733-D-14
GAJLD733-D-15
GAJLD733-D-16
GAJLD733-E-01
GAJLD733-E-03
GAJLD733-E-04
GAJLD733-E-05
GAJLD733-E-06
GAJLD733-E-07
GAJLD733-E-08
GAJLD733-E-09
GAJLD733-E-10
GAJLD733-E-11
GAJLD733-E-12
GAJLD733-F-03
GAJLD733-F-04
GAJLD733-F-05
GAJLD733-F-06
GAJLD733-F-07
GAJLD733-F-08
GAJLD733-F-09
GAJLD733-F-10
GAJLD733-F-11
GAJLD733-F-12
GAJLD733-F-13</t>
  </si>
  <si>
    <t>2023.3.25开通
GAJLD751-N-09</t>
  </si>
  <si>
    <t>补3月计提
2023.3.25补开通1个40A机柜
GAJLD751-N-09</t>
  </si>
  <si>
    <t>2023.3.26开通
GAJLD742-B-05
GAJLD742-B-06
GAJLD742-B-07
GAJLD742-B-08
GAJLD742-B-09
GAJLD733-E-02
GAJLD733-F-02
GAJLD733-G-02
GAJLD733-G-03
GAJLD733-G-04
GAJLD733-G-05
GAJLD733-G-06
GAJLD733-G-07
GAJLD733-G-08
GAJLD733-G-09
GAJLD733-G-10
GAJLD733-G-11
GAJLD733-G-12
GAJLD733-G-13
GAJLD733-G-14
GAJLD733-G-15
GAJLD733-H-02
GAJLD733-H-03
GAJLD733-H-04
GAJLD733-H-05
GAJLD733-H-06
GAJLD733-H-07
GAJLD733-H-08
GAJLD733-H-09
GAJLD733-H-10
GAJLD733-H-11
GAJLD733-H-12
GAJLD733-J-01
GAJLD733-K-01
GAJLD733-M-01
GAJLD733-M-08
GAJLD733-M-09
GAJLD733-M-10
GAJLD733-M-11
GAJLD733-M-12
GAJLD733-N-01
GAJLD733-N-02
GAJLD733-N-03
GAJLD733-N-04
GAJLD733-N-05
GAJLD733-N-06
GAJLD733-N-07
GAJLD733-N-08
GAJLD733-N-09
GAJLD733-N-10</t>
  </si>
  <si>
    <t>此机柜经再次核对，应为40A机柜，补3月计提差额。2023.3.26开通
GAJLD733-H-01</t>
  </si>
  <si>
    <t xml:space="preserve">2023.3.27开通
GAJLD733-M-02
GAJLD733-M-03
GAJLD733-M-04
GAJLD733-M-05
GAJLD733-M-06
</t>
  </si>
  <si>
    <t xml:space="preserve">2023.3.28开通
GAJLD732-A-07
GAJLD732-A-08
GAJLD732-A-09
GAJLD732-A-10
GAJLD732-A-11
GAJLD732-A-12
GAJLD732-A-13
GAJLD732-A-14
GAJLD732-B-01
GAJLD732-B-02
GAJLD732-B-03
GAJLD732-B-04
GAJLD732-B-05
GAJLD732-B-06
GAJLD732-B-07
GAJLD732-B-08
GAJLD732-B-09
GAJLD732-B-10
</t>
  </si>
  <si>
    <t xml:space="preserve">2023.3.30开通
GAJLD733-J-02
GAJLD733-J-03
GAJLD733-J-04
GAJLD733-J-05
GAJLD733-J-06
GAJLD733-J-07
GAJLD733-J-08
GAJLD733-J-09
GAJLD733-J-10
GAJLD733-J-11
GAJLD733-J-12
GAJLD733-J-13
GAJLD733-J-14
GAJLD733-K-02
GAJLD733-K-03
GAJLD733-K-04
GAJLD733-K-05
GAJLD733-K-06
GAJLD733-K-07
GAJLD733-K-08
GAJLD733-K-09
GAJLD733-K-10
GAJLD733-K-11
GAJLD733-K-12
GAJLD733-K-13
GAJLD733-K-14
GAJLD733-K-15
GAJLD733-K-16
GAJLD733-M-07
</t>
  </si>
  <si>
    <t>2023.4.3开通
GAJLD742-A-06
GAJLD742-A-07
GAJLD742-A-08
GAJLD742-A-09
GAJLD742-A-10
GAJLD742-A-11
GAJLD742-A-12
GAJLD742-A-13
GAJLD732-A-04
GAJLD732-A-05
GAJLD732-A-06
GAJLD732-B-11
GAJLD732-B-12
GAJLD732-B-13</t>
  </si>
  <si>
    <t>2023.4.13开通
GAJLD732-B-14</t>
  </si>
  <si>
    <t>滴滴聚龙一期一批</t>
  </si>
  <si>
    <t>DDJL</t>
  </si>
  <si>
    <t>2022.9.13开通
DDJL743-D-03
DDJL743-D-04</t>
  </si>
  <si>
    <t>2022.9.14开通
DDJL743-A-01
DDJL743-A-02
DDJL743-A-03
DDJL743-A-04
DDJL743-A-05
DDJL743-A-06
DDJL743-A-07
DDJL743-A-08
DDJL743-A-09
DDJL743-A-10
DDJL743-A-11
DDJL743-A-12
DDJL743-A-13
DDJL743-A-14
DDJL743-A-15
DDJL743-B-01
DDJL743-B-02
DDJL743-B-03
DDJL743-B-04
DDJL743-B-05
DDJL743-B-06
DDJL743-B-07
DDJL743-B-08
DDJL743-B-09
DDJL743-B-10
DDJL743-B-11
DDJL743-B-12
DDJL743-B-13
DDJL743-B-14
DDJL743-B-15
DDJL743-C-04
DDJL743-C-05
DDJL743-D-05
DDJL743-E-03
DDJL743-E-04
DDJL743-E-05</t>
  </si>
  <si>
    <t>2022.9.15开通
DDJL743-C-06
DDJL743-C-07
DDJL743-C-08
DDJL743-C-09
DDJL743-C-10
DDJL743-C-11
DDJL743-C-12
DDJL743-D-09
DDJL743-D-10
DDJL743-D-11
DDJL743-D-12
DDJL743-E-09
DDJL743-E-10</t>
  </si>
  <si>
    <t>2022.9.21开通
DDJL743-C-02
DDJL743-C-03
DDJL743-D-01
DDJL743-D-02
DDJL743-E-01
DDJL743-E-02
DDJL743-E-12
DDJL743-E-15
DDJL743-F-02
DDJL743-F-03
DDJL743-F-05
DDJL743-F-08
DDJL743-F-11
DDJL743-G-02
DDJL743-G-05
DDJL743-G-08
DDJL743-G-11
DDJL743-G-14
DDJL743-H-02
DDJL743-H-05
DDJL743-H-08
DDJL743-H-11
DDJL743-H-14
DDJL743-J-02
DDJL743-J-05
DDJL743-J-08
DDJL743-J-11
DDJL743-J-13
DDJL743-K-02
DDJL743-K-05
DDJL743-K-08
DDJL743-K-11
DDJL743-K-14
DDJL743-M-02
DDJL743-M-05
DDJL743-M-08
DDJL743-M-11
DDJL743-M-14
DDJL743-N-02
DDJL743-N-05
DDJL743-N-08
DDJL743-N-11
DDJL743-N-13
DDJL743-D-15</t>
  </si>
  <si>
    <t>2022.9.21开通
DDJL743-F-14</t>
  </si>
  <si>
    <t>2022.9.27开通
DDJL743-E-07
DDJL743-D-07</t>
  </si>
  <si>
    <t>2022.11.23开通
DDJL743-D-13
DDJL743-D-14
DDJL743-E-11
DDJL743-E-13
DDJL743-E-14
DDJL743-E-16
DDJL743-D-16</t>
  </si>
  <si>
    <t>2022.12.28开通
DDJL743-F-07
DDJL743-F-10</t>
  </si>
  <si>
    <t>2023.1.30开通
DDJL743-F-04
DDJL743-F-09
DDJL743-F-12</t>
  </si>
  <si>
    <t xml:space="preserve">2023.3.17关闭
DDJL743-D-07
DDJL743-E-07
DDJL743-G-02
DDJL743-G-05
DDJL743-G-08
DDJL743-G-11
DDJL743-G-14
DDJL743-H-02
DDJL743-H-05
DDJL743-H-08
DDJL743-H-11
DDJL743-H-14
DDJL743-J-02
DDJL743-J-05
DDJL743-J-08
DDJL743-J-11
DDJL743-J-13
DDJL743-K-02
DDJL743-K-05
DDJL743-K-08
DDJL743-K-11
DDJL743-K-14
DDJL743-M-02
DDJL743-M-05
DDJL743-M-08
DDJL743-M-11
DDJL743-M-14
DDJL743-N-02
DDJL743-N-05
DDJL743-N-08
DDJL743-N-11
DDJL743-N-13
</t>
  </si>
  <si>
    <t>固安机房</t>
  </si>
  <si>
    <t>GAJL&amp;DDJL</t>
  </si>
  <si>
    <t>根据上月对账预估，每月正预提。
预提时将40A机柜全部关联单价为7950元的合同行，若发生（28A＜单机柜平均电流≤40A）超电时，用超电机柜数量*（8550-7950）进行预提。</t>
  </si>
  <si>
    <t>补固安3月超电流；3月有4个机柜电流超出40A，单价应按8550元/月/个结算，补差额</t>
  </si>
  <si>
    <t>L20230424015</t>
  </si>
  <si>
    <t>固安聚龙一期二批</t>
  </si>
  <si>
    <t xml:space="preserve">2023.3.24开通
GAJLD752-A-01
GAJLD752-A-02
GAJLD752-A-03
GAJLD752-A-04
GAJLD752-B-01
GAJLD752-B-02
GAJLD752-B-03
GAJLD752-B-04
GAJLD752-C-01
GAJLD752-C-02
GAJLD752-C-03
GAJLD752-C-04
GAJLD752-D-01
GAJLD752-D-02
GAJLD752-D-03
GAJLD752-D-04
GAJLD752-E-01
GAJLD752-E-02
GAJLD752-E-03
GAJLD752-E-04
GAJLD752-F-01
GAJLD752-F-02
GAJLD752-F-03
GAJLD752-F-04
GAJLD752-G-02
GAJLD752-H-02
GAJLD752-J-01
GAJLD752-J-02
GAJLD752-J-03
GAJLD752-J-04
GAJLD752-K-01
GAJLD752-K-02
GAJLD752-K-03
GAJLD752-K-04
</t>
  </si>
  <si>
    <t xml:space="preserve">补3月计提
2023.3.24开通
GAJLD752-A-01
GAJLD752-A-02
GAJLD752-A-03
GAJLD752-A-04
GAJLD752-B-01
GAJLD752-B-02
GAJLD752-B-03
GAJLD752-B-04
GAJLD752-C-01
GAJLD752-C-02
GAJLD752-C-03
GAJLD752-C-04
GAJLD752-D-01
GAJLD752-D-02
GAJLD752-D-03
GAJLD752-D-04
GAJLD752-E-01
GAJLD752-E-02
GAJLD752-E-03
GAJLD752-E-04
GAJLD752-F-01
GAJLD752-F-02
GAJLD752-F-03
GAJLD752-F-04
GAJLD752-G-02
GAJLD752-H-02
GAJLD752-J-01
GAJLD752-J-02
GAJLD752-J-03
GAJLD752-J-04
GAJLD752-K-01
GAJLD752-K-02
GAJLD752-K-03
GAJLD752-K-04
</t>
  </si>
  <si>
    <t xml:space="preserve">2023.3.25开通
GAJLD752-G-01
GAJLD753-J-14(再次核对此为20A机柜)
</t>
  </si>
  <si>
    <t>2023.3.25开通
GAJLD753-A-01
GAJLD753-A-03
GAJLD753-A-05
GAJLD753-A-07
GAJLD753-A-13
GAJLD753-A-15
GAJLD753-B-01
GAJLD753-B-03
GAJLD753-B-09
GAJLD753-B-11
GAJLD753-B-13
GAJLD753-B-15
GAJLD753-C-01
GAJLD753-C-03
GAJLD753-C-05
GAJLD753-C-11
GAJLD753-C-13
GAJLD753-D-01
GAJLD753-D-03
GAJLD753-D-05
GAJLD753-D-07
GAJLD753-D-09
GAJLD753-D-11
GAJLD753-D-13
GAJLD753-D-15
GAJLD753-E-01
GAJLD753-E-03
GAJLD753-E-05
GAJLD753-E-07
GAJLD753-E-09
GAJLD753-E-11
GAJLD753-E-13
GAJLD753-E-15
GAJLD753-F-01
GAJLD753-F-03
GAJLD753-F-05
GAJLD753-F-07
GAJLD753-F-09
GAJLD753-F-11
GAJLD753-F-13
GAJLD753-G-01
GAJLD753-G-03
GAJLD753-G-13
GAJLD753-G-15
GAJLD753-H-01
GAJLD753-H-03
GAJLD753-H-05
GAJLD753-H-07
GAJLD753-H-13
GAJLD753-H-15
GAJLD753-J-01
GAJLD753-J-03
GAJLD753-J-05
GAJLD753-J-07
GAJLD753-J-11
GAJLD753-J-13</t>
  </si>
  <si>
    <t>2023.3.27开通
GAJLD753-C-02
GAJLD753-C-04
GAJLD753-C-06
GAJLD753-C-07
GAJLD753-C-08
GAJLD753-C-09
GAJLD753-D-02
GAJLD753-D-04
GAJLD753-D-06
GAJLD753-D-08
GAJLD753-D-10
GAJLD753-E-02
GAJLD753-E-04
GAJLD753-E-06
GAJLD753-D-12</t>
  </si>
  <si>
    <t>补3月计提
2023.3.27补开通
GAJLD753-D-12</t>
  </si>
  <si>
    <t xml:space="preserve">2023.3.28开通
GAJLD752-F-05
GAJLD752-F-06
GAJLD752-F-07
GAJLD752-F-08
</t>
  </si>
  <si>
    <t>2023.3.29开通
GAJLD752-E-14
GAJLD752-F-12</t>
  </si>
  <si>
    <t>补3月计提
2023.3.24开通
GAJLD752-E-14
GAJLD752-F-12</t>
  </si>
  <si>
    <t>2023.4.1开通
GAJLD752-A-05
GAJLD752-A-06
GAJLD752-A-07
GAJLD752-A-08
GAJLD752-A-09
GAJLD752-A-10
GAJLD752-A-11
GAJLD752-A-12
GAJLD752-B-05
GAJLD752-B-06
GAJLD752-B-07
GAJLD752-B-08
GAJLD752-B-09
GAJLD752-B-10
GAJLD752-B-11
GAJLD752-B-12
GAJLD752-C-05
GAJLD752-C-06
GAJLD752-C-07
GAJLD752-C-08
GAJLD752-C-09
GAJLD752-C-10
GAJLD752-C-11
GAJLD752-C-12
GAJLD752-D-05
GAJLD752-D-06
GAJLD752-D-07
GAJLD752-D-08
GAJLD752-D-09
GAJLD752-D-10
GAJLD752-D-11
GAJLD752-D-12
GAJLD752-E-05
GAJLD752-E-06
GAJLD752-E-07
GAJLD752-A-13
GAJLD752-A-14
GAJLD752-B-13
GAJLD752-B-14
GAJLD752-D-13
GAJLD752-D-14
GAJLD752-E-08
GAJLD752-E-09
GAJLD752-E-10
GAJLD752-E-11
GAJLD752-E-12
GAJLD752-E-13</t>
  </si>
  <si>
    <t>2023.4.3开通
GAJLD752-F-09
GAJLD752-F-10
GAJLD752-F-11
GAJLD752-G-05
GAJLD752-G-06
GAJLD752-G-07
GAJLD752-G-08
GAJLD752-G-09
GAJLD752-G-10
GAJLD752-G-11
GAJLD752-G-12
GAJLD752-G-13
GAJLD752-G-14
GAJLD752-H-13
GAJLD752-H-14
GAJLD752-J-05
GAJLD752-J-08
GAJLD752-J-09
GAJLD752-J-12
GAJLD752-K-14</t>
  </si>
  <si>
    <t>2023.4.3开通
GAJLD752-J-06
GAJLD752-J-07</t>
  </si>
  <si>
    <t>2023.4.12开通GAJLD752-G-03
GAJLD752-G-04
GAJLD752-H-03
GAJLD752-H-04
GAJLD752-H-05
GAJLD752-H-06
GAJLD752-H-07
GAJLD752-H-08
GAJLD752-H-09
GAJLD752-H-10
GAJLD752-H-11
GAJLD752-H-12</t>
  </si>
  <si>
    <t>2023.4.17开通
GAJLD752-J-10
GAJLD752-J-11
GAJLD752-K-05
GAJLD752-K-06</t>
  </si>
  <si>
    <r>
      <rPr>
        <b/>
        <sz val="10"/>
        <rFont val="微软雅黑"/>
        <charset val="134"/>
      </rPr>
      <t xml:space="preserve">2023.4.22开通
</t>
    </r>
    <r>
      <rPr>
        <sz val="10"/>
        <rFont val="微软雅黑"/>
        <charset val="134"/>
      </rPr>
      <t xml:space="preserve">GAJLD752-M-13
GAJLD752-M-14
GAJLD752-N-12
</t>
    </r>
    <r>
      <rPr>
        <b/>
        <sz val="10"/>
        <rFont val="微软雅黑"/>
        <charset val="134"/>
      </rPr>
      <t>GAJLD752-K-07
GAJLD752-K-08
GAJLD752-K-09
GAJLD752-K-10
GAJLD752-K-11
GAJLD752-K-12
GAJLD752-K-13</t>
    </r>
  </si>
  <si>
    <t>2023.4.23开通
GAJLD752-M-01
GAJLD752-M-02
GAJLD752-M-03
GAJLD752-M-04
GAJLD752-M-05
GAJLD752-M-06
GAJLD752-M-07
GAJLD752-M-08
GAJLD752-M-09
GAJLD752-M-10
GAJLD752-M-11
GAJLD752-M-12
GAJLD752-N-01
GAJLD752-N-02
GAJLD752-N-03
GAJLD752-N-04
GAJLD752-N-05
GAJLD752-N-06
GAJLD752-N-07
GAJLD752-N-08
GAJLD752-N-09
GAJLD752-N-10
GAJLD752-N-11</t>
  </si>
  <si>
    <t>L20230426001</t>
  </si>
  <si>
    <t>固安聚龙二期</t>
  </si>
  <si>
    <t xml:space="preserve">2023.4.23开通
GAJLD531-A-02
GAJLD531-A-01
</t>
  </si>
  <si>
    <t>石家庄电信</t>
  </si>
  <si>
    <t>182215IDC00605</t>
  </si>
  <si>
    <t>石家庄2</t>
  </si>
  <si>
    <t>CDNSJZCT</t>
  </si>
  <si>
    <t>2020-1-13退租80G，退租机架8个</t>
  </si>
  <si>
    <t>石家庄3</t>
  </si>
  <si>
    <t>石家庄4</t>
  </si>
  <si>
    <t>2021.12.31退租160G，6个机柜，288个IP
SJZCT9F-D-07
SJZCT9F-D-06
SJZCT9F-D-05
SJZCT9F-D-04
SJZCT9F-D-03
SJZCT9F-D-02</t>
  </si>
  <si>
    <t>SJZ3CT节点，于2022.4.30退租4个机柜
SJZCT9F-B-10
SJZCT9F-B-11
SJZCT9F-B-14
SJZCT9F-B-15</t>
  </si>
  <si>
    <t>双方核对一致，共使用576个IP地址，免费。
SJZ3CT
124.236.41.0/24 、124.236.42.224/27 124.236.104.0/24、124.236.105.0/27</t>
  </si>
  <si>
    <t>2021.12.31退租160G，6个机柜，288个IP
124.236.41.0/24 124.236.42.224/27</t>
  </si>
  <si>
    <t>廊坊电信</t>
  </si>
  <si>
    <t>廊坊3</t>
  </si>
  <si>
    <t>CDNLFCT</t>
  </si>
  <si>
    <t>边缘计算新增2个机架</t>
  </si>
  <si>
    <t>廊坊2</t>
  </si>
  <si>
    <t>廊坊2电信使用9个机架</t>
  </si>
  <si>
    <t>2021.3.31退租，廊坊2电信使用9个机架</t>
  </si>
  <si>
    <t>廊坊3电信使用6个机架</t>
  </si>
  <si>
    <t>廊坊3电信新增使用2个机架</t>
  </si>
  <si>
    <t>2021.5.1廊坊3电信新增1个机架,边缘计算BECLF3CT2F-M-11</t>
  </si>
  <si>
    <t>2021.5.1廊坊3电信新增2个机架,边缘计算BECLF3CT2F-M-12、BECLF3CT2F-N-12</t>
  </si>
  <si>
    <t xml:space="preserve">2021.4.9边缘计算新增128个免费IP地址，124.238.249.0/25
</t>
  </si>
  <si>
    <t xml:space="preserve">2021.5.1边缘计算新增256个免费IP地址，124.238.249.128/25
124.238.234.0/25
</t>
  </si>
  <si>
    <t>廊坊2&amp;3&amp;5</t>
  </si>
  <si>
    <t xml:space="preserve">新合同免费，共使用864个IP地址。
LF2CT（2021.3.31退租）
124.239.229.0/24       124.239.253.0/27
LF3CT 
124.238.241.0/24       124.239.253.32/27  
LF5CT （2021.3.31退租）
124.238.234.0/24       124.238.249.128/27
</t>
  </si>
  <si>
    <t>LF2CT节点于2021.3.31退租288个IP
LF2CT（2021.3.31退租）
124.239.229.0/24       124.239.253.0/27</t>
  </si>
  <si>
    <t>廊坊5</t>
  </si>
  <si>
    <t xml:space="preserve">LF5CT节点于2021.3.31退租288个IP
LF5CT （2021.3.31退租）
124.238.234.0/24       124.238.249.128/27
</t>
  </si>
  <si>
    <t>LF3CT节点于2022.7.14退租128个IP
124.238.241.128/25</t>
  </si>
  <si>
    <t>2021.3.31退租，廊坊5电信使用4个机架</t>
  </si>
  <si>
    <t>2022.7.12退租，廊坊3电信7个机柜
LF3CT2F-M-10
LF3CT2F-M-09
LF3CT2F-M-02
LF3CT2F-M-06
LF3CT2F-M-05
LF3CT2F-M-03
LF3CT2F-M-01</t>
  </si>
  <si>
    <t>电信集团</t>
  </si>
  <si>
    <t>181915IDC00155</t>
  </si>
  <si>
    <t>北京-内蒙400G</t>
  </si>
  <si>
    <t>于2020年10月31日退租</t>
  </si>
  <si>
    <t>L20221229005</t>
  </si>
  <si>
    <t>北京-苏州400G</t>
  </si>
  <si>
    <t>北京-苏州 北京-南京</t>
  </si>
  <si>
    <t>于2023.2.28退租。
北京-苏州 北京-南京</t>
  </si>
  <si>
    <t xml:space="preserve">华东-华南 400G </t>
  </si>
  <si>
    <t>2015/7/15&amp;2015/9/11</t>
  </si>
  <si>
    <t>广州-南京 广州-苏州</t>
  </si>
  <si>
    <t>中国电信股份有限公司保定分公司</t>
  </si>
  <si>
    <t>保定电信</t>
  </si>
  <si>
    <t>L20221229006</t>
  </si>
  <si>
    <t xml:space="preserve">科技园-徐水200G </t>
  </si>
  <si>
    <t xml:space="preserve">北京M1-定兴200G </t>
  </si>
  <si>
    <t>唐山电信</t>
  </si>
  <si>
    <t>唐山</t>
  </si>
  <si>
    <t>CDNTSCT</t>
  </si>
  <si>
    <t>双方核对，共使用7个免费机柜。集团集约，所有机柜均需收费，故唐山节点免费的7个机柜未签署在新合同里，关联临时合同</t>
  </si>
  <si>
    <t>2022.6.20退租5个机柜
TSCT9F-N11-7
TSCT9F-N11-6
TSCT9F-N11-5
TSCT9F-N11-2
TSCT9F-N11-1</t>
  </si>
  <si>
    <t>免费288个IP。
TS2CT 
106.117.216.0/24       106.117.217.0/27</t>
  </si>
  <si>
    <t>中国联合网络通信有限公司河北省分公司</t>
  </si>
  <si>
    <t>河北联通</t>
  </si>
  <si>
    <t>L20221229009</t>
  </si>
  <si>
    <t>CDNSJZ</t>
  </si>
  <si>
    <t>SSL机架-1</t>
  </si>
  <si>
    <t>于2021.6.30退租</t>
  </si>
  <si>
    <t>SSL机架-2</t>
  </si>
  <si>
    <t>HBUN5F-D-13、HBUN5F-D-14、HBUN5F-D-15</t>
  </si>
  <si>
    <t>2022.11.30退租
HBUN5F-D-13、HBUN5F-D-14、HBUN5F-D-15</t>
  </si>
  <si>
    <t>SSLIP</t>
  </si>
  <si>
    <t>自2020年6月1日起免费1024个(SSL使用)，超出按35元/个/月，（220.195.21.0/24,220.195.22.0/24，61.182.136.0/24，61.182.137.0/24）</t>
  </si>
  <si>
    <t>石家庄联通SSL</t>
  </si>
  <si>
    <t>于2021.6.30退租512个IP
61.182.136.0/24
61.182.137.0/24</t>
  </si>
  <si>
    <t>2022.11.30退租512个IP（220.195.21.0/24,220.195.22.0/24）</t>
  </si>
  <si>
    <t>沧州</t>
  </si>
  <si>
    <t>CDNCANGZUN</t>
  </si>
  <si>
    <t>沧州节点，2022.8.31退租6个机柜
CANGZUN9F-B-08
CANGZUN9F-D-08
CANGZUN9F-D-01
CANGZUN9F-B-03
CANGZUN9F-B-02
CANGZUN9F-B-01</t>
  </si>
  <si>
    <t>免费512个，超出按30元/个/月
221.195.34.0/24;221.195.66.0/24</t>
  </si>
  <si>
    <t>保定</t>
  </si>
  <si>
    <t>CDNBDUN</t>
  </si>
  <si>
    <t>2021.12.31退租3个机柜。</t>
  </si>
  <si>
    <t>免费544个，超出按30元/个/月
119.249.50.0/24；CDN
221.194.36.0/27；CDN
119.249.51.0/25；BEC
119.249.51.128/25；BEC</t>
  </si>
  <si>
    <t>边缘计算使用，BECBDUN11F-A-11</t>
  </si>
  <si>
    <t>邯郸</t>
  </si>
  <si>
    <t>CBUCDNHDUN</t>
  </si>
  <si>
    <t>邢台</t>
  </si>
  <si>
    <t>CBUCDNXTUN</t>
  </si>
  <si>
    <t>邯郸&amp;邢台</t>
  </si>
  <si>
    <t>免费512个，超出按30元/个/月
101.28.131.0/24（邯郸）
60.6.196.0/24（邢台）</t>
  </si>
  <si>
    <t>唐山
唐山2</t>
  </si>
  <si>
    <t>CDNTSUN</t>
  </si>
  <si>
    <t>2018/6/20
2018/10/16</t>
  </si>
  <si>
    <t xml:space="preserve">TSUN节点使用7个CDN机柜：
TSUN6F-A5-07
TSUN6F-A5-06
TSUN6F-A5-05
TSUN6F-A5-04
TSUN6F-A5-03
TSUN6F-A5-02
TSUN6F-A5-01
2022.1.20开始TS2UN 7个CDN机柜转边缘使用：TSUN3F-A05-08，
TSUN3F-A05-09，
TSUN3F-A05-10，
TSUN3F-A05-11，
TSUN3F-A05-12，
TSUN3F-A05-13，
TSUN3F-A05-14
</t>
  </si>
  <si>
    <t>唐山联通</t>
  </si>
  <si>
    <t xml:space="preserve">TSUN节点使用7个CDN机柜,2022.5.31退租：
TSUN6F-A5-07
TSUN6F-A5-06
TSUN6F-A5-05
TSUN6F-A5-04
TSUN6F-A5-03
TSUN6F-A5-02
TSUN6F-A5-01
</t>
  </si>
  <si>
    <t>2022.12.8 TS2UN 边缘退租2个机柜：
TSUN3F-A05-08，
TSUN3F-A05-14</t>
  </si>
  <si>
    <t>2022.12.8 TS2UN 边缘关闭5个机柜：
TSUN3F-A05-09，
TSUN3F-A05-10，
TSUN3F-A05-11，
TSUN3F-A05-12，
TSUN3F-A05-13，</t>
  </si>
  <si>
    <t>唐山7联通</t>
  </si>
  <si>
    <t>2022.12.28 TS2UN开通5个机柜；2023.1.1转给TS7UN节点使用：
TSUN3F-A05-09，
TSUN3F-A05-10，
TSUN3F-A05-11，
TSUN3F-A05-12，
TSUN3F-A05-13，</t>
  </si>
  <si>
    <t>唐山
唐山2
唐山7</t>
  </si>
  <si>
    <t>唐山2联通
唐山7联通</t>
  </si>
  <si>
    <t>唐山：免费288个（101.72.196.0/24;
101.72.197.0/27）
唐山2：免费288个（101.72.197.64/27;
101.72.199.0/24），超出部分按30元/个/月；自2022.1.20开始TS2UN节点256个IP转BEC使用（101.72.199.0/24）</t>
  </si>
  <si>
    <t>2022.5.31唐山退租288个IP
101.72.196.0/24 101.72.197.0/27</t>
  </si>
  <si>
    <t>唐山2联通</t>
  </si>
  <si>
    <t>2022.11.30唐山2退租256个IP
101.72.199.0/24</t>
  </si>
  <si>
    <t>2024.4.12BEC唐山2退租32个IP
101.72.197.64/27</t>
  </si>
  <si>
    <t>2023.1.1唐山7联通新增160个IP（BEC转CDN）
101.72.199.0/25 101.72.199.128/27</t>
  </si>
  <si>
    <t>唐山4</t>
  </si>
  <si>
    <t>2019年2月20日开始计费。</t>
  </si>
  <si>
    <t>唐山6</t>
  </si>
  <si>
    <t>2020年9月1日开始计费。</t>
  </si>
  <si>
    <t>唐山2</t>
  </si>
  <si>
    <t>CDNTSUN2</t>
  </si>
  <si>
    <t>2022.2.14新增1个机柜
TS2UN3F-2-15</t>
  </si>
  <si>
    <t>免费赠送288个IP
101.72.197.128/27;101.72.203.0/24</t>
  </si>
  <si>
    <t>免费赠送288个IP
101.72.249.0/24;
101.72.250.0/27</t>
  </si>
  <si>
    <t>廊坊</t>
  </si>
  <si>
    <t>CDNLFUN</t>
  </si>
  <si>
    <t>10.11开始计费</t>
  </si>
  <si>
    <t>2022.4.30退租4个机柜
LFUN10F-05-10
LFUN10F-05-11
LFUN10F-05-12
LFUN10F-05-13</t>
  </si>
  <si>
    <t>2022.5.31退租5个机柜
LFUN10F-05-07 LFUN10F-05-08 LFUN10F-05-06 LFUN10F-05-05 LFUN10F-05-09</t>
  </si>
  <si>
    <t>免费544个，超出按30元/个/月</t>
  </si>
  <si>
    <t>2022.5.31退租544个IP，221.194.182.0/24 221.194.183.0/24 221.194.184.0/27</t>
  </si>
  <si>
    <t>边缘计算新增2个机架；BECBDUN11F-A-12
BECBDUN11F-A-13</t>
  </si>
  <si>
    <t>边缘计算新增1个机架,BECBDUN11F-A-14</t>
  </si>
  <si>
    <t xml:space="preserve">CDNIP </t>
  </si>
  <si>
    <t>边缘计算新增128个IP地址，119.249.49.0/25</t>
  </si>
  <si>
    <t>边缘计算新增1个机架,BECBDUN11F-A-15</t>
  </si>
  <si>
    <t>边缘计算新增128个IP地址，119.249.49.128/25</t>
  </si>
  <si>
    <t>边缘计算新增4个机架,BECBDUN11F-A-16
BECBDUN11F-A-17
BECBDUN11F-A-18
BECBDUN11F-A-19</t>
  </si>
  <si>
    <t>保定BDUNCACHE</t>
  </si>
  <si>
    <t>边缘计算新增128个IP地址，
119.249.55.0/25</t>
  </si>
  <si>
    <t>边缘计算新增2个机架,
BECBDUN11F-A-21
BECBDUN11F-A-22</t>
  </si>
  <si>
    <t xml:space="preserve">IDC机架 </t>
  </si>
  <si>
    <t>保定联通光纤，新增1个机架，于2021.10.1开始计费。BDUN11F-A-20</t>
  </si>
  <si>
    <t>中国移动通信集团河北有限公司</t>
  </si>
  <si>
    <t>河北移动</t>
  </si>
  <si>
    <t>182015IDC00048</t>
  </si>
  <si>
    <t>徐水</t>
  </si>
  <si>
    <t>徐水-百楼一路由于2020.8.28交付</t>
  </si>
  <si>
    <t>徐水-百楼二路由于2020.9.24交付</t>
  </si>
  <si>
    <t>定兴</t>
  </si>
  <si>
    <t>定兴-徐水一路由于2020.9.12交付</t>
  </si>
  <si>
    <t>定兴-徐水二路由于2020.10.12交付；正预提800元</t>
  </si>
  <si>
    <t>定兴-百楼一路由于2020.9.12交付</t>
  </si>
  <si>
    <t>徐水-定兴二路由于2021.4.21交付</t>
  </si>
  <si>
    <t>保定-定兴一路由于2021.4.21交付</t>
  </si>
  <si>
    <t>保定-定兴三路由于2021.8.11交付（保定复兴路-保定东风路-上东区-清苑国公营-徐水北湖渠-定兴李郁庄）</t>
  </si>
  <si>
    <t>保定IDC-徐水二路由于2021.12.1交付（IDC-移动金迪-朝阳北大街-徐水百度）</t>
  </si>
  <si>
    <t>廊坊移动</t>
  </si>
  <si>
    <t>182215IDC00679</t>
  </si>
  <si>
    <t>保定2移动
保定移动二级</t>
  </si>
  <si>
    <t>CDNBDCM</t>
  </si>
  <si>
    <t>2018/8/24、2018/11/7</t>
  </si>
  <si>
    <t>8月24日开通6个，CDN140G对应机柜11月7日加电6个
D24F03-H-01~07（保定移动二级）
D24F03-H-08~12（保定2移动）</t>
  </si>
  <si>
    <t>保定2移动</t>
  </si>
  <si>
    <t>2022-7-21退租，
D24F03-H-11
D24F03-H-12</t>
  </si>
  <si>
    <t>BD2CM节点2022-12-31退租（CDN使用），
D24F03-H-08
D24F03-H-09</t>
  </si>
  <si>
    <t>大白楼河北移动</t>
  </si>
  <si>
    <t xml:space="preserve">共使用1344个IP：
保定移动二级（111.63.52.0/24、111.63.51.0/24、111.63.48.128/27）、
保定2移动（111.63.66.0/24、111.63.48.160/27）、
大白楼河北移动（111.63.70.0/24、111.63.71.0/24），免费640个；于2020.11.30退租60G带宽和512个IP地址(111.63.70.0/24、111.63.71.0/24)，2022.11.1起信息更新为：共使用704个IP，免费赠送1088个
</t>
  </si>
  <si>
    <t>保定移动二级</t>
  </si>
  <si>
    <t>共使用1344个IP：
保定移动二级（111.63.52.0/24、111.63.51.0/24、111.63.48.128/27）、
保定2移动（111.63.66.0/24、111.63.48.160/27）、
大白楼河北移动（111.63.70.0/24、111.63.71.0/24），免费640个；于2020.11.30退租60G带宽和512个IP地址(111.63.70.0/24、111.63.71.0/24)，2022.11.1起信息更新为：共使用704个IP，免费赠送1088个</t>
  </si>
  <si>
    <t>BD2CM节点，2022.7.21退租128个IP
111.63.66.128/25</t>
  </si>
  <si>
    <t>BD2CM节点（CDN使用），2022.12.31退租160个IP
111.63.66.0/25 111.63.48.160/27</t>
  </si>
  <si>
    <t>BDBL</t>
  </si>
  <si>
    <t>本次更新为491个。11月23日下电40个，本月不计费</t>
  </si>
  <si>
    <t>11月27日下电8个</t>
  </si>
  <si>
    <t>11月26日开通16个</t>
  </si>
  <si>
    <t>11月27日开通37个</t>
  </si>
  <si>
    <t>11月28日开通1个</t>
  </si>
  <si>
    <t>11月30日开通2个</t>
  </si>
  <si>
    <t>12月3日开通22个</t>
  </si>
  <si>
    <t>12月17日开通37个</t>
  </si>
  <si>
    <t>12月18日开通8个</t>
  </si>
  <si>
    <t>12月21日开通4个</t>
  </si>
  <si>
    <t>12月24日开通22个</t>
  </si>
  <si>
    <t>功率核实后+2个机柜</t>
  </si>
  <si>
    <t>BDBL402-J-09~11，BDBL402-K-11~13，BDBL304-G-07~10，BDBL304-D-03~04，BDBL304-H-15~16</t>
  </si>
  <si>
    <t>BDBL402-K-14~16</t>
  </si>
  <si>
    <t>BDBL304-A-01~10，BDBL304-C-03~12，</t>
  </si>
  <si>
    <t>BDBL402-H-08~12</t>
  </si>
  <si>
    <t>BDBL304-H-01~14，</t>
  </si>
  <si>
    <t>BDBL304-D-05~06</t>
  </si>
  <si>
    <t>BDBL403-G-13~16</t>
  </si>
  <si>
    <t>BDBL403-G-18~19</t>
  </si>
  <si>
    <t>BDBL304-C-13~16,BDBL404-E-15~16,BDBL402-H-13,BDBL401-L-14~16</t>
  </si>
  <si>
    <t>BDBL304-G-11~12</t>
  </si>
  <si>
    <t>BDBL303-H-01~04,BDBL304-L-02,BDBL303-C-11~14,BDBL304-D-01~02</t>
  </si>
  <si>
    <t>BDBL304-A-11~12,BDBL304-G-01~02,BDBL404-H-14~15,BDBL404-I-09~13</t>
  </si>
  <si>
    <t>BDBL304-F-13~16,BDBL404-J-05~06,BDBL404-H-16,BDBL404-K-12~13,BDBL304-F-14~16,BDBL404-K-09~10</t>
  </si>
  <si>
    <t>不足整月计费规则：使用天数/30</t>
  </si>
  <si>
    <t>6月新增：BDBL302-H-06，BDBL302-H-06，BDBL302-H-10，BDBL302-H-14，BDBL302-H-16，BDBL302-J-02，BDBL302-J-04~10，BDBL302-G-01~06，BDBL302-G-08，BDBL302-G-10，BDBL302-G-12，BDBL302-H-01，BDBL302-H-03，BDBL302-H-05，BDBL302-H-07，BDBL302-H-09，BDBL302-H-13，BDBL302-H-15，BDBL302-F-15~16，BDBL302-G-07，BDBL302-G-09，BDBL302-G-11，BDBL302-H-02，BDBL302-H-04，BDBL302-I-11~16，BDBL302-J-01，BDBL302-J-03</t>
  </si>
  <si>
    <t>6月新增：BDBL403-G-07，BDBL403-H-14~19</t>
  </si>
  <si>
    <t>6月新增：BDBL303-A-05~12，BDBL303-B-01~16，BDBL303-C-01~04</t>
  </si>
  <si>
    <t>6月新增：BDBL403-J-01，BDBL403-G-09</t>
  </si>
  <si>
    <t>7月新增：</t>
  </si>
  <si>
    <t>8月新增：</t>
  </si>
  <si>
    <t>10月反馈：2018年10月29日已开通</t>
  </si>
  <si>
    <t>2020.9新增</t>
  </si>
  <si>
    <t>2020.11新增;BDBL403-G-10（放置机器包含度友-保定，2个服务器）</t>
  </si>
  <si>
    <t>2020.11关闭;BDBL404-H-01、BDBL404-H-02</t>
  </si>
  <si>
    <t>2020.12开通;BDBL404-H-01、BDBL404-H-02</t>
  </si>
  <si>
    <t>2021.1开通;BDBL403-G-11、BDBL403-G-12；SSL节点复用IDC机柜</t>
  </si>
  <si>
    <t>2021.5开通;
BDBL402-L-09
BDBL402-L-10</t>
  </si>
  <si>
    <t>2021.6.11关闭;
BDBL401-H-13
BDBL401-H-14</t>
  </si>
  <si>
    <t>2022-2-21关闭，
BDBL404-I-11
BDBL404-A-05
BDBL404-A-06
BDBL404-A-02
BDBL404-A-01</t>
  </si>
  <si>
    <t>2022-2-22开通，
BDBL404-A-05
BDBL404-A-06
BDBL404-A-02
BDBL404-A-01</t>
  </si>
  <si>
    <t>2022-2-24关闭，
BDBL404-A-03
BDBL404-A-04
BDBL404-B-01
BDBL404-B-02
BDBL404-K-14
实际使用天数/当月天数</t>
  </si>
  <si>
    <t>2022-2-25开通，
BDBL404-A-03
BDBL404-A-04
BDBL404-B-01
BDBL404-B-02</t>
  </si>
  <si>
    <t>2022-5-13开通，
BDBL402-L-03
BDBL402-L-04
BDBL402-L-05
BDBL402-L-06</t>
  </si>
  <si>
    <t>2022.12.16开通2个81.8A机柜，按62.5A标准计费。
BDBL403-C-11
BDBL403-D-10</t>
  </si>
  <si>
    <t>2022-12-29关闭，
BDBL404-K-05</t>
  </si>
  <si>
    <t>中国移动通信集团河北有限公司廊坊分公司</t>
  </si>
  <si>
    <t>181818IDC00301</t>
  </si>
  <si>
    <t>保定-北京</t>
  </si>
  <si>
    <t>2023.3.17合同到期后退租。i. 保定移动数据中心机房—百度北京酒仙桥M1机房2芯路由长度为204.18公里；</t>
  </si>
  <si>
    <t>2023.3.17合同到期后退租。 ii. 百度北京酒仙桥M1机房到百度北京亦庄机房2芯路由长途为58公里；</t>
  </si>
  <si>
    <t>2023.3.17合同到期后退租。 iii. 保定移动数据中心机房—百度北京亦庄机房2芯路由长度为225.51公里；</t>
  </si>
  <si>
    <t>承德移动</t>
  </si>
  <si>
    <t>182115IDC00190</t>
  </si>
  <si>
    <t>承德</t>
  </si>
  <si>
    <t>CDNCHENGDCM</t>
  </si>
  <si>
    <t>2022.6.30退租5个机柜
CHENGDCM1F-C-13
CHENGDCM1F-C-11
CHENGDCM1F-C-10
CHENGDCM1F-C-09
CHENGDCM1F-C-14</t>
  </si>
  <si>
    <t>承德使用288个，关联在河北移动框架合同上，河北移动共赠送12640个IP，未固定分配各地市使用数量。</t>
  </si>
  <si>
    <t>2022.7.31退租288个IP
111.63.59.0/24 111.63.58.96/27</t>
  </si>
  <si>
    <t>2022.7.31退租4个机柜
CHENGDCM1F-C-05
CHENGDCM1F-C-06
CHENGDCM1F-C-07
CHENGDCM1F-C-08</t>
  </si>
  <si>
    <t>中国移动通信集团河北有限公司承德分公司</t>
  </si>
  <si>
    <t>L20230201006</t>
  </si>
  <si>
    <t>承德2
BEC</t>
  </si>
  <si>
    <t>承德2移动</t>
  </si>
  <si>
    <t>承德2移动BEC节点，2023.1.9开通512个IP
(111.63.181.0/24
111.63.59.0/24
)</t>
  </si>
  <si>
    <t>承德2移动BEC节点，2023.1.9开通1个机柜BECCHENGD2CM-2F-C07</t>
  </si>
  <si>
    <t>张家口移动</t>
  </si>
  <si>
    <t>张家口</t>
  </si>
  <si>
    <t>CDNZJKCM</t>
  </si>
  <si>
    <t>张家口使用288个，关联在河北移动框架合同上，河北移动共赠送12640个IP，未固定分配各地市使用数量。</t>
  </si>
  <si>
    <t>2022.7.31节点下线
ZJKCM1F-2-11
ZJKCM1F-1-13
ZJKCM1F-1-12
ZJKCM1F-1-10
ZJKCM1F-1-05
ZJKCM1F-1-04
ZJKCM1F-1-11</t>
  </si>
  <si>
    <t>2022.7.31节点下线</t>
  </si>
  <si>
    <t>保定移动</t>
  </si>
  <si>
    <t>BDBL203-L-01</t>
  </si>
  <si>
    <t>BDBL203-E-01~17，BDBL203-F-01~17，BDBL203-G-01~03</t>
  </si>
  <si>
    <t>BDBL203-G-04~06</t>
  </si>
  <si>
    <t>BDBL203-G-07~15，BDBL203-H-01~15</t>
  </si>
  <si>
    <t>BDBL203-I-04~06</t>
  </si>
  <si>
    <t>6月新增：BDBL203-I-01~03</t>
  </si>
  <si>
    <t>6月新增：BDBL203-I-07~15,BDBL203-J-01~15,BDBL203-K-01~12</t>
  </si>
  <si>
    <t>7月新增：BDBL203-K-13~17，BDBL203-L-02~10</t>
  </si>
  <si>
    <t>7月新增：BDBL203-L-11~17</t>
  </si>
  <si>
    <t xml:space="preserve">10月新增 </t>
  </si>
  <si>
    <t>BDBL-云托管</t>
  </si>
  <si>
    <t>11月新增，
BDBL504-L-16
BDBL504-L-17</t>
  </si>
  <si>
    <t>11月新增</t>
  </si>
  <si>
    <t>边缘计算,2020.4.30关闭BDBL503-H-07、BDBL503-H-08，2020.5.1开通，机柜编号为BECBDCM503-H-07、BECBDCM503-H-08</t>
  </si>
  <si>
    <t>2020-1新增
BDBL503-F-05
BDBL503-F-06</t>
  </si>
  <si>
    <t>2020-1新增
BDBL504-L-18</t>
  </si>
  <si>
    <t>2020-1新增</t>
  </si>
  <si>
    <t>2020-2新增</t>
  </si>
  <si>
    <t>2020-3新增</t>
  </si>
  <si>
    <t>2020-6搬迁</t>
  </si>
  <si>
    <t>2020-6新增</t>
  </si>
  <si>
    <t>2020-7新增</t>
  </si>
  <si>
    <t>2020-8关闭</t>
  </si>
  <si>
    <t>2020-9新增</t>
  </si>
  <si>
    <t>2020-10新增，BDBL503-E-02、BDBL503-E-03</t>
  </si>
  <si>
    <t>2020-10新增，BDBL504-G-14、BDBL504-G-15</t>
  </si>
  <si>
    <t>2020-12关闭，BDBL504-I-09、BDBL504-I-10</t>
  </si>
  <si>
    <t>2021-1开通，BDBL504-G-16、BDBL504-G-17</t>
  </si>
  <si>
    <t>2021-2-3开通，BDBL504-F-01~12</t>
  </si>
  <si>
    <t>2021-2-28开通，BDBL503-D-13
BDBL503-D-14</t>
  </si>
  <si>
    <t>2021-3-2开通，BDBL504-E-01
BDBL504-E-02
BDBL504-E-03
BDBL504-E-04
BDBL504-F-13
BDBL504-F-14
BDBL504-F-15
BDBL504-F-16
BDBL504-F-17
BDBL504-F-18</t>
  </si>
  <si>
    <t>2021-4-30开通，BDBL504-D-05
BDBL504-D-06
BDBL504-D-07
BDBL504-D-08</t>
  </si>
  <si>
    <t>2021-5-1开通，BDBL504-C-11
BDBL504-C-12
BDBL504-C-13
BDBL504-C-14
BDBL504-C-15
BDBL504-C-16
BDBL504-C-17
BDBL504-C-18
BDBL504-D-13
BDBL504-D-14
BDBL504-D-15
BDBL504-E-05
BDBL504-E-06
BDBL504-E-07
BDBL504-E-08
BDBL504-E-09
BDBL504-E-10
BDBL504-E-11
BDBL504-E-12
BDBL504-E-13
BDBL504-E-14
BDBL504-E-15
BDBL504-E-16
BDBL504-E-17
BDBL504-E-18</t>
  </si>
  <si>
    <t>2021-5-24开通，BDBL503-C-03
BDBL503-C-04</t>
  </si>
  <si>
    <t>2021-5-26开通，BDBL504-C-01
BDBL504-C-02</t>
  </si>
  <si>
    <t>2021-5-28开通，BDBL503-C-05
BDBL503-C-06</t>
  </si>
  <si>
    <t>2021-6-4开通，BDBL504-C-03
BDBL504-C-04</t>
  </si>
  <si>
    <t>2021-6-9开通，BDBL504-C-05
BDBL504-C-06</t>
  </si>
  <si>
    <t>2021-6-18开通，BDBL504-C-07
BDBL504-C-08</t>
  </si>
  <si>
    <t>2021-7-2开通，BDBL504-D-09
BDBL504-D-10</t>
  </si>
  <si>
    <t>2021-8-14开通，BDBL504-C-09
BDBL504-C-10
BDBL504-D-11
BDBL504-D-12</t>
  </si>
  <si>
    <t>2021-9-3开通，BDBL504-G-02
BDBL504-G-03
BDBL504-H-01
BDBL504-H-02
BDBL504-H-05
BDBL504-H-06
BDBL504-I-09
BDBL504-I-10</t>
  </si>
  <si>
    <t>2021-9-5开通，BDBL504-B-09
BDBL504-B-10</t>
  </si>
  <si>
    <t>2021-10-25开通，BDBL504-A-01
BDBL504-A-02
BDBL504-A-03
BDBL504-A-04</t>
  </si>
  <si>
    <t xml:space="preserve">2021-10-28开通，BDBL503-B-01
BDBL503-B-02
BDBL503-C-07
BDBL503-C-08
BDBL503-C-09
BDBL503-C-10
BDBL503-C-11
BDBL503-C-12
</t>
  </si>
  <si>
    <t>2021-11-17开通，BDBL504-B-01
BDBL504-B-02
BDBL504-B-03
BDBL504-B-04</t>
  </si>
  <si>
    <t xml:space="preserve">2021-11-23开通，BDBL504-B-05
BDBL504-B-06
BDBL504-B-07
BDBL504-B-08
BDBL504-B-11
BDBL504-B-12
</t>
  </si>
  <si>
    <t>2022-1-5开通，
BDBL503-B-03
BDBL503-B-04
BDBL503-B-05
BDBL503-B-06</t>
  </si>
  <si>
    <t>2022-3-23开通，
BDBL504-B-13
BDBL504-B-14
BDBL504-B-15
BDBL504-B-16
BDBL504-B-17
BDBL504-B-18</t>
  </si>
  <si>
    <t>2022-4-15开通，
BDBL503-B-07
BDBL503-B-08</t>
  </si>
  <si>
    <t>2022-6-20开通，
BDBL503-H-10</t>
  </si>
  <si>
    <t>2022-12-29关闭，
BDBL504-B-09
BDBL504-B-10</t>
  </si>
  <si>
    <t xml:space="preserve">2023-3-30关闭，
BDBL504-C-11
BDBL504-C-12
BDBL504-C-15
BDBL504-C-16
BDBL504-D-11
BDBL504-D-12
BDBL504-D-13
BDBL504-D-14
BDBL504-D-15
BDBL504-E-09
BDBL504-E-10
BDBL504-E-11
BDBL504-E-12
BDBL504-E-15
BDBL504-E-16
BDBL504-G-02
BDBL504-G-03
BDBL504-H-01
BDBL504-H-02
BDBL504-H-05
BDBL504-H-06
</t>
  </si>
  <si>
    <t>中国移动通信集团河北有限公司保定分公司</t>
  </si>
  <si>
    <t>L20200330002</t>
  </si>
  <si>
    <t>3月1日新增2个C IP 代播</t>
  </si>
  <si>
    <t>L20221229010</t>
  </si>
  <si>
    <t>保定2移动（含）
BDBL-移动（含）
保定三级移动（含）</t>
  </si>
  <si>
    <t>历史开通
2021/11/26
2021/11/28</t>
  </si>
  <si>
    <t>2020.10月已核实
存量使用640个IP（BEC128+IDC512）（111.63.69.128/25 BEC保定2移动
，2020.11.27开通2个C IP（111.63.72.0/24
111.63.73.0/24），
2020.11.27开通3个C IP（IDC128+CDN384+BEC256）,
（111.63.74.0/24 移动三级CDN
111.63.79.0/24）移动三级BEC
111.63.75.0/25移动三级CDN(分配未使用，不计入开通数量)
（合同约定每1G带宽包含 8 个IPv4地址，共赠送10400个）</t>
  </si>
  <si>
    <t>保定三级移动</t>
  </si>
  <si>
    <t xml:space="preserve">2020.11.27开通3个C IP（IDC128+CDN384+BEC256）
111.63.75.128/25移动三级IDC
</t>
  </si>
  <si>
    <t>2020.10月已核实
存量使用640个IP（BEC128+IDC512）
111.63.96.0/24 IDC  111.63.99.0/24 IDC
（合同约定每1G带宽包含 8 个IPv4地址，共赠送10400个）</t>
  </si>
  <si>
    <t>2020.10月已核实
2021.1.19开通4个C IP（高防512+SSL512）111.63.54.0/24高防
111.63.71.0/24  高防</t>
  </si>
  <si>
    <t>2020.10月已核实
2021.1.19开通4个C IP（高防512+SSL512）
111.63.67.0/24  SSL
111.63.68.0/24  SSL</t>
  </si>
  <si>
    <t xml:space="preserve">保定2移动
BD_CM_ST_1 </t>
  </si>
  <si>
    <t>2021.4.9边缘计算开通128个IP，免费
111.63.103.0/25保定2移动BEC</t>
  </si>
  <si>
    <t>2021.10.9边缘计算开通1个机柜，BECBDCM503-H-09</t>
  </si>
  <si>
    <t>L20220524001</t>
  </si>
  <si>
    <t>2022.5.13边缘计算开通128个IP，免费
111.63.76.0/25
保定2移动BEC</t>
  </si>
  <si>
    <t>2022.5.13边缘计算开通4个机柜，
BECBDCM403-L-03
BECBDCM403-L-04
BECBDCM403-L-05
BECBDCM403-L-06</t>
  </si>
  <si>
    <t>BDBL-移动</t>
  </si>
  <si>
    <t xml:space="preserve">2021.10.1三线节点开通1024个IP，111.63.144.0/24
111.63.145.0/24
111.63.146.0/24
111.63.147.0/24
合同约定：乙方1G互联网接入带宽包含 8 个IPv4地址，超出50元/个/月；本次扩容280G带宽，故赠送2240个IP地址，实际使用1024个。
</t>
  </si>
  <si>
    <t>L20200729002</t>
  </si>
  <si>
    <t>2020年7月1日新增4个C IP 代播</t>
  </si>
  <si>
    <t>182115IDC00119</t>
  </si>
  <si>
    <t>BDDWD</t>
  </si>
  <si>
    <t>保定自建机房（231、232房间）自2020.11.1转签至河北联通246个40A机柜。</t>
  </si>
  <si>
    <t>SYS反馈开通时间未2020.9.1，经与财务、商务沟通，暂从2021.6.1开始计费。
BDDWDD232-B-16
BDDWDD232-B-17
BDDWDD232-H-16
BDDWDD232-H-17
BDDWDD232-L-14
BDDWDD232-L-15</t>
  </si>
  <si>
    <t>SYS反馈开通时间未2020.9.30，经与财务、商务沟通，暂从2021.6.1开始计费。
BDDWDD231-D-01
BDDWDD231-D-02
BDDWDD231-D-03
BDDWDD231-D-04
BDDWDD231-D-05
BDDWDD231-D-06
BDDWDD231-D-07
BDDWDD231-D-08
BDDWDD231-D-09
BDDWDD231-D-10
BDDWDD231-D-11
BDDWDD231-D-12
BDDWDD231-D-13
BDDWDD231-D-14
BDDWDD231-D-15
BDDWDD231-D-16</t>
  </si>
  <si>
    <t>SYS反馈开通时间未2020.10.17，经与财务、商务沟通，暂从2021.6.1开始计费。
BDDWDD231-G-12
BDDWDD231-G-13
BDDWDD231-G-14
BDDWDD231-G-15
BDDWDD231-H-11
BDDWDD231-H-12
BDDWDD231-H-13</t>
  </si>
  <si>
    <t>2021.5开通;BDDWDD232-C-12
BDDWDD232-D-13
BDDWDD232-D-14
BDDWDD232-D-15
BDDWDD232-D-16</t>
  </si>
  <si>
    <t>2021.5开通;BDDWDD232-D-17</t>
  </si>
  <si>
    <t>SYS未反馈开通时间，经与财务、商务沟通，暂从2021.6.1开始计费。
BDDWDD232-F-01
BDDWDD232-L-01
BDDWDD231-B-14
BDDWDD231-B-15
BDDWDD231-F-16
BDDWDD231-F-17
BDDWDD231-J-16
BDDWDD231-J-17
BDDWDD231-F-01
BDDWDD231-L-01
BDDWDD231-A-01
BDDWDD231-A-02
BDDWDD231-A-03
BDDWDD231-A-04
BDDWDD231-A-05
BDDWDD231-A-07
BDDWDD231-A-09
BDDWDD231-A-10
BDDWDD231-A-11
BDDWDD231-A-12
BDDWDD231-A-13
BDDWDD231-A-14
BDDWDD231-A-15
BDDWDD231-A-16
BDDWDD231-B-02
BDDWDD231-B-03
BDDWDD231-B-04
BDDWDD231-B-05
BDDWDD231-B-08
BDDWDD231-B-09
BDDWDD231-B-10
BDDWDD231-B-11
BDDWDD231-D-17
BDDWDD231-F-02
BDDWDD231-F-03
BDDWDD231-F-04
BDDWDD231-F-05
BDDWDD231-F-06
BDDWDD231-F-07
BDDWDD231-F-08
BDDWDD231-F-09
BDDWDD231-F-10
BDDWDD231-F-11
BDDWDD231-F-12
BDDWDD231-F-13
BDDWDD231-F-14
BDDWDD231-F-15
BDDWDD231-G-01
BDDWDD231-G-02
BDDWDD231-G-03
BDDWDD231-G-04
BDDWDD231-G-05
BDDWDD231-G-06
BDDWDD231-G-07
BDDWDD231-G-09
BDDWDD231-G-10
BDDWDD231-J-09
BDDWDD231-J-10
BDDWDD231-J-11
BDDWDD231-J-12
BDDWDD231-J-13
BDDWDD231-J-14
BDDWDD231-J-15
BDDWDD231-K-01
BDDWDD231-K-02
BDDWDD231-L-05
BDDWDD231-L-06
BDDWDD231-L-07
BDDWDD231-L-08
BDDWDD231-L-09
BDDWDD231-L-10
BDDWDD231-L-11
BDDWDD231-L-12
BDDWDD231-L-13
BDDWDD231-L-14
BDDWDD231-L-15
BDDWDD231-L-16
BDDWDD231-L-17</t>
  </si>
  <si>
    <t>2021.6.1开通;
BDDWDD232-C-13
BDDWDD232-C-14
BDDWDD232-C-15
BDDWDD232-K-16</t>
  </si>
  <si>
    <t>2021.6.15开通;
BDDWDD232-K-17</t>
  </si>
  <si>
    <t>2021.9.1开通;
BDDWDD231-B-06
BDDWDD231-C-03
BDDWDD231-C-04，9月对账运营商不收费。</t>
  </si>
  <si>
    <t>2021.9.26开通；
BDDWDD232-K-14
BDDWDD232-L-12
BDDWDD232-L-13</t>
  </si>
  <si>
    <t>2022.11.30关闭；BDDWDD232-C-13
BDDWDD232-C-14</t>
  </si>
  <si>
    <t>2023.3.29开通；
BDDWDD232-E-16
BDDWDD232-E-17</t>
  </si>
  <si>
    <t>保定徐水</t>
  </si>
  <si>
    <t>2021.2.9开通16个C的IP代播。</t>
  </si>
  <si>
    <t>BDDWD-联通</t>
  </si>
  <si>
    <t>BDDWD-联通开通9个C+128个的免费IP，
110.242.68.0 /24；
110.242.69.0/24；
110.242.70.0/24；
110.242.71.0/24回收预留；
110.242.72.0/24回收已分配给云业务使用；
110.242.73.0/24；
119.249.100.0/24；
119.249.101.0/24；
119.249.105.0/24；
119.249.103.128/25</t>
  </si>
  <si>
    <t xml:space="preserve">BDDWD-联通节点，2023.4.1开通4个C免费IP
110.242.75.0/24  
110.242.76.0/24  
119.249.106.0/24 
119.249.107.0/24
</t>
  </si>
  <si>
    <t>保定三级联通</t>
  </si>
  <si>
    <t>BDDWD-联通开通2个C+128个的免费IP，三线节点使用
119.249.102.0/24联通三级CDN
119.249.104.0/24联通三级BEC
119.249.103.0/25联通三级CDN(分配未使用，不计入开通数量)</t>
  </si>
  <si>
    <t>BDDWD-联通CDN</t>
  </si>
  <si>
    <t>BDDWD机房联通CDN出口开通200G带宽和256个IP，于2021-9-30交付;于2021.10.1开始计费。
110.242.74.0/24</t>
  </si>
  <si>
    <t>中国联合网络通信有限公司保定市分公司</t>
  </si>
  <si>
    <t>保定联通</t>
  </si>
  <si>
    <t>182115IDC00495</t>
  </si>
  <si>
    <t xml:space="preserve"> 河北省保定市东风西路10号IDC机房北楼11层—百度徐水大王店数据中心</t>
  </si>
  <si>
    <t>2021.10.1开通2条30公里的2芯光纤。</t>
  </si>
  <si>
    <t>182115IDC00095</t>
  </si>
  <si>
    <t>徐水自建转签</t>
  </si>
  <si>
    <t>保定自建机房（211房间）自2020.12.1转签至河北电信53个40A机柜。</t>
  </si>
  <si>
    <t>SYS反馈开通时间未2020.9.1，经与财务、商务沟通，暂从2021.6.1开始计费。
BDDWDD211-B-16
BDDWDD211-B-17
BDDWDD211-O-16
BDDWDD211-O-17</t>
  </si>
  <si>
    <t>SYS反馈开通时间未2020.9.4，经与财务、商务沟通，暂从2021.6.1开始计费。
BDDWDD211-I-01
BDDWDD211-Q-01</t>
  </si>
  <si>
    <t>SYS反馈开通时间未2020.9.22，经与财务、商务沟通，暂从2021.6.1开始计费。
BDDWDD211-E-06
BDDWDD211-K-01
BDDWDD211-K-02
BDDWDD211-K-03
BDDWDD211-K-04
BDDWDD211-K-05
BDDWDD211-K-06
BDDWDD211-K-07
BDDWDD211-K-08
BDDWDD211-K-09
BDDWDD211-K-10
BDDWDD211-K-11
BDDWDD211-K-12
BDDWDD211-K-13
BDDWDD211-K-14
BDDWDD211-K-15
BDDWDD211-M-01
BDDWDD211-M-02
BDDWDD211-M-03
BDDWDD211-M-04
BDDWDD211-M-05
BDDWDD211-M-06
BDDWDD211-M-07
BDDWDD211-M-08
BDDWDD211-M-09
BDDWDD211-M-10
BDDWDD211-M-11
BDDWDD211-M-12
BDDWDD211-M-13
BDDWDD211-M-14
BDDWDD211-M-15
BDDWDD211-N-01
BDDWDD211-N-02
BDDWDD211-N-03
BDDWDD211-N-04
BDDWDD211-N-05
BDDWDD211-N-06
BDDWDD211-N-07
BDDWDD211-N-08
BDDWDD211-N-09
BDDWDD211-N-10
BDDWDD211-N-11
BDDWDD211-N-12
BDDWDD211-N-13
BDDWDD211-N-14
BDDWDD211-N-15
BDDWDD211-N-16
BDDWDD211-N-17
BDDWDD211-O-01
BDDWDD211-O-02
BDDWDD211-O-03
BDDWDD211-O-04
BDDWDD211-O-05
BDDWDD211-O-06
BDDWDD211-O-07
BDDWDD211-O-08
BDDWDD211-O-09
BDDWDD211-O-10
BDDWDD211-O-11
BDDWDD211-O-12</t>
  </si>
  <si>
    <t>SYS反馈开通时间未2020.9.24，经与财务、商务沟通，暂从2021.6.1开始计费。
BDDWDD211-I-02
BDDWDD211-I-03
BDDWDD211-I-04
BDDWDD211-I-05
BDDWDD211-I-06
BDDWDD211-I-07
BDDWDD211-I-08
BDDWDD211-I-09
BDDWDD211-I-10
BDDWDD211-I-11
BDDWDD211-I-12
BDDWDD211-I-13
BDDWDD211-I-14
BDDWDD211-I-15
BDDWDD211-I-16
BDDWDD211-I-17
BDDWDD211-J-01
BDDWDD211-J-02
BDDWDD211-J-03
BDDWDD211-J-04
BDDWDD211-J-05
BDDWDD211-J-06</t>
  </si>
  <si>
    <t>SYS反馈开通时间未2020.9.27，经与财务、商务沟通，暂从2021.6.1开始计费。
BDDWDD211-E-07
BDDWDD211-E-08
BDDWDD211-E-09
BDDWDD211-E-10
BDDWDD211-E-11
BDDWDD211-E-12
BDDWDD211-E-13
BDDWDD211-E-14
BDDWDD211-E-15
BDDWDD211-F-01
BDDWDD211-F-02
BDDWDD211-H-08
BDDWDD211-H-09
BDDWDD211-H-10
BDDWDD211-H-11
BDDWDD211-H-12
BDDWDD211-H-13
BDDWDD211-O-13
BDDWDD211-O-14
BDDWDD211-O-15
BDDWDD211-P-01
BDDWDD211-P-02
BDDWDD211-P-03
BDDWDD211-P-04
BDDWDD211-P-05
BDDWDD211-P-06
BDDWDD211-P-07
BDDWDD211-P-08
BDDWDD211-P-09
BDDWDD211-P-10
BDDWDD211-P-11
BDDWDD211-P-12
BDDWDD211-P-13
BDDWDD211-P-14
BDDWDD211-P-15
BDDWDD211-Q-02
BDDWDD211-Q-03
BDDWDD211-Q-04
BDDWDD211-Q-05
BDDWDD211-Q-06
BDDWDD211-Q-07
BDDWDD211-Q-08
BDDWDD211-Q-09</t>
  </si>
  <si>
    <t>SYS反馈开通时间未2020.9.30，经与财务、商务沟通，暂从2021.6.1开始计费。
BDDWDD211-L-02
BDDWDD211-L-03
BDDWDD211-Q-10
BDDWDD211-Q-11
BDDWDD211-Q-12
BDDWDD211-Q-13
BDDWDD211-Q-14
BDDWDD211-Q-15
BDDWDD211-Q-16
BDDWDD211-Q-17</t>
  </si>
  <si>
    <t>SYS反馈开通时间未2020.12.28，经与财务、商务沟通，暂从2021.6.1开始计费。
BDDWDD211-L-06
BDDWDD211-L-07
BDDWDD211-L-08</t>
  </si>
  <si>
    <t>SYS反馈开通时间未2020.12.29，经与财务、商务沟通，暂从2021.6.1开始计费。BDDWDD211-H-06
BDDWDD211-H-07</t>
  </si>
  <si>
    <t>SYS反馈开通时间未2021.3.25，经与财务、商务沟通，暂从2021.6.1开始计费。
BDDWDD211-G-13
BDDWDD211-G-14
BDDWDD211-G-15
BDDWDD211-H-01
BDDWDD211-H-02
BDDWDD211-H-03
BDDWDD211-H-04
BDDWDD211-H-05
BDDWDD211-L-09</t>
  </si>
  <si>
    <t>SYS反馈开通时间未2021.4.2，经与财务、商务沟通，暂从2021.6.1开始计费。BDDWDD211-G-07
BDDWDD211-G-08
BDDWDD211-G-09
BDDWDD211-G-10
BDDWDD211-G-11
BDDWDD211-G-12</t>
  </si>
  <si>
    <t>2021.5开通;BDDWDD211-G-01
BDDWDD211-G-02
BDDWDD211-G-03
BDDWDD211-G-04
BDDWDD211-G-05
BDDWDD211-G-06</t>
  </si>
  <si>
    <t>SYS反馈未查到开通时间，经与财务、商务沟通，暂从2021.6.1开始计费。
BDDWDD211-E-16
BDDWDD211-E-17
BDDWDD211-K-16
BDDWDD211-K-17
BDDWDD211-B-01
BDDWDD211-B-02
BDDWDD211-B-08
BDDWDD211-B-09
BDDWDD211-B-10
BDDWDD211-B-11
BDDWDD211-B-12
BDDWDD211-B-13
BDDWDD211-C-07
BDDWDD211-C-08
BDDWDD211-C-09
BDDWDD211-C-10
BDDWDD211-C-11
BDDWDD211-C-12
BDDWDD211-C-13
BDDWDD211-D-02
BDDWDD211-D-03
BDDWDD211-D-04
BDDWDD211-D-05
BDDWDD211-D-06
BDDWDD211-D-07
BDDWDD211-D-08
BDDWDD211-D-09
BDDWDD211-D-10
BDDWDD211-D-11
BDDWDD211-D-12
BDDWDD211-D-13
BDDWDD211-D-14
BDDWDD211-D-15
BDDWDD211-E-01
BDDWDD211-E-02
BDDWDD211-E-03
BDDWDD211-E-04
BDDWDD211-E-05
BDDWDD211-L-04
BDDWDD211-L-05</t>
  </si>
  <si>
    <t>2020.10.27开通8个C的IP地址，免费，超过8个C按照7680元/C/月收取费用
124.237.176.0/21</t>
  </si>
  <si>
    <t>C</t>
  </si>
  <si>
    <t>自建机房转签；2021.1.21开通省内4个C的IP代播，按照2500元/C/月收取费用</t>
  </si>
  <si>
    <t>自建机房转签；2021.1.21开通全球16个C的IP代播，按照2500元/C/月收取费用</t>
  </si>
  <si>
    <t>中国电信集团有限公司河北分公司</t>
  </si>
  <si>
    <t>L20220729011</t>
  </si>
  <si>
    <t>保定三级电信</t>
  </si>
  <si>
    <t>BDDX</t>
  </si>
  <si>
    <t>保定定兴电信，2021.1.1开始计费，使用200G带宽，IPv4地址每万兆免费提供32个，超出部分30个/月；IPv6地址免费提供(CDN768和IDC1280共用，由IDC负责)
IDC使用5个C  IP ：
124.237.208.0/24
124.237.209.0/24
124.237.210.0/24
124.237.211.0/24
124.237.214.0/25 IDC 124.237.214.128/25 IDC</t>
  </si>
  <si>
    <t>保定定兴电信，2021.1.1开始计费，使用200G带宽，IPv4地址每万兆免费提供32个，超出部分30个/月；IPv6地址免费提供(CDN和IDC共用，由IDC负责；新合同赠送4032个IP)
CDN使用768个IP（124.237.212.0/24 cdn三级电信
124.237.213.0/24 cdn  三级电信
124.237.215.0/24  bec 三级电信）</t>
  </si>
  <si>
    <t xml:space="preserve">保定电信三线出口，2021.9.30开通400G带宽和768个IP（2022.6.16邮件确认赠送1280个IP，故768个IP全部免费），2021.11.1开始计费
124.237.224.0/24
124.237.225.0/24回收已分配给云业务使用
124.237.226.0/24回收预留
</t>
  </si>
  <si>
    <t>保定三级，
CDN使用12个机柜，于2020.12.21开通（免费，百度自建机房）BDDXD231A-A-12
BDDXD231A-A-13
BDDXD231A-A-14
BDDXD231A-A-15
BDDXD231A-A-16
BDDXD231A-A-17
BDDXD231A-A-18
BDDXD231A-B-12
BDDXD231A-B-13
BDDXD231A-B-14
BDDXD231A-B-15
BDDXD231A-B-16</t>
  </si>
  <si>
    <t>保定定兴电信，
边缘计算使用2个机柜，于2021.1.20开通（免费，百度自建机房）BDDXD231A-B-17
BDDXD231A-B-18</t>
  </si>
  <si>
    <t>华中-WM</t>
  </si>
  <si>
    <t>中国电信股份有限公司武汉分公司</t>
  </si>
  <si>
    <t>武汉电信</t>
  </si>
  <si>
    <t>L20221229004</t>
  </si>
  <si>
    <t>北京到武汉</t>
  </si>
  <si>
    <t>2020年2月6日升速为200G</t>
  </si>
  <si>
    <t>武汉临空港</t>
  </si>
  <si>
    <t>L20221025004</t>
  </si>
  <si>
    <t>武汉
LKGIDC</t>
  </si>
  <si>
    <t>QYKG</t>
  </si>
  <si>
    <t xml:space="preserve">HB-027-LKGIDC-2-2-08-01
HB-027-LKGIDC-2-2-08-02
</t>
  </si>
  <si>
    <t xml:space="preserve">HB-027-LKGIDC-2-2-08-03
HB-027-LKGIDC-2-2-08-04
HB-027-LKGIDC-2-2-08-05
HB-027-LKGIDC-2-2-08-06
HB-027-LKGIDC-2-2-08-07
HB-027-LKGIDC-2-2-08-08
HB-027-LKGIDC-2-2-08-09
HB-027-LKGIDC-2-2-08-10
HB-027-LKGIDC-2-2-08-11
HB-027-LKGIDC-2-2-08-12
HB-027-LKGIDC-2-2-08-13
HB-027-LKGIDC-2-2-08-14
HB-027-LKGIDC-2-2-08-15
HB-027-LKGIDC-2-2-08-16
HB-027-LKGIDC-2-2-07-19
</t>
  </si>
  <si>
    <t xml:space="preserve">HB-027-LKGIDC-2-2-08-17
HB-027-LKGIDC-2-2-08-18
HB-027-LKGIDC-2-2-08-19
HB-027-LKGIDC-2-2-08-20
HB-027-LKGIDC-2-2-02-01
HB-027-LKGIDC-2-2-02-02
HB-027-LKGIDC-2-2-02-03
HB-027-LKGIDC-2-2-02-04
HB-027-LKGIDC-2-2-02-05
HB-027-LKGIDC-2-2-02-06
HB-027-LKGIDC-2-2-02-07
HB-027-LKGIDC-2-2-02-08
HB-027-LKGIDC-2-2-02-09
HB-027-LKGIDC-2-2-02-10
HB-027-LKGIDC-2-2-02-11
</t>
  </si>
  <si>
    <t xml:space="preserve">HB-027-LKGIDC-2-2-02-12
HB-027-LKGIDC-2-2-02-13
HB-027-LKGIDC-2-2-02-14
HB-027-LKGIDC-2-2-02-15
HB-027-LKGIDC-2-2-02-16
HB-027-LKGIDC-2-2-02-17
HB-027-LKGIDC-2-2-02-18
HB-027-LKGIDC-2-2-02-19
HB-027-LKGIDC-2-2-02-20
HB-027-LKGIDC-2-2-02-21
HB-027-LKGIDC-2-2-02-22
HB-027-LKGIDC-2-2-02-23
HB-027-LKGIDC-2-2-03-01
HB-027-LKGIDC-2-2-03-02
HB-027-LKGIDC-2-2-03-03
HB-027-LKGIDC-2-2-03-04
HB-027-LKGIDC-2-2-03-05
HB-027-LKGIDC-2-2-03-06
HB-027-LKGIDC-2-2-03-07
HB-027-LKGIDC-2-2-03-08
HB-027-LKGIDC-2-2-03-09
HB-027-LKGIDC-2-2-04-13
HB-027-LKGIDC-2-2-04-15
</t>
  </si>
  <si>
    <t xml:space="preserve">HB-027-LKGIDC-2-2-03-10
HB-027-LKGIDC-2-2-03-11
HB-027-LKGIDC-2-2-03-12
HB-027-LKGIDC-2-2-03-13
HB-027-LKGIDC-2-2-03-14
HB-027-LKGIDC-2-2-03-15
HB-027-LKGIDC-2-2-03-16
HB-027-LKGIDC-2-2-03-17
HB-027-LKGIDC-2-2-03-18
HB-027-LKGIDC-2-2-03-19
HB-027-LKGIDC-2-2-03-20
HB-027-LKGIDC-2-2-03-21
HB-027-LKGIDC-2-2-03-22
HB-027-LKGIDC-2-2-03-23
HB-027-LKGIDC-2-2-04-01
HB-027-LKGIDC-2-2-04-02
HB-027-LKGIDC-2-2-04-03
HB-027-LKGIDC-2-2-04-04
HB-027-LKGIDC-2-2-04-05
HB-027-LKGIDC-2-2-04-06
HB-027-LKGIDC-2-2-04-07
HB-027-LKGIDC-2-2-04-08
HB-027-LKGIDC-2-2-04-09
HB-027-LKGIDC-2-2-04-10
HB-027-LKGIDC-2-2-04-11
HB-027-LKGIDC-2-2-04-12
HB-027-LKGIDC-2-2-04-14
</t>
  </si>
  <si>
    <t xml:space="preserve">HB-027-LKGIDC-2-2-04-16
HB-027-LKGIDC-2-2-04-17
HB-027-LKGIDC-2-2-04-18
HB-027-LKGIDC-2-2-04-19
HB-027-LKGIDC-2-2-04-20
HB-027-LKGIDC-2-2-04-22
HB-027-LKGIDC-2-2-04-23
HB-027-LKGIDC-2-2-05-01
HB-027-LKGIDC-2-2-05-02
HB-027-LKGIDC-2-2-05-03
HB-027-LKGIDC-2-2-05-04
HB-027-LKGIDC-2-2-05-05
</t>
  </si>
  <si>
    <t>HB-027-LKGIDC-2-2-04-21</t>
  </si>
  <si>
    <t xml:space="preserve">HB-027-LKGIDC-2-2-05-06
HB-027-LKGIDC-2-2-05-07
HB-027-LKGIDC-2-2-05-08
</t>
  </si>
  <si>
    <t xml:space="preserve">1、 HB-027-LKGIDC-2-4-01-01
2、 HB-027-LKGIDC-2-4-01-02
3、 HB-027-LKGIDC-2-4-01-03
4、 HB-027-LKGIDC-2-4-01-06
5、 HB-027-LKGIDC-2-4-01-11
6、 HB-027-LKGIDC-2-4-01-12
7、 HB-027-LKGIDC-2-4-02-01
8、 HB-027-LKGIDC-2-4-02-02
9、 HB-027-LKGIDC-2-4-02-03
10、 HB-027-LKGIDC-2-4-02-06
11、 HB-027-LKGIDC-2-4-02-11
12、 HB-027-LKGIDC-2-4-02-12
13、 HB-027-LKGIDC-2-4-03-01
14、 HB-027-LKGIDC-2-4-03-02
15、 HB-027-LKGIDC-2-4-03-03
16、 HB-027-LKGIDC-2-4-03-09
17、 HB-027-LKGIDC-2-4-03-10
18、 HB-027-LKGIDC-2-4-04-01
19、 HB-027-LKGIDC-2-4-04-02
20、 HB-027-LKGIDC-2-4-04-03
21、 HB-027-LKGIDC-2-4-04-11
22、 HB-027-LKGIDC-2-4-04-12
23、 HB-027-LKGIDC-2-4-05-01
24、 HB-027-LKGIDC-2-4-05-02
25、 HB-027-LKGIDC-2-4-06-01
26、 HB-027-LKGIDC-2-4-06-02
27、 HB-027-LKGIDC-2-4-06-10
</t>
  </si>
  <si>
    <t xml:space="preserve">QYKG202-06-22
QYKG202-06-23
QYKG202-07-01
QYKG202-07-02
QYKG202-07-03
QYKG202-07-04
QYKG202-07-05
QYKG202-07-06
QYKG202-07-07
QYKG202-07-08
QYKG202-07-09
QYKG202-07-10
QYKG202-07-11
QYKG202-07-12
QYKG202-07-13
QYKG202-07-14
QYKG202-07-15
QYKG202-07-16
QYKG202-07-17
QYKG202-07-18
</t>
  </si>
  <si>
    <t xml:space="preserve">QYKG302-01-04
QYKG302-01-05
QYKG302-01-06
</t>
  </si>
  <si>
    <t>QYKG302-01-01
QYKG302-01-02
QYKG302-01-03
QYKG302-01-07
QYKG302-01-08
QYKG302-01-09
QYKG302-01-10
QYKG302-01-11
QYKG302-01-12</t>
  </si>
  <si>
    <t xml:space="preserve">QYKG-302-01-13
QYKG-302-01-14
QYKG-302-01-15
QYKG-302-01-16
QYKG-302-01-17
QYKG-302-01-18
QYKG-302-01-19
QYKG-302-01-20
QYKG-302-01-21
QYKG-302-01-22
QYKG-302-01-23
QYKG-302-02-01
QYKG-302-02-02
QYKG-302-02-03
QYKG-302-02-04
QYKG-302-02-05
QYKG-302-02-06
QYKG-302-02-07
QYKG-302-02-08
QYKG-302-02-09
QYKG-302-02-10
QYKG-302-02-11
QYKG-302-02-12
QYKG-302-02-13
QYKG-302-02-14
QYKG-302-02-15
QYKG-302-02-16
QYKG-302-02-17
QYKG-302-02-18
QYKG-302-07-19
</t>
  </si>
  <si>
    <t>QYKG302-06-02、QYKG302-06-03、QYKG302-07-03</t>
  </si>
  <si>
    <t>QYKG302-06-04、QYKG302-06-05、QYKG302-06-06</t>
  </si>
  <si>
    <t>QYKG204-06-06、QYKG204-06-07、QYKG204-06-08、QYKG204-06-09</t>
  </si>
  <si>
    <t>QYKG302-06-07~12</t>
  </si>
  <si>
    <t>QYKG302-06-13~18</t>
  </si>
  <si>
    <t>QYKG302-07-04
QYKG302-07-05
QYKG302-07-06
QYKG302-07-07
QYKG302-07-08
QYKG302-07-09
QYKG302-07-10
QYKG302-07-11
QYKG302-07-12
QYKG302-06-19
QYKG302-06-20
QYKG302-06-21
QYKG302-06-22
QYKG302-06-23</t>
  </si>
  <si>
    <t>QYKG302-07-13
QYKG302-07-14
QYKG302-07-15
QYKG302-07-16
QYKG302-07-17
QYKG302-07-18</t>
  </si>
  <si>
    <t>QYKG302-07-01</t>
  </si>
  <si>
    <t>QYKG202-01-04
QYKG202-01-05
QYKG202-01-06
QYKG202-01-07
QYKG202-01-08
QYKG202-01-09
QYKG202-01-10
QYKG202-01-11
QYKG202-01-12
QYKG202-01-13
QYKG202-01-14
QYKG202-01-15
QYKG202-01-16
QYKG202-01-17
QYKG202-01-18
QYKG202-01-19
QYKG202-01-20
QYKG202-01-21
QYKG202-01-22
QYKG202-01-23</t>
  </si>
  <si>
    <t>QYKG302-08-02
QYKG302-08-03
QYKG302-08-04
QYKG302-08-05
QYKG302-08-06
QYKG302-08-07
QYKG302-08-08
QYKG302-08-09
QYKG302-08-10
QYKG302-08-11
QYKG302-08-12
QYKG302-08-13
QYKG302-08-14
QYKG302-08-15
QYKG302-08-16
QYKG302-08-17
QYKG302-08-18
QYKG302-08-19
QYKG302-08-20
QYKG302-08-21
QYKG302-08-22
QYKG302-08-23</t>
  </si>
  <si>
    <t>QYKG302-08-01</t>
  </si>
  <si>
    <t>QYKG202-01-02</t>
  </si>
  <si>
    <t>QYKG204-01-04
QYKG204-01-05
QYKG204-01-07
QYKG204-01-08
QYKG204-01-09
QYKG204-01-10
QYKG204-02-04
QYKG204-02-05
QYKG204-02-07
QYKG204-02-08
QYKG204-02-09
QYKG204-02-10
QYKG204-03-04
QYKG204-03-05
QYKG204-03-06
QYKG204-03-07
QYKG204-03-08
QYKG204-04-04
QYKG204-04-05
QYKG204-04-06
QYKG204-04-07
QYKG204-04-08
QYKG204-04-09
QYKG204-04-10
QYKG204-05-03
QYKG204-05-04
QYKG204-05-05
QYKG204-05-06
QYKG204-05-07
QYKG204-05-08
QYKG204-05-09
QYKG204-05-10
QYKG204-05-11
QYKG204-05-12
QYKG204-06-03
QYKG204-06-04
QYKG204-06-05</t>
  </si>
  <si>
    <t>QYKG202-01-03</t>
  </si>
  <si>
    <t>QYKG202-01-02
QYKG202-01-03
QYKG202-01-04
QYKG202-01-05
QYKG202-01-06
QYKG202-01-07
QYKG202-01-08
QYKG202-01-09
QYKG202-01-10
QYKG202-01-11
QYKG202-01-12
QYKG202-01-13
QYKG202-01-14
QYKG202-01-15
QYKG202-01-16
QYKG202-01-17
QYKG202-01-18
QYKG202-01-19
QYKG202-01-20
QYKG202-01-21
QYKG202-01-22
QYKG202-01-23</t>
  </si>
  <si>
    <t>QYKG204-04-07
QYKG204-04-08
QYKG204-04-09
QYKG204-04-10
QYKG204-05-03
QYKG204-05-04
QYKG204-05-05
QYKG204-05-06
QYKG204-05-07
QYKG204-05-08
QYKG204-05-09
QYKG204-05-10
QYKG204-05-11
QYKG204-05-12
QYKG204-06-03
QYKG204-06-04
QYKG204-06-05</t>
  </si>
  <si>
    <t>2023.4.22空港大机房关闭2个机柜，转给WHGG电信2节点使用
QYKG202-02-01
QYKG202-02-02</t>
  </si>
  <si>
    <t>L20230423020</t>
  </si>
  <si>
    <t>WHGG电信2</t>
  </si>
  <si>
    <t>WHGG</t>
  </si>
  <si>
    <t>2023.4.23WHGG电信2节点新增2个机柜（空港大机房关闭2个机柜，在此节点开通）
QYKG202-02-01
QYKG202-02-02</t>
  </si>
  <si>
    <t>2023.4.23WHGG电信2节点新增512个IP，免费96个，收费416个
116.211.126.0/24
116.211.127.0/24</t>
  </si>
  <si>
    <t>中国电信股份有限公司湖北互联网数据事业部</t>
  </si>
  <si>
    <t>黄石电信</t>
  </si>
  <si>
    <t>L20230322002</t>
  </si>
  <si>
    <t>黄石2电信
黄石3电信
黄石电信二级</t>
  </si>
  <si>
    <t>CDNHSCT</t>
  </si>
  <si>
    <t>使用19个机架
黄石2电信：
HS2CT4F-06-07、HS2CT4F-06-08、HS2CT4F-06-09、HS2CT4F-06-10、
黄石3电信
HS3CT4F-10-01、HS3CT4F-10-02、HS3CT4F-10-03、HS3CT4F-10-04、
黄石电信二级：
HSCTCACHE4F-7-01、
HSCTCACHE4F-7-02、
HSCTCACHE4F-7-03、
HSCTCACHE4F-7-04、
HSCT4F-7-05、
HSCT4F-7-06、
HSCT4F-7-07、
HSCT4F-7-08
HSCT4F-6-01、
HSCT4F-6-02、
HSCT4F-6-03</t>
  </si>
  <si>
    <t>SSL使用5个机架
HSCT4F-1-04、HSCT4F-1-05、HSCT4F-1-06、HSCT4F-1-07、HSCT4F-1-08</t>
  </si>
  <si>
    <t>SSL2022.7.19退租2个机柜
HSCT4F-1-07
HSCT4F-1-08</t>
  </si>
  <si>
    <t>黄石3电信</t>
  </si>
  <si>
    <t>HS3CT边缘计算节点新增3个机架，128个IP：BECHSCT-06-05、BECHSCT-06-06、BECHSCT-06-07</t>
  </si>
  <si>
    <t>黄石电信二级</t>
  </si>
  <si>
    <t>2021.10.21黄石电信二级退租4个机柜，
HSCT4F-7-08、
HSCT4F-6-03、
HSCT4F-6-02、
HSCT4F-6-01、</t>
  </si>
  <si>
    <t>2022.8.31黄石电信二级退租3个机柜
HSCT4F-7-07
HSCT4F-7-06
HSCT4F-7-05</t>
  </si>
  <si>
    <t>黄石2电信</t>
  </si>
  <si>
    <t>黄石2电信使用288个免费：
119.100.50.0/24
58.51.194.32/27
历史开通；合同免费赠送IP地址1728 ，超出部分30元/个/；此部分免费</t>
  </si>
  <si>
    <t>黄石3电信HS3CT</t>
  </si>
  <si>
    <t>黄石3电信使用288个，免费：111.174.1.0/24
219.138.64.64/27
历史开通；合同免费赠送IP地址1728 ，超出部分30元/个/；此部分免费</t>
  </si>
  <si>
    <t>黄石电信二级使用512个，免费：
61.136.172.0/24
61.136.173.0/24
历史开通；合同免费赠送IP地址1728 ，超出部分30元/个/；此部分免费</t>
  </si>
  <si>
    <t>2022.8.31黄石电信二级退租256个IP
61.136.172.0/24</t>
  </si>
  <si>
    <t>黄石电信SSL</t>
  </si>
  <si>
    <t>历史开通（2017.2）；SSL使用512个免费IP：
111.174.61.0/24
111.174.63.0/24
历史开通；合同免费赠送IP地址1728 ，超出部分30元/个/；此部分免费</t>
  </si>
  <si>
    <t>黄石3电信边缘计算节点新增3个机架，128个IP：111.174.14.0/25；合同免费赠送IP地址1728 ，超出部分30元/个/；此部分免费</t>
  </si>
  <si>
    <t xml:space="preserve">黄石3电信2022.8.1边缘计算节点新增6个机架，
BECHSCT-08-05
BECHSCT-08-06
BECHSCT-08-07
BECHSCT-08-08
BECHSCT-09-09
BECHSCT-10-10
</t>
  </si>
  <si>
    <t>黄石3电信2022.8.1边缘计算节点新增256个IP：61.184.116.0/24；合同免费赠送IP地址1728 ，超出部分30元/个/；此部分收费；因2022.8.31黄石2电信退租256个IP，故自2022.9.1开始此256个免费。</t>
  </si>
  <si>
    <t>黄石3电信2022.8.1边缘计算节点新增1个IPV6:240e:95d:1903::/64；</t>
  </si>
  <si>
    <t>黄石3电信2022.11.7退租128个IP
111.174.1.128/25</t>
  </si>
  <si>
    <t>襄阳电信</t>
  </si>
  <si>
    <t>云自采-襄阳电信 XIANGYCT</t>
  </si>
  <si>
    <t>CBUCDNXIANGYCT</t>
  </si>
  <si>
    <t>XIANGYCT2F-5-07、XIANGYCT2F-5-08、XIANGYCT2F-5-09、XIANGYCT2F-5-10、XIANGYCT2F-5-11、XIANGYCT2F-5-12、XIANGYCT2F-5-13、XIANGYCT2F-6-08、XIANGYCT2F-6-09、XIANGYCT2F-6-10、XIANGYCT2F-6-11</t>
  </si>
  <si>
    <t>2021.8.13退租6个机柜XIANGYCT2F-5-07、XIANGYCT2F-5-08、XIANGYCT2F-6-08、XIANGYCT2F-6-09、XIANGYCT2F-6-10、XIANGYCT2F-6-11</t>
  </si>
  <si>
    <t>襄阳电信2 XIANGY2CT</t>
  </si>
  <si>
    <t>XIANGYCT7F-07-01、XIANGYCT7F-07-02、XIANGYCT7F-07-05、XIANGYCT7F-07-06、XIANGYCT7F-07-03、XIANGYCT7F-07-04、XIANGYCT7F-07-07</t>
  </si>
  <si>
    <t>XIANGY2CT节点2022.12.10退租3个机柜XIANGYCT7F-07-05、XIANGYCT7F-07-06、XIANGYCT7F-07-07</t>
  </si>
  <si>
    <t>襄阳三级电信 XIANGYIXCT</t>
  </si>
  <si>
    <t>CDNXIANGYIX</t>
  </si>
  <si>
    <t>新建襄阳三级电信160G,增22个机柜19.7.25开始计费：XIANGYIX2F-11-10、XIANGYIX2F-11-11、XIANGYIX2F-11-12、XIANGYIX2F-11-03、XIANGYIX2F-11-04、XIANGYIX2F-11-01、XIANGYIX2F-11-02、XIANGYIX2F-11-07、XIANGYIX2F-11-08、XIANGYIX2F-11-05、XIANGYIX2F-11-06、XIANGYIX2F-11-09、XIANGYIX2F-10-02、XIANGYIX2F-10-03、XIANGYIX2F-10-01、XIANGYIX2F-10-06、XIANGYIX2F-10-07、XIANGYIX2F-10-04、XIANGYIX2F-10-05、XIANGYIX2F-10-08、XIANGYIX2F-10-09、XIANGYIX2F-10-10</t>
  </si>
  <si>
    <t>2021/1/18退租9个机架
XIANGYIX2F-11-03、XIANGYIX2F-11-04、XIANGYIX2F-11-06、XIANGYIX2F-11-07、XIANGYIX2F-11-08、XIANGYIX2F-11-09、XIANGYIX2F-11-10、XIANGYIX2F-11-11、XIANGYIX2F-11-12</t>
  </si>
  <si>
    <t>襄阳电信二级节点2022.9.1新增3个机柜。
XIANGYCT2F-5-06
XIANGYCT2F-5-07
XIANGYCT2F-5-08</t>
  </si>
  <si>
    <t>XIANGYCT 160G 11机柜 544IP（111.177.3.0/24;111.177.4.0/24;111.177.9.32/27）。共使用1376，免费1408，超出收费50</t>
  </si>
  <si>
    <t xml:space="preserve"> XIANGY2CT 160G 7机柜 288IP（111.177.8.0/24;111.177.9.0/27）。共使用1376，免费1408，超出收费50</t>
  </si>
  <si>
    <t>新建襄阳三级电信160G,使用544个IP（111.177.6.0/24，111.177.1.128/27 ，111.177.7.0/24） 。共使用1376，免费1408，超出收费50</t>
  </si>
  <si>
    <t>XIANGYIX节点2022.10.1扩容11个机柜：
XIANGYIX2F-11-03
XIANGYIX2F-11-04
XIANGYIX2F-11-06
XIANGYIX2F-11-07
XIANGYIX2F-11-08
XIANGYIX2F-11-09
XIANGYIX2F-11-10
XIANGYIX2F-11-11
XIANGYIX2F-11-12
XIANGYIX2F-11-13
XIANGYIX2F-12-1</t>
  </si>
  <si>
    <t>182215IDC00273</t>
  </si>
  <si>
    <t>襄阳市樊城区长虹路特88号电信IDC机房—武汉市洪山区书城路</t>
  </si>
  <si>
    <t>2022.7.1开始计费800G电路，襄阳市樊城区长虹路特88号电信IDC机房—武汉市洪山区书城路</t>
  </si>
  <si>
    <t>中国联合网络通信有限公司黄石市分公司</t>
  </si>
  <si>
    <t>黄石联通</t>
  </si>
  <si>
    <t>182215IDC00678</t>
  </si>
  <si>
    <t>黄石BEC</t>
  </si>
  <si>
    <t>HSUN</t>
  </si>
  <si>
    <t>CDNHSUN</t>
  </si>
  <si>
    <t>HSUN节点，2022.10.1新增1个机柜
BECHSUN-B-04</t>
  </si>
  <si>
    <t xml:space="preserve">HSUN节点，2022.10.1新增256个IP，免费。
113.56.146.0/24
</t>
  </si>
  <si>
    <t>中国联合网络通信有限公司武汉市分公司</t>
  </si>
  <si>
    <t>武汉联通</t>
  </si>
  <si>
    <t>L20221229013</t>
  </si>
  <si>
    <t>武汉CDN</t>
  </si>
  <si>
    <t>CDNWHUN</t>
  </si>
  <si>
    <t>19.8.24CDN节点关停下线</t>
  </si>
  <si>
    <t>武汉SSL</t>
  </si>
  <si>
    <t>SSLWHUN</t>
  </si>
  <si>
    <t>WHUN3F-F-09、
WHUN3F-G-10、
WHUN3F-G-11、
WHUN3F-G-12</t>
  </si>
  <si>
    <t>2022.11.30退租4个机柜WHUN3F-F-09、
WHUN3F-G-10、
WHUN3F-G-11、
WHUN3F-G-12</t>
  </si>
  <si>
    <t>原共用1280个，256*3=768免费。CDN退租未来城机房退512个IP，剩余为SSL在鲁巷机房使用的768个IP，免费256个，收费512个（122.190.2.0/24,122.190.3.0/24,122.190.1.0/24）</t>
  </si>
  <si>
    <t>2022.11.30退租768个IP。原共用1280个，256*3=768免费。CDN退租未来城机房退512个IP，剩余为SSL在鲁巷机房使用的768个IP，免费256个，收费512个（122.190.2.0/24,122.190.3.0/24,122.190.1.0/24）</t>
  </si>
  <si>
    <t>武汉BEC</t>
  </si>
  <si>
    <t>WH3UN</t>
  </si>
  <si>
    <t>CDNWHUN2</t>
  </si>
  <si>
    <t xml:space="preserve">WH3UN节点，BEC2022.8.22开始计费5个机柜
BECWH2UN-C-05
BECWH2UN-C-06
BECWH2UN-C-07
BECWH2UN-C-08
BECWH2UN-C-09
</t>
  </si>
  <si>
    <t>WH3UN节点，BEC2022.9.1开始计费256个IP，免费128个，收费128个
58.19.21.0/24</t>
  </si>
  <si>
    <t>WH3UN节点，BEC2022.9.1开通1段IPv6
2408:874E:1000:000C::/64</t>
  </si>
  <si>
    <t>WH4UN</t>
  </si>
  <si>
    <t>CDNWHUN4</t>
  </si>
  <si>
    <t xml:space="preserve">WH4UN节点，2022.10.1开始计费2个机柜
WH4UN7D1FVIP2-3V2-A11
WH4UN7D1FVIP2-3V2-A12
</t>
  </si>
  <si>
    <t xml:space="preserve">2023.3.29WH4UN节点，CDN新增2个机柜
WH4UN7D1FVIP2-3V2-A08
WH4UN7D1FVIP2-3V2-A10
</t>
  </si>
  <si>
    <t>补2个机柜3月计提</t>
  </si>
  <si>
    <t>WH4UN节点，2022.10.1新增160个IP，免费122.190.57.0/25 122.190.57.128/27
2023.3.29IP网段更新为：
122.190.57.0/25 
113.57.35.0/27</t>
  </si>
  <si>
    <t>中国联合网络通信有限公司襄阳市分公司</t>
  </si>
  <si>
    <t>襄阳联通</t>
  </si>
  <si>
    <t>182215IDC00333</t>
  </si>
  <si>
    <t>襄阳三线联通</t>
  </si>
  <si>
    <t>免费使用IPV4 288个。同时免费提供IPV6地址 [1]个/56
119.36.164.0/24,119.36.165.0/27;于2022.4.30关闭173个IP转签代理合同。</t>
  </si>
  <si>
    <t>于2022.4.30关闭173个IP转签代理合同。</t>
  </si>
  <si>
    <t>代理</t>
  </si>
  <si>
    <t>橘智科技有限公司</t>
  </si>
  <si>
    <t>橘智科技</t>
  </si>
  <si>
    <t>182215IDC00334</t>
  </si>
  <si>
    <t>XN襄阳三线联通</t>
  </si>
  <si>
    <t>2022.5.1开始关联在代理合同</t>
  </si>
  <si>
    <t>中国移动通信集团湖北有限公司</t>
  </si>
  <si>
    <t>湖北移动</t>
  </si>
  <si>
    <t>L20221229014</t>
  </si>
  <si>
    <t>襄阳2移动</t>
  </si>
  <si>
    <t>CDNXIANGYCM</t>
  </si>
  <si>
    <t>XIANGCM2FB202-A-05
XIANGCM2FB202-A-06
XIANGCM2FB202-A-07
XIANGCM2FB202-A-08
XIANGCM2FB202-A-09
XIANGCM2FB202-A-10
XIANGCM2FB202-A-11
XIANGCM2FB202-A-12</t>
  </si>
  <si>
    <t>襄阳2移动BEC</t>
  </si>
  <si>
    <t>边缘计算新增2个机柜，
BECXIANGY2CM2FB202-A-13、
BECXIANGY2CM2FB202-A-14</t>
  </si>
  <si>
    <t>襄阳2移动边缘计算节点新申请5个机架，256个IP V4,接入cdn核心交换机地址为：111.48.86.1于2021-02-26正式开通。运营商反馈从3.1开始计费。
BECXIANGY2CM2FB202-A-B09、BECXIANGY2CM2FB202-A-B10、BECXIANGY2CM2FB202-A-B11、BECXIANGY2CM2FB202-A-B12、BECXIANGY2CM2FB202-A-B13</t>
  </si>
  <si>
    <t>XIANGY2CM</t>
  </si>
  <si>
    <t>襄阳移动边缘计算节点新申请1个机架，2021-04-30正式开通。运营商反馈从5.1开始计费。BECXIANGY2CM2FB202-A-B08</t>
  </si>
  <si>
    <t>襄阳</t>
  </si>
  <si>
    <t>320G节点使用544 个IP；80G节点288个IP；
111.48.51.0/24;111.48.86.192/27;111.48.50.0/24</t>
  </si>
  <si>
    <t>襄阳 XIANGYIXCM</t>
  </si>
  <si>
    <t>襄阳三级移动</t>
  </si>
  <si>
    <t xml:space="preserve">320G节点使用544 个IP；80G节点288个IP
111.47.227.0/24,111.48.86.224/27 </t>
  </si>
  <si>
    <t>边缘计算新增2个机柜，128个IP,2020/6/2开始计费，IP免费:111.48.86.0/25</t>
  </si>
  <si>
    <t xml:space="preserve">襄阳移动边缘计算节点新申请5个机架，256个IP于2021-02-26正式开通。
111.47.231.0/24
2022.5.31退租50G带宽后转收费165个IP。2022.7.26退租384个IP后165个IP转免费，故165个IP7月计费26天
</t>
  </si>
  <si>
    <t>襄阳3移动BEC</t>
  </si>
  <si>
    <t xml:space="preserve">襄阳3移动边缘计算节点新增2个机柜，于2021.10.1开始计费BECXIANGY3CM2F-B-A15、
BECXIANGY3CM2F-B-A14、
</t>
  </si>
  <si>
    <t xml:space="preserve">襄阳3移动BEC于2022.12.31退租2个机柜BECXIANGY3CM2F-B-A15、
BECXIANGY3CM2F-B-A14、
</t>
  </si>
  <si>
    <t xml:space="preserve">襄阳3移动边缘计算节点新增128个IP，于2021.10.1开通111.48.89.128/25
</t>
  </si>
  <si>
    <t xml:space="preserve">（免费IP，未实际退租后续可继续使用）2022.12.31襄阳3移动边缘计算节点退租128个IP。
111.48.89.128/25
</t>
  </si>
  <si>
    <t xml:space="preserve">襄阳2移动节点核对后，目前在用2段IPV6。
2409:8C4D:5200:0100::/64  CDN用
2409:8C4D:5200:0101::/64  BEC用
未关联资源
</t>
  </si>
  <si>
    <t xml:space="preserve">襄阳2移动边缘计算节点新增1个机柜，于2021.12.10开始计费BECXIANGY2CM2FB202-B-A13
</t>
  </si>
  <si>
    <t xml:space="preserve">襄阳2移动边缘计算节点新增128个IP，于2021.12.10开通111.48.89.0/25；自2022.4.30退租100G带宽后收费12个IP。2022.5.31退租50G带宽后转收费165个IP。2022.7.26退租384个IP后165个IP转免费。
</t>
  </si>
  <si>
    <t xml:space="preserve">襄阳3移动边缘计算节点新增1段IPV6，免费2409:8c4d:5200:42::0/64；合同未录合同行，资源未关联
</t>
  </si>
  <si>
    <t xml:space="preserve">（免费IPV6，未实际退租后续可继续使用）2022.12.31襄阳3移动边缘计算节点退租1段。
2409:8c4d:5200:42:: /64
</t>
  </si>
  <si>
    <t>2022.7.26襄阳2移动退租4个机柜
XIANGCM2FB202-A-09
XIANGCM2FB202-A-10 
XIANGCM2FB202-A-11
XIANGCM2FB202-A-12</t>
  </si>
  <si>
    <t>2022.7.26襄阳2移动退租384个IP
111.48.51.0/24
111.48.50.128/25</t>
  </si>
  <si>
    <t>2023.1.1襄阳2移动CDN开通1个机柜
XIANGCM2FB202-A-09</t>
  </si>
  <si>
    <t>2023.2.26襄阳2移动新增2个机柜
XIANGCM2FB202-A-10
XIANGCM2FB202-A-11</t>
  </si>
  <si>
    <t>2023.2.26襄阳2移动新增128个IP
111.48.50.128/25</t>
  </si>
  <si>
    <t>中国联合网络通信有限公司黄冈市分公司</t>
  </si>
  <si>
    <t>黄冈联通</t>
  </si>
  <si>
    <t>L20230327003</t>
  </si>
  <si>
    <t>CDNHUANGGUN</t>
  </si>
  <si>
    <t>2023.4.1黄冈联通BEC新增3个机柜
CDNHUANGGUN:2F:IDC-B-BEC04
CDNHUANGGUN:2F:IDC-B-BEC05
CDNHUANGGUN:2F:IDC-B-BEC06</t>
  </si>
  <si>
    <t>2023.4.1黄冈联通BEC新增512个IP，免费
122.188.6.0/24
122.188.7.0/24</t>
  </si>
  <si>
    <t>2023.4.1黄冈联通BEC新增2段IPv6，免费
2408:874F:6000:1::/64   2408:874F:6000:2::/64</t>
  </si>
  <si>
    <t>中国电信集团有限公司大连分公司</t>
  </si>
  <si>
    <t>大连电信</t>
  </si>
  <si>
    <t>181915IDC00324</t>
  </si>
  <si>
    <t xml:space="preserve">需要注意202008-202009不计费，2021.7合同顺延一年，赠送768个IP ，实际使用160个
182.201.240.0/25;42.202.159.64/27
</t>
  </si>
  <si>
    <t>大连2电信</t>
  </si>
  <si>
    <t>CDNDLCT2</t>
  </si>
  <si>
    <t>DL2CT1FIDC-G-02
DL2CT1FIDC-G-01</t>
  </si>
  <si>
    <t>中国电信股份有限公司锦州分公司</t>
  </si>
  <si>
    <t>锦州电信</t>
  </si>
  <si>
    <t>L20230322003</t>
  </si>
  <si>
    <t xml:space="preserve"> 
CDNJZCT</t>
  </si>
  <si>
    <t>免费，使用4个
JZCT5F-A-05
JZCT5F-A-04
JZCT5F-A-03
JZCT5F-A-02</t>
  </si>
  <si>
    <t>免费，使用288个，新合同免费512个
42.248.94.0/24
42.248.95.0/27</t>
  </si>
  <si>
    <t>边缘计算使用128个IP，赠送
42.248.95.128/25</t>
  </si>
  <si>
    <t>2023.3.31退租边缘计算128个IP
42.248.95.128/25</t>
  </si>
  <si>
    <t>CDNJZCT</t>
  </si>
  <si>
    <t>边缘计算使用2个机柜，赠送
BECJZCT5F-A-06
BECJZCT5F-A-07</t>
  </si>
  <si>
    <t>2023.3.31退租边缘计算2个机柜
BECJZCT5F-A-06
BECJZCT5F-A-07</t>
  </si>
  <si>
    <t>L20220328010</t>
  </si>
  <si>
    <t>锦州2电信</t>
  </si>
  <si>
    <t>2022.5.1新增30G带宽、1个机柜、128个IP，免费节点
JZCT5F-C1-15</t>
  </si>
  <si>
    <t>2022.5.31退租1个机柜：
JZCT5F-C1-15</t>
  </si>
  <si>
    <t>2022.6.20退租3个机柜：
JZCT5F-A-05
JZCT5F-A-04
JZCT5F-A-02</t>
  </si>
  <si>
    <t>2022.5.1新增30G带宽、1个机柜、128个IP，免费节点
42.248.149.0/25</t>
  </si>
  <si>
    <t>2022.5.31退租128个IP：
42.248.149.0/25</t>
  </si>
  <si>
    <t>中国电信股份有限公司沈阳分公司</t>
  </si>
  <si>
    <t>沈阳电信</t>
  </si>
  <si>
    <t>L20221229015</t>
  </si>
  <si>
    <t>沈阳</t>
  </si>
  <si>
    <t>CDNSYCT</t>
  </si>
  <si>
    <t>免费赠送2个，SYCT4F422-C-06
SYCT4F422-C-07</t>
  </si>
  <si>
    <t>SY2CT</t>
  </si>
  <si>
    <t>免费赠送2个，SY2CT4F422-C-09
SY2CT4F422-C-08</t>
  </si>
  <si>
    <t>使用256，免费320
123.184.220.0/24</t>
  </si>
  <si>
    <t>182215IDC00006</t>
  </si>
  <si>
    <t>沈阳2</t>
  </si>
  <si>
    <t>2021.6.1带宽转低价收费，免费288个IP
123.184.99.0/24 123.184.100.0/27</t>
  </si>
  <si>
    <t>新疆</t>
  </si>
  <si>
    <t>史文强</t>
  </si>
  <si>
    <t>中国电信股份有限公司乌鲁木齐分公司</t>
  </si>
  <si>
    <t>乌鲁木齐电信</t>
  </si>
  <si>
    <t>L20220829004</t>
  </si>
  <si>
    <t>乌鲁木齐</t>
  </si>
  <si>
    <t>新合同免费
120.71.177.128/27;120.71.177.0/25</t>
  </si>
  <si>
    <t>乌鲁木齐2</t>
  </si>
  <si>
    <t>新合同免费</t>
  </si>
  <si>
    <t>2022.4.30退租110.157.248.0/25 110.157.248.128/27</t>
  </si>
  <si>
    <t>CDNWLMQCT</t>
  </si>
  <si>
    <t>CDNWLMQCT2</t>
  </si>
  <si>
    <t>2022.4.30退租WLMQ2CT5F-IDC-009
WLMQ2CT5F-IDC-010
WLMQ2CT5F-IDC-011</t>
  </si>
  <si>
    <t>天津</t>
  </si>
  <si>
    <t>中国电信集团有限公司天津分公司</t>
  </si>
  <si>
    <t>天津电信</t>
  </si>
  <si>
    <t>182115IDC00395</t>
  </si>
  <si>
    <t>天津电信（大港机房）</t>
  </si>
  <si>
    <t>天津电信二级</t>
  </si>
  <si>
    <t>CDNTJCT</t>
  </si>
  <si>
    <t>免费9个
TJCT2F-17-17
TJCT2F-11-12
TJCT2F-17-16
TJCT2F-17-15
TJCT2F-11-13
TJCT2F-11-14
TJCT2F-6-15
TJCT2F-6-16
TJCT2F-6-17</t>
  </si>
  <si>
    <t>TJ3CT（武清）</t>
  </si>
  <si>
    <t>CBUCDNTJCT</t>
  </si>
  <si>
    <t>免费2个</t>
  </si>
  <si>
    <t>2022.5.31退租4个机柜
CBUTJCT2F-L-12 CBUTJCT2F-L-11 CBUTJCT2F-L-10 CBUTJCT2F-L-03</t>
  </si>
  <si>
    <t>天津4电信</t>
  </si>
  <si>
    <t>免费5个</t>
  </si>
  <si>
    <t>2022.5.31退租5个机柜
CDNTJCT2F-11-05 CDNTJCT2F-11-03 CDNTJCT2F-11-02 CDNTJCT2F-11-04 CDNTJCT2F-11-06</t>
  </si>
  <si>
    <t>天津电信二级节点，于2022.2.28退租6个机柜
TJCT2F-17-17
TJCT2F-11-12
TJCT2F-17-16
TJCT2F-17-15
TJCT2F-11-13
TJCT2F-11-14</t>
  </si>
  <si>
    <t>SSLTJCT</t>
  </si>
  <si>
    <t>自2022.6.1起机柜免费。因CMS内备注2个收费为SSL，经与崔振沟通同意调整在SSL下，SSL共使用4个，免费的2个。DG02-11-07、DG02-11-08、DG02-11-09、DG02-11-10</t>
  </si>
  <si>
    <t>因CMS内备注2个收费为SSL，经与崔振沟通同意调整在SSL下，SSL共使用4个，免费的2个.DG02-11-07、DG02-11-08、DG02-11-09、DG02-11-10</t>
  </si>
  <si>
    <t>共免费1280，SSL使用512个（42.81.6.0/24,42.81.8.0/24）</t>
  </si>
  <si>
    <t>共免费1280，SSL使用512个（42.81.6.0/24,42.81.8.0/24）（天津3电信、天津4电信退租后，IP数量变动，SSL节点收费的32个IP，正预提调整；2022.10月BD确认IP不收费。）</t>
  </si>
  <si>
    <t>共免费1280，sys反馈CDN使用天津电信256+天津4电信256+天津3电信288
TJ3CT  42.81.118.0/24;42.81.150.0/27
TJ4CT  42.81.84.0/24
TJCTCACHE   42.81.93.0/24</t>
  </si>
  <si>
    <t>2022.5.31退租288个IP
42.81.118.0/24 42.81.150.0/27</t>
  </si>
  <si>
    <t>2022.5.31退租256个IP
42.81.84.0/24</t>
  </si>
  <si>
    <t>中国电信集团有限公司长春分公司</t>
  </si>
  <si>
    <t>长春电信</t>
  </si>
  <si>
    <t>L20220729006</t>
  </si>
  <si>
    <t>长春电信2</t>
  </si>
  <si>
    <t>CDNCCCT2</t>
  </si>
  <si>
    <t>长春4电信</t>
  </si>
  <si>
    <t>赠送，新增业务每2个万兆赠送1个机柜</t>
  </si>
  <si>
    <t>CC2CT 40G节点带宽合并至CC4CT节点，本次CC2CT节点 1个机柜CC2CT3F-7-09变更至CC4CT节点CC4CT3F302-07-09</t>
  </si>
  <si>
    <t>CC2CT 40G节点带宽合并至CC4CT节点，本次CC2CT节点 1个机柜CC2CT3F-7-09变更至CC4CT节点CC4CT3F302-07-09，未绑定</t>
  </si>
  <si>
    <t>CC2CT3F-7-08</t>
  </si>
  <si>
    <t>每个万兆配比提供32个ip地址，另赠送384个IP地址，如再增加ip地址，费用为50元/月/个，在用256个IP（36.104.159.0/24）</t>
  </si>
  <si>
    <t>20200923退租256个；每个万兆配比提供32个ip地址，另赠送384个IP地址，如再增加ip地址，费用为50元/月/个</t>
  </si>
  <si>
    <t>20200923退租IPV6:240e:0910:e000:0100::/64</t>
  </si>
  <si>
    <t>长春6电信</t>
  </si>
  <si>
    <t>长春6电信节点，于2021.8.3开通2个10A机柜，免费2个月。</t>
  </si>
  <si>
    <t>2021.9.30退租。</t>
  </si>
  <si>
    <t>长春6电信节点，于2021.8.3开通160个IP，免费。</t>
  </si>
  <si>
    <t>内蒙</t>
  </si>
  <si>
    <t>中国联合网络通信有限公司阿拉善盟分公司</t>
  </si>
  <si>
    <t>阿拉善联通</t>
  </si>
  <si>
    <t>L20230222002</t>
  </si>
  <si>
    <t>阿盟机房3</t>
  </si>
  <si>
    <t>阿拉善3联通
阿拉善4联通</t>
  </si>
  <si>
    <t>CDNALSUN</t>
  </si>
  <si>
    <t>22A</t>
  </si>
  <si>
    <t>ALSUN3F-A-05
ALSUN3F-A-04
ALSUN3F-A-03
ALSUN3F-A-06
ALSUN3F-A-07</t>
  </si>
  <si>
    <t>呼市</t>
  </si>
  <si>
    <t>HHHTUN2F-01-17
HHHTUN2F-01-16</t>
  </si>
  <si>
    <t>阿盟机房1</t>
  </si>
  <si>
    <t>ALSUN3F-B-2、ALSUN3F-B-1</t>
  </si>
  <si>
    <t>使用256个，乙方向甲方提供免费业务IP地址256个，互联IP地址10段（20个），超出部分价格为50元/月/个</t>
  </si>
  <si>
    <t>20200930退租256个</t>
  </si>
  <si>
    <t>阿拉善3联通</t>
  </si>
  <si>
    <t>使用288个，乙方向甲方提供免费业务IP地址288个，互联IP地址12段（24个），超出部分价格为50元/月/个。
116.114.98.0/24;116.114.99.0/27</t>
  </si>
  <si>
    <t>L20210726007</t>
  </si>
  <si>
    <t>阿盟机房4</t>
  </si>
  <si>
    <t>阿拉善4联通</t>
  </si>
  <si>
    <t>阿拉善4联通于2021.7.1上线，合同期内免费，开通256个IP
116.114.96.0/24</t>
  </si>
  <si>
    <t>呼和浩特联通2</t>
  </si>
  <si>
    <t>CDNHHHTUN</t>
  </si>
  <si>
    <t>使用256个，乙方向甲方提供免费业务IP地址256个，互联IP地址10段（20个），超出部分价格为50元/月/个
116.95.27.0/24
其中116.95.27.128/25，自2022.7.26日起转BEC使用</t>
  </si>
  <si>
    <t>182115IDC00192</t>
  </si>
  <si>
    <t>2022.8.1边缘计算开通2个机柜
BECHHHTUN-2F-06
BECHHHTUN-2F-07</t>
  </si>
  <si>
    <t>阿盟机房</t>
  </si>
  <si>
    <t>合同条款，IPV6:1个/64免费，IPV6 20200930退租1段</t>
  </si>
  <si>
    <t>合同条款，IPV6:1个/64免费</t>
  </si>
  <si>
    <t>中国联合网络通信有限公司鹤岗市分公司</t>
  </si>
  <si>
    <t>鹤岗联通</t>
  </si>
  <si>
    <t>L20230222003</t>
  </si>
  <si>
    <t>CDNHGUN</t>
  </si>
  <si>
    <t>2018/8/13
2018/9/15</t>
  </si>
  <si>
    <t>20200301机架开始计费：40G资源9.13开始计费，免费2个机柜；
80G资源10.15开始计费，免费4个机柜，超出按3500元/个/月
HG2UN17F-A-11
HG2UN17F-A-10
HG2UN17F-A-09
HG2UN17F-A-08</t>
  </si>
  <si>
    <t>免费512个，使用288个
1.56.97.160/27;113.1.1.0/24</t>
  </si>
  <si>
    <t>合同条款：免费提供64位Ipv6地址2段。</t>
  </si>
  <si>
    <t>L20220224002</t>
  </si>
  <si>
    <t>鹤岗4联通</t>
  </si>
  <si>
    <t>免费节点（3个月后退租）。鹤岗4联通节点增量100G、3个机柜、288个IP，已于2022-02-01开始正式切流量上线
HG4UN17F-E-01
HG4UN17F-E-02
HG4UN17F-E-03</t>
  </si>
  <si>
    <t>2022.4.30退租
HG4UN17F-E-01
HG4UN17F-E-02
HG4UN17F-E-03</t>
  </si>
  <si>
    <t>免费节点（3个月后退租）。鹤岗4联通节点增量100G、3个机柜、288个IP，已于2022-02-01开始正式切流量上线
1.56.80.0/24 60.11.211.160/27</t>
  </si>
  <si>
    <t>2022/4/30退租
1.56.80.0/24 60.11.211.160/27</t>
  </si>
  <si>
    <t>中国联合网络通信有限公司呼和浩特市分公司</t>
  </si>
  <si>
    <t>呼和浩特联通</t>
  </si>
  <si>
    <t>182115IDC00597</t>
  </si>
  <si>
    <t>新合同免费768个，使用288+边缘计算128</t>
  </si>
  <si>
    <t>合同条款：免费提供64位Ipv6地址1段。</t>
  </si>
  <si>
    <t xml:space="preserve">新合同约定：合同期内提供10个机柜（超出部分按照3333.33元/柜/月费用标准执行，机柜功率5KW），HHHTUN2F-01-09
HHHTUN2F-01-08
HHHTUN2F-01-07
HHHTUN2F-01-10
</t>
  </si>
  <si>
    <t>2022.4.30退租1个机柜
HHHTUN2F-01-10</t>
  </si>
  <si>
    <t>新合同约定：合同期内提供10个机柜（超出部分按照3333.33元/柜/月费用标准执行，机柜功率5KW），更新计费开始时间为20200426，BECHHHTUN2F-01-20，BECHHHTUN2F-01-19</t>
  </si>
  <si>
    <t>L20220509002</t>
  </si>
  <si>
    <t>HHHT4UN</t>
  </si>
  <si>
    <t>2022.5.1新增1个机柜，免费节点
HHHTUN2F-01-10</t>
  </si>
  <si>
    <t>HHHT4UN节点2022.7.31退租1个机柜
HHHTUN2F-01-10</t>
  </si>
  <si>
    <t>2022.6.27退租2个机柜
HHHTUN2F-01-08
HHHTUN2F-01-07</t>
  </si>
  <si>
    <t>HHHT3UN2022.7.31退租3个机柜
HHHTUN2F-01-09
BECHHHTUN2F-01-19
BECHHHTUN2F-01-20</t>
  </si>
  <si>
    <t>HHHT3UN2022.7.31退租416个IP
116.136.132.0/24 1.28.144.64/27 1.31.128.0/25</t>
  </si>
  <si>
    <t>2022.5.1新增128个IP，免费节点
116.136.238.0/25</t>
  </si>
  <si>
    <t>HHHT4UN节点2022.7.31退租128个IP
116.136.238.0/25</t>
  </si>
  <si>
    <t>中国联合网络通信有限公司鸡西市分公司</t>
  </si>
  <si>
    <t>鸡西联通</t>
  </si>
  <si>
    <t>L20230222004</t>
  </si>
  <si>
    <t>鸡西</t>
  </si>
  <si>
    <t>CDNJXUN</t>
  </si>
  <si>
    <t>20200301机架开始计费；20191224退租60G，剩余40G</t>
  </si>
  <si>
    <t>使用288个,免费512
113.2.152.128/27;113.2.152.0/25;113.2.153.128/25</t>
  </si>
  <si>
    <t>L20220111002</t>
  </si>
  <si>
    <t>鸡西3</t>
  </si>
  <si>
    <t>CDNJXUN2</t>
  </si>
  <si>
    <t>免费节点。鸡西3联通节点增量60G、2个机柜、288个IP，已于2022-01-01开始正式切流量上线
JX3UN4-B-05
JX3UN4-B-06</t>
  </si>
  <si>
    <t>2022.3.31退租</t>
  </si>
  <si>
    <t>免费节点。鸡西3联通节点增量60G、2个机柜、288个IP，已于2022-01-01开始正式切流量上线
1.191.182.0/24 113.2.152.224/27</t>
  </si>
  <si>
    <t>合同条款：免费提供64位Ipv6地址1段</t>
  </si>
  <si>
    <t>中国联合网络通信有限公司吉林省分公司</t>
  </si>
  <si>
    <t>长春联通</t>
  </si>
  <si>
    <t>182215IDC00032</t>
  </si>
  <si>
    <t>长春</t>
  </si>
  <si>
    <t>长春2联通</t>
  </si>
  <si>
    <t>新合同免费512个，sys反馈使用416</t>
  </si>
  <si>
    <t>合同条款：联通提供IPV6地址地址[ 2]个/64，收费[0]个/64。</t>
  </si>
  <si>
    <t>CDNCCUN2</t>
  </si>
  <si>
    <t>新合同合同期内免费提供10个机柜，超出部分按照4000元/柜/月费用标准执行，边缘计算20191203新增2个机架</t>
  </si>
  <si>
    <t>新合同合同期内免费提供10个机柜，超出部分按照4000元/柜/月费用标准执行</t>
  </si>
  <si>
    <t>12月28日退租4个机柜，CC2UN2F-A-09、CC2UN2F-A-08、CC2UN2F-A-07、CC2UN2F-A-05</t>
  </si>
  <si>
    <t>2022.6.30退租5个机柜，CC2UN2F-A-04
CC2UN2F-A-03
CC2UN2F-A-06
BECCC2UN2F-A-13
BECCC2UN2F-A-14</t>
  </si>
  <si>
    <t>2022.6.30退租416个IP，139.215.221.0/24 139.215.223.224/27 139.215.223.0/25(BEC IP)</t>
  </si>
  <si>
    <t>中国联合网络通信有限公司沈阳市分公司</t>
  </si>
  <si>
    <t>沈阳联通</t>
  </si>
  <si>
    <t>L20220628003</t>
  </si>
  <si>
    <t>沈阳2联通</t>
  </si>
  <si>
    <t>合同内共免费1696个，SSL使用640个（124.95.191.0/24,124.95.168.128/25,124.95.188.0/24），CDN共使用1056个</t>
  </si>
  <si>
    <t>2022.5.31退租512个IP,
124.95.189.0/24 124.95.190.0/24</t>
  </si>
  <si>
    <t>沈阳3联通</t>
  </si>
  <si>
    <t>2022.5.31退租256个IP
218.60.18.0/24</t>
  </si>
  <si>
    <t>沈阳联通SSL</t>
  </si>
  <si>
    <t>SSL使用640个（124.95.191.0/24,124.95.168.128/25,124.95.188.0/24），CDN共使用1056个；原合同顺延至2022.7.31日，2022.8.1开始10G带宽，IP免费64个，收费576个</t>
  </si>
  <si>
    <t>CDNSYUN、CDNSYUN2</t>
  </si>
  <si>
    <t>CDNSYUN4F-G-04
CDNSYUN4F-G-05
CDNSYUN4F-G-07
CDNSYUN4F-G-08
CDNSYUN4F-G-09
CDNSYUN4F-G-10
CDNSYUN4F-G-11
CDNSYUN4F-G-12
CDNSYUN4F-G-13
CDNSYUN4F-G-03
CDNSYUN4F-G-02
CDNSYUN4F-G-06</t>
  </si>
  <si>
    <t>沈阳3</t>
  </si>
  <si>
    <t>SY2UN20F-J-04
SY2UN20F-J-06
SY2UN20F-J-05</t>
  </si>
  <si>
    <t>SY2UN20F-J-03
SY2UN20F-J-02
SY2UN20F-J-01
SY2UN20F-J-07</t>
  </si>
  <si>
    <t>2022.5.31退租7个机柜
SY2UN20F-J-04 SY2UN20F-J-06 SY2UN20F-J-05 SY2UN20F-J-03 SY2UN20F-J-02 SY2UN20F-J-01 SY2UN20F-J-07</t>
  </si>
  <si>
    <t>沈阳4联通</t>
  </si>
  <si>
    <t>CDNSYUN2</t>
  </si>
  <si>
    <t>SY4UN16F-G-02、SY4UN16F-G-03、SY4UN16F-G-01、SY4UN16F-G-06、SY4UN16F-G-04、SY4UN16F-G-05</t>
  </si>
  <si>
    <t>218.60.33.0/27;124.95.163.0/24</t>
  </si>
  <si>
    <t>SY4UN节点，2022.7.31退租6个机柜
SY4UN16F-G-02、SY4UN16F-G-03、SY4UN16F-G-01、SY4UN16F-G-04、
SY4UN16F-G-05
SY4UN16F-G-06</t>
  </si>
  <si>
    <t>SY4UN节点，2022.7.31退租288个IP218.60.33.0/27;124.95.163.0/24</t>
  </si>
  <si>
    <t>合同条款：IPV6:1个/64免费</t>
  </si>
  <si>
    <t>合同条款：IPV6:1个/58免费</t>
  </si>
  <si>
    <t>合同条款：IPV6:1个/56免费</t>
  </si>
  <si>
    <t xml:space="preserve">12月16日退租9个机柜，CDNSYUN4F-G-04
CDNSYUN4F-G-05
CDNSYUN4F-G-07
CDNSYUN4F-G-08
CDNSYUN4F-G-09
CDNSYUN4F-G-10
CDNSYUN4F-G-11
CDNSYUN4F-G-12
CDNSYUN4F-G-13
</t>
  </si>
  <si>
    <t>2022.5.31退租2个机柜
CDNSYUN4F-G-03
CDNSYUN4F-G-02
CDNSYUN4F-G-06</t>
  </si>
  <si>
    <t>中国联合网络通信有限公司天津市分公司</t>
  </si>
  <si>
    <t>天津联通</t>
  </si>
  <si>
    <t>L20221229016</t>
  </si>
  <si>
    <t>天津3联通</t>
  </si>
  <si>
    <t>2016/5/13
2018/4/28
2018/8/4</t>
  </si>
  <si>
    <t>20191031租256个IP,TJ3UN 用了288个IPv4（218.68.136.0/24;60.28.12.160/27）,TJ5UN 用了288个IPv4</t>
  </si>
  <si>
    <t>2021.4.30TJ5UN，退租10个端口，3个机柜，288个IP</t>
  </si>
  <si>
    <t>TJ3UN使用一段IPv6,TJ5UN使用一段IPv6，合同条款：联通免费提供IPV6地址地址[ 2]个/64，收费[0]个/64。</t>
  </si>
  <si>
    <t>天津
天津2
天津3</t>
  </si>
  <si>
    <t>CDNTJUN2</t>
  </si>
  <si>
    <t>2021.4.30TJ5UN，退租10个端口，3个机柜TJ2UN2F-C-13、TJ2UN2F-C-15、TJ2UN2F-C-14，288个IP；
TJ2UN退租1个机柜、TJ2UN2F-C-16，</t>
  </si>
  <si>
    <t>天津3</t>
  </si>
  <si>
    <t>2022.4.30TJ3UN，退租20个端口，5个机柜
TJ3UN2F-09-12
TJ3UN2F-09-13
TJ3UN2F-09-16
TJ3UN2F-09-17
TJ3UN2F-08-17</t>
  </si>
  <si>
    <t>182315IDC00025</t>
  </si>
  <si>
    <t>天津7
BEC</t>
  </si>
  <si>
    <t>天津7联通</t>
  </si>
  <si>
    <t>CDNTJUN3</t>
  </si>
  <si>
    <t>18A</t>
  </si>
  <si>
    <t>TJ7UN节点，2023.1.1开通43个机柜
BECTJ7UN102-A-03
BECTJ7UN102-A-05
BECTJ7UN102-A-06
BECTJ7UN102-A-07
BECTJ7UN102-A-08
BECTJ7UN102-A-10
BECTJ7UN102-A-11
BECTJ7UN102-A-12
BECTJ7UN102-B-12
BECTJ7UN102-B-13
BECTJ7UN102-C-05
BECTJ7UN102-C-06
BECTJ7UN102-C-07
BECTJ7UN102-C-09
BECTJ7UN102-C-10
BECTJ7UN102-C-11
BECTJ7UN102-H-01
BECTJ7UN102-H-02
BECTJ7UN102-H-03
BECTJ7UN102-H-04
BECTJ7UN102-H-05
BECTJ7UN102-H-06
BECTJ7UN102-H-07
BECTJ7UN102-H-08
BECTJ7UN102-H-09
BECTJ7UN102-H-10
BECTJ7UN102-H-11
BECTJ7UN102-H-12
BECTJ7UN102-H-13
BECTJ7UN102-H-14
BECTJ7UN102-H-15
BECTJ7UN102-H-16
BECTJ7UN102-H-17
BECTJ7UN102-K-02
BECTJ7UN102-K-03
BECTJ7UN102-K-04
BECTJ7UN102-K-05
BECTJ7UN102-K-06
BECTJ7UN102-K-07
BECTJ7UN102-K-08
BECTJ7UN102-K-09
BECTJ7UN102-K-10
BECTJ7UN102-K-11</t>
  </si>
  <si>
    <t>TJ7UN节点，2023.1.1退租6个机柜
BECTJ7UN102-A-10
BECTJ7UN102-A-11
BECTJ7UN102-A-12
BECTJ7UN102-C-09
BECTJ7UN102-C-10
BECTJ7UN102-C-11</t>
  </si>
  <si>
    <t>TJ7UN节点，2023.1.1开通1984个免费IP（125.39.113.0/24
111.161.19.0/24
111.161.20.0/24
111.161.22.0/24
60.28.125.0/24
60.28.124.0/24
220.194.76.128/25
220.194.68.0/24
117.8.229.160/26），合同赠送2752个。</t>
  </si>
  <si>
    <t>天津联通SSL</t>
  </si>
  <si>
    <t>2021.7.14开通3个机柜
TJ2UN2F-C08-11,TJ2UN2F-C08-12,TJ2UN2F-C08-16</t>
  </si>
  <si>
    <t>125.39.174.0/24,125.39.238.0/24,125.39.239.0/24</t>
  </si>
  <si>
    <t>CDNTJUN</t>
  </si>
  <si>
    <t>TJUN1F-H-11,TJUN1F-H-12,TJUN1F-H-13</t>
  </si>
  <si>
    <t>于2021.6.30退租，迁移至CDN机房
TJUN1F-H-11,TJUN1F-H-12,TJUN1F-H-13</t>
  </si>
  <si>
    <t>中国联合网络通信有限公司新疆维吾尔自治区分公司</t>
  </si>
  <si>
    <t>新疆联通</t>
  </si>
  <si>
    <t>L20221129002</t>
  </si>
  <si>
    <t>乌鲁木齐联通</t>
  </si>
  <si>
    <t>提供160个IP地址，其中免费64个，超出赠送部分单价60元/个/月</t>
  </si>
  <si>
    <t>CDNWLMQUN</t>
  </si>
  <si>
    <t>自2019年6月10日开始计费
WLMQUN4F-A-E13
WLMQUN4F-A-E12</t>
  </si>
  <si>
    <t>边缘计算于2021.12.20新增128个IP，2022.2.1开始计费。116.178.67.0/25</t>
  </si>
  <si>
    <t>边缘计算于2021.12.20新增1个机柜，2022.2.1开始计费。BECWLMQUN4F-E-11</t>
  </si>
  <si>
    <t>中国移动通信集团黑龙江有限公司</t>
  </si>
  <si>
    <t>黑龙江移动</t>
  </si>
  <si>
    <t>L20221229017</t>
  </si>
  <si>
    <t>哈尔滨</t>
  </si>
  <si>
    <t>哈尔滨2移动</t>
  </si>
  <si>
    <t>哈尔滨2移动288个，新合同共赠送1408个IP，超出按50元/个/月；
111.40.186.0/24;
111.40.185.64/27</t>
  </si>
  <si>
    <t>合同条款：IPV6地址免费；（边缘计算2021.12.1开通1段IPV6
2409:801A:3006:44::0/64）合同未录IPV6合同行，故资源未关联</t>
  </si>
  <si>
    <t>CDNHEBCM</t>
  </si>
  <si>
    <t>XACDNHEBCM</t>
  </si>
  <si>
    <t>HRB2CM1F-A-06</t>
  </si>
  <si>
    <t>CDNHEBCM2</t>
  </si>
  <si>
    <t>经与SYS确认，关闭两个机柜CDNHEBCM（HEBCM1F-206-B11、HEBCM1F-206-B12），新增两个机柜CDNHEBCM2（HEB2CM1F-A-07、HEB2CM1F-A-08），前期sys反馈此（CDNHEBCM-HEBCMF1-B01-12F04）机柜为空，一直未使用</t>
  </si>
  <si>
    <t>202102新增两个边缘计算，BECHEB2CM-A-09、BECHEB2CM-A-10，128个IP，机柜加电时间20210220，开始计费时间2021.3.1，IP为赠送</t>
  </si>
  <si>
    <t>2021.3.1新增128个边缘计算IP，免费：111.40.188.0/25;</t>
  </si>
  <si>
    <t>HEB2CM1F-A-08于2021.7.14退租。</t>
  </si>
  <si>
    <t>2021.8.20新增128个边缘计算IP，111.43.177.0/25;</t>
  </si>
  <si>
    <t>2021.10.1新增1个边缘计算，BECHEB2CM-A-08；2022.12.8转CDN；2023.2.10核对仍未BEC机柜</t>
  </si>
  <si>
    <t>哈尔滨BEC</t>
  </si>
  <si>
    <t>2021.10.1新增128个边缘计算IP，111.43.177.128/25
2022.12.8转CDN</t>
  </si>
  <si>
    <t>（免费IP，未实际退租后续可继续使用）2022.12.31退租128个边缘计算IP，111.43.177.128/25</t>
  </si>
  <si>
    <t xml:space="preserve">2022.1.1新增2个边缘计算机柜，
BECHEB2CM-D-11,
BECHEB2CM-D-12
</t>
  </si>
  <si>
    <t xml:space="preserve">2022.1.1新增128个边缘计算IP，
111.43.179.0/25
</t>
  </si>
  <si>
    <t xml:space="preserve">（免费IP，未实际退租后续可继续使用）2022.12.31退租128个边缘计算IP，
111.43.179.0/25
</t>
  </si>
  <si>
    <t>合同条款：IPV6地址免费；（边缘计算2022.1.1开通1段IPV6
2409:801A:3006:45::/64）合同未录IPV6合同行，故资源未关联</t>
  </si>
  <si>
    <t xml:space="preserve">2022.3.31新增128个边缘计算IP，
111.40.169.128/25
</t>
  </si>
  <si>
    <t xml:space="preserve">（免费IP，未实际退租后续可继续使用）2023.4.14退租128个边缘计算IP，
111.40.169.128/25
</t>
  </si>
  <si>
    <t xml:space="preserve">HRB2CM节点2022.8.4退租4个机柜
HEB2CM1F-A-07
HEB2CM1F-A-06
HEB2CM1F-A-05
HEB2CM1F-A-02
</t>
  </si>
  <si>
    <t>2022.12.9新增1个机柜，
HEB2CM1F-A-05</t>
  </si>
  <si>
    <t>2022.12.27新增1个机柜，
HEB2CM1F-A-06</t>
  </si>
  <si>
    <t>中国移动通信集团吉林有限公司松原分公司</t>
  </si>
  <si>
    <t>松原移动</t>
  </si>
  <si>
    <t>L20221229018</t>
  </si>
  <si>
    <t>松原</t>
  </si>
  <si>
    <t xml:space="preserve"> CDNCCCM</t>
  </si>
  <si>
    <t>CDNCCCM</t>
  </si>
  <si>
    <t>20200701开始用182015IDC00219</t>
  </si>
  <si>
    <t>L20211227017</t>
  </si>
  <si>
    <t>松原BEC</t>
  </si>
  <si>
    <t>CC2CM</t>
  </si>
  <si>
    <t>XACDNCCCM</t>
  </si>
  <si>
    <t>2022.1.1边缘计算新增40G带宽、2个机柜、128个IP
BECCC2CM-2F-D11
BECCC2CM-2F-D12</t>
  </si>
  <si>
    <t>2022.5.31退租2个机柜
CCCM2F125IDC-E-15 CCCM2F125IDC-E-16</t>
  </si>
  <si>
    <t>实际使用160个，赠送160个。
111.26.151.0/25,111.26.37.0/27</t>
  </si>
  <si>
    <t>新合同共免费512个IP</t>
  </si>
  <si>
    <t>2022.5.31退租160个IP
111.26.40.0/25 111.26.40.128/27</t>
  </si>
  <si>
    <t>2022.1.1边缘计算新增40G带宽、2个机柜、128个IP
36.135.10.0/25</t>
  </si>
  <si>
    <t>2022.1.1边缘计算新增1段IPV6
2409:8c18:700:1003::/64</t>
  </si>
  <si>
    <t>CC2CM节点，2022.8.3退租1个机柜
 CCCM2F-E-20</t>
  </si>
  <si>
    <t>CC2CM节点，2022.8.3退租128个IP
 111.26.151.128/25</t>
  </si>
  <si>
    <t>中国移动通信集团辽宁有限公司</t>
  </si>
  <si>
    <t>辽宁移动</t>
  </si>
  <si>
    <t>L20221229019</t>
  </si>
  <si>
    <t>沈阳3移动</t>
  </si>
  <si>
    <t>544个IP：新合同每百G赠送1504个IP，共赠送9024个</t>
  </si>
  <si>
    <t>SY3CM节点2022.7.31退租544个IP
221.180.224.0/24 221.180.225.0/24 221.180.214.160/27</t>
  </si>
  <si>
    <t>CDNSYCM、CDNSYCM2</t>
  </si>
  <si>
    <t>SYCM6F02-G-01
SYCM6F02-G-02
SYCM6F02-G-04
SYCM6F02-G-05
SYCM6F02-G-03</t>
  </si>
  <si>
    <t>2022.4.30退租SYCM6F02-G-01
SYCM6F02-G-02
SYCM6F02-G-04
SYCM6F02-G-05
SYCM6F02-G-03</t>
  </si>
  <si>
    <t>SY2CM2F-D-06
SY2CM2F-D-07
SY2CM2F-D-08
SY2CM2F-D-04
SY2CM2F-D-03
SY2CM2F-D-02
SY2CM2F-D-01
SY2CM2F-D-05
SYCMBEC2F-E-08
SYCMBEC2F-E-09</t>
  </si>
  <si>
    <t>CDNSYCM2</t>
  </si>
  <si>
    <t>SY2CM2F-E-13
SY2CM2F-E-12
SY2CM2F-E-11
SY2CM2F-E-10
SY2CM2F-D-12
SY2CM2F-D-11
SY2CM2F-D-10
SY2CM2F-D-09
SY2CM2F-D-13</t>
  </si>
  <si>
    <t>边缘计算新增一个机柜，机柜加电时间12月13日，开始计费时间2021/1/1,
SYCMBEC2F-E-14</t>
  </si>
  <si>
    <t>SY2CM2F-E-13于2021.7.10退租</t>
  </si>
  <si>
    <t xml:space="preserve">2022.5.31退租3个机柜
 SY2CM2F-E-10
SY2CM2F-D-10
SY2CM2F-D-09
</t>
  </si>
  <si>
    <t xml:space="preserve">2022.5.27退租2个机柜
SY2CM2F-E-12
SY2CM2F-E-11；转至BEC使用。
</t>
  </si>
  <si>
    <t xml:space="preserve">2022.5.28CDN2个机柜转至BEC使用
 SYCMBEC2F-E-11（原机柜编号：SY2CM2F-E-11）
SYCMBEC2F-E-12（原机柜编号：SY2CM2F-E-12）
</t>
  </si>
  <si>
    <t xml:space="preserve">SY3CM节点2022.7.31退3个机柜
SY2CM2F-D-11
SY2CM2F-D-12
SY2CM2F-D-13
</t>
  </si>
  <si>
    <t>SY2CM</t>
  </si>
  <si>
    <t>2021.8.10退租，SY2CM2F-D-06、SY2CM2F-D-07、SY2CM2F-D-08</t>
  </si>
  <si>
    <t>沈阳移动</t>
  </si>
  <si>
    <t>使用288：新合同每百G赠送1504个IP，共赠送9024个</t>
  </si>
  <si>
    <t>2022.4.30退租288个IP
221.180.244.0/24 221.180.198.224/27</t>
  </si>
  <si>
    <t>沈阳2移动</t>
  </si>
  <si>
    <t>使用CDN288（221.180.216.0/24,221.180.214.32/27）+BEC384(2019.11.11开通128个120.201.100.128/25；2020.12.11开通256个221.180.223.0/24)：新合同每百G赠送1504个IP，共赠送9024个</t>
  </si>
  <si>
    <t>合同条款：2段IPV6地址免费</t>
  </si>
  <si>
    <t>沈阳6移动</t>
  </si>
  <si>
    <t>SY6CM</t>
  </si>
  <si>
    <t xml:space="preserve">2023.2.1SY6CM边缘计算节点，新增8个机柜
3L102-C-BEC01
3L102-C-BEC02
3L102-C-BEC03
3L102-C-BEC04
3L102-C-BEC05
3L102-C-BEC06
3L102-C-BEC07
3L102-C-BEC08
</t>
  </si>
  <si>
    <t xml:space="preserve">2023.4.20SY6CM边缘计算节点，新增2个机柜
3L102-C-BEC09
3L102-C-BEC10
</t>
  </si>
  <si>
    <t>2023.2.1SY6CM边缘计算节点，新增832个IP
36.131.216.0/24
36.131.217.0/24
36.131.218.0/24
36.131.219.0/26</t>
  </si>
  <si>
    <t>2023.2.1SY6CM边缘计算节点，新增3段IPv6
2409:8C14:0F2C:1101::/64  2409:8C14:0F2C:1102::/64  2409:8C14:0F2C:1103::/64</t>
  </si>
  <si>
    <t>中国移动通信集团内蒙古有限公司包头分公司</t>
  </si>
  <si>
    <t>包头移动</t>
  </si>
  <si>
    <t>L20221229020</t>
  </si>
  <si>
    <t>呼和浩特3移动</t>
  </si>
  <si>
    <t>CDNHHHTCM</t>
  </si>
  <si>
    <t xml:space="preserve">16A </t>
  </si>
  <si>
    <t>包头核对账款</t>
  </si>
  <si>
    <t>呼和浩特3</t>
  </si>
  <si>
    <t>2018/12/25
2020/7/1</t>
  </si>
  <si>
    <t xml:space="preserve">呼和浩特3移动使用288个免费IP，
117.161.76.0/24 117.161.75.32/27 </t>
  </si>
  <si>
    <t>呼和浩特4</t>
  </si>
  <si>
    <t>呼和浩特4移动</t>
  </si>
  <si>
    <t>呼和浩特4移动，使用288个IP</t>
  </si>
  <si>
    <t>呼和浩特4移动，使用288个IP；于2019.10.31退租</t>
  </si>
  <si>
    <t>中国移动通信集团内蒙古有限公司呼和浩特分公司</t>
  </si>
  <si>
    <t>呼和浩特移动</t>
  </si>
  <si>
    <t>182115IDC00134</t>
  </si>
  <si>
    <t>呼和浩特2</t>
  </si>
  <si>
    <t>呼和浩特移动2</t>
  </si>
  <si>
    <t>边缘计算使用128个，合同约定每1G赠送8个IP，共赠送320个</t>
  </si>
  <si>
    <t>9月新增2个机架</t>
  </si>
  <si>
    <t>更新计费开始时间为20200426，BECHHHTCM2F-A-06、BECHHHTCM2F-A-07，边缘计算2个</t>
  </si>
  <si>
    <t>2022.4.30退租
HHHTCM2F-B-11
HHHTCM2F-B-12
BECHHHTCM2F-A-06
BECHHHTCM2F-A-07</t>
  </si>
  <si>
    <t>更新计费开始时间为20200426，边缘计算使用128个，合同约定每1G赠送8个IP，共赠送320个IP</t>
  </si>
  <si>
    <t>2022.4.30退租
117.161.25.128/25
117.161.5.0/25</t>
  </si>
  <si>
    <t>中国移动通信集团天津有限公司</t>
  </si>
  <si>
    <t>天津移动</t>
  </si>
  <si>
    <t>L20221229025</t>
  </si>
  <si>
    <t>乙方每百G互联网接入带宽包含 224  个IPv4地址，超出部分40元/个/月，共使用128（40G）+160（60G）,送224个，收费64个</t>
  </si>
  <si>
    <t>TJ2CM 节点2022.5.31退租288个IP111.32.163.0/25 111.32.139.128/27 111.32.132.0/25</t>
  </si>
  <si>
    <t>天津移动SSL</t>
  </si>
  <si>
    <t>共使用768个（111.132.134.0/24,111.32.135.0/24,111.32.136.0/24）</t>
  </si>
  <si>
    <t>CDNTJCM</t>
  </si>
  <si>
    <t>SSL节点2021.9.24原地搬迁，2021.10.1开始更新机柜为：
TJCM3F-K-08、TJCM3F-K-09</t>
  </si>
  <si>
    <t>SSL节点2021.9.24原地搬迁，扩容一个机柜于2021.10.1开始计费
TJCM3F-K-10</t>
  </si>
  <si>
    <t>边缘计算使用机柜BECTJCM3F-J-14、BECTJCM3F-J-15为CDN之前存量机柜TJCM3F-J-14，TJCM3F-J-15</t>
  </si>
  <si>
    <t>边缘计算新增2个机柜,边缘计算使用机柜BECTJCM3F-J-14、BECTJCM3F-J-15为CDN之前存量机柜TJCM3F-J-14，TJCM3F-J-15
（BECTJCM3F-J-15于2023.3.31退租）</t>
  </si>
  <si>
    <t>TJ2CM</t>
  </si>
  <si>
    <t>边缘计算新增1个机柜,BECTJCM3F-J-16</t>
  </si>
  <si>
    <t>2022.5.31退租4个机柜：
TJCM3F-J-18
TJCM3F-J-13
BECTJCM3F-J-14
BECTJCM3F-J-15</t>
  </si>
  <si>
    <t>天津BEC</t>
  </si>
  <si>
    <t>2022.5.31退租4个机柜经核实，以下2个机柜实际未退租，再次操作开通：
BECTJCM3F-J-14
BECTJCM3F-J-15</t>
  </si>
  <si>
    <t>2023.3.31边缘计算退租2个机柜
BECTJCM3F-J-15
BECTJCM3F-J-16</t>
  </si>
  <si>
    <t>边缘计算机柜BECTJCM3F-J-14于2023.4.2转CDN使用，更新机柜编号
CDNTJCM2:3F:303-J-CDN14
（此行关闭BECTJCM3F-J-14）</t>
  </si>
  <si>
    <t>TJ6CM</t>
  </si>
  <si>
    <t>CDNTJCM2</t>
  </si>
  <si>
    <t>边缘计算机柜BECTJCM3F-J-14于2023.4.2转CDN使用，更新机柜编号CDNTJCM2:3F:303-J-CDN14
（此行开通CDNTJCM2:3F:303-J-CDN14）</t>
  </si>
  <si>
    <t>天津CDN</t>
  </si>
  <si>
    <t>于2023.4.2由BEC转CDN使用.
2022.5.31退租288个IP经核实，以下128个IP实际未退租转BEC使用，再次操作开通；
111.32.132.0/25</t>
  </si>
  <si>
    <t>中国移动通信集团新疆有限公司</t>
  </si>
  <si>
    <t>新疆移动</t>
  </si>
  <si>
    <t>L20221229023</t>
  </si>
  <si>
    <t>实际使用160个，每10G 送32个
36.189.229.128/27;36.189.229.0/25</t>
  </si>
  <si>
    <t>KLMY4CM</t>
  </si>
  <si>
    <t>2021.12.29边缘计算使用128个IP，于2022.1.1开始计费。免费96个，收费32个
36.189.230.128/25</t>
  </si>
  <si>
    <t>2022.3.31BEC退租128个IP：36.189.230.128/25</t>
  </si>
  <si>
    <t>CDNKLMYCM</t>
  </si>
  <si>
    <t>KLMY4CM107-C-07</t>
  </si>
  <si>
    <t>KLMY4CM107-C-06</t>
  </si>
  <si>
    <t>2021.12.29边缘计算使用1个机柜，于2022.1.1开始计费
BECKLMY4CM107-C-08</t>
  </si>
  <si>
    <t>2022.3.31退租
BECKLMY4CM107-C-08</t>
  </si>
  <si>
    <t>华北-lijia</t>
  </si>
  <si>
    <t>中国联合网络通信有限公司北京市分公司</t>
  </si>
  <si>
    <t>北京联通</t>
  </si>
  <si>
    <t>182115IDC00573</t>
  </si>
  <si>
    <t>次渠</t>
  </si>
  <si>
    <t>CQ02</t>
  </si>
  <si>
    <t>次渠5B-251-252</t>
  </si>
  <si>
    <t>次渠5B-253-254，系统录入62.5A</t>
  </si>
  <si>
    <t>次渠5F27-30电流63A，系统录入62.5A</t>
  </si>
  <si>
    <t>CQ025B-J-253、CQ025B-J-254、CQ025F-B-27、CQ025F-B-28、CQ025F-B-29、CQ025F-B-30</t>
  </si>
  <si>
    <t>19-22电流40A，增加1A260元</t>
  </si>
  <si>
    <t>CQ025B-J-251、CQ025B-J-252</t>
  </si>
  <si>
    <t>2019年4月18日开通1个机架。 
CQ025B-K-275</t>
  </si>
  <si>
    <t>CQ025B-N-357、CQ025B-N-358、CQ025B-N-359</t>
  </si>
  <si>
    <t>机房盘点出5个ODF（CQ025F-B-23、CQ025F-B-24、CQ025F-B-26、CQ025B-J-255、CQ025B-J-256）机柜一直在使用，自2019年6月1日开始按照最低标准收费。</t>
  </si>
  <si>
    <t>机房盘点出1个13A机柜（CQ023F-A-07）一直在使用，自2019年6月1日开始收费。</t>
  </si>
  <si>
    <t>盘点机房使用的ODF机柜CQ025B-F-158</t>
  </si>
  <si>
    <t>CQ025B-F-158
CQ025B-J-255
CQ025B-J-256
CQ025F-B-23
CQ025F-B-24
CQ025F-B-26</t>
  </si>
  <si>
    <t>CQ025B-F-157
CQ025B-N-340
CQ025B-N-341
CQ025B-N-342
CQ025B-N-343
CQ025B-N-344
CQ025B-N-345
CQ025B-N-346
CQ025B-N-347
CQ025B-N-348
CQ025B-N-349
CQ025B-N-350
CQ025B-N-351
CQ025B-N-352
CQ025B-N-353
CQ025B-N-354
CQ025B-N-355
CQ025B-N-356
CQ025B-N-360
CQ025B-N-361
CQ025B-N-362
CQ025B-N-363
CQ025B-N-364
CQ025B-N-365
CQ025B-N-366
CQ025B-M-313
CQ025B-M-314
CQ025B-M-315
CQ025B-M-316
CQ025B-M-317
CQ025B-M-318
CQ025B-M-319
CQ025B-M-320
CQ025B-M-321
CQ025B-M-322
CQ025B-M-323
CQ025B-M-324
CQ025B-M-325
CQ025B-M-326
CQ025B-M-327
CQ025B-M-328
CQ025B-M-329
CQ025B-M-330
CQ025B-M-331
CQ025B-M-332
CQ025B-M-333
CQ025B-M-334
CQ025B-M-335
CQ025B-M-336
CQ025B-M-337
CQ025B-M-338
CQ025B-M-339
CQ025B-L-307
CQ025B-L-308
CQ025B-L-309
CQ025B-L-310
CQ025B-L-311
CQ025B-L-312
CQ025B-L-306
CQ025B-L-305
CQ025B-L-304
CQ025B-L-303
CQ025B-L-302
CQ025B-L-301
CQ025B-L-300
CQ025B-L-299
CQ025B-L-298
CQ025B-L-297
CQ025B-L-296
CQ025B-L-295
CQ025B-L-294
CQ025B-L-293
CQ025B-L-292
CQ025B-L-291
CQ025B-L-290
CQ025B-L-289
CQ025B-L-288
CQ025B-L-287
CQ025B-L-286
CQ025B-K-271
CQ025B-K-270
CQ025B-K-269
CQ025B-K-268
CQ025B-K-267
CQ025B-K-266
CQ025B-K-265
CQ025B-K-264
CQ025B-K-263
CQ025B-J-248
CQ025B-J-247
CQ025B-J-246
CQ025B-J-245
CQ025B-J-244
CQ025B-J-243
CQ025B-J-242
CQ025B-J-241
CQ025B-J-240
CQ025B-J-239
CQ025B-J-238
CQ025B-J-237
CQ025B-J-236
CQ025B-I-235
CQ025B-I-234
CQ025B-I-233
CQ025B-I-232
CQ025B-I-231
CQ025B-I-227
CQ025B-K-285
CQ025B-K-284
CQ025B-K-283
CQ025B-K-282
CQ025B-K-281
CQ025B-K-280
CQ025B-K-279
CQ025B-K-278
CQ025B-K-277
CQ025B-K-276
CQ025B-K-275
CQ025B-K-274
CQ025B-K-273
CQ025B-K-272
CQ025B-I-209
CQ025B-I-210
CQ025B-I-211
CQ025B-I-212
CQ025B-I-213
CQ025B-I-214
CQ025B-I-215
CQ025B-I-216
CQ025B-I-217
CQ025B-I-218
CQ025B-I-219
CQ025B-I-220
CQ025B-I-221
CQ025B-I-222
CQ025B-I-223
CQ025B-I-224
CQ025B-H-182
CQ025B-H-183
CQ025B-H-184
CQ025B-H-185
CQ025B-H-186
CQ025B-H-187
CQ025B-H-188
CQ025B-H-189
CQ025B-H-190
CQ025B-H-191
CQ025B-H-192
CQ025B-H-193
CQ025B-H-194
CQ025B-H-195
CQ025B-H-196
CQ025B-H-197
CQ025B-H-198
CQ025B-H-199
CQ025B-H-200
CQ025B-H-201
CQ025B-H-202
CQ025B-H-203
CQ025B-H-204
CQ025B-H-205
CQ025B-H-206
CQ025B-H-207
CQ025B-H-208
CQ025B-G-159
CQ025B-G-160
CQ025B-G-161
CQ025B-G-162
CQ025B-G-163
CQ025B-G-164
CQ025B-G-165
CQ025B-G-166
CQ025B-G-167
CQ025B-G-168
CQ025B-G-169
CQ025B-G-170
CQ025B-G-171
CQ025B-G-172
CQ025B-G-173
CQ025B-G-174
CQ025B-G-175
CQ025B-G-176
CQ025B-G-177
CQ025B-G-178
CQ025B-G-179
CQ025B-G-180
CQ025B-G-181
CQ025B-F-132
CQ025B-F-133
CQ025B-F-134
CQ025B-F-135
CQ025B-F-136
CQ025B-F-137
CQ025B-F-138
CQ025B-F-139
CQ025B-F-140
CQ025B-F-141
CQ025B-F-142
CQ025B-F-143
CQ025B-F-144
CQ025B-F-145
CQ025B-F-146
CQ025B-F-147
CQ025B-F-148
CQ025B-F-149
CQ025B-F-150
CQ025B-F-151
CQ025B-F-152
CQ025B-F-153
CQ025B-F-154
CQ025B-F-155
CQ025B-F-156
CQ025B-E-105
CQ025B-E-106
CQ025B-E-107
CQ025B-E-108
CQ025B-E-109
CQ025B-E-110
CQ025B-E-111
CQ025B-E-112
CQ025B-E-113
CQ025B-E-114
CQ025B-E-115
CQ025B-E-116
CQ025B-E-117
CQ025B-E-118
CQ025B-E-119
CQ025B-E-120
CQ025B-E-121
CQ025B-E-122
CQ025B-E-123
CQ025B-E-124
CQ025B-E-125
CQ025B-E-126
CQ025B-E-127
CQ025B-E-128
CQ025B-E-129
CQ025B-E-130
CQ025B-E-131
CQ025B-D-78
CQ025B-D-79
CQ025B-D-80
CQ025B-D-81
CQ025B-D-82
CQ025B-D-83
CQ025B-D-84
CQ025B-D-85
CQ025B-D-86
CQ025B-D-87
CQ025B-D-88
CQ025B-D-89
CQ025B-D-90
CQ025B-D-91
CQ025B-D-92
CQ025B-D-93
CQ025B-D-94
CQ025B-D-95
CQ025B-D-96
CQ025B-D-97
CQ025B-D-98
CQ025B-D-99
CQ025B-D-100
CQ025B-D-101
CQ025B-D-102
CQ025B-D-103
CQ025B-D-104
CQ025B-C-55
CQ025B-C-56
CQ025B-C-57
CQ025B-C-58
CQ025B-C-59
CQ025B-C-60
CQ025B-C-61
CQ025B-C-62
CQ025B-C-63
CQ025B-C-64
CQ025B-C-65
CQ025B-C-66
CQ025B-C-67
CQ025B-C-68
CQ025B-C-69
CQ025B-C-70
CQ025B-C-71
CQ025B-C-72
CQ025B-C-73
CQ025B-C-74
CQ025B-C-75
CQ025B-C-76
CQ025B-C-77
CQ025B-B-28
CQ025B-B-29
CQ025B-B-30
CQ025B-B-31
CQ025B-B-32
CQ025B-B-33
CQ025B-B-34
CQ025B-B-35
CQ025B-B-36
CQ025B-B-37
CQ025B-B-38
CQ025B-B-39
CQ025B-B-40
CQ025B-B-41
CQ025B-B-42
CQ025B-B-43
CQ025B-B-44
CQ025B-B-45
CQ025B-B-46
CQ025B-B-47
CQ025B-B-48
CQ025B-B-49
CQ025B-B-50
CQ025B-B-51
CQ025B-B-52
CQ025B-B-53
CQ025B-B-54
CQ025B-A-01
CQ025B-A-02
CQ025B-A-03
CQ025B-A-04
CQ025B-A-05
CQ025B-A-06
CQ025B-A-07
CQ025B-A-08
CQ025B-A-09
CQ025B-A-10
CQ025B-A-11
CQ025B-A-12
CQ025B-A-13
CQ025B-A-14
CQ025B-A-15
CQ025B-A-16
CQ025B-A-17
CQ025B-A-18
CQ025B-A-19
CQ025B-A-20
CQ025B-A-21
CQ025B-A-22
CQ025B-A-23
CQ025B-A-24
CQ025B-A-25
CQ025B-A-26
CQ025B-A-27
CQ022E-A-01
CQ022E-A-02
CQ022E-A-03
CQ022E-A-05
CQ022E-A-06
CQ022E-A-07
CQ022E-A-08
CQ022E-A-09
CQ022E-A-10
CQ022E-A-11
CQ022E-A-12
CQ022E-A-14
CQ022E-A-15
CQ022E-A-16
CQ022E-A-17
CQ022E-A-18
CQ022E-B-19
CQ022E-B-20
CQ022E-B-21
CQ022E-B-22
CQ022E-B-23
CQ022E-B-24
CQ022E-B-26
CQ022E-B-27
CQ022E-B-28
CQ022E-B-29
CQ022E-B-30
CQ022E-B-31
CQ022E-B-32
CQ022E-B-33
CQ022E-B-35
CQ022E-B-36
CQ022E-B-37
CQ022E-B-38
CQ022F-A-01
CQ022F-A-02
CQ022F-A-03
CQ022F-A-04
CQ022F-A-06
CQ022F-A-07
CQ022F-A-08
CQ022F-A-09
CQ022F-A-10
CQ022F-A-11
CQ022F-A-12
CQ022F-A-13
CQ022F-A-15
CQ022F-A-16
CQ022F-A-17
CQ022F-A-18
CQ022F-B-19
CQ022F-B-20
CQ022F-B-21
CQ022F-B-22
CQ022F-B-23
CQ022F-B-24
CQ022F-B-26
CQ022F-B-27
CQ022F-B-28
CQ022F-B-29
CQ022F-B-30
CQ022F-B-31
CQ022F-B-32
CQ022F-B-33
CQ022F-B-35
CQ022F-B-36
CQ022F-B-37
CQ022F-B-38
CQ023E-A-01
CQ023E-A-02
CQ023E-A-03
CQ023E-A-05
CQ023E-A-06
CQ023E-A-07
CQ023E-A-08
CQ023E-A-09
CQ023E-A-10
CQ023E-A-11
CQ023E-A-13
CQ023E-A-14
CQ023E-A-15
CQ023E-A-16
CQ023E-A-17
CQ023E-B-18
CQ023E-B-19
CQ023E-B-20
CQ023E-B-21
CQ023E-B-22
CQ023E-B-23
CQ023E-B-25
CQ023E-B-26
CQ023E-B-27
CQ023E-B-28
CQ023E-B-29
CQ023E-B-30
CQ023E-B-31
CQ023E-B-32
CQ023E-B-34
CQ023E-B-35
CQ023F-A-01
CQ023F-A-02
CQ023F-A-03
CQ023F-A-04
CQ023F-A-06
CQ023F-A-07
CQ023F-A-08
CQ023F-A-09
CQ023F-A-10
CQ023F-A-11
CQ023F-A-12
CQ023F-A-13
CQ023F-A-15
CQ023F-A-16
CQ023F-A-17
CQ023F-A-18
CQ023F-B-19
CQ023F-B-20
CQ023F-B-21
CQ023F-B-22
CQ023F-B-23
CQ023F-B-24
CQ023F-B-26
CQ023F-B-27
CQ023F-B-28
CQ023F-B-29
CQ023F-B-30
CQ023F-B-31
CQ023F-B-32
CQ023F-B-33
CQ023F-B-35
CQ023F-B-36
CQ023F-B-37
CQ023G-A-01
CQ023G-A-02
CQ023G-A-03
CQ023G-A-05
CQ023G-A-06
CQ023G-A-07
CQ023G-B-08
CQ023G-B-09
CQ023G-B-10
CQ023G-B-11
CQ023G-B-13
CQ023G-B-14
CQ023G-B-15
CQ023G-B-16
CQ024E-A-01
CQ024E-A-02
CQ024E-A-03
CQ024E-A-05
CQ024E-A-06
CQ024E-B-07
CQ024E-B-08
CQ024E-B-09
CQ024E-B-11
CQ024E-B-12
CQ024E-B-13
CQ024E-B-14
CQ024F-A-01
CQ024F-A-02
CQ024F-A-03
CQ024F-A-05
CQ024F-A-06
CQ024F-A-07
CQ024F-A-08
CQ024F-A-09
CQ024F-A-10
CQ024F-A-11
CQ024F-A-13
CQ024F-A-14
CQ024F-A-15
CQ024F-A-16
CQ024F-A-17
CQ024F-A-18
CQ024F-B-19
CQ024F-B-20
CQ024F-B-21
CQ024F-B-22
CQ024F-B-23
CQ024F-B-24
CQ024F-B-26
CQ024F-B-27
CQ024F-B-28
CQ024F-B-29
CQ024F-B-30
CQ024F-B-31
CQ024F-B-32
CQ024F-B-33
CQ024F-B-35
CQ024F-B-36
CQ024F-B-37
CQ024G-A-01
CQ024G-A-02
CQ024G-A-03
CQ024G-A-05
CQ024G-A-06
CQ024G-A-07
CQ024G-B-08
CQ024G-B-09
CQ024G-B-10
CQ024G-B-11
CQ024G-B-13
CQ024G-B-14
CQ024G-B-15
CQ024G-B-16
CQ025E-A-01
CQ025E-A-02
CQ025E-A-03
CQ025E-A-05
CQ025E-A-06
CQ025E-A-07
CQ025E-A-08
CQ025E-A-09
CQ025E-A-10
CQ025E-A-11
CQ025E-A-12
CQ025E-A-14
CQ025E-A-15
CQ025E-A-16
CQ025E-A-17
CQ025E-B-18
CQ025E-B-19
CQ025E-B-20
CQ025E-B-21
CQ025E-B-22
CQ025E-B-24
CQ025E-B-25
CQ025E-B-26
CQ025E-B-27
CQ025E-B-28
CQ025E-B-29
CQ025E-B-30
CQ025E-B-31
CQ025E-B-33
CQ025E-B-34
CQ025E-B-35
CQ025E-B-36
CQ025F-A-02
CQ025F-A-03
CQ025F-A-04
CQ025F-A-05
CQ025F-A-06
CQ025F-A-07
CQ025F-A-08
CQ025F-A-09
CQ025F-A-11
CQ025F-A-12
CQ025F-A-17
CQ025F-A-18
CQ025G-A-01
CQ025G-A-02
CQ025G-A-03
CQ025G-A-05
CQ025G-A-06
CQ025G-A-07
CQ025G-B-08
CQ025G-B-09
CQ025G-B-10
CQ025G-B-11
CQ025G-B-13
CQ025G-B-14
CQ025G-B-15
CQ025G-B-16
CQ025H-A-01
CQ025H-A-02
CQ025H-A-03
CQ025H-A-05
CQ025H-A-06
CQ025H-B-07
CQ025H-B-08
CQ025H-B-09
CQ025H-B-11
CQ025H-B-12
CQ025H-B-13
CQ025H-B-14
CQ025A-A-01
CQ025A-A-02
CQ025A-A-03
CQ025A-A-04
CQ025A-A-05
CQ025A-A-06
CQ025A-A-07
CQ025A-A-08
CQ025A-A-09
CQ025A-B-10
CQ025A-B-11
CQ025A-B-12
CQ025A-B-13
CQ025A-B-14
CQ025A-B-15
CQ025A-B-16
CQ025A-B-17
CQ025A-B-18
CQ025A-C-19
CQ025A-C-20
CQ025A-C-21
CQ025A-C-22
CQ025A-C-23
CQ025A-C-24
CQ025A-C-25
CQ025A-C-26
CQ025A-C-27
CQ025A-D-28
CQ025A-D-29
CQ025A-D-30
CQ025A-D-31
CQ025A-D-32
CQ025A-D-33
CQ025A-D-34
CQ025A-D-35
CQ025A-D-36
CQ025A-D-37</t>
  </si>
  <si>
    <t>CQ025F-B-19
CQ025F-B-20
CQ025F-B-21
CQ025F-B-22</t>
  </si>
  <si>
    <t>L20220302003</t>
  </si>
  <si>
    <t>之前计提13A机柜为1520个，经双方核对一致，13A机柜共1518个。（2个机柜由13A改为27A）</t>
  </si>
  <si>
    <t>4个机柜编号为3A10、11、16、17定制50A。之前运营商按照40A收费，年底盘点时发现实际是50A，与我司SYS核对结果也是50A，双方达成一致自本月开始调整为50A价格计费。13A以上260元/A</t>
  </si>
  <si>
    <t>CQ023A-B-010、CQ023A-B-011、CQ023A-C-016、CQ023A-C-017</t>
  </si>
  <si>
    <t>之前计提27A机柜为2个，经双方核对一致27A机柜为4个（其中2个机柜由13A改为27A）。</t>
  </si>
  <si>
    <t>CQ023A-D-018、CQ023A-D-019</t>
  </si>
  <si>
    <t>2019年1月17日开通4个机架。</t>
  </si>
  <si>
    <t>机房盘点出3个ODF机柜一直在使用（CQ023A-B-012、CQ023A-B-013、CQ023A-D-022），自2019年6月1日开始按照最低电流13A收费。</t>
  </si>
  <si>
    <t>2021年2月1日、2月2日下电1493个机柜，商务确认结束计费时间为1月31日</t>
  </si>
  <si>
    <t>次渠大机房中CDN机柜共15个，退租7个剩余8个，退租机柜为BJUN2A-B-13、BJUN2A-B-14、BJUN2A-B-18、BJUN2A-A-06、BJUN2A-A-07、BJUN2A-A-08、BJUN2A-A-09，剩余机柜为BJUN2A-B-10、BJUN2A-B-11、BJUN2A-B-12、BJUN2A-A-01、BJUN2A-A-02、BJUN2A-A-03、BJUN2A-A-04、BJUN2A-A-05</t>
  </si>
  <si>
    <t>CQ023A-B-012
CQ023A-B-013
CQ023A-D-022</t>
  </si>
  <si>
    <t>CQ023A-A-001
CQ023A-A-002
CQ023A-A-003
CQ023A-A-004
CQ023A-A-005
CQ023A-A-006
CQ023A-A-007
CQ023A-A-008
CQ023A-B-009
CQ023A-C-014
CQ023A-C-015
CQ023A-D-023
CQ023A-D-024</t>
  </si>
  <si>
    <t>CQ023A-D-020
CQ023A-D-021</t>
  </si>
  <si>
    <t>2022-02-25减少机柜8个，BJUN2A-B-10,BJUN2A-A-05,BJUN2A-A-04,BJUN2A-A-03,BJUN2A-A-02,BJUN2A-A-01,BJUN2A-B-11,BJUN2A-B-12</t>
  </si>
  <si>
    <t>182215IDC00131</t>
  </si>
  <si>
    <t>CDNBJUN</t>
  </si>
  <si>
    <t>2022-02-25新增机柜5个，BJUN5F-5C-102,BJUN5F-5C-103,BJUN5F-5C-104,BJUN5F-5C-100,BJUN5F-5C-101</t>
  </si>
  <si>
    <t>BJUN5F-5C-102,BJUN5F-5C-103,BJUN5F-5C-104,BJUN5F-5C-100,BJUN5F-5C-101</t>
  </si>
  <si>
    <t>181915IDC00126</t>
  </si>
  <si>
    <t>土城</t>
  </si>
  <si>
    <t>TC</t>
  </si>
  <si>
    <t>13A/16A</t>
  </si>
  <si>
    <t>11月30日关闭2个后数据为456个 ；开通累计土城6、7层,159个16A.</t>
  </si>
  <si>
    <t>2393关闭机柜；开通累计土城9、10、11层</t>
  </si>
  <si>
    <t>土城5层2机房</t>
  </si>
  <si>
    <t>12月1日开始计费，TC902-03-15、TC902-03-11</t>
  </si>
  <si>
    <t>2019/12/4关闭</t>
  </si>
  <si>
    <t>6KW，2019年1月18日开始计费，TC902-05-21</t>
  </si>
  <si>
    <t>1907月正常费用。6层5机房盘点出3个ODF（TC605-02-05、TC605-02-07、TC605-02-08）机柜一直在使用，自2019年6月1日开始按照最低标准收费。</t>
  </si>
  <si>
    <t>1907月正常费用。7层6机房盘点出2个（TC706-02-08、TC706-02-09）、7机房9个（TC707-01-06、TC707-01-08、TC707-01-09、TC707-01-11、TC707-02-10、TC707-03-08、TC707-03-09、TC707-05-08、TC707-05-09）、8机房2个（TC708-02-08、TC708-02-09）、10层3机房1个（TC10F-03-13）ODF机柜一直在使用，自2019年6月1日开始按照最低标准收费。</t>
  </si>
  <si>
    <t>1907月正常费用。5层2机房盘点出2个ODF（TC502-01-01、）机柜一直在使用，自2019年6月1日开始按照最低标准收费。</t>
  </si>
  <si>
    <t>1907月正常费用。9层2机房盘点出3个ODF（TC902-01-15、TC902-01-20、TC902-01-21）机柜一直在使用，自2019年6月1日开始按照最低标准收费。</t>
  </si>
  <si>
    <t>2020/4/8关闭</t>
  </si>
  <si>
    <t>4月8日新增</t>
  </si>
  <si>
    <t>2021年TC机房退租，终止计费时间2月2日</t>
  </si>
  <si>
    <t>2021年TC机房退租，有四个，终止计费时间2月10日，TC707-02-08、TC707-02-09、TC707-02-11、TC707-02-12</t>
  </si>
  <si>
    <t>181915IDC00225</t>
  </si>
  <si>
    <t>窦店</t>
  </si>
  <si>
    <t xml:space="preserve"> BJDD</t>
  </si>
  <si>
    <t>QYDD</t>
  </si>
  <si>
    <t>历史已计提，从BJDD机房20190222拆出来</t>
  </si>
  <si>
    <t>3月1日开通445个4.4KW机柜。</t>
  </si>
  <si>
    <t>3月16日关闭17个4.4KW机柜，从3月17日开始不计费。</t>
  </si>
  <si>
    <t>3月1日开通4个6.6KW机柜。</t>
  </si>
  <si>
    <t>3月1日开通8个9KW机柜。</t>
  </si>
  <si>
    <t>3月1日开通18个24KW机柜。</t>
  </si>
  <si>
    <t>历史已计提，从BJDD机房20190301拆出来</t>
  </si>
  <si>
    <t>3月29日开通4个4.4KW机柜。历史计提在BJDD机房修改机房</t>
  </si>
  <si>
    <t>3月15日开通10个4.4KW机柜。</t>
  </si>
  <si>
    <t>3月20日开通7个4.4KW机柜。</t>
  </si>
  <si>
    <t>4月10日开通11个4.4KW机柜。</t>
  </si>
  <si>
    <t>5月14日开通8个4.4KW机柜。</t>
  </si>
  <si>
    <t>1907的费用（BJDDM232-H-05--07）</t>
  </si>
  <si>
    <t>1907的费用（BJDDM232-H-08--10）</t>
  </si>
  <si>
    <t>1907的费用（BJDDM233-J-01--06）</t>
  </si>
  <si>
    <t>1907的费用（BJDDM232-G-07--15）</t>
  </si>
  <si>
    <t>1907的费用（BJDDM232-F-19、BJDDM232-F-20）</t>
  </si>
  <si>
    <t>190702开通11个，计费30天（BJDDM232-G-16、BJDDM232-G-17、BJDDM233-J-07~15）</t>
  </si>
  <si>
    <t>190708开通2个，计费24天（BJDDM231-H-09、BJDDM231-H-10）</t>
  </si>
  <si>
    <t>190710开通5个，计费22天（BJDDM232-G-04~06、BJDDM232-H-17、BJDDM232-H-18）</t>
  </si>
  <si>
    <t>190716开通3个，计费16天（BJDDM232-H-14~16）</t>
  </si>
  <si>
    <t>190718开通10个，计费14天（BJDDM232-I-04~13）</t>
  </si>
  <si>
    <t>190724开通2个，计费8天（BJDDM232-I-14、BJDDM232-I-15）</t>
  </si>
  <si>
    <t>8月新增：BJDDM233-C-15，SYS 反馈开通</t>
  </si>
  <si>
    <t xml:space="preserve">8月关闭BJDDM232-I-12
BJDDM232-I-11
BJDDM232-I-10
BJDDM232-I-09
BJDDM232-I-08
BJDDM232-I-07
BJDDM232-I-06
BJDDM232-I-05
BJDDM232-I-04
</t>
  </si>
  <si>
    <t>BJDD</t>
  </si>
  <si>
    <t>历史计提在QYDD机房修改机房</t>
  </si>
  <si>
    <t>一期：2号楼2、3层</t>
  </si>
  <si>
    <t>一期不足整月计费方式：单价*12/365*单月天数</t>
  </si>
  <si>
    <t>10月开通</t>
  </si>
  <si>
    <t>11月开通</t>
  </si>
  <si>
    <t>12月开通</t>
  </si>
  <si>
    <t>2020-1开通</t>
  </si>
  <si>
    <t>合同内机架总数851个，需要注意本协议生效日期6个月内起租机架总数的35%，不足按照机架总数35%计费，12个月内起租机架总数75%。不足按照机架总数75%计费，18个月内起租机架总数90%，不足按照机架总数90%计费，交付机架预留机架总数10%资源可不承诺起租。2月22日开通143个4.4KW机柜。</t>
  </si>
  <si>
    <t>182015IDC00018</t>
  </si>
  <si>
    <t>窦店二期</t>
  </si>
  <si>
    <t>8月新增二期</t>
  </si>
  <si>
    <t>9月新增二期</t>
  </si>
  <si>
    <t>2020-1开通，历史计提在QYDD修改机房</t>
  </si>
  <si>
    <t>二期：2号楼4层</t>
  </si>
  <si>
    <t>历史计提在BJDD修改机房</t>
  </si>
  <si>
    <t>二期不足整月：实际天数/当月天数，历史计提在BJDD修改机房</t>
  </si>
  <si>
    <t>QYDDM243-D-04、QYDDM243-D-05、QYDDM243-D-06、QYDDM243-D-07、QYDDM243-D-08</t>
  </si>
  <si>
    <t>QYDDM243-D-01、QYDDM243-D-02、QYDDM243-D-03、QYDDM243-D-09</t>
  </si>
  <si>
    <t>QYDDM243-C-15</t>
  </si>
  <si>
    <t xml:space="preserve">QYDDM243-A-01
QYDDM243-A-02
QYDDM243-A-03
</t>
  </si>
  <si>
    <t>合同内机架总数为485个，本协议生效日起12个月内起租1机架总数的50%，不足按照3150元/架支付预占费，24个月内起租机架总数90%，不足按照3150元/架支付预占费，交付机柜预留机架总数10%可不承诺起租</t>
  </si>
  <si>
    <t>182015IDC00225</t>
  </si>
  <si>
    <t>窦店三期</t>
  </si>
  <si>
    <t>12月开通，调整8个到109A，4个到30A</t>
  </si>
  <si>
    <t>BJDDM131-F-06 BJDDM131-F-08 BJDDM131-G-06 BJDDM131-G-08 BJDDM131-H-05 BJDDM131-H-07</t>
  </si>
  <si>
    <t>BJDDM131-H-02
BJDDM131-H-03
BJDDM131-I-02
BJDDM131-I-03</t>
  </si>
  <si>
    <t>1-31开通</t>
  </si>
  <si>
    <t>三期：1号楼2、3层</t>
  </si>
  <si>
    <t>修改机房为QYDD</t>
  </si>
  <si>
    <t>三期正式合同内不足月月租费*使用天数/当月天数</t>
  </si>
  <si>
    <t xml:space="preserve"> QYDD</t>
  </si>
  <si>
    <t>QYDDM123-D-01
QYDDM123-D-02
QYDDM123-D-03
QYDDM123-D-04
QYDDM123-D-05
QYDDM123-D-06
QYDDM123-D-07
QYDDM123-D-08
QYDDM123-D-09
QYDDM123-D-10
QYDDM123-D-11
QYDDM123-D-12
QYDDM123-D-13
QYDDM123-D-14
QYDDM123-D-15
QYDDM123-E-01
QYDDM123-E-02
QYDDM123-E-03
QYDDM123-E-04
QYDDM123-E-05
QYDDM123-E-06</t>
  </si>
  <si>
    <t xml:space="preserve">QYDDM121-A-02
QYDDM121-A-03
QYDDM121-A-04
因为不足整月计算方式为使用天数*12/365,反算公式计算不对，用全月费用-已使用的费用
</t>
  </si>
  <si>
    <t xml:space="preserve">QYDDM121-D-04
QYDDM121-D-05
QYDDM121-D-06
QYDDM121-D-07
QYDDM121-D-08
QYDDM121-D-09
QYDDM123-E-07
QYDDM123-E-08
QYDDM123-E-09
QYDDM123-E-10
QYDDM123-E-11
QYDDM123-E-12
</t>
  </si>
  <si>
    <t xml:space="preserve">QYDDM121-D-10
QYDDM121-D-11
QYDDM121-D-12
QYDDM121-D-13
QYDDM121-D-14
QYDDM121-D-15
QYDDM121-E-01
QYDDM121-E-02
QYDDM121-E-03
</t>
  </si>
  <si>
    <t>L20200924002</t>
  </si>
  <si>
    <t xml:space="preserve">202009盘点出历史有10个ODF机柜在用，运营商邮件回复不计费，为了保持系统一致做开通状态，BJDDM131-F-07
BJDDM131-F-09
BJDDM131-G-07
BJDDM131-G-09
BJDDM131-H-04
BJDDM131-H-06
BJDDM131-H-08
BJDDM131-I-04
BJDDM131-I-06
BJDDM131-I-08
</t>
  </si>
  <si>
    <t xml:space="preserve">BJDDM132-A-17
BJDDM132-A-18
BJDDM132-D-11
BJDDM132-D-12
BJDDM132-D-13
BJDDM132-D-14
BJDDM132-A-13
BJDDM132-A-14
BJDDM132-A-15
BJDDM132-A-16
BJDDM132-D-04
BJDDM132-D-05
BJDDM132-D-06
BJDDM132-D-07
BJDDM132-D-08
BJDDM132-D-09
BJDDM132-D-10
</t>
  </si>
  <si>
    <t>BJDDM132-D-15</t>
  </si>
  <si>
    <t>BJDDM132-D-16，BJDDM132-D-17，BJDDM132-D-18，BJDDM132-E-01，BJDDM132-E-02，BJDDM132-E-03</t>
  </si>
  <si>
    <t>云托管-BJDDM132-J-14 BJDDM132-J-15</t>
  </si>
  <si>
    <t xml:space="preserve">云托管-关闭BJDDM132-J-14 BJDDM132-J-15（10月12）
</t>
  </si>
  <si>
    <t>BJDDM132-F-04、BJDDM132-F-05、BJDDM132-F-06</t>
  </si>
  <si>
    <t>BJDDM132-G-05</t>
  </si>
  <si>
    <t>BJDDM132-G-06、BJDDM132-G-07</t>
  </si>
  <si>
    <t>BJDDM132-G-08、BJDDM132-G-09、BJDDM132-G-10、BJDDM132-G-11、BJDDM132-G-12、BJDDM132-G-13</t>
  </si>
  <si>
    <t>BJDDM132-G-14、BJDDM132-G-15、BJDDM132-G-16、BJDDM132-G-17</t>
  </si>
  <si>
    <t>BJDDM131-G-02、BJDDM131-G-04</t>
  </si>
  <si>
    <t xml:space="preserve">BJDDM132-H-05
BJDDM132-H-06
BJDDM132-H-03
BJDDM132-H-04
BJDDM132-H-07
BJDDM132-H-08
BJDDM132-H-09
BJDDM132-H-10
BJDDM132-H-11
BJDDM132-H-12
BJDDM132-H-13
BJDDM132-H-14
BJDDM132-H-01
BJDDM132-H-02
BJDDM132-H-15
BJDDM132-H-16
BJDDM132-H-17
BJDDM132-H-18
BJDDM132-I-03
</t>
  </si>
  <si>
    <t>BJDDM132-I-04、BJDDM132-I-05</t>
  </si>
  <si>
    <t xml:space="preserve">BJDDM132-F-03、BJDDM132-E-04、BJDDM132-E-05、BJDDM132-E-06、BJDDM132-F-01、BJDDM132-F-02、BJDDM132-E-07、BJDDM132-E-08、BJDDM132-E-09、BJDDM132-E-10、BJDDM132-E-11、BJDDM132-E-12
</t>
  </si>
  <si>
    <t xml:space="preserve">BJDDM132-E-13
BJDDM132-E-14
BJDDM132-E-15
BJDDM132-E-16
BJDDM132-E-17
BJDDM132-E-18
BJDDM132-E-19
BJDDM132-E-20
</t>
  </si>
  <si>
    <t>BJDDM132-I-15、BJDDM132-I-16、BJDDM132-I-17、BJDDM132-I-18、BJDDM132-I-19、BJDDM132-I-20</t>
  </si>
  <si>
    <t>BJDDM132-I-06、BJDDM132-I-07、BJDDM132-I-08、BJDDM132-I-09、BJDDM132-I-10、BJDDM132-I-11、BJDDM132-I-12、BJDDM132-I-13、BJDDM132-I-14</t>
  </si>
  <si>
    <t>BJDDM131-E-09、BJDDM131-E-10、BJDDM131-E-11</t>
  </si>
  <si>
    <t>QYDDM123-E-13、QYDDM123-E-14、QYDDM123-E-15</t>
  </si>
  <si>
    <t xml:space="preserve">QYDDM123-F-01
QYDDM123-F-02
QYDDM123-F-03
QYDDM123-F-04
QYDDM123-F-05
QYDDM123-F-06
QYDDM121-E-04
QYDDM121-E-05
QYDDM121-E-06
QYDDM121-E-07
QYDDM121-E-08
QYDDM121-E-09
</t>
  </si>
  <si>
    <t xml:space="preserve">QYDDM121-E-10
QYDDM121-E-11
QYDDM121-E-12
QYDDM121-E-13
QYDDM121-E-14
QYDDM121-E-15
QYDDM121-F-01
QYDDM121-F-02
QYDDM121-F-03
QYDDM121-F-04
QYDDM121-F-05
QYDDM121-F-06
QYDDM121-F-07
QYDDM121-F-08
QYDDM121-F-09
QYDDM121-F-10
QYDDM121-F-11
QYDDM121-F-12
QYDDM121-F-13
QYDDM121-F-14
QYDDM121-F-15
</t>
  </si>
  <si>
    <t xml:space="preserve">QYDDM123-F-07
QYDDM123-F-08
QYDDM123-F-09
QYDDM123-F-10
QYDDM123-F-11
QYDDM123-F-12
QYDDM123-F-13
QYDDM123-F-14
QYDDM123-F-15
QYDDM123-G-01
QYDDM123-G-02
QYDDM123-G-03
QYDDM123-G-04
QYDDM123-G-05
QYDDM123-G-06
QYDDM123-G-07
QYDDM123-G-08
QYDDM123-G-09
QYDDM123-G-10
QYDDM123-G-11
QYDDM123-G-12
QYDDM123-G-13
QYDDM123-G-14
QYDDM123-G-15
QYDDM123-H-01
QYDDM123-H-02
QYDDM123-H-03
QYDDM123-H-04
QYDDM123-H-05
QYDDM123-H-06
QYDDM123-H-07
QYDDM123-H-08
QYDDM123-H-09
QYDDM123-H-10
QYDDM123-H-11
QYDDM123-H-12
QYDDM123-H-13
QYDDM123-H-14
QYDDM123-H-15
QYDDM123-I-01
QYDDM123-I-02
QYDDM123-I-03
</t>
  </si>
  <si>
    <t>2019/11/1起12个月内起租机架总数的50%，不足按照3150元/架支付预占费，24个月内起租机架总数90%，不足按照3150元/架支付预占费，交付机柜预留机架总数10%资源可不承诺起租</t>
  </si>
  <si>
    <t xml:space="preserve">QYDDM123-I-04
QYDDM123-I-05
QYDDM123-I-06
QYDDM123-I-07
QYDDM123-I-08
QYDDM123-I-09
QYDDM123-I-10
QYDDM123-I-11
QYDDM123-I-12
QYDDM123-I-13
QYDDM123-I-14
QYDDM123-I-15
QYDDM123-J-01
QYDDM123-J-02
QYDDM123-J-03
QYDDM123-J-04
QYDDM123-J-05
QYDDM123-J-06
QYDDM123-J-07
QYDDM123-J-08
QYDDM123-J-09
</t>
  </si>
  <si>
    <t>BJDDM131-E-08</t>
  </si>
  <si>
    <t xml:space="preserve">QYDDM122-A-01
QYDDM122-A-02
QYDDM122-A-05
QYDDM122-A-06
QYDDM122-A-09
QYDDM122-A-10
QYDDM122-A-13
QYDDM122-A-14
QYDDM122-A-16
QYDDM122-A-17
QYDDM122-B-01
QYDDM122-B-02
QYDDM122-B-05
QYDDM122-B-06
QYDDM122-B-09
QYDDM122-B-10
QYDDM122-B-13
QYDDM122-B-14
QYDDM122-B-17
QYDDM122-B-18
QYDDM122-C-01
QYDDM122-C-02
QYDDM122-C-05
QYDDM122-C-06
QYDDM122-C-09
QYDDM122-C-10
QYDDM122-C-13
QYDDM122-C-14
QYDDM122-C-17
QYDDM122-C-18
QYDDM122-D-01
QYDDM122-D-02
QYDDM122-D-05
QYDDM122-D-06
QYDDM122-D-09
QYDDM122-D-10
QYDDM122-D-13
QYDDM122-D-14
QYDDM122-D-17
QYDDM122-E-01
QYDDM122-E-02
QYDDM122-E-05
QYDDM122-E-06
QYDDM122-E-09
QYDDM122-E-10
QYDDM122-E-13
QYDDM122-E-14
QYDDM122-E-17
QYDDM122-E-18
QYDDM122-F-01
QYDDM122-F-02
QYDDM122-F-05
QYDDM122-F-06
QYDDM122-F-09
QYDDM122-F-10
QYDDM122-F-13
QYDDM122-F-14
QYDDM122-F-17
QYDDM122-F-18
QYDDM122-G-01
QYDDM122-G-02
QYDDM122-G-05
QYDDM122-G-06
QYDDM122-G-09
QYDDM122-G-10
QYDDM122-G-13
QYDDM122-G-14
QYDDM122-G-16
QYDDM122-G-17
QYDDM122-H-01
QYDDM122-H-02
QYDDM122-H-05
QYDDM122-H-06
QYDDM122-H-09
QYDDM122-H-10
QYDDM122-H-13
QYDDM122-H-14
QYDDM122-H-16
QYDDM122-H-17
QYDDM122-I-01
QYDDM122-I-02
QYDDM122-I-05
QYDDM122-I-06
QYDDM122-I-09
QYDDM122-I-10
QYDDM122-I-13
QYDDM122-I-14
QYDDM122-I-17
QYDDM122-I-18
QYDDM122-J-01
QYDDM122-J-02
QYDDM122-J-05
QYDDM122-J-06
QYDDM122-J-09
QYDDM122-J-10
QYDDM122-J-13
QYDDM122-J-14
QYDDM122-J-16
QYDDM122-J-17
</t>
  </si>
  <si>
    <t>QYDDM122-A-01
QYDDM122-A-02
QYDDM122-A-03
QYDDM122-A-04
QYDDM122-A-05
QYDDM122-A-06
QYDDM122-A-07
QYDDM122-A-08
QYDDM122-A-09
QYDDM122-A-10
QYDDM122-A-11
QYDDM122-A-12
QYDDM122-A-13
QYDDM122-A-14
QYDDM122-A-15
QYDDM122-A-16
QYDDM122-A-17
QYDDM122-A-18
QYDDM122-B-01
QYDDM122-B-02
QYDDM122-B-03
QYDDM122-B-04
QYDDM122-B-05
QYDDM122-B-06
QYDDM122-B-07
QYDDM122-B-08
QYDDM122-B-09
QYDDM122-B-10
QYDDM122-B-11
QYDDM123-J-10
QYDDM123-J-11
QYDDM123-J-12
QYDDM123-J-13
QYDDM123-J-14
QYDDM123-J-15
QYDDM121-A-02
QYDDM121-A-03
QYDDM121-A-04
QYDDM121-G-01
QYDDM121-G-02
QYDDM121-G-03
QYDDM121-G-04
QYDDM121-G-05
QYDDM121-G-06
QYDDM121-G-07
QYDDM121-G-08
QYDDM121-G-09</t>
  </si>
  <si>
    <t xml:space="preserve">QYDDM121-G-10
QYDDM121-G-11
QYDDM121-G-12
QYDDM121-G-13
QYDDM121-G-14
QYDDM121-G-15
</t>
  </si>
  <si>
    <t>QYDDM122-B-12，QYDDM122-B-13，QYDDM122-B-14</t>
  </si>
  <si>
    <t xml:space="preserve">QYDDM122-B-15
QYDDM122-B-16
QYDDM122-B-17
QYDDM122-B-18
QYDDM122-B-19
QYDDM122-B-20
QYDDM122-C-01
QYDDM122-C-02
QYDDM122-C-03
QYDDM122-C-04
QYDDM122-C-05
QYDDM122-C-06
QYDDM122-C-07
</t>
  </si>
  <si>
    <t>BJDDM131-E-12</t>
  </si>
  <si>
    <t xml:space="preserve">QYDDM122-C-08
QYDDM122-C-09
QYDDM122-C-10
QYDDM122-C-11
QYDDM122-C-12
QYDDM122-C-13
QYDDM122-C-14
QYDDM122-C-15
QYDDM122-C-16
QYDDM122-C-17
QYDDM122-C-18
QYDDM122-C-19
QYDDM122-C-20
QYDDM122-D-01
QYDDM122-D-02
QYDDM122-D-03
QYDDM122-D-04
QYDDM122-D-05
QYDDM122-D-06
QYDDM122-D-07
QYDDM122-D-08
QYDDM122-D-09
QYDDM122-D-10
QYDDM122-D-11
QYDDM122-D-12
QYDDM122-D-13
QYDDM122-D-14
QYDDM122-D-15
QYDDM122-D-16
QYDDM122-E-01
QYDDM122-E-02
QYDDM122-E-03
QYDDM122-E-04
QYDDM122-E-05
QYDDM122-E-06
QYDDM122-E-07
QYDDM122-E-08
QYDDM122-E-09
QYDDM122-E-10
QYDDM122-E-11
QYDDM122-E-12
QYDDM122-E-13
QYDDM122-E-14
QYDDM122-E-15
QYDDM122-E-16
QYDDM122-E-17
QYDDM122-E-18
QYDDM122-E-19
QYDDM122-E-20
QYDDM122-F-01
QYDDM122-F-02
QYDDM122-F-03
QYDDM122-F-04
QYDDM122-F-05
QYDDM122-F-06
QYDDM122-F-07
QYDDM122-F-08
QYDDM122-F-09
QYDDM122-F-10
QYDDM122-F-11
QYDDM122-F-12
QYDDM122-F-13
QYDDM122-F-14
QYDDM122-F-15
QYDDM122-F-16
QYDDM122-F-17
QYDDM122-F-18
QYDDM122-F-19
QYDDM122-F-20
QYDDM122-G-01
QYDDM122-G-02
QYDDM122-G-03
QYDDM122-G-05
QYDDM122-G-06
</t>
  </si>
  <si>
    <t xml:space="preserve">QYDDM122-G-04
QYDDM122-G-07
QYDDM122-G-08
QYDDM122-G-09
</t>
  </si>
  <si>
    <t xml:space="preserve">QYDDM122-G-10
QYDDM122-G-11
QYDDM122-G-12
QYDDM122-G-13
QYDDM122-G-14
QYDDM122-G-15
QYDDM122-G-16
QYDDM122-G-17
QYDDM122-H-01
QYDDM122-H-02
QYDDM122-H-03
QYDDM122-H-04
QYDDM122-H-05
QYDDM122-H-06
QYDDM122-H-07
QYDDM122-H-08
QYDDM122-H-09
QYDDM122-H-10
QYDDM122-H-11
QYDDM122-H-12
QYDDM122-H-13
QYDDM122-H-14
QYDDM122-H-15
QYDDM122-H-16
QYDDM122-H-17
QYDDM122-H-18
QYDDM122-I-01
QYDDM122-I-02
QYDDM122-I-03
QYDDM122-I-04
QYDDM122-I-05
QYDDM122-I-06
QYDDM122-I-07
QYDDM122-I-08
</t>
  </si>
  <si>
    <t>QYDDM122-D-17</t>
  </si>
  <si>
    <t>QYDDM122-J-01
QYDDM122-J-02
QYDDM122-J-03
QYDDM122-J-04
QYDDM122-J-05
QYDDM122-J-06
QYDDM122-J-07
QYDDM122-J-08
QYDDM122-J-09
QYDDM122-J-10
QYDDM122-J-11
QYDDM122-J-12
QYDDM122-J-13
QYDDM122-J-14
QYDDM122-J-15
QYDDM122-J-16
QYDDM122-J-17</t>
  </si>
  <si>
    <t>BJDDM133-H-01
BJDDM133-H-02
BJDDM133-H-03
BJDDM133-H-04
BJDDM133-H-05
BJDDM133-H-06
BJDDM133-H-07
BJDDM133-H-08
BJDDM133-H-09
BJDDM133-H-10
BJDDM133-H-11
BJDDM133-H-12
BJDDM133-H-13
BJDDM133-H-14
BJDDM133-H-15
BJDDM133-I-01
BJDDM133-I-02
BJDDM133-I-03
BJDDM133-I-04
BJDDM133-I-05
BJDDM133-I-06
BJDDM133-I-07
BJDDM133-I-08
BJDDM133-I-09
BJDDM133-I-10
BJDDM133-I-11
BJDDM133-I-12
BJDDM133-I-13
BJDDM133-I-14
BJDDM133-I-15
BJDDM133-J-03
BJDDM133-J-04
BJDDM133-J-05
BJDDM133-J-06
BJDDM133-J-07
BJDDM133-J-08
BJDDM133-J-09
BJDDM133-J-10
BJDDM133-J-11
BJDDM133-J-12
BJDDM133-J-13
BJDDM133-J-14</t>
  </si>
  <si>
    <t>BJDDM133-H-01
BJDDM133-H-02
BJDDM133-H-04
BJDDM133-H-05
BJDDM133-H-06
BJDDM133-H-07
BJDDM133-H-08
BJDDM133-H-09
BJDDM133-H-10
BJDDM133-H-11
BJDDM133-H-12
BJDDM133-H-13
BJDDM133-H-14
BJDDM133-H-15
BJDDM133-I-01
BJDDM133-I-02
BJDDM133-I-04
BJDDM133-I-05
BJDDM133-I-06
BJDDM133-I-07
BJDDM133-I-08
BJDDM133-I-09
BJDDM133-I-10
BJDDM133-I-11
BJDDM133-I-12
BJDDM133-I-13
BJDDM133-I-14
BJDDM133-I-15
BJDDM133-J-04
BJDDM133-J-05
BJDDM133-J-06
BJDDM133-J-07
BJDDM133-J-08
BJDDM133-J-09
BJDDM133-J-10
BJDDM133-J-11
BJDDM133-J-12
BJDDM133-J-13
BJDDM133-J-14
BJDDM133-H-03
BJDDM133-I-03
BJDDM133-J-03</t>
  </si>
  <si>
    <t>182115IDC00041</t>
  </si>
  <si>
    <t>窦店四期</t>
  </si>
  <si>
    <t xml:space="preserve">起租进度：2021年12月31日前起租机架总数的50%，不足按照3150元/架支付预占费，2022年12月21日前个月内起租机架总数90%，不足按照3150元/架支付预占费，交付机柜预留机架总数10%资源可不承诺起租，1-4期分别计算起租后，总起租数量满足起租要求即可,BJDDM141-E-15
BJDDM142-A-01
BJDDM142-A-02
BJDDM142-A-05
BJDDM142-A-06
BJDDM142-A-09
BJDDM142-A-10
BJDDM142-A-13
BJDDM142-A-14
BJDDM142-A-16
BJDDM142-A-17
BJDDM142-B-01
BJDDM142-B-02
BJDDM142-B-05
BJDDM142-B-06
BJDDM142-B-09
BJDDM142-B-10
BJDDM142-B-13
BJDDM142-B-14
BJDDM142-B-17
BJDDM142-B-18
BJDDM142-C-01
BJDDM142-C-02
BJDDM142-C-05
BJDDM142-C-06
BJDDM142-C-09
BJDDM142-C-10
BJDDM142-C-13
BJDDM142-C-14
BJDDM142-C-17
BJDDM142-C-18
BJDDM142-D-01
BJDDM142-D-02
BJDDM142-D-03
BJDDM142-D-04
BJDDM142-D-07
BJDDM142-D-08
BJDDM142-D-11
BJDDM142-D-12
BJDDM142-D-15
BJDDM142-D-16
BJDDM142-E-01
BJDDM142-E-02
BJDDM142-E-05
BJDDM142-E-06
BJDDM142-E-09
BJDDM142-E-10
BJDDM142-E-13
BJDDM142-E-14
BJDDM142-E-17
BJDDM142-E-18
BJDDM142-E-20
BJDDM142-F-01
BJDDM142-F-02
BJDDM142-F-05
BJDDM142-F-06
BJDDM142-F-09
BJDDM142-F-10
BJDDM142-F-13
BJDDM142-F-14
BJDDM142-F-17
BJDDM142-F-18
BJDDM142-G-01
BJDDM142-G-02
BJDDM142-G-05
BJDDM142-G-06
BJDDM142-G-09
BJDDM142-G-10
BJDDM142-G-13
BJDDM142-G-14
BJDDM142-G-16
BJDDM142-G-17
BJDDM142-H-01
BJDDM142-H-02
BJDDM142-H-05
BJDDM142-H-06
BJDDM142-H-09
BJDDM142-H-10
BJDDM142-H-13
BJDDM142-H-14
BJDDM142-H-16
BJDDM142-H-17
BJDDM142-I-01
BJDDM142-I-02
BJDDM142-I-05
BJDDM142-I-06
BJDDM142-I-09
BJDDM142-I-10
BJDDM142-I-13
BJDDM142-I-14
BJDDM142-I-17
BJDDM142-I-18
BJDDM142-J-01
BJDDM142-J-02
BJDDM142-J-03
BJDDM142-J-04
BJDDM142-J-07
BJDDM142-J-08
BJDDM142-J-11
BJDDM142-J-12
BJDDM142-J-15
BJDDM142-J-16
BJDDM143-E-15
</t>
  </si>
  <si>
    <t>BJDDM142-D-05
BJDDM142-D-06
BJDDM142-D-09</t>
  </si>
  <si>
    <t>BJDDM141-E-01
BJDDM141-E-02
BJDDM141-J-01
BJDDM141-J-02
BJDDM143-E-01
BJDDM143-E-02
BJDDM143-J-01
BJDDM143-J-02</t>
  </si>
  <si>
    <t xml:space="preserve">BJDDM142-D-10
BJDDM142-D-13
BJDDM142-D-14
BJDDM142-E-03
BJDDM142-E-04
BJDDM142-E-07
BJDDM142-E-08
</t>
  </si>
  <si>
    <t xml:space="preserve">BJDDM142-A-03
BJDDM142-A-04
BJDDM142-A-07
BJDDM142-A-08
BJDDM142-A-11
BJDDM142-A-12
</t>
  </si>
  <si>
    <t xml:space="preserve">BJDDM141-I-01
BJDDM141-I-02
BJDDM141-I-06
BJDDM141-I-14
BJDDM141-J-06
BJDDM141-I-07
BJDDM141-I-15
BJDDM141-J-07
</t>
  </si>
  <si>
    <t xml:space="preserve">BJDDM142-F-16、BJDDM142-F-19
BJDDM142-F-20
BJDDM142-G-03
BJDDM142-G-04
BJDDM142-G-07
BJDDM142-G-08
BJDDM142-G-11
BJDDM142-G-12
BJDDM142-E-11
BJDDM142-E-12
BJDDM142-E-15
BJDDM142-E-16
BJDDM142-E-19
BJDDM142-F-03
BJDDM142-F-04
BJDDM142-F-07
BJDDM142-F-08
BJDDM142-F-11
BJDDM142-F-12
BJDDM142-F-15
BJDDM142-G-15
BJDDM142-G-18
BJDDM142-H-03
BJDDM142-H-04
BJDDM142-H-07
BJDDM142-H-08
BJDDM142-H-11
BJDDM142-H-12
BJDDM142-H-15
BJDDM142-H-18
BJDDM142-I-03
BJDDM142-I-04
BJDDM142-I-07
BJDDM142-I-08
BJDDM142-I-11
BJDDM142-I-12
</t>
  </si>
  <si>
    <t xml:space="preserve">BJDDM142-I-20
BJDDM142-J-05
BJDDM142-J-06
</t>
  </si>
  <si>
    <t xml:space="preserve">BJDDM142-I-15
BJDDM142-I-16
BJDDM142-I-19
</t>
  </si>
  <si>
    <t xml:space="preserve">BJDDM142-J-09
BJDDM142-J-10
BJDDM142-J-13
BJDDM142-J-14
BJDDM142-J-17
BJDDM142-J-18
BJDDM143-A-01
BJDDM143-A-02
BJDDM143-A-03
BJDDM143-A-04
BJDDM143-A-05
BJDDM143-A-06
BJDDM143-A-07
BJDDM143-A-08
BJDDM143-A-09
BJDDM143-A-10
BJDDM143-A-11
BJDDM143-A-12
BJDDM143-A-13
BJDDM143-A-14
BJDDM143-B-01
BJDDM143-B-02
BJDDM143-B-03
BJDDM143-B-04
BJDDM143-B-05
BJDDM143-B-06
BJDDM143-B-07
</t>
  </si>
  <si>
    <t xml:space="preserve">BJDDM143-B-08
BJDDM143-B-09
BJDDM143-B-10
BJDDM143-B-11
BJDDM143-B-12
BJDDM143-B-13
BJDDM143-B-14
BJDDM143-C-01
BJDDM143-C-02
BJDDM143-C-03
BJDDM143-C-04
</t>
  </si>
  <si>
    <t xml:space="preserve">BJDDM142-A-15
BJDDM142-B-03
BJDDM142-B-04
BJDDM142-B-07
BJDDM142-B-08
BJDDM142-B-11
BJDDM142-B-12
BJDDM142-B-15
BJDDM142-B-16
</t>
  </si>
  <si>
    <t xml:space="preserve">BJDDM142-B-19
BJDDM142-B-20
BJDDM142-C-03
BJDDM142-C-04
BJDDM142-C-07
BJDDM142-C-08
BJDDM142-C-11
BJDDM142-C-12
BJDDM142-C-15
BJDDM142-C-16
BJDDM143-C-07
BJDDM143-C-08
BJDDM143-C-09
BJDDM143-C-10
BJDDM143-C-11
BJDDM143-C-12
BJDDM143-C-13
BJDDM143-C-14
BJDDM143-C-15
BJDDM143-D-01
BJDDM143-D-02
BJDDM143-D-03
BJDDM143-D-04
</t>
  </si>
  <si>
    <t>BJDDM143-C-05</t>
  </si>
  <si>
    <t>BJDDM143-C-06</t>
  </si>
  <si>
    <t xml:space="preserve">BJDDM141-A-01
BJDDM141-A-02
BJDDM141-A-03
BJDDM141-A-04
BJDDM141-A-05
BJDDM141-A-06
BJDDM141-A-07
BJDDM141-A-08
BJDDM141-A-09
BJDDM141-A-10
BJDDM141-A-11
BJDDM141-A-12
BJDDM141-A-13
BJDDM141-A-14
BJDDM141-B-01
BJDDM141-B-02
BJDDM141-B-03
BJDDM141-B-04
BJDDM141-B-05
BJDDM141-B-06
BJDDM141-B-07
BJDDM141-B-08
BJDDM141-B-09
BJDDM141-B-10
BJDDM141-B-11
BJDDM141-B-12
BJDDM141-B-13
BJDDM141-B-14
BJDDM141-B-15
BJDDM141-C-01
BJDDM141-C-02
BJDDM141-C-03
BJDDM141-C-04
BJDDM141-C-05
BJDDM141-C-06
BJDDM141-C-07
BJDDM141-C-08
BJDDM141-C-09
BJDDM141-C-10
BJDDM141-C-11
BJDDM141-C-12
BJDDM141-C-13
BJDDM141-C-14
BJDDM141-C-15
BJDDM141-D-01
BJDDM141-D-02
BJDDM141-D-03
BJDDM141-D-04
BJDDM141-D-05
BJDDM141-D-06
BJDDM141-D-07
BJDDM141-D-08
BJDDM141-D-09
BJDDM141-D-10
BJDDM141-D-11
BJDDM143-D-08
BJDDM143-D-09
BJDDM143-D-10
BJDDM143-D-11
BJDDM143-D-12
BJDDM143-D-13
BJDDM143-D-14
BJDDM143-D-15
BJDDM143-E-03
BJDDM143-E-04
BJDDM143-E-05
BJDDM143-D-05
BJDDM143-D-06
BJDDM143-D-07
</t>
  </si>
  <si>
    <t xml:space="preserve">BJDDM141-D-12
BJDDM141-D-13
BJDDM141-D-14
BJDDM141-D-15
BJDDM141-E-03
BJDDM141-E-04
BJDDM141-E-05
BJDDM141-E-06
BJDDM141-E-07
BJDDM141-E-08
BJDDM141-E-09
BJDDM141-E-10
BJDDM141-E-11
BJDDM141-E-12
BJDDM141-E-13
BJDDM141-E-14
BJDDM141-F-01
BJDDM141-F-02
BJDDM141-F-03
BJDDM141-F-04
BJDDM141-F-05
BJDDM141-F-06
BJDDM141-F-07
BJDDM141-F-08
BJDDM141-F-09
BJDDM141-F-10
BJDDM141-F-11
BJDDM141-F-12
BJDDM141-F-13
BJDDM141-F-14
BJDDM141-F-15
BJDDM141-G-01
BJDDM141-G-02
BJDDM141-G-03
BJDDM141-G-04
BJDDM141-G-05
BJDDM141-G-06
BJDDM141-G-07
BJDDM141-G-08
BJDDM141-G-09
BJDDM141-G-10
BJDDM141-G-11
BJDDM141-G-12
BJDDM141-G-13
BJDDM141-G-14
BJDDM141-G-15
BJDDM141-H-01
BJDDM141-H-02
BJDDM141-H-03
BJDDM141-H-04
</t>
  </si>
  <si>
    <t xml:space="preserve">BJDDM143-E-06
BJDDM143-E-07
BJDDM143-E-08
BJDDM143-E-09
BJDDM143-E-10
BJDDM143-E-11
BJDDM143-E-12
BJDDM141-H-05
BJDDM141-H-06
BJDDM141-H-07
BJDDM141-H-08
BJDDM141-H-09
BJDDM141-H-10
BJDDM141-H-11
BJDDM141-H-12
BJDDM141-H-13
BJDDM141-H-14
BJDDM141-H-15
BJDDM142-C-19
BJDDM142-C-20
BJDDM142-D-17
BJDDM142-D-18
</t>
  </si>
  <si>
    <t xml:space="preserve">BJDDM143-E-13
BJDDM143-E-14
BJDDM143-F-01
BJDDM143-F-02
BJDDM143-F-03
BJDDM143-F-04
BJDDM143-F-05
BJDDM143-F-06
BJDDM143-F-07
BJDDM143-F-08
BJDDM143-F-09
BJDDM143-F-10
BJDDM143-F-11
BJDDM143-F-12
BJDDM143-F-13
BJDDM143-F-14
</t>
  </si>
  <si>
    <t>BJDDM143-B-15</t>
  </si>
  <si>
    <t>BJDDM143-G-01
BJDDM143-G-02
BJDDM143-G-03
BJDDM143-G-04
BJDDM143-G-05
BJDDM143-G-06
BJDDM143-G-07
BJDDM143-G-08
BJDDM143-G-09
BJDDM143-G-10
BJDDM143-G-11
BJDDM143-G-12
BJDDM143-F-15</t>
  </si>
  <si>
    <t xml:space="preserve">BJDDM143-G-13
BJDDM143-G-14
BJDDM143-G-15
BJDDM143-H-01
BJDDM143-H-02
BJDDM143-H-03
BJDDM143-H-04
BJDDM143-H-05
BJDDM143-H-06
BJDDM143-H-07
BJDDM143-H-08
BJDDM143-H-09
BJDDM143-H-10
BJDDM143-H-11
BJDDM143-H-12
BJDDM143-H-13
BJDDM143-H-14
BJDDM143-H-15
BJDDM143-I-01
BJDDM143-I-02
BJDDM143-I-03
BJDDM143-I-04
BJDDM143-I-05
BJDDM143-I-06
BJDDM143-I-07
BJDDM143-I-08
BJDDM143-I-09
BJDDM143-I-10
BJDDM143-I-11
BJDDM143-I-12
BJDDM143-I-13
BJDDM143-I-14
BJDDM143-I-15
BJDDM143-J-03
BJDDM143-J-04
BJDDM143-J-05
BJDDM143-J-06
BJDDM143-J-07
BJDDM143-J-08
BJDDM143-J-09
BJDDM143-J-10
BJDDM143-J-11
BJDDM143-J-12
BJDDM143-J-13
BJDDM143-J-14
BJDDM143-J-15
</t>
  </si>
  <si>
    <t xml:space="preserve">BJDDM143-G-01
BJDDM143-G-02
BJDDM143-G-03
BJDDM143-G-04
BJDDM143-G-05
BJDDM143-G-06
BJDDM143-G-07
BJDDM143-G-08
BJDDM143-G-09
BJDDM143-G-10
BJDDM143-G-11
BJDDM143-G-12
</t>
  </si>
  <si>
    <t>BJDDM141-J-03
BJDDM141-J-04
BJDDM141-J-05</t>
  </si>
  <si>
    <t>BJDDM141-I-03
BJDDM141-I-04
BJDDM141-I-08
BJDDM141-I-09
BJDDM141-I-10
BJDDM141-I-11
BJDDM141-I-12
BJDDM141-I-13
BJDDM141-J-08
BJDDM141-J-09
BJDDM141-J-10
BJDDM141-J-11
BJDDM141-J-12
BJDDM141-J-13
BJDDM141-J-14
BJDDM141-J-15</t>
  </si>
  <si>
    <t>BJDDM141-I-05</t>
  </si>
  <si>
    <t>BJDDM141-I-04
BJDDM141-J-11
BJDDM141-J-13
BJDDM141-J-14
BJDDM141-J-15</t>
  </si>
  <si>
    <t>BJDDM141-I-03
BJDDM141-J-03
BJDDM141-J-04
BJDDM141-J-05</t>
  </si>
  <si>
    <t>BJDDM141-J-12</t>
  </si>
  <si>
    <t>BJDDM141-H-08</t>
  </si>
  <si>
    <t>182115IDC00608</t>
  </si>
  <si>
    <t>窦店五期</t>
  </si>
  <si>
    <t xml:space="preserve">BJDDM331-G-01
BJDDM331-G-02
BJDDM331-G-03
BJDDM331-G-04
BJDDM331-G-05
BJDDM331-G-06
BJDDM331-G-07
BJDDM331-G-08
BJDDM331-G-09
BJDDM331-G-10
BJDDM331-G-11
BJDDM331-G-12
BJDDM331-G-13
BJDDM331-G-14
BJDDM331-G-15
BJDDM331-H-01
BJDDM331-H-02
BJDDM331-H-03
BJDDM331-H-04
BJDDM331-H-05
BJDDM331-H-06
BJDDM331-H-07
BJDDM331-H-08
BJDDM331-H-09
BJDDM331-H-10
</t>
  </si>
  <si>
    <t xml:space="preserve">BJDDM331-H-11
BJDDM331-H-12
BJDDM331-H-13
BJDDM331-H-14
BJDDM331-H-15
BJDDM331-I-03
BJDDM331-I-04
BJDDM331-I-05
BJDDM332-A-01
BJDDM332-A-02
BJDDM332-A-03
BJDDM332-A-04
BJDDM332-A-05
BJDDM332-A-06
BJDDM332-A-07
BJDDM332-A-08
BJDDM332-A-09
BJDDM332-A-10
BJDDM332-A-11
BJDDM332-A-12
BJDDM332-A-13
BJDDM332-A-14
BJDDM332-A-15
BJDDM332-A-16
BJDDM332-B-01
BJDDM332-B-02
BJDDM332-B-03
BJDDM332-B-04
BJDDM332-B-05
BJDDM332-B-06
BJDDM332-B-07
BJDDM332-B-08
BJDDM332-B-09
BJDDM332-B-10
BJDDM332-B-11
BJDDM332-B-12
BJDDM332-B-13
BJDDM332-B-14
BJDDM332-B-15
BJDDM332-B-16
BJDDM332-B-17
BJDDM332-B-18
BJDDM332-B-19
BJDDM332-B-20
</t>
  </si>
  <si>
    <t xml:space="preserve">BJDDM332-C-01
BJDDM332-C-02
BJDDM332-C-03
BJDDM332-C-04
BJDDM332-C-05
BJDDM332-C-06
BJDDM332-C-07
BJDDM332-C-08
BJDDM332-C-09
BJDDM332-C-10
BJDDM332-C-11
BJDDM332-C-12
BJDDM332-C-13
BJDDM332-C-14
BJDDM332-C-15
BJDDM332-C-16
BJDDM332-C-17
BJDDM332-C-18
BJDDM332-C-19
BJDDM332-C-20
BJDDM332-D-01
BJDDM332-D-02
BJDDM332-D-03
BJDDM332-D-04
BJDDM332-D-05
BJDDM332-D-06
BJDDM332-D-07
BJDDM332-D-08
BJDDM332-D-09
BJDDM332-D-10
BJDDM332-D-11
BJDDM332-D-12
BJDDM332-D-13
BJDDM332-D-14
BJDDM332-D-15
BJDDM332-D-16
BJDDM332-E-02
BJDDM332-E-03
BJDDM332-E-04
BJDDM332-E-05
BJDDM332-E-06
BJDDM332-E-07
BJDDM332-E-08
BJDDM332-E-09
BJDDM332-E-10
BJDDM332-E-11
BJDDM332-E-12
BJDDM332-E-13
BJDDM332-E-14
BJDDM332-E-15
BJDDM332-E-16
BJDDM332-E-17
BJDDM332-E-18
</t>
  </si>
  <si>
    <t xml:space="preserve">BJDDM331-C-05
BJDDM331-D-05
BJDDM331-E-02
BJDDM331-E-03
BJDDM331-E-15
BJDDM331-F-02
BJDDM331-I-01
BJDDM331-I-02
BJDDM332-D-17
BJDDM332-D-18
BJDDM332-E-01
BJDDM332-G-17
BJDDM332-G-18
BJDDM333-D-13
BJDDM333-D-14
BJDDM333-E-01
BJDDM333-J-13
BJDDM333-J-14
</t>
  </si>
  <si>
    <t xml:space="preserve">BJDDM332-E-19
BJDDM332-F-01
BJDDM332-F-02
BJDDM332-F-03
BJDDM332-F-04
BJDDM332-F-05
BJDDM332-F-06
BJDDM332-F-07
BJDDM332-F-08
BJDDM332-F-09
BJDDM332-F-10
BJDDM332-F-11
BJDDM332-F-12
BJDDM332-F-13
BJDDM332-F-14
BJDDM332-F-15
BJDDM332-F-16
BJDDM332-F-17
BJDDM332-F-18
BJDDM332-F-19
BJDDM332-G-01
BJDDM332-G-02
BJDDM332-G-03
BJDDM332-G-04
BJDDM332-G-05
BJDDM332-G-06
BJDDM332-G-07
BJDDM332-G-08
BJDDM332-G-09
BJDDM332-G-10
BJDDM332-G-11
BJDDM332-G-12
BJDDM332-G-13
BJDDM332-G-14
BJDDM332-G-15
BJDDM332-G-16
BJDDM332-H-01
BJDDM332-H-02
BJDDM332-H-03
BJDDM332-H-04
BJDDM332-H-05
BJDDM332-H-06
BJDDM332-H-07
BJDDM332-H-08
BJDDM332-H-09
BJDDM332-H-10
BJDDM332-H-11
BJDDM332-H-12
BJDDM332-H-13
BJDDM332-H-14
BJDDM332-H-15
BJDDM332-H-16
BJDDM332-H-17
BJDDM332-H-18
BJDDM332-H-19
BJDDM332-H-20
BJDDM332-I-01
BJDDM332-I-02
BJDDM332-I-03
BJDDM332-I-04
BJDDM332-I-05
BJDDM332-I-06
BJDDM332-I-07
BJDDM332-I-08
BJDDM332-I-09
BJDDM332-I-10
BJDDM332-I-11
BJDDM332-I-12
BJDDM332-I-13
BJDDM332-I-14
BJDDM332-I-15
BJDDM332-I-16
BJDDM332-I-17
BJDDM332-I-18
BJDDM332-I-19
BJDDM332-I-20
BJDDM332-J-01
BJDDM332-J-02
BJDDM332-J-03
BJDDM332-J-04
BJDDM332-J-05
BJDDM332-J-06
BJDDM332-J-07
BJDDM332-J-08
BJDDM332-J-09
BJDDM332-J-10
BJDDM332-J-11
BJDDM332-J-12
BJDDM332-J-13
BJDDM332-J-14
BJDDM332-J-15
BJDDM332-J-16
BJDDM333-A-01
BJDDM333-A-02
BJDDM333-A-03
BJDDM333-A-04
BJDDM333-A-05
BJDDM333-A-06
BJDDM333-A-07
</t>
  </si>
  <si>
    <t xml:space="preserve">BJDDM333-A-08
BJDDM333-A-09
BJDDM333-A-10
BJDDM333-A-11
BJDDM333-A-12
BJDDM333-A-13
BJDDM333-A-14
BJDDM333-B-01
BJDDM333-B-02
BJDDM333-B-03
BJDDM333-B-04
BJDDM333-B-05
BJDDM333-B-06
BJDDM333-B-07
BJDDM333-B-08
BJDDM333-B-09
BJDDM333-B-10
BJDDM333-B-11
BJDDM333-B-12
BJDDM333-B-13
BJDDM333-B-14
BJDDM333-C-01
BJDDM333-C-02
BJDDM333-C-03
BJDDM333-C-04
BJDDM333-C-05
BJDDM333-C-06
BJDDM333-C-07
BJDDM333-C-08
BJDDM333-C-09
BJDDM333-C-10
BJDDM333-C-11
BJDDM333-C-12
BJDDM333-C-13
BJDDM333-C-14
BJDDM333-D-01
BJDDM333-D-02
</t>
  </si>
  <si>
    <t xml:space="preserve">BJDDM333-D-03
BJDDM333-D-04
BJDDM333-D-05
BJDDM333-D-06
BJDDM333-D-07
BJDDM333-D-08
BJDDM333-D-09
BJDDM333-D-10
BJDDM333-D-11
BJDDM333-D-12
BJDDM333-E-02
BJDDM333-E-03
BJDDM333-E-04
BJDDM333-E-05
BJDDM333-E-06
BJDDM333-E-07
BJDDM333-E-08
BJDDM333-E-09
BJDDM333-E-10
BJDDM333-E-11
BJDDM333-E-12
BJDDM333-E-13
BJDDM333-F-01
BJDDM333-F-02
BJDDM333-F-03
BJDDM333-F-04
BJDDM333-F-05
BJDDM333-F-06
BJDDM333-F-07
BJDDM333-F-08
BJDDM333-F-09
BJDDM333-F-10
BJDDM333-F-11
BJDDM333-F-12
BJDDM333-F-13
BJDDM333-G-01
BJDDM333-G-02
BJDDM333-G-03
BJDDM333-G-04
BJDDM333-G-05
BJDDM333-G-06
BJDDM333-G-07
BJDDM333-G-08
</t>
  </si>
  <si>
    <t xml:space="preserve">BJDDM331-I-07
BJDDM331-I-08
BJDDM331-I-11
BJDDM331-I-12
BJDDM333-G-09
BJDDM333-G-10
BJDDM333-G-13
BJDDM333-G-14
BJDDM333-H-01
BJDDM333-H-02
BJDDM333-H-05
BJDDM333-H-06
BJDDM333-H-09
BJDDM333-H-10
BJDDM333-H-13
BJDDM333-H-14
BJDDM333-I-01
BJDDM333-I-02
BJDDM333-I-05
BJDDM333-I-06
BJDDM333-I-09
BJDDM333-I-10
BJDDM333-I-13
BJDDM333-I-14
BJDDM333-J-01
BJDDM333-J-02
BJDDM333-J-05
BJDDM333-J-06
BJDDM331-I-06
BJDDM331-I-09
BJDDM331-I-10
BJDDM331-I-13
BJDDM331-I-14
BJDDM333-G-11
BJDDM333-G-12
BJDDM333-H-03
BJDDM333-H-04
BJDDM333-H-07
BJDDM333-H-08
BJDDM333-H-11
BJDDM333-H-12
BJDDM333-I-03
BJDDM333-I-04
BJDDM333-I-07
BJDDM333-I-08
BJDDM333-I-11
BJDDM333-I-12
BJDDM333-J-03
BJDDM333-J-04
BJDDM333-J-07
</t>
  </si>
  <si>
    <t xml:space="preserve">BJDDM331-C-03
BJDDM331-C-04
BJDDM331-D-03
BJDDM331-D-04
</t>
  </si>
  <si>
    <t xml:space="preserve">BJDDM331-A-02
BJDDM331-A-04
BJDDM331-A-06
BJDDM331-A-08
BJDDM331-B-02
BJDDM331-B-04
BJDDM331-B-06
BJDDM331-B-08
</t>
  </si>
  <si>
    <t xml:space="preserve">测试电转正式电，BJDDM321-D-01
BJDDM321-D-14
BJDDM321-D-15
BJDDM321-H-14
BJDDM321-H-15
BJDDM322-D-17
BJDDM322-D-18
BJDDM322-E-01
BJDDM322-G-17
BJDDM322-G-18
</t>
  </si>
  <si>
    <t xml:space="preserve">BJDDM321-A-01
BJDDM321-A-02
BJDDM321-A-03
BJDDM321-A-04
BJDDM321-A-05
BJDDM321-A-06
BJDDM321-A-07
BJDDM321-A-08
BJDDM321-A-09
BJDDM321-A-10
BJDDM321-A-11
BJDDM321-A-12
BJDDM333-J-08
BJDDM333-J-09
BJDDM333-J-10
BJDDM333-J-11
BJDDM333-J-12
</t>
  </si>
  <si>
    <t xml:space="preserve">测试电转正式电，加测试电日期：2021年6月28日。测试时间2周，正式加电时间为2021年7月12日，BJDDM323-D-13
BJDDM323-D-14
BJDDM323-E-01
BJDDM323-H-13
BJDDM323-H-14
</t>
  </si>
  <si>
    <t xml:space="preserve">BJDDM321-B-01
BJDDM321-B-02
BJDDM321-B-03
BJDDM321-B-04
BJDDM321-B-05
BJDDM321-B-06
BJDDM321-B-07
BJDDM321-B-08
BJDDM321-B-09
BJDDM321-B-10
BJDDM321-B-11
BJDDM321-B-12
BJDDM321-B-13
BJDDM321-B-14
BJDDM321-B-15
BJDDM321-C-01
BJDDM321-C-02
BJDDM321-C-03
BJDDM321-C-04
BJDDM321-C-05
BJDDM321-C-06
BJDDM321-C-07
BJDDM321-C-08
BJDDM321-C-09
BJDDM321-C-10
BJDDM321-C-11
</t>
  </si>
  <si>
    <t xml:space="preserve">BJDDM321-E-01
BJDDM321-E-02
BJDDM321-E-03
BJDDM321-E-04
BJDDM321-E-05
BJDDM321-E-06
BJDDM321-E-07
BJDDM321-E-08
BJDDM321-E-09
BJDDM321-E-10
BJDDM321-E-11
BJDDM321-E-12
BJDDM321-E-13
BJDDM321-E-14
BJDDM321-F-01
BJDDM321-F-02
BJDDM321-F-03
BJDDM321-F-04
BJDDM321-F-05
BJDDM321-F-06
BJDDM321-F-07
BJDDM321-F-08
BJDDM321-F-09
BJDDM321-F-10
BJDDM321-F-11
BJDDM321-F-12
BJDDM321-F-13
BJDDM321-F-14
BJDDM321-G-01
BJDDM321-G-02
BJDDM321-G-03
BJDDM321-G-04
BJDDM321-G-05
BJDDM321-G-06
BJDDM321-G-07
BJDDM321-G-08
BJDDM321-G-09
BJDDM321-G-10
BJDDM321-G-11
BJDDM321-G-12
BJDDM321-G-13
BJDDM321-G-14
BJDDM321-G-15
BJDDM321-H-01
BJDDM321-H-02
BJDDM321-H-03
BJDDM321-H-04
BJDDM321-H-05
BJDDM321-H-06
BJDDM321-H-07
BJDDM321-H-08
BJDDM321-H-09
BJDDM321-H-10
BJDDM321-H-11
BJDDM321-H-12
BJDDM321-H-13
BJDDM321-I-01
BJDDM321-I-02
BJDDM321-I-03
BJDDM321-I-04
BJDDM321-I-05
BJDDM321-I-06
BJDDM321-I-07
BJDDM321-I-08
BJDDM321-I-09
BJDDM321-I-10
BJDDM321-I-11
BJDDM321-I-12
BJDDM321-I-13
BJDDM321-I-14
BJDDM321-I-15
BJDDM321-J-01
BJDDM321-J-02
BJDDM321-J-03
BJDDM321-J-04
BJDDM321-J-05
BJDDM321-J-06
BJDDM321-J-07
BJDDM321-J-08
BJDDM321-J-09
BJDDM321-J-10
BJDDM321-J-11
</t>
  </si>
  <si>
    <t xml:space="preserve">BJDDM321-A-13
BJDDM321-A-14
BJDDM321-A-15
BJDDM321-C-12
BJDDM321-C-13
BJDDM321-C-14
BJDDM321-C-15
BJDDM321-D-06
BJDDM321-D-07
BJDDM321-D-08
BJDDM321-D-09
BJDDM321-D-10
BJDDM321-D-11
BJDDM321-D-12
BJDDM321-D-13
BJDDM321-J-12
BJDDM321-J-13
BJDDM321-J-14
BJDDM321-J-15
BJDDM322-A-01
BJDDM322-A-02
BJDDM322-A-03
BJDDM322-A-04
BJDDM322-A-05
BJDDM322-A-06
BJDDM322-A-07
BJDDM322-A-08
BJDDM322-A-09
BJDDM322-A-10
BJDDM322-A-11
BJDDM322-A-12
BJDDM322-A-13
BJDDM322-A-14
BJDDM322-A-15
BJDDM322-A-16
</t>
  </si>
  <si>
    <t xml:space="preserve">BJDDM322-B-01
BJDDM322-B-02
BJDDM322-B-03
BJDDM322-B-04
BJDDM322-B-05
BJDDM322-B-06
BJDDM322-B-07
BJDDM322-B-08
BJDDM322-B-09
BJDDM322-B-10
BJDDM322-B-11
BJDDM322-B-12
BJDDM322-B-13
BJDDM322-B-14
BJDDM322-B-15
BJDDM322-B-16
BJDDM322-B-17
BJDDM322-B-18
BJDDM322-B-19
BJDDM322-B-20
BJDDM322-C-01
BJDDM322-C-02
BJDDM322-C-03
BJDDM322-C-04
BJDDM322-C-05
BJDDM322-C-06
BJDDM322-C-07
BJDDM322-C-08
BJDDM322-C-09
BJDDM322-C-10
BJDDM322-C-11
BJDDM322-C-12
BJDDM322-C-13
BJDDM322-C-14
BJDDM322-C-15
BJDDM322-C-16
BJDDM322-C-17
BJDDM322-C-18
BJDDM322-C-19
BJDDM322-C-20
BJDDM322-D-01
BJDDM322-D-02
BJDDM322-D-03
BJDDM322-D-04
BJDDM322-D-05
BJDDM322-D-06
BJDDM322-D-07
BJDDM322-D-08
BJDDM322-D-09
BJDDM322-D-10
BJDDM322-D-11
BJDDM322-D-12
BJDDM322-D-13
BJDDM322-D-14
</t>
  </si>
  <si>
    <t xml:space="preserve">BJDDM321-D-02
BJDDM321-D-03
BJDDM321-D-04
BJDDM321-D-05
</t>
  </si>
  <si>
    <t xml:space="preserve">BJDDM322-D-15
BJDDM322-D-16
BJDDM322-E-02
BJDDM322-E-03
BJDDM322-E-04
</t>
  </si>
  <si>
    <t xml:space="preserve">BJDDM322-E-05
BJDDM322-E-06
BJDDM322-E-07
</t>
  </si>
  <si>
    <t xml:space="preserve">BJDDM322-E-08
BJDDM322-E-09
BJDDM322-E-10
BJDDM322-E-11
BJDDM322-E-12
</t>
  </si>
  <si>
    <t xml:space="preserve">BJDDM322-E-13
BJDDM322-E-14
BJDDM322-E-15
BJDDM322-E-16
BJDDM322-E-17
BJDDM322-E-18
BJDDM322-E-19
</t>
  </si>
  <si>
    <t xml:space="preserve">BJDDM322-F-01
BJDDM322-F-02
BJDDM322-F-03
BJDDM322-F-04
BJDDM322-F-05
BJDDM322-F-06
BJDDM322-F-07
BJDDM322-F-08
BJDDM322-F-09
BJDDM322-F-10
BJDDM322-F-11
BJDDM322-F-12
BJDDM322-F-13
BJDDM322-F-14
BJDDM322-F-15
BJDDM322-F-16
BJDDM322-F-17
BJDDM322-F-18
</t>
  </si>
  <si>
    <t xml:space="preserve">BJDDM322-G-01
BJDDM322-G-02
BJDDM322-G-03
BJDDM322-G-04
BJDDM322-G-05
BJDDM322-G-06
BJDDM322-G-07
BJDDM322-G-08
BJDDM322-G-09
BJDDM322-G-10
BJDDM322-G-11
BJDDM322-G-12
BJDDM322-G-13
BJDDM322-G-14
BJDDM322-G-15
BJDDM322-G-16
BJDDM322-H-01
BJDDM322-H-02
BJDDM322-H-03
BJDDM322-H-04
BJDDM322-H-05
BJDDM322-H-06
BJDDM322-H-07
BJDDM322-H-08
BJDDM322-H-09
BJDDM322-H-10
BJDDM322-H-11
BJDDM322-H-12
BJDDM322-H-13
BJDDM322-H-14
BJDDM322-H-15
BJDDM322-H-16
BJDDM322-H-17
BJDDM322-H-18
BJDDM322-H-19
BJDDM322-H-20
BJDDM322-I-01
BJDDM322-I-02
BJDDM322-I-03
BJDDM322-I-04
BJDDM322-I-05
BJDDM322-I-06
BJDDM322-I-07
BJDDM322-I-08
BJDDM322-I-09
BJDDM322-I-10
BJDDM322-I-11
BJDDM322-I-12
BJDDM322-I-13
BJDDM322-I-14
BJDDM322-I-15
BJDDM322-I-16
BJDDM322-I-17
BJDDM322-I-18
BJDDM322-I-19
BJDDM322-I-20
BJDDM322-J-01
BJDDM322-J-02
BJDDM322-J-03
BJDDM322-J-04
BJDDM322-J-05
BJDDM322-J-06
BJDDM322-J-07
BJDDM322-J-08
BJDDM322-J-09
BJDDM322-J-10
BJDDM322-J-11
BJDDM322-J-12
BJDDM322-J-13
BJDDM322-J-14
BJDDM322-J-15
BJDDM322-J-16
</t>
  </si>
  <si>
    <t xml:space="preserve">BJDDM323-A-01
BJDDM323-A-02
BJDDM323-A-03
BJDDM323-A-05
BJDDM323-A-06
BJDDM323-A-07
BJDDM323-A-08
BJDDM323-A-09
BJDDM323-A-10
BJDDM323-A-11
BJDDM323-A-12
BJDDM323-A-13
BJDDM323-A-14
BJDDM323-B-01
BJDDM323-B-02
BJDDM323-B-03
BJDDM323-B-04
BJDDM323-B-05
BJDDM323-B-06
BJDDM323-B-07
BJDDM323-B-08
BJDDM323-B-09
BJDDM323-B-10
</t>
  </si>
  <si>
    <t xml:space="preserve">BJDDM323-C-09
BJDDM323-C-10
BJDDM323-C-11
BJDDM323-C-12
BJDDM323-C-13
BJDDM323-C-14
BJDDM323-D-01
BJDDM323-D-02
BJDDM323-D-03
BJDDM323-D-04
BJDDM323-D-05
BJDDM323-D-06
BJDDM323-D-07
</t>
  </si>
  <si>
    <t xml:space="preserve">BJDDM322-F-19
BJDDM323-C-01
BJDDM323-C-02
BJDDM323-C-03
BJDDM323-C-04
BJDDM323-C-05
BJDDM323-C-06
BJDDM323-C-07
</t>
  </si>
  <si>
    <t xml:space="preserve">BJDDM323-A-04
BJDDM323-B-11
BJDDM323-B-12
BJDDM323-B-13
BJDDM323-B-14
BJDDM323-C-08
</t>
  </si>
  <si>
    <t xml:space="preserve">BJDDM323-F-01
BJDDM323-F-02
BJDDM323-F-03
BJDDM323-F-04
BJDDM323-F-05
BJDDM323-F-06
BJDDM323-F-07
BJDDM323-F-08
BJDDM323-F-09
BJDDM323-F-10
BJDDM323-F-11
BJDDM323-F-12
BJDDM323-F-13
BJDDM323-G-01
BJDDM323-G-02
BJDDM323-G-03
BJDDM323-G-04
BJDDM323-G-05
BJDDM323-G-06
BJDDM323-G-07
BJDDM323-G-08
</t>
  </si>
  <si>
    <t xml:space="preserve">BJDDM323-D-08
BJDDM323-D-09
BJDDM323-D-10
BJDDM323-D-11
BJDDM323-D-12
BJDDM323-E-02
BJDDM323-E-03
BJDDM323-E-04
BJDDM323-E-05
BJDDM323-E-06
BJDDM323-E-07
BJDDM323-E-08
BJDDM323-E-09
</t>
  </si>
  <si>
    <t xml:space="preserve">BJDDM323-J-01
BJDDM323-J-02
BJDDM323-J-03
BJDDM323-J-04
BJDDM323-J-05
BJDDM323-J-06
BJDDM323-J-07
BJDDM323-J-08
BJDDM323-J-09
BJDDM323-J-10
BJDDM323-J-11
BJDDM323-J-12
BJDDM323-J-13
BJDDM323-J-14
</t>
  </si>
  <si>
    <t xml:space="preserve">BJDDM323-E-10
BJDDM323-E-11
BJDDM323-E-12
BJDDM323-E-13
BJDDM323-G-09
BJDDM323-G-10
BJDDM323-G-11
BJDDM323-G-12
BJDDM323-G-13
BJDDM323-G-14
BJDDM323-H-01
BJDDM323-H-02
BJDDM323-H-03
BJDDM323-H-04
BJDDM323-H-05
BJDDM323-H-06
BJDDM323-H-07
BJDDM323-H-08
BJDDM323-H-09
BJDDM323-H-10
BJDDM323-H-11
BJDDM323-H-12
BJDDM323-I-01
BJDDM323-I-02
BJDDM323-I-03
BJDDM323-I-04
BJDDM323-I-05
BJDDM323-I-06
BJDDM323-I-07
BJDDM323-I-08
BJDDM323-I-09
BJDDM323-I-10
BJDDM323-I-11
BJDDM323-I-12
BJDDM323-I-13
BJDDM323-I-14
</t>
  </si>
  <si>
    <t>182115IDC00609</t>
  </si>
  <si>
    <t>窦店五期二批</t>
  </si>
  <si>
    <t>BJDDM341-F-01
BJDDM341-F-03
BJDDM341-F-04
BJDDM341-G-01
BJDDM341-G-03
BJDDM341-G-04
BJDDM341-G-05
BJDDM341-G-07
BJDDM341-G-08
BJDDM341-G-09
BJDDM341-G-11
BJDDM341-G-12
BJDDM341-G-13
BJDDM341-G-15
BJDDM341-H-01
BJDDM341-H-03
BJDDM341-H-04
BJDDM341-H-05
BJDDM341-H-07
BJDDM341-H-08
BJDDM341-H-09
BJDDM341-H-11
BJDDM341-H-12
BJDDM341-H-13
BJDDM341-H-15
BJDDM341-I-01
BJDDM341-I-03
BJDDM341-I-04
BJDDM341-I-06
BJDDM341-I-07
BJDDM341-I-08
BJDDM341-I-10
BJDDM341-I-11
BJDDM341-I-12
BJDDM341-I-14
BJDDM342-A-01
BJDDM342-A-02
BJDDM342-A-03
BJDDM342-A-04
BJDDM342-A-05
BJDDM342-A-06
BJDDM342-A-07
BJDDM342-A-08
BJDDM342-A-09
BJDDM342-A-10
BJDDM342-A-11
BJDDM342-A-12
BJDDM342-A-13
BJDDM342-A-14
BJDDM342-A-15
BJDDM342-A-16
BJDDM342-B-01
BJDDM342-B-02
BJDDM342-B-03
BJDDM342-B-04
BJDDM342-H-01
BJDDM342-H-02
BJDDM342-H-03
BJDDM342-H-04
BJDDM342-H-05
BJDDM342-H-06
BJDDM342-H-07
BJDDM342-H-08
BJDDM342-H-09
BJDDM342-H-10
BJDDM343-A-01
BJDDM343-A-02
BJDDM343-A-03
BJDDM343-A-04
BJDDM343-A-05
BJDDM343-A-06
BJDDM343-A-07
BJDDM343-A-08
BJDDM343-A-09
BJDDM343-A-10
BJDDM343-A-11
BJDDM343-A-12
BJDDM343-A-13
BJDDM343-A-14
BJDDM343-B-01
BJDDM343-B-02
BJDDM343-B-03
BJDDM343-B-04
BJDDM343-B-05
BJDDM343-B-06
BJDDM343-B-07
BJDDM343-B-08
BJDDM343-B-09
BJDDM343-B-10
BJDDM343-B-11
BJDDM343-B-12
BJDDM343-B-13
BJDDM343-B-14
BJDDM343-B-15
BJDDM343-C-01
BJDDM343-C-02
BJDDM343-C-03
BJDDM343-C-04
BJDDM343-C-05
BJDDM343-C-06
BJDDM343-C-07
BJDDM343-C-08
BJDDM343-C-09
BJDDM343-C-10
BJDDM343-C-11
BJDDM343-C-12
BJDDM343-C-13
BJDDM343-C-14
BJDDM343-C-15
BJDDM343-D-01
BJDDM343-D-02
BJDDM343-D-03
BJDDM343-D-04
BJDDM343-D-05
BJDDM343-D-06
BJDDM343-D-07
BJDDM343-D-08
BJDDM343-D-09
BJDDM343-D-10
BJDDM343-D-11
BJDDM343-D-12
BJDDM343-D-13
BJDDM343-D-14
BJDDM343-D-15
BJDDM343-E-02
BJDDM343-E-03
BJDDM343-E-04
BJDDM343-E-05
BJDDM343-E-06
BJDDM343-E-07
BJDDM343-E-08
BJDDM343-E-09
BJDDM343-E-10
BJDDM343-E-11
BJDDM343-E-12
BJDDM343-F-01
BJDDM343-F-02
BJDDM343-F-03
BJDDM343-F-04
BJDDM343-F-05
BJDDM343-F-06
BJDDM343-F-07
BJDDM343-F-08
BJDDM343-F-09
BJDDM343-F-10
BJDDM343-F-11
BJDDM343-F-12
BJDDM343-G-01
BJDDM343-G-02
BJDDM343-G-03
BJDDM343-G-04
BJDDM343-G-05
BJDDM343-G-06
BJDDM343-G-07
BJDDM343-G-08
BJDDM343-G-09
BJDDM343-G-10
BJDDM343-G-11
BJDDM343-G-12
BJDDM343-G-13
BJDDM343-G-14
BJDDM343-G-15
BJDDM343-H-01
BJDDM343-H-02</t>
  </si>
  <si>
    <t>BJDDM341-E-01
BJDDM341-F-13
BJDDM341-F-14
BJDDM342-D-17
BJDDM342-D-18
BJDDM342-E-01
BJDDM342-G-17
BJDDM342-G-18
BJDDM343-E-01
BJDDM343-E-13
BJDDM343-E-14
BJDDM343-F-13
BJDDM343-F-14</t>
  </si>
  <si>
    <t>BJDDM341-F-02
BJDDM341-G-02
BJDDM341-G-06
BJDDM341-G-10
BJDDM341-G-14
BJDDM341-H-02
BJDDM341-H-06
BJDDM341-H-10
BJDDM341-H-14
BJDDM341-I-02
BJDDM341-I-05
BJDDM341-I-09
BJDDM341-I-13</t>
  </si>
  <si>
    <t>BJDDM342-H-11
BJDDM342-H-12
BJDDM342-H-13
BJDDM342-H-15
BJDDM342-H-16
BJDDM342-H-17
BJDDM342-H-19
BJDDM342-H-20
BJDDM342-I-01
BJDDM342-I-03
BJDDM342-I-04
BJDDM342-I-05
BJDDM342-H-14
BJDDM342-H-18
BJDDM342-I-02
BJDDM342-I-06</t>
  </si>
  <si>
    <t>BJDDM341-F-05
BJDDM341-F-07
BJDDM341-F-08
BJDDM341-F-09
BJDDM341-F-11
BJDDM341-F-12
BJDDM342-B-05
BJDDM342-B-07
BJDDM342-B-08
BJDDM342-B-09
BJDDM342-B-11
BJDDM342-B-12
BJDDM342-B-13
BJDDM342-B-15
BJDDM342-B-16
BJDDM342-B-17
BJDDM342-B-19
BJDDM342-B-20
BJDDM342-C-01
BJDDM342-C-03
BJDDM342-C-04
BJDDM342-C-05
BJDDM342-C-07
BJDDM342-C-08
BJDDM342-C-09
BJDDM342-C-11
BJDDM342-C-12
BJDDM342-C-13
BJDDM342-C-15
BJDDM342-C-16
BJDDM342-C-17
BJDDM342-C-19
BJDDM342-C-20
BJDDM342-D-01
BJDDM342-D-03
BJDDM342-D-04
BJDDM342-D-05
BJDDM342-D-07
BJDDM342-D-08
BJDDM342-D-09
BJDDM342-D-11
BJDDM341-F-06
BJDDM341-F-10
BJDDM342-B-06
BJDDM342-B-10
BJDDM342-B-14
BJDDM342-B-18
BJDDM342-C-02
BJDDM342-C-06
BJDDM342-C-10
BJDDM342-C-14
BJDDM342-C-18
BJDDM342-D-02
BJDDM342-D-06
BJDDM342-D-10</t>
  </si>
  <si>
    <t>BJDD-云托管</t>
  </si>
  <si>
    <t>BJDDM343-J-01
BJDDM343-J-02
BJDDM343-J-03
BJDDM343-J-04</t>
  </si>
  <si>
    <t>BJDDM342-D-12
BJDDM342-D-13
BJDDM342-D-14</t>
  </si>
  <si>
    <t>BJDDM342-D-15
BJDDM342-D-16
BJDDM342-E-02
BJDDM342-E-03
BJDDM342-E-04
BJDDM342-E-05
BJDDM342-E-06
BJDDM342-E-07
BJDDM342-E-08
BJDDM342-E-09
BJDDM342-E-10
BJDDM342-E-11
BJDDM342-E-12
BJDDM342-E-13
BJDDM342-E-14
BJDDM342-E-15
BJDDM342-E-16
BJDDM342-E-17
BJDDM342-E-18
BJDDM342-E-19
BJDDM342-F-01
BJDDM342-F-02
BJDDM342-F-03
BJDDM342-F-04
BJDDM342-F-05
BJDDM342-F-06
BJDDM342-F-07
BJDDM342-F-08
BJDDM342-F-09
BJDDM342-F-10
BJDDM342-F-11
BJDDM342-F-12
BJDDM342-F-13
BJDDM342-F-14
BJDDM342-F-15
BJDDM342-F-16
BJDDM342-F-17
BJDDM342-F-18
BJDDM342-F-19
BJDDM342-G-01
BJDDM342-G-02
BJDDM342-G-03
BJDDM342-G-04</t>
  </si>
  <si>
    <t>BJDDM342-J-01
BJDDM342-J-02
BJDDM342-J-03
BJDDM342-J-04
BJDDM342-J-05
BJDDM342-J-06
BJDDM342-J-07
BJDDM342-J-08
BJDDM342-J-09
BJDDM342-J-10
BJDDM342-J-11
BJDDM342-J-12
BJDDM342-J-13
BJDDM342-J-14
BJDDM342-J-15</t>
  </si>
  <si>
    <t>BJDDM342-G-05
BJDDM342-G-06</t>
  </si>
  <si>
    <t>BJDDM342-G-07
BJDDM342-G-08
BJDDM342-G-09
BJDDM342-G-10
BJDDM342-G-11
BJDDM342-G-12
BJDDM342-G-13
BJDDM342-G-14
BJDDM342-G-15
BJDDM342-G-16</t>
  </si>
  <si>
    <t>BJDDM342-J-16</t>
  </si>
  <si>
    <t>BJDDM342-I-07
BJDDM342-I-08
BJDDM342-I-09
BJDDM342-I-10
BJDDM342-I-11
BJDDM342-I-12
BJDDM342-I-13
BJDDM342-I-14
BJDDM342-I-15
BJDDM342-I-16
BJDDM342-I-17
BJDDM342-I-18
BJDDM342-I-19
BJDDM342-I-20
BJDDM343-H-03
BJDDM343-H-04
BJDDM343-H-05
BJDDM343-H-06</t>
  </si>
  <si>
    <t>BJDDM343-H-07
BJDDM343-H-08
BJDDM343-H-09
BJDDM343-H-10
BJDDM343-H-11
BJDDM343-H-12
BJDDM343-H-13
BJDDM343-H-14
BJDDM343-H-15</t>
  </si>
  <si>
    <t>BJDDM343-J-14</t>
  </si>
  <si>
    <t>BJDDM342-H-13
BJDDM342-H-15
BJDDM342-I-01
BJDDM342-I-19</t>
  </si>
  <si>
    <t>BJDDM342-I-01
BJDDM342-I-19</t>
  </si>
  <si>
    <t>182215IDC00344</t>
  </si>
  <si>
    <t>窦店六期4号楼2-3层</t>
  </si>
  <si>
    <t>BJDDM431-E-02
BJDDM431-E-06
BJDDM431-E-10
BJDDM431-F-03
BJDDM431-F-07
BJDDM431-F-11
BJDDM432-H-01
BJDDM432-H-02
BJDDM432-H-03
BJDDM432-H-04
BJDDM432-H-05
BJDDM432-H-06
BJDDM432-H-07
BJDDM432-H-08
BJDDM432-I-01
BJDDM432-I-02
BJDDM432-I-03
BJDDM432-I-04
BJDDM432-I-05
BJDDM432-I-06
BJDDM432-I-07
BJDDM432-I-08
BJDDM432-I-09
BJDDM431-A-02
BJDDM431-A-03
BJDDM431-A-04
BJDDM431-A-05
BJDDM431-A-06
BJDDM431-A-07
BJDDM431-A-08
BJDDM431-A-09
BJDDM431-A-10
BJDDM431-A-11
BJDDM431-A-12
BJDDM431-B-02
BJDDM431-B-03
BJDDM431-B-04
BJDDM431-B-05
BJDDM431-B-06
BJDDM431-B-07
BJDDM431-B-08
BJDDM431-B-09
BJDDM431-B-10
BJDDM431-B-11
BJDDM431-B-12
BJDDM431-C-02
BJDDM431-C-03
BJDDM431-C-04
BJDDM431-C-05
BJDDM431-C-06
BJDDM431-C-07
BJDDM431-C-08
BJDDM431-C-09
BJDDM431-C-10
BJDDM431-C-11
BJDDM431-C-12
BJDDM431-C-13
BJDDM431-D-02
BJDDM431-D-03
BJDDM431-D-04
BJDDM431-D-05
BJDDM431-D-06
BJDDM431-D-07
BJDDM431-E-13
BJDDM431-G-02
BJDDM431-G-03
BJDDM431-G-04
BJDDM431-G-05
BJDDM431-G-06
BJDDM431-G-07
BJDDM431-G-08
BJDDM431-G-09
BJDDM431-G-13
BJDDM431-H-02
BJDDM431-H-03
BJDDM431-H-04
BJDDM431-H-05
BJDDM431-H-06
BJDDM431-H-07
BJDDM431-H-08
BJDDM431-H-09
BJDDM431-H-13
BJDDM431-I-15
BJDDM432-A-01
BJDDM432-A-02
BJDDM432-A-03
BJDDM432-A-04
BJDDM432-A-05
BJDDM432-A-06
BJDDM432-A-07
BJDDM432-A-08
BJDDM432-A-09
BJDDM432-A-10
BJDDM432-A-11
BJDDM432-A-12
BJDDM432-A-13
BJDDM432-A-14
BJDDM432-A-15
BJDDM432-A-16
BJDDM432-B-01
BJDDM432-B-02
BJDDM432-B-03
BJDDM432-B-04
BJDDM432-B-05
BJDDM432-B-06
BJDDM432-B-07
BJDDM432-B-08
BJDDM432-B-09
BJDDM432-B-10
BJDDM432-B-11
BJDDM432-B-12
BJDDM432-B-13
BJDDM432-B-14
BJDDM432-B-15
BJDDM432-B-16
BJDDM432-B-17
BJDDM432-B-18
BJDDM432-B-19
BJDDM432-B-20
BJDDM432-C-01
BJDDM432-C-02
BJDDM432-C-03
BJDDM432-C-04
BJDDM432-C-05
BJDDM432-C-06
BJDDM432-C-07
BJDDM432-C-08
BJDDM432-C-09
BJDDM432-C-10
BJDDM432-C-11
BJDDM432-C-12
BJDDM432-C-13
BJDDM432-C-14
BJDDM432-C-15
BJDDM432-C-16
BJDDM432-C-17
BJDDM432-C-18
BJDDM432-C-19
BJDDM432-C-20
BJDDM432-D-01
BJDDM432-D-02
BJDDM432-D-03
BJDDM432-D-04
BJDDM432-D-05
BJDDM432-D-06
BJDDM432-D-07
BJDDM432-D-08
BJDDM432-D-09
BJDDM432-D-10
BJDDM432-D-11
BJDDM432-D-12
BJDDM432-D-13
BJDDM432-D-14
BJDDM432-D-15
BJDDM432-D-16
BJDDM432-E-01
BJDDM432-E-02
BJDDM432-E-03
BJDDM432-E-04
BJDDM432-E-05
BJDDM432-E-06
BJDDM432-E-07
BJDDM432-E-08
BJDDM432-E-09
BJDDM432-E-10
BJDDM432-E-11
BJDDM432-E-12
BJDDM432-E-13
BJDDM432-E-14
BJDDM432-E-15
BJDDM432-E-16
BJDDM432-E-17
BJDDM432-E-18
BJDDM432-E-19
BJDDM432-E-20
BJDDM432-F-01
BJDDM432-G-17
BJDDM432-G-18
BJDDM432-H-10
BJDDM432-H-14
BJDDM432-H-18
BJDDM432-J-01
BJDDM432-J-03
BJDDM432-J-05
BJDDM432-J-07
BJDDM432-J-09
BJDDM432-J-11
BJDDM432-J-13
BJDDM432-J-15
BJDDM432-J-16
BJDDM433-D-14
BJDDM433-D-15
BJDDM433-E-01
BJDDM433-F-14
BJDDM433-F-15
BJDDM431-E-03
BJDDM431-E-04
BJDDM431-E-05
BJDDM431-E-07
BJDDM431-E-08
BJDDM431-E-09
BJDDM431-E-11
BJDDM431-E-12
BJDDM431-F-02
BJDDM431-F-04
BJDDM431-F-05
BJDDM431-F-06
BJDDM431-F-08
BJDDM431-F-09</t>
  </si>
  <si>
    <t>BJDDM432-I-10</t>
  </si>
  <si>
    <t>BJDDM432-F-02
BJDDM432-F-03
BJDDM432-F-04
BJDDM432-F-05
BJDDM432-F-06
BJDDM432-F-07
BJDDM432-F-08
BJDDM432-F-09
BJDDM432-F-10
BJDDM432-F-11
BJDDM432-F-12
BJDDM432-F-13
BJDDM432-F-14
BJDDM432-F-15
BJDDM432-F-16
BJDDM432-F-17
BJDDM432-F-18
BJDDM432-F-19
BJDDM432-F-20
BJDDM432-G-01
BJDDM432-G-02
BJDDM432-G-03
BJDDM432-G-04
BJDDM432-H-09
BJDDM432-H-11
BJDDM432-H-12
BJDDM432-H-13
BJDDM432-H-15
BJDDM432-H-16
BJDDM432-H-17
BJDDM432-H-19
BJDDM432-H-20</t>
  </si>
  <si>
    <t>BJDDM423-E-01
BJDDM422-E-01
BJDDM421-E-15
BJDDM421-D-01
BJDDM421-D-02
BJDDM421-F-01
BJDDM421-F-02
BJDDM422-C-19
BJDDM422-C-20
BJDDM422-D-17
BJDDM422-D-18
BJDDM422-F-19
BJDDM422-F-20
BJDDM422-G-17
BJDDM422-G-18
BJDDM423-D-14
BJDDM423-D-15
BJDDM423-F-14
BJDDM423-F-15
BJDDM433-A-01
BJDDM433-A-02
BJDDM433-A-03
BJDDM433-A-04
BJDDM433-A-05
BJDDM433-A-06
BJDDM433-A-07
BJDDM433-A-08
BJDDM433-A-09
BJDDM433-A-10
BJDDM433-A-11
BJDDM433-A-12
BJDDM433-A-13
BJDDM433-A-14
BJDDM433-B-01
BJDDM433-B-02
BJDDM433-B-03
BJDDM433-B-04
BJDDM433-B-05
BJDDM433-B-06
BJDDM433-B-07
BJDDM433-B-08
BJDDM433-B-09
BJDDM433-B-10
BJDDM433-B-11
BJDDM433-B-12
BJDDM433-B-13
BJDDM433-B-14
BJDDM433-C-01
BJDDM433-C-02</t>
  </si>
  <si>
    <t>BJDDM421-A-02
BJDDM421-A-04
BJDDM421-A-08
BJDDM421-A-12
BJDDM421-B-02
BJDDM421-B-05
BJDDM421-B-09
BJDDM421-B-13
BJDDM421-C-02
BJDDM421-C-05
BJDDM421-C-09
BJDDM421-C-13
BJDDM421-D-04
BJDDM421-D-06
BJDDM421-D-09
BJDDM421-D-13
BJDDM421-E-04
BJDDM421-E-08
BJDDM421-E-12
BJDDM421-F-04
BJDDM421-F-06
BJDDM421-F-09
BJDDM421-F-13
BJDDM421-G-02
BJDDM421-A-01
BJDDM421-A-03
BJDDM421-A-05
BJDDM421-A-06
BJDDM421-A-07
BJDDM421-A-09
BJDDM421-A-10
BJDDM421-A-11
BJDDM421-A-13
BJDDM421-A-14
BJDDM421-B-01
BJDDM421-B-03
BJDDM421-B-04
BJDDM421-B-06
BJDDM421-B-07
BJDDM421-B-08
BJDDM421-B-10
BJDDM421-B-11
BJDDM421-B-12
BJDDM421-B-14
BJDDM421-B-15
BJDDM421-C-01
BJDDM421-C-03
BJDDM421-C-04
BJDDM421-C-06
BJDDM421-C-07
BJDDM421-C-08
BJDDM421-C-10
BJDDM421-C-11
BJDDM421-C-12
BJDDM421-C-14
BJDDM421-C-15
BJDDM421-D-03
BJDDM421-D-05
BJDDM421-D-07
BJDDM421-D-08
BJDDM421-D-10
BJDDM421-D-11
BJDDM421-D-12
BJDDM421-D-14
BJDDM421-D-15
BJDDM421-E-03
BJDDM421-E-05
BJDDM421-E-06
BJDDM421-E-07
BJDDM421-E-09
BJDDM421-E-10
BJDDM421-E-11
BJDDM421-E-13
BJDDM421-E-14
BJDDM421-F-03
BJDDM421-F-05
BJDDM421-F-07
BJDDM421-F-08
BJDDM421-F-10
BJDDM421-F-11
BJDDM421-F-12
BJDDM421-F-14
BJDDM421-F-15
BJDDM421-G-01
BJDDM421-G-03
BJDDM421-G-04
BJDDM421-G-05
BJDDM421-G-06
BJDDM421-G-07
BJDDM421-G-08
BJDDM421-G-09
BJDDM421-G-10
BJDDM421-G-11
BJDDM421-G-12
BJDDM421-G-13
BJDDM421-G-14
BJDDM421-G-15
BJDDM421-H-01
BJDDM421-H-02
BJDDM421-H-03
BJDDM421-H-04
BJDDM421-H-05
BJDDM433-C-03
BJDDM433-C-04
BJDDM433-C-05
BJDDM433-C-06
BJDDM433-C-07
BJDDM433-C-08
BJDDM433-C-09
BJDDM433-C-10
BJDDM433-C-11
BJDDM433-C-12</t>
  </si>
  <si>
    <t>BJDDM432-G-11
BJDDM432-G-12
BJDDM432-G-13</t>
  </si>
  <si>
    <t>BJDDM421-H-06
BJDDM421-H-07
BJDDM421-H-08
BJDDM421-H-09
BJDDM421-H-10
BJDDM421-H-11
BJDDM421-H-12
BJDDM421-H-13
BJDDM421-H-14
BJDDM421-H-15
BJDDM421-I-02</t>
  </si>
  <si>
    <t>BJDDM432-G-14
BJDDM432-G-15
BJDDM432-G-16</t>
  </si>
  <si>
    <t>BJDDM432-G-05
BJDDM432-G-06
BJDDM432-G-07
BJDDM432-G-08
BJDDM432-G-09
BJDDM432-G-10</t>
  </si>
  <si>
    <t>BJDDM433-D-01
BJDDM433-D-02
BJDDM433-D-03
BJDDM433-D-04
BJDDM433-D-05
BJDDM433-D-06
BJDDM433-D-07
BJDDM433-D-08
BJDDM433-D-09
BJDDM433-D-10
BJDDM433-D-11
BJDDM433-D-12
BJDDM433-D-13
BJDDM433-E-02
BJDDM433-E-03
BJDDM433-E-04
BJDDM433-E-05</t>
  </si>
  <si>
    <t>BJDDM433-B-15
BJDDM433-C-13
BJDDM433-C-14
BJDDM433-C-15
BJDDM433-E-06
BJDDM433-E-07
BJDDM433-E-08
BJDDM433-E-09
BJDDM433-E-10
BJDDM433-E-11
BJDDM433-E-12
BJDDM433-E-13
BJDDM433-F-01
BJDDM433-F-02</t>
  </si>
  <si>
    <t>BJDDM433-G-01
BJDDM433-G-02
BJDDM433-G-03
BJDDM433-G-04
BJDDM433-G-05
BJDDM433-G-06
BJDDM433-G-07
BJDDM433-G-08
BJDDM433-G-09
BJDDM433-G-10
BJDDM433-G-11
BJDDM433-G-12
BJDDM433-G-13
BJDDM433-G-14
BJDDM433-G-15
BJDDM422-H-01
BJDDM422-H-02
BJDDM422-H-03
BJDDM422-H-04
BJDDM422-H-05
BJDDM422-H-06
BJDDM422-H-07
BJDDM422-H-08
BJDDM422-H-09
BJDDM422-H-10
BJDDM422-H-11
BJDDM422-H-12
BJDDM422-H-13
BJDDM422-H-14
BJDDM422-H-15
BJDDM422-H-16
BJDDM422-H-17
BJDDM422-H-18
BJDDM422-H-19
BJDDM422-H-20
BJDDM433-F-03
BJDDM433-F-04
BJDDM433-F-05
BJDDM433-F-06
BJDDM433-F-07
BJDDM433-F-08
BJDDM433-F-09
BJDDM433-F-10
BJDDM433-F-11
BJDDM433-F-12
BJDDM433-F-13</t>
  </si>
  <si>
    <t>BJDDM422-A-01
BJDDM422-A-02
BJDDM422-A-03
BJDDM422-A-04
BJDDM422-A-05
BJDDM422-A-06
BJDDM422-A-07
BJDDM422-A-08
BJDDM422-A-09
BJDDM422-A-10
BJDDM422-A-11
BJDDM422-A-12
BJDDM422-A-13
BJDDM422-A-14
BJDDM422-A-15
BJDDM422-A-16
BJDDM422-B-01
BJDDM422-B-02
BJDDM422-B-03
BJDDM422-B-04
BJDDM422-B-05
BJDDM422-B-06
BJDDM422-B-07
BJDDM422-B-08
BJDDM422-B-09
BJDDM422-B-10
BJDDM422-B-11
BJDDM422-B-12
BJDDM422-B-13
BJDDM422-B-14
BJDDM422-B-15
BJDDM422-B-16
BJDDM422-B-17
BJDDM422-B-18
BJDDM422-B-19
BJDDM422-B-20
BJDDM422-C-01
BJDDM422-C-02
BJDDM422-C-03
BJDDM422-C-04
BJDDM422-C-05
BJDDM422-C-06
BJDDM422-C-07
BJDDM422-C-08
BJDDM422-C-09
BJDDM422-C-10
BJDDM422-C-11
BJDDM421-I-01
BJDDM421-I-03
BJDDM421-I-04
BJDDM421-I-05
BJDDM421-I-06
BJDDM421-I-07
BJDDM421-I-08
BJDDM421-I-09
BJDDM421-I-10
BJDDM421-I-11
BJDDM421-I-12
BJDDM421-I-13
BJDDM421-I-14
BJDDM421-I-15
BJDDM421-J-01
BJDDM421-J-02
BJDDM421-J-03
BJDDM421-J-04
BJDDM421-J-05
BJDDM421-J-06
BJDDM421-J-07
BJDDM421-J-08
BJDDM421-J-09
BJDDM421-J-10
BJDDM421-J-11
BJDDM421-J-12
BJDDM421-J-13
BJDDM421-J-14</t>
  </si>
  <si>
    <t>BJDDM433-J-14
BJDDM422-C-12
BJDDM422-C-13
BJDDM422-C-14
BJDDM422-C-15
BJDDM422-C-16</t>
  </si>
  <si>
    <t>BJDDM422-D-01
BJDDM422-D-02
BJDDM422-D-03
BJDDM422-D-04
BJDDM422-D-05
BJDDM422-D-06
BJDDM422-D-07
BJDDM422-D-08
BJDDM422-D-09
BJDDM422-D-10</t>
  </si>
  <si>
    <t>BJDDM433-H-01
BJDDM433-H-02</t>
  </si>
  <si>
    <t>BJDDM433-H-03
BJDDM433-H-04
BJDDM433-H-05
BJDDM433-H-06</t>
  </si>
  <si>
    <t>BJDDM422-C-17
BJDDM422-C-18
BJDDM422-D-11
BJDDM422-D-12
BJDDM422-D-13
BJDDM422-D-14
BJDDM422-D-15
BJDDM422-D-16
BJDDM422-E-02
BJDDM422-E-03
BJDDM422-E-04
BJDDM422-E-05
BJDDM422-E-06
BJDDM422-E-07
BJDDM422-E-08
BJDDM422-E-09
BJDDM422-E-10
BJDDM422-E-11</t>
  </si>
  <si>
    <t>BJDDM422-E-12
BJDDM422-E-13
BJDDM422-E-14
BJDDM422-E-15
BJDDM422-E-16</t>
  </si>
  <si>
    <t>BJDDM433-I-01
BJDDM433-I-02
BJDDM433-I-03
BJDDM433-I-04
BJDDM433-I-05
BJDDM433-I-06
BJDDM433-I-07
BJDDM433-I-08
BJDDM433-I-09
BJDDM433-I-10
BJDDM433-I-11
BJDDM433-I-12
BJDDM433-I-13
BJDDM433-I-14
BJDDM433-J-01
BJDDM433-J-02
BJDDM433-J-03
BJDDM433-J-04
BJDDM433-J-05
BJDDM433-J-06</t>
  </si>
  <si>
    <t>BJDDM422-E-17
BJDDM422-E-18
BJDDM422-I-13
BJDDM422-I-14
BJDDM422-I-15
BJDDM422-I-16
BJDDM422-I-17
BJDDM422-I-18
BJDDM422-I-19
BJDDM422-I-20
BJDDM422-J-01
BJDDM422-J-02
BJDDM422-J-03
BJDDM422-J-04</t>
  </si>
  <si>
    <t>BJDDM422-G-01
BJDDM422-G-02
BJDDM422-G-03
BJDDM422-G-04</t>
  </si>
  <si>
    <t>BJDDM433-J-07
BJDDM433-J-08
BJDDM433-J-09
BJDDM433-J-10
BJDDM433-J-11
BJDDM433-J-12
BJDDM422-F-01
BJDDM422-F-02
BJDDM422-F-03
BJDDM422-F-04
BJDDM422-F-05
BJDDM422-F-06
BJDDM422-F-07
BJDDM422-F-08
BJDDM422-F-09
BJDDM422-F-10
BJDDM422-F-11
BJDDM422-F-12
BJDDM422-F-13
BJDDM422-F-14
BJDDM422-F-15
BJDDM422-F-16
BJDDM422-F-17
BJDDM422-F-18
BJDDM422-G-05
BJDDM422-G-06
BJDDM422-G-07
BJDDM422-G-08
BJDDM422-G-09
BJDDM422-G-10
BJDDM422-G-11
BJDDM422-G-12
BJDDM422-G-13
BJDDM422-G-14
BJDDM422-G-15
BJDDM422-G-16
BJDDM422-I-01
BJDDM422-I-02</t>
  </si>
  <si>
    <t>BJDDM423-A-01
BJDDM423-A-02
BJDDM423-A-03
BJDDM423-A-04
BJDDM423-A-05
BJDDM423-A-06
BJDDM423-A-07
BJDDM423-A-08
BJDDM423-A-09
BJDDM423-A-10
BJDDM423-A-11
BJDDM423-A-12
BJDDM423-A-13
BJDDM423-A-14
BJDDM423-B-01
BJDDM423-B-02
BJDDM423-B-03
BJDDM423-B-04
BJDDM423-B-05
BJDDM423-B-06
BJDDM423-B-07
BJDDM423-B-08
BJDDM423-B-09
BJDDM423-B-10
BJDDM423-B-11
BJDDM423-B-12
BJDDM423-B-13
BJDDM423-B-14
BJDDM423-B-15
BJDDM423-C-01
BJDDM423-C-02
BJDDM423-C-03
BJDDM423-C-04
BJDDM423-C-05
BJDDM423-C-06
BJDDM423-C-07
BJDDM423-C-08
BJDDM423-D-01
BJDDM423-D-02
BJDDM423-D-03
BJDDM423-D-04
BJDDM423-D-05
BJDDM423-D-06
BJDDM423-D-07
BJDDM423-D-08
BJDDM423-D-09
BJDDM423-D-10
BJDDM423-D-11
BJDDM423-D-12
BJDDM423-D-13
BJDDM423-E-02
BJDDM423-E-03
BJDDM423-E-04
BJDDM423-E-05
BJDDM422-J-05
BJDDM422-J-06
BJDDM422-J-07
BJDDM422-J-08
BJDDM422-J-09
BJDDM422-J-10
BJDDM422-J-11
BJDDM422-J-12
BJDDM422-J-13
BJDDM422-J-14
BJDDM422-J-15
BJDDM422-J-16</t>
  </si>
  <si>
    <t>BJDDM422-I-09
BJDDM422-I-10
BJDDM422-I-11
BJDDM422-I-12</t>
  </si>
  <si>
    <t>BJDDM423-C-09
BJDDM423-C-10
BJDDM423-C-11
BJDDM423-C-12
BJDDM423-C-13
BJDDM423-C-14
BJDDM423-C-15
BJDDM423-E-06
BJDDM423-E-07
BJDDM423-E-08
BJDDM423-E-09
BJDDM423-E-10
BJDDM423-E-11
BJDDM423-E-12
BJDDM423-E-13
BJDDM423-F-01
BJDDM423-F-02
BJDDM423-F-03
BJDDM423-F-04
BJDDM423-F-05
BJDDM423-F-06
BJDDM423-F-07
BJDDM423-F-08
BJDDM423-F-09
BJDDM423-F-10
BJDDM423-F-11
BJDDM423-F-12
BJDDM423-F-13
BJDDM423-G-01
BJDDM423-G-02
BJDDM423-G-03
BJDDM423-G-04
BJDDM423-G-05
BJDDM423-G-06
BJDDM423-G-07
BJDDM423-G-08
BJDDM423-G-09
BJDDM423-G-10
BJDDM423-G-11
BJDDM423-G-12
BJDDM423-G-13
BJDDM423-G-14
BJDDM423-G-15
BJDDM423-H-01
BJDDM423-H-02
BJDDM423-H-03
BJDDM423-H-04</t>
  </si>
  <si>
    <t>BJDDM433-H-07
BJDDM433-H-08
BJDDM433-H-09
BJDDM433-H-10
BJDDM433-H-11
BJDDM433-H-12
BJDDM433-H-13
BJDDM433-H-14
BJDDM433-H-15
BJDDM433-I-15
BJDDM433-J-13
BJDDM423-H-05
BJDDM423-H-06
BJDDM423-H-07
BJDDM423-H-08
BJDDM423-H-09
BJDDM423-H-10
BJDDM423-H-11
BJDDM423-H-12
BJDDM423-H-13
BJDDM423-H-14
BJDDM423-I-01
BJDDM423-I-02
BJDDM423-I-03
BJDDM423-I-04
BJDDM423-I-05
BJDDM423-I-06
BJDDM423-I-07
BJDDM423-I-08
BJDDM423-I-09
BJDDM423-I-10
BJDDM423-I-11
BJDDM423-I-12
BJDDM423-I-13
BJDDM423-I-14
BJDDM423-I-15
BJDDM423-J-01
BJDDM423-J-02
BJDDM423-J-03
BJDDM423-J-04
BJDDM423-J-13
BJDDM423-J-14
BJDDM422-I-03
BJDDM422-I-04
BJDDM422-I-05
BJDDM422-I-06
BJDDM422-I-07
BJDDM422-I-08</t>
  </si>
  <si>
    <t>BJDDM423-H-15</t>
  </si>
  <si>
    <t>BJDDM423-J-05
BJDDM423-J-06
BJDDM423-J-07
BJDDM423-J-08
BJDDM423-J-09
BJDDM423-J-10
BJDDM423-J-11
BJDDM423-J-12</t>
  </si>
  <si>
    <t>BJDDM432-J-02
BJDDM432-J-04</t>
  </si>
  <si>
    <t>BJDDM432-J-06
BJDDM432-J-08</t>
  </si>
  <si>
    <t>BJDDM433-G-12</t>
  </si>
  <si>
    <t>BJDDM432-J-10
BJDDM432-J-12
BJDDM432-J-14</t>
  </si>
  <si>
    <t>BJDDM433-B-05
BJDDM433-B-07
BJDDM433-B-13
BJDDM433-C-07</t>
  </si>
  <si>
    <t>182215IDC00383</t>
  </si>
  <si>
    <t>窦店六期4号楼4层</t>
  </si>
  <si>
    <t>BJDDM443-B-01
BJDDM443-B-02
BJDDM443-B-03
BJDDM443-B-04
BJDDM443-B-05
BJDDM443-B-06
BJDDM443-B-07
BJDDM443-B-08
BJDDM443-E-02
BJDDM443-E-03
BJDDM443-E-04
BJDDM443-E-05
BJDDM443-E-06
BJDDM443-E-07
BJDDM443-E-08
BJDDM443-E-09
BJDDM443-E-10
BJDDM443-E-11
BJDDM443-E-12
BJDDM443-E-13
BJDDM443-F-01
BJDDM443-F-02
BJDDM443-F-03
BJDDM443-F-04
BJDDM443-F-05
BJDDM443-F-06
BJDDM443-F-07
BJDDM443-F-08
BJDDM443-F-09
BJDDM443-F-10
BJDDM443-F-11
BJDDM443-F-12
BJDDM443-F-13
BJDDM443-F-14
BJDDM443-G-01
BJDDM443-G-02
BJDDM443-G-03
BJDDM443-G-04
BJDDM443-G-05
BJDDM443-G-06
BJDDM443-G-07
BJDDM443-G-08
BJDDM443-G-09
BJDDM443-G-10
BJDDM443-G-11
BJDDM443-G-12
BJDDM443-G-13
BJDDM443-H-01
BJDDM443-H-02
BJDDM443-H-03
BJDDM443-H-04
BJDDM443-H-05
BJDDM443-H-06
BJDDM443-H-07
BJDDM443-H-08
BJDDM443-H-09
BJDDM443-H-10
BJDDM443-H-11
BJDDM443-H-12
BJDDM443-H-13
BJDDM443-I-01
BJDDM443-I-02
BJDDM443-I-03
BJDDM443-I-04
BJDDM443-I-05
BJDDM443-I-06
BJDDM443-I-07
BJDDM443-I-08
BJDDM443-I-09
BJDDM443-I-10
BJDDM443-I-11
BJDDM443-I-12
BJDDM443-I-13
BJDDM443-I-14
BJDDM443-J-01
BJDDM443-J-02
BJDDM443-J-03
BJDDM443-J-04
BJDDM443-J-05
BJDDM443-J-06
BJDDM443-J-07
BJDDM443-J-08
BJDDM443-J-09
BJDDM443-J-10
BJDDM443-J-11
BJDDM443-J-12
BJDDM443-J-13
BJDDM443-J-14</t>
  </si>
  <si>
    <t>BJDDM443-C-01
BJDDM443-C-02
BJDDM443-C-03
BJDDM443-C-04
BJDDM443-C-05
BJDDM443-C-06
BJDDM443-C-07
BJDDM443-C-08
BJDDM443-C-09
BJDDM443-C-10
BJDDM443-C-11
BJDDM443-C-12
BJDDM443-C-13
BJDDM443-D-01
BJDDM443-D-02
BJDDM443-D-03
BJDDM443-D-04
BJDDM443-D-05
BJDDM443-D-06
BJDDM443-D-07
BJDDM443-D-08
BJDDM443-D-09
BJDDM443-D-10
BJDDM443-D-11</t>
  </si>
  <si>
    <t>BJDDM443-C-14
BJDDM443-C-15
BJDDM443-D-14
BJDDM443-D-15
BJDDM443-E-01
BJDDM443-G-14
BJDDM443-G-15
BJDDM443-H-14
BJDDM443-H-15</t>
  </si>
  <si>
    <t>BJDDM443-A-01
BJDDM443-A-02
BJDDM443-A-03
BJDDM443-A-04
BJDDM443-A-05
BJDDM443-A-06
BJDDM443-A-07
BJDDM443-A-08
BJDDM443-A-09
BJDDM443-A-10
BJDDM443-A-11
BJDDM443-A-12
BJDDM443-A-13
BJDDM443-A-14
BJDDM443-B-09
BJDDM443-B-10
BJDDM443-B-11
BJDDM443-B-12
BJDDM443-B-13
BJDDM443-B-14
BJDDM443-D-12
BJDDM443-D-13</t>
  </si>
  <si>
    <t>BJDDM443-A-01
BJDDM443-A-02
BJDDM443-A-03
BJDDM443-A-04
BJDDM443-A-05
BJDDM443-A-06
BJDDM443-A-07
BJDDM443-A-08
BJDDM443-A-09
BJDDM443-A-10
BJDDM443-A-11
BJDDM443-A-12
BJDDM443-A-13
BJDDM443-A-14
BJDDM443-B-09
BJDDM443-B-10
BJDDM443-B-11
BJDDM443-B-12
BJDDM443-B-13
BJDDM443-B-14</t>
  </si>
  <si>
    <t>BJDDM441-C-01
BJDDM441-C-02
BJDDM441-D-01
BJDDM441-D-02
BJDDM441-E-15
BJDDM441-G-01
BJDDM441-G-02
BJDDM441-H-01
BJDDM441-H-02
BJDDM442-C-19
BJDDM442-C-20
BJDDM442-D-17
BJDDM442-D-18
BJDDM442-E-01
BJDDM442-F-19
BJDDM442-F-20
BJDDM442-G-17
BJDDM442-G-18</t>
  </si>
  <si>
    <t>BJDDM442-A-02
BJDDM442-A-03</t>
  </si>
  <si>
    <t>BJDDM442-A-01
BJDDM442-A-04
BJDDM442-A-05
BJDDM442-A-06
BJDDM442-A-07
BJDDM442-A-08
BJDDM442-A-09
BJDDM442-A-10
BJDDM442-A-11
BJDDM442-A-12
BJDDM442-A-13
BJDDM442-A-14
BJDDM442-A-15
BJDDM442-A-16
BJDDM442-B-01
BJDDM442-B-02
BJDDM442-B-03
BJDDM442-B-04
BJDDM442-B-05
BJDDM442-B-06
BJDDM442-B-07
BJDDM442-B-08
BJDDM442-B-09
BJDDM442-B-10
BJDDM442-B-11
BJDDM442-B-12
BJDDM442-B-13
BJDDM442-B-14
BJDDM442-B-15
BJDDM442-B-16
BJDDM442-B-17
BJDDM442-B-18
BJDDM442-B-19
BJDDM442-B-20</t>
  </si>
  <si>
    <t>BJDDM442-C-01
BJDDM442-C-02
BJDDM442-C-03
BJDDM442-C-04
BJDDM442-C-05
BJDDM442-C-06
BJDDM442-C-07
BJDDM442-C-08
BJDDM442-C-09
BJDDM442-C-10
BJDDM442-C-11
BJDDM442-C-12
BJDDM442-C-13
BJDDM442-C-14
BJDDM442-C-15
BJDDM442-C-16
BJDDM442-C-17
BJDDM442-C-18
BJDDM442-D-01
BJDDM442-D-02
BJDDM442-D-03
BJDDM442-D-04
BJDDM442-D-05
BJDDM442-D-06
BJDDM442-D-07
BJDDM442-D-08
BJDDM442-D-09
BJDDM442-D-10
BJDDM442-D-11
BJDDM442-D-12
BJDDM442-D-13
BJDDM442-D-14
BJDDM442-D-15
BJDDM442-D-16
BJDDM442-E-02
BJDDM442-E-03</t>
  </si>
  <si>
    <t>BJDDM442-E-04
BJDDM442-E-05
BJDDM442-E-06
BJDDM442-E-07
BJDDM442-E-08
BJDDM442-E-09
BJDDM442-E-10
BJDDM442-E-11
BJDDM442-E-12
BJDDM442-E-13
BJDDM442-E-14
BJDDM442-E-15
BJDDM442-E-16
BJDDM442-E-17
BJDDM442-E-18</t>
  </si>
  <si>
    <t>BJDDM442-F-05
BJDDM442-F-06
BJDDM442-F-07
BJDDM442-F-08
BJDDM442-F-09
BJDDM442-F-10
BJDDM442-F-11
BJDDM442-F-12
BJDDM442-F-13
BJDDM442-F-14
BJDDM442-F-15
BJDDM442-F-16
BJDDM442-F-17
BJDDM442-F-18
BJDDM442-G-01
BJDDM442-G-02
BJDDM442-G-03
BJDDM442-G-04</t>
  </si>
  <si>
    <t>BJDDM442-F-01
BJDDM442-F-02
BJDDM442-F-03
BJDDM442-F-04
BJDDM442-G-05
BJDDM442-G-06
BJDDM442-G-07
BJDDM442-G-08
BJDDM442-G-09
BJDDM442-G-10
BJDDM442-G-11
BJDDM442-G-12
BJDDM442-G-13
BJDDM442-G-14
BJDDM442-G-15
BJDDM442-G-16
BJDDM442-H-01
BJDDM442-H-02
BJDDM442-H-03
BJDDM442-H-04
BJDDM442-H-05
BJDDM442-H-06
BJDDM442-H-07
BJDDM442-H-08</t>
  </si>
  <si>
    <t>BJDDM443-A-01
BJDDM443-A-02
BJDDM443-A-03
BJDDM443-A-04
BJDDM443-A-05
BJDDM443-A-06
BJDDM443-A-07
BJDDM443-A-08
BJDDM443-A-09
BJDDM443-A-10
BJDDM443-A-11
BJDDM443-A-12
BJDDM443-A-13
BJDDM443-A-14</t>
  </si>
  <si>
    <t>BJDDM442-I-01
BJDDM442-I-02
BJDDM442-I-03
BJDDM442-I-04
BJDDM442-I-05
BJDDM442-I-06</t>
  </si>
  <si>
    <t>BJDDM443-B-09
BJDDM443-B-10</t>
  </si>
  <si>
    <t>BJDDM442-H-09
BJDDM442-H-10
BJDDM442-H-11</t>
  </si>
  <si>
    <t>BJDDM442-H-12
BJDDM442-H-13
BJDDM442-H-14
BJDDM442-H-15
BJDDM442-H-16
BJDDM442-H-17
BJDDM442-H-18
BJDDM442-H-19
BJDDM442-H-20</t>
  </si>
  <si>
    <t>BJDDM442-I-07
BJDDM442-I-08
BJDDM442-I-09
BJDDM442-I-10</t>
  </si>
  <si>
    <t>BJDDM441-A-01
BJDDM441-A-02
BJDDM441-A-03
BJDDM441-A-04
BJDDM441-A-05
BJDDM441-B-01
BJDDM441-B-02
BJDDM441-B-03</t>
  </si>
  <si>
    <t>BJDDM443-A-01
BJDDM443-A-03
BJDDM443-A-04
BJDDM443-A-05
BJDDM443-A-07
BJDDM443-A-08
BJDDM443-A-09
BJDDM443-A-11
BJDDM443-A-12
BJDDM443-A-13
BJDDM443-B-04
BJDDM443-B-05
BJDDM443-B-08
BJDDM443-D-11
BJDDM443-E-02
BJDDM443-E-05
BJDDM443-E-09
BJDDM443-E-10
BJDDM443-E-13
BJDDM443-F-04
BJDDM443-F-08
BJDDM443-F-11
BJDDM443-F-12
BJDDM443-G-03
BJDDM443-G-04
BJDDM443-G-05
BJDDM443-G-07
BJDDM443-G-08
BJDDM443-G-09
BJDDM443-G-11
BJDDM443-G-12
BJDDM443-H-01
BJDDM443-H-03
BJDDM443-H-04
BJDDM443-H-08
BJDDM443-H-12</t>
  </si>
  <si>
    <t>BJDDM443-A-10
BJDDM443-H-02
BJDDM443-H-13</t>
  </si>
  <si>
    <t>BJDDM441-B-04
BJDDM441-B-05</t>
  </si>
  <si>
    <t>BJDDM442-I-11</t>
  </si>
  <si>
    <t>BJDDM443-B-04
BJDDM443-B-08
BJDDM443-D-11
BJDDM443-E-05
BJDDM443-E-09
BJDDM443-E-13
BJDDM443-F-04
BJDDM443-F-08
BJDDM443-H-08
BJDDM443-H-12</t>
  </si>
  <si>
    <t>BJDDM443-A-01
BJDDM443-A-03
BJDDM443-A-04
BJDDM443-A-05
BJDDM443-A-07
BJDDM443-A-08
BJDDM443-A-09
BJDDM443-A-10
BJDDM443-A-11
BJDDM443-A-12
BJDDM443-B-11
BJDDM443-B-12
BJDDM443-B-13
BJDDM443-B-14
BJDDM443-B-15
BJDDM443-G-03
BJDDM443-G-04
BJDDM443-G-05
BJDDM443-G-07
BJDDM443-G-08
BJDDM443-G-09
BJDDM443-G-11
BJDDM443-G-12
BJDDM443-H-02
BJDDM441-A-06
BJDDM441-A-07
BJDDM441-A-08
BJDDM441-A-09
BJDDM441-B-06
BJDDM441-B-07
BJDDM441-B-08
BJDDM441-B-09
BJDDM441-B-10
BJDDM441-C-03
BJDDM441-C-04
BJDDM441-C-05
BJDDM441-C-06
BJDDM441-C-07</t>
  </si>
  <si>
    <t>BJDDM443-B-04
BJDDM443-E-04
BJDDM443-E-05
BJDDM443-E-06
BJDDM443-F-05</t>
  </si>
  <si>
    <t>BJDDM442-I-12
BJDDM442-I-13
BJDDM442-I-14
BJDDM442-I-15
BJDDM442-I-16
BJDDM442-I-17
BJDDM442-I-18
BJDDM442-I-19
BJDDM442-I-20
BJDDM442-J-02
BJDDM442-J-03</t>
  </si>
  <si>
    <t>BJDDM442-J-01
BJDDM442-J-04
BJDDM442-J-05
BJDDM442-J-06
BJDDM442-J-07
BJDDM442-J-08
BJDDM442-J-09
BJDDM442-J-10
BJDDM442-J-11
BJDDM442-J-12
BJDDM442-J-13
BJDDM442-J-14
BJDDM442-J-15
BJDDM442-J-16</t>
  </si>
  <si>
    <t>182215IDC00696</t>
  </si>
  <si>
    <t>窦店七期第一批五号楼二、三层</t>
  </si>
  <si>
    <t>动环20220615交付。BD反馈20220701开始计费。BJDDM531-J-06
BJDDM531-O-09
BJDDM532-F-10
BJDDM532-G-01
BJDDM531-N-03
BJDDM531-N-04
BJDDM531-N-05
BJDDM531-N-06
BJDDM531-O-03
BJDDM531-O-04
BJDDM531-O-05
BJDDM531-O-06
BJDDM531-J-01
BJDDM531-J-02
BJDDM531-J-03
BJDDM531-J-04
BJDDM531-K-03
BJDDM531-K-04
BJDDM531-K-05
BJDDM531-K-06
BJDDM531-L-01
BJDDM531-L-02
BJDDM531-L-03
BJDDM531-L-04
BJDDM532-I-01
BJDDM532-K-01
BJDDM531-E-01
BJDDM531-G-01
BJDDM532-E-01</t>
  </si>
  <si>
    <t xml:space="preserve">BJDDM532-B-08
BJDDM532-B-11
BJDDM532-C-02
BJDDM532-C-05
BJDDM532-C-08
BJDDM532-C-11
BJDDM532-D-02
BJDDM532-D-05
BJDDM532-D-08
BJDDM532-E-02
BJDDM532-E-05
BJDDM532-E-08
BJDDM532-E-11
BJDDM532-F-02
</t>
  </si>
  <si>
    <t>BJDDM531-A-01
BJDDM531-A-02
BJDDM531-A-03
BJDDM531-A-04
BJDDM531-A-05
BJDDM531-A-06
BJDDM531-A-07
BJDDM531-A-08</t>
  </si>
  <si>
    <t>BJDDM521-C-11
BJDDM521-C-12
BJDDM521-G-01
BJDDM521-H-01
BJDDM521-K-01
BJDDM521-K-02
BJDDM522-C-01
BJDDM522-C-02
BJDDM522-G-12
BJDDM522-H-12
BJDDM522-I-01
BJDDM522-I-02</t>
  </si>
  <si>
    <t>BJDDM531-A-09
BJDDM531-A-10
BJDDM531-A-11
BJDDM531-A-12
BJDDM531-B-01
BJDDM531-B-02
BJDDM531-B-03
BJDDM531-B-04
BJDDM531-B-05
BJDDM531-B-06
BJDDM531-B-07
BJDDM531-B-08
BJDDM531-B-09
BJDDM531-B-10
BJDDM531-B-11</t>
  </si>
  <si>
    <t>BJDDM531-C-01
BJDDM531-C-02
BJDDM531-C-03
BJDDM531-C-04
BJDDM531-C-05
BJDDM531-C-06
BJDDM531-C-07
BJDDM531-C-08
BJDDM531-C-09
BJDDM531-C-10
BJDDM531-C-11
BJDDM531-C-12
BJDDM531-D-01
BJDDM531-D-02
BJDDM531-D-03
BJDDM531-D-04
BJDDM531-D-05
BJDDM531-D-06
BJDDM531-D-07
BJDDM531-D-08
BJDDM531-B-12</t>
  </si>
  <si>
    <t>BJDDM531-D-09</t>
  </si>
  <si>
    <t>BJDDM531-I-11</t>
  </si>
  <si>
    <t>BJDDM532-B-07
BJDDM532-B-09
BJDDM532-B-10
BJDDM532-B-12</t>
  </si>
  <si>
    <t>BJDDM532-D-01
BJDDM532-D-03
BJDDM532-D-04
BJDDM532-D-06
BJDDM532-E-07
BJDDM532-E-09
BJDDM532-E-10
BJDDM532-E-12</t>
  </si>
  <si>
    <t>BJDDM531-I-01
BJDDM531-I-02
BJDDM531-I-03</t>
  </si>
  <si>
    <t>BJDDM521-A-01
BJDDM521-A-02</t>
  </si>
  <si>
    <t>BJDDM521-A-07
BJDDM521-A-08
BJDDM521-A-09
BJDDM521-A-10
BJDDM521-A-11
BJDDM521-A-12</t>
  </si>
  <si>
    <t>BJDDM521-B-01
BJDDM521-B-02
BJDDM521-B-03
BJDDM521-B-04
BJDDM521-B-05
BJDDM521-B-06</t>
  </si>
  <si>
    <t>BJDDM531-E-02
BJDDM531-E-03</t>
  </si>
  <si>
    <t>BJDDM531-I-04
BJDDM531-I-05
BJDDM521-B-12
BJDDM521-C-01
BJDDM521-C-02
BJDDM521-C-03
BJDDM521-C-04
BJDDM521-C-05
BJDDM521-C-06
BJDDM521-C-07
BJDDM521-C-08
BJDDM521-C-09
BJDDM521-C-10
BJDDM521-D-01
BJDDM521-D-02
BJDDM521-D-03</t>
  </si>
  <si>
    <t>BJDDM521-B-11</t>
  </si>
  <si>
    <t>BJDDM532-D-07</t>
  </si>
  <si>
    <t>BJDDM522-A-01
BJDDM522-A-02</t>
  </si>
  <si>
    <t>BJDDM532-F-04
BJDDM532-F-05
BJDDM532-F-06
BJDDM532-F-07
BJDDM532-F-08
BJDDM522-A-03</t>
  </si>
  <si>
    <t>BJDDM522-C-03
BJDDM522-C-04
BJDDM522-C-05
BJDDM522-C-06</t>
  </si>
  <si>
    <t>BJDDM541-C-11
BJDDM541-C-12
BJDDM541-I-11
BJDDM541-I-12
BJDDM541-L-01
BJDDM541-L-02
BJDDM542-C-01
BJDDM542-C-02
BJDDM542-I-01
BJDDM542-I-02</t>
  </si>
  <si>
    <t>BJDDM541-G-01
BJDDM541-H-01
BJDDM542-G-12
BJDDM542-H-12</t>
  </si>
  <si>
    <t>BJDDM521-D-04
BJDDM521-D-05
BJDDM521-D-06
BJDDM521-D-07
BJDDM521-E-05
BJDDM521-E-06
BJDDM521-F-01
BJDDM521-F-02
BJDDM521-F-03
BJDDM521-F-09
BJDDM521-F-10
BJDDM521-G-03
BJDDM521-G-08
BJDDM521-G-09
BJDDM521-G-11</t>
  </si>
  <si>
    <t>BJDDM521-A-03
BJDDM521-A-04
BJDDM521-A-05
BJDDM521-A-06</t>
  </si>
  <si>
    <t>BJDDM521-D-08</t>
  </si>
  <si>
    <t>BJDDM532-G-02
BJDDM532-G-03
BJDDM532-G-04
BJDDM532-G-05
BJDDM532-G-06
BJDDM532-G-07
BJDDM532-G-08
BJDDM532-G-09</t>
  </si>
  <si>
    <t>BJDDM521-D-09
BJDDM521-D-10</t>
  </si>
  <si>
    <t>BJDDM521-B-07
BJDDM521-B-08
BJDDM521-B-09
BJDDM521-E-01
BJDDM521-E-02
BJDDM521-E-04
BJDDM521-E-07
BJDDM521-E-08
BJDDM521-F-04
BJDDM521-F-05</t>
  </si>
  <si>
    <t>BJDDM521-B-10
BJDDM521-E-03
BJDDM521-E-10
BJDDM521-F-06
BJDDM521-G-02</t>
  </si>
  <si>
    <t>BJDDM532-G-11</t>
  </si>
  <si>
    <t>BJDDM521-E-11
BJDDM521-E-12</t>
  </si>
  <si>
    <t>BJDDM521-E-09
BJDDM521-F-07
BJDDM521-G-05
BJDDM521-G-10
BJDDM521-H-02
BJDDM522-E-01
BJDDM522-E-02
BJDDM522-E-03
BJDDM522-E-04
BJDDM522-E-05
BJDDM522-E-06
BJDDM522-E-07
BJDDM522-E-08
BJDDM522-E-09
BJDDM522-E-10
BJDDM522-F-01
BJDDM522-F-02
BJDDM522-F-03
BJDDM522-F-04
BJDDM522-F-05
BJDDM522-F-06
BJDDM522-F-07
BJDDM522-F-08</t>
  </si>
  <si>
    <t>BJDDM522-A-04
BJDDM522-A-05
BJDDM522-A-06
BJDDM522-A-07
BJDDM522-A-08
BJDDM522-A-09
BJDDM522-A-10
BJDDM522-A-11
BJDDM522-A-12
BJDDM522-B-02
BJDDM522-B-03
BJDDM522-B-04
BJDDM522-B-05
BJDDM522-B-06
BJDDM522-B-07
BJDDM522-B-08
BJDDM522-B-09
BJDDM522-B-10
BJDDM522-B-11
BJDDM522-B-12</t>
  </si>
  <si>
    <t>BJDDM521-G-06
BJDDM521-G-07
BJDDM522-B-01
BJDDM522-E-11
BJDDM522-E-12
BJDDM522-F-10</t>
  </si>
  <si>
    <t>BJDDM521-F-08
BJDDM521-G-04
BJDDM521-H-06
BJDDM521-H-08
BJDDM521-I-04
BJDDM521-I-12</t>
  </si>
  <si>
    <t>BJDDM521-H-03
BJDDM521-H-04</t>
  </si>
  <si>
    <t>BJDDM532-H-10
BJDDM532-H-11
BJDDM532-H-12
BJDDM532-I-02
BJDDM532-I-03
BJDDM532-I-04
BJDDM532-I-05
BJDDM532-I-06
BJDDM532-I-07
BJDDM532-I-08
BJDDM532-I-09
BJDDM532-I-10
BJDDM532-I-11
BJDDM532-I-12
BJDDM532-J-02
BJDDM532-J-03
BJDDM532-J-04
BJDDM532-J-05
BJDDM532-J-06
BJDDM532-J-07
BJDDM521-H-05
BJDDM521-H-07
BJDDM521-H-09
BJDDM521-H-10
BJDDM521-H-11</t>
  </si>
  <si>
    <t>BJDDM532-E-03
BJDDM532-E-04
BJDDM532-E-06
BJDDM532-F-01
BJDDM532-F-03
BJDDM532-G-10
BJDDM532-G-12
BJDDM532-H-01
BJDDM532-H-02
BJDDM532-H-03
BJDDM532-H-04
BJDDM532-H-05
BJDDM532-H-06
BJDDM532-H-07
BJDDM532-H-08
BJDDM532-H-09</t>
  </si>
  <si>
    <t>BJDDM521-I-03
BJDDM521-I-05
BJDDM521-I-06
BJDDM521-I-07
BJDDM521-I-08</t>
  </si>
  <si>
    <t>BJDDM521-I-11
BJDDM521-J-07
BJDDM521-K-08
BJDDM521-L-03
BJDDM521-M-02</t>
  </si>
  <si>
    <t>BJDDM532-J-08
BJDDM532-J-09</t>
  </si>
  <si>
    <t>BJDDM521-I-01
BJDDM521-I-02
BJDDM521-I-09
BJDDM521-I-10
BJDDM521-J-05
BJDDM521-J-06
BJDDM521-J-08
BJDDM521-J-09
BJDDM521-K-07
BJDDM521-K-09
BJDDM521-K-10
BJDDM521-L-04
BJDDM521-L-05
BJDDM521-M-01
BJDDM521-M-04</t>
  </si>
  <si>
    <t>BJDDM521-J-10</t>
  </si>
  <si>
    <t>BJDDM532-C-01
BJDDM532-C-03
BJDDM532-C-04
BJDDM532-C-06
BJDDM532-F-09
BJDDM532-J-10
BJDDM532-K-02
BJDDM532-K-03
BJDDM532-K-04
BJDDM532-K-05
BJDDM532-K-06
BJDDM532-K-07
BJDDM532-K-08
BJDDM532-K-09
BJDDM532-K-10</t>
  </si>
  <si>
    <t>BJDDM521-J-01
BJDDM521-J-03
BJDDM521-K-04
BJDDM521-K-05
BJDDM521-K-06</t>
  </si>
  <si>
    <t>BJDDM521-L-07
BJDDM521-L-08
BJDDM521-L-09</t>
  </si>
  <si>
    <t>BJDDM521-J-04
BJDDM521-K-03
BJDDM521-K-12
BJDDM521-L-06
BJDDM522-F-09
BJDDM522-G-08
BJDDM522-H-07
BJDDM522-I-05
BJDDM522-J-02
BJDDM522-J-10
BJDDM522-K-07
BJDDM522-L-02
BJDDM521-M-03</t>
  </si>
  <si>
    <t>BJDDM522-G-09
BJDDM522-H-06
BJDDM522-I-06
BJDDM522-J-01
BJDDM522-J-09</t>
  </si>
  <si>
    <t>BJDDM522-G-06
BJDDM522-G-07
BJDDM522-G-10
BJDDM522-G-11</t>
  </si>
  <si>
    <t>BJDDM522-H-05</t>
  </si>
  <si>
    <t>BJDDM522-D-08
BJDDM522-D-10</t>
  </si>
  <si>
    <t>BJDDM522-B-01
BJDDM522-B-09</t>
  </si>
  <si>
    <t>BJDDM522-G-02
BJDDM522-G-03
BJDDM522-G-04
BJDDM522-G-05</t>
  </si>
  <si>
    <t>BJDDM522-H-02
BJDDM522-H-03
BJDDM522-H-04
BJDDM522-H-08
BJDDM522-H-09
BJDDM522-H-10
BJDDM522-H-11</t>
  </si>
  <si>
    <t>BJDDM522-C-07</t>
  </si>
  <si>
    <t>BJDDM522-I-03
BJDDM522-I-04
BJDDM522-I-07
BJDDM522-I-08
BJDDM522-I-09
BJDDM522-I-10
BJDDM522-I-11
BJDDM522-I-12
BJDDM522-J-03
BJDDM522-J-04
BJDDM522-J-05
BJDDM522-J-06
BJDDM522-J-07
BJDDM522-J-08
BJDDM522-K-01
BJDDM522-K-02
BJDDM522-K-03
BJDDM522-K-04</t>
  </si>
  <si>
    <t>BJDDM532-D-09</t>
  </si>
  <si>
    <t>BJDDM532-K-07
BJDDM532-K-08
BJDDM532-K-10</t>
  </si>
  <si>
    <t>BJDDM521-J-02</t>
  </si>
  <si>
    <t>BJDDM522-D-07
BJDDM522-D-09
BJDDM522-K-05
BJDDM522-K-06
BJDDM522-K-09
BJDDM522-K-10
BJDDM522-L-03
BJDDM522-L-04
BJDDM522-M-05
BJDDM522-M-06</t>
  </si>
  <si>
    <t>BJDDM522-B-09</t>
  </si>
  <si>
    <t>BJDDM521-K-11
BJDDM521-L-01
BJDDM522-K-08
BJDDM522-K-11
BJDDM522-K-12
BJDDM522-L-01
BJDDM522-L-07
BJDDM522-L-08
BJDDM522-L-09
BJDDM522-L-10
BJDDM522-M-07
BJDDM522-M-08
BJDDM522-M-01
BJDDM522-M-02
BJDDM522-M-03
BJDDM522-M-04</t>
  </si>
  <si>
    <t>BJDDM522-L-05
BJDDM522-L-06</t>
  </si>
  <si>
    <t>BJDDM531-E-04
BJDDM531-E-05
BJDDM531-E-06
BJDDM531-E-07
BJDDM531-E-08
BJDDM531-E-09
BJDDM531-E-10
BJDDM531-E-11
BJDDM531-E-12
BJDDM531-G-02
BJDDM531-G-03
BJDDM531-G-04
BJDDM531-G-05
BJDDM531-G-06
BJDDM531-G-07
BJDDM531-G-08
BJDDM531-G-09
BJDDM531-G-10
BJDDM531-G-11
BJDDM531-G-12
BJDDM531-H-01
BJDDM531-H-02
BJDDM531-H-03
BJDDM531-H-04
BJDDM531-H-05
BJDDM531-H-06
BJDDM521-L-02
BJDDM521-L-10</t>
  </si>
  <si>
    <r>
      <rPr>
        <b/>
        <sz val="10"/>
        <rFont val="微软雅黑"/>
        <charset val="134"/>
      </rPr>
      <t xml:space="preserve">BJDDM532-C-07
BJDDM532-C-09
BJDDM532-C-10
BJDDM532-C-12
</t>
    </r>
    <r>
      <rPr>
        <sz val="10"/>
        <rFont val="微软雅黑"/>
        <charset val="134"/>
      </rPr>
      <t xml:space="preserve">BJDDM532-K-07
BJDDM532-K-08
BJDDM532-K-10
</t>
    </r>
    <r>
      <rPr>
        <b/>
        <sz val="10"/>
        <rFont val="微软雅黑"/>
        <charset val="134"/>
      </rPr>
      <t>BJDDM522-C-10
BJDDM522-C-11
BJDDM522-C-12
BJDDM522-D-01
BJDDM522-D-02</t>
    </r>
  </si>
  <si>
    <t>BJDDM531-F-01
BJDDM531-F-02
BJDDM531-F-03
BJDDM531-F-04
BJDDM531-F-05
BJDDM531-F-06
BJDDM531-F-07
BJDDM531-F-08
BJDDM531-F-09
BJDDM531-H-07
BJDDM531-H-08
BJDDM531-H-09
BJDDM531-H-10
BJDDM531-H-11</t>
  </si>
  <si>
    <t>补202210，实际开始计费时间为10月8日，计提按照10月9日，补一天</t>
  </si>
  <si>
    <t>L20230427003</t>
  </si>
  <si>
    <t>窦店七期第二批五号楼四层</t>
  </si>
  <si>
    <t>BJDDM541-I-11
BJDDM541-I-12</t>
  </si>
  <si>
    <t>BJDDM541-G-01
BJDDM541-H-01</t>
  </si>
  <si>
    <t>L20221228018</t>
  </si>
  <si>
    <t>土城-兆维</t>
  </si>
  <si>
    <t>土城退租，同时退光纤，经商务确认，该条先保留，光3309 自本条以下收到发票后付款</t>
  </si>
  <si>
    <t>经商务确认，原先保留的光3309于2021年3月31日退租</t>
  </si>
  <si>
    <t>土城-百度大厦</t>
  </si>
  <si>
    <t>2月19日，土城退租，同时退光纤，经商务确认，2月整月计提，对账时确认具体退租时间，光7163</t>
  </si>
  <si>
    <t>2月19日，土城退租，同时退光纤，经商务确认，2月整月计提，对账时确认具体退租时间，光7548</t>
  </si>
  <si>
    <t>酒仙桥-上地</t>
  </si>
  <si>
    <t>光8801</t>
  </si>
  <si>
    <t>土城-酒仙桥</t>
  </si>
  <si>
    <t>2月19日，土城退租，同时退光纤，经商务确认，2月整月计提，对账时确认具体退租时间，光8803</t>
  </si>
  <si>
    <t>酒仙桥-土城</t>
  </si>
  <si>
    <t>2月19日，土城退租，同时退光纤，经商务确认，2月整月计提，对账时确认具体退租时间，光8804</t>
  </si>
  <si>
    <t>次渠-M1</t>
  </si>
  <si>
    <t>光12238</t>
  </si>
  <si>
    <t>次渠机房退租，同时退光纤，退租时间1月10日</t>
  </si>
  <si>
    <t>光12239</t>
  </si>
  <si>
    <t>次渠-百度大厦</t>
  </si>
  <si>
    <t>光12236</t>
  </si>
  <si>
    <t>光12237</t>
  </si>
  <si>
    <t>182215IDC00069</t>
  </si>
  <si>
    <t>长途传输</t>
  </si>
  <si>
    <t>青岛滨海到南京8M</t>
  </si>
  <si>
    <t>ANE0022NP</t>
  </si>
  <si>
    <t>181915IDC00127</t>
  </si>
  <si>
    <t>窦店-酒仙桥</t>
  </si>
  <si>
    <t>2019年1月20日开通，自然月计费。</t>
  </si>
  <si>
    <t>窦店-百度科技园</t>
  </si>
  <si>
    <t>2019年2月25日开通，自然月计费。</t>
  </si>
  <si>
    <t>181915IDC00128</t>
  </si>
  <si>
    <t>2019年1月25日开通，自然月计费。</t>
  </si>
  <si>
    <t>窦店-亦庄</t>
  </si>
  <si>
    <t>2018年12月26日开通，自然月计费。</t>
  </si>
  <si>
    <t>2019年1月9日开通，自然月计费。</t>
  </si>
  <si>
    <t>窦店-次渠</t>
  </si>
  <si>
    <t>2019年2月27日开通，自然月计费。</t>
  </si>
  <si>
    <t>窦店-万国百度机房</t>
  </si>
  <si>
    <t>大兴奇艺日上-百度窦店，23年2月10日停止计费</t>
  </si>
  <si>
    <t>181915IDC00331</t>
  </si>
  <si>
    <t>次渠-亦庄</t>
  </si>
  <si>
    <t>9月新开通光纤</t>
  </si>
  <si>
    <t>182115IDC00640</t>
  </si>
  <si>
    <t>百度科技园-窦店</t>
  </si>
  <si>
    <t>20210621开通，开始计费时间20210701，酒仙桥恒通A路</t>
  </si>
  <si>
    <t>20210621开通，开始计费时间20210701，酒仙桥恒通B路</t>
  </si>
  <si>
    <t>20210621开通，开始计费时间20210701，太和桥百度A</t>
  </si>
  <si>
    <t>20210621开通，开始计费时间20210701，太和桥百度B</t>
  </si>
  <si>
    <t>20210621开通，开始计费时间20210701，上地科技园A</t>
  </si>
  <si>
    <t>20210621开通，开始计费时间20210701，上地科技园B</t>
  </si>
  <si>
    <t>L20230223007</t>
  </si>
  <si>
    <t>IP 代播费用</t>
  </si>
  <si>
    <t>新增IP 代播费用，2个C ，每月5000.</t>
  </si>
  <si>
    <t>CDN次渠</t>
  </si>
  <si>
    <t>北京2联通</t>
  </si>
  <si>
    <t>CDNBJUN2</t>
  </si>
  <si>
    <t>CDN节点2019年1月22日开通6个机柜。13A机柜单价为5250元，每增加1A的单价增加260元。</t>
  </si>
  <si>
    <t>BJ2UN6F-4-7,BJ2UN6F-4-8,BJ2UN6F-4-9,BJ2UN6F-4-10,BJ2UN6F-4-11,BJ2UN6F-4-12</t>
  </si>
  <si>
    <t>123.125.132.0/24 123.125.133.224/27</t>
  </si>
  <si>
    <t>20220531退租，123.125.132.0/24 123.125.133.224/27</t>
  </si>
  <si>
    <t>111.206.76.0/24 111.206.77.0/24 111.206.77.128/25</t>
  </si>
  <si>
    <t>20220531退租，111.206.76.0/24 111.206.77.0/24 111.206.77.128/25</t>
  </si>
  <si>
    <t>L20221228017</t>
  </si>
  <si>
    <t>2019-7关闭1个端口。租用联通6个BGP端口，每端口流量不足4G则收取占用费，实际4个端口未达标-正预提</t>
  </si>
  <si>
    <t>新合同2个端口占用费</t>
  </si>
  <si>
    <t>L20221228016</t>
  </si>
  <si>
    <t>IDC带宽端口占用费</t>
  </si>
  <si>
    <t>土城24-土城24、次渠18-次渠18、窦店20+12-2</t>
  </si>
  <si>
    <t>窦店联通</t>
  </si>
  <si>
    <t>历史开通
2019/1/25
20220401</t>
  </si>
  <si>
    <t>202204起，每月5个端口占用费，次渠退租，无端口占用费，2021年新合同约定：2021年4月1日后端口占用费：万兆接入端口。保底端口利用率不小于20%。低于20%，每增加一个端口，每月支付端口占用费2500元。本协议2021年4月1日后免费端口为35个。之前合同约定：达到保底100G，免费50个端口的占用费。共63个端口。201907月关闭一个端口-系统无法自动生成，做正预提</t>
  </si>
  <si>
    <t>中金转到北京联通，业务编号：28759395 ， 中债登</t>
  </si>
  <si>
    <t>20220308退租。中金转到北京联通，业务编号：28759395 ， 中债登</t>
  </si>
  <si>
    <t>中金转到北京联通，业务编号：28762319 ， 人行</t>
  </si>
  <si>
    <t>中金转到北京联通，业务编号：28776179 ， 中国外汇交易中心</t>
  </si>
  <si>
    <t>中金转到北京联通，业务编号：32437191 ， 中债登</t>
  </si>
  <si>
    <t>20220308退租。中金转到北京联通，业务编号：32437191 ， 中债登</t>
  </si>
  <si>
    <t>2020/5/7
2022/8/19</t>
  </si>
  <si>
    <t>10M→20M</t>
  </si>
  <si>
    <t>中金转到北京联通，业务编号：37967171，百度汇天机房</t>
  </si>
  <si>
    <t>中金转到北京联通，业务编号：28776500 ， 上清所</t>
  </si>
  <si>
    <t>2020/5/7，2021/3/22</t>
  </si>
  <si>
    <t>4M→2M</t>
  </si>
  <si>
    <t>2021年3月22日，4M降速为2M，中金转到北京联通，业务编号：32436855 ， 天津</t>
  </si>
  <si>
    <t>2020/5/7，2021/4/26</t>
  </si>
  <si>
    <t>2021年4月26日，4M降速为2M，中金转到北京联通，5月8日新开通，业务编号：37976297</t>
  </si>
  <si>
    <t>预计10月30日升速至4M，中金转到北京联通，业务编号：28734505 ， 银监会</t>
  </si>
  <si>
    <t>20220810退租。业务编号：28734505 ， 银监会</t>
  </si>
  <si>
    <t xml:space="preserve">中金转到北京联通，业务编号：28733572 ， 百悟科技 </t>
  </si>
  <si>
    <t xml:space="preserve">20220420退租，中金转到北京联通，业务编号：28733572 ， 百悟科技 </t>
  </si>
  <si>
    <t xml:space="preserve">专线28726821升速(6M-10M)完成时间为,2021年1月6日,中金转到北京联通，2020年2月3日降速为6M:业务编号：28726821 ， 本端：743机房B03隔笼E02机柜
对端：朝阳门北大街21号电信大厦二层机房 中信银行 </t>
  </si>
  <si>
    <t>2020/4/14，2021/3/15</t>
  </si>
  <si>
    <t>8M→4M</t>
  </si>
  <si>
    <t>2021年3月15日，8M降速为4M，中金转到北京联通，业务编号：28742883 ， 银联</t>
  </si>
  <si>
    <t xml:space="preserve">中金转到北京联通，业务编号：28727771 ， 本端：743机房B03隔笼E02机柜
对端：北京南六环太和桥南瑞合西二路和瑞和东一街交口百度亦庄数据中心百度 李皓琦18516551024 </t>
  </si>
  <si>
    <t>中金转到北京联通，业务编号：28727767 ， 本端：743机房B03隔笼E02机柜
对端：北京市西城区月坛南街79号三层东侧科技处机房 人行孙昊68559622/13466521412</t>
  </si>
  <si>
    <t>中金转到北京联通，业务编号：28730815 ， 本端：743机房B03隔笼E02机柜。3月21日降速至10M，
对端：北京市西城区德胜门外大街79号德胜国际C座三层机房人行周密15901017884</t>
  </si>
  <si>
    <t>182015IDC00210</t>
  </si>
  <si>
    <t>L20230223008</t>
  </si>
  <si>
    <t>20200714开始计费，4个C</t>
  </si>
  <si>
    <t>L20210726002</t>
  </si>
  <si>
    <t>CQ02和M1</t>
  </si>
  <si>
    <t>BGPIP代播免费182015IDC00257</t>
  </si>
  <si>
    <t>中国联合网络通信有限公司</t>
  </si>
  <si>
    <t>联通集团</t>
  </si>
  <si>
    <t>L20221226005</t>
  </si>
  <si>
    <t>合同约定每年赠送一个月测试期，11月付20.10-21.09，21年10月免费，21年11月-22年10月为一周期，22年11月免费，联通云盾服务合同，需要注意有新合同182015IDC00226修改账户为中国联合网络通信有限公司，工行长安支行0200003309221111116</t>
  </si>
  <si>
    <t>中国移动通信集团北京有限公司</t>
  </si>
  <si>
    <t>北京移动</t>
  </si>
  <si>
    <t>L20221228014</t>
  </si>
  <si>
    <t>北京基地</t>
  </si>
  <si>
    <t>CDNBJCM</t>
  </si>
  <si>
    <t>免费512个，sys反馈使用288个，9月1号开始先款后票</t>
  </si>
  <si>
    <t>2019年1月新增,2020年9月1号开始见票付款</t>
  </si>
  <si>
    <t>BJCM3F-D-06,BJCM3F-D-05,BJCM3F-D-03,BJCM3F-D-02,BJCM3F-D-07</t>
  </si>
  <si>
    <t>181815IDC00176</t>
  </si>
  <si>
    <t>北京日上</t>
  </si>
  <si>
    <t>BJRS、QYRS</t>
  </si>
  <si>
    <t>60A</t>
  </si>
  <si>
    <t>·</t>
  </si>
  <si>
    <t>181915IDC00120</t>
  </si>
  <si>
    <t>12月新增，合同签署中</t>
  </si>
  <si>
    <t>1月新增，合同签署中</t>
  </si>
  <si>
    <t>QYRS</t>
  </si>
  <si>
    <t>QYRS102-A-01
QYRS114-C-10
QYRS114-C-11
QYRS114-C-12
QYRS114-C-05
QYRS114-C-06
QYRS114-C-07
QYRS114-C-08
QYRS114-C-09
QYRS114-D-01</t>
  </si>
  <si>
    <t>QYRS110-C-15
QYRS110-C-16
QYRS110-C-17
QYRS110-D-14
QYRS110-D-15
QYRS110-D-16
QYRS110-D-17
QYRS110-D-18
QYRS110-D-19
QYRS110-F-14
QYRS110-F-15
QYRS110-F-16</t>
  </si>
  <si>
    <t>QYRS102-B-10
QYRS102-B-11
QYRS102-B-12
QYRS102-C-04
QYRS102-C-05
QYRS102-C-06
QYRS102-C-07
QYRS102-C-08
QYRS102-C-09
QYRS102-C-10
QYRS102-C-11
QYRS102-C-12
QYRS102-C-13
QYRS102-C-14
QYRS102-C-15
QYRS109-A-19
QYRS109-A-20
QYRS109-J-01
QYRS114-B-12
QYRS114-B-13
QYRS114-D-10
QYRS114-D-11
QYRS114-E-10
QYRS114-E-11
QYRS114-E-12
QYRS114-E-13
QYRS114-J-10
QYRS114-J-11</t>
  </si>
  <si>
    <t>QYRS114-A-01
QYRS114-A-02
QYRS114-A-03
QYRS114-B-01
QYRS114-B-02
QYRS114-B-03
QYRS114-C-02
QYRS114-C-03
QYRS114-C-04
QYRS114-D-02
QYRS114-D-03
QYRS114-D-04
QYRS114-D-07
QYRS114-D-08
QYRS114-D-09
QYRS114-E-01
QYRS114-E-02
QYRS114-E-03
QYRS114-E-04
QYRS114-E-05
QYRS114-E-06
QYRS114-F-01
QYRS114-F-02
QYRS114-F-03
QYRS114-F-04
QYRS114-F-05
QYRS114-F-06
QYRS114-G-01
QYRS114-G-02
QYRS114-G-03
QYRS114-G-06
QYRS114-I-06
QYRS114-J-07
QYRS114-J-08
QYRS114-J-09</t>
  </si>
  <si>
    <t>QYRS110-C-12
QYRS110-C-13
QYRS110-E-01
QYRS110-E-03
QYRS110-E-07
QYRS110-E-08
QYRS110-E-15
QYRS110-E-18
QYRS110-E-19
QYRS110-F-02
QYRS110-F-03
QYRS110-F-04
QYRS110-F-05
QYRS110-F-06
QYRS110-F-07
QYRS110-F-08
QYRS110-F-09
QYRS110-F-10
QYRS110-F-11
QYRS110-F-12
QYRS110-F-13</t>
  </si>
  <si>
    <t>QYRS110-C-14
QYRS110-E-02
QYRS110-E-04
QYRS110-E-05
QYRS110-E-06
QYRS110-E-09
QYRS110-E-10
QYRS110-E-11
QYRS110-E-12
QYRS110-E-13
QYRS110-E-14
QYRS110-E-16
QYRS110-E-17
QYRS110-F-17
QYRS110-F-18</t>
  </si>
  <si>
    <t>BJRS</t>
  </si>
  <si>
    <t>BJRS110-F-01</t>
  </si>
  <si>
    <t>QYRS102-C-01
QYRS102-C-02
QYRS102-C-03
QYRS102-G-07
QYRS102-G-08
QYRS102-G-09
QYRS102-G-10
QYRS102-G-11
QYRS102-G-12
QYRS102-G-13
QYRS102-H-01
QYRS102-H-02
QYRS102-H-03
QYRS102-H-04
QYRS102-H-05
QYRS102-H-06
QYRS109-A-01
QYRS109-B-01
QYRS109-B-02
QYRS109-B-03
QYRS109-B-04
QYRS109-B-05
QYRS109-B-06
QYRS109-B-07
QYRS109-B-08
QYRS109-B-09
QYRS109-B-10
QYRS109-B-11
QYRS109-B-12
QYRS109-B-13
QYRS109-B-14
QYRS109-B-15
QYRS109-D-01
QYRS109-D-02
QYRS109-D-03
QYRS109-D-04
QYRS109-D-05
QYRS109-D-06
QYRS109-D-07
QYRS109-D-08
QYRS109-D-09
QYRS109-D-10
QYRS109-D-11
QYRS109-D-12
QYRS109-D-13
QYRS109-D-14
QYRS109-D-15
QYRS109-D-16
QYRS109-D-17
QYRS109-D-18
QYRS109-D-19
QYRS109-D-20
QYRS109-E-04
QYRS109-E-05
QYRS109-E-06
QYRS109-E-07
QYRS109-E-08
QYRS109-E-09
QYRS109-E-10
QYRS109-E-11
QYRS109-E-12
QYRS109-E-13
QYRS109-E-14
QYRS109-E-15
QYRS109-J-02
QYRS109-J-03
QYRS109-J-10
QYRS109-J-11
QYRS109-J-12
QYRS109-J-13
QYRS109-J-14
QYRS109-J-15
QYRS114-A-10
QYRS114-A-11
QYRS114-A-12
QYRS114-B-10
QYRS114-B-11
QYRS114-F-10
QYRS114-F-11
QYRS114-H-10
QYRS114-I-10
QYRS114-I-11
QYRS114-I-12
QYRS114-I-13
QYRS114-J-12
QYRS114-J-13
QYRS106-H-01
QYRS106-H-02
QYRS106-H-03
QYRS106-H-04
QYRS106-H-05
QYRS106-H-06
QYRS106-H-07
QYRS106-H-08
QYRS106-H-09
QYRS106-I-01
QYRS106-I-02
QYRS106-I-03
QYRS106-I-04
QYRS106-I-05
QYRS106-I-06
QYRS106-I-07
QYRS106-I-08
QYRS106-I-09
QYRS106-I-10
QYRS106-I-11
QYRS106-I-12
QYRS106-I-13
QYRS106-I-14
QYRS106-I-15
QYRS106-I-16
QYRS106-I-17
QYRS106-I-18
QYRS106-I-19
QYRS106-I-20
QYRS106-I-21
QYRS106-I-22
QYRS106-I-23
QYRS106-I-24
QYRS106-I-25
QYRS106-I-26
QYRS106-I-27
QYRS106-J-01
QYRS106-J-02
QYRS106-J-03
QYRS106-J-04
QYRS106-J-05
QYRS106-J-06
QYRS106-J-07
QYRS106-J-08
QYRS106-J-09
QYRS106-K-01
QYRS106-K-02
QYRS106-K-03
QYRS106-K-04
QYRS106-K-05
QYRS106-K-06
QYRS106-K-07
QYRS106-K-08
QYRS106-K-09
QYRS114-A-07
QYRS114-A-08
QYRS114-A-09
QYRS114-B-04
QYRS114-B-05
QYRS114-B-06
QYRS114-B-07
QYRS114-B-08
QYRS114-B-09
QYRS114-D-05
QYRS114-D-06
QYRS114-E-07
QYRS114-E-08
QYRS114-E-09
QYRS114-F-07
QYRS114-F-08
QYRS114-F-09
QYRS114-G-04
QYRS114-G-05
QYRS114-G-07
QYRS114-G-08
QYRS114-H-01
QYRS114-H-02
QYRS114-H-03
QYRS114-H-04
QYRS114-H-05
QYRS114-H-06
QYRS114-H-07
QYRS114-H-08
QYRS114-H-09
QYRS114-I-01
QYRS114-I-02
QYRS114-I-03
QYRS114-I-04
QYRS114-I-05
QYRS114-I-07
QYRS114-I-08
QYRS114-I-09
QYRS114-J-01
QYRS114-J-02
QYRS114-J-03
QYRS114-J-04
QYRS114-J-05
QYRS114-J-06
QYRS114-A-04
QYRS114-A-05
QYRS114-A-06</t>
  </si>
  <si>
    <t>BJRS110-C-12
BJRS110-C-13
BJRS110-C-15
BJRS110-C-16
BJRS110-C-17
BJRS110-D-14
BJRS110-D-15
BJRS110-D-16
BJRS110-D-17
BJRS110-D-18
BJRS110-E-01
BJRS110-E-02
BJRS110-E-03
BJRS110-E-04
BJRS110-E-05
BJRS110-E-06
BJRS110-E-07
BJRS110-E-08
BJRS110-E-09
BJRS110-E-10
BJRS110-E-11
BJRS110-E-12
BJRS110-E-13
BJRS110-E-14
BJRS110-E-15</t>
  </si>
  <si>
    <t>BJRS110-E-16
BJRS110-E-17
BJRS110-E-18
BJRS110-E-19</t>
  </si>
  <si>
    <t>QYRS114-F-12
QYRS114-F-13
QYRS114-G-09
QYRS114-G-10</t>
  </si>
  <si>
    <t>QYRS102-A-02
QYRS102-A-03
QYRS102-A-04
QYRS102-A-05
QYRS102-A-06
QYRS102-A-07
QYRS102-A-08
QYRS102-A-09
QYRS102-A-10
QYRS102-A-11
QYRS102-A-12
QYRS102-A-13
QYRS102-A-14
QYRS102-A-15
QYRS102-A-16
QYRS102-A-17
QYRS102-A-18
QYRS102-A-19
QYRS102-B-01
QYRS102-B-02
QYRS102-B-03
QYRS102-B-04
QYRS102-B-05
QYRS102-B-06
QYRS102-B-07
QYRS102-B-08
QYRS102-B-09
QYRS102-B-13
QYRS102-B-14
QYRS102-B-15
QYRS102-B-16
QYRS102-B-17
QYRS102-B-18
QYRS102-B-19
QYRS102-D-01
QYRS102-D-02
QYRS102-D-03
QYRS102-D-04
QYRS102-D-05
QYRS102-D-06
QYRS102-D-07
QYRS102-D-08
QYRS102-D-09
QYRS102-D-10
QYRS102-D-11
QYRS102-D-12
QYRS102-D-13
QYRS102-D-14
QYRS102-D-15
QYRS102-D-16
QYRS102-D-17
QYRS102-D-18
QYRS102-D-19
QYRS102-E-01
QYRS102-E-02
QYRS102-E-03
QYRS102-E-04
QYRS102-E-05
QYRS102-E-06
QYRS102-E-07
QYRS102-E-08
QYRS102-E-09
QYRS102-E-10
QYRS102-E-11
QYRS102-E-12
QYRS102-E-13
QYRS102-E-14
QYRS102-E-15
QYRS102-E-16
QYRS102-E-17
QYRS102-E-18
QYRS102-E-19
QYRS102-F-01
QYRS102-F-02
QYRS102-F-03
QYRS102-F-04
QYRS102-F-05
QYRS102-F-06
QYRS102-F-07
QYRS102-F-08
QYRS102-F-09
QYRS102-F-10
QYRS102-F-11
QYRS102-F-12
QYRS102-F-13
QYRS102-F-14
QYRS102-F-15
QYRS102-F-16
QYRS102-F-17
QYRS102-F-18
QYRS102-F-19
QYRS102-G-01
QYRS102-G-02
QYRS102-G-03
QYRS102-G-04
QYRS102-G-05
QYRS102-G-06
QYRS102-G-14
QYRS102-G-15
QYRS102-H-07
QYRS102-H-08
QYRS102-H-09
QYRS102-H-10
QYRS102-H-11
QYRS102-H-12
QYRS102-H-13
QYRS102-H-14
QYRS102-H-15
QYRS102-I-05
QYRS102-I-06
QYRS102-I-07
QYRS102-I-08
QYRS102-I-09
QYRS102-I-10
QYRS102-I-11
QYRS102-I-12
QYRS102-I-13
QYRS102-I-14
QYRS102-I-15
QYRS102-I-16
QYRS102-I-17
QYRS102-I-18
QYRS102-I-19
QYRS102-J-02
QYRS102-J-03
QYRS102-J-04
QYRS109-A-02
QYRS109-A-03
QYRS109-A-04
QYRS109-A-05
QYRS109-A-06
QYRS109-A-07
QYRS109-A-08
QYRS109-A-09
QYRS109-A-10
QYRS109-A-11
QYRS109-A-12
QYRS109-A-13
QYRS109-A-14
QYRS109-A-15
QYRS109-A-16
QYRS109-A-17
QYRS109-A-18
QYRS109-B-16
QYRS109-B-17
QYRS109-B-18
QYRS109-B-19
QYRS109-B-20
QYRS109-C-01
QYRS109-C-02
QYRS109-C-03
QYRS109-C-04
QYRS109-C-05
QYRS109-C-06
QYRS109-C-07
QYRS109-C-08
QYRS109-C-09
QYRS109-C-10
QYRS109-C-11
QYRS109-C-12
QYRS109-C-13
QYRS109-C-14
QYRS109-C-15
QYRS109-E-01
QYRS109-E-02
QYRS109-E-03
QYRS109-E-16
QYRS109-E-17
QYRS109-E-18
QYRS109-E-19
QYRS109-E-20
QYRS109-F-01
QYRS109-F-02
QYRS109-F-03
QYRS109-F-04
QYRS109-F-05
QYRS109-F-06
QYRS109-F-07
QYRS109-F-08
QYRS109-F-09
QYRS109-F-10
QYRS109-F-11
QYRS109-F-12
QYRS109-F-13
QYRS109-F-14
QYRS109-F-15
QYRS109-F-16
QYRS109-F-17
QYRS109-F-18
QYRS109-F-19
QYRS109-F-20
QYRS109-G-01
QYRS109-G-02
QYRS109-G-03
QYRS109-G-04
QYRS109-G-05
QYRS109-G-06
QYRS109-G-07
QYRS109-G-08
QYRS109-G-09
QYRS109-G-10
QYRS109-G-11
QYRS109-G-12
QYRS109-G-13
QYRS109-G-14
QYRS109-G-15
QYRS109-G-16
QYRS109-G-17
QYRS109-G-18
QYRS109-G-19
QYRS109-G-20
QYRS109-H-01
QYRS109-H-02
QYRS109-H-03
QYRS109-H-04
QYRS109-H-05
QYRS109-H-06
QYRS109-H-07
QYRS109-H-08
QYRS109-H-09
QYRS109-H-10
QYRS109-H-11
QYRS109-H-12
QYRS109-H-13
QYRS109-H-14
QYRS109-H-15
QYRS109-H-16
QYRS109-I-01
QYRS109-I-02
QYRS109-I-03
QYRS109-I-04
QYRS109-I-05
QYRS109-I-06
QYRS109-I-07
QYRS109-I-08
QYRS109-I-09
QYRS109-I-10
QYRS109-I-11
QYRS109-I-12
QYRS109-I-13
QYRS109-I-14
QYRS109-I-15
QYRS109-I-16
QYRS109-I-17
QYRS109-I-18
QYRS109-I-19
QYRS109-I-20
QYRS109-J-04
QYRS109-J-05
QYRS109-J-06
QYRS109-J-07
QYRS109-J-08
QYRS109-J-09
QYRS109-J-16
QYRS109-J-17
QYRS109-J-18
QYRS109-J-19
QYRS109-J-20</t>
  </si>
  <si>
    <t>BJRS106-H-01
BJRS106-H-02
BJRS106-H-03
BJRS106-H-04
BJRS106-H-05</t>
  </si>
  <si>
    <t>BJRS106-H-06</t>
  </si>
  <si>
    <t>BJRS110-F-02
BJRS110-F-03
BJRS110-F-04
BJRS110-F-05
BJRS110-F-06
BJRS110-F-07
BJRS110-F-08</t>
  </si>
  <si>
    <t>BJRS110-F-11
BJRS110-F-12
BJRS110-F-13
BJRS110-F-14</t>
  </si>
  <si>
    <t>BJRS110-D-19</t>
  </si>
  <si>
    <t>BJRS110-C-14
BJRS110-F-09
BJRS110-F-10
BJRS110-F-15</t>
  </si>
  <si>
    <t>BJRS110-F-16
BJRS110-F-18</t>
  </si>
  <si>
    <t>BJRS110-F-17
BJRS110-F-19</t>
  </si>
  <si>
    <t>BJRS106-J-01
BJRS106-J-02
BJRS106-J-03</t>
  </si>
  <si>
    <t>BJRS106-H-07
BJRS106-H-08
BJRS106-H-09
BJRS106-I-01
BJRS106-I-02</t>
  </si>
  <si>
    <t>杨星反馈机架空置费从202009先计提，至于付款需要与商务确认后再进行支付。2.3.5 自数据中心机房模块场地验收合格之日起12个月内，甲方承诺开通机柜数为780个。若甲方实际开通机柜数少于780个的，前述12个月按照每月实际开通机柜数计费；自第13个月起，已开通的机柜部分则以合同第2.1条约定的机柜标准月服务费即每机柜人民币6200元/机柜/月为基数计费，未达780个机柜部分以每机柜人民币3200元/机柜/月为基数按（780个-已开通机柜数）计算保底服务费。若甲方实际开通机柜超过780个，则以机柜标准月服务费即每机柜人</t>
  </si>
  <si>
    <t>经商务杨星确认，无需计提</t>
  </si>
  <si>
    <t>机架空置费：2、 甲方承诺按照如下进度开通机柜：自数据中心机房场地验收合格之日起的3个月内，甲方承诺开通30个机柜（以下简称第一批机柜），开通日最迟不晚于自数据中心机房模块场地验收合格之日的3个月期满之日（以下简称“第一默认开通日”）。开通的机柜则以原合同第2.1条约定的机柜标准月服务费即每机柜人民币6200元/机柜/月为基数计费。若甲方在第一默认开通日所开通机柜超过30个，则以合同第2.1条约定的机柜标准月服务费即每机柜人民币6200元/机柜/月为基数按实际开通机柜数计费。自第4个月起，未达30个机柜部分以每机柜人民币3200元/机柜/月为基数按（30个-已开通机柜数）计算保底服务费直至该等机柜实际开通为止。</t>
  </si>
  <si>
    <t>大兴奇艺日上-百度酒仙桥，23年2月28日停止计费</t>
  </si>
  <si>
    <t>181915IDC00099</t>
  </si>
  <si>
    <t>大白楼+三台+顺义</t>
  </si>
  <si>
    <t>大白楼移动、三台移动、华威移动</t>
  </si>
  <si>
    <t>赠送5120个的IP</t>
  </si>
  <si>
    <t>顺义华威</t>
  </si>
  <si>
    <t>2019年6月计提更新数据，24KW核心机柜1</t>
  </si>
  <si>
    <t>2019年6月计提更新数据，9KW核心机柜2</t>
  </si>
  <si>
    <t>2019年6月计提更新数据，4.4KW核心机柜3</t>
  </si>
  <si>
    <t>2019年6月计提更新数据，MDF</t>
  </si>
  <si>
    <t>需要注意有2个盘点发现未使用，2019年6月计提更新数据,ODF，</t>
  </si>
  <si>
    <t>ODF,BJHWA204-H-04、BJHWA204-J-08 ,财务202008盘点发现未使用，</t>
  </si>
  <si>
    <t>2019年6月计提更新数据,LEAF 机柜</t>
  </si>
  <si>
    <t>2019年6月计提更新数据，标准机柜</t>
  </si>
  <si>
    <t>2019年4月4日开通B203-M-04至M-07共4个标准机柜</t>
  </si>
  <si>
    <t>4月19日开通B203-M-08至M-11共4个机标准柜。</t>
  </si>
  <si>
    <t>BJHWB201-H-01标准机柜    开通时间为2019-6-13</t>
  </si>
  <si>
    <t>BJHWB201-H-02标准机柜    开通时间为2019-6-14</t>
  </si>
  <si>
    <t>7月新增</t>
  </si>
  <si>
    <t>8月新增：BJHWB201-F-11</t>
  </si>
  <si>
    <t>10月新增标准机柜</t>
  </si>
  <si>
    <t>12月新增标准机柜</t>
  </si>
  <si>
    <t>12月新增核心机柜3</t>
  </si>
  <si>
    <t>11月新增核心机柜3</t>
  </si>
  <si>
    <t>2020/3/11关闭</t>
  </si>
  <si>
    <t>关闭核心机柜3，顺义华威机架的计提数据已包含超电流价格，核对后冲销</t>
  </si>
  <si>
    <t>182115IDC00530</t>
  </si>
  <si>
    <t>合同预审，单价7300，开始计费时间2021年4月13日， 先进行计提，付款前需与杨星确认，快手业务机柜BJHWB202-L-01、BJHWB201-K-02、BJHWB201-K-01、BJHWB203-M-03、BJHWB203-M-02、BJHWB203-L-02、BJHWB203-L-01、BJHWB202-M-03、BJHWB202-M-02、BJHWB202-L-02
BJHWB201-K-01
BJHWB203-M-03
BJHWB203-M-02
BJHWB203-L-02
BJHWB203-L-01
BJHWB202-M-03
BJHWB202-M-02
BJHWB202-L-02</t>
  </si>
  <si>
    <t xml:space="preserve">BJHWA204-I-06
BJHWA204-I-08
BJHWB204-C-07
BJHWB204-C-08
BJHWB204-C-09
BJHWB204-C-10
BJHWB204-D-02
</t>
  </si>
  <si>
    <t>BJHWB201-K-13 BJHWB201-K-14 BJHWB201-K-15 BJHWB201-L-13 BJHWB201-L-14BJHWB201-L-15</t>
  </si>
  <si>
    <t>BJHWA204-L-05、BJHWA204-L-06</t>
  </si>
  <si>
    <t>BJHWB201-K-13、BJHWB201-K-14、BJHWB201-K-15、BJHWB201-L-13、BJHWB201-L-14、BJHWB201-L-15</t>
  </si>
  <si>
    <t xml:space="preserve">BJHWA204-K-09
BJHWA204-L-07
BJHWA204-L-08
</t>
  </si>
  <si>
    <t>BJHWB201-L-02</t>
  </si>
  <si>
    <t>BJHWB204-B-02
BJHWB204-C-05
BJHWB204-C-06
BJHWB204-D-03
BJHWB204-D-04
BJHWB204-D-05</t>
  </si>
  <si>
    <t xml:space="preserve">合同预审，单价7300，开始计费时间2021年4月13日，BJHWB201-M-01
BJHWB201-M-02
BJHWB201-M-03
BJHWB201-M-04
BJHWB201-M-05
BJHWB201-M-06
BJHWB201-M-07
BJHWB201-M-08
BJHWB201-M-09
BJHWB201-M-10
BJHWB201-M-11
BJHWB201-M-12
BJHWB201-M-13
BJHWB201-M-14
</t>
  </si>
  <si>
    <t>BJHWA201-J-14
BJHWA201-J-15
BJHWA201-J-16</t>
  </si>
  <si>
    <t>L20230331004</t>
  </si>
  <si>
    <t>BJHWB204-C-07
BJHWB204-D-02</t>
  </si>
  <si>
    <t>BJHWA204-H-04
BJHWA204-I-06</t>
  </si>
  <si>
    <t xml:space="preserve">2.3.1 自数据中心机房场地验收合格之日起的6个月内，甲方承诺开通至少【509】个机柜（“第一批机柜”），该等机柜的机柜开通日最迟不晚于自数据中心机房场地验收合格之日的6个月期满之日（ “第一默认开通日”）。第一默认开通日之前实际开通的机柜按照本合同第2.1条约定的计费标准收取机柜服务费。为避免疑义，实际开通的机柜多于509个的，多出的机柜仍按照本合同第2.1条的约定收取机柜服务费。实际开通的机柜不足509个的，差额机柜（509-实际开通的机柜数量）按照3,200元/月/每20A机柜从机房场地验收合格之日起的6个月届满之日起计收机柜空置费，每个差额机柜的机柜空置费计收至该机柜实际开通之日止（不足一个月的按实际空置的时间进行折算），差额机柜实际开通之后将按照本合同第2.1条约定的标准计收机柜服务费。机柜开通之后如果出现临时下电的情况，按照2.3.4条的规定处理。
2.3.2 自数据中心机房场地验收合格之日起的12个月内，甲方承诺开通至少【1,091】个机柜，即除第一批机柜外，新增开通不少于【582】个机柜（“第二批机柜”），该等机柜的开通日最迟不晚于自数据中心机房场地验收合格之日起的12个月期满之日（ “第二默认开通日”），第二默认开通日前实际开通的机柜按照本合同第2.1条约定的计费标准收取机柜服务费。 为避免疑义，实际开通的机柜多于1,091个的，多出的机柜仍按照本合同第2.1条的约定收取机柜服务费。实际开通的机柜不足1,091个的，差额机柜（1,091-实际开通的机柜数量）按照3,200元/月/每20A机柜从机房场地验收合格之日起的12个月届满之日起计收机柜空置费，每个差额机柜的机柜空置费计收至该机柜实际开通之日止（不足一个月的按实际空置的时间进行折算），差额机柜实际开通之后将按照本合同第2.1条约定的标准计收机柜服务费。机柜开通之后如果出现临时下电的情况，按照2.3.4条的规定处理。
2.3.3 自数据中心机房场地验收合格之日起的18个月内，甲方承诺开通至少【1,309】个机柜，即除第一批机柜及第二批机柜外，新增开通不少于218个机柜（“第三批机柜”），该等机柜的开通日最迟不晚于自数据中心机房场地验收合格之日起的18个月期满之日（ “第三默认开通日”），第三默认开通日前实际开通的机柜按照本合同第2.1条约定的计费标准收取机柜服务费。为避免疑义，实际开通的机柜多于1,309个的，多出的机柜仍按照本合同第2.1条的约定收取机柜服务费。实际开通的机柜不足1,309个的，差额机柜（1,309-实际开通的机柜数量）按照3,200元/月/机柜从机房场地验收合格之日起的18个月届满之日起计收机柜空置费，每个差额机柜的机柜空置费计收至该机柜实际开通之日止（不足一个月的按实际空置的时间进行折算），差额机柜实际开通之后将按照本合同第2.1条约定的标准计收机柜服务费。
2.4 本合同2.1条中涉及的1,454个机柜中尚未开通的剩余145个机柜，乙方承诺为甲方免费预留。如果甲方开通剩余145个机柜，乙方将按照本合同第2.1条的收费标准进行收费。
2.5 乙方应在服务期内向甲方提供【附件一《工作内容说明(Scope of Work)和服务说明(Services Level Agreement)》】中所述的服务（“服务”），且必须按附件一规定的服务水平（“服务水平”）提供服务。
</t>
  </si>
  <si>
    <t>顺义万国机房-闫家营汇聚-百度酒仙桥机房</t>
  </si>
  <si>
    <t>顺义万国机房-牛栏山汇聚-百度酒仙桥机房</t>
  </si>
  <si>
    <t>顺义万国机房-金科帕提欧汇聚-百度科技园</t>
  </si>
  <si>
    <t>顺义万国机房-闫家营汇聚-百度科技园</t>
  </si>
  <si>
    <t>L20200825002</t>
  </si>
  <si>
    <t>黑洞服务</t>
  </si>
  <si>
    <t>无</t>
  </si>
  <si>
    <t>L20221026007</t>
  </si>
  <si>
    <t>三台一期</t>
  </si>
  <si>
    <t>ST01</t>
  </si>
  <si>
    <t>ST01和DBL先款后票，5-9月未对账，对账单有点问题</t>
  </si>
  <si>
    <t>12KW机架2个各按4个计费</t>
  </si>
  <si>
    <t>9KW机架2个各按3个计费</t>
  </si>
  <si>
    <t xml:space="preserve">13A </t>
  </si>
  <si>
    <t>7月反馈退租</t>
  </si>
  <si>
    <t>2019/11/29关闭</t>
  </si>
  <si>
    <t>ST01204-A-11/12，12KW机架2个各按4个计费</t>
  </si>
  <si>
    <t>202001退租</t>
  </si>
  <si>
    <t>202001退租，9KW机架2个各按3个计费</t>
  </si>
  <si>
    <t>三台二期</t>
  </si>
  <si>
    <t xml:space="preserve">3月新增。机架位编号：ST01303-F-19。开通时间为SYS侧。 </t>
  </si>
  <si>
    <t>2019/11/30关闭</t>
  </si>
  <si>
    <t>运营商侧不计费，进行关闭。</t>
  </si>
  <si>
    <t>10月反馈ST01206-B-23 退租</t>
  </si>
  <si>
    <t>10月反馈：二期84个机柜暂时关闭，不退租</t>
  </si>
  <si>
    <t>2020/4/4关闭</t>
  </si>
  <si>
    <t>ST01201-H-23</t>
  </si>
  <si>
    <t>L20210628006</t>
  </si>
  <si>
    <t xml:space="preserve">经系统部盘点，历史开通6个63A机柜，63A机架6个各按5个计费，ST01204-A-13
ST01204-A-14
ST01201-A-05
ST01201-A-06
ST01201-A-07
ST01201-A-08
</t>
  </si>
  <si>
    <t>经系统部盘点，历史开通2个13A机柜，ST01204-B-03，ST01204-B-04</t>
  </si>
  <si>
    <t>经系统部盘点，历史开通2个0A机柜，ST01201-A-01，ST01201-A-02</t>
  </si>
  <si>
    <t>13 A</t>
  </si>
  <si>
    <t>ST01204-B-03</t>
  </si>
  <si>
    <t>ST01303-A-12</t>
  </si>
  <si>
    <t>移动大白楼</t>
  </si>
  <si>
    <t>DBL</t>
  </si>
  <si>
    <t>2018年7月2日开通</t>
  </si>
  <si>
    <t>2018年7月26日开通，该月批不完需要做正预提，如果批完系统自动出数</t>
  </si>
  <si>
    <t>L20200331001</t>
  </si>
  <si>
    <t>布线柜(DBL3F-E-06\09, 
DBL3F-F-06\09)，收取占用费</t>
  </si>
  <si>
    <t>2020/4/30关闭</t>
  </si>
  <si>
    <t>DBL3F-D-18</t>
  </si>
  <si>
    <t>DBL1F-B-02
DBL1F-B-04
DBL1F-B-05
DBL1F-B-06
DBL1F-B-07
DBL1F-B-08
DBL1F-B-09
DBL1F-B-10
DBL1F-B-11
DBL1F-B-12
DBL1F-B-13
DBL1F-B-14
DBL1F-B-15
DBL1F-B-16
DBL1F-B-17
DBL1F-B-18
DBL1F-C-01
DBL1F-C-02
DBL1F-C-03
DBL1F-C-04
DBL1F-C-05
DBL1F-C-06
DBL1F-C-07
DBL1F-C-08
DBL1F-C-09
DBL1F-C-11
DBL1F-C-12
DBL1F-C-13
DBL1F-C-14
DBL1F-C-15
DBL1F-C-16
DBL1F-C-17
DBL1F-D-02
DBL1F-D-03
DBL1F-D-04
DBL1F-D-05
DBL1F-D-06
DBL1F-D-07
DBL1F-D-08
DBL1F-D-09
DBL1F-D-10
DBL1F-D-11
DBL1F-D-12
DBL1F-D-13
DBL1F-D-14
DBL1F-D-15
DBL1F-D-16
DBL1F-D-17
DBL3F-B-02
DBL3F-B-03
DBL3F-B-04
DBL3F-B-05
DBL3F-B-06
DBL3F-B-07
DBL3F-B-08
DBL3F-B-09
DBL3F-B-12
DBL3F-B-13
DBL3F-B-14
DBL3F-B-15
DBL3F-B-16
DBL3F-B-17
DBL3F-C-01
DBL3F-C-04
DBL3F-C-05
DBL3F-C-06
DBL3F-C-07
DBL3F-C-08
DBL3F-C-09
DBL3F-C-11
DBL3F-C-12
DBL3F-C-13
DBL3F-C-14
DBL3F-C-15
DBL3F-C-16
DBL3F-C-17
DBL3F-D-02
DBL3F-D-03
DBL3F-D-04
DBL3F-D-05
DBL3F-D-06
DBL3F-D-08
DBL3F-D-10
DBL3F-D-11
DBL3F-D-12
DBL3F-D-13
DBL3F-D-14
DBL3F-D-15
DBL3F-D-16
DBL3F-D-17
DBL3F-G-15
DBL3F-G-16
DBL3F-G-17
DBL3F-H-02
DBL3F-H-05
DBL3F-H-06
DBL3F-H-07
DBL3F-H-08
DBL3F-H-09
DBL3F-H-10
DBL3F-H-11
DBL3F-H-12
DBL3F-H-13
DBL3F-H-14
DBL3F-H-15
DBL3F-H-16
DBL3F-H-17
DBL3F-H-18
DBL3F-I-01
DBL3F-I-02
DBL3F-I-03
DBL3F-I-04
DBL3F-I-05
DBL3F-I-06
DBL3F-I-07
DBL3F-I-08
DBL3F-I-09
DBL3F-I-10
DBL3F-I-11
DBL3F-I-12
DBL3F-I-13
DBL3F-I-14
DBL3F-I-15
DBL3F-I-16
DBL3F-I-17
DBL3F-J-02
DBL3F-J-03
DBL3F-J-04
DBL3F-J-05
DBL3F-J-06
DBL3F-J-07
DBL3F-J-08
DBL3F-J-09
DBL3F-J-10
DBL3F-J-11
DBL3F-J-12
DBL3F-J-13
DBL3F-J-14
DBL3F-J-15
DBL3F-J-16
DBL3F-J-17
DBL3F-J-18
DBL3F-K-01
DBL3F-K-02
DBL3F-K-03
DBL3F-K-04
DBL3F-K-05
DBL3F-K-06
DBL3F-K-07
DBL3F-K-08
DBL3F-K-09
DBL3F-K-11
DBL3F-K-12
DBL3F-K-13
DBL3F-K-14
DBL3F-K-15
DBL3F-K-16
DBL3F-K-17
DBL3F-L-02
DBL3F-L-03
DBL3F-L-04
DBL3F-L-05
DBL3F-L-06
DBL3F-L-08
DBL3F-L-10
DBL3F-L-11
DBL3F-L-12
DBL3F-L-13
DBL3F-L-14
DBL3F-L-15
DBL3F-L-16
DBL3F-L-17
DBL3F-L-18
DBL3F-M-01
DBL3F-M-02
DBL3F-M-03
DBL3F-M-04
DBL3F-M-05
DBL3F-M-06
DBL3F-M-07
DBL3F-M-08
DBL3F-M-09
DBL3F-M-10
DBL3F-M-11
DBL3F-M-12
DBL3F-M-13
DBL3F-M-14
DBL3F-M-15
DBL3F-M-16
DBL3F-M-17
DBL3F-N-02
DBL3F-N-03
DBL3F-N-04
DBL3F-N-05
DBL3F-N-06
DBL3F-N-07
DBL3F-N-08
DBL3F-N-09
DBL3F-N-10
DBL3F-N-11
DBL3F-N-12
DBL3F-N-13
DBL3F-N-14
DBL3F-N-15
DBL3F-N-16
DBL3F-N-17
DBL3F-N-18
DBL3F-O-01
DBL3F-O-02
DBL3F-O-03
DBL3F-O-04
DBL3F-O-05
DBL3F-O-06
DBL3F-O-07
DBL3F-O-08
DBL3F-O-09
DBL3F-O-11
DBL3F-O-12
DBL3F-O-13
DBL3F-O-14
DBL3F-O-15
DBL3F-O-16
DBL3F-O-17
DBL3F-P-02
DBL3F-P-03
DBL3F-P-04
DBL3F-P-05
DBL3F-P-06
DBL3F-P-07
DBL3F-P-08
DBL3F-P-09
DBL3F-P-10
DBL3F-P-11
DBL3F-P-12
DBL3F-P-13
DBL3F-P-14
DBL3F-P-15
DBL3F-P-16
DBL3F-P-17
DBL3F-Q-03
DBL3F-Q-04
DBL3F-Q-05
DBL3F-Q-06
DBL3F-Q-07
DBL3F-Q-08
DBL3F-Q-09
DBL3F-Q-10
DBL3F-Q-11
DBL3F-Q-12
DBL3F-Q-13
DBL3F-Q-14</t>
  </si>
  <si>
    <t>DBL3F-E-06
DBL3F-E-09
DBL3F-F-06
DBL3F-F-09</t>
  </si>
  <si>
    <t>DBL1F-B-03
DBL1F-D-18
DBL3F-B-10
DBL3F-B-11
DBL3F-B-18
DBL3F-C-02
DBL3F-C-03
DBL3F-D-07
DBL3F-D-09
DBL3F-G-02
DBL3F-G-03
DBL3F-G-04
DBL3F-G-05
DBL3F-G-06
DBL3F-G-07
DBL3F-G-08
DBL3F-G-09
DBL3F-G-11
DBL3F-G-12
DBL3F-G-13
DBL3F-G-14
DBL3F-H-03
DBL3F-H-04
DBL3F-L-07
DBL3F-L-09
DBL3F-Q-01
DBL3F-Q-02</t>
  </si>
  <si>
    <t>DBL3F-E-10
DBL3F-F-10</t>
  </si>
  <si>
    <t>DBL3F-E-04
DBL3F-F-04</t>
  </si>
  <si>
    <t>L20210430005</t>
  </si>
  <si>
    <t>北京-石家庄</t>
  </si>
  <si>
    <t>北京-保定FE0188KA/NP/P； 业务类别及贷款：跨省北京-河北，带宽8M； 两端地址：A：北京海淀区西北旺东路10号院百度科技园； Z:河北省保定市莲池区复兴路东二环交叉口东行1000米百楼机房</t>
  </si>
  <si>
    <t>L20220422007</t>
  </si>
  <si>
    <t>北京移动-北京移动</t>
  </si>
  <si>
    <t>20210101由2M升速到10M，中金转北京移动的电路，业务编号：26001962470</t>
  </si>
  <si>
    <t>中金转北京移动的电路，业务编号：26001947965</t>
  </si>
  <si>
    <t>20220930退租，中金转北京移动的电路，业务编号：26001947965</t>
  </si>
  <si>
    <t>北京大兴-北京亦庄</t>
  </si>
  <si>
    <t>100M</t>
  </si>
  <si>
    <t>北京仓库线已经开通，2023.4.1开始计费，华北仓库线：A点 VMIBJ02 ，北京市大兴区采育开发区采业路6号，Z点 BJYZ机房，北京市南六环太和桥南瑞合西二路和瑞和东一街交口</t>
  </si>
  <si>
    <t>182115IDC00221</t>
  </si>
  <si>
    <t>北京-阳泉</t>
  </si>
  <si>
    <t>商务确认修改供应商从移动集团到北京移动，无明确结束时间。由两对不同物理路由的四芯裸光纤提供</t>
  </si>
  <si>
    <t>6月25日退租商务确认修改供应商从移动集团到北京移动，无明确结束时间。由两对不同物理路由的四芯裸光纤提供</t>
  </si>
  <si>
    <t>亦庄移动</t>
  </si>
  <si>
    <t>002215IDC00023</t>
  </si>
  <si>
    <t>亦庄</t>
  </si>
  <si>
    <t>BJYZ</t>
  </si>
  <si>
    <t>亦庄移动12月22号下电20个机柜，12月24号加电19个机柜，按合同规定以及商务确认一直正常计费，差的一个机柜1月已放在机架占用，21年1月开通关闭相差22个机柜也放在机架占用，BJYZD242-07-15~16 4月23日关闭</t>
  </si>
  <si>
    <t>BJYZD2CA-B-14~15</t>
  </si>
  <si>
    <t>6月新增：BJYZD2SC-B-01~08</t>
  </si>
  <si>
    <t>7月新增：BJYZD2CA-A-11~13</t>
  </si>
  <si>
    <t>8月新增：BJYZD2SC-D-03</t>
  </si>
  <si>
    <t>8月新增：不计费</t>
  </si>
  <si>
    <t>9月新增：BJYZD241-02-05</t>
  </si>
  <si>
    <t>BJYZD2CA-A-03 BJYZD2CA-A-04</t>
  </si>
  <si>
    <t>BJYZD142-01-12，202012月24关闭，但由于合同条款，202012已经计提在历史开通的1349个机架当中，未体现在机架占用费中，在此体现【甲方保证，机架租赁期第一年开通机架的进度为，每季度末开通机架数量达到全部1388个机架的25％，且每季度末递增25％，在第一年年末实现1388个机架全部开通。若甲方实际开通机架情况未达到前述承诺比例，甲方仍需按照前述机架开通比例支付机架租赁费用】</t>
  </si>
  <si>
    <t>BJYZD141-02-06</t>
  </si>
  <si>
    <t xml:space="preserve">BJYZD242-01-11
BJYZD242-01-15
BJYZD242-02-03
BJYZD242-02-05
BJYZD242-02-06
BJYZD242-06-15
</t>
  </si>
  <si>
    <t xml:space="preserve">BJYZD122-01-07
BJYZD122-01-11
BJYZD122-01-15
BJYZD122-01-16
BJYZD122-02-01
BJYZD122-02-04
BJYZD122-02-09
BJYZD122-03-02
BJYZD131-01-07
BJYZD131-01-13
BJYZD131-01-15
BJYZD142-02-15
BJYZD142-03-10
BJYZD142-06-07
BJYZD222-01-02
</t>
  </si>
  <si>
    <t>BJYZD242-02-16、BJYZD222-01-09、BJYZD241-08-01、BJYZD242-04-01、BJYZD242-04-04</t>
  </si>
  <si>
    <t>BJYZD2SC-A-11、BJYZD2SC-A-12</t>
  </si>
  <si>
    <t xml:space="preserve">BJYZD242-01-11
BJYZD242-01-15
BJYZD242-02-03
BJYZD242-02-05
BJYZD242-02-06
BJYZD242-06-15
BJYZD222-01-02
BJYZD142-01-12
BJYZD122-01-11
BJYZD122-01-15
BJYZD122-01-16
BJYZD122-02-01
BJYZD122-02-04
BJYZD122-02-09
BJYZD122-03-02
BJYZD141-02-06
BJYZD222-01-09  
BJYZD242-04-04
BJYZD241-08-01 
BJYZD242-04-01 
BJYZD242-02-16
</t>
  </si>
  <si>
    <t xml:space="preserve">BJYZD142-02-15
BJYZD142-03-10
BJYZD142-06-07
BJYZD122-01-07
BJYZD131-01-07
BJYZD131-01-13
BJYZD131-01-15
</t>
  </si>
  <si>
    <t>BJYZD242-07-15
BJYZD242-07-16
BJYZD242-08-14
BJYZD242-08-15
BJYZD242-08-16</t>
  </si>
  <si>
    <t>BJYZECC103-B-10</t>
  </si>
  <si>
    <t>BJYZD222-08-12</t>
  </si>
  <si>
    <t>BJYZD2SC-A-13</t>
  </si>
  <si>
    <t>BJYZD242-03-06，BJYZD242-05-04</t>
  </si>
  <si>
    <t xml:space="preserve">BJYZD2CA-A-07
BJYZD2CA-A-08
BJYZD2CA-A-09
BJYZD2CA-B-06
BJYZD2CA-B-07
</t>
  </si>
  <si>
    <t>自建：BJYZECC101-B-13</t>
  </si>
  <si>
    <t>自建：BJYZECC101-B-14</t>
  </si>
  <si>
    <t>自建：BJYZECC103-B-10</t>
  </si>
  <si>
    <t>自建：BJYZECC103-A-07
BJYZECC103-A-08</t>
  </si>
  <si>
    <t>自建：BJYZECC103-B-09</t>
  </si>
  <si>
    <t>自建：BJYZD2CA-A-09</t>
  </si>
  <si>
    <t>中移铁通有限公司北京分公司</t>
  </si>
  <si>
    <t>北京铁通</t>
  </si>
  <si>
    <t>182215IDC00216</t>
  </si>
  <si>
    <t>北京3移动</t>
  </si>
  <si>
    <t>赠送512个。超出后50元/个/月。Sys反馈使用512</t>
  </si>
  <si>
    <t>铁通</t>
  </si>
  <si>
    <t>CDNBJTT</t>
  </si>
  <si>
    <t>BJTT1F-G-22,BJTT1F-G-21,BJTT1F-C-22,BJTT1F-B-22</t>
  </si>
  <si>
    <t>L20230329001</t>
  </si>
  <si>
    <t>阳泉-科技园</t>
  </si>
  <si>
    <t>工行北京长安支行0200003319210012727</t>
  </si>
  <si>
    <t>2023.2.28,北京联通-800G退租400G</t>
  </si>
  <si>
    <t>北京-成都</t>
  </si>
  <si>
    <t>北京至成都200G电路，交付时间为2023年4月4日,北京至成都200G电路的电路编号为：110JPW12064866、110JPW12100852</t>
  </si>
  <si>
    <t>182015IDC00284</t>
  </si>
  <si>
    <t>酒仙桥M1-阳泉</t>
  </si>
  <si>
    <t xml:space="preserve">北京酒仙桥M1机房到阳泉云数据中心200G，账户工行长安支行0200003309221111116 </t>
  </si>
  <si>
    <t>北京酒仙桥M1机房到阳泉云数据中心200G</t>
  </si>
  <si>
    <t>百度科技园-南京凤凰</t>
  </si>
  <si>
    <t xml:space="preserve">北京百度科技园机房到南京凤凰机房400G，账户工行长安支行0200003309221111116 </t>
  </si>
  <si>
    <t>中电万维信息技术有限责任公司</t>
  </si>
  <si>
    <t>甘肃电信</t>
  </si>
  <si>
    <t>182215IDC00474</t>
  </si>
  <si>
    <t>兰州电信</t>
  </si>
  <si>
    <t>LZ3CT</t>
  </si>
  <si>
    <t>CBUCDNLZCT</t>
  </si>
  <si>
    <t>甘肃电信免费提供40个机架：LZCT2F-F-09、LZCT2F-F-08、LZCT2F-F-07、LZCT2F-F-06、LZCT2F-F-05、LZCT2F-F-04</t>
  </si>
  <si>
    <t>2022-05-01</t>
  </si>
  <si>
    <t>2023-04-30</t>
  </si>
  <si>
    <t>LZ5CT</t>
  </si>
  <si>
    <t>甘肃电信免费提供40个机架：LZCT3F-G-03、LZCT3F-G-04、LZCT3F-G-02、LZCT3F-G-01</t>
  </si>
  <si>
    <t>LZ4CT</t>
  </si>
  <si>
    <t>甘肃电信免费提供40个机架：LZCT2F-G-07、LZCT2F-G-06、LZCT2F-G-05、LZCT2F-G-03、LZCT2F-G-02、LZCT2F-G-04</t>
  </si>
  <si>
    <t>甘肃电信5月25日退租2个机柜，LZCT2F-G-06，LZCT2F-G-07</t>
  </si>
  <si>
    <t>LZ9CT</t>
  </si>
  <si>
    <t>CDNLZCT</t>
  </si>
  <si>
    <t>甘肃电信免费提供40个机架：LZCT22F-D-01、LZCT22F-D-02、LZCT22F-D-03</t>
  </si>
  <si>
    <t>平凉电信</t>
  </si>
  <si>
    <t>PLCT</t>
  </si>
  <si>
    <t>CDNPLCT</t>
  </si>
  <si>
    <t>甘肃电信免费提供40个机架：PLCT3F-EQU-15、PLCT3F-EQU-16、PLCT3F-EQU-17、PLCT3F-EQU-18、PLCT3F-EQU-19、PLCT3F-EQU-20</t>
  </si>
  <si>
    <t>PLCT3F-EQU-15、PLCT3F-EQU-19、PLCT3F-EQU-20</t>
  </si>
  <si>
    <t xml:space="preserve">CDN IP </t>
  </si>
  <si>
    <t>历史</t>
  </si>
  <si>
    <t>免费提供1760个IP，在用数量由SYS提供：125.74.42.0/24;118.180.62.160/27</t>
  </si>
  <si>
    <t>IP在用数量由SYS提供：125.74.1.0/24;125.74.45.128/27</t>
  </si>
  <si>
    <t>IP在用数量由SYS提供：125.74.43.0/27;118.180.40.0/24</t>
  </si>
  <si>
    <t>LZCT-LZ9CT</t>
  </si>
  <si>
    <t>IP在用数量由SYS提供：兰州电信改名为兰州9电信，实际使用IP为128个</t>
  </si>
  <si>
    <t>平凉</t>
  </si>
  <si>
    <t>IP在用数量由SYS提供：125.74.40.0/24;125.74.41.0/27</t>
  </si>
  <si>
    <t>125.74.40.128/25</t>
  </si>
  <si>
    <t>华东-lijia</t>
  </si>
  <si>
    <t>中国电信股份有限公司安徽分公司</t>
  </si>
  <si>
    <t>安徽电信</t>
  </si>
  <si>
    <t>L20221229045</t>
  </si>
  <si>
    <t>马鞍山电信</t>
  </si>
  <si>
    <t>MASCT</t>
  </si>
  <si>
    <t>CDNMASCT</t>
  </si>
  <si>
    <t>BECMASCT3F301-04-03、BECMASCT3F301-04-04
每万兆送1个机柜，使用3个，免费2个。64个IP</t>
  </si>
  <si>
    <t>MASCT3F301-04-02
每万兆送1个机柜，使用3个，免费2个，收费1个。64个IP</t>
  </si>
  <si>
    <t>每万兆送64个IP，2019.12.31退租后共送128个，实际使用288个，收费160个：60.171.107.0/27;223.241.196.128/25;223.241.196.0/25</t>
  </si>
  <si>
    <t>宁夏</t>
  </si>
  <si>
    <t>中国电信股份有限公司宁夏分公司</t>
  </si>
  <si>
    <t>宁夏电信</t>
  </si>
  <si>
    <t>L20221229027</t>
  </si>
  <si>
    <t>银川电信 YCCT</t>
  </si>
  <si>
    <t xml:space="preserve"> YCCT</t>
  </si>
  <si>
    <t>CDNYCCT</t>
  </si>
  <si>
    <t>银川节点退租。新合同赠送9个20A机柜，免费 YCCT11F-C-09、YCCT11F-C-10</t>
  </si>
  <si>
    <t>银川节点退租。2022/3/31退租，YCCT11F-C-10,YCCT11F-C-09</t>
  </si>
  <si>
    <t>中卫2电信 ZW2CT</t>
  </si>
  <si>
    <t>ZW2CT</t>
  </si>
  <si>
    <t>CDNZWCT2</t>
  </si>
  <si>
    <t>2022.3退租后无新增收费机架。新合同赠送9个20A机柜，免费 ZW2CT2F-S-15、ZW2CT2F-S-16</t>
  </si>
  <si>
    <t>中卫 ZWCT</t>
  </si>
  <si>
    <t>ZWCT</t>
  </si>
  <si>
    <t>CDNZWCT</t>
  </si>
  <si>
    <t>2022/5/31节点退租。新合同赠送9个20A机柜，免费 ZWCT2F-11-18、ZWCT2F-11-19</t>
  </si>
  <si>
    <t>银川</t>
  </si>
  <si>
    <t>银川节点退租。银川使用160个IP、中卫使用320个IP，其中400个IP免费；</t>
  </si>
  <si>
    <t>银川节点退租。2022/3/31退租，218.95.196.0/25 218.95.196.128/27</t>
  </si>
  <si>
    <t>中卫</t>
  </si>
  <si>
    <t>2022.3退租后无新增收费IP。银川使用160个IP、中卫使用320个IP，其中400个IP免费；36.103.246.160/27;36.103.236.0/25</t>
  </si>
  <si>
    <t>2022/5/31节点退租。银川使用160个IP、中卫使用320个IP，其中400个IP免费；36.103.246.0/25;36.103.246.128/27</t>
  </si>
  <si>
    <t>2022/5/31节点退租。36.103.246.0/25;36.103.246.128/27</t>
  </si>
  <si>
    <t>华南-lijia</t>
  </si>
  <si>
    <t>青海</t>
  </si>
  <si>
    <t>中国电信股份有限公司青海分公司</t>
  </si>
  <si>
    <t>西宁电信</t>
  </si>
  <si>
    <t>L20221229029</t>
  </si>
  <si>
    <t>西宁-建国路IDC机房</t>
  </si>
  <si>
    <t>XN2CT</t>
  </si>
  <si>
    <t>CDNXNCT</t>
  </si>
  <si>
    <t>XNCT2F-HH04-03、XNCT2F-HH04-04</t>
  </si>
  <si>
    <t>西宁2电信</t>
  </si>
  <si>
    <t>20200608关闭XNCT2F-HH04-03，退的是免费1个和计费1个</t>
  </si>
  <si>
    <t>80G对应的免费4个，XN2CT2F-HH04-01、XN2CT2F-HH04-02、XN2CT2F-HH04-05、XN2CT2F-HH04-06</t>
  </si>
  <si>
    <t>20200608关闭XNCT2F-HH04-04，退的是免费1个和计费1个</t>
  </si>
  <si>
    <t>XN2CT2F-HH04-02、XN2CT2F-HH04-05、XN2CT2F-HH04-06</t>
  </si>
  <si>
    <t>XNCT</t>
  </si>
  <si>
    <t>依据sys反馈是退西宁1电信节点的IP，根据节点情况西宁2电信还需要收费，但是运营商202007对账单内IP已不收费，因此不计费。系统中为了保持和sys数据一致，仍是按照节点IP进行关闭申请，每月用负预提冲减。共使用256，每个万兆免费提供32个IP地址，免费128</t>
  </si>
  <si>
    <t>依据sys反馈是退西宁1电信节点的IP，根据节点情况西宁2电信还需要收费，但是运营商202007对账单内IP已不收费，因此不计费。系统中为了保持和sys数据一致，仍是按照节点IP进行关闭申请，每月用负预提冲减。20200608关闭256个</t>
  </si>
  <si>
    <t>2022.6开始带宽剩余20G，每万兆送32个，使用288，免费64个收费，收费224个*50：223.221.33.96/27;125.72.219.0/24
每个万兆免费提供32个IP地址，从2022.6开始免费64个，收费224个</t>
  </si>
  <si>
    <t>【CDN退租】CDN青海西宁电信退租信息 (XN2CT)，退租128个IP地址，停止计费日期为2022年12月2日，125.72.219.128/25</t>
  </si>
  <si>
    <t>中国电信集团有限公司河南分公司</t>
  </si>
  <si>
    <t>洛阳电信</t>
  </si>
  <si>
    <t>L20220627004</t>
  </si>
  <si>
    <t>洛阳</t>
  </si>
  <si>
    <t>LYCT</t>
  </si>
  <si>
    <t>CDNLYCT</t>
  </si>
  <si>
    <t>LYCT3F-A-01、LYCT3F-A-02、LYCT3F-A-03、LYCT3F-A-04、LYCT3F-A-05、LYCT3F-A-06、LYCT3F-A-07、LYCT3F-A-08、LYCT3F-A-09</t>
  </si>
  <si>
    <t>CDN河南洛阳电信，LYCT3F-A-05将在11月30号退租，12月1号停止计费。</t>
  </si>
  <si>
    <t>LYCT3F-A-06,LYCT3F-A-01,LYCT3F-A-02,LYCT3F-A-03,LYCT3F-A-04,LYCT3F-A-07,LYCT3F-A-08,LYCT3F-A-09</t>
  </si>
  <si>
    <t>LY3CT</t>
  </si>
  <si>
    <t>2022/5/31 洛阳3电信节点退租。LYCT3F-02-10、LYCT3F-02-11、LYCT3F-03-10、LYCT3F-03-11</t>
  </si>
  <si>
    <t>2022/5/31 洛阳3电信节点退租。2019/12/31退租LY2CT100G,退4个机柜，288个IP。
LYCT3F-02-10、LYCT3F-02-11、LYCT3F-03-10、LYCT3F-03-11</t>
  </si>
  <si>
    <t>2022/5/31 洛阳3电信节点退租。LYCT3F-01-05、LYCT3F-01-06、LYCT3F-01-07、LYCT3F-01-08</t>
  </si>
  <si>
    <t>2022/5/31 洛阳3电信节点退租。LYCT3F-01-08,LYCT3F-01-07,LYCT3F-01-06,LYCT3F-01-05</t>
  </si>
  <si>
    <t>LYCT边缘计算节点新申请3个机架，128个IP，2021-01-27正式开通：LYCT3F-03-10、LYCT3F-03-11、LYCT3F-02-02（BECLYCT3F-02-02）</t>
  </si>
  <si>
    <t>2022/8/31节点下线，退租机柜。BECLYCT3F-03-11
BECLYCT3F-03-10
BECLYCT3F-02-02</t>
  </si>
  <si>
    <t>2022.6.23BEC 确认在用。LYCT边缘计算节点新申请3个机架，128个IP，2021-01-27正式开通：123.149.173.128/25</t>
  </si>
  <si>
    <t>洛阳电信 LYCT</t>
  </si>
  <si>
    <t>2022.6.23BEC 确认在用。商务确认8月1日开始计费，边缘计算洛阳电信网段扩容开通（CDNLYCT）,新增128个IP，123.53.139.0/25</t>
  </si>
  <si>
    <t>退租邮件544，但理论上只退了288，待SYS核实。2022/5/31 洛阳电信节点退租。123.52.189.0/24 123.53.183.32/27 123.149.173.128/25 123.53.139.0/25</t>
  </si>
  <si>
    <t>2022/5/31 洛阳3电信节点退租。123.53.183.64/27;1.193.147.0/24</t>
  </si>
  <si>
    <t>2022/8/31节点下线，退租IP。
Ipv6: 240E:093D:0000:0003::/64 
Ipv4: 123.149.173.128/25,123.53.139.0/25</t>
  </si>
  <si>
    <t>郑州电信</t>
  </si>
  <si>
    <t>L20221229033</t>
  </si>
  <si>
    <t>郑州</t>
  </si>
  <si>
    <t>ZZ4CT</t>
  </si>
  <si>
    <t>CDNZZCT</t>
  </si>
  <si>
    <t>ZZ4CT3F-2-20、ZZ4CT3F-2-21、ZZ4CT3F-2-22</t>
  </si>
  <si>
    <t>L20220907001</t>
  </si>
  <si>
    <t>【BEC新建】郑州电信  (ZZ4CT)新增机柜：BECZZ4CT3F-8-7</t>
  </si>
  <si>
    <t>2021年6月5号新增288个IP，36.99.225.0/24 36.99.48.64/27，新合同182115IDC00342约定，免费配置160个IPv4地址，128个IPv4地址收费，收费单价50元/月/个。</t>
  </si>
  <si>
    <t>新合同182115IDC00342约定，免费配置160个IPv4地址，128个IPv4地址收费，收费单价50元/月/个。36.99.225.0/24 36.99.48.64/27</t>
  </si>
  <si>
    <t>【BEC新建】郑州电信  (ZZ4CT)新增IP：新增ipv4：106.42.246.128/25</t>
  </si>
  <si>
    <t>【CDN退租】CDN河南郑州电信退租信息 (ZZ4CT)，退租128个IP，2022年12月7日，36.99.225.128/25</t>
  </si>
  <si>
    <t>L20210827008</t>
  </si>
  <si>
    <t>ZZ5CT</t>
  </si>
  <si>
    <t>ZZ5CT 该节点 30G 带宽 2个机柜免费，ZZ5CT1F-6-23、ZZ5CT1F-6-22</t>
  </si>
  <si>
    <t>河南郑州电信退租信息 (ZZ5CT),2月16日退租2个机柜ZZ5CT1F-6-23,ZZ5CT1F-6-22</t>
  </si>
  <si>
    <t>ZZ5CT 节点160个IP地址、其中免费96、收费64 个 正式开通日期为21年8月4日，36.99.69.0/25 36.99.69.128/27</t>
  </si>
  <si>
    <t>河南郑州电信退租信息 (ZZ5CT),2月16日退租160个IP,36.99.69.0/25 36.99.69.128/27</t>
  </si>
  <si>
    <t>中国电信集团有限公司山西分公司</t>
  </si>
  <si>
    <t>山西电信</t>
  </si>
  <si>
    <t>182215IDC00498</t>
  </si>
  <si>
    <t>太原</t>
  </si>
  <si>
    <t>TY3CT</t>
  </si>
  <si>
    <t>CDNTYCT</t>
  </si>
  <si>
    <t>2022.6根据预审合同，更新单价。双方核对，共使用5个免费机柜。超过12个，单价4166.67元：TY3CT9F902-04-04、TY3CT9F902-04-01、TY3CT9F902-03-06、TY3CT9F902-04-02、TY3CT9F902-04-03</t>
  </si>
  <si>
    <t>2022.6根据预审合同，更新单价。TY3CT9F902-04-04,TY3CT9F902-04-01,TY3CT9F902-03-06</t>
  </si>
  <si>
    <t>2022.6根据预审合同，更新单价。边缘计算新增1个机架，免费。需要新签补充协议：BECTYCT9F-03-07</t>
  </si>
  <si>
    <t>2022.6根据预审合同，更新单价。【CDN扩容-边缘计算】太原电信扩容边缘计算 2020-12-18（CDNTYCT）新增机柜BECTYCT9F-03-14，免费</t>
  </si>
  <si>
    <t>2022.6根据预审合同，更新单价。2021.3.29边缘计算新增1个机架，免费。需要新签补充协议，TY3CT9F902-03-04</t>
  </si>
  <si>
    <t>2022.5.31退租后带宽剩余60G，每万兆送32个IP，可送192个，共使用672个，1.71.157.0/24，1.71.158.224/27，1.71.153.128/25</t>
  </si>
  <si>
    <t>2022.6根据预审合同，更新单价。太原电信边缘计算新增两个机柜，BECTY3CT902-05-04，BECTY3CT902-05-05</t>
  </si>
  <si>
    <t>【CDN退租】CDN山西太原电信退租信息 (TY3CT)，退租128个IP地址，日期为2022年11月30日，1.71.157.128/25</t>
  </si>
  <si>
    <t>西藏</t>
  </si>
  <si>
    <t>中国电信集团有限公司西藏分公司</t>
  </si>
  <si>
    <t>拉萨电信</t>
  </si>
  <si>
    <t>L20220804004</t>
  </si>
  <si>
    <t>拉萨</t>
  </si>
  <si>
    <t>LASCT</t>
  </si>
  <si>
    <t>CDNLASCT</t>
  </si>
  <si>
    <t>使用160，2019年8月25日开始免费40个（老合同15+新合同25）：113.62.122.128/27;113.62.122.0/25</t>
  </si>
  <si>
    <t>LASCT2F-G-08</t>
  </si>
  <si>
    <t>20190825开始计费，LASCT2F-G-07</t>
  </si>
  <si>
    <t>中国联合网络通信有限公司大同市分公司</t>
  </si>
  <si>
    <t>大同联通</t>
  </si>
  <si>
    <t>L20220304002</t>
  </si>
  <si>
    <t>大同</t>
  </si>
  <si>
    <t>CDNDTUN</t>
  </si>
  <si>
    <t>2018/8/20
2019/2/1</t>
  </si>
  <si>
    <t>赠送9个16A机柜，目前使用6个DT2UN2F-D-06~11</t>
  </si>
  <si>
    <t>182115IDC00397</t>
  </si>
  <si>
    <t>2022/3/31退租</t>
  </si>
  <si>
    <t>2021-04-01</t>
  </si>
  <si>
    <t>2022-03-31</t>
  </si>
  <si>
    <t>免费576个，实际使用288个，超出部分按50元/个/月</t>
  </si>
  <si>
    <t>中国联合网络通信有限公司定西市分公司</t>
  </si>
  <si>
    <t>甘肃联通</t>
  </si>
  <si>
    <t>182315IDC00097</t>
  </si>
  <si>
    <t>LZ2UN</t>
  </si>
  <si>
    <t>CDNLZUN2</t>
  </si>
  <si>
    <t>开通1个机柜，赠送1个机柜。LZUN2F-B-03</t>
  </si>
  <si>
    <t>LZUN2F-B-03</t>
  </si>
  <si>
    <t>180.95.229.0/24</t>
  </si>
  <si>
    <t>LZ3UN</t>
  </si>
  <si>
    <t>2022.9.1 该机柜转移至 LZ2UN使用：LZ3UN3F-A-02,LZ3UN3F-A-01</t>
  </si>
  <si>
    <t>116.176.35.0/25</t>
  </si>
  <si>
    <t>中国联合网络通信有限公司合肥市分公司</t>
  </si>
  <si>
    <t>合肥联通</t>
  </si>
  <si>
    <t>182215IDC00057</t>
  </si>
  <si>
    <t>合肥</t>
  </si>
  <si>
    <t>HF2UN</t>
  </si>
  <si>
    <t>CDNHFUN</t>
  </si>
  <si>
    <t>HFUN12F-A-01~HFUN12F-A-04</t>
  </si>
  <si>
    <t>HF2UN12F-B-05、HF2UN12F-B-06</t>
  </si>
  <si>
    <t>边缘计算新增BECHF2UN12F-C-12、BECHF2UN12F-C-13；同时新增128个IP免费112.132.221.0/25</t>
  </si>
  <si>
    <t>HF2UN12F-B-07</t>
  </si>
  <si>
    <t>原带宽80G，送512个IP，退租后带宽剩余40G，可送256个IP。2022.7与SYS核对，IPV4地址实际使用512个，免费256，收费256；IPV6/64[1]个:CDN：112.132.208.0/24;BEC：112.132.221.0/25,112.132.216.0/25</t>
  </si>
  <si>
    <t>L20230427002</t>
  </si>
  <si>
    <t>合肥3联通</t>
  </si>
  <si>
    <t>【BEC新建】合肥联通新建1G 2023-4-1节点正式上线 (HF3UN)，新增一个机柜，CDNHFUN:11F:IDC-F-BEC17</t>
  </si>
  <si>
    <t>61.241.132.0/29</t>
  </si>
  <si>
    <t>211.91.79.0/29</t>
  </si>
  <si>
    <t>中国联合网络通信有限公司河南省分公司</t>
  </si>
  <si>
    <t>河南联通</t>
  </si>
  <si>
    <t>L20221229031</t>
  </si>
  <si>
    <t>中原基地</t>
  </si>
  <si>
    <t>ZZSSLUNICOM</t>
  </si>
  <si>
    <t>CDNZZUN</t>
  </si>
  <si>
    <t>新商务条件中原机柜4000，无赠送CDN10个机柜，SSL3个机柜。CDN:ZZUN6F-C-01~ZZUN6F-C-010；SSL:ZZUN6F-C-13、ZZUN6F-C-14、ZZUN6F-C-15</t>
  </si>
  <si>
    <t>新商务条件中原机柜4000，无赠送19.10.31CDN10个机柜下线，剩余SSL3个机柜。CDN:ZZUN6F-C-01~ZZUN6F-C-010；SSL:ZZUN6F-C-13、ZZUN6F-C-14、ZZUN6F-C-15</t>
  </si>
  <si>
    <t>SSL节点的IP 运营商未做统计。根据182215IDC00425合同约定，2022.7开始IP 收费416个； 2022.7与SYS核对，SSL共使用608个IP，免费192个，收费416个：42.236.7.65/27、42.236.7.128/26、42.236.93.0/24、42.236.94.0/24</t>
  </si>
  <si>
    <t>SSL节点的IP 运营商未做统计。合同约定共1152个，免费640个，其中512个按照50元/月收。SSL使用512个为收费IP</t>
  </si>
  <si>
    <t>郑州二长</t>
  </si>
  <si>
    <t>ZZ2UN</t>
  </si>
  <si>
    <t>CDNZZUN2</t>
  </si>
  <si>
    <t>2022/5/31节点退租。ZZ2UN7F-I-0411~ 
ZZ2UN7F-I-0420</t>
  </si>
  <si>
    <t>2022/5/31节点退租。赠送288个IP，超出部分按50/个/月:61.158.238.0/24</t>
  </si>
  <si>
    <t>新乡</t>
  </si>
  <si>
    <t>XXUN</t>
  </si>
  <si>
    <t>CDNXXUN</t>
  </si>
  <si>
    <t>XXUN2F-A-06~XXUN2F-A-09、XXUN2F-A-11~XXUN2F-A-13</t>
  </si>
  <si>
    <t>2021年12月31日退租，XXUN2F-A-09,XXUN2F-A-13,XXUN2F-A-12,XXUN2F-A-11,XXUN2F-A-08,XXUN2F-A-07,XXUN2F-A-06</t>
  </si>
  <si>
    <t>赠送288个IP，超出部分按50元/个/月</t>
  </si>
  <si>
    <t>2021年12月31日退租288个IP，125.42.144.0/24 125.42.145.0/27</t>
  </si>
  <si>
    <t>郑州3（西区）中原基地</t>
  </si>
  <si>
    <t>ZZ3UN</t>
  </si>
  <si>
    <t>2022.6.30节点全部退租。新商务条件中原机柜4000，无赠送ZZUN4F-12-09、ZZUN4F-12-10</t>
  </si>
  <si>
    <t>2022.6.30节点全部退租。新商务条件中原机柜4000，无赠送ZZUN4F-12-13、ZZUN4F-12-14、ZZUN4F-12-15、ZZUN4F-12-16</t>
  </si>
  <si>
    <t>2022.6.30节点全部退租。郑州联通退租ZZ3UN节点中的3个机柜，ZZUN4F-12-16、ZZUN4F-12-15、ZZUN4F-12-14,已于2021年5月21日停止计费。</t>
  </si>
  <si>
    <t>2022.6.30节点全部退租。ZZUN4F-12-13,ZZUN4F-12-10,ZZUN4F-12-09</t>
  </si>
  <si>
    <t>郑州3（西区）中原</t>
  </si>
  <si>
    <t>2022.6.30节点全部退租。赠送288个IP，超出部分按照50元/个/月:123.6.36.0/24;42.236.122.160/27</t>
  </si>
  <si>
    <t>LYUN</t>
  </si>
  <si>
    <t>CDNLYUN2</t>
  </si>
  <si>
    <t>LYUN2F-03-02~LYUN2F-03-08</t>
  </si>
  <si>
    <t>2021年12月31日退租，LYUN2F-03-08,LYUN2F-03-07,LYUN2F-03-06,LYUN2F-03-05,LYUN2F-03-04,LYUN2F-03-03,LYUN2F-03-02</t>
  </si>
  <si>
    <t>赠送544个IP，超出部分按50/个/月</t>
  </si>
  <si>
    <t>2021年12月31日退租288个IP，61.54.91.0/24 61.54.94.192/27</t>
  </si>
  <si>
    <t>郑州4中原基地</t>
  </si>
  <si>
    <t>ZZ4UN</t>
  </si>
  <si>
    <t>ZZUN2F-4-01、ZZUN2F-4-02、ZZUN2F-4-03、ZZUN2F-4-04、ZZUN2F-4-05</t>
  </si>
  <si>
    <t>ZZUN2F-4-05、ZZUN2F-4-04</t>
  </si>
  <si>
    <t>郑州4 中原</t>
  </si>
  <si>
    <t>根据182215IDC00425合同约定，2022.7开始IP 收费416个；123.6.38.224/27;123.6.28.0/24</t>
  </si>
  <si>
    <t>新商务条件中原机柜4000，无赠送
边缘计算节点新增：
BECZZ4UN2F-07-09、BECZZ4UN2F-07-10</t>
  </si>
  <si>
    <t>根据182215IDC00425合同约定，2022.7开始IP 收费416个；边缘计算节点新增：42.236.95.0/25
2408:8720:0800:0016::/64</t>
  </si>
  <si>
    <t xml:space="preserve">河南郑州联通边缘计算节点扩容（ZZ4UN），4个机柜，BECZZ4UN2F-07-12（新增）
BECZZ4UN2F-07-13（新增）
BECZZ4UN2F-07-14（新增）
BECZZ4UN2F-05-18（新增）
</t>
  </si>
  <si>
    <t>2021/7/23
2020/12/12</t>
  </si>
  <si>
    <t>根据182215IDC00425合同约定，2022.7开始IP 收费416个；河南郑州联通边缘计算节点扩容（ZZ4UN），128个IPV4（新增），联通123.6.108.128/25</t>
  </si>
  <si>
    <t>2020/12/12开始计费，计费20天。BECZZ4UN2F-07-16
郑州联通边缘计算节点新申请（扩容）如下资源，接入cdn核心交换机地址为：123.6.28.1于2020-12-11正式开通</t>
  </si>
  <si>
    <t>根据182215IDC00425合同约定，2022.7开始IP 收费416个；42.236.6.0/25
郑州联通边缘计算节点新申请（扩容）如下资源，接入cdn核心交换机地址为：123.6.28.1于2020-12-11正式开通</t>
  </si>
  <si>
    <t>与运营电话沟通，从2021/3/23开始计费，计费9天。BECZZ4UN2F-07-11
郑州联通边缘计算节点新申请（扩容）如下资源，接入cdn核心交换机地址为：42.236.6.129于2021-03-22正式开通</t>
  </si>
  <si>
    <t>根据182215IDC00425合同约定，2022.7开始IP 收费416个；边缘计算使用：42.236.6.128/25</t>
  </si>
  <si>
    <t>退租123.6.28.128/25</t>
  </si>
  <si>
    <t>云-信阳联通</t>
  </si>
  <si>
    <t>信阳</t>
  </si>
  <si>
    <t>XINYUN</t>
  </si>
  <si>
    <t>CBUCDNXINYUN</t>
  </si>
  <si>
    <t>2022/5/31节点退租。新商务条件约定机柜每月833
XINYUN7F-4-02、XINYUN7F-4-04、XINYUN7F-4-05、XINYUN7F-4-06、XINYUN7F-4-07、XINYUN7F-4-09、XINYUN7F-2-04、XINYUN7F-2-05、XINYUN7F-2-06、XINYUN7F-2-07</t>
  </si>
  <si>
    <t>2022/5/31节点退租。信阳节点实际使用256个IP，赠送544个：218.29.53.0/24</t>
  </si>
  <si>
    <t>云-周口联通</t>
  </si>
  <si>
    <t>周口</t>
  </si>
  <si>
    <t>ZKUN</t>
  </si>
  <si>
    <t>CBUCDNZKUN</t>
  </si>
  <si>
    <t>2022/5/31节点退租。ZKUN15F-1-01、ZKUN15F-1-02、ZKUN15F-1-03、ZKUN15F-1-04、ZKUN15F-1-05、ZKUN15F-2-01、ZKUN15F-2-02、ZKUN15F-2-03</t>
  </si>
  <si>
    <t>2022/5/31节点退租。周口节点实际使用256个IP，赠送544个：61.163.171.0/24</t>
  </si>
  <si>
    <t>中国联合网络通信有限公司拉萨市分公司</t>
  </si>
  <si>
    <t>西藏联通</t>
  </si>
  <si>
    <t>L20221229030</t>
  </si>
  <si>
    <t>LASUN</t>
  </si>
  <si>
    <t>CDNLASUN</t>
  </si>
  <si>
    <t>20190101开始计费，合同约定自然月计费： 
LASUN4F-A-01</t>
  </si>
  <si>
    <t>收费100个，免费60个：43.242.165.0/25;43.242.165.224/27</t>
  </si>
  <si>
    <t>中国联合网络通信有限公司临汾市分公司</t>
  </si>
  <si>
    <t>临汾联通</t>
  </si>
  <si>
    <t>182215IDC00354</t>
  </si>
  <si>
    <t>临汾</t>
  </si>
  <si>
    <t>LINFUN</t>
  </si>
  <si>
    <t>CDNLINFUN</t>
  </si>
  <si>
    <t>免费6个机柜，超出部分按照3000元/个/月（临汾一枢纽4楼H1~H6）</t>
  </si>
  <si>
    <t>2022-06-01</t>
  </si>
  <si>
    <t>2023-05-31</t>
  </si>
  <si>
    <t>LINFUN2F-D-07，2021年4月30日退租一个机柜，LINFUN4F-H-06，四个换机柜编码C-01、02、03、04换成LINFUN2F-D-07、LINFUN2F-D-08、LINFUN2F-D-09、LINFUN2F-D-10</t>
  </si>
  <si>
    <t>LINF2UN</t>
  </si>
  <si>
    <t>自2021年5月1日起，收费3个机柜，按照3000元/个/月（临汾一枢纽2楼D7~D10）</t>
  </si>
  <si>
    <t>LINF2UN退租4个机柜和288个IP，120G带宽迁移至LINFUN。LINFUN2F-D-07,LINFUN2F-D-09,LINFUN2F-D-10,LINFUN2F-D-08</t>
  </si>
  <si>
    <t>2022.7 与运营商 SYS确认使用288个IP:60.221.20.64/27;60.221.21.0/24。临汾联通整体送564个，使用864个，收费300个</t>
  </si>
  <si>
    <t xml:space="preserve"> LINF2UN退租4个机柜和288个IP，120G带宽迁移至LINFUN。60.221.21.0/24，60.221.20.64/27</t>
  </si>
  <si>
    <t>2022.7 与运营商 SYS确认使用288个IP:60.221.18.0/24;60.221.222.0/27。临汾联通整体送564个，使用864个，收费300个</t>
  </si>
  <si>
    <t>LINF3UN</t>
  </si>
  <si>
    <t>LINF3UN2F-D-3、LINF3UN2F-D-4、LINF3UN2F-D-5</t>
  </si>
  <si>
    <t>2022.7 与运营商 SYS确认使用288个IP: 60.221.220.192/27;60.221.212.0/24。临汾联通整体送564个，使用864个，收费300个</t>
  </si>
  <si>
    <t>【CDN退租】CDN山西临汾联通退租信息 (LINF3UN)，退租128个IP，终止计费时间2022.11.2260.221.212.0/25</t>
  </si>
  <si>
    <t>中国联合网络通信有限公司太原市分公司</t>
  </si>
  <si>
    <t>山西联通</t>
  </si>
  <si>
    <t>182215IDC00321</t>
  </si>
  <si>
    <t>TY2UN</t>
  </si>
  <si>
    <t>CDNTYUN</t>
  </si>
  <si>
    <t>2022.8退租后使用14个，免费10个，收费4个。赠送10个16机柜，实际使用7个（太原四枢纽3层L17~23）</t>
  </si>
  <si>
    <t>2022.8退租后使用14个，免费10个，收费4个。赠送10个16机柜，本次开通1个边缘计算机柜BECTYUN3F-L-24</t>
  </si>
  <si>
    <t>2022.8退租后使用14个，免费10个，收费4个。赠送10个16机柜，本次开通1个边缘计算机柜3F-K-15</t>
  </si>
  <si>
    <t>2022.8退租后使用14个，免费10个，收费4个。2021年7月21日新增7个机柜，1个免费，6个收费，正式计费日期为2021年8月1日。BECTYUN3F-K-16</t>
  </si>
  <si>
    <t>2022.8退租后使用14个，免费10个，收费4个。2021年7月21日新增7个机柜，1个免费，6个收费，正式计费日期为2021年8月1日。BECTYUN2F-D-12
BECTYUN2F-D-13
BECTYUN2F-D-14
BECTYUN2F-D-15
BECTYUN2F-D-16
BECTYUN2F-D-17</t>
  </si>
  <si>
    <t>2022.8退租后使用14个，免费10个，收费4个。TYUN3F-L-21、TYUN3F-L-20</t>
  </si>
  <si>
    <t>免费提供800个，实际使用544个，超出部分按照20元/个/月：221.204.10.128/25;221.204.30.96/27;221.204.49.0/24;221.204.30.128/25;221.204.50.0/24</t>
  </si>
  <si>
    <t>2021.3.26扩容128个IP地址，221.204.10.128/25</t>
  </si>
  <si>
    <t>2021年7月21日新增128个IP，正式计费日期为2021年8月1日,128个免费，补充协议自21年10月份开始 IP地址赠送由800变为1056：221.204.10.128/25;221.204.30.96/27;221.204.49.0/24;221.204.30.128/25;221.204.50.0/24</t>
  </si>
  <si>
    <t>中国联合网络通信有限公司西宁市分公司</t>
  </si>
  <si>
    <t>西宁联通</t>
  </si>
  <si>
    <t>L20221229044</t>
  </si>
  <si>
    <t>西宁</t>
  </si>
  <si>
    <t>XNUN</t>
  </si>
  <si>
    <t>CDNXNUN2</t>
  </si>
  <si>
    <t>存量机架双方核对时发现实际使用2个机架。XNUN1F-A-02、XNUN1F-A-01原供应商名称为中国联合网络通信有限公司西宁市分公司</t>
  </si>
  <si>
    <t>青海联通原4个万兆，IP地址赠送288个、因5月31日退租2个万兆，IP地址赠送由288变为160，经核实我司使用160IP地址为：139.170.155.0/25、116.177.232.64/27 ，116.177.254.0/25 该128个IP地址一直未使用，因此该128个IP地址与退租的2个万兆一同退租</t>
  </si>
  <si>
    <t>20G最多可提供128个免费IP地址，目前使用160个，32个IP地址自2023年2月1日起收费，单价50元/个/月</t>
  </si>
  <si>
    <t>182215IDC00129</t>
  </si>
  <si>
    <t>阳泉</t>
  </si>
  <si>
    <t>【出口扩容】阳泉联通出口扩容100G,新增两个C的IP，116.179.40.0/24、116.179.41.0/24，补充协议免费赠送2个C</t>
  </si>
  <si>
    <t>中国联合网络通信有限公司中卫市分公司</t>
  </si>
  <si>
    <t>宁夏联通</t>
  </si>
  <si>
    <t>L20230223005</t>
  </si>
  <si>
    <t>ZWUN</t>
  </si>
  <si>
    <t>CDNZWUN</t>
  </si>
  <si>
    <t>免费提供2个机柜，超出部分单价按3800元/个/月。 ZWUN2F-TK-11、ZWUN2F-TK-12</t>
  </si>
  <si>
    <t>免费提供288个IP地址，在用160个，超出部分按50元/个/月。211.93.20.0/25;211.93.20.128/27</t>
  </si>
  <si>
    <t>中国移动通信集团安徽有限公司</t>
  </si>
  <si>
    <t>合肥移动</t>
  </si>
  <si>
    <t>182315IDC00139</t>
  </si>
  <si>
    <t>HFCM</t>
  </si>
  <si>
    <t>CDNHFCM</t>
  </si>
  <si>
    <t>机架前期为周期计费，于9月开始调整为自然月计费:HFCM2F-E-08~HFCM2F-E-17。其中HFCM2F-E-11在系统中更名为
BECHFCM2F-E-11为边缘计算使用
机柜编号BECHFCM2F-E-08、HFCM2F-E-09、HFCM2F-E-10、HFCM2F-E-12、HFCM2F-E-13、HFCM2F-E-14、HFCM2F-E-15、HFCM2F-E-16、HFCM2F-E-17</t>
  </si>
  <si>
    <t>HFCM 使用672个IP，均免费：112.29.149.0/24;112.29.148.0/24;112.29.149.128/25;112.29.139.0/27</t>
  </si>
  <si>
    <t>2022/6/30【CDN退租】CDN安徽合肥移动退租 (HFCM) 256个IP：112.29.149.0/24。退租后使用416个IP，均免费：112.29.148.0/24;112.29.149.128/25;112.29.139.0/27</t>
  </si>
  <si>
    <t>HFSSLMOBCOM</t>
  </si>
  <si>
    <t>HFCM2F-E-04、HFCM2F-E-05、HFCM2F-E-06、HFCM2F-E-07</t>
  </si>
  <si>
    <t>23年新合同免费2624个IP，从2022.7开始，带宽共计260G，按合同约定每百G赠送256个IP，另免费赠送2.65C，共可送1088个，实际使用1600，收费512个。SSL使用768个，收费512个，免费256个</t>
  </si>
  <si>
    <t>从2022.7开始，带宽共计160G，按合同约定每百G赠送256个IP，另免费赠送2.65C，共可送1088个，实际使用1600，收费512个。SSL使用768个，收费512个，免费256个</t>
  </si>
  <si>
    <t>HF2CM</t>
  </si>
  <si>
    <t>HF2CM5FWEST-B-02~HF2CM5FWEST-B-05</t>
  </si>
  <si>
    <t>1909开始不计提该节点的IP费用。112.28.207.0/27;112.28.206.0/24
按181915IDC00114约定，赠送1600个IP。超出后50元/个/月。CDN新增120G使用288个IP，均免费</t>
  </si>
  <si>
    <t>HN4CM</t>
  </si>
  <si>
    <t>CDNHNCM</t>
  </si>
  <si>
    <t>2022/4/30节点退租。HN4CM1F202-G-01、HN4CM1F202-G-02、HN4CM1F202-G-03</t>
  </si>
  <si>
    <t>2022/4/30节点退租。112.30.225.0/24 112.30.205.32/27；按运营商回复的计费邮件，IP免费</t>
  </si>
  <si>
    <t>HN6CM</t>
  </si>
  <si>
    <t>2022/5/31 节点退租。2020.8.18与SYS沟通，实际开通7个机架，本月调整计提数量。HN6CM1F101-G-07、HN6CM1F101-G-06、HN6CM1F101-G-05、HN6CM1F101-G-04、HN6CM1F101-G-03、HN6CM1F101-G-02、HN6CM1F101-G-01
安徽淮南移动 增量240G完成业务测试，已于2020-05-15开始正式切流量上线，2020.7.1开始计费</t>
  </si>
  <si>
    <t>2022/5/31 节点退租。安徽淮南移动 增量240G完成业务测试，已于2020-05-15开始正式切流量上线，使用288个IP均免费：
112.30.247.0/24 112.29.240.192/27</t>
  </si>
  <si>
    <t>2021/1/21边缘计算节点新增2个机架：BECHFCM5F-B-09、BECHFCM5F-B-10</t>
  </si>
  <si>
    <t>202103调整计提金额。运营商账单未收费。2021/1/21边缘计算节点新增128IP：112.28.202.128/25
新增IPV6:2409:8C30:0040:1303::/64</t>
  </si>
  <si>
    <t>安徽合肥移动边缘计算节点扩容（HFCM)，新增一个机柜BECHFCM2F-E-3</t>
  </si>
  <si>
    <t>安徽合肥移动边缘计算节点扩容（HFCM）一个机柜BECHFCM2F-E-2</t>
  </si>
  <si>
    <t>【CDN退租】CDN安徽合肥移动退租信息 (HFCM)：HFCM2F-E-17,HFCM2F-E-16,HFCM2F-E-15,HFCM2F-E-14,HFCM2F-E-10,HFCM2F-E-09,HFCM2F-E-08
安徽合肥移动边缘计算节点扩容（HFCM）一个机柜BECHFCM2F-E-2</t>
  </si>
  <si>
    <t>合肥移动新增0G 节点正式上线  HFCM，新增一个机柜BECHFCM2F-E-08</t>
  </si>
  <si>
    <t>【CDN新建】安徽合肥移动新建0G  2022-12-29 节点正式上线  (HFCM)，HFCM2F-E-10</t>
  </si>
  <si>
    <t>淮南9移动</t>
  </si>
  <si>
    <t>CDNHNCM2</t>
  </si>
  <si>
    <t>BECHN9CM-102-F09、BECHN9CM-102-F10</t>
  </si>
  <si>
    <t>每百G送256个，200G，免费512个，112.29.212.0/24、112.29.213.0/24</t>
  </si>
  <si>
    <t>2409:8C30:1000:0903::/64、2409:8C30:1000:0904::/64</t>
  </si>
  <si>
    <t>淮南10移动</t>
  </si>
  <si>
    <t>BECHN10CM-102-F11、BECHN10CM-102-F12</t>
  </si>
  <si>
    <t>每百G送256个，200G，免费512个，112.29.216.0/24、112.29.217.0/24</t>
  </si>
  <si>
    <t>2409:8C30:1000:0902::/64、2409:8C30:1000:0905::/64</t>
  </si>
  <si>
    <t>中国移动通信集团甘肃有限公司</t>
  </si>
  <si>
    <t>兰州移动</t>
  </si>
  <si>
    <t>182315IDC00149</t>
  </si>
  <si>
    <t>LZ3CM</t>
  </si>
  <si>
    <t>CDNLZCM3</t>
  </si>
  <si>
    <t>LZ3CM2F-01-02、LZ3CM2F-01-03、LZ3CM2F-01-04、LZ3CM2F-01-05、LZ3CM2F-01-06</t>
  </si>
  <si>
    <t>LZ3CM2F-01-05、LZ3CM2F-01-06</t>
  </si>
  <si>
    <t>2022.8开始带宽量为240G，IP地址每百G赠送128个可送307个，运营商登记百度使用416个，收费109个。117.157.16.0/25，117.157.20.128/25，117.157.224.160/27</t>
  </si>
  <si>
    <t>甘肃兰州移动边缘计算节点新建（LZ3CM）,新增200G，2个机柜，BECLZ3CM2F202-01-19，BECLZ3CM2F202-01-20，商务确认8月29日开始计费</t>
  </si>
  <si>
    <t>BECLZ3CM2F202-01-20</t>
  </si>
  <si>
    <t>2022/2/1开始计费，甘肃兰州移动边缘计算节点扩容（LZ3CM），新增两个机柜BECLZ3CM2F202-04-11,BECLZ3CM2F202-04-12</t>
  </si>
  <si>
    <t>【BEC退租】BEC兰州移动退租信息，退租一个机柜BECLZ3CM2F202-01-19</t>
  </si>
  <si>
    <t>【CDN扩容】甘肃兰州移动新建0G   (LZ3CM),LZ3CM2F-01-05 为新扩容机柜，此次只扩容了1个机柜，1月14日开始计费</t>
  </si>
  <si>
    <t>2022.8开始带宽量为240G，IP地址每百G赠送128个可送307个，运营商登记百度使用416个，收费109个。甘肃兰州移动边缘计算节点新建（LZ3CM）,新增200G，128个IP，117.157.224.0/25，商务确认8月29日开始计费</t>
  </si>
  <si>
    <t>此段IP未在运营商测记录。2022/2/1开始计费，甘肃兰州移动边缘计算节点扩容（LZ3CM），新增128个IP 36.142.3.0/25</t>
  </si>
  <si>
    <t>【BEC退租】BEC兰州移动退租信息，退租128个IP地址日期为2022年11月30日，117.157.224.0/25</t>
  </si>
  <si>
    <t>12月1日新增IPV6一段，2409:8C74:F100:0214::0/64</t>
  </si>
  <si>
    <t>中国移动通信集团河南有限公司安阳分公司</t>
  </si>
  <si>
    <t>安阳移动</t>
  </si>
  <si>
    <t>182115IDC00141</t>
  </si>
  <si>
    <t>安阳</t>
  </si>
  <si>
    <t>AY2CM</t>
  </si>
  <si>
    <t>CDNAYCM</t>
  </si>
  <si>
    <t>AYCM4F401-G-08、AYCM4F401-G-09、AYCM4F401-G-10、AYCM4F401-G-11、AYCM4F401-G-12</t>
  </si>
  <si>
    <t>2021-01-01</t>
  </si>
  <si>
    <t>2022-12-31</t>
  </si>
  <si>
    <t>AYCM</t>
  </si>
  <si>
    <t>AYCM4F401-L-05、AYCM4F401-L-04、AYCM4F401-L-07、AYCM4F401-L-06、AYCM4F401-L-03、AYCM4F401-L-02
2020.4.1由代理商转直签</t>
  </si>
  <si>
    <t>2022/5/31节点退租。AYCM4F401-L-05、AYCM4F401-L-04、AYCM4F401-L-07、AYCM4F401-L-06、AYCM4F401-L-03、AYCM4F401-L-02
2020.4.1由代理商转直签</t>
  </si>
  <si>
    <t>2022/5/31节点退租。AYCM4F401-G-10,AYCM4F401-G-12,AYCM4F401-G-11,AYCM4F401-G-09,AYCM4F401-G-08</t>
  </si>
  <si>
    <t>经商务确认，按每万兆送26个计算，380G带宽，送38*26=988个免费：111.6.38.0/24;111.6.39.0/27</t>
  </si>
  <si>
    <t>sys已核对使用576个，免费提供【988】个IPV4地址，IPV6地址 ::/64 个网段地址：111.6.10.0/24;111.6.9.192/27
2020.4.1由代理商转直签</t>
  </si>
  <si>
    <t>2022/5/31节点退租。sys已核对使用576个，免费提供【988】个IPV4地址，IPV6地址 ::/64 个网段地址：111.6.10.0/24;111.6.9.192/27
2020.4.1由代理商转直签</t>
  </si>
  <si>
    <t>2022/7/31节点退租：111.6.38.0/24 111.6.39.0/27</t>
  </si>
  <si>
    <t>中国移动通信集团河南有限公司漯河分公司</t>
  </si>
  <si>
    <t>漯河移动</t>
  </si>
  <si>
    <t>182115IDC00142</t>
  </si>
  <si>
    <t>漯河</t>
  </si>
  <si>
    <t>LHCM</t>
  </si>
  <si>
    <t>CDNLHCM</t>
  </si>
  <si>
    <t>原正式合同5.24到期LHCM5FIDC-B-10~LHCM5FIDC-B-15</t>
  </si>
  <si>
    <t>2022/7/31 节点退租：LHCM5FIDC-B-12,LHCM5FIDC-B-14,LHCM5FIDC-B-13,LHCM5FIDC-B-11,LHCM5FIDC-B-10</t>
  </si>
  <si>
    <t>经商务确认，按每万兆送26个计算，240G带宽，送24*26=624个免费，实际使用288，均免费：111.6.21.0/24;111.6.22.96/27</t>
  </si>
  <si>
    <t>2022/7/31 节点退租：111.6.21.0/24 111.6.22.96/27</t>
  </si>
  <si>
    <t>中国移动通信集团河南有限公司郑州分公司</t>
  </si>
  <si>
    <t>郑州移动</t>
  </si>
  <si>
    <t>L20221229038</t>
  </si>
  <si>
    <t>ZZCM</t>
  </si>
  <si>
    <t>CDNZZCM</t>
  </si>
  <si>
    <t>2022/5/31节点退租。ZZCM2F-N-08、ZZCM2F-N-07、ZZCM2F-N-06、ZZCM2F-N-05、ZZCM2F-N-04、ZZCM2F-N-03、ZZCM2F-N-02、ZZCM2F-N-01</t>
  </si>
  <si>
    <t>ZZ2CM</t>
  </si>
  <si>
    <t>CDNZZCM2</t>
  </si>
  <si>
    <t>ZZCM1F-12L-16、ZZCM1F-12L-17、ZZCM1F-12L-18、ZZCM1F-14L-17</t>
  </si>
  <si>
    <t>ZZ4CM</t>
  </si>
  <si>
    <t>ZZ4CM2H1F-L07-13、ZZ4CM2H1F-L07-12、ZZ4CM2H1F-L07-11、ZZ4CM2H1F-L07-10、ZZ4CM2H1F-L07-16、ZZ4CM2H1F-L07-15、ZZ4CM2H1F-L07-14、ZZ4CM2H1F-L07-17</t>
  </si>
  <si>
    <t>ZZ4CM2H1F-L07-09</t>
  </si>
  <si>
    <t>2022.6.30【CDN退租】CDN河南郑州移动退租 (ZZ4CM)2个机柜：ZZ4CM2H1F-L07-12、ZZ4CM2H1F-L07-13</t>
  </si>
  <si>
    <t>ZZ4CM 机架编号变更，不影响计费，关闭机架：ZZ4CM2H1F-L07-9、ZZ4CM2H1F-L07-10、ZZ4CM2H1F-L07-11、ZZ4CM2H1F-L07-14、ZZ4CM2H1F-L07-15、ZZ4CM2H1F-L07-16、ZZ4CM2H1F-L07-17</t>
  </si>
  <si>
    <t>ZZ4CM 机架编号变更，不影响计费，开通机架：ZZ4CM2H1F-C08-14、ZZ4CM2H1F-C08-15、ZZ4CM2H1F-C08-16、ZZ4CM2H1F-C08-17、ZZ4CM2H1F-C08-18、ZZ4CM2H1F-C08-19、ZZ4CM2H1F-C08-20</t>
  </si>
  <si>
    <t>郑州5移动</t>
  </si>
  <si>
    <t>ZZ5CM</t>
  </si>
  <si>
    <t>河南郑州移动 增量200G完成业务测试，已于2020-06-15开始正式切流量上线，从2020.6.15开始计费
ZZ5CM2H1F-L11-17、ZZ5CM2H1F-L11-16、ZZ5CM2H1F-L11-15、ZZ5CM2H1F-L11-14、ZZ5CM2H1F-L11-13、ZZ5CM2H1F-L11-12</t>
  </si>
  <si>
    <t>BECZZ2CM1F-L10-17、BECZZ2CM1F-L10-18</t>
  </si>
  <si>
    <t>开封</t>
  </si>
  <si>
    <t>KFCM</t>
  </si>
  <si>
    <t>CDNKFCM</t>
  </si>
  <si>
    <t>2022/5/31节点退租。KFCM4F-G-01、KFCM4F-G-02、KFCM4F-G-03、KFCM4F-G-04</t>
  </si>
  <si>
    <t>三门峡</t>
  </si>
  <si>
    <t>SMXCM</t>
  </si>
  <si>
    <t>CDNSMXCM</t>
  </si>
  <si>
    <t>SMXCM4F-A-02、SMXCM4F-A-03、SMXCM4F-A-04、SMXCM4F-A-05、SMXCM4F-A-06</t>
  </si>
  <si>
    <t>河南郑州移动新增2个机柜正式计费日期为2021年12月1日BECZZ5CM4F403-C07-09、BECZZ5CM4F403-C07-10</t>
  </si>
  <si>
    <t>2022/5/31节点退租。111.6.109.0/24</t>
  </si>
  <si>
    <t>2022/5/31节点退租。111.7.168.0/24;111.7.169.0/24</t>
  </si>
  <si>
    <t>111.6.172.0/24;111.6.166.128/25</t>
  </si>
  <si>
    <t>111.7.111.0/24;111.7.110.0/24</t>
  </si>
  <si>
    <t>迁移至ZZ5CM：111.7.111.0/24</t>
  </si>
  <si>
    <t>河南郑州移动新增128个IP地址目前暂不收费，如后续收费另行通知111.6.171.128/25</t>
  </si>
  <si>
    <t>12月1日新增IPV6一段，2409:8C44:B00:402::0/64</t>
  </si>
  <si>
    <t>【边缘计算节点新建】河南郑州移动边缘计算节点新建（ZZ5CM），新增三个机柜BECZZ5CM4F403-C07-11、BECZZ5CM4F403-C07-12、BECZZ5CM4F403-C07-13</t>
  </si>
  <si>
    <t>郑州2移动</t>
  </si>
  <si>
    <t>ZZ2CM边缘计算新增机柜：BECZZ5CM4F403-C07-07,BECZZ5CM4F403-C07-08；同时新增128个免费IP:111.6.187.128/25</t>
  </si>
  <si>
    <t>【边缘计算节点新建】河南郑州移动边缘计算节点新建（ZZ5CM），新增128个IP，暂不收费，收费再通知，111.6.247.0/25</t>
  </si>
  <si>
    <t>111.6.187.128/25</t>
  </si>
  <si>
    <t>从ZZ4CM迁移：111.7.111.0/24</t>
  </si>
  <si>
    <t>L20221229046</t>
  </si>
  <si>
    <t>郑州6移动</t>
  </si>
  <si>
    <t>ZZ6CM</t>
  </si>
  <si>
    <t>【CDN新建】河南郑州移动新建120G  2022-12-09 节点正式上线  (ZZ6CM)，新增160个IP，111.7.188.0/25 111.6.165.96/27</t>
  </si>
  <si>
    <t>中国移动通信集团宁夏有限公司</t>
  </si>
  <si>
    <t>宁夏移动</t>
  </si>
  <si>
    <t>182315IDC00155</t>
  </si>
  <si>
    <t>YC2CM</t>
  </si>
  <si>
    <t>CDNYCCM</t>
  </si>
  <si>
    <t>2017/1/1   2018/9/1</t>
  </si>
  <si>
    <t>YCCM4F19-A-08
 YCCM4F19-A-09</t>
  </si>
  <si>
    <t>ZW3CM</t>
  </si>
  <si>
    <t>CDNZWCM</t>
  </si>
  <si>
    <t>ZWCM1102-D-01；2020.6.17机架编号更新为BECZWCM1102-D-01</t>
  </si>
  <si>
    <t>ZWCM1102-D-02
ZWCM1102-D-03</t>
  </si>
  <si>
    <t>ZWCM1102-D-04
ZWCM1102-D-05
ZWCM1102-D-06</t>
  </si>
  <si>
    <t>每100G带宽送160个IP。存量6个机柜，每机柜送16个，共免费512个，收费32个。自2020.5.1开始使用416个IP：120.253.39.160/27;120.253.39.0/25;120.253.63.0/24</t>
  </si>
  <si>
    <t>每100G带宽送160个IP。存量6个机柜，每机柜送16个，共免费512个，收费32个。（160G，乙方每100G互联网接入带宽包含 160  个IPv4地址，赠送256个）：120.253.39.160/27;120.253.39.0/25;120.253.63.0/24</t>
  </si>
  <si>
    <t>银川 YC2CM</t>
  </si>
  <si>
    <t>BECYCCM3F234-C1-06,BECYCCM3F234-C1-07</t>
  </si>
  <si>
    <t>每100G带宽送160个IP。存量6个机柜，每机柜送16个，共免费512个，收费32个。9月11日增量100G，每100G赠送160个IP，新增128个IP，111.51.98.128/25，</t>
  </si>
  <si>
    <t>中卫ZW3CM</t>
  </si>
  <si>
    <t>【边缘计算节点扩容】宁夏中卫移动边缘计算节点扩容（ZW3CM）,新增一个机柜，BECZWCM1102-E-11</t>
  </si>
  <si>
    <t>【BEC退租】BEC银川移动退租信息，11月30退租2个机柜，BECYCCM3F234-C1-06，BECYCCM3F234-C1-07</t>
  </si>
  <si>
    <t>银川 YC3CM</t>
  </si>
  <si>
    <t>YC3CM</t>
  </si>
  <si>
    <t>【CDN新建】宁夏银川移动新建100G  2022-12-05 节点正式上线  (YC3CM)，新增三个机柜YC3CM-C1-03,YC3CM-C1-04,YC3CM-C1-05</t>
  </si>
  <si>
    <t>12月1日新增IPV6一段，2409:8C7A:1000:20::0/64</t>
  </si>
  <si>
    <t>【CDN退租】CDN宁夏中卫移动退租信息 (ZW3CM)，退租128个IP地址，时间为2022年11月30日，120.253.63.128/25</t>
  </si>
  <si>
    <t>【BEC退租】BEC银川移动退租信息，退租128个IP地址，时间为2022年11月30日，111.51.98.128/25</t>
  </si>
  <si>
    <t>【CDN新建】宁夏银川移动新建100G  2022-12-05 节点正式上线  (YC3CM)，新增128个IP，111.51.101.0/25</t>
  </si>
  <si>
    <t>L20230329002</t>
  </si>
  <si>
    <t>银川YC4CM</t>
  </si>
  <si>
    <t>银川4移动</t>
  </si>
  <si>
    <t>YC4CM3F234-G1-CDN09,YC4CM3F234-G1-CDN10,YC4CM3F234-G1-CDN11,YC4CM3F234-G1-CDN12</t>
  </si>
  <si>
    <t>111.51.110.0/25 111.51.110.128/27</t>
  </si>
  <si>
    <t>中卫ZW4CM</t>
  </si>
  <si>
    <t>中卫4移动</t>
  </si>
  <si>
    <t>ZW4CM1FIDC1102-D-CDN07,ZW4CM1FIDC1102-D-CDN08,ZW4CM1FIDC1102-D-CDN013,ZW4CM1FIDC1102-D-CDN014,ZW4CM1FIDC1102-D-CDN015</t>
  </si>
  <si>
    <t>111.51.130.0/25 111.51.130.128/27</t>
  </si>
  <si>
    <t>中国移动通信集团青海有限公司</t>
  </si>
  <si>
    <t>西宁移动</t>
  </si>
  <si>
    <t>L20221229037</t>
  </si>
  <si>
    <t>XNCM</t>
  </si>
  <si>
    <t>CDNXNCM</t>
  </si>
  <si>
    <t>XNCM1F-103-D15、XNCM1F-103-B14、XNCM1F-103-A05</t>
  </si>
  <si>
    <t>实际使用160个，免费112个，收费48个：111.44.250.0/25;111.12.152.128/27</t>
  </si>
  <si>
    <t>23年新合同，赠送160个IP，实际使用160个，免费112个，收费48个：111.44.250.0/25;111.12.152.128/27</t>
  </si>
  <si>
    <t>中国移动通信集团山西有限公司</t>
  </si>
  <si>
    <t>山西移动</t>
  </si>
  <si>
    <t>L20221229039</t>
  </si>
  <si>
    <t>TY4CM</t>
  </si>
  <si>
    <t>CDNTYCM3</t>
  </si>
  <si>
    <t>9月5日开通计费：TYCM4F-G-05、TYCM4F-G-06、TYCM4F-G-07、TYCM4F-G-08</t>
  </si>
  <si>
    <t>边缘计算，2020年7月1日开通计费：BECTYCM4F-I-18</t>
  </si>
  <si>
    <t>2022.5开始带宽量为160G，每百G送160个，可送256个，使用416个，收费160个。
太原4移动、太原5移动合并计算，存量320G，送512个，退租后剩余太原4移动160G，免费256个，收费160个
合同预审赠送512个免费IP，实际使用416个IP地址，全部赠送,超过免费数量50元/个：183.201.233.0/24;183.201.236.0/27;183.201.216.128/25</t>
  </si>
  <si>
    <t>太原4移动、太原5移动合并计算，存量320G，送512个，退租后剩余太原4移动160G，免费256个，收费160个
合同预审赠送512个免费IP，实际使用416个IP地址，全部赠送,超过免费数量50元/个：183.201.233.0/24;183.201.236.0/27;183.201.216.128/25</t>
  </si>
  <si>
    <t>TY5CM</t>
  </si>
  <si>
    <t>2022/4/30节点退租。合同预审赠送512个免费IP，实际使用288个IP地址，其中96个免费，超过免费数量50元/个:183.201.227.160/27;183.201.220.0/24</t>
  </si>
  <si>
    <t>2022/4/30节点退租。183.201.220.0/24 183.201.227.160/27</t>
  </si>
  <si>
    <t>2022/4/30节点退租。TYCM4F-K-22,TYCM4F-K-21,TYCM4F-K-20,TYCM4F-K-19,TYCM4F-K-18</t>
  </si>
  <si>
    <t>BECTYCM4F-I-21</t>
  </si>
  <si>
    <t>23年新合同免费1288个IP，2022/4/30节点退租。合同预审赠送512个免费IP，实际使用288个IP地址，其中96个免费，超过免费数量50元/个:183.201.227.160/27;183.201.220.0/24</t>
  </si>
  <si>
    <t>【CDN退租】CDN山西太原移动退租信息 (TY4CM)，退租128个IP地址，退租日期为2022年11月30日，183.201.233.128/25</t>
  </si>
  <si>
    <t>阳泉移动</t>
  </si>
  <si>
    <t>182015IDC00020</t>
  </si>
  <si>
    <t xml:space="preserve">A端：山西省阳泉市郊区钢材市场东北(平安路东)，B端：山西太原小店区经济技术开发区泽信街数据中心_，10条10G，单价5833.33，折合成1条100G，单价58333.33 </t>
  </si>
  <si>
    <t>2019-12-01</t>
  </si>
  <si>
    <t>2024-11-30</t>
  </si>
  <si>
    <t>于2021.3.31退租。</t>
  </si>
  <si>
    <t>182015IDC00339</t>
  </si>
  <si>
    <t xml:space="preserve">A端：山西省阳泉市郊区钢材市场东北(平安路东)，B端：山西太原小店区经济技术开发区泽信街数据中心，10条10G，单价5833.33，折合成1条100G，单价58333.33 </t>
  </si>
  <si>
    <t>2020-03-25</t>
  </si>
  <si>
    <t>2025-03-31</t>
  </si>
  <si>
    <t>L20211230024</t>
  </si>
  <si>
    <t>于2021.3.31退租。阳泉移动，2019.12.1开通2048个IP地址，免费256个，收费1792个。自2020.1.1开始计费。</t>
  </si>
  <si>
    <t>L20230201007</t>
  </si>
  <si>
    <t>太原10移动</t>
  </si>
  <si>
    <t>【BEC新建】太原移动新建360G 2023-1-1节点正式上线  (TY10CM)，新增6个机柜
BECTYCM4F-I-05
BECTYCM4F-I-06
BECTYCM4F-I-07
BECTYCM4F-J-08
BECTYCM4F-J-09
BECTYCM4F-K-18</t>
  </si>
  <si>
    <t>【BEC新建】太原移动扩容0G 2023-1-1节点正式上线  (TY10CM)，新增一个机柜BECTYCM4F-I-04,开始计费时间3月21日</t>
  </si>
  <si>
    <t>【BEC新建】太原移动新建360G 2023-1-1节点正式上线  (TY10CM)，新增736个IP
183.201.222.192/26
183.201.193.0/25
183.201.100.0/24
183.201.209.0/25
183.201.209.128/26
183.201.222.128/27
183.201.227.64/26</t>
  </si>
  <si>
    <t>2023年2月28日退租216个IP，183.201.209.0/25
183.201.209.128/26
183.201.193.40/29
183.201.193.48/28</t>
  </si>
  <si>
    <t>L20230327004</t>
  </si>
  <si>
    <t>YQ01-移动</t>
  </si>
  <si>
    <t>YQ01移动出口带宽160G开通，于2023-3-1日开通，183.201.215.0/24，乙方每百G互联网接入带宽包含 160 个IPv4地址</t>
  </si>
  <si>
    <t>YQ01移动出口带宽160G开通，于2023-3-1日开通，2409:8c0c:0310:3400::/56</t>
  </si>
  <si>
    <t>中国移动通信集团西藏有限公司</t>
  </si>
  <si>
    <t>拉萨移动</t>
  </si>
  <si>
    <t>L20221229043</t>
  </si>
  <si>
    <t xml:space="preserve">拉萨 </t>
  </si>
  <si>
    <t>LASCM</t>
  </si>
  <si>
    <t>CDNLASCM</t>
  </si>
  <si>
    <t>LASCM407-O-08</t>
  </si>
  <si>
    <t>使用160个，免费160个：117.180.228.128/27;117.180.234.0/25</t>
  </si>
  <si>
    <t>甘肃铁通</t>
  </si>
  <si>
    <t>L20220422002</t>
  </si>
  <si>
    <t>LZ2CM</t>
  </si>
  <si>
    <t>CDNLZCM2</t>
  </si>
  <si>
    <t>2018/4/18 2018/9/18</t>
  </si>
  <si>
    <t>2022.4.15节点退租。LZ2CM2F-07-02、LZ2CM2F-07-03、LZ2CM2F-07-05、LZ2CM2F-07-06</t>
  </si>
  <si>
    <t>2022.4.15节点退租。20220415退租4个机柜，4月半个月为赔偿，计费截止日期为3月31日，LZ2CM2F-07-06,LZ2CM2F-07-05,LZ2CM2F-07-03,LZ2CM2F-07-02</t>
  </si>
  <si>
    <t>兰州2</t>
  </si>
  <si>
    <t>2022.4.15节点退租。免费256个：117.157.242.0/24;123.81.241.64/27</t>
  </si>
  <si>
    <t>2022.4.15节点退租。20220415退租288个IP，4月半个月为赔偿，计费截止日期为3月31日：117.157.242.0/24;123.81.241.64/27</t>
  </si>
  <si>
    <t>L20221228015</t>
  </si>
  <si>
    <t>光环窦店</t>
  </si>
  <si>
    <t>BJDDTG</t>
  </si>
  <si>
    <t>BJDDTG103B-D-01
BJDDTG103B-D-02
BJDDTG103B-D-03
BJDDTG103B-D-04
BJDDTG103B-D-05
BJDDTG103B-D-06
BJDDTG103B-D-07
BJDDTG103B-D-08
BJDDTG103B-D-09
BJDDTG103B-D-10
BJDDTG103B-E-01
BJDDTG103B-E-02
BJDDTG103B-E-03
BJDDTG103B-E-04
BJDDTG103B-E-05
BJDDTG103B-E-06
BJDDTG103B-E-07
BJDDTG103B-E-08
BJDDTG103B-E-09
BJDDTG103B-E-10</t>
  </si>
  <si>
    <t>BJDDTG103B-E-11</t>
  </si>
  <si>
    <t>西北-lijia</t>
  </si>
  <si>
    <t>中国电信股份有限公司陕西分公司</t>
  </si>
  <si>
    <t>陕西电信</t>
  </si>
  <si>
    <t>182015IDC00019</t>
  </si>
  <si>
    <t>西安开元</t>
  </si>
  <si>
    <t>XAKY</t>
  </si>
  <si>
    <t>202002与运营商核实，11月共开通114个机架。
XAKY1D302-A-02、XAKY1D302-A-03、XAKY1D302-A-04、XAKY1D302-A-05、XAKY1D302-A-06、XAKY1D302-A-07、XAKY1D302-B-02、XAKY1D302-B-03、XAKY1D302-B-04、XAKY1D302-B-05、XAKY1D302-B-06、XAKY1D302-B-07、XAKY1D302-C-03、XAKY1D302-C-04、XAKY1D302-C-05、XAKY1D302-C-06、XAKY1D302-C-07、XAKY1D302-D-03、XAKY1D302-D-04、XAKY1D302-D-05、XAKY1D302-D-06、XAKY1D302-D-07、XAKY1D302-D-08、XAKY1D302-D-09、XAKY1D302-D-10、XAKY1D305-A-15、XAKY1D305-B-14、XAKY1D301-A-02、XAKY1D301-A-03、XAKY1D301-A-04、XAKY1D301-A-05、XAKY1D301-A-06、XAKY1D301-A-07、XAKY1D301-A-08、XAKY1D301-A-09、XAKY1D301-A-10、XAKY1D301-A-11、XAKY1D301-A-12、XAKY1D301-A-13、XAKY1D301-A-14、XAKY1D301-A-15、XAKY1D301-B-15、XAKY1D301-B-06、XAKY1D301-B-07、XAKY1D301-B-08、XAKY1D301-B-09、XAKY1D301-B-10、XAKY1D301-B-11、XAKY1D301-B-12、XAKY1D301-B-13、XAKY1D301-B-14、XAKY1D301-A-16、XAKY1D301-A-17、XAKY1D301-A-18、XAKY1D301-A-19、XAKY1D301-B-16、XAKY1D301-B-17、XAKY1D301-B-18、XAKY1D301-B-19、XAKY1D301-A-01、XAKY1D302-E-01、XAKY1D303-G-01、XAKY1D304-A-09、XAKY1D305-A-16、XAKY1D306-H-19、XAKY1D401-C-01、XAKY1D402-F-01、XAKY1D404-A-09、XAKY1D405-H-11、XAKY1D301-B-01、XAKY1D301-B-03、XAKY1D301-B-05、XAKY1D301-C-02、XAKY1D301-C-04、XAKY1D301-C-06、</t>
  </si>
  <si>
    <t>XAKY1D302-A-01、XAKY1D302-B-01、XAKY1D302-C-01、XAKY1D302-D-01、XAKY1D302-C-02、XAKY1D302-D-02、XAKY1D301-D-18、XAKY1D301-D-19、XAKY1D302-F-16、XAKY1D302-F-17、XAKY1D303-D-18、XAKY1D303-D-19、XAKY1D304-F-01、XAKY1D304-F-02、XAKY1D306-D-01、XAKY1D306-D-02、XAKY1D401-D-18、XAKY1D401-D-19、XAKY1D402-D-18、XAKY1D402-D-19、XAKY1D404-E-01、XAKY1D404-E-02、XAKY1D405-C-01、XAKY1D405-C-02、</t>
  </si>
  <si>
    <t>XAKY1D305-D-06、XAKY1D305-E-06</t>
  </si>
  <si>
    <t>XAKY1D302-A-12、XAKY1D302-A-10、XAKY1D302-B-12、XAKY1D302-B-10、XAKY1D302-C-10、XAKY1D302-C-08、XAKY1D302-D-13、XAKY1D302-D-11、XAKY1D302-A-08、XAKY1D302-B-08、XAKY1D305-D-07、XAKY1D305-E-07、</t>
  </si>
  <si>
    <t>XAKY1D305-D-03</t>
  </si>
  <si>
    <t>XAKY1D305-D-10、XAKY1D305-D-11、XAKY1D305-E-10、XAKY1D305-E-11
运营商账单未包含此机架</t>
  </si>
  <si>
    <t>XAKY1D301-C-17。运营商账单未包含此机架</t>
  </si>
  <si>
    <t>根据SYS Q2盘点结果，XAKY1D301-C-17现场关闭，且不在运营商账单中，关闭机架。前期多计提已冲销</t>
  </si>
  <si>
    <t>XAKY1D301-C-03</t>
  </si>
  <si>
    <t>XAKY1D301-C-08、XAKY1D301-C-09、XAKY1D301-C-10、XAKY1D301-C-11、XAKY1D301-C-12、XAKY1D301-C-13、XAKY1D301-C-14</t>
  </si>
  <si>
    <t>XAKY1D301-D-01、XAKY1D301-D-02、XAKY1D301-D-03、XAKY1D301-D-04、XAKY1D301-D-05、XAKY1D301-D-07</t>
  </si>
  <si>
    <t>XAKY1D301-C-15、XAKY1D301-C-16、XAKY1D301-E-10、XAKY1D301-E-11</t>
  </si>
  <si>
    <t>XAKY1D301-B-02、XAKY1D301-B-04、XAKY1D301-D-06、XAKY1D301-D-08、XAKY1D301-D-09、XAKY1D301-D-10、XAKY1D301-D-11、XAKY1D301-D-12、XAKY1D301-D-13、XAKY1D301-D-14、XAKY1D301-D-15、XAKY1D301-D-16、XAKY1D301-D-17、XAKY1D301-E-02、XAKY1D301-E-03</t>
  </si>
  <si>
    <t>XAKY1D301-C-07、XAKY1D301-E-04、XAKY1D301-E-05、XAKY1D301-E-06、XAKY1D301-E-07、XAKY1D301-E-08、XAKY1D301-E-09</t>
  </si>
  <si>
    <t>XAKY1D301-F-14、XAKY1D301-F-15、XAKY1D301-G-06</t>
  </si>
  <si>
    <t>XAKY1D301-G-07</t>
  </si>
  <si>
    <t>2020/6/1开通，6月整月计费
XAKY1D301-F-16、XAKY1D301-F-17、XAKY1D301-G-02、XAKY1D301-G-03、XAKY1D301-G-04、XAKY1D301-G-05、XAKY1D301-G-19、XAKY1D301-E-12、XAKY1D301-E-13、XAKY1D301-E-14、XAKY1D301-E-15、XAKY1D301-E-16</t>
  </si>
  <si>
    <t>SYS反馈设备上架时间为2019/11/21，暂按2019/12/25作为开始计费时间
XAKY1D305-E-03</t>
  </si>
  <si>
    <t>布线柜从2020/1/1开始计费
XAKY1D302-A-09、XAKY1D302-A-11、XAKY1D302-A-13、XAKY1D302-B-09、XAKY1D302-B-11、XAKY1D302-B-13、XAKY1D302-C-09、XAKY1D302-C-11、XAKY1D302-D-12、XAKY1D302-D-14、XAKY1D305-B-13、XAKY1D305-D-01、XAKY1D305-D-02、XAKY1D305-E-01、XAKY1D305-E-02</t>
  </si>
  <si>
    <t>2020/6/30开通，6月计费1天
XAKY1D305-E-08、XAKY1D305-E-09</t>
  </si>
  <si>
    <t>XAKY1D301-E-17、XAKY1D301-E-18、XAKY1D301-E-19、XAKY1D301-F-01、XAKY1D301-F-02、XAKY1D301-F-03、XAKY1D301-F-04、XAKY1D301-F-05、XAKY1D301-F-06、XAKY1D301-F-07、XAKY1D301-F-08、XAKY1D301-F-09、XAKY1D301-F-11、XAKY1D301-F-12、XAKY1D301-F-13、XAKY1D301-G-01</t>
  </si>
  <si>
    <t>XAKY1D305-B-03</t>
  </si>
  <si>
    <t>XAKY1D301-F-10</t>
  </si>
  <si>
    <t>XAKY1D302-H-01、XAKY1D302-H-02、XAKY1D302-H-03、XAKY1D302-H-04、XAKY1D302-H-05、XAKY1D302-H-06、XAKY1D302-H-07、XAKY1D302-H-08、XAKY1D302-H-09、XAKY1D302-H-10、XAKY1D302-H-11、XAKY1D302-H-12、XAKY1D302-H-14</t>
  </si>
  <si>
    <t>XAKY1D301-G-08、XAKY1D301-G-18</t>
  </si>
  <si>
    <t>XAKY1D301-G-01、XAKY1D301-G-19</t>
  </si>
  <si>
    <t>XAKY1D305-D-08、XAKY1D305-D-09</t>
  </si>
  <si>
    <t>XAKY1D401-C-01</t>
  </si>
  <si>
    <t>XAKY1D401-D-18、XAKY1D401-D-19</t>
  </si>
  <si>
    <t>2020/9/2开通，9月计费29天：XAKY1D301-G-12、XAKY1D301-G-13、XAKY1D301-G-14、XAKY1D301-G-15、XAKY1D301-G-16、XAKY1D301-G-17</t>
  </si>
  <si>
    <t>XAKY
CDNXAIX</t>
  </si>
  <si>
    <t>陕西新建三线，2020/9/10切量上线，9.20开始计费，计费11天。新增17个机架：XAIXXF-A-03、XAIXXF-A-04、XAIXXF-A-05、XAIXXF-A-06、XAIXXF-A-07、XAIXXF-A-08、XAIXXF-A-09、XAIXXF-A-10、XAIXXF-A-11、XAIXXF-A-12、XAIXXF-A-13、XAIXXF-A-14、XAIXXF-A-15、XAIXXF-A-16、XAIXXF-A-17、XAIXXF-A-18、XAIXXF-A-19。此部分机柜实际就在IDC机房中，为了便于CDN管理，故RMS按照CDN规则设置了机架编号和机房名称</t>
  </si>
  <si>
    <t>2020.9.21开通。XAKY1D305-B-04</t>
  </si>
  <si>
    <t>2020/9/28开通机架，9月计费3天。XAKY1D305-D-05</t>
  </si>
  <si>
    <t>2020/9/29开通机架，9月计费2天。XAKY1D303-B-12、XAKY1D303-B-13、XAKY1D303-B-14、XAKY1D303-B-15、XAKY1D303-C-16、XAKY1D303-C-17、XAKY1D303-D-11、XAKY1D303-D-12、XAKY1D303-D-13、XAKY1D303-D-14、XAKY1D303-D-15、XAKY1D303-D-16、XAKY1D303-D-17</t>
  </si>
  <si>
    <t>2020.10.22开通，XAKY1D301-H-01、XAKY1D301-H-02、XAKY1D301-H-04~15</t>
  </si>
  <si>
    <t>2020.11.30开通，XAKY1D301-H-16~19、XAKY1D303-B-02~11</t>
  </si>
  <si>
    <t>2020.12.2开通，XAKY1D303-C-02~06</t>
  </si>
  <si>
    <t>2020.12.10开通，XAKY1D303-A-02</t>
  </si>
  <si>
    <t>2020.12.21开通，XAKY1D303-C-07~15</t>
  </si>
  <si>
    <t>2021.1.15开通，XAKY1D302-H-13~17</t>
  </si>
  <si>
    <t>CDNXAIX</t>
  </si>
  <si>
    <t>2021.1.20开通，XAKY1D303-B-16~18；西安三线边缘计算新增机柜，开通在大机房内（BECCDNXAIX-B-16
BECCDNXAIX-B-17
BECCDNXAIX-B-18）。</t>
  </si>
  <si>
    <t>2021.1.19开通，XAKY1D303-D-02~03</t>
  </si>
  <si>
    <t>2021.2.5开通，XAKY1D303-D-04、XAKY1D303-D-05</t>
  </si>
  <si>
    <t>2021.2.5关闭，XAKY1D302-C-01
XAKY1D302-C-02
XAKY1D302-D-01
XAKY1D302-D-02
XAKY1D404-E-01
XAKY1D404-E-02</t>
  </si>
  <si>
    <t>2021.2.5关闭，
XAKY1D404-A-09</t>
  </si>
  <si>
    <t>2021.2.26开通，XAKY1D301-G-09</t>
  </si>
  <si>
    <t>2021.3.9开通，XAKY1D303-E-16
XAKY1D303-E-17
XAKY1D303-E-18
XAKY1D303-E-19
XAKY1D303-F-02
XAKY1D303-F-03
XAKY1D303-F-04
XAKY1D303-F-05
XAKY1D303-F-06
XAKY1D303-F-07
XAKY1D303-F-09</t>
  </si>
  <si>
    <t>2021.3.16开通，XAKY1D303-D-06
XAKY1D303-D-07
XAKY1D303-D-08
XAKY1D303-D-09
XAKY1D303-F-08
XAKY1D303-F-10
XAKY1D303-F-11
XAKY1D303-F-12
XAKY1D303-F-13
XAKY1D303-F-14
XAKY1D303-F-15</t>
  </si>
  <si>
    <t>2021.3.17开通，XAKY1D303-G-14
XAKY1D303-F-16
XAKY1D303-F-17
XAKY1D303-G-12
XAKY1D303-G-13</t>
  </si>
  <si>
    <t>2021.3.18开通，XAKY1D303-G-15
XAKY1D303-G-16
XAKY1D303-G-17
XAKY1D303-G-18
XAKY1D303-G-19
XAKY1D303-H-01
XAKY1D303-H-02
XAKY1D303-H-03
XAKY1D303-H-04</t>
  </si>
  <si>
    <t>2021.3.20开通，XAKY1D301-G-10
XAKY1D301-G-11
XAKY1D301-H-03
XAKY1D303-A-01
XAKY1D303-C-01
XAKY1D303-E-01
XAKY1D303-H-05
XAKY1D303-H-06
XAKY1D303-H-07
XAKY1D303-H-08
XAKY1D303-H-09
XAKY1D303-H-10</t>
  </si>
  <si>
    <t>2021.3.29开通，XAKY1D303-E-02
XAKY1D303-E-03
XAKY1D303-E-04
XAKY1D303-E-05
XAKY1D303-E-06
XAKY1D303-E-07</t>
  </si>
  <si>
    <t>2021.3.31开通，XAKY1D303-G-02
XAKY1D303-G-03
XAKY1D303-G-04
XAKY1D303-G-05
XAKY1D303-G-06
XAKY1D303-G-07
XAKY1D303-G-08
XAKY1D303-G-09
XAKY1D303-G-10
XAKY1D303-G-11</t>
  </si>
  <si>
    <t>2021.4.16开通，XAKY1D304-A-01
XAKY1D304-A-02
XAKY1D304-A-03
XAKY1D304-A-04
XAKY1D304-A-05
XAKY1D304-A-06
XAKY1D304-A-07
XAKY1D304-A-08
XAKY1D304-B-01
XAKY1D304-B-02
XAKY1D304-B-03
XAKY1D304-B-04
XAKY1D304-B-05
XAKY1D304-B-06
XAKY1D304-B-07
XAKY1D304-B-08
XAKY1D304-B-09
XAKY1D304-B-10
XAKY1D304-C-01
XAKY1D304-C-02
XAKY1D304-C-03
XAKY1D304-C-04
XAKY1D304-C-05
XAKY1D304-C-06</t>
  </si>
  <si>
    <t>2021.4.22开通，XAKY1D303-E-14
XAKY1D303-E-15
XAKY1D303-E-10
XAKY1D303-E-11
XAKY1D303-E-12
XAKY1D303-E-13</t>
  </si>
  <si>
    <t>2021.6.4开通，XAKY1D405-A-02
XAKY1D405-A-03
XAKY1D405-A-04
XAKY1D405-A-05
XAKY1D405-A-06
XAKY1D405-A-07
XAKY1D405-A-08
XAKY1D405-A-09
XAKY1D405-A-10
XAKY1D405-A-11
XAKY1D405-A-12
XAKY1D405-A-13
XAKY1D405-A-14
XAKY1D405-A-15
XAKY1D405-A-16
XAKY1D405-A-17
XAKY1D405-A-18
XAKY1D405-A-19
XAKY1D405-B-02
XAKY1D405-B-03
XAKY1D405-B-04
XAKY1D405-B-05
XAKY1D405-B-06
XAKY1D405-B-07
XAKY1D405-B-08
XAKY1D405-B-09
XAKY1D405-B-10
XAKY1D405-B-11
XAKY1D405-C-03
XAKY1D405-C-04
XAKY1D405-B-12
XAKY1D405-B-13
XAKY1D405-B-14
XAKY1D405-B-15
XAKY1D405-B-16
XAKY1D405-B-17
XAKY1D405-B-18
XAKY1D405-C-05
XAKY1D405-C-06</t>
  </si>
  <si>
    <t>2021.7.17开通,
XAKY1D402-A-01
XAKY1D402-A-02
XAKY1D402-A-03</t>
  </si>
  <si>
    <t>2021.7.20关闭,
XAKY1D402-A-01
XAKY1D402-A-02
XAKY1D402-A-03</t>
  </si>
  <si>
    <t>2021.7.17开通,XAKY1D306-A-11
XAKY1D306-A-12
XAKY1D306-A-13
XAKY1D306-A-14
XAKY1D306-A-15
XAKY1D306-A-16
XAKY1D306-A-17
XAKY1D306-A-18
XAKY1D306-A-19
XAKY1D402-A-04
XAKY1D402-A-05
XAKY1D402-A-06
XAKY1D402-A-07
XAKY1D402-A-08
XAKY1D402-A-09
XAKY1D402-A-10
XAKY1D402-A-11
XAKY1D402-A-12
XAKY1D402-A-13
XAKY1D402-A-14</t>
  </si>
  <si>
    <t>2021.7.20开通,
XAKY1D304-H-14
XAKY1D304-H-15
XAKY1D304-H-16</t>
  </si>
  <si>
    <t>2021.8.20开通,
XAKY1D405-D-01
XAKY1D405-D-02
XAKY1D405-D-03
XAKY1D405-D-04</t>
  </si>
  <si>
    <t>2021.8.31开通,
XAKY1D405-D-05
XAKY1D405-D-06
XAKY1D405-D-07
XAKY1D405-D-08
XAKY1D405-D-09
XAKY1D405-D-10
XAKY1D405-D-11
XAKY1D405-D-12
XAKY1D405-D-13</t>
  </si>
  <si>
    <t>2021.9.22开通,XAKY1D306-D-03
XAKY1D306-D-04
XAKY1D306-D-05
XAKY1D306-D-06
XAKY1D306-D-07
XAKY1D306-D-08
XAKY1D306-D-09
XAKY1D306-D-10
XAKY1D306-D-11
XAKY1D306-D-12
XAKY1D306-D-13
XAKY1D306-D-14
XAKY1D306-D-15
XAKY1D306-D-16
XAKY1D306-D-17
XAKY1D306-D-18
XAKY1D306-E-01
XAKY1D306-E-02
XAKY1D306-E-03
XAKY1D306-E-04
XAKY1D306-E-05
XAKY1D306-E-06
XAKY1D306-E-07
XAKY1D306-E-08
XAKY1D306-E-09
XAKY1D306-E-10
XAKY1D306-E-11
XAKY1D306-E-12
XAKY1D306-E-13
XAKY1D306-E-14
XAKY1D306-E-15
XAKY1D306-E-16
XAKY1D306-E-17
XAKY1D306-E-18
XAKY1D306-E-19
XAKY1D306-F-02
XAKY1D306-F-03
XAKY1D306-F-04
XAKY1D306-F-05
XAKY1D306-F-06
XAKY1D306-F-07
XAKY1D306-F-08
XAKY1D306-F-09
XAKY1D306-F-10</t>
  </si>
  <si>
    <t>2021.9.23开通,XAKY1D306-F-11
XAKY1D306-F-12
XAKY1D306-F-13
XAKY1D306-F-14
XAKY1D306-G-01
XAKY1D306-G-02
XAKY1D306-G-03
XAKY1D306-G-04
XAKY1D306-G-05
XAKY1D306-G-06
XAKY1D306-G-07
XAKY1D306-G-08
XAKY1D306-G-09
XAKY1D306-G-10
XAKY1D306-G-11
XAKY1D306-G-12
XAKY1D306-G-13
XAKY1D306-G-14
XAKY1D306-G-15
XAKY1D306-G-16
XAKY1D306-G-17
XAKY1D306-G-18
XAKY1D306-G-19
XAKY1D306-H-01
XAKY1D306-H-02
XAKY1D306-H-03
XAKY1D306-H-04
XAKY1D306-H-05
XAKY1D306-H-06
XAKY1D306-H-07
XAKY1D306-H-08
XAKY1D306-H-09
XAKY1D306-H-10
XAKY1D306-H-11
XAKY1D306-H-12
XAKY1D306-H-13
XAKY1D306-H-14
XAKY1D306-H-15
XAKY1D306-H-16
XAKY1D306-H-17
XAKY1D306-H-18</t>
  </si>
  <si>
    <t>2021.9.24开通,
XAKY1D306-B-01
XAKY1D306-B-02
XAKY1D306-B-03
XAKY1D306-B-04
XAKY1D306-B-05
XAKY1D306-B-06
XAKY1D306-B-07
XAKY1D306-B-08
XAKY1D306-B-09
XAKY1D306-B-10
XAKY1D306-B-11
XAKY1D306-B-12
XAKY1D306-B-13
XAKY1D306-B-14
XAKY1D306-B-15
XAKY1D306-B-16
XAKY1D306-B-17
XAKY1D306-B-18
XAKY1D306-C-01
XAKY1D306-C-02
XAKY1D306-C-03
XAKY1D306-C-04
XAKY1D306-C-05
XAKY1D306-C-06
XAKY1D306-C-07
XAKY1D306-C-08
XAKY1D306-C-09
XAKY1D306-C-10
XAKY1D306-C-11
XAKY1D306-C-12
XAKY1D306-C-13
XAKY1D306-C-14
XAKY1D306-C-15
XAKY1D405-D-14
XAKY1D405-D-15
XAKY1D405-D-16
XAKY1D405-D-17
XAKY1D405-D-18
XAKY1D405-E-01
XAKY1D405-E-02
XAKY1D405-E-03
XAKY1D405-E-04
XAKY1D405-E-05
XAKY1D405-E-06
XAKY1D405-E-07
XAKY1D405-E-08
XAKY1D405-E-09
XAKY1D405-E-10
XAKY1D405-E-11
XAKY1D405-E-12
XAKY1D405-E-13
XAKY1D405-E-14
XAKY1D405-E-15
XAKY1D405-E-16
XAKY1D405-E-17
XAKY1D405-E-18
XAKY1D405-E-19
XAKY1D405-F-02
XAKY1D405-F-03
XAKY1D405-F-04
XAKY1D405-F-05
XAKY1D405-F-06
XAKY1D405-F-07
XAKY1D405-F-08
XAKY1D405-F-09
XAKY1D405-F-10
XAKY1D405-F-11
XAKY1D405-F-12
XAKY1D405-F-13
XAKY1D405-F-14
XAKY1D405-G-01
XAKY1D405-G-02
XAKY1D405-G-03
XAKY1D405-G-04
XAKY1D405-G-05
XAKY1D405-G-06
XAKY1D405-G-07
XAKY1D405-G-08
XAKY1D405-G-09
XAKY1D405-G-10
XAKY1D405-G-11</t>
  </si>
  <si>
    <t>2021.9.27开通,
XAKY1D304-D-01
XAKY1D304-D-02
XAKY1D304-D-03
XAKY1D304-D-04
XAKY1D304-D-05
XAKY1D304-D-06
XAKY1D304-D-07
XAKY1D304-D-08
XAKY1D304-D-09
XAKY1D304-D-10
XAKY1D304-D-11
XAKY1D304-D-12
XAKY1D304-D-13
XAKY1D304-D-14
XAKY1D304-D-15
XAKY1D304-D-16
XAKY1D304-D-17
XAKY1D304-D-18
XAKY1D304-D-19
XAKY1D304-E-02
XAKY1D304-E-03
XAKY1D304-E-04
XAKY1D304-E-05
XAKY1D304-E-06
XAKY1D304-E-07
XAKY1D304-E-08
XAKY1D304-E-09
XAKY1D304-E-10
XAKY1D304-E-11</t>
  </si>
  <si>
    <t>2021.9.29开通,
XAKY1D302-F-02
XAKY1D302-F-03
XAKY1D302-F-04
XAKY1D302-F-05
XAKY1D302-F-06
XAKY1D302-F-07
XAKY1D302-F-08
XAKY1D302-F-09
XAKY1D302-F-10
XAKY1D302-F-11
XAKY1D302-F-12
XAKY1D302-F-13
XAKY1D302-F-14
XAKY1D302-F-15
XAKY1D302-G-01
XAKY1D302-G-02
XAKY1D302-G-03
XAKY1D302-G-04
XAKY1D302-G-05
XAKY1D302-G-06
XAKY1D302-G-07
XAKY1D302-G-08
XAKY1D302-G-09
XAKY1D302-G-10
XAKY1D302-G-11
XAKY1D302-G-12
XAKY1D302-G-13
XAKY1D302-G-14
XAKY1D302-G-15
XAKY1D302-G-16
XAKY1D302-G-17
XAKY1D302-G-18
XAKY1D302-G-19
XAKY1D304-E-12
XAKY1D304-E-13
XAKY1D304-E-14
XAKY1D304-E-15
XAKY1D304-E-16
XAKY1D304-E-17
XAKY1D304-E-18
XAKY1D304-E-19
XAKY1D304-F-03
XAKY1D304-F-04
XAKY1D304-F-05
XAKY1D304-F-06
XAKY1D304-F-07
XAKY1D304-F-08
XAKY1D304-F-09
XAKY1D304-F-10
XAKY1D304-F-11
XAKY1D304-F-12
XAKY1D304-F-13
XAKY1D304-F-14
XAKY1D304-G-02
XAKY1D304-G-03
XAKY1D304-G-04
XAKY1D304-G-05
XAKY1D304-G-06
XAKY1D304-G-07
XAKY1D304-G-08
XAKY1D304-G-09
XAKY1D304-G-10
XAKY1D304-G-11
XAKY1D304-G-12
XAKY1D304-G-13
XAKY1D301-G-01
XAKY1D302-H-19
XAKY1D303-B-01
XAKY1D303-D-01
XAKY1D303-D-10
XAKY1D303-E-08
XAKY1D303-E-09
XAKY1D303-F-01
XAKY1D304-C-07
XAKY1D304-C-08
XAKY1D304-E-01
XAKY1D304-F-15
XAKY1D304-G-01
XAKY1D304-G-14
XAKY1D304-G-15
XAKY1D304-G-16
XAKY1D304-G-17
XAKY1D304-G-18
XAKY1D304-G-19
XAKY1D304-H-02
XAKY1D304-H-03
XAKY1D304-H-04
XAKY1D304-H-05
XAKY1D304-H-06
XAKY1D304-H-07
XAKY1D304-H-08
XAKY1D304-H-09
XAKY1D304-H-10
XAKY1D304-H-11
XAKY1D304-H-12
XAKY1D304-H-13
XAKY1D304-H-17
XAKY1D304-H-18
XAKY1D304-H-19
XAKY1D306-F-15
XAKY1D405-A-01
XAKY1D405-B-01
XAKY1D405-B-19
XAKY1D405-C-08
XAKY1D405-C-09
XAKY1D405-C-10
XAKY1D405-C-11
XAKY1D405-C-12
XAKY1D405-C-13
XAKY1D405-C-14
XAKY1D405-C-15
XAKY1D405-F-01</t>
  </si>
  <si>
    <t>2021.10.31开通,XAKY1D402-B-01
XAKY1D402-B-02
XAKY1D402-B-03
XAKY1D402-B-04
XAKY1D402-B-05</t>
  </si>
  <si>
    <t>2022.6.22开通,
XAKY1D305-B-05</t>
  </si>
  <si>
    <t>2022.7.14开通,
XAKY1D306-B-19</t>
  </si>
  <si>
    <t>XAKY1D305-B-11
XAKY1D305-B-12</t>
  </si>
  <si>
    <t>11月4日关电，运营商侧终止计费时间为10月31日，XAKY1D301-G-01
XAKY1D302-F-02
XAKY1D302-F-03
XAKY1D302-F-04
XAKY1D302-F-05
XAKY1D302-F-06
XAKY1D302-F-07
XAKY1D302-F-08
XAKY1D302-F-09
XAKY1D302-F-10
XAKY1D302-F-11
XAKY1D302-F-12
XAKY1D302-F-13
XAKY1D302-F-14
XAKY1D302-F-15
XAKY1D302-G-02
XAKY1D302-G-03
XAKY1D302-G-04
XAKY1D302-G-05
XAKY1D302-G-06
XAKY1D302-G-07
XAKY1D302-G-08
XAKY1D302-G-09
XAKY1D302-G-10
XAKY1D302-G-11
XAKY1D302-G-12
XAKY1D302-G-13
XAKY1D302-G-14
XAKY1D302-G-15
XAKY1D302-G-16
XAKY1D302-G-17
XAKY1D302-G-18
XAKY1D302-G-19
XAKY1D302-H-19
XAKY1D303-B-01
XAKY1D303-D-01
XAKY1D303-E-09
XAKY1D303-F-01
XAKY1D304-C-07
XAKY1D304-F-15
XAKY1D304-H-08
XAKY1D304-H-09
XAKY1D304-H-10
XAKY1D304-H-11
XAKY1D304-H-12
XAKY1D304-H-13
XAKY1D304-H-17
XAKY1D304-H-18
XAKY1D304-H-19
XAKY1D306-B-01
XAKY1D306-B-02
XAKY1D306-B-03
XAKY1D306-B-04
XAKY1D306-B-05
XAKY1D306-B-06
XAKY1D306-B-07
XAKY1D306-B-08
XAKY1D306-B-09
XAKY1D306-B-10
XAKY1D306-B-11
XAKY1D306-B-12
XAKY1D306-B-13
XAKY1D306-B-14
XAKY1D306-B-15
XAKY1D306-B-16
XAKY1D306-B-17
XAKY1D306-B-18
XAKY1D306-C-01
XAKY1D306-C-02
XAKY1D306-C-03
XAKY1D306-C-04
XAKY1D306-C-07
XAKY1D306-C-08
XAKY1D306-C-09
XAKY1D306-C-11
XAKY1D306-C-12
XAKY1D306-C-13
XAKY1D306-C-14
XAKY1D306-C-15
XAKY1D306-D-03
XAKY1D306-D-04
XAKY1D306-D-05
XAKY1D306-D-06
XAKY1D306-D-08
XAKY1D306-D-09
XAKY1D306-D-10
XAKY1D306-D-11
XAKY1D306-D-12
XAKY1D306-D-18
XAKY1D306-E-04
XAKY1D306-E-06
XAKY1D306-E-07
XAKY1D306-E-08
XAKY1D306-F-14
XAKY1D306-F-15
XAKY1D405-B-01
XAKY1D405-B-19
XAKY1D405-C-08
XAKY1D405-C-09
XAKY1D405-C-15
XAKY1D405-D-01
XAKY1D405-D-02
XAKY1D405-D-14
XAKY1D405-D-15
XAKY1D405-D-16
XAKY1D405-D-17
XAKY1D405-D-18
XAKY1D405-E-12
XAKY1D405-E-13
XAKY1D405-E-14
XAKY1D405-E-15
XAKY1D405-E-16
XAKY1D405-E-17
XAKY1D405-E-18
XAKY1D405-E-19
XAKY1D405-F-01
XAKY1D405-F-02
XAKY1D405-F-03
XAKY1D405-F-04
XAKY1D405-F-05
XAKY1D405-F-09
XAKY1D405-F-10
XAKY1D405-F-11
XAKY1D405-F-12
XAKY1D405-F-13
XAKY1D405-F-14
XAKY1D405-G-01
XAKY1D405-G-02
XAKY1D405-G-03
XAKY1D405-G-04
XAKY1D405-G-05
XAKY1D405-G-06
XAKY1D405-G-07
XAKY1D405-G-08
XAKY1D405-G-09
XAKY1D405-G-10
XAKY1D405-G-11</t>
  </si>
  <si>
    <t>XAKY1D306-D-17
XAKY1D405-A-01
XAKY1D405-E-01</t>
  </si>
  <si>
    <t>XAKY1D405-E-08
XAKY1D405-E-10
XAKY1D405-E-11</t>
  </si>
  <si>
    <t>XAKY1D303-E-08
XAKY1D306-E-01
XAKY1D306-G-19</t>
  </si>
  <si>
    <t>XAKY超电流，暂按300A预估计提。除20A业务机柜之外，其他机柜均可能产生超电流费用。公式：(实际用电量-20A)*300；每月正预提</t>
  </si>
  <si>
    <t>L20221027006</t>
  </si>
  <si>
    <t>机架空置费：不足起租计划的机柜按正常价格的30%收取空置费</t>
  </si>
  <si>
    <t>静态IPV4全球代播1个C</t>
  </si>
  <si>
    <t>陕西电信增加2个C的IP代播计费：
IP地址代播
106.12.253.0/24
106.12.254.0/24</t>
  </si>
  <si>
    <t>陕西电信2021.2.3增加2个C的IP代播计费</t>
  </si>
  <si>
    <t>中国电信股份有限公司西安分公司</t>
  </si>
  <si>
    <t>西安电信</t>
  </si>
  <si>
    <t>182115IDC00476</t>
  </si>
  <si>
    <t>西安-北京</t>
  </si>
  <si>
    <t>陕西电信XAKY机房-北京M1机房/北京KJY机房200G电路费用</t>
  </si>
  <si>
    <t>中国电信股份有限公司咸阳分公司</t>
  </si>
  <si>
    <t>咸阳电信</t>
  </si>
  <si>
    <t>L20230327005</t>
  </si>
  <si>
    <t>咸阳-北京</t>
  </si>
  <si>
    <t>A端：西咸新区中国电信陕西云基地
B端：北京朝阳区酒仙桥北路九号恒通国际创新园C12</t>
  </si>
  <si>
    <t>咸阳-山西</t>
  </si>
  <si>
    <t>2020/9/24开通，
A端：西咸新区中国电信陕西云基地
B端：山西省阳泉市开发区白路百度云计算中心</t>
  </si>
  <si>
    <t>咸阳-广州</t>
  </si>
  <si>
    <t>2020/12/11开通，
A端：西咸新区中国电信陕西云基地
B端：山西省阳泉市开发区白路百度云计算中心</t>
  </si>
  <si>
    <t>中国电信股份有限公司云计算（陕西）基地</t>
  </si>
  <si>
    <t>182215IDC00522</t>
  </si>
  <si>
    <t>西安二长</t>
  </si>
  <si>
    <t>西安电信2</t>
  </si>
  <si>
    <t>CDNXACT</t>
  </si>
  <si>
    <t>2015年6月 上线的 100G资源（XA2CT）使用的1 个机柜退租，编号XACT25F-5-08 ，下电时间 20190930</t>
  </si>
  <si>
    <t>西咸</t>
  </si>
  <si>
    <t>西安4电信</t>
  </si>
  <si>
    <t>CBUCDNXACT</t>
  </si>
  <si>
    <t>XA16F-C05-08
XA16F-C05-09
XA16F-C05-10
XA16F-C05-11
XA16F-C05-12
XA16F-C05-13</t>
  </si>
  <si>
    <t>XA16F-C05-12
XA16F-C05-13</t>
  </si>
  <si>
    <t>春节扩容160G增加的5个机柜</t>
  </si>
  <si>
    <t>春节扩容160G增加的5个机柜于19.7.1下电4个；19.7.2下电1个，电流应为16A</t>
  </si>
  <si>
    <t>电流应为20A，19.7.9 XA4CT扩容240G增4个机柜，从7.2开始计费，XA4CT405-A-06, XA4CT405-A-07, XA4CT405-A-08, XA4CT405-A-09。</t>
  </si>
  <si>
    <t>10个16A机柜（原合同约定10个机架免费，从1901开始计费）</t>
  </si>
  <si>
    <t>边缘计算节点新建XA2CT，新增2个机柜XACT25F-5-04、XACT25F-5-05</t>
  </si>
  <si>
    <t>云-陕西电信</t>
  </si>
  <si>
    <t>西安3电信</t>
  </si>
  <si>
    <t>XACT3F-2-F08~XACT3F-2-F11</t>
  </si>
  <si>
    <t>XACT3F-2-F12~XACT3F-2-F14</t>
  </si>
  <si>
    <t>2022.5.31 XA3CT退租7个机柜（三线节点赠送）
XACT3F-2-F08
XACT3F-2-F09
XACT3F-2-F10
XACT3F-2-F11
XACT3F-2-F12
XACT3F-2-F13
XACT3F-2-F14</t>
  </si>
  <si>
    <t>西安电信二级</t>
  </si>
  <si>
    <t>XACT304-G-10~XACT304-G-16</t>
  </si>
  <si>
    <t>转移至陕西电信三线节点，免费8个机柜。XACT3F-2-F08、XACT3F-2-F09、XACT3F-2-F10、XACT3F-2-F11、XACT3F-2-F12、XACT3F-2-F13、XACT3F-2-F14、XACT304-G-10</t>
  </si>
  <si>
    <t>转移至陕西电信三线节点，免费6个机柜。
XACT304-G-16 
XA4CT405-A-05 
XA4CT405-A-06
 XA4CT405-A-07
 XA4CT405-A-08 
XA4CT405-A-09</t>
  </si>
  <si>
    <t>XA4CT节点，于2021.5.31退租3个20A机柜</t>
  </si>
  <si>
    <t>XA4CT节点，于2022.5.31退租5个机柜（三线节点赠送）
XA4CT405-A-05,
XA4CT405-A-09,
XA4CT405-A-08,
XA4CT405-A-07,
XA4CT405-A-06</t>
  </si>
  <si>
    <t>2022.4.30XA2CT节点退租3个16A机柜
XACT25F-5-03
XACT25F-6-11
XACT25F-6-12</t>
  </si>
  <si>
    <t>2022.8.6XA2CT节点退租7个16A机柜
XACT25F-5-10
XACT25F-5-11
XACT25F-6-03
XACT25F-6-06
XACT25F-6-07
XACT25F-6-08
XACT25F-6-09</t>
  </si>
  <si>
    <t>2022.8.10XA2CT节点退租1个16A机柜
XACT25F-5-02</t>
  </si>
  <si>
    <t>西安</t>
  </si>
  <si>
    <t>免费赠送3968个IP。
CDN 117.34.37.0/24,117.34.38.0/24,219.144.104.0/27 共544   边缘计算：117.34.21.0/24  共256</t>
  </si>
  <si>
    <t>免费赠送3968个IP。
CDN 36.42.75.0/24,113.137.60.0/24,219.144.79.128/27 共544</t>
  </si>
  <si>
    <t>云自采-西安3电信</t>
  </si>
  <si>
    <t xml:space="preserve">免费赠送3968个IP
CDN 1.81.3.0/24,1.81.4.0/24,219.144.79.224/27  共544
</t>
  </si>
  <si>
    <t xml:space="preserve">XA3CT 2022.5.31退租544个IP
1.81.3.0/24,1.81.4.0/24,219.144.79.224/27  共544
</t>
  </si>
  <si>
    <t>免费赠送3968个IP
CDN  113.137.52.0/24,1.82.219.128/27 共288</t>
  </si>
  <si>
    <t>XA4CT 2022.5.31退租288个IP
113.137.52.0/24,1.82.219.128/27 共288</t>
  </si>
  <si>
    <t>SSL使用1024个（117.34.13.0/24，117.34.61.0/24，117.34.62.0/24，117.34.28.0/24）</t>
  </si>
  <si>
    <t>陕西新建三线，免费8个20A机柜，从西咸机房20A机柜中扣减。
XACT3F-2-F08、XACT3F-2-F09、XACT3F-2-F10、XACT3F-2-F11、XACT3F-2-F12、XACT3F-2-F13、XACT3F-2-F14、XACT304-G-10</t>
  </si>
  <si>
    <t>陕西新建三线，免费6个20A机柜，从西咸机房20A机柜中扣减。
XACT304-G-16 
XA4CT405-A-05 
XA4CT405-A-06
 XA4CT405-A-07
 XA4CT405-A-08 
XA4CT405-A-09</t>
  </si>
  <si>
    <t>XAIXCT</t>
  </si>
  <si>
    <t>陕西新建三线共免费544个（三线160G专项使用），2020/9/10新增544个IP（其中32个IP为灾备IP）；113.142.198.0/24 113.142.199.0/24
1.81.7.192/27</t>
  </si>
  <si>
    <t>陕西新建三线共免费544个，2021/1/22边缘计算新增256个IP：
113.142.208.0/24；新合同自2021.8.1开始免费</t>
  </si>
  <si>
    <t>XA2CT节点2022.8.6退租384个IP
117.34.37.128/25,117.34.38.0/24</t>
  </si>
  <si>
    <t>L20211115001</t>
  </si>
  <si>
    <t>XAFJ-电信CDN</t>
  </si>
  <si>
    <t>IDC节点历史使用1024个IP地址（113.133.190.0/24
117.34.84.0/24
113.137.57.0/24
113.137.59.0/24）</t>
  </si>
  <si>
    <t>XAFJ-电信CDN节点，2022.7.23开通224个IP   113.137.52.0/25
113.137.52.128/26
113.137.52.192/27</t>
  </si>
  <si>
    <t>中国联合网络通信有限公司陕西省分公司</t>
  </si>
  <si>
    <t>陕西联通</t>
  </si>
  <si>
    <t>182015IDC00337</t>
  </si>
  <si>
    <t>CDNXAUN2</t>
  </si>
  <si>
    <t xml:space="preserve">陕西西安三级联通2021.4.16扩容80G，运营商赠送2个机柜，从7个收费机柜中减去2个XAUN22F-J-07、XAUN22F-J-06 </t>
  </si>
  <si>
    <t>陕西联通顺延合同，自2021.6.1开始赠送1个机柜
XAUN22F-J-05</t>
  </si>
  <si>
    <t>2022.4.30退租3个收费机柜。
XAUN22F-J-03
XAUN22F-J-02
XAUN22F-J-01</t>
  </si>
  <si>
    <t>2022.4.30退租2个免费机柜。
XAUN22F-J-06
XAUN22F-J-05</t>
  </si>
  <si>
    <t>2022.5.31退租1个免费机柜。
XAUN22F-J-07</t>
  </si>
  <si>
    <t>西安2联通</t>
  </si>
  <si>
    <t>免费赠送1056个,实际使用416(CDN288+BEC128)，超出50元/个/月。CDN：123.138.42.0/24 123.138.66.192/27    边缘计算：123.138.10.0/25</t>
  </si>
  <si>
    <t>2022.5.31退租416个IP
CDN：123.138.42.0/24 123.138.66.192/27    边缘计算：123.138.10.0/25</t>
  </si>
  <si>
    <t>西安2联通边缘计算节点新增1个机架，XAUN22F-J-04</t>
  </si>
  <si>
    <t>边缘计算2022.5.31退租1个机柜
XAUN22F-J-04</t>
  </si>
  <si>
    <t>XAIXUN</t>
  </si>
  <si>
    <t>西安三级联通</t>
  </si>
  <si>
    <t>陕西西安三级联通 增量80G完成业务测试，已于2020-09-10开始正式切流量上线，9.4开始计费。新增256个IP，免费288个IP：124.89.34.0/24</t>
  </si>
  <si>
    <t>陕西西安三级联通 ，边缘计算于2021-1-22开通256个IP地址123.138.124.0/24，运营商确认免费</t>
  </si>
  <si>
    <t>L20220530001</t>
  </si>
  <si>
    <t>XAFJ-CU-ST-1</t>
  </si>
  <si>
    <t>XAFJ-联通CDN</t>
  </si>
  <si>
    <t>经核实，目前在用IP960个，113.200.1.0/24，113.200.2.0/24，113.200.3.0/24，113.201.4.128/26，113.201.4.0/25，带宽量200G，XAFJ-联通IPv4地址每10G最多提供64个地址，免费512个，收费448，收费IP为113.200.3.0/24、113.201.4.128/26、113.200.4.0/25</t>
  </si>
  <si>
    <t xml:space="preserve">XAFJ-联通CDN节点，2022.7.25开通192个IP，收费。
113.201.4.0/25
113.201.4.128/26
</t>
  </si>
  <si>
    <t>经核实，XAFJ-联通IPv4地址每10G最多提供64个地址，目前使用960个，免费512，收费448个，113.200.3.0/24、113.201.4.128/26、113.200.4.0/25，</t>
  </si>
  <si>
    <t>XAFJ</t>
  </si>
  <si>
    <t>2021.5.1XAFJ联通CDN出口开通200G，开通5个C的IPV4免费；4个IPV6免费(113.200.[1-3].0/24
113.201.[1-2].0/24
)</t>
  </si>
  <si>
    <t>经核实，目前在用IP数为1792，113.200.143.0/24、113.200.186.0/24、123.138.159.0/24、123.138.160.0/24、123.138.161.0/24、123.138.225.0/24、106.12.252.0/24，带宽量200G，XAKY-联通IPv4地址每10G最多提供64个地址，免费512，收费1280个，收费为123.138.159.0/24、123.138.160.0/24、123.138.161.0/24、123.138.225.0/24、106.12.252.0/24</t>
  </si>
  <si>
    <t>2021.5.1XAFJ联通CDN出口开通200G，开通5个C的IPV4免费；4个IPV6免费(2408:8770:0000:0500::/56     
2408:8770:0000:0600::/56             
2408:8770:0000:0700::/56   
2408:8770:0000:0800::/56
)</t>
  </si>
  <si>
    <t>182015IDC00388</t>
  </si>
  <si>
    <t>XAKD-云托管（转售）</t>
  </si>
  <si>
    <t>从2020.4.1开始计费。
XAKD1D403-G-15、XAKD1D403-G-16、
XAKD1D403-G-17</t>
  </si>
  <si>
    <t>XAKD1D403-G-14</t>
  </si>
  <si>
    <t>XAKD1D403-G-12、
XAKD1D403-G-13</t>
  </si>
  <si>
    <t>XAKD1D403-G-10</t>
  </si>
  <si>
    <t>XAKD1D403-G-11</t>
  </si>
  <si>
    <t>XAKD1D403-G-09</t>
  </si>
  <si>
    <t>XAKD1D403-G-08</t>
  </si>
  <si>
    <t>XAKD1D403-G-07</t>
  </si>
  <si>
    <t>2020/9/2开通，9月计费29天：XAKD1D403-A-17</t>
  </si>
  <si>
    <t>2020.9.9关闭XAKD1D403-A-17</t>
  </si>
  <si>
    <t>2020/9/17开通，9月计费14天：XAKD1D403-A-17</t>
  </si>
  <si>
    <t>2020/9/23开通，9月计费8天：XAKD1D403-G-06</t>
  </si>
  <si>
    <t>XAKD-自用</t>
  </si>
  <si>
    <t>XAKD1D401-D-02、XAKD1D401-D-03、XAKD1D401-D-04、XAKD1D401-D-05、XAKD1D401-D-06、XAKD1D401-D-07、XAKD1D401-D-08、XAKD1D401-D-09、XAKD1D401-D-10、XAKD1D401-D-11、XAKD1D401-D-12、XAKD1D401-D-13、XAKD1D401-D-14、XAKD1D401-D-15、XAKD1D401-D-16、XAKD1D401-D-17、XAKD1D401-E-02、XAKD1D401-E-03、XAKD1D401-K-02、XAKD1D401-K-03、XAKD1D401-K-04、XAKD1D401-K-05、XAKD1D401-K-06、XAKD1D401-K-07、XAKD1D401-K-08、XAKD1D401-K-09、XAKD1D401-K-10、XAKD1D401-K-11、XAKD1D401-K-12、XAKD1D401-K-13、XAKD1D401-L-02、XAKD1D401-L-03、XAKD1D401-L-04、XAKD1D401-L-05、XAKD1D401-L-06、XAKD1D401-L-07、XAKD1D401-L-08、XAKD1D401-L-09、XAKD1D401-L-10、XAKD1D401-L-11、XAKD1D401-L-12、XAKD1D401-L-13、XAKD1D401-L-14、XAKD1D401-L-15、XAKD1D401-L-16、XAKD1D401-L-17、XAKD1D401-M-02、XAKD1D401-M-03、XAKD1D401-M-04、XAKD1D401-M-05、XAKD1D401-M-06、XAKD1D401-M-07、XAKD1D401-M-08、XAKD1D401-M-09、XAKD1D401-M-10、XAKD1D401-M-11、XAKD1D401-M-12、XAKD1D401-M-13、XAKD1D401-M-14、XAKD1D401-M-15、XAKD1D401-M-16、XAKD1D401-M-17、XAKD1D404-B-05、XAKD1D404-B-06、XAKD1D404-B-11、XAKD1D404-B-12、XAKD1D404-C-05、XAKD1D404-C-06、XAKD1D404-C-09、XAKD1D404-C-10、XAKD1D404-E-06、XAKD1D404-E-07、XAKD1D404-B-07、XAKD1D404-B-08、XAKD1D404-B-09、XAKD1D404-B-10、XAKD1D404-C-07、XAKD1D404-C-08、XAKD1D404-D-05、XAKD1D404-D-06、XAKD1D404-D-07、XAKD1D404-D-08、XAKD1D404-D-09、XAKD1D404-E-05、XAKD1D404-F-07、XAKD1D404-F-08、XAKD1D404-F-09、XAKD1D404-F-10、XAKD1D404-G-07、XAKD1D404-G-08、XAKD1D404-G-09、XAKD1D404-G-10、XAKD1D401-C-14、XAKD1D401-C-15、XAKD1D401-G-16、XAKD1D401-G-17、XAKD1D401-K-14、XAKD1D401-K-15、XAKD1D402-A-16、XAKD1D402-A-17、XAKD1D401-I-01、XAKD1D404-A-15</t>
  </si>
  <si>
    <t>XAKD1D401-E-04、XAKD1D401-E-05、XAKD1D401-E-06、XAKD1D401-E-07、XAKD1D401-E-08、XAKD1D401-E-09、XAKD1D401-E-10、XAKD1D401-E-11、XAKD1D401-G-14、XAKD1D401-G-15、XAKD1D401-I-14、XAKD1D401-I-15、XAKD1D401-J-14、XAKD1D401-J-15、XAKD1D401-J-16、XAKD1D401-J-17</t>
  </si>
  <si>
    <t>XAKD1D404-D-02、XAKD1D404-D-04、XAKD1D404-E-02、XAKD1D404-E-04、XAKD1D404-F-02、XAKD1D404-F-04、XAKD1D404-F-06、XAKD1D404-G-02、XAKD1D404-G-04、XAKD1D404-G-06</t>
  </si>
  <si>
    <t>2020/8/1开通。XAKD1D404-B-01、XAKD1D404-C-01、XAKD1D404-D-01、XAKD1D404-D-03、XAKD1D404-E-01、XAKD1D404-E-03、XAKD1D404-F-01、XAKD1D404-F-03、XAKD1D404-F-05、XAKD1D404-G-01、XAKD1D404-G-03、XAKD1D404-G-05</t>
  </si>
  <si>
    <t>XAKD1D401-E-12、XAKD1D401-E-13、XAKD1D401-E-14</t>
  </si>
  <si>
    <t>XAKD1D401-E-16、XAKD1D401-E-17</t>
  </si>
  <si>
    <t>XAKD1D401-J-12、XAKD1D401-J-13</t>
  </si>
  <si>
    <t>2020/9/30开通，计费1天。XAKD1D403-F-15、XAKD1D403-F-16、XAKD1D403-F-17</t>
  </si>
  <si>
    <t>2020/9/28开通，9月计费3天。
XAKD1D401-H-02、XAKD1D401-H-03、XAKD1D401-H-04、XAKD1D401-H-05、XAKD1D401-H-06、XAKD1D401-H-07、XAKD1D401-H-08、XAKD1D401-H-09、XAKD1D401-H-10、XAKD1D401-H-11、XAKD1D401-H-12、XAKD1D401-H-13、XAKD1D401-H-14、XAKD1D401-H-15</t>
  </si>
  <si>
    <t>2020/10/21开通，计费11天。XAKD1D401-G-02~12、XAKD1D401-J-10、XAKD1D401-J-11</t>
  </si>
  <si>
    <t>2020/10/12开通，计费20天。XAKD1D403-G-05</t>
  </si>
  <si>
    <t>2020/10/23开通，计费8天。XAKD1D403-G-04</t>
  </si>
  <si>
    <t>2020/11/23开通，XAKD1D401-H-16、XAKD1D401-H-17、XAKD1D401-I-02~XAKD1D401-I-13</t>
  </si>
  <si>
    <t>2020/12/1开通，XAKD1D401-F-08~15</t>
  </si>
  <si>
    <t>2020/12/4开通，XAKD1D401-F-02~07</t>
  </si>
  <si>
    <t>2020/12/22开通，XAKD1D403-F-01
XAKD1D403-F-02
XAKD1D403-G-2</t>
  </si>
  <si>
    <t>2020/12/25关闭，XAKD1D403-F-01
XAKD1D403-F-02</t>
  </si>
  <si>
    <t>2020/12/7开通，XAKD1D403-G-03</t>
  </si>
  <si>
    <t>2020/12/23关闭，XAKD1D403-G-05</t>
  </si>
  <si>
    <t>2020/12/24开通，XAKD1D403-F-03、XAKD1D403-F-04</t>
  </si>
  <si>
    <t>2020/12/29开通，XAKD1D403-G-05</t>
  </si>
  <si>
    <t>2021/1/6开通，XAKD1D401-E-15</t>
  </si>
  <si>
    <t>2021/1/18开通，XAKD1D403-G-01</t>
  </si>
  <si>
    <t>2021/1/26开通，XAKD1D403-A-15、XAKD1D403-A-16</t>
  </si>
  <si>
    <t>2021/1/25开通，XAKD1D403-B-16、XAKD1D403-B-17</t>
  </si>
  <si>
    <t>2021/1/28开通，XAKD1D403-F-01</t>
  </si>
  <si>
    <t>2021/1/29开通，XAKD1D401-B-09、XAKD1D401-B-07、XAKD1D401-C-12、XAKD1D401-B-11、XAKD1D401-B-13、XAKD1D401-B-15、XAKD1D401-B-17、XAKD1D401-G-13
XAKD1D401-A-02
XAKD1D401-A-03
XAKD1D401-A-04
XAKD1D401-A-05
XAKD1D401-A-06
XAKD1D401-A-07
XAKD1D401-A-08
XAKD1D401-A-09
XAKD1D401-A-10
XAKD1D401-A-11
XAKD1D401-A-12
XAKD1D401-A-13
XAKD1D401-A-14
XAKD1D401-A-15
XAKD1D401-A-16
XAKD1D401-A-17
XAKD1D401-B-02
XAKD1D401-B-03
XAKD1D401-B-04
XAKD1D401-B-05</t>
  </si>
  <si>
    <t>2021/1/30开通，
XAKD1D201-A-14、XAKD1D201-A-17、XAKD1D201-E-01、XAKD1D201-E-02、XAKD1D201-F-01、XAKD1D201-F-02、XAKD1D401-B-06、XAKD1D401-B-08、XAKD1D401-B-10、XAKD1D401-B-12、XAKD1D401-B-14、XAKD1D401-B-16、XAKD1D401-C-13、XAKD1D201-A-01~04、XAKD1D201-A-06、XAKD1D201-A-07、XAKD1D201-A-09、XAKD1D201-A-10、XAKD1D201-A-15、XAKD1D201-B-01~04、XAKD1D201-B-06、XAKD1D201-B-07、XAKD1D201-B-09、XAKD1D201-B-10、XAKD1D201-B-12、XAKD1D201-B-13、XAKD1D201-B-15、XAKD1D201-B-16、XAKD1D201-C-01~04、XAKD1D201-C-06、XAKD1D201-C-07、XAKD1D201-C-09、XAKD1D201-C-10、XAKD1D201-C-12、XAKD1D201-C-13、XAKD1D201-C-15、XAKD1D201-D-01~04、XAKD1D201-D-06、XAKD1D201-D-07、XAKD1D201-D-09、XAKD1D201-D-10、XAKD1D201-D-12、XAKD1D201-D-13、XAKD1D201-D-15、XAKD1D201-D-16、XAKD1D201-E-03~06、XAKD1D201-E-08、XAKD1D201-E-09、XAKD1D201-E-11、XAKD1D201-E-12、XAKD1D201-E-15、XAKD1D201-E-16、XAKD1D201-F-03、XAKD1D201-F-04、XAKD1D201-F-06、XAKD1D201-F-07、XAKD1D201-F-09、XAKD1D201-F-10、XAKD1D201-F-13、XAKD1D201-F-14、XAKD1D201-G-01、XAKD1D201-G-02</t>
  </si>
  <si>
    <t>2021/1/31开通，XAKD1D201-I-01~05</t>
  </si>
  <si>
    <t>2021/2/5开通,XAKD1D201-C-11、XAKD1D201-D-05、XAKD1D201-D-08、XAKD1D201-D-11、XAKD1D201-D-14</t>
  </si>
  <si>
    <t>2021/2/7开通,XAKD1D201-A-05、XAKD1D201-A-08、XAKD1D201-A-11~13、XAKD1D201-A-16、XAKD1D201-B-05、XAKD1D201-B-08、XAKD1D201-C-05、XAKD1D201-C-08、XAKD1D201-C-14、XAKD1D201-D-17、XAKD1D201-E-07、XAKD1D201-E-10、XAKD1D201-E-17、XAKD1D201-F-05、XAKD1D201-F-08、XAKD1D201-F-15</t>
  </si>
  <si>
    <t>2021/2/24开通,XAKD1D401-C-02、XAKD1D401-C-03、XAKD1D401-C-04、XAKD1D401-C-05</t>
  </si>
  <si>
    <t>2021/3/3开通,
XAKD1D201-B-11
XAKD1D201-B-14
XAKD1D201-B-17
XAKD1D201-E-13
XAKD1D201-E-14
XAKD1D201-F-11
XAKD1D201-F-12</t>
  </si>
  <si>
    <t>2021/3/27开通,XAKD1D403-F-02</t>
  </si>
  <si>
    <t>2021/3/29开通,
XAKD1D401-C-06
XAKD1D401-C-07
XAKD1D401-C-08
XAKD1D401-C-09
XAKD1D401-C-10</t>
  </si>
  <si>
    <t>2021/4/2开通,XAKD1D201-G-03
XAKD1D201-G-04
XAKD1D201-G-05
XAKD1D201-G-06</t>
  </si>
  <si>
    <t>2021/4/6开通,
XAKD1D201-G-07
XAKD1D201-G-08
XAKD1D201-G-09
XAKD1D201-G-10
XAKD1D201-G-11
XAKD1D201-G-12
XAKD1D402-B-16
XAKD1D402-B-17</t>
  </si>
  <si>
    <t>2021/4/7开通,XAKD1D402-A-12
XAKD1D402-A-13
XAKD1D402-A-14
XAKD1D402-A-15
XAKD1D402-B-12
XAKD1D402-B-13
XAKD1D402-B-14
XAKD1D402-B-15</t>
  </si>
  <si>
    <t>2021/4/7开通,XAKD1D403-B-01
XAKD1D403-B-02
XAKD1D403-B-03</t>
  </si>
  <si>
    <t>2021/4/12开通,XAKD1D403-B-04</t>
  </si>
  <si>
    <t>2021/4/14开通，XAKD1D403-C-01
XAKD1D403-C-02</t>
  </si>
  <si>
    <t>2021/4/15开通,
XAKD1D401-J-01
XAKD1D401-J-02
XAKD1D401-J-03
XAKD1D401-J-04
XAKD1D401-J-05
XAKD1D401-J-06
XAKD1D401-J-07
XAKD1D401-J-08
XAKD1D401-J-09
XAKD1D402-A-01
XAKD1D402-A-02
XAKD1D402-A-03
XAKD1D402-A-04
XAKD1D402-A-05
XAKD1D402-A-06
XAKD1D402-A-07
XAKD1D402-A-08
XAKD1D402-A-09</t>
  </si>
  <si>
    <t>2021/4/21开通,XAKD1D401-A-01
XAKD1D401-B-01
XAKD1D401-C-01
XAKD1D401-D-01
XAKD1D401-E-01
XAKD1D401-G-01
XAKD1D401-K-01
XAKD1D401-L-01
XAKD1D402-B-01
XAKD1D402-B-02
XAKD1D402-B-03
XAKD1D402-B-04
XAKD1D402-B-05
XAKD1D402-B-06
XAKD1D402-B-07
XAKD1D402-B-08
XAKD1D402-B-09</t>
  </si>
  <si>
    <t>2021/4/21开通,XAKD1D402-A-10
XAKD1D402-A-11</t>
  </si>
  <si>
    <t>2021/4/21开通XAKD1D403-B-05
XAKD1D403-B-06
XAKD1D403-B-07</t>
  </si>
  <si>
    <t>2021/4/22关闭，XAKD1D403-B-05
XAKD1D403-B-06
XAKD1D403-B-07</t>
  </si>
  <si>
    <t>2021/4/23开通，XAKD1D403-E-01
XAKD1D403-E-02
XAKD1D403-E-03
XAKD1D403-E-04
XAKD1D403-E-05
XAKD1D403-E-06
XAKD1D403-E-07
XAKD1D403-E-08
XAKD1D403-E-09
XAKD1D403-E-10
XAKD1D403-E-11
XAKD1D403-E-12
XAKD1D403-E-13
XAKD1D403-E-14
XAKD1D403-E-15</t>
  </si>
  <si>
    <t>2021/4/26开通，XAKD1D401-F-01</t>
  </si>
  <si>
    <t>2021/4/27开通，XAKD1D403-A-01
XAKD1D403-A-02
XAKD1D403-A-03
XAKD1D403-A-04
XAKD1D403-A-05
XAKD1D403-B-15</t>
  </si>
  <si>
    <t>2021/4/30开通，XAKD1D403-A-07
XAKD1D403-A-08
XAKD1D403-A-06</t>
  </si>
  <si>
    <t>2021/5/6开通，XAKD1D403-B-13
XAKD1D403-B-14</t>
  </si>
  <si>
    <t>2021/5/7开通，XAKD1D403-F-05
XAKD1D403-F-06
XAKD1D403-F-07
XAKD1D403-F-08
XAKD1D403-F-09
XAKD1D403-F-10
XAKD1D403-F-11
XAKD1D403-F-12
XAKD1D403-F-13
XAKD1D403-F-14</t>
  </si>
  <si>
    <t>2021/5/8开通，XAKD1D403-A-09
XAKD1D403-A-10
XAKD1D403-A-11
XAKD1D403-A-12
XAKD1D403-A-13
XAKD1D403-A-14</t>
  </si>
  <si>
    <t>2021/5/10开通，XAKD1D403-B-05
XAKD1D403-B-06
XAKD1D403-B-07
XAKD1D403-B-08</t>
  </si>
  <si>
    <t>2021/5/12开通，XAKD1D403-B-09
XAKD1D403-B-10
XAKD1D403-B-11
XAKD1D403-B-12</t>
  </si>
  <si>
    <t>2021/7/3开通，XAKD1D201-K-14
XAKD1D201-K-15
XAKD1D201-M-01</t>
  </si>
  <si>
    <t>2021/7/3开通，XAKD1D403-C-04
XAKD1D403-C-05
XAKD1D403-C-06
XAKD1D403-C-08
XAKD1D403-C-09
XAKD1D403-C-10
XAKD1D403-C-12
XAKD1D403-C-13
XAKD1D403-C-14
XAKD1D403-D-01
XAKD1D403-D-03
XAKD1D403-D-04
XAKD1D403-D-05
XAKD1D403-D-07
XAKD1D403-D-08
XAKD1D403-D-09
XAKD1D403-D-11
XAKD1D403-D-12
XAKD1D403-D-13
XAKD1D403-C-03
XAKD1D403-C-07
XAKD1D403-C-11
XAKD1D403-C-15
XAKD1D403-D-02
XAKD1D403-D-06
XAKD1D403-D-10
XAKD1D403-D-14</t>
  </si>
  <si>
    <t>2021/8/2开通，XAKD1D201-K-01
XAKD1D201-K-02
XAKD1D201-K-03
XAKD1D201-K-04
XAKD1D201-K-05</t>
  </si>
  <si>
    <t>2021/8/18开通，XAKD1D201-G-13
XAKD1D201-G-14
XAKD1D201-G-15
XAKD1D201-G-16
XAKD1D201-G-17</t>
  </si>
  <si>
    <t>2021/8/31开通，
XAKD1D403-D-15
XAKD1D403-D-16
XAKD1D403-D-17</t>
  </si>
  <si>
    <t>2021/8/31开通，XAKD1D201-L-01
XAKD1D201-L-02
XAKD1D201-L-03
XAKD1D201-L-04
XAKD1D201-L-05
XAKD1D201-L-06</t>
  </si>
  <si>
    <t>2021/11/10关闭，XAKD1D403-B-01
XAKD1D403-B-02
XAKD1D403-B-03
XAKD1D403-B-04
XAKD1D403-B-13
XAKD1D403-B-14
XAKD1D403-B-15
XAKD1D403-B-16
XAKD1D403-B-17</t>
  </si>
  <si>
    <t>2021/12/2开通，XAKD1D403-B-17</t>
  </si>
  <si>
    <t>2021/12/7开通，XAKD1D201-K-08
XAKD1D201-K-09
XAKD1D201-K-10
XAKD1D201-K-11
XAKD1D201-K-12
XAKD1D201-K-13
XAKD1D201-M-09
XAKD1D201-M-10
XAKD1D201-M-11
XAKD1D201-M-12
XAKD1D201-M-13</t>
  </si>
  <si>
    <t>2021/12/31关闭，XAKD1D403-F-05
XAKD1D403-F-06
XAKD1D403-F-07
XAKD1D403-F-08
XAKD1D403-F-09
XAKD1D403-F-10
XAKD1D403-F-11
XAKD1D403-F-12
XAKD1D403-F-13
XAKD1D403-F-14</t>
  </si>
  <si>
    <t>2022/1/11关闭，
XAKD1D403-B-06
XAKD1D403-B-07
XAKD1D403-B-08</t>
  </si>
  <si>
    <t>2022/2/10开通，XAKD1D403-B-02
XAKD1D403-B-03</t>
  </si>
  <si>
    <t>2022/2/14关闭，XAKD1D403-G-06</t>
  </si>
  <si>
    <t>2022/4/20关闭，XAKD1D403-B-05
XAKD1D403-E-05
XAKD1D403-E-06
XAKD1D403-E-07
XAKD1D403-E-08
XAKD1D403-E-09
XAKD1D403-E-10
XAKD1D403-E-11</t>
  </si>
  <si>
    <t>2022/4/25开通，XAKD1D201-H-01
XAKD1D201-H-02
XAKD1D201-H-03
XAKD1D201-H-04
XAKD1D201-H-05
XAKD1D201-H-06
XAKD1D201-H-07
XAKD1D201-H-08
XAKD1D201-H-09
XAKD1D201-H-10
XAKD1D201-H-11
XAKD1D201-H-12
XAKD1D201-H-13
XAKD1D201-I-06
XAKD1D201-I-07
XAKD1D201-I-08
XAKD1D201-I-09
XAKD1D201-I-10
XAKD1D201-I-11
XAKD1D201-I-12
XAKD1D201-I-13
XAKD1D201-I-14
XAKD1D201-I-15
XAKD1D201-J-01
XAKD1D201-J-02
XAKD1D201-J-03
XAKD1D201-J-04
XAKD1D201-J-05
XAKD1D201-J-06
XAKD1D201-J-07</t>
  </si>
  <si>
    <t>2022/4/27开通，
XAKD1D201-H-14
XAKD1D201-H-15
XAKD1D201-H-16
XAKD1D201-H-17
XAKD1D201-J-08
XAKD1D201-J-09
XAKD1D201-J-10
XAKD1D201-J-11
XAKD1D201-J-12
XAKD1D201-J-13
XAKD1D201-J-14
XAKD1D201-J-15
XAKD1D201-J-16
XAKD1D201-J-17</t>
  </si>
  <si>
    <t>2022/7/14开通，
XAKD1D403-E-05
XAKD1D403-E-06
XAKD1D403-E-07
XAKD1D403-F-07
XAKD1D403-F-08
XAKD1D403-F-09
XAKD1D403-F-10
XAKD1D403-F-11
XAKD1D403-F-12
XAKD1D403-F-13
XAKD1D403-F-14</t>
  </si>
  <si>
    <t>2022/7/14关闭，
XAKD1D403-F-13
XAKD1D403-F-14</t>
  </si>
  <si>
    <t>2022/7/15开通，
XAKD1D403-F-05
XAKD1D403-F-06</t>
  </si>
  <si>
    <t>XAKD1D201-H-01
XAKD1D201-H-15
XAKD1D201-H-16
XAKD1D201-J-01
XAKD1D201-J-02
XAKD1D201-J-03</t>
  </si>
  <si>
    <t>XAKD1D201-H-01</t>
  </si>
  <si>
    <t>XAKD1D404-D-08
XAKD1D404-F-07
XAKD1D404-F-08
XAKD1D404-F-09
XAKD1D404-G-07
XAKD1D404-G-08
XAKD1D404-G-09</t>
  </si>
  <si>
    <t>XAKD1D201-E-17
XAKD1D201-H-17</t>
  </si>
  <si>
    <t>XAKD1D201-E-17</t>
  </si>
  <si>
    <t>XAKD1D201-H-14</t>
  </si>
  <si>
    <t>XAKD1D403-A-10
XAKD1D403-E-03
XAKD1D403-E-04
XAKD1D403-E-12
XAKD1D403-E-13
XAKD1D403-E-15</t>
  </si>
  <si>
    <t>L20221027005</t>
  </si>
  <si>
    <t>机架空置费：模块403,21年5月1日前，起租57个；22年5月1日前，起租103个；不足起租计划的机柜按正常价格的50%收取空置费</t>
  </si>
  <si>
    <t>182015IDC00319</t>
  </si>
  <si>
    <t>1个C</t>
  </si>
  <si>
    <t>XAKY IPv4 静态国内代播1个C，月固定费用5000</t>
  </si>
  <si>
    <t>陕西联通增加2个C的IP代播计费
XAKY IPv4 静态国内代播2个C，月固定费用5000*2</t>
  </si>
  <si>
    <t>陕西联通增加2个C的IP代播计费114.111.0.0/24，114.111.1.0/24</t>
  </si>
  <si>
    <t>陕西联通机房-陕西电信机房</t>
  </si>
  <si>
    <t>2020.9更新开始计费时间。陕西联通403机房-陕西电信205机房</t>
  </si>
  <si>
    <t>陕西联通404机房-陕西电信205机房</t>
  </si>
  <si>
    <t>陕西联通404机房-陕西电信园区光交箱</t>
  </si>
  <si>
    <t>中国联合网络通信有限公司西安市分公司</t>
  </si>
  <si>
    <t>西安联通</t>
  </si>
  <si>
    <t>182115IDC00341</t>
  </si>
  <si>
    <t>西安联通二级</t>
  </si>
  <si>
    <t>自22年8月起不收费，4个22A机柜，自2021.8.1开始计费</t>
  </si>
  <si>
    <t>自22年8月起不收费，2021.10.1扩容2个机柜，自2021.10.9中午12点整开始计费（赠送8.5天），开始计费日期只能选整天，故开始计费日期选择2021.10.10，正预提0.5天。
XAUNCACHE2FD01-L-14
XAUNCACHE2FD01-L-13</t>
  </si>
  <si>
    <t>L20220608004</t>
  </si>
  <si>
    <t>2022.5.7边缘计算新增2个机柜
BECXAUN-J-05，BECXAUN-J-06</t>
  </si>
  <si>
    <t>共使用416个，合同免费832个，2022.5.7新增边缘计算128个IP
113.200.109.0/25；依据合同每100G赠送256个IP，目前使用300G带宽，赠送768个IP，运营商已赠送832个免费IP，故本次扩容128个IP收费。</t>
  </si>
  <si>
    <t>陕西西安联通二级 增量160G、4个22A机柜、288个IP完成业务测试，已于2021-08-02开始正式切流量上线；合同约定赠送10天测试期，自2021.8.11开始计费；第一次运营商免费赠送544个IP，超出按50元/个/月
113.201.145.0/24 113.200.14.32/27</t>
  </si>
  <si>
    <t>中国移动通信集团陕西有限公司商洛分公司</t>
  </si>
  <si>
    <t>商洛移动</t>
  </si>
  <si>
    <t>182315IDC00140</t>
  </si>
  <si>
    <t>XAIXCM</t>
  </si>
  <si>
    <t>陕西新建三线，2020/9/10切量上线，，并开始计费。增256个IP，合同约定送288个，全部免费：
112.46.4.0/24
112.46.6.224/27</t>
  </si>
  <si>
    <t>2021.1.22</t>
  </si>
  <si>
    <t>陕西移动三线，每百G包含256个免费IPv4地址，不足百G按比例折算取整，共使用260G资源，2021.4.23开始共赠送668个，2021.4.22之前收费32个；自2021.4.23开始无收费（剩余可用免费IP124个）边缘计算2021.1.22开通256个IP：112.46.7.0/24</t>
  </si>
  <si>
    <t>中国移动通信集团陕西有限公司西安分公司</t>
  </si>
  <si>
    <t>西安移动</t>
  </si>
  <si>
    <t>182315IDC00157</t>
  </si>
  <si>
    <t>CDNXACM</t>
  </si>
  <si>
    <t>XACM节点2022.7.31退租5个机柜
XACM5F-K-06
XACM5F-K-05
XACM5F-K-04
XACM5F-K-03
XACM5F-K-02</t>
  </si>
  <si>
    <t>咸阳移动</t>
  </si>
  <si>
    <t>CDNXYCM</t>
  </si>
  <si>
    <t>咸阳移动2</t>
  </si>
  <si>
    <t>咸阳移动边缘计算节点新增2个机架，XYCM3F-E-09 XYCM3F-E-10</t>
  </si>
  <si>
    <t>咸阳2移动节点2022.5.17退租2个机柜XYCM3F-D-01，XYCM3F-D-03，转给BEC用XYCM3F-F-05，XYCM3F-B-05</t>
  </si>
  <si>
    <t>2022.5.19咸阳移动边缘计算节点新增2个机架，
XYCM3F-F-05
XYCM3F-B-05（2022.5.17CDN退租2个机柜，转让给BEC使用，并更换机柜编号）</t>
  </si>
  <si>
    <t>CDN460G使用IP共1632个，新合同全部免费；202003与SYS核实更新计提表，（西安移动544个111.20.252.160/27;111.20.242.0/24;111.20.243.0/24；</t>
  </si>
  <si>
    <t>XACM节点2022.7.31退租544个IP
111.20.242.0/24 111.20.243.0/24 111.20.252.160/27</t>
  </si>
  <si>
    <t>咸阳移动
咸阳移动2</t>
  </si>
  <si>
    <t>CDN460G使用IP共1632个，新合同全部免费；202003与SYS核实更新计提表，咸阳1088个111.19.220.0/24;111.19.218.0/24;111.19.221.224/27；咸阳2移动111.19.222.0/24;111.19.219.0/24;111.19.226.96/27；咸阳移动</t>
  </si>
  <si>
    <t>咸阳2</t>
  </si>
  <si>
    <t>2022.5.17 XY2CM节点退租128个IP
111.19.220.0/25</t>
  </si>
  <si>
    <t>182015IDC00002</t>
  </si>
  <si>
    <t>西安沣景</t>
  </si>
  <si>
    <t>布线柜，SYS确认在用，但未记录具体开通时间，按普通机柜最早的开通时间作为布线柜的开通时间
XAFJ2D404-A-03、XAFJ2D404-A-09、XAFJ2D404-B-03、XAFJ2D404-B-08、XAFJ2D404-C-01、XAFJ2D404-C-03、XAFJ2D404-C-08、XAFJ2D404-D-01、XAFJ2D404-D-03、XAFJ2D404-D-09、XAFJ2D404-E-01、XAFJ2D404-E-03、XAFJ2D404-F-01、XAFJ2D404-F-03</t>
  </si>
  <si>
    <t xml:space="preserve">202005 XAFJ2D403-G-17 核实为20A,减少个40A的计提数量，增减1个20A的计提数量
不足一个结算周期按实际天数/30天计算
XAFJ2D404-E-05、XAFJ2D404-E-06、XAFJ2D404-E-07、XAFJ2D404-E-08、XAFJ2D404-E-09、XAFJ2D404-E-10、XAFJ2D404-F-05、XAFJ2D404-F-06、XAFJ2D404-F-07、XAFJ2D404-F-08、XAFJ2D404-F-09、XAFJ2D404-F-10、XAFJ2D404-G-03、XAFJ2D404-G-04、XAFJ2D404-G-05、XAFJ2D404-G-13、XAFJ2D405-H-17、XAFJ2D403-G-17 </t>
  </si>
  <si>
    <t xml:space="preserve">202005 XAFJ2D403-G-17 核实为20A,减少个40A的计提数量，增减1个20A的计提数量。4月多计提部分在付款时冲销
不足一个结算周期按实际天数/30天计算
XAFJ2D404-E-11、XAFJ2D404-F-11、XAFJ2D405-B-01、XAFJ2D405-B-02、XAFJ2D405-F-01、XAFJ2D405-F-02、XAFJ2D405-F-03、XAFJ2D405-F-04、XAFJ2D402-A-16、XAFJ2D402-A-17、XAFJ2D402-D-16、XAFJ2D402-D-17、XAFJ2D402-H-01、XAFJ2D403-C-16、XAFJ2D403-C-17、XAFJ2D403-H-01、XAFJ2D403-H-02
运营商账单未体现XAFJ2D402-A-16、XAFJ2D402-A-17、XAFJ2D402-D-16、XAFJ2D402-D-17、XAFJ2D402-H-01、
</t>
  </si>
  <si>
    <t>不足一个结算周期按实际天数/30天计算
XAFJ2D404-A-05、XAFJ2D404-A-06、XAFJ2D404-D-05、XAFJ2D404-D-06</t>
  </si>
  <si>
    <t>核心机柜A第三年起：恢复原价；不足一个结算周期按实际天数/30天计算
XAFJ2D404-A-04、XAFJ2D404-B-04、XAFJ2D404-C-02、XAFJ2D404-C-04、XAFJ2D404-D-02、XAFJ2D404-D-04、XAFJ2D404-E-02、XAFJ2D404-E-04、XAFJ2D404-F-02、XAFJ2D404-F-04</t>
  </si>
  <si>
    <t>XAFJ2D405-A-16、XAFJ2D405-F-05、XAFJ2D405-F-07、XAFJ2D405-F-08</t>
  </si>
  <si>
    <t>XAFJ2D405-F-06、XAFJ2D405-F-09、XAFJ2D405-F-10</t>
  </si>
  <si>
    <t>XAFJ2D405-E-13、XAFJ2D405-E-14、
XAFJ2D405-E-15</t>
  </si>
  <si>
    <t>XAFJ2D405-D-01、XAFJ2D405-D-02、XAFJ2D405-D-03、XAFJ2D405-D-04、XAFJ2D405-D-05、XAFJ2D405-D-06、XAFJ2D405-D-07、XAFJ2D405-D-08、XAFJ2D405-D-09</t>
  </si>
  <si>
    <t>XAFJ2D405-D-10、XAFJ2D405-D-11、XAFJ2D405-D-12、XAFJ2D405-D-13、XAFJ2D405-D-14、XAFJ2D405-D-15、XAFJ2D405-D-16、XAFJ2D405-F-11、XAFJ2D405-F-12</t>
  </si>
  <si>
    <t>不足一个结算周期按实际天数/30天计算
XAFJ2D405-C-01、XAFJ2D405-C-02、XAFJ2D405-C-03、XAFJ2D405-C-04、XAFJ2D405-C-05、XAFJ2D405-C-06、XAFJ2D405-D-17、XAFJ2D405-G-01、XAFJ2D405-G-02、XAFJ2D405-G-03、XAFJ2D405-G-04、XAFJ2D405-G-05、XAFJ2D405-G-06、XAFJ2D405-G-07、XAFJ2D405-G-08、XAFJ2D405-G-09、XAFJ2D405-G-10、XAFJ2D405-G-11、XAFJ2D405-G-12、XAFJ2D405-G-13、XAFJ2D405-G-14、XAFJ2D405-G-15、XAFJ2D405-G-16、XAFJ2D405-G-17、XAFJ2D405-H-02、XAFJ2D405-H-03、XAFJ2D405-H-04、XAFJ2D405-H-05、XAFJ2D405-H-06、XAFJ2D405-H-07、XAFJ2D405-H-08、XAFJ2D405-H-09、XAFJ2D405-H-10、XAFJ2D405-H-11、XAFJ2D405-H-12</t>
  </si>
  <si>
    <t xml:space="preserve">不足一个结算周期按实际天数/30天计算
XAFJ2D405-F-13、XAFJ2D405-F-14、XAFJ2D405-F-15、XAFJ2D405-F-16
</t>
  </si>
  <si>
    <t xml:space="preserve">不足一个结算周期按实际天数/30天计算
XAFJ2D405-H-13
</t>
  </si>
  <si>
    <t>不足一个结算周期按实际天数/30天计算
XAFJ2D405-A-08、XAFJ2D405-A-09、XAFJ2D405-A-10、XAFJ2D405-A-11、XAFJ2D405-A-12、XAFJ2D405-A-13、XAFJ2D405-A-14、XAFJ2D405-A-15、XAFJ2D403-C-10、XAFJ2D403-C-11、XAFJ2D403-C-12、XAFJ2D403-C-13、XAFJ2D403-C-14、XAFJ2D403-C-15</t>
  </si>
  <si>
    <t xml:space="preserve">不足一个结算周期按实际天数/30天计算
XAFJ2D403-D-01、XAFJ2D403-D-02、XAFJ2D403-D-03、XAFJ2D403-D-04、XAFJ2D403-D-05、XAFJ2D403-D-06
</t>
  </si>
  <si>
    <t xml:space="preserve">不足一个结算周期按实际天数/30天计算
XAFJ2D405-E-01、XAFJ2D405-E-02、XAFJ2D405-E-03、XAFJ2D405-E-04
</t>
  </si>
  <si>
    <t xml:space="preserve">不足一个结算周期按实际天数/30天计算
XAFJ2D405-E-05、XAFJ2D405-E-06、XAFJ2D405-E-07、XAFJ2D405-E-08、XAFJ2D405-E-09、XAFJ2D405-A-01、XAFJ2D405-A-02、XAFJ2D405-A-03、XAFJ2D405-A-04、XAFJ2D405-A-05、XAFJ2D405-A-06、XAFJ2D405-A-07、XAFJ2D405-B-03、XAFJ2D405-B-04、XAFJ2D405-B-05、XAFJ2D405-B-06、XAFJ2D405-B-07、XAFJ2D405-B-08、XAFJ2D405-B-09、XAFJ2D403-C-07
</t>
  </si>
  <si>
    <t>不足一个结算周期按实际天数/30天计算
XAFJ2D403-D-07、XAFJ2D405-B-10、XAFJ2D405-B-11、XAFJ2D405-B-12、XAFJ2D405-B-13、XAFJ2D405-B-14、XAFJ2D405-B-15、XAFJ2D405-C-13、XAFJ2D405-C-14、XAFJ2D405-C-15、XAFJ2D405-C-16、XAFJ2D405-C-17</t>
  </si>
  <si>
    <t>不足一个结算周期按实际天数/30天计算
XAFJ2D405-A-17、XAFJ2D405-E-10、XAFJ2D405-E-11、XAFJ2D405-E-12、XAFJ2D405-F-17、XAFJ2D403-D-14、XAFJ2D403-D-15、XAFJ2D403-D-16、XAFJ2D403-D-17、XAFJ2D403-E-01、XAFJ2D403-E-02、XAFJ2D403-E-03、XAFJ2D403-E-04、XAFJ2D403-E-05、XAFJ2D403-E-06、XAFJ2D403-E-07、XAFJ2D403-E-08、XAFJ2D403-E-09、XAFJ2D403-E-10、XAFJ2D403-E-11、XAFJ2D403-E-12、XAFJ2D403-E-13、XAFJ2D403-E-14</t>
  </si>
  <si>
    <t>不足一个结算周期按实际天数/30天计算
XAFJ2D403-E-15、XAFJ2D403-E-16、XAFJ2D403-E-17、XAFJ2D403-F-01、XAFJ2D403-F-02、XAFJ2D403-F-03、XAFJ2D403-F-04、XAFJ2D403-F-05、XAFJ2D403-F-06、XAFJ2D403-F-07、XAFJ2D403-F-08、XAFJ2D403-F-09、XAFJ2D403-A-01、XAFJ2D403-A-02、XAFJ2D403-A-03、XAFJ2D403-A-04、XAFJ2D403-A-05、XAFJ2D403-A-06、XAFJ2D403-A-07、XAFJ2D403-A-08、XAFJ2D403-A-09、XAFJ2D403-A-10、XAFJ2D403-A-11、XAFJ2D403-A-12</t>
  </si>
  <si>
    <t>不足一个结算周期按实际天数/30天计算
XAFJ2D405-C-07、XAFJ2D405-C-08、XAFJ2D405-C-09、XAFJ2D405-C-10、XAFJ2D405-C-11、XAFJ2D403-A-13、XAFJ2D403-A-14、XAFJ2D403-A-15、XAFJ2D403-A-16、XAFJ2D403-A-17、XAFJ2D403-B-01、XAFJ2D403-B-02、XAFJ2D403-B-03、XAFJ2D403-B-04</t>
  </si>
  <si>
    <t>不足一个结算周期按实际天数/30天计算
XAFJ2D405-C-12、XAFJ2D403-C-08、XAFJ2D403-C-09、XAFJ2D403-B-05、XAFJ2D403-B-06、XAFJ2D403-B-07、XAFJ2D403-B-08、XAFJ2D403-B-09、XAFJ2D403-B-10、XAFJ2D403-B-11、XAFJ2D403-B-12、XAFJ2D403-B-13、XAFJ2D403-B-14、XAFJ2D403-B-15、XAFJ2D403-C-01、XAFJ2D403-C-02、XAFJ2D403-C-03、XAFJ2D403-C-04、XAFJ2D403-C-05、XAFJ2D403-C-06</t>
  </si>
  <si>
    <t xml:space="preserve">2020/5/7关闭，冲销整月费用。不足一个结算周期按实际天数/30天计算
XAFJ2D403-A-02、XAFJ2D403-A-12、XAFJ2D403-A-13、XAFJ2D403-A-14、XAFJ2D403-A-15、XAFJ2D403-A-16、XAFJ2D403-A-17、XAFJ2D403-B-01、XAFJ2D403-B-02、XAFJ2D403-B-03、XAFJ2D403-B-04、XAFJ2D403-C-10、XAFJ2D403-C-11、XAFJ2D403-C-12、XAFJ2D403-C-13、XAFJ2D403-C-14、XAFJ2D403-C-15、XAFJ2D403-D-01、XAFJ2D403-D-02、XAFJ2D403-D-03、XAFJ2D403-D-04、XAFJ2D403-D-05、XAFJ2D403-D-06、XAFJ2D403-D-07、XAFJ2D405-A-08、XAFJ2D405-A-09、XAFJ2D405-A-10、XAFJ2D405-A-11、XAFJ2D405-A-12、XAFJ2D405-A-13、XAFJ2D405-A-14、XAFJ2D405-A-15、XAFJ2D405-C-07、XAFJ2D405-C-08、XAFJ2D405-C-09、XAFJ2D405-C-10、XAFJ2D405-C-11、XAFJ2D405-E-13、XAFJ2D405-E-14
</t>
  </si>
  <si>
    <t>2020/5/19关闭，冲销整月费用。不足一个结算周期按实际天数/30天计算
XAFJ2D403-A-05、XAFJ2D403-B-05、XAFJ2D403-B-06、XAFJ2D403-B-07、XAFJ2D403-B-08、XAFJ2D403-B-09、XAFJ2D403-B-10、XAFJ2D403-B-11、XAFJ2D403-B-12、XAFJ2D403-B-13、XAFJ2D403-B-14、XAFJ2D403-B-15、XAFJ2D403-C-01、XAFJ2D403-C-02、XAFJ2D403-C-03、XAFJ2D403-C-04、XAFJ2D405-C-12、XAFJ2D403-C-07、XAFJ2D403-C-08、XAFJ2D403-C-09</t>
  </si>
  <si>
    <t>不足一个结算周期按实际天数/30天计算
XAFJ2D403-G-05、XAFJ2D403-G-06、XAFJ2D403-G-07</t>
  </si>
  <si>
    <t>不足一个结算周期按实际天数/30天计算
XAFJ2D403-G-08、XAFJ2D403-G-09、XAFJ2D403-G-10</t>
  </si>
  <si>
    <t>不足一个结算周期按实际天数/30天计算
XAFJ2D403-H-03、XAFJ2D403-H-04</t>
  </si>
  <si>
    <t>不足一个结算周期按实际天数/30天计算
XAFJ2D403-F-11、XAFJ2D403-F-12、XAFJ2D403-F-13、XAFJ2D405-H-14</t>
  </si>
  <si>
    <t>不足一个结算周期按实际天数/30天计算
XAFJ2D405-H-15</t>
  </si>
  <si>
    <t>XAFJ2D404-A-07、XAFJ2D404-A-08、XAFJ2D404-D-07、XAFJ2D404-D-08
运营商确认从7.1开始计费，不再补提6月2天的费用
不足一个结算周期按实际天数/30天计算</t>
  </si>
  <si>
    <t>XAFJ2D403-F-14、XAFJ2D403-F-17、XAFJ2D403-G-01、XAFJ2D403-G-02、XAFJ2D403-G-04
运营商确认从7.1开始计费，不再补提6月1天的费用
不足一个结算周期按实际天数/30天计算</t>
  </si>
  <si>
    <t>XAFJ2D403-F-15、XAFJ2D403-F-16、XAFJ2D403-G-03</t>
  </si>
  <si>
    <t>202008调整计提表：XAFJ2D402-H-01 2020.8.19SYS更新电流为20A，计提数量由14调整为13
XAFJ2D402-A-16、XAFJ2D402-A-17、XAFJ2D402-D-16、XAFJ2D402-D-17、XAFJ2D402-B-01、XAFJ2D402-B-02、XAFJ2D402-B-03、XAFJ2D402-B-04、XAFJ2D402-B-05、XAFJ2D402-B-06、XAFJ2D402-B-07、XAFJ2D402-B-08、XAFJ2D402-B-09</t>
  </si>
  <si>
    <t>202008调整计提表：XAFJ2D402-H-01 2020.8.19SYS更新电流为20A</t>
  </si>
  <si>
    <t>5个机架在2020Q2盘点时反馈现场为关闭，前期多计提已冲销：XAFJ2D402-A-16、XAFJ2D402-A-17、XAFJ2D402-D-16、XAFJ2D402-D-17、XAFJ2D402-H-01</t>
  </si>
  <si>
    <t>XAFJ2D403-A-02、XAFJ2D403-A-05、XAFJ2D403-A-12、XAFJ2D403-A-13、XAFJ2D403-A-14、XAFJ2D403-A-15、XAFJ2D403-A-16、XAFJ2D403-A-17、XAFJ2D403-B-01、XAFJ2D403-B-02、XAFJ2D403-B-03、XAFJ2D403-B-04、XAFJ2D403-B-05、XAFJ2D403-B-06、XAFJ2D403-B-07、XAFJ2D403-B-08、XAFJ2D403-B-09、XAFJ2D403-B-10、XAFJ2D403-B-11、XAFJ2D403-B-12、XAFJ2D403-B-13、XAFJ2D403-B-14、XAFJ2D403-B-15、XAFJ2D403-C-01、XAFJ2D403-C-02、XAFJ2D403-C-03、XAFJ2D403-C-04、XAFJ2D403-C-07、XAFJ2D403-C-08、XAFJ2D403-C-09、XAFJ2D403-C-13、XAFJ2D405-A-08、XAFJ2D405-A-09、XAFJ2D405-A-10、XAFJ2D405-A-11、XAFJ2D405-A-12、XAFJ2D405-A-13、XAFJ2D405-A-14、XAFJ2D405-A-15、XAFJ2D405-C-07、XAFJ2D405-C-08、XAFJ2D405-C-09、XAFJ2D405-C-10、XAFJ2D405-C-11、XAFJ2D405-C-12</t>
  </si>
  <si>
    <t>XAFJ2D405-E-13、XAFJ2D405-E-14</t>
  </si>
  <si>
    <t>不足一个结算周期按实际天数/30天计算
XAFJ2D405-E-16、XAFJ2D405-E-17</t>
  </si>
  <si>
    <t>2020/9/30开通，计费1天
XAFJ2D402-A-01、XAFJ2D402-A-02、XAFJ2D402-A-03、XAFJ2D402-A-04、XAFJ2D402-A-05、XAFJ2D402-A-06、XAFJ2D402-A-07
不足一个结算周期按实际天数/30天计算</t>
  </si>
  <si>
    <t>2020/10/21开通，计费10天,XAFJ2D403-G-16、XAFJ2D403-H-05~09
XAFJ2D402-A-01、XAFJ2D402-A-02、XAFJ2D402-A-03、XAFJ2D402-A-04、XAFJ2D402-A-05、XAFJ2D402-A-06、XAFJ2D402-A-07
不足一个结算周期按实际天数/30天计算</t>
  </si>
  <si>
    <t>2020/11/2开通，XAFJ2D404-B-07
不足一个结算周期按实际天数/30天计算</t>
  </si>
  <si>
    <t>2020/11/5开通，XAFJ2D404-B-06、XAFJ2D404-C-06
不足一个结算周期按实际天数/30天计算</t>
  </si>
  <si>
    <t>核心机柜A第三年起：恢复原价；2020/11/5开通，XAFJ2D404-A-02、XAFJ2D404-B-02
不足一个结算周期按实际天数/30天计算</t>
  </si>
  <si>
    <t>2020/11/26开通，XAFJ2D403-H-10~XAFJ2D403-H-16
不足一个结算周期按实际天数/30天计算</t>
  </si>
  <si>
    <t>2020/12/31开通，XAFJ2D402-A-08~13
不足一个结算周期按实际天数/30天计算</t>
  </si>
  <si>
    <t>2021/1/12开通，XAFJ2D402-G-01、XAFJ2D402-H-02~05
不足一个结算周期按实际天数/30天计算</t>
  </si>
  <si>
    <t>2021/1/13开通，XAFJ2D402-G-02
不足一个结算周期按实际天数/30天计算</t>
  </si>
  <si>
    <t>2021/1/18开通，XAFJ2D404-G-06~07
不足一个结算周期按实际天数/30天计算</t>
  </si>
  <si>
    <t>2021/1/28开通，XAFJ2D402-A-14
不足一个结算周期按实际天数/30天计算</t>
  </si>
  <si>
    <t>2021/2/5开通，XAFJ2D402-C-01
XAFJ2D402-C-02
XAFJ2D402-C-03
XAFJ2D402-C-04
XAFJ2D402-C-05
XAFJ2D402-D-01
XAFJ2D402-D-02
XAFJ2D402-D-03
XAFJ2D402-D-04
不足一个结算周期按实际天数/30天计算</t>
  </si>
  <si>
    <t>2021/3/17开通，运营商2021/3/23开通，XAFJ2D402-C-09
XAFJ2D402-C-10
XAFJ2D402-C-11
XAFJ2D402-D-08
XAFJ2D402-D-09
XAFJ2D402-D-10
XAFJ2D402-D-11
XAFJ2D402-G-07
XAFJ2D402-G-08
XAFJ2D402-H-06
XAFJ2D402-H-07
XAFJ2D402-H-08
XAFJ2D402-H-09
不足一个结算周期按实际天数/30天计算</t>
  </si>
  <si>
    <t>2021/3/19开通，运营商2021/3/23开通，XAFJ2D402-G-09
XAFJ2D402-G-10
XAFJ2D402-H-10
XAFJ2D402-H-11
不足一个结算周期按实际天数/30天计算</t>
  </si>
  <si>
    <t>2021/3/26开通，运营商2021/3/31开通，XAFJ2D402-B-10
XAFJ2D402-B-11
XAFJ2D402-B-12
XAFJ2D402-B-13
XAFJ2D402-B-14
XAFJ2D402-B-15
不足一个结算周期按实际天数/30天计算</t>
  </si>
  <si>
    <t>2021/3/29开通，运营商2021/3/31开通，XAFJ2D402-C-13
XAFJ2D402-C-12
XAFJ2D402-C-14
XAFJ2D402-C-15
XAFJ2D402-C-16
XAFJ2D402-C-17
XAFJ2D402-D-12
XAFJ2D402-D-13
XAFJ2D402-D-14
XAFJ2D402-D-15
XAFJ2D402-E-01
XAFJ2D402-E-02
XAFJ2D402-E-03
XAFJ2D402-E-04
XAFJ2D402-E-05
XAFJ2D402-E-06
XAFJ2D402-E-07
XAFJ2D402-E-08
XAFJ2D402-E-09
不足一个结算周期按实际天数/30天计算</t>
  </si>
  <si>
    <t>2021/3/30开通，运营商2021/3/31开通，XAFJ2D402-C-06
XAFJ2D402-C-07
XAFJ2D402-C-08
XAFJ2D402-D-07
不足一个结算周期按实际天数/30天计算</t>
  </si>
  <si>
    <t>2021/4/2开通，XAFJ2D403-G-11
XAFJ2D403-G-12
不足一个结算周期按实际天数/30天计算</t>
  </si>
  <si>
    <t>2021/4/4开通，XAFJ2D403-G-13
不足一个结算周期按实际天数/30天计算</t>
  </si>
  <si>
    <t>2021/4/7开通，XAFJ2D402-G-03
XAFJ2D402-G-04
XAFJ2D402-G-05
XAFJ2D402-G-06
不足一个结算周期按实际天数/30天计算</t>
  </si>
  <si>
    <t>2021/4/15开通，XAFJ2D403-C-10
XAFJ2D403-C-11
XAFJ2D403-C-12
XAFJ2D403-C-14
XAFJ2D403-C-15
XAFJ2D403-D-02
XAFJ2D403-D-03
XAFJ2D403-D-04
XAFJ2D403-D-05
XAFJ2D403-D-06
XAFJ2D403-D-07
XAFJ2D403-D-08
XAFJ2D403-D-09
XAFJ2D403-D-10
XAFJ2D403-D-11
XAFJ2D403-D-12
不足一个结算周期按实际天数/30天计算</t>
  </si>
  <si>
    <t>2021/4/20开通，
XAFJ2D305-B-01
XAFJ2D305-B-02
XAFJ2D305-F-01
XAFJ2D305-F-02
XAFJ2D402-D-05
XAFJ2D402-D-06
XAFJ2D403-D-13
不足一个结算周期按实际天数/30天计算</t>
  </si>
  <si>
    <t>2021/4/20开通，XAFJ2D305-H-17
不足一个结算周期按实际天数/30天计算</t>
  </si>
  <si>
    <t>2021/4/23开通，XAFJ2D402-E-10
XAFJ2D402-E-11
XAFJ2D402-E-12
XAFJ2D402-E-13
XAFJ2D402-E-14
XAFJ2D402-E-15
XAFJ2D402-E-16
XAFJ2D402-E-17
XAFJ2D402-F-01
XAFJ2D402-F-02
XAFJ2D402-F-03
XAFJ2D402-F-04
XAFJ2D402-F-05
XAFJ2D402-F-06
XAFJ2D402-F-07
XAFJ2D402-F-08
XAFJ2D402-F-09
XAFJ2D402-F-10
XAFJ2D402-F-11
不足一个结算周期按实际天数/30天计算</t>
  </si>
  <si>
    <t>2021/4/29开通，XAFJ2D305-C-03
XAFJ2D305-C-04
XAFJ2D305-C-05
XAFJ2D305-C-06
XAFJ2D305-C-07
XAFJ2D305-C-08
XAFJ2D305-C-09
XAFJ2D305-C-10
XAFJ2D305-C-11
XAFJ2D305-C-12
XAFJ2D305-C-13
XAFJ2D305-C-14
XAFJ2D305-C-15
XAFJ2D305-C-16
不足一个结算周期按实际天数/30天计算</t>
  </si>
  <si>
    <t>2021/4/30开通，XAFJ2D305-E-01
XAFJ2D305-E-02
XAFJ2D305-E-03
XAFJ2D305-E-04
XAFJ2D305-E-05
XAFJ2D305-E-06
XAFJ2D305-E-07
XAFJ2D305-E-08
XAFJ2D305-E-09
XAFJ2D305-E-10
XAFJ2D305-E-11
XAFJ2D305-E-12
XAFJ2D305-E-13
XAFJ2D305-E-14
XAFJ2D305-E-15
XAFJ2D305-E-16
XAFJ2D305-D-17
不足一个结算周期按实际天数/30天计算</t>
  </si>
  <si>
    <t>2021/5/6开通，XAFJ2D404-H-02
XAFJ2D404-G-01
XAFJ2D404-G-02
XAFJ2D404-H-04
XAFJ2D404-H-05
XAFJ2D404-H-06
XAFJ2D404-H-07
XAFJ2D404-H-08
XAFJ2D404-H-09
XAFJ2D404-H-11
XAFJ2D404-H-12
不足一个结算周期按实际天数/30天计算</t>
  </si>
  <si>
    <t>2021/5/6开通，XAFJ2D404-G-08
XAFJ2D404-G-09
XAFJ2D404-G-10
XAFJ2D404-G-11
不足一个结算周期按实际天数/30天计算</t>
  </si>
  <si>
    <t>2021/5/7开通，XAFJ2D404-H-03
不足一个结算周期按实际天数/30天计算</t>
  </si>
  <si>
    <t>2021/5/10开通，XAFJ2D405-H-16
XAFJ2D403-F-10
XAFJ2D403-G-14
XAFJ2D403-G-15
不足一个结算周期按实际天数/30天计算</t>
  </si>
  <si>
    <t>2021/5/11开通，XAFJ2D305-F-17
XAFJ2D305-G-02
XAFJ2D305-G-03
XAFJ2D305-G-04
XAFJ2D305-G-05
XAFJ2D305-G-06
不足一个结算周期按实际天数/30天计算</t>
  </si>
  <si>
    <t>2021/5/16开通，XAFJ2D402-G-11
XAFJ2D402-G-12
XAFJ2D402-G-13
XAFJ2D402-G-14
XAFJ2D305-D-11
XAFJ2D305-D-13
XAFJ2D305-D-14
XAFJ2D305-D-15
XAFJ2D305-D-16
不足一个结算周期按实际天数/30天计算</t>
  </si>
  <si>
    <t>2021/5/17开通，XAFJ2D305-F-15
不足一个结算周期按实际天数/30天计算</t>
  </si>
  <si>
    <t>2021/5/18开通，XAFJ2D402-F-12
XAFJ2D402-F-13
XAFJ2D402-F-14
XAFJ2D402-F-15
XAFJ2D402-F-16
不足一个结算周期按实际天数/30天计算</t>
  </si>
  <si>
    <t>2021/6/4开通，XAFJ2D305-G-07
XAFJ2D305-G-08
XAFJ2D305-G-09
XAFJ2D305-G-10
XAFJ2D305-G-12
不足一个结算周期按实际天数/30天计算</t>
  </si>
  <si>
    <t>2021/6/10开通，XAFJ2D305-G-01
XAFJ2D305-G-13
XAFJ2D305-G-14
XAFJ2D305-G-15
XAFJ2D305-G-16
XAFJ2D305-H-08
XAFJ2D305-H-09
XAFJ2D305-H-10
XAFJ2D305-H-11
XAFJ2D305-H-12
XAFJ2D305-H-13
XAFJ2D305-H-14
XAFJ2D305-H-15
XAFJ2D305-H-16
XAFJ2D305-H-06
不足一个结算周期按实际天数/30天计算</t>
  </si>
  <si>
    <t>2021/6/10开通，XAFJ2D404-B-05
XAFJ2D404-C-05
不足一个结算周期按实际天数/30天计算</t>
  </si>
  <si>
    <t>182115IDC00287</t>
  </si>
  <si>
    <t>XAFJ-云托管</t>
  </si>
  <si>
    <t>2021/6/21开通，
XAFJ2DJ202-E-23
不足一个结算周期按实际天数/30天计算</t>
  </si>
  <si>
    <t>2021/6/23开通，XAFJ2D401-B-16
XAFJ2D401-B-17
不足一个结算周期按实际天数/30天计算</t>
  </si>
  <si>
    <t>2021/6/23开通，
XAFJ2D401-A-01
不足一个结算周期按实际天数/30天计算</t>
  </si>
  <si>
    <t>2021/6/24开通，XAFJ2D401-D-16
XAFJ2D401-D-17
不足一个结算周期按实际天数/30天计算</t>
  </si>
  <si>
    <t>2021/7/3开通，XAFJ2D401-A-02
XAFJ2D401-A-03
XAFJ2D401-A-04
XAFJ2D401-A-05
XAFJ2D401-A-06
XAFJ2D401-A-07
XAFJ2D401-A-08
XAFJ2D401-A-09
XAFJ2D401-A-10
XAFJ2D401-A-11
XAFJ2D401-A-12
XAFJ2D401-A-13
不足一个结算周期按实际天数/30天计算</t>
  </si>
  <si>
    <t>2021/7/22开通，XAFJ2D402-A-15
不足一个结算周期按实际天数/30天计算</t>
  </si>
  <si>
    <t>2021/7/26开通，
XAFJ2DJ202-E-22
不足一个结算周期按实际天数/30天计算</t>
  </si>
  <si>
    <t>2021/8/2开通，XAFJ2D401-B-07
XAFJ2D401-B-08
XAFJ2D401-B-09
XAFJ2D401-B-10
XAFJ2D401-B-11
XAFJ2D401-B-12
XAFJ2D401-B-13
XAFJ2D401-B-14
XAFJ2D401-B-15
不足一个结算周期按实际天数/30天计算</t>
  </si>
  <si>
    <t>2021/8/20开通，XAFJ2D305-B-03
XAFJ2D305-B-04
XAFJ2D305-B-05
XAFJ2D305-B-06
XAFJ2D305-B-07
XAFJ2D305-B-08
XAFJ2D305-B-09
XAFJ2D305-B-11
XAFJ2D305-B-12
XAFJ2D305-B-13
XAFJ2D305-B-14
XAFJ2D305-B-15
XAFJ2D305-C-01
XAFJ2D305-C-02
XAFJ2D305-D-01
XAFJ2D305-D-02
XAFJ2D305-D-03
XAFJ2D305-D-04
XAFJ2D305-D-05
XAFJ2D305-D-06
XAFJ2D305-D-07
XAFJ2D305-D-08
XAFJ2D305-D-09
XAFJ2D305-D-10
XAFJ2D305-D-12
不足一个结算周期按实际天数/30天计算</t>
  </si>
  <si>
    <t>2021/8/30开通，
XAFJ2D401-B-01
XAFJ2D401-B-02
XAFJ2D401-B-03
XAFJ2D401-B-04
XAFJ2D401-B-05
XAFJ2D401-B-06
不足一个结算周期按实际天数/30天计算</t>
  </si>
  <si>
    <t>2021/9/9开通，
XAFJ2D404-C-07
不足一个结算周期按实际天数/30天计算</t>
  </si>
  <si>
    <t>2021/9/24开通，XAFJ2D404-B-09
XAFJ2D404-C-09
不足一个结算周期按实际天数/30天计算</t>
  </si>
  <si>
    <t>2021/9/6关闭，
XAFJ2DJ202-E-22
不足一个结算周期按实际天数/30天计算</t>
  </si>
  <si>
    <t>2021/9/26开通，
XAFJ2DJ202-E-21
XAFJ2DJ202-E-22
不足一个结算周期按实际天数/30天计算</t>
  </si>
  <si>
    <t>2021/10/14开通，XAFJ2D401-C-03
XAFJ2D401-C-04
XAFJ2D401-C-05
XAFJ2D401-C-06
XAFJ2D401-C-07
XAFJ2D401-C-08
XAFJ2D401-C-09
XAFJ2D401-C-10
XAFJ2D401-C-11
XAFJ2D401-C-12
XAFJ2D401-C-13
XAFJ2D401-C-14
XAFJ2D401-C-15
XAFJ2D401-C-16
XAFJ2D401-C-17
不足一个结算周期按实际天数/30天计算</t>
  </si>
  <si>
    <t>2021/10/28开通，XAFJ2D401-D-01
XAFJ2D401-D-02
XAFJ2D401-D-03
XAFJ2D401-D-04
XAFJ2D401-D-05
XAFJ2D401-D-06
XAFJ2D401-D-07
XAFJ2D401-D-08
XAFJ2D401-D-09
不足一个结算周期按实际天数/30天计算</t>
  </si>
  <si>
    <t>2021/10/29关闭，XAFJ2D402-G-02
不足一个结算周期按实际天数/30天计算</t>
  </si>
  <si>
    <t>2021/10/30关闭，XAFJ2D402-G-05
XAFJ2D402-G-06
XAFJ2D402-G-07
XAFJ2D402-G-08
XAFJ2D402-G-03
XAFJ2D402-G-04
XAFJ2D402-G-11
XAFJ2D402-G-12
XAFJ2D402-G-13
XAFJ2D402-G-14
XAFJ2D402-G-01
不足一个结算周期按实际天数/30天计算</t>
  </si>
  <si>
    <t>2021/11/16开通，
XAFJ2D401-D-10
XAFJ2D401-D-11
XAFJ2D401-D-12
XAFJ2D401-D-13
XAFJ2D401-D-14
XAFJ2D401-D-15
不足一个结算周期按实际天数/30天计算</t>
  </si>
  <si>
    <t>2021/11/22开通，
XAFJ2D401-E-01
XAFJ2D401-E-02
XAFJ2D401-E-03
XAFJ2D401-E-04
XAFJ2D401-E-05
XAFJ2D401-E-06
不足一个结算周期按实际天数/30天计算</t>
  </si>
  <si>
    <t>2021/11/25关闭，
XAFJ2D402-G-09
XAFJ2D402-G-10
XAFJ2D402-H-02
XAFJ2D402-H-03
XAFJ2D402-H-04
XAFJ2D402-H-05
XAFJ2D402-H-06
XAFJ2D402-H-07
XAFJ2D402-H-08
XAFJ2D402-H-09
XAFJ2D402-H-10
不足一个结算周期按实际天数/30天计算</t>
  </si>
  <si>
    <t>2021/12/6开通，
XAFJ2D402-H-12
XAFJ2D402-H-13
不足一个结算周期按实际天数/30天计算</t>
  </si>
  <si>
    <t>2021/12/24开通，
XAFJ2D401-E-07
XAFJ2D401-E-08
XAFJ2D401-E-09
XAFJ2D401-E-10
XAFJ2D401-E-11
XAFJ2D401-E-12
XAFJ2D401-E-13
XAFJ2D401-E-14
XAFJ2D401-E-15
XAFJ2D401-E-16
XAFJ2D401-E-17
不足一个结算周期按实际天数/30天计算</t>
  </si>
  <si>
    <t>2022/2/16开通，
XAFJ2D305-A-01
XAFJ2D305-A-02
XAFJ2D305-A-03
XAFJ2D305-A-04
XAFJ2D305-A-05
XAFJ2D305-A-06
XAFJ2D305-A-07
XAFJ2D305-A-08
XAFJ2D305-A-09
XAFJ2D305-A-10
XAFJ2D305-A-11
XAFJ2D305-A-12
XAFJ2D305-A-13
XAFJ2D305-A-14
XAFJ2D305-A-15
XAFJ2D305-A-16
XAFJ2D305-A-17
不足一个结算周期按实际天数/30天计算</t>
  </si>
  <si>
    <t>2022/5/16开通，
XAFJ2D305-B-10
XAFJ2D305-C-17
不足一个结算周期按实际天数/30天计算</t>
  </si>
  <si>
    <t>2022/8/10开通，
XAFJ2D404-G-12
不足一个结算周期按实际天数/30天计算</t>
  </si>
  <si>
    <t>XAFJ2D404-B-10
XAFJ2D404-C-10</t>
  </si>
  <si>
    <t>陕西西安移动二级节点正式上线  (XACMCACHE)，使用IDC机柜，
XAFJ2D305-F-11
XAFJ2D305-F-12
XAFJ2D305-F-13
XAFJ2D305-F-14</t>
  </si>
  <si>
    <t>XAFJ2D405-G-05
XAFJ2D405-G-06
XAFJ2D405-G-07
XAFJ2D405-G-08
XAFJ2D405-G-09
XAFJ2D405-G-10
XAFJ2D405-G-11
XAFJ2D405-G-12
XAFJ2D405-G-13
XAFJ2D405-G-14
XAFJ2D405-G-15
XAFJ2D405-G-16
XAFJ2D405-G-17
XAFJ2D405-H-02
XAFJ2D405-H-03
XAFJ2D405-H-04
XAFJ2D405-H-05
XAFJ2D405-H-06
XAFJ2D405-H-07
XAFJ2D405-H-08
XAFJ2D405-H-09
XAFJ2D405-H-10
XAFJ2D405-H-11
XAFJ2D405-H-16
XAFJ2D402-F-12
XAFJ2D402-F-13
XAFJ2D402-F-14
XAFJ2D402-F-15
XAFJ2D402-F-16
XAFJ2D403-F-10
XAFJ2D403-G-14
XAFJ2D401-A-05
XAFJ2D401-A-07
XAFJ2D401-A-11
XAFJ2D401-A-13</t>
  </si>
  <si>
    <t>XAFJ2D404-G-08
XAFJ2D404-G-09
XAFJ2D404-G-10
XAFJ2D404-G-11</t>
  </si>
  <si>
    <t>XAFJ2D401-A-04</t>
  </si>
  <si>
    <t>XAFJ2D402-H-11
XAFJ2D401-E-14</t>
  </si>
  <si>
    <t>XAFJ2D401-A-04
XAFJ2D401-C-01
XAFJ2D401-C-02</t>
  </si>
  <si>
    <t>XAFJ2D402-G-17
XAFJ2D402-H-14
XAFJ2D405-H-01</t>
  </si>
  <si>
    <t>XAFJ2D405-H-12
XAFJ2D405-H-13
XAFJ2D405-H-14
XAFJ2D405-H-15</t>
  </si>
  <si>
    <t>XAFJ2D402-H-13
XAFJ2D403-G-15
XAFJ2D401-A-12</t>
  </si>
  <si>
    <t>XAFJ2D402-G-03
XAFJ2D402-G-06
XAFJ2D402-G-07
XAFJ2D402-G-08
XAFJ2D402-G-09
XAFJ2D402-G-10
XAFJ2D402-G-11
XAFJ2D402-G-12</t>
  </si>
  <si>
    <t>XAFJ2D402-G-02
XAFJ2D402-G-04
XAFJ2D402-G-05</t>
  </si>
  <si>
    <t>XAFJ2D402-G-13
XAFJ2D402-G-14
XAFJ2D402-G-15
XAFJ2D402-G-16
XAFJ2D402-H-02
XAFJ2D402-H-03
XAFJ2D402-H-04
XAFJ2D402-H-05</t>
  </si>
  <si>
    <t>XAFJ2D405-G-06
XAFJ2D405-G-07
XAFJ2D405-G-08
XAFJ2D405-G-09
XAFJ2D405-G-10
XAFJ2D405-G-11
XAFJ2D405-G-12
XAFJ2D405-G-13
XAFJ2D402-F-14
XAFJ2D402-F-15
XAFJ2D402-F-16
XAFJ2D402-F-17
XAFJ2D402-G-01
XAFJ2D402-H-06
XAFJ2D402-H-07
XAFJ2D402-H-08
XAFJ2D402-H-09
XAFJ2D402-H-10
XAFJ2D402-H-11
XAFJ2D402-H-13</t>
  </si>
  <si>
    <t>182315IDC00071</t>
  </si>
  <si>
    <t>西安沣景-二期</t>
  </si>
  <si>
    <t>XAFJ5D203-K-07
XAFJ5D203-K-08
XAFJ5D203-K-10
XAFJ5D203-K-11
XAFJ5D203-K-12
XAFJ5D203-K-13
XAFJ5D203-K-14
XAFJ5D203-K-15</t>
  </si>
  <si>
    <t>XAFJ5D203-K-02
XAFJ5D203-K-03</t>
  </si>
  <si>
    <t>XAFJ5D203-A-02
XAFJ5D203-A-03
XAFJ5D203-A-04
XAFJ5D203-A-09
XAFJ5D203-A-10
XAFJ5D203-B-11
XAFJ5D203-B-12
XAFJ5D203-C-11
XAFJ5D203-C-12
XAFJ5D203-D-02
XAFJ5D203-D-03
XAFJ5D203-D-04
XAFJ5D203-D-09
XAFJ5D203-D-10
XAFJ5D203-F-12
XAFJ5D203-J-02</t>
  </si>
  <si>
    <t>XAFJ5D203-K-04
XAFJ5D203-K-05
XAFJ5D203-K-06
XAFJ5D203-K-09</t>
  </si>
  <si>
    <t>XAFJ5D204-F-01
XAFJ5D204-G-01</t>
  </si>
  <si>
    <t>XAFJ5D204-M-13</t>
  </si>
  <si>
    <t>XAFJ5D204-E-02
XAFJ5D204-E-03
XAFJ5D204-E-04
XAFJ5D204-F-02
XAFJ5D204-F-03
XAFJ5D204-F-04
XAFJ5D204-G-03
XAFJ5D204-G-04
XAFJ5D204-G-05
XAFJ5D204-G-07
XAFJ5D204-G-08
XAFJ5D204-G-09
XAFJ5D204-G-12
XAFJ5D204-H-05
XAFJ5D204-H-06
XAFJ5D204-H-07
XAFJ5D204-H-14
XAFJ5D204-I-02
XAFJ5D204-J-05</t>
  </si>
  <si>
    <t>XAFJ5D204-G-10
XAFJ5D204-G-11</t>
  </si>
  <si>
    <t>XAFJ5D204-H-09
XAFJ5D204-H-10
XAFJ5D204-H-11</t>
  </si>
  <si>
    <t>XAFJ5D204-H-02
XAFJ5D204-H-13
XAFJ5D204-H-15</t>
  </si>
  <si>
    <t>XAFJ5D204-I-06
XAFJ5D204-I-14
XAFJ5D204-J-01
XAFJ5D204-J-02
XAFJ5D204-J-04
XAFJ5D204-J-12</t>
  </si>
  <si>
    <t>暂定从2020/3/1开始计费</t>
  </si>
  <si>
    <t>2020/6/23陕西移动增加2个C的IP代播</t>
  </si>
  <si>
    <t>2020/1/1陕西移动增加2个C的IP代播</t>
  </si>
  <si>
    <t>西咸数据中心</t>
  </si>
  <si>
    <t>移动-电信1.12KM，2020.1.1开始计费</t>
  </si>
  <si>
    <t>移动-电信2.1KM，2020.1.1开始计费</t>
  </si>
  <si>
    <t>3芯</t>
  </si>
  <si>
    <t>移动-电信1.12KM，2020.3.1开始计费</t>
  </si>
  <si>
    <t>移动-电信2.1KM，2020.3.1开始计费</t>
  </si>
  <si>
    <t>移动-电信1.12KM，2020.4.1开始计费</t>
  </si>
  <si>
    <t>移动-电信2.1KM，2020.4.1开始计费</t>
  </si>
  <si>
    <t>移动-联通1.61KM，2020.10.1开始计费</t>
  </si>
  <si>
    <t>中国移动通信集团陕西有限公司汉中分公司</t>
  </si>
  <si>
    <t>汉中移动</t>
  </si>
  <si>
    <t>182315IDC00156</t>
  </si>
  <si>
    <t>CDN  IP</t>
  </si>
  <si>
    <t>西安 XACM</t>
  </si>
  <si>
    <t>西安移动二级</t>
  </si>
  <si>
    <t>CDNXACM2</t>
  </si>
  <si>
    <t>陕西西安移动二级新建300G2022-09-30节点正式上线  (XACMCACHE)，新增544个IP，111.20.254.0/24 111.20.255.0/24 111.20.255.0/27</t>
  </si>
  <si>
    <t>L20221130004</t>
  </si>
  <si>
    <t>112.46.6.160/27</t>
  </si>
  <si>
    <t>2409:8C70:3A10:0031::/123</t>
  </si>
  <si>
    <t>XAFJ-移动CDN节点2022.7.23开通256个IP
111.20.248.0/24</t>
  </si>
  <si>
    <t>广西壮族自治区公众信息产业有限公司</t>
  </si>
  <si>
    <t>广西电信</t>
  </si>
  <si>
    <t>182215IDC00619</t>
  </si>
  <si>
    <t>南宁电信2</t>
  </si>
  <si>
    <t>CDNNNCT</t>
  </si>
  <si>
    <t>NNCT12F-206-12/13  NNCT12F-205-12/13</t>
  </si>
  <si>
    <t>桂林电信</t>
  </si>
  <si>
    <t>CDNGLCT</t>
  </si>
  <si>
    <t>GLCT5F-03-1，GLCT5F-03-2，GLCT5F-03-3，GLCT5F-03-4，GLCT5F-03-5</t>
  </si>
  <si>
    <t>需要注意20201031退租，GLCT5F-03-1，GLCT5F-03-2，GLCT5F-03-3，GLCT5F-03-4，GLCT5F-03-5</t>
  </si>
  <si>
    <t>南宁电信3</t>
  </si>
  <si>
    <t>NNCT10F-108-01，NNCT10F-108-02，NNCT10F-108-03，NNCT10F-108-04，NNCT10F-108-05，NNCT10F-108-06</t>
  </si>
  <si>
    <t>南宁4电信</t>
  </si>
  <si>
    <t>NNCT10F107-07-01，NNCT10F107-07-02，NNCT10F107-07-03，NNCT10F107-07-04，NNCT10F107-07-05，NNCT10F107-07-06，NNCT10F107-07-07</t>
  </si>
  <si>
    <t>南宁5电信</t>
  </si>
  <si>
    <t>CDNNNCT2</t>
  </si>
  <si>
    <t>20201109开始计费，NN5CT2F204-YH101-014、NN5CT2F204-YH101-015、NN5CT2F204-YH101-016</t>
  </si>
  <si>
    <t>NNCT10F-108-06,NNCT10F-108-05,NNCT10F-108-04,NNCT10F-108-02,NNCT10F-108-01,NNCT10F-108-03</t>
  </si>
  <si>
    <t>NN5CT2F204-YH101-014,NN5CT2F204-YH101-015,NN5CT2F204-YH101-016</t>
  </si>
  <si>
    <t>使用256个，免费256个</t>
  </si>
  <si>
    <t>新合同免费，注意历史计提；冲销新增32个IP，BD反馈先计费</t>
  </si>
  <si>
    <t>需要注意20201031退租</t>
  </si>
  <si>
    <t>使用1088，南宁2节点2019年11月30日退租512个。</t>
  </si>
  <si>
    <t>使用288个</t>
  </si>
  <si>
    <t>171.107.85.0/24 113.12.82.0/27</t>
  </si>
  <si>
    <t>116.253.62.0/24 113.16.205.192/27</t>
  </si>
  <si>
    <t>使用512，每G送8个，免费80个，收费432</t>
  </si>
  <si>
    <t>-</t>
  </si>
  <si>
    <t xml:space="preserve">在用：IPV6:240e:a5:4200:0100::/56  </t>
  </si>
  <si>
    <t xml:space="preserve">在用：IPV6:240E:A5:4100::/56 </t>
  </si>
  <si>
    <t>桂林</t>
  </si>
  <si>
    <t xml:space="preserve">在用：IPV6:240e:a7:b900:200::/64  </t>
  </si>
  <si>
    <t>周睿HI上确认同时IPV6退租，材料见表二</t>
  </si>
  <si>
    <t xml:space="preserve">在用：IPV6:240E:950:802:0002::/64 </t>
  </si>
  <si>
    <t>在用：240e:0950:0002:0014::/64</t>
  </si>
  <si>
    <t xml:space="preserve">边缘计算新增3个机柜，BECNN4CT-YH111-10（新增），BECNN4CT-YH111-11（新增），BECNN4CT-YH111-12（新增）
</t>
  </si>
  <si>
    <t>使用416，每G送8个，免费320，收费96</t>
  </si>
  <si>
    <t>合同预审，IP免费</t>
  </si>
  <si>
    <t>商务确认8月1日开始计费，为免费资源，边缘计算南宁电信网段扩容开通（CDNNNCT）,新增128个IP，222.216.231.128/25</t>
  </si>
  <si>
    <t>2022.6.30 NN4CT节点退租4个机柜
NNCT10F107-07-01
NNCT10F107-07-05
NNCT10F107-07-06
NNCT10F107-07-07</t>
  </si>
  <si>
    <t>NN4CT节点2022.9.8退租128个IP
171.107.86.128/25</t>
  </si>
  <si>
    <t>NN4CT节点2022.9.8退租1个机柜
NNCT10F107-07-03</t>
  </si>
  <si>
    <t>中国电信股份有限公司昆明分公司</t>
  </si>
  <si>
    <t>昆明电信</t>
  </si>
  <si>
    <t>182215IDC00466</t>
  </si>
  <si>
    <t>昆明4</t>
  </si>
  <si>
    <t>CDNKMCT2</t>
  </si>
  <si>
    <t>KM2CT3F-H-07、KM2CT3F-H-08、KM2CT3F-H-09、KM2CT3F-H-10，每2个万兆赠送1个机柜，自2018年11月15日起，所有机柜均为免费。多付了2个机柜自2018年11月15日至2019年4月30日期间的费用，在对账时予以抵扣；2022.5.1新合同开始机柜全部收费。</t>
  </si>
  <si>
    <t>昆明5</t>
  </si>
  <si>
    <t>CDNKMCT</t>
  </si>
  <si>
    <t>KM5CT1F-C-01、KM5CT1F-C-02、KM5CT1F-C-03、KM5CT1F-C-04，每2个万兆赠送1个机柜，自2018年11月15日起，所有机柜均为免费。多付了2个机柜自2018年11月15日至2019年4月30日期间的费用，在对账时予以抵扣；2022.5.1新合同开始机柜全部收费。</t>
  </si>
  <si>
    <t>BEC昆明电信退租信息（KM5CT），退租一个机柜KM5CT1F-C-03</t>
  </si>
  <si>
    <t>昆明6</t>
  </si>
  <si>
    <t>【CDN退租】CDN云南昆明电信退租信息 (KM6CT)，KM6CT1F-K-02，终止计费时间为2023.4.24</t>
  </si>
  <si>
    <t>KM6CT1F-K-01、KM6CT1F-K-02、KM6CT1F-K-03、KM6CT1F-K-04、KM6CT1F-K-05、KM6CT1F-K-06、KM6CT1F-K-07、KM6CT1F-K-08，每2个万兆赠送1个机柜，自2018年11月15日起，所有机柜均为免费。多付了2个机柜自2018年11月15日至2019年4月30日期间的费用，在对账时予以抵扣；2022.5.1新合同开始机柜全部收费。</t>
  </si>
  <si>
    <t>KM6CT1F-K-08
KM6CT1F-K-07
KM6CT1F-K-06
KM6CT1F-K-05
KM6CT1F-K-01</t>
  </si>
  <si>
    <t>KM2CT3F-H-10
KM2CT3F-H-09
KM2CT3F-H-08
KM2CT3F-H-07</t>
  </si>
  <si>
    <t>KM5CT1F-C-01
KM5CT1F-C-02
KM5CT1F-C-04</t>
  </si>
  <si>
    <t>BECKMCT1F-D-6
BECKMCT1F-D-7
BECKMCT1F-D-8
BECKMCT1F-B-16</t>
  </si>
  <si>
    <t>需要注意2019年12月31日退租544个，共使用1600个，免费1408；自2022.5.1起，每10G提供32个IP，超出按50元/月/个收费。</t>
  </si>
  <si>
    <t xml:space="preserve"> IPv6地址3条/64</t>
  </si>
  <si>
    <t>昆明5电信</t>
  </si>
  <si>
    <t>240e:094c:0000:0102::/64</t>
  </si>
  <si>
    <t>240E:094C:0000:012A::/64</t>
  </si>
  <si>
    <t>KMCT1F-B-14
KMCT1F-B-15；2022.5.1新合同开始机柜全部收费。</t>
  </si>
  <si>
    <t>新合同约定机柜单价2083.33，KMCT1F-B-13；2022.5.1新合同开始机柜全部收费。</t>
  </si>
  <si>
    <t>边缘计算使用512个（BEC-KM5CT），116.55.253.128/25,116.55.254.128/25,182.242.136.0/24,；自2022.5.1起，每10G提供32个IP，超出按50元/月/个收费。</t>
  </si>
  <si>
    <t>CDN使用288个（KM6CT），182.242.54.0/24,182.242.139.128/27</t>
  </si>
  <si>
    <t>220.165.10.0/24；自2022.5.1起，每10G提供32个IP，超出按50元/月/个收费。</t>
  </si>
  <si>
    <t>182.242.136.0/24</t>
  </si>
  <si>
    <t>昆明6电信</t>
  </si>
  <si>
    <t>182.242.54.128/25</t>
  </si>
  <si>
    <t>海南</t>
  </si>
  <si>
    <t>中国电信股份有限公司文昌分公司</t>
  </si>
  <si>
    <t>海口电信</t>
  </si>
  <si>
    <t>182215IDC00621</t>
  </si>
  <si>
    <t>海口2</t>
  </si>
  <si>
    <t>需要注意海南2合并至海南3电信，合同共赠送704个，使用288个免费</t>
  </si>
  <si>
    <t>海南2合并至海南3电信时候退租</t>
  </si>
  <si>
    <t>海口3</t>
  </si>
  <si>
    <t>合同共赠送800个ip，使用288个免费</t>
  </si>
  <si>
    <t>海口电信使用416个IP，每万兆带宽赠送 64 个 IPV4 地址，超出部分的 IPV4地址按 50 元/月/个收取，共赠送1024个</t>
  </si>
  <si>
    <t>CDNHKCT3</t>
  </si>
  <si>
    <t>2019年7月25日新增HK3CT5F-28-06，HK3CT5F-28-07，HK3CT5F-29-02，HK3CT5F-29-03</t>
  </si>
  <si>
    <t>HK3CT5F-29-02</t>
  </si>
  <si>
    <t>海口3电信</t>
  </si>
  <si>
    <t>HK3CT5F-29-3,HK3CT5F-29-7,HK3CT5F-29-8</t>
  </si>
  <si>
    <t>福建</t>
  </si>
  <si>
    <t>中国电信股份有限公司福建分公司</t>
  </si>
  <si>
    <t>福州电信</t>
  </si>
  <si>
    <t>L20220829006</t>
  </si>
  <si>
    <t>福州马尾机房</t>
  </si>
  <si>
    <t>CDNFZCT</t>
  </si>
  <si>
    <t xml:space="preserve">FZCT34F-IDF13-07
FZCT34F-IDF13-08
FZCT34F-IDF13-09
FZCT34F-IDF13-10
FZCT34F-IDF13-11
FZCT34F-IDF14-10
FZCT34F-IDF14-11
FZCT34F-IDF14-12
FZCT34F-IDF14-13
</t>
  </si>
  <si>
    <t>福州电信二级2022.8.31退租6个机柜
FZCT34F-IDF13-7
FZCT34F-IDF13-11
FZCT34F-IDF14-10
FZCT34F-IDF14-11
FZCT34F-IDF14-12
FZCT34F-IDF14-13</t>
  </si>
  <si>
    <t xml:space="preserve">CDNFZCT4F-14-07，CDNFZCT4F-14-08，CDNFZCT4F-14-09
</t>
  </si>
  <si>
    <t xml:space="preserve">SSL节点，2022.7.31退租3个机柜
CDNFZCT4F-14-07
CDNFZCT4F-14-08
CDNFZCT4F-14-09
</t>
  </si>
  <si>
    <t>厦门</t>
  </si>
  <si>
    <t>厦门2电信</t>
  </si>
  <si>
    <t>CDNXMCT</t>
  </si>
  <si>
    <t>20190614正式计费。  XMCT2F01-B-17，XMCT2F01-B-18，XMCT2F01-B-19，XMCT2F01-B-20，XMCT2F01-B-21</t>
  </si>
  <si>
    <t>福州仓科机房</t>
  </si>
  <si>
    <t>福州电信SSL</t>
  </si>
  <si>
    <t>SSL在福州电信资源为1个万兆；1个C段IP；3个机柜，合同中赠送6208个免费IP，均为免费</t>
  </si>
  <si>
    <t>SSL节点，2022.7.31退租256个IP
117.27.149.0/24</t>
  </si>
  <si>
    <t>经SYS核查，该机柜转为边缘计算在用，CDN不再用，XMCT2F01-B-17</t>
  </si>
  <si>
    <t>边缘计算BECXMCT2F01-B-22</t>
  </si>
  <si>
    <t>福州</t>
  </si>
  <si>
    <t>福州电信二级</t>
  </si>
  <si>
    <t>使用288个，福州免费数量=20*64=1280</t>
  </si>
  <si>
    <t>福州电信二级2022.8.31退租128个IP
106.122.248.128/25</t>
  </si>
  <si>
    <t>使用288个，厦门免费数量=12*64=768</t>
  </si>
  <si>
    <t>边缘计算使用128个27.159.93.128/25</t>
  </si>
  <si>
    <t>边缘计算 BECXMCT2F01-B-17</t>
  </si>
  <si>
    <t>边缘计算使用128个27.159.76.128/25</t>
  </si>
  <si>
    <t>边缘计算BECXMCT2F01-B-16</t>
  </si>
  <si>
    <t xml:space="preserve">运营商侧确认以下资源开通时间5月12日，根据合同约定赠送15天测试期，计费开始时间5月27日。
本次边缘计算新增资源包括2个10A机柜，BECXMCT2F01-B-14（新增），BECXMCT2F01-B-15（新增）
</t>
  </si>
  <si>
    <t>XMCT2F01-B-21
XMCT2F01-B-18
XMCT2F01-B-19</t>
  </si>
  <si>
    <t>边缘计算使用128个27.159.70.128/25（新增）,商务确认免费</t>
  </si>
  <si>
    <t>中国联合网络通信有限公司广西壮族自治区分公司</t>
  </si>
  <si>
    <t>广西联通</t>
  </si>
  <si>
    <t>L20230223004</t>
  </si>
  <si>
    <t>CDNNNUN</t>
  </si>
  <si>
    <t>收费1个NN2UN1F-C-09</t>
  </si>
  <si>
    <t>南宁2</t>
  </si>
  <si>
    <t>免费4个NN2UN1F-C-06、NN2UN1F-C-07、NN2UN1F-C-08、NN2UN1F-C-10</t>
  </si>
  <si>
    <t>南宁2联通&amp;南宁3联通</t>
  </si>
  <si>
    <t>sys反馈南宁2使用160个，南宁3使用160个，南宁2&amp;南宁3共免费提供448个，超出部分按35元/个/月</t>
  </si>
  <si>
    <t>合同条款：联通提供IPV6地址地址[2 ]段/64，其中免费[2 ]个/64</t>
  </si>
  <si>
    <t>南宁3</t>
  </si>
  <si>
    <t>南宁3联通</t>
  </si>
  <si>
    <t>广西联通新增边缘计算两个机柜，经商务确认，1个计费，一个免费，BECNN3UNVIP4-C-11，BECNN3UNVIP4-C-12</t>
  </si>
  <si>
    <t>L20220119001</t>
  </si>
  <si>
    <t>BECNN3UNVIP4-C-14</t>
  </si>
  <si>
    <t>广西联通新增边缘计算128个IP，211.97.91.0/25（新增），经商务确认，不计费</t>
  </si>
  <si>
    <t>商务确认8月1日开始计费，边缘计算南宁联通网段扩容开通（CDNNNUN），单价17.5,，新增128个IP，211.97.91.128/25</t>
  </si>
  <si>
    <t>211.97.86.0/25</t>
  </si>
  <si>
    <t>中国联合网络通信有限公司福州市分公司</t>
  </si>
  <si>
    <t>福州联通</t>
  </si>
  <si>
    <t>L20230327007</t>
  </si>
  <si>
    <t>CDNFZUN</t>
  </si>
  <si>
    <t>需要注意2020年2月开始共使用3个，每个万兆送一个，免费2个，收费1个。福州联通扩容80G资源，自2019年6月26日开始计费，存量和扩容的所有机架全部自2019年6月26日开始免费</t>
  </si>
  <si>
    <t>实际用7个，一个万兆送一个机柜。目前在用剩余共8个，IDC5 H02
IDC5 H03
IDC5 H04
IDC5 H05
IDC5 H06
长乐首占IDC1 C01
长乐首占IDC1 C02
长乐首占IDC1 C03</t>
  </si>
  <si>
    <t>云-福州</t>
  </si>
  <si>
    <t>CDNFZUN2</t>
  </si>
  <si>
    <t>福州联通扩容80G资源，自2019年6月26日开始计费，存量和扩容的所有机架全部自2019年6月26日开始免费，实际使用2个</t>
  </si>
  <si>
    <t>福州3联通</t>
  </si>
  <si>
    <t xml:space="preserve">实际用3个，一个万兆送一个机柜。其中2020年4月21日开始FZ3UN5FIDC1-C-01，FZ3UN5FIDC1-C-03由CDN业务转换为边缘计算业务BECFZ3UN5FIDC1-C-01,BECFZ3UN5FIDC1-C-03
</t>
  </si>
  <si>
    <t>退租IDC5 F07，IDC5 F08，长乐首占IDC1 C04，长乐首占IDC1 C05</t>
  </si>
  <si>
    <t>退租IDC5 G05，IDC5 G06</t>
  </si>
  <si>
    <t>需要注意2020年1月31日退租5个，FZUN4F-H-02、FZUN4F-H-03、FZUN4F-H-04、FZUN4F-H-05、FZUN4F-H-06</t>
  </si>
  <si>
    <t xml:space="preserve"> CDNFZUN2</t>
  </si>
  <si>
    <t>2020409CDN业务下架FZ3UN5FIDC1-C-01，FZ3UN5FIDC1-C-03替换成边缘计算BECFZ3UN5FIDC1-C-01，BECFZ3UN5FIDC1-C-03</t>
  </si>
  <si>
    <t>20191031退租。免费512个，与原合同合计赠送768个，超出部分按35元/个/月</t>
  </si>
  <si>
    <t>ip共288个，收费32个，免费256个,其中20200420CDN关闭128个ip转为边缘计算</t>
  </si>
  <si>
    <t>边缘计算，202007更新信息：20190420CDN退租128个转为边缘计算128个</t>
  </si>
  <si>
    <t>合同条款：IPV6:联通提供IPV6地址地址[1 ]个/60，其中免费[ 1]个/60，收费[ 0]个/60</t>
  </si>
  <si>
    <t>边缘计算BECFZ3UN5FIDC1-C-04（</t>
  </si>
  <si>
    <t>边缘计算128个</t>
  </si>
  <si>
    <t>中国联合网络通信有限公司海南省分公司</t>
  </si>
  <si>
    <t>海口联通</t>
  </si>
  <si>
    <t>182115IDC00393</t>
  </si>
  <si>
    <t>海南海口</t>
  </si>
  <si>
    <t>CDNHKUN</t>
  </si>
  <si>
    <t>7月25日流量计费，机架自然月结算</t>
  </si>
  <si>
    <t>共使用160个,免费288个，113.59.46.0/25;153.0.192.64/27</t>
  </si>
  <si>
    <t>中国联合网络通信有限公司云南省分公司</t>
  </si>
  <si>
    <t>云南联通</t>
  </si>
  <si>
    <t>182115IDC00367</t>
  </si>
  <si>
    <t>实际使用3个（HKUN4F-B-08-10），超出部分按4000元/个/月。服务起始日不是在当月的首日，则按照月租费×12个月÷365天</t>
  </si>
  <si>
    <t>新合同7月1日开始，预审中，机柜使用3个，赠送1个，超出3000元／个／月，收费2个</t>
  </si>
  <si>
    <t>CDNKMUN</t>
  </si>
  <si>
    <t>赠送256个IP地址，使用256个，新合同182015IDC00338内约定的剩余IP未使用</t>
  </si>
  <si>
    <t>182115IDC00293</t>
  </si>
  <si>
    <t>昆明4联通</t>
  </si>
  <si>
    <t>CDNKMUN3</t>
  </si>
  <si>
    <t>新建节点增加机柜，商务确认实际为28A机柜，KM3UN3FN-DW-3、KM3UN3FN-DW-2、KM3UN3FN-DW-1</t>
  </si>
  <si>
    <t>经商务确认，新增KM4UN节点赠送2个C，180.130.118.0/24， 180.130.126.0/27</t>
  </si>
  <si>
    <t xml:space="preserve">新增边缘计算，BECKM3UN3FN-DW-04、BECKM3UN3FN-DW-05
</t>
  </si>
  <si>
    <t>新增边缘计算，经商务确认，新增KM4UN节点赠送2个C，180.130.126.128/25</t>
  </si>
  <si>
    <t>商务确认计费时间为8月12日，云南昆明联通边缘计算节点扩容（KM4UN），新增机柜BECKM3UN3FN-DW-06，</t>
  </si>
  <si>
    <t>商务确认计费时间为8月12日，与之前免费的2个C不通用，为收费，每个50元，云南昆明联通边缘计算节点扩容（KM4UN），新增128个IP，180.130.122.128/25</t>
  </si>
  <si>
    <t>2022.11.9退租128个IP，180.130.118.128/25</t>
  </si>
  <si>
    <t>昆明5联通</t>
  </si>
  <si>
    <t>CDNKMUN4</t>
  </si>
  <si>
    <t>KM5UN节点，边缘计算新增1个机柜，2022.9.1开始计费</t>
  </si>
  <si>
    <t>23年1月31日KM5UN整节点退租</t>
  </si>
  <si>
    <t>KM5UN节点，边缘计算新增128个IPV4，2022.9.1开始计费
14.204.137.128/25</t>
  </si>
  <si>
    <t>KM5UN节点，2022.9.2边缘计算新增1段IPV6
2408:876C:0080:0120::/60</t>
  </si>
  <si>
    <t>L20230426007</t>
  </si>
  <si>
    <t>昆明6联通</t>
  </si>
  <si>
    <t>【BEC新建】昆明联通新建60G 2023-4-1节点正式上线 (KM6UN)，新增一个机柜CDNKMUN4:4F:A-11-BEC6</t>
  </si>
  <si>
    <t>【BEC新建】昆明联通新建60G 2023-4-1节点正式上线 (KM6UN)，新增128个IP，14.204.137.128/25</t>
  </si>
  <si>
    <t>【BEC新建】昆明联通新建60G 2023-4-1节点正式上线 (KM6UN)，新增一段IPV6，2408:876C:0080:0120::/60</t>
  </si>
  <si>
    <t>中国移动通信集团海南有限公司</t>
  </si>
  <si>
    <t>海口移动</t>
  </si>
  <si>
    <t>L20221228010</t>
  </si>
  <si>
    <t>海口</t>
  </si>
  <si>
    <t>CDNHKCM</t>
  </si>
  <si>
    <t>HK2CM4F-F-02、HK2CM4F-F-01</t>
  </si>
  <si>
    <t>海口3移动</t>
  </si>
  <si>
    <t>使用288个，运营商不计费，计提0</t>
  </si>
  <si>
    <t>HK3CM4F-F-03、HK3CM4F-F-04</t>
  </si>
  <si>
    <t>边缘计算BECHK3CM4F-F-05</t>
  </si>
  <si>
    <t>HK2CM4F-F-02,HK2CM4F-F-01</t>
  </si>
  <si>
    <t>边缘计算使用128个111.29.44.0/25，合同内共赠送288</t>
  </si>
  <si>
    <t>海口2移动</t>
  </si>
  <si>
    <t>CDN使用160个，合同内共赠送288个</t>
  </si>
  <si>
    <t>111.29.23.0/25 111.29.23.128/27</t>
  </si>
  <si>
    <t>HK3CM节点2022.8.10退租1个机柜
HK3CM4F-F-04</t>
  </si>
  <si>
    <t>BECHK3CM4F-F-05</t>
  </si>
  <si>
    <t>HK3CM节点2022.8.10退租128个IP
111.29.34.128/25</t>
  </si>
  <si>
    <t>111.29.44.0/25</t>
  </si>
  <si>
    <t>中国移动通信集团福建有限公司福州分公司</t>
  </si>
  <si>
    <t>福州移动</t>
  </si>
  <si>
    <t>L20221228012</t>
  </si>
  <si>
    <t>CDNFZCM</t>
  </si>
  <si>
    <t>新合同181915IDC00179 2019年6月25日开始生效，合同约定赠送5个。sys已核对我方使用8个（FZ2CM2F-F-06
FZ2CM2F-F-07
FZ2CM2F-F-08
FZ2CM2F-F-09
FZ2CM2F-F-10
FZ2CM2F-F-11
FZCM4F-D-10
FZCM4F-D-11
），计费3个机架</t>
  </si>
  <si>
    <t>新合同约定共赠送2880个，sys反馈使用288</t>
  </si>
  <si>
    <t>福州移动2</t>
  </si>
  <si>
    <t>CDNFZCM2</t>
  </si>
  <si>
    <t>sys已核对我方使用8个（FZ2CM2F-F-06
FZ2CM2F-F-07
FZ2CM2F-F-08
FZ2CM2F-F-09
FZ2CM2F-F-10
FZ2CM2F-F-11
FZCM4F-D-10
FZCM4F-D-11
），计费3个机架</t>
  </si>
  <si>
    <t>新合同8个4.4KW5500，2个3.5kw5000</t>
  </si>
  <si>
    <t>福州2</t>
  </si>
  <si>
    <t>福州3</t>
  </si>
  <si>
    <t>福州3移动</t>
  </si>
  <si>
    <t>福州3+福州2</t>
  </si>
  <si>
    <t>福州3移动+福州2移动</t>
  </si>
  <si>
    <t>新合同约定共赠送2880个，sys反馈使用288+边缘计算128（sys更新2020年7月开通的边缘计算在福州移动2）</t>
  </si>
  <si>
    <t>20200629开通1个FZ2CM2F-F-12</t>
  </si>
  <si>
    <t>FZ2CM2F-F-12,FZ2CM2F-F-11</t>
  </si>
  <si>
    <t>边缘计算1个机柜BECFZ3CM204-F-05</t>
  </si>
  <si>
    <t>合同条款：IPV6赠送：三段::/64位。</t>
  </si>
  <si>
    <t>边缘计算BECFZ3CM204-F-02</t>
  </si>
  <si>
    <t>新合同约定共赠送2880个，边缘计算128个</t>
  </si>
  <si>
    <t>112.49.51.0/24 112.49.52.0/27</t>
  </si>
  <si>
    <t>【边缘计算节点扩容】福建福州移动边缘计算节点扩容（FZ2CM）,新增一个机柜BECFZ3CM204-F-14</t>
  </si>
  <si>
    <t>FZ2CM2F-F-09, FZ2CM2F-F-10</t>
  </si>
  <si>
    <t xml:space="preserve">FZCM,2022.7.31退租2个机柜
FZCM4F-D-11
FZCM4F-D-10
</t>
  </si>
  <si>
    <t xml:space="preserve">FZCM,2022.7.31退租288个IP
112.49.48.0/24 
112.49.26.192/27
</t>
  </si>
  <si>
    <t xml:space="preserve">FZ2CM,2022.7.31退租3个机柜
FZ2CM2F-F-08
FZ2CM2F-F-07
FZ2CM2F-F-06
</t>
  </si>
  <si>
    <t xml:space="preserve">FZ2CM,2022.7.31退租288个IP
112.49.48.0/24 
112.49.26.192/27
</t>
  </si>
  <si>
    <t>L20221230001</t>
  </si>
  <si>
    <t>厦门2</t>
  </si>
  <si>
    <t>厦门2移动</t>
  </si>
  <si>
    <t>CDNXMCM2</t>
  </si>
  <si>
    <t>【BEC新建】厦门移动新建600G 2022-12-3节点正式上线  (XM2CM)，BECXM2CM-D1-22、BECXM2CM-D1-23、BECXM2CM-D1-24</t>
  </si>
  <si>
    <t>112.48.137.0/24
112.48.138.0/24
112.48.152.0/24
112.48.153.0/24
112.48.154.0/24
112.48.163.0/24
112.48.164.0/24
112.48.165.0/24
112.48.166.0/25</t>
  </si>
  <si>
    <t>2409:8C34:22A0:4::/64</t>
  </si>
  <si>
    <t>中国移动通信集团云南有限公司昆明分公司</t>
  </si>
  <si>
    <t>昆明移动</t>
  </si>
  <si>
    <t>L20221228011</t>
  </si>
  <si>
    <t>CDNKMCM3</t>
  </si>
  <si>
    <t>KM3CM3F-G-13</t>
  </si>
  <si>
    <t>昆明3移动</t>
  </si>
  <si>
    <t>sys反馈使用1个C+32个，新合同免费赠送928个</t>
  </si>
  <si>
    <t>39.130.136.0/25 39.130.142.128/25 39.130.142.96/27</t>
  </si>
  <si>
    <t xml:space="preserve">KM3CM3F-G-12
KM3CM3F-G-11
KM3CM3F-G-10
KM3CM3F-G-09
KM3CM3F-G-08
KM3CM3F-G-07
</t>
  </si>
  <si>
    <t>KM3CM3F-G-13,KM3CM3F-G-12,KM3CM3F-G-11,KM3CM3F-G-10,KM3CM3F-G-09,KM3CM3F-G-08,KM3CM3F-G-07</t>
  </si>
  <si>
    <t>昆明4移动</t>
  </si>
  <si>
    <t>CDNKMCM4</t>
  </si>
  <si>
    <t>sys反馈使用2个C+32个，新合同免费赠送928个</t>
  </si>
  <si>
    <t>KM4CM7F-F-4
KM4CM7F-F-3
KM4CM7F-F-2
KM4CM7F-F-1
KM4CM7F-F-14
KM4CM7F-F-7
KM4CM7F-F-6
KM4CM7F-F-5</t>
  </si>
  <si>
    <t>KM4CM7F-F-14(此机柜自2022.5.24开始转让给BEC使用)</t>
  </si>
  <si>
    <t xml:space="preserve">边缘计算BECKM4CM7F-G-05
BECKM4CM7F-G-06
</t>
  </si>
  <si>
    <t>边缘计算使用128个36.147.12.128/25</t>
  </si>
  <si>
    <t>昆明移动(KM4CM)退租资源128个IP，36.147.14.128/25</t>
  </si>
  <si>
    <t>边缘计算新增128个</t>
  </si>
  <si>
    <t>BECKM4CM7F-2-F12</t>
  </si>
  <si>
    <t>商务确认计费时间为8月9日，云南昆明移动边缘计算节点扩容（KM4CM），新增机柜BECKM4CM7F-2-E01</t>
  </si>
  <si>
    <t>昆明移动(KM4CM)退租资源1个机柜，BECKM4CM7F-2-E01</t>
  </si>
  <si>
    <t>12月1日新增IPV6一段，2409:8c6c:550:1c::0/64</t>
  </si>
  <si>
    <t>昆明移动(KM4CM)退租资源1段IPv6,2409:8c6c:550:1c::/64</t>
  </si>
  <si>
    <t xml:space="preserve">KM4CM节点，2022.5.24边缘计算新增1个机柜，由CDN转为BEC，编号BECKMCM47F-F-14（KM4CM7F-F-14（原cdn机柜编号）
</t>
  </si>
  <si>
    <t>KM4CM节点，2022.5.24边缘计算新增128个，免费39.130.157.128/25</t>
  </si>
  <si>
    <t>中国移动通信集团广西有限公司南宁分公司</t>
  </si>
  <si>
    <t>南宁移动</t>
  </si>
  <si>
    <t>L20221228013</t>
  </si>
  <si>
    <t>CDNNNCM</t>
  </si>
  <si>
    <t>NNCM5F-K-06
NNCM5F-K-05
NNCM5F-K-04
NNCM5F-K-03
NNCM5F-K-02
NNCM5F-K-01</t>
  </si>
  <si>
    <t>CDNNNCM3</t>
  </si>
  <si>
    <t xml:space="preserve">CDN的NN3CM802-V-06，NN3CM802-V-05于2022.5.20腾挪至BEC的BECNN3CM802-V-06，BECNN3CM802-V-05使用，
NNCM8F-V-04
NNCM8F-V-03
NNCM8F-V-02
NNCM8F-V-01
</t>
  </si>
  <si>
    <t>CDNNNCM+ 
CDNNNCM3</t>
  </si>
  <si>
    <t>每百G赠送128个IP，剩余20G，免费25个，共使用384个IP，计费359个</t>
  </si>
  <si>
    <t>南宁3移动</t>
  </si>
  <si>
    <t xml:space="preserve">本次CDNNNCM3新增资源包括：2个5KW机柜（实际按3.5kw机柜单价计费），128个IPv4，1段/64 IPv6地址，BECNN3CM802-R-05（新增），BECNN3CM802-R-06（新增）
</t>
  </si>
  <si>
    <t>NNCM5F-K-06,NNCM5F-K-05</t>
  </si>
  <si>
    <t>NNCM5F-K-01, NNCM5F-K-02</t>
  </si>
  <si>
    <t>商务确认8月1日开始计费，边缘计算南宁移动网段扩容开通（CDNNNCM3），新增128个IP36.159.95.0/25，均收费（2022年5月起按合同条款赠送192个，收费768个）</t>
  </si>
  <si>
    <t>南宁移动扩容0G 2022-05-10节点正式上线  (NN3CM)，36.159.89.0/25（2022年5月起按合同条款赠送192个，收费768个）</t>
  </si>
  <si>
    <t>NN3CM节点2022.7.31退租4个机柜
NNCM8F-V-01
NNCM8F-V-02
NNCM8F-V-03
NNCM8F-V-04</t>
  </si>
  <si>
    <t>NN3CM节点2022.7.31退租288个IP
36.159.103.0/24 36.159.114.96/27</t>
  </si>
  <si>
    <t>NNCM节点2022.7.31退租2个机柜 NNCM5F-K-03, NNCM5F-K-04
NNCM5F-K-04</t>
  </si>
  <si>
    <t>NNCM节点2022.7.31退租288个IP
111.12.25.0/25 36.159.107.128/25 36.159.107.0/27</t>
  </si>
  <si>
    <t>中经云数据存储科技（北京）有限公司</t>
  </si>
  <si>
    <t>中经云</t>
  </si>
  <si>
    <t>182315IDC00002</t>
  </si>
  <si>
    <t>CSZJ</t>
  </si>
  <si>
    <t>天地祥云</t>
  </si>
  <si>
    <t>中经云园区东光交箱</t>
  </si>
  <si>
    <t>中经云园区西光交箱</t>
  </si>
  <si>
    <t xml:space="preserve">模块：M388
机柜：A04
</t>
  </si>
  <si>
    <t xml:space="preserve">模块：M388
机柜：A05
</t>
  </si>
  <si>
    <t>自M166模块G11机柜（百度侧）至M388模块A04/A05机柜（爱奇艺侧）8条引纤共计16芯，施工已完成，计费时间为：2021年11月2日</t>
  </si>
  <si>
    <t>华南</t>
  </si>
  <si>
    <t>王腾</t>
  </si>
  <si>
    <t>中国电信股份有限公司湖南分公司</t>
  </si>
  <si>
    <t>湖南电信</t>
  </si>
  <si>
    <t>L20230103002</t>
  </si>
  <si>
    <t>衡阳</t>
  </si>
  <si>
    <t>衡阳电信SSL</t>
  </si>
  <si>
    <t>CDNHY</t>
  </si>
  <si>
    <t>使用128个</t>
  </si>
  <si>
    <t>20210531退租</t>
  </si>
  <si>
    <t>使用256个，218.77.79.0/24</t>
  </si>
  <si>
    <t>CDNHY01-E-12</t>
  </si>
  <si>
    <t>自20210301开始不计费2个，CDNHY01-E-13、CDNHY01-E-14</t>
  </si>
  <si>
    <t>20210531退租，CDNHY01-E-12</t>
  </si>
  <si>
    <t>20210531退租，CDNHY01-E-13、CDNHY01-E-14</t>
  </si>
  <si>
    <t>株洲</t>
  </si>
  <si>
    <t>株洲电信SSL</t>
  </si>
  <si>
    <t>CDNZHUZCT</t>
  </si>
  <si>
    <t>使用768个220.170.184.0/24,220.170.185.0/24,220.170.186.0/24</t>
  </si>
  <si>
    <t>使用768个</t>
  </si>
  <si>
    <t>20230331退租。</t>
  </si>
  <si>
    <t xml:space="preserve">ZHUZCT4F-08-05、
ZHUZCT4F-08-02、
ZHUZCT4F-08-03、
ZHUZCT4F-08-04
</t>
  </si>
  <si>
    <t>岳阳</t>
  </si>
  <si>
    <t>岳阳2电信</t>
  </si>
  <si>
    <t>CDNYYCT2</t>
  </si>
  <si>
    <t>边缘计算，使用256个220.168.184.0/24，注意新合同内开始计费时间为20200801，历史多计提需要注意。前期记录20200616开始计费220.168.184.0/24</t>
  </si>
  <si>
    <t>边缘计算，128个220.168.185.0/25</t>
  </si>
  <si>
    <t>边缘计算，新增128个，223.144.130.0/25</t>
  </si>
  <si>
    <t>边缘计算，220.168.168.0/24</t>
  </si>
  <si>
    <t>退租128个，220.169.152.128/25</t>
  </si>
  <si>
    <t>免费5个，YY2CT2F-02-08,YY2CT2F-03-06,YY2CT2F-03-07,YY2CT2F-03-09,YY2CT2F-04-08</t>
  </si>
  <si>
    <t xml:space="preserve">边缘计算，BECYY2CT2F-05-05，BECYY2CT2F-05-06，自20210301开始不计费，20200801开始计费
</t>
  </si>
  <si>
    <t>边缘计算，BECYY2CT2F-05-08，自20210301开始不计费</t>
  </si>
  <si>
    <t>边缘计算，BECYY2CT2F-03-05,按照新合同条款共赠送9个机柜</t>
  </si>
  <si>
    <t>边缘计算， 
BECYY2CT2F-06-07， 
BECYY2CT2F-06-08</t>
  </si>
  <si>
    <t>边缘计算，BECYY2CT-04-02
BECYY2CT-04-03
BECYY2CT-04-04
BECYY2CT-04-05
BECYY2CT-07-07
BECYY2CT-07-08
BECYY2CT-07-09
BECYY2CT-06-09</t>
  </si>
  <si>
    <t>长沙三级电信</t>
  </si>
  <si>
    <t>CDNCSIX</t>
  </si>
  <si>
    <t>20220901开始计费，使用288个，113.240.118.0/24，113.240.99.32/27</t>
  </si>
  <si>
    <t>20220901开始计费，CDNCSIX3F-C-01,CDNCSIX3F-C-02,CDNCSIX3F-C-03,CDNCSIX3F-C-04,CDNCSIX3F-C-05,CDNCSIX3F-C-06,CDNCSIX3F-C-07,CDNCSIX3F-C-08</t>
  </si>
  <si>
    <t>中国电信股份有限公司长沙分公司</t>
  </si>
  <si>
    <t>长沙电信</t>
  </si>
  <si>
    <t>182215IDC00627</t>
  </si>
  <si>
    <t>政通云谷-长沙传输POP</t>
  </si>
  <si>
    <t>长沙CDN三线=B2裸光纤</t>
  </si>
  <si>
    <t>500元/公里/月</t>
  </si>
  <si>
    <t>长沙三线B2光纤，政通云谷-长沙传输POP.   路由1：34.15km
      路由2：52.77km</t>
  </si>
  <si>
    <t>中国电信股份有限公司广东分公司</t>
  </si>
  <si>
    <t>广东电信</t>
  </si>
  <si>
    <t>L20221025015</t>
  </si>
  <si>
    <t>东莞-樟木头机房</t>
  </si>
  <si>
    <t>CDNDGCT</t>
  </si>
  <si>
    <t>11A</t>
  </si>
  <si>
    <t xml:space="preserve">sys已核对：DGCT7F-D-01
DGCT7F-D-02
DGCT7F-D-03
DGCT7F-D-04
DGCT7F-D-05
DGCT7F-D-06
DGCT7F-D-07
DG2CT7F-H-01
DG2CT7F-H-02
sys已核对：DG2CT7F-H-03
DG2CT7F-H-04
DG2CT7F-H-05
DG2CT7F-H-06
DG2CT7F-H-07
DG2CT7F-H-08
DG2CT7F-H-09
DG2CT7F-H-10
DG2CT7F-H-11
DG2CT7F-H-12
DG2CT7F-H-13
DG2CT7F-H-14
DG2CT7F-I-01
DG2CT7F-I-02
DG2CT7F-I-03
DG2CT7F-I-04
DG2CT7F-I-05
DG2CT7F-I-06
DG2CT7F-I-07
DG2CT7F-I-08
DG2CT7F-I-09
DG2CT7F-I-10
DG2CT7F-I-11
DG2CT7F-I-12
DG2CT7F-I-13
DG2CT7F-I-14
</t>
  </si>
  <si>
    <t>对账需要注意202105退租的3个柜子停止计费日期（DGCT7F-D-07、DGCT7F-D-06、DGCT7F-D-05），需要注意20200430退租17个，DG2CT7F-H-01,DG2CT7F-H-02,DG2CT7F-H-03,DG2CT7F-H-05,DG2CT7F-H-06,DG2CT7F-H-07,DG2CT7F-H-08,DG2CT7F-H-09,DG2CT7F-H-10,DG2CT7F-H-11,DG2CT7F-H-12,DG2CT7F-H-13,DG2CT7F-H-14,DG2CT7F-I-01,DG2CT7F-I-02,DG2CT7F-I-03,DG2CT7F-I-04</t>
  </si>
  <si>
    <t>DGCT7F-D-07、DGCT7F-D-06、DGCT7F-D-05</t>
  </si>
  <si>
    <t>DG2CT7F-H-04,DG2CT7F-I-14,DG2CT7F-I-13,DG2CT7F-I-12,DG2CT7F-I-11,DG2CT7F-I-10,DG2CT7F-I-09,DG2CT7F-I-08,DG2CT7F-I-07,DG2CT7F-I-06,DG2CT7F-I-05</t>
  </si>
  <si>
    <t>DGCT7F-D-01,DGCT7F-D-02</t>
  </si>
  <si>
    <t xml:space="preserve">CDN使用113.105.172.0/24,183.60.154.0/24,14.17.88.96/27  </t>
  </si>
  <si>
    <t>河源IDC中心</t>
  </si>
  <si>
    <t>云自采-河源电信</t>
  </si>
  <si>
    <t>CBUCDNHYCT</t>
  </si>
  <si>
    <t xml:space="preserve">
（1）历史sys已核对：HYCT1F-8018-02
HYCT1F-8018-03
HYCT1F-8018-04
HYCT1F-8018-05
HYCT1F-8018-06
HYCT1F-8018-07
HYCT1F-8018-08
HYCT1F-8018-09
HYCT1F-8019-02
HYCT1F-8019-03
HYCT1F-8019-04
HYCT1F-8019-05
HYCT1F-8019-06
HYCT1F-8019-07
HYCT1F-8019-08
HYCT1F-8019-09
HYCT1F-80110-02
HYCT1F-80110-03
HYCT1F-80110-04
HYCT1F-80110-05
</t>
  </si>
  <si>
    <t>（1）需要注意sys发邮件20200918退租9个：HYCT1F-8019-02
HYCT1F-8019-06
HYCT1F-8019-07
HYCT1F-8019-08
HYCT1F-8019-09
HYCT1F-80110-02
HYCT1F-80110－03
HYCT1F-80110－04
HYCT1F-80110－05</t>
  </si>
  <si>
    <t>HYCT1F-8019-03,HYCT1F-8019-04,HYCT1F-8019-05</t>
  </si>
  <si>
    <t>HYCT1F-8018-02,HYCT1F-8018-03,HYCT1F-8018-04,HYCT1F-8018-05,HYCT1F-8018-06,HYCT1F-8018-07,HYCT1F-8018-08,HYCT1F-8018-09</t>
  </si>
  <si>
    <t xml:space="preserve">CDN使用113.113.73.0/24, 113.113.74.0/24 </t>
  </si>
  <si>
    <t>退租：113.113.73.0/24 113.113.74.0/24</t>
  </si>
  <si>
    <t>潮州枫桥idc中心</t>
  </si>
  <si>
    <t>潮州电信</t>
  </si>
  <si>
    <t>CDNCHAOZCT</t>
  </si>
  <si>
    <t>sys已核对：1501-2-13
1501-2-12
1501-2-15
1501-2-14
1501-2-17
1501-2-16
1501-2-19
1501-2-18</t>
  </si>
  <si>
    <t>1501-2-19,1501-2-18,1501-2-17,1501-2-16,1501-2-15,1501-2-14,1501-2-13,1501-2-12</t>
  </si>
  <si>
    <t xml:space="preserve">CDN使用14.215.89.0/24,14.215.93.0/27 </t>
  </si>
  <si>
    <t xml:space="preserve">退租：14.215.89.0/24,14.215.93.0/27 </t>
  </si>
  <si>
    <t>阳江</t>
  </si>
  <si>
    <t>阳江电信</t>
  </si>
  <si>
    <t>CDNYJCT</t>
  </si>
  <si>
    <t xml:space="preserve">sys已核对：YJCT3F-01-01
YJCT3F-01-02
YJCT3F-01-03
YJCT3F-01-04
YJCT3F-01-05
YJCT3F-01-06
YJCT3F-01-07
YJCT3F-01-08
</t>
  </si>
  <si>
    <t>YJCT3F-01-08,YJCT3F-01-07,YJCT3F-01-06,YJCT3F-01-02,YJCT3F-01-01</t>
  </si>
  <si>
    <t>YJCT3F-01-03,YJCT3F-01-04,YJCT3F-01-05</t>
  </si>
  <si>
    <t>CDN使用121.32.228.0/24,121.32.229.0/24,183.47.254.0/27</t>
  </si>
  <si>
    <t>退租：121.32.228.0/24,121.32.229.0/24,183.47.254.0/27</t>
  </si>
  <si>
    <t>东莞-大朗</t>
  </si>
  <si>
    <t>东莞电信SSL</t>
  </si>
  <si>
    <t>DGDL</t>
  </si>
  <si>
    <t xml:space="preserve">sys已核对：DL5F-L-11
DL5F-L-12
DL5F-L-09
DL5F-L-10
DL5F-L-14
</t>
  </si>
  <si>
    <t>DL5F-L-11</t>
  </si>
  <si>
    <t>东莞-大朗机房</t>
  </si>
  <si>
    <t>CDNCZCT</t>
  </si>
  <si>
    <t>实际在用1024个，对方分配183.61.177.0/24,119.147.134.0/24,183.61.236.0/24,183.61.190.0/24,14.17.71.0/24</t>
  </si>
  <si>
    <t>佛山</t>
  </si>
  <si>
    <t>佛山电信SSL</t>
  </si>
  <si>
    <t xml:space="preserve">FS9F
</t>
  </si>
  <si>
    <t>sys已核对：8F-HH16-04
8F-HH16-03
8F-HH16-06
8F-HH16-05
8F-HH16-02
8F-HH16-01</t>
  </si>
  <si>
    <t>搬迁至佛山新机房退租：8F-HH16-04
8F-HH16-03
8F-HH16-06
8F-HH16-05
8F-HH16-02
8F-HH16-01</t>
  </si>
  <si>
    <t>SSLFSCT</t>
  </si>
  <si>
    <t>SSLFSCT2F-HH08-09,SSLFSCT2F-HH08-10,SSLFSCT2F-HH08-11,SSLFSCT2F-HH08-12,SSLFSCT2F-HH08-13</t>
  </si>
  <si>
    <t>20221130退租。</t>
  </si>
  <si>
    <t>FS9F</t>
  </si>
  <si>
    <t>佛山搬迁后IP还是原来的，116.31.126.0/24,116.31.127.0/24,183.60.235.0/24</t>
  </si>
  <si>
    <t>江门IDC中心</t>
  </si>
  <si>
    <t>CBUCDNJMCT</t>
  </si>
  <si>
    <t>20190724新增1个JM3CT2F-05-08</t>
  </si>
  <si>
    <t>20190723关闭6个，o JMCT2F-03-06、JMCT2F-04-02、JMCT2F-04-03、JMCT2F-04-04、JMCT2F-04-05、JMCT2F-04-06共计6个机柜于7月23</t>
  </si>
  <si>
    <t xml:space="preserve">边缘计算在用的是JMCT2F-03-02到JMCT2F-03-05.sys已核对截至2019年10月31日江门存量在用21个JM3CT2F-05-01
JM3CT2F-05-02
JM3CT2F-05-03
JM3CT2F-05-04
JM3CT2F-05-05
JM3CT2F-05-06
JM3CT2F-05-07
JMCT2F-02-01
JMCT2F-02-02
JMCT2F-02-03
JMCT2F-02-04
JMCT2F-02-05
JMCT2F-02-06
JMCT2F-02-07
JMCT2F-02-08
JMCT2F-03-02
JMCT2F-03-03
JMCT2F-03-04
JMCT2F-03-05
JMCT2F-03-01
JMCT2F-03-08
</t>
  </si>
  <si>
    <t>20191130退租10个JMCT2F-02-01、JMCT2F-02-02、JMCT2F-02-03、JMCT2F-02-04、JMCT2F-02-05、JMCT2F-02-06、JMCT2F-02-07、JMCT2F-02-08、JMCT2F-03-01、JMCT2F-03-08</t>
  </si>
  <si>
    <t>需要注意周睿新发邮件JM3CT2F-05-08、JM3CT2F-05-07、JM3CT2F-05-06，20200410退租3个</t>
  </si>
  <si>
    <t>20210331退租3个，JM3CT2F-05-03、JM3CT2F-05-02、JM3CT2F-05-01</t>
  </si>
  <si>
    <t>江门3电信</t>
  </si>
  <si>
    <t xml:space="preserve">边缘计算，BECJM3CT2F-05-01，
BECJM3CT2F-05-02
</t>
  </si>
  <si>
    <t>边缘计算，BECJM3CT2F-03-01</t>
  </si>
  <si>
    <t>CDN使用113.96.179.0/27. 113.96.178.0/24</t>
  </si>
  <si>
    <t>边缘计算，113.96.158.0/24
113.96.159.0/25</t>
  </si>
  <si>
    <t>边缘计算新增256个，121.32.233.0/24</t>
  </si>
  <si>
    <t>运营商按照20220119开始计费，边缘计算113.96.178.128/25</t>
  </si>
  <si>
    <t>GZNS-电信CDN</t>
  </si>
  <si>
    <t>GZNS</t>
  </si>
  <si>
    <t xml:space="preserve">20211105开始计费，14.29.93.0/24 ，
14.29.94.0/24 </t>
  </si>
  <si>
    <t>20211105开始计费，分配14.29.98.0/24 ,
14.152.74.0/24（实际使用14.29.98.0/24,14.152.74.0/27)</t>
  </si>
  <si>
    <t>20220506交付， 14.119.104.0/24</t>
  </si>
  <si>
    <t>20230101交付，183.2.169.0/24
183.2.171.0/24
183.2.172.0/24
183.2.174.0/24</t>
  </si>
  <si>
    <t>CDN转给IDC。14.29.98.0/24 14.152.74.0/27</t>
  </si>
  <si>
    <t>14.29.98.0/24 14.152.74.0/27</t>
  </si>
  <si>
    <t>L20221209002</t>
  </si>
  <si>
    <t>广州电信南沙云谷机房</t>
  </si>
  <si>
    <t>历史累计</t>
  </si>
  <si>
    <t>截至201908月2204，20190909关闭20个。整月(每开通七个机架赠送一个，在金额中折算)，26个机架技术核对完毕，确实存在历史开通更新为2178+26</t>
  </si>
  <si>
    <t>系统部201910给出数据为2250个在用</t>
  </si>
  <si>
    <t>GZ-NSYG-D-201-08-10~11</t>
  </si>
  <si>
    <t>202105将2个62.5A从原来20190121的20A10个里面拆2个 
GZNSD301-G-02， 
GZNSD301-H-03</t>
  </si>
  <si>
    <t>GZNSD201-P-01，
GZNSD201-P-02
开通时间：20190424，线上资源已补</t>
  </si>
  <si>
    <t>GZNSD401-G-06</t>
  </si>
  <si>
    <t>6月21日新增8个机架，
GZNSC401-R-01
GZNSC401-R-02
GZNSC401-R-03
GZNSC401-R-04
GZNSC401-R-06
GZNSC401-Q-10
GZNSC401-Q-11
GZNSC401-Q-12</t>
  </si>
  <si>
    <t>20190704新增10个GZNSD302-Q-13
GZNSD301-R-15
GZNSD301-R-14
GZNSD301-R-13
GZNSD301-R-12
GZNSD301-R-11
GZNSD301-R-10
GZNSD301-R-09
GZNSD301-R-08
GZNSD301-R-07</t>
  </si>
  <si>
    <t>20190725新增8个GZNSC402-S-11
GZNSC402-S-10
GZNSC402-S-09
GZNSC402-S-08
GZNSC402-S-07
GZNSC402-S-06
GZNSC402-S-04
GZNSC401-R-07</t>
  </si>
  <si>
    <t xml:space="preserve">20190909关闭20个GZNSD201-D-07
GZNSD201-D-08
GZNSD201-E-10
GZNSD201-E-11
GZNSD201-I-01
GZNSD201-I-02
GZNSD201-J-11
GZNSD201-J-12
GZNSD201-K-09
GZNSD201-K-10
GZNSD201-K-13
GZNSD201-K-14
GZNSD201-L-01
GZNSD201-L-02
GZNSD201-L-03
GZNSD201-L-04
GZNSD201-L-05
GZNSD201-L-06
GZNSD201-L-07
GZNSD201-L-08
</t>
  </si>
  <si>
    <t>历史多计提1个，已支付的2019年7-8月费用在10月扣除。从2019年10月开始南沙云谷机架为2250个</t>
  </si>
  <si>
    <t>20200613新增2个，GZNSD201-L-01，GZNSD201-L-02</t>
  </si>
  <si>
    <t>GZNSC401-K-11
GZNSC401-K-12
GZNSC401-N-15</t>
  </si>
  <si>
    <t>GZNSB201-F-15</t>
  </si>
  <si>
    <t>GZNSC401-K-11、GZNSC401-K-12</t>
  </si>
  <si>
    <t>GZNSD301-H-06
GZNSD301-H-10
GZNSD301-H-12
GZNSD301-H-07
GZNSD301-H-09
GZNSD301-H-11
GZNSD301-H-13
GZNSD301-H-14</t>
  </si>
  <si>
    <t>GZNS-云托管</t>
  </si>
  <si>
    <t>云托管，GZNSC401-N-15</t>
  </si>
  <si>
    <t>跟商务沟通先按照原合同条款内的价格计提，改造机柜GZNSD201-H-05</t>
  </si>
  <si>
    <t>GZNSD201-L-07
GZNSD201-L-08</t>
  </si>
  <si>
    <t>GZNSD201-L-05
GZNSD201-L-06</t>
  </si>
  <si>
    <t>2019年11月7日机柜改造20A更改成40.9A，GZNSB201-H-03 GZNSB201-G-03</t>
  </si>
  <si>
    <t>GZNSD201-H-07</t>
  </si>
  <si>
    <t>20220310由20A改造为81.8A GZNSD201-H-07</t>
  </si>
  <si>
    <t xml:space="preserve">202009盘点出有18个ODF机柜，与越华沟通暂按照0单价计提ODF机柜（GZNSB201-G-06
GZNSB201-G-07
GZNSB201-G-08
GZNSB201-H-06
GZNSB201-H-07
GZNSB201-H-08
GZNSD201-G-03
GZNSD201-G-04
GZNSD201-H-04
GZNSD401-G-03
GZNSD401-G-04
GZNSD401-H-04
GZNSC401-G-03
GZNSC401-G-04
GZNSC401-H-04）
非ODF
GZNSD301-H-03
GZNSD301-G-02
GZNSD301-H-07
GZNSD301-H-09
GZNSD301-H-04
GZNSD301-G-03
GZNSD301-G-04
</t>
  </si>
  <si>
    <t>超电流费用</t>
  </si>
  <si>
    <t>机柜用电超过上述标准，用电量每增加1A，则另收180元/月的使用费用</t>
  </si>
  <si>
    <t xml:space="preserve">乙方同意甲方留有300个机柜作为预留资源备用，合同期内不收取机柜闲置费用。
</t>
  </si>
  <si>
    <t>L20230103003</t>
  </si>
  <si>
    <t>IP代播费用</t>
  </si>
  <si>
    <t>广州电信</t>
  </si>
  <si>
    <t>ip代播费用,BD反馈开始计费日期更新为2020年4月1日，512*10。106.13.250.0/23</t>
  </si>
  <si>
    <t>L20200917001</t>
  </si>
  <si>
    <t xml:space="preserve">IP代播费用，512*10，106.13.254.0/23 </t>
  </si>
  <si>
    <t>中国电信股份有限公司广州分公司</t>
  </si>
  <si>
    <t>L20230223038</t>
  </si>
  <si>
    <t>广州—深圳</t>
  </si>
  <si>
    <t>6M</t>
  </si>
  <si>
    <t>202209开始降价，广州—深圳，ETN0135NP</t>
  </si>
  <si>
    <t>广州—东莞</t>
  </si>
  <si>
    <t>202209开始降价，广州—东莞，ETN0366NP</t>
  </si>
  <si>
    <t>贵州</t>
  </si>
  <si>
    <t>中国电信股份有限公司贵州分公司</t>
  </si>
  <si>
    <t>贵州电信</t>
  </si>
  <si>
    <t>182215IDC00271</t>
  </si>
  <si>
    <t>安顺电信5</t>
  </si>
  <si>
    <t>安顺5电信</t>
  </si>
  <si>
    <t>CDNASCT</t>
  </si>
  <si>
    <t>合同内免费1280个，使用288个。203.56.69.0/24 203.55.117.128/27。</t>
  </si>
  <si>
    <t>边缘计算新增128个，113.125.220.128/25</t>
  </si>
  <si>
    <t>边缘计算新增128个，203.193.255.0/25</t>
  </si>
  <si>
    <t>20220719退租203.56.69.128/25</t>
  </si>
  <si>
    <t>边缘计算退租，113.125.220.128/25
203.193.255.0/25</t>
  </si>
  <si>
    <t xml:space="preserve">ASCT2F-E-05
ASCT2F-E-04
ASCT2F-E-03
ASCT2F-E-02
ASCT2F-E-01
</t>
  </si>
  <si>
    <t>边缘计算，BECASCT201-E-06
BECASCT201-E-07</t>
  </si>
  <si>
    <t>20220719ASCT2F-E-05,ASCT2F-E-04,ASCT2F-E-02,ASCT2F-E-01</t>
  </si>
  <si>
    <t>退租	
BECASCT201-E-06 	
BECASCT201-E-07</t>
  </si>
  <si>
    <t>中国电信股份有限公司四川分公司</t>
  </si>
  <si>
    <t>四川电信</t>
  </si>
  <si>
    <t>L20230223026</t>
  </si>
  <si>
    <t>成都1</t>
  </si>
  <si>
    <t>成都电信</t>
  </si>
  <si>
    <t>需要注意2019年11月30日退租512个，每个端口赠送32个</t>
  </si>
  <si>
    <t>成都2+6</t>
  </si>
  <si>
    <t>成都6电信</t>
  </si>
  <si>
    <t>每个端口赠送32个，SYS更新使用数据成都2电信288个+成都6电信544个</t>
  </si>
  <si>
    <t>成都2电信</t>
  </si>
  <si>
    <t>成都5</t>
  </si>
  <si>
    <t>成都5电信</t>
  </si>
  <si>
    <t>每个端口赠送32个，SYS使用成都5电信544个</t>
  </si>
  <si>
    <t>云自采-资阳电信</t>
  </si>
  <si>
    <t>需要注意2019年11月30日退租288个（实际使用个数），每个端口赠送32个</t>
  </si>
  <si>
    <t>云自采-泸州电信</t>
  </si>
  <si>
    <t>需要注意2019年11月30日退租256个，每个端口赠送32个</t>
  </si>
  <si>
    <t>德阳2电信</t>
  </si>
  <si>
    <t>CDNDYCT</t>
  </si>
  <si>
    <t>20190927开始计费，每个端口赠送32个，使用544免费(125.64.104.0/24 125.64.105.0/24 182.132.32.32/27)</t>
  </si>
  <si>
    <t>CDNCDCT</t>
  </si>
  <si>
    <t>边缘计算新增128个，182.140.237.128/25</t>
  </si>
  <si>
    <t>边缘计算新增256个， 118.112.234.0/24</t>
  </si>
  <si>
    <t>边缘计算新增128个 ，61.188.178.0/25</t>
  </si>
  <si>
    <t>边缘计算新增128个，182.140.224.0/25</t>
  </si>
  <si>
    <t>L20220406001</t>
  </si>
  <si>
    <t>成都2</t>
  </si>
  <si>
    <t>CDNCDCT2</t>
  </si>
  <si>
    <t>边缘计算新增128个，182.150.10.128/25</t>
  </si>
  <si>
    <t>20220731CDN退租，110.185.186.128/25</t>
  </si>
  <si>
    <t>20220731CDN退租，182.150.4.0/24</t>
  </si>
  <si>
    <t>成都6</t>
  </si>
  <si>
    <t>20220731CDN退租，118.112.226.0/24</t>
  </si>
  <si>
    <t>L20220919004</t>
  </si>
  <si>
    <t>20220825新增边缘计算，110.185.186.128/25</t>
  </si>
  <si>
    <t>::/56，SYS反馈在用</t>
  </si>
  <si>
    <t>::/64，SYS反馈在用</t>
  </si>
  <si>
    <t>德阳2</t>
  </si>
  <si>
    <t>CDNCD</t>
  </si>
  <si>
    <t>需要注意2019年11月30日退租，sys已核对14个（CDNCD-CD5F-B-07
CDNCD-CD5F-B-08
CDNCD-CD5F-D-01
CDNCD-CD5F-D-02
CDNCD-CD5F-D-06
CDNCD-CD5F-D-08
CDNCD-CD5F-D-09
CDNCD-CD5F-E-01
CDNCD-CD5F-E-02
CDNCD-CD5F-E-03
CDNCD-CD5F-E-04
CDNCD-CD5F-E-05
CDNCD-CD5F-E-08
CDNCD-CD5F-E-09
）</t>
  </si>
  <si>
    <t>成都3</t>
  </si>
  <si>
    <t>成都3节点对应的机架，3楼305机房A08机柜 
CD2CT3F-A-08</t>
  </si>
  <si>
    <t>成都3节点对应的机架</t>
  </si>
  <si>
    <t>20190719关闭4个3层-305房间-B列-【01、02、03、04</t>
  </si>
  <si>
    <t>20190719新开3楼305机房A09机柜 
CD2CT3F-A-09</t>
  </si>
  <si>
    <t xml:space="preserve">新合同20190401开始收费。成都2节点对应的机架CDNCDCT2-CD2CT3F-A-01
CDNCDCT2-CD2CT3F-A-02
CDNCDCT2-CD2CT3F-A-03
CDNCDCT2-CD2CT3F-A-04
CDNCDCT2-CD2CT3F-A-05
CDNCDCT2-CD2CT3F-A-06
CDNCDCT2-CD2CT3F-A-07
</t>
  </si>
  <si>
    <t xml:space="preserve">成都5节点对应的机架CDNCDCT-CDCT4FHLWN1-F-14
CDNCDCT-CDCT4FHLWN1-F-15
CDNCDCT-CDCT4FHLWN1-F-16
CDNCDCT-CDCT4FHLWN1-F-17
CDNCDCT-CDCT4FHLWN1-F-18
CDNCDCT-CDCT4FHLWN1-F-19
CDNCDCT-CDCT4FHLWN1-F-20
CDNCDCT-CDCT4FHLWN1-F-21
CDNCDCT-CDCT4FHLWN1-F-22
</t>
  </si>
  <si>
    <t xml:space="preserve">成都6节点对应的机架CDNCDCT2-CDCT1F-J-09 
CDNCDCT2-CDCT1F-J-10 
CDNCDCT2-CDCT1F-J-11 
CDNCDCT2-CDCT1F-Q-01 
CDNCDCT2-CDCT1F-Q-02 
CDNCDCT2-CDCT1F-Q-03 
CDNCDCT2-CDCT1F-Q-04 
CDNCDCT2-CDCT1F-Q-05 
CDNCDCT2-CDCT1F-Q-06 
</t>
  </si>
  <si>
    <t>资阳</t>
  </si>
  <si>
    <t>CBUCDNZYCT</t>
  </si>
  <si>
    <t xml:space="preserve">需要注意2019年11月30日退租，ZYCT5F-C-03
ZYCT5F-C-02
ZYCT5F-C-01
ZYCT5F-C-08
ZYCT5F-C-07
ZYCT5F-C-06
ZYCT5F-C-05
ZYCT5F-C-04
</t>
  </si>
  <si>
    <t>泸州</t>
  </si>
  <si>
    <t>CBUCDNLUZCT</t>
  </si>
  <si>
    <t>需要注意2019年11月30日退租，LUZCT7F-A-02
LUZCT7F-A-01</t>
  </si>
  <si>
    <t>20190927开始计费，DY2CT13F-A-02，DY2CT13F-A-03，DY2CT13F-A-04，DY2CT13F-A-05，DY2CT13F-A-06，DY2CT13F-A-07，DY2CT13F-A-08，DY2CT13F-A-09</t>
  </si>
  <si>
    <t xml:space="preserve">边缘计算，BECCDCT4FHLWN1-E-06
BECCDCT4FHLWN1-E-07
BECCDCT4FHLWN1-E-08
BECCDCT4FHLWN1-E-09
BECCDCT4FHLWN1-E-10
</t>
  </si>
  <si>
    <t>边缘计算，需要注意202106多计提冲销。BECCD5CT4FGYZLS-D-01
BECCD5CT4FGYZLS-D-02
BECCD5CT4FGYZLS-D-03
BECCD5CT4FGYZLS-D-04
BECCD5CT4FGYZLS-D-05
BECCD5CT4FGYZLS-D-06</t>
  </si>
  <si>
    <t>边缘计算，需要注意202106多计提冲销。BECCD5CT4FGYZLS-D-07
BECCD5CT4FGYZLS-D-17
BECCD5CT4FGYZLS-D-18
BECCD5CT4FGYZLS-D-19
BECCD5CT4FGYZLS-D-20
BECCD5CT4FGYZLS-D-21
BECCDCT4FHLWN1-E-01
BECCDCT4FHLWN1-E-02
BECCDCT4FHLWN1-E-03
BECCDCT4FHLWN1-E-04
BECCDCT4FHLWN1-E-05</t>
  </si>
  <si>
    <t xml:space="preserve">边缘计算，BECCD5CT4FGYZLS-D-14
</t>
  </si>
  <si>
    <t>边缘计算，BECCD5CT4FGYZLS-D-11</t>
  </si>
  <si>
    <t>20211227退租，CD2CT3F-A-07、CD2CT3F-A-08、CD2CT3F-A-09</t>
  </si>
  <si>
    <t>20220401开始计费，CD2CT3F-A-07</t>
  </si>
  <si>
    <t>边缘计算，20220513开始计费，BECCD2CT3F305-B-01
BECCD2CT3F305-B-02
BECCD2CT3F305-B-03
BECCD2CT3F305-B-04
BECCD2CT3F305-B-05
BECCD2CT3F305-B-06</t>
  </si>
  <si>
    <t>20220731退租，CD2CT3F-A-01
CD2CT3F-A-03
CD2CT3F-A-06
CD2CT3F-A-07</t>
  </si>
  <si>
    <t>20220731退租， CDCT4FHLWN1-F-22,CDCT4FHLWN1-F-21,CDCT4FHLWN1-F-20,CDCT4FHLWN1-F-15,CDCT4FHLWN1-F-14</t>
  </si>
  <si>
    <t>20220731退租，CDCT1F-Q-05,CDCT1F-Q-04,CDCT1F-Q-02,CDCT1F-J-10,CDCT1F-J-09</t>
  </si>
  <si>
    <t>边缘计算，BECCD2CT3F305-B-07
BECCD2CT3F305-B-08</t>
  </si>
  <si>
    <t>成都8电信</t>
  </si>
  <si>
    <t>CDNCDCT3</t>
  </si>
  <si>
    <t>20221225开始计费。182.138.254.0/26
182.138.254.64/28</t>
  </si>
  <si>
    <t>182.138.254.0/25</t>
  </si>
  <si>
    <t>20221225开始计费。BECCD8CT-A-22
BECCD8CT-A-23
BECCD8CT-A-24</t>
  </si>
  <si>
    <t>BECCD8CT-A-23</t>
  </si>
  <si>
    <t>L20230420002</t>
  </si>
  <si>
    <t>大邑珉田数据中心518-A24机柜至601-E01/F01机柜</t>
  </si>
  <si>
    <t>BEC使用跳纤，大邑珉田数据中心518-A24机柜至601-E01/F01机柜</t>
  </si>
  <si>
    <t>L20230417001</t>
  </si>
  <si>
    <t>成都三级电信</t>
  </si>
  <si>
    <t>CDNCDIX</t>
  </si>
  <si>
    <t>20230406开始计费，182.138.255.0/24</t>
  </si>
  <si>
    <t>20230406开始计费，CDNCDIX:5F:518-A-CDN14,CDNCDIX:5F:518-A-CDN15,CDNCDIX:5F:518-A-CDN16,CDNCDIX:5F:518-A-CDN17,CDNCDIX:5F:518-A-CDN18,CDNCDIX:5F:518-A-CDN19,CDNCDIX:5F:518-A-CDN20,CDNCDIX:5F:518-A-CDN21</t>
  </si>
  <si>
    <t>中国电信股份有限公司重庆分公司</t>
  </si>
  <si>
    <t>重庆电信</t>
  </si>
  <si>
    <t>182215IDC00512</t>
  </si>
  <si>
    <t>CDNCQCT</t>
  </si>
  <si>
    <t xml:space="preserve">使用768个119.84.1.0/24、119.84.92.0/24、119.84.93.0/24 </t>
  </si>
  <si>
    <t>重庆3电信</t>
  </si>
  <si>
    <t>CDNCQCT2</t>
  </si>
  <si>
    <t>重庆电信2</t>
  </si>
  <si>
    <t>使用256个</t>
  </si>
  <si>
    <t>重庆2电信</t>
  </si>
  <si>
    <t>退租256个</t>
  </si>
  <si>
    <t>边缘计算128个（119.84.244.0/25）</t>
  </si>
  <si>
    <t>边缘计算128个（113.250.48.0/25）</t>
  </si>
  <si>
    <t>20220731退租219.153.113.0/24 119.84.70.64/27</t>
  </si>
  <si>
    <t>退租边缘计算。119.84.244.0/25
113.250.48.0/25</t>
  </si>
  <si>
    <t>退租119.84.1.0/24</t>
  </si>
  <si>
    <t>FSG重庆小贷项目</t>
  </si>
  <si>
    <t>SSL用2个、FSG用1个，BD已提供开通涵</t>
  </si>
  <si>
    <t xml:space="preserve">20201221开始计费，CQCT5F-J19-04 </t>
  </si>
  <si>
    <t>原运营商名称为中国电信股份有限公司重庆分公司</t>
  </si>
  <si>
    <t>重庆4电信</t>
  </si>
  <si>
    <t>20191231退4个，CQ4CT4FC414-J02-01、CQ4CT4FC414-J02-02、CQ4CT4FC414-J02-03、CQ4CT4FC414-J02-04</t>
  </si>
  <si>
    <t>重2庆电信</t>
  </si>
  <si>
    <t>重庆电信退租机柜时间2020年9月17日，计费按照半月。CQCT24F-J13-21</t>
  </si>
  <si>
    <t>边缘计算，BECCQCT4F-J01-21
BECCQCT4F-J01-22</t>
  </si>
  <si>
    <t>CQ3CT4F-J13-20,CQ3CT4F-J13-19,CQ3CT4F-J09-14,CQ3CT4F-J09-11,CQ3CT4F-J09-10</t>
  </si>
  <si>
    <t>CQ3CT4F-J09-12,CQ3CT4F-J09-13</t>
  </si>
  <si>
    <t>BECCQCT4F-J01-21
BECCQCT4F-J01-22</t>
  </si>
  <si>
    <t>机架-云托管-机架</t>
  </si>
  <si>
    <t>CDNCQCT-云托管</t>
  </si>
  <si>
    <t>云托管，云度小满，CDNCQCT5F-J18-09、CDNCQCT5F-J18-10</t>
  </si>
  <si>
    <t xml:space="preserve">云托管，云度小满，CDNCQCT5F-J18-08 </t>
  </si>
  <si>
    <t xml:space="preserve">云托管，云度小满，CDNCQCT5F-J18-09、CDNCQCT5F-J18-10 CDNCQCT5F-J18-08 </t>
  </si>
  <si>
    <t>云托管，云度小满，CQCT7F-J05-01
CQCT7F-J05-02
CQCT7F-J05-03</t>
  </si>
  <si>
    <t>L20230410001</t>
  </si>
  <si>
    <t>重庆5电信</t>
  </si>
  <si>
    <t>CDNCQCT5</t>
  </si>
  <si>
    <t>使用128个，219.152.185.0/25</t>
  </si>
  <si>
    <t>CDNCQCT5:4F:C404-J01-CDN23</t>
  </si>
  <si>
    <t>中国联合网络通信有限公司株洲市分公司</t>
  </si>
  <si>
    <t>株洲联通</t>
  </si>
  <si>
    <t>L20221025026</t>
  </si>
  <si>
    <t>株洲联通2</t>
  </si>
  <si>
    <t>CDNZHUZUN</t>
  </si>
  <si>
    <t>需要注意周睿反馈20200131退租512个。使用512个</t>
  </si>
  <si>
    <t>边缘计算开通384个。20210225开始计费，58.20.206.0/24，58.20.207.0/25</t>
  </si>
  <si>
    <t>119.39.204.0/27</t>
  </si>
  <si>
    <t>20220501开始计费，边缘计算使用128个，119.39.202.128/25</t>
  </si>
  <si>
    <t>20220811退租CDN，58.20.204.128/25 58.20.205.0/24</t>
  </si>
  <si>
    <t>::/64，SYS反馈在用。赠送2段/64的IPv6。</t>
  </si>
  <si>
    <t>需要注意周睿反馈20200131退租8个。共赠送20个机柜（sys给的机架编码ZHUZUN8F-B-02～ZHUZUN8F-B-09，ZHUZUN8F-F-01～ZHUZUN8F-F-10、ZHUZUN8F-E-01、ZHUZUN8F-E-02）</t>
  </si>
  <si>
    <t>需要注意周睿反馈20200131退租8个。ZHUZUN8F-B-02、ZHUZUN8F-B-03、ZHUZUN8F-B-04、ZHUZUN8F-B-05、ZHUZUN8F-B-06、ZHUZUN8F-B-07、ZHUZUN8F-B-08、ZHUZUN8F-B-09</t>
  </si>
  <si>
    <t xml:space="preserve">边缘计算，BECZHUZUN8F-K-07，BECZHUZUN8F-K-08
BECZHUZUN8F-K-09，20210225开始计费
</t>
  </si>
  <si>
    <t xml:space="preserve">边缘计算，BECZHUZUN8F-K-10，BECZHUZUN8F-K-11
BECZHUZUN8F-K-12
BECZHUZUN8F-K-13，20210225开始计费
</t>
  </si>
  <si>
    <t>边缘计算，BECZHUZUN8F-K-06</t>
  </si>
  <si>
    <t>边缘计算，更新计费时间为20220501，BECZHUZUN8F-K-05</t>
  </si>
  <si>
    <t>边缘计算，20220731退租BECZHUZUN8F-K-05</t>
  </si>
  <si>
    <t>20220811退租CDN，ZHUZUN8F-E-02,ZHUZUN8F-E-01,ZHUZUN8F-F-02,ZHUZUN8F-F-01,ZHUZUN8F-F-09,ZHUZUN8F-F-10,ZHUZUN8F-F-05,ZHUZUN8F-F-04,ZHUZUN8F-F-03</t>
  </si>
  <si>
    <t>中国联合网络通信有限公司成都市分公司</t>
  </si>
  <si>
    <t>成都联通</t>
  </si>
  <si>
    <t>182015IDC00170</t>
  </si>
  <si>
    <t>CDNCDUN</t>
  </si>
  <si>
    <t>需要注意20200331CDN退租288个。免费512个IP，超出按50元/个/月</t>
  </si>
  <si>
    <t>开始计费日期修改为2019年12月1日，2019年11月26日边缘计算新增128个免费101.206.161.128/25；IPV6：2408:8766:0000:1005::/64</t>
  </si>
  <si>
    <t>合同条款IPV6：2408:8766:0000:1005::/64</t>
  </si>
  <si>
    <t>边缘计算新增128个，101.206.212.0/25</t>
  </si>
  <si>
    <t>CDUN2F-201-E13，CDUN2F-201-E12</t>
  </si>
  <si>
    <t>需要注意20200331退租2个，CDUN2F-201-E12、CDUN2F-201-E13</t>
  </si>
  <si>
    <t>边缘计算，BECCDUN2F-201-E10、BECCDUN2F-201-E11，开始计费日期修改为2019年12月1日。20230207修改为BECCDUN2F-210-E10、BECCDUN2F-210-E11</t>
  </si>
  <si>
    <t>边缘计算，BECCDUN2F-210-E09</t>
  </si>
  <si>
    <t>L20230417002</t>
  </si>
  <si>
    <t>成都三级联通</t>
  </si>
  <si>
    <t>20230406开始计费，116.169.142.0/24，116.169.143.0/24</t>
  </si>
  <si>
    <t>20230406开始计费，CDNCDIX:5F:501-J-CDN09,CDNCDIX:5F:501-J-CDN10,CDNCDIX:5F:501-J-CDN11,CDNCDIX:5F:501-J-CDN12</t>
  </si>
  <si>
    <t>中国联合网络通信有限公司重庆市分公司</t>
  </si>
  <si>
    <t>重庆联通</t>
  </si>
  <si>
    <t>L20221025027</t>
  </si>
  <si>
    <t>重庆水土</t>
  </si>
  <si>
    <t>重庆联通SSL</t>
  </si>
  <si>
    <t>SSLCQUN</t>
  </si>
  <si>
    <t>免费128个，超出部分50元/个/月，实际使用768个113.207.100.0/24,113.207.101.0/24,113.207.102.0/24</t>
  </si>
  <si>
    <t>免费128个，超出部分50元/个/月，实际使用768个</t>
  </si>
  <si>
    <t>CDNCQUN</t>
  </si>
  <si>
    <t>2016/8/25
2017/10
2018/9/11</t>
  </si>
  <si>
    <t>2019.10.1-2019.12.31共赠送416，CDN使用288个</t>
  </si>
  <si>
    <t>20220731退租后按照每个端口赠送52.3个+每个机柜赠送8个，目前在用1056个，整体免费342个，收费714个</t>
  </si>
  <si>
    <t>重庆3联通</t>
  </si>
  <si>
    <t>边缘计算新增128个，113.207.39.0/25</t>
  </si>
  <si>
    <t>重庆4联通</t>
  </si>
  <si>
    <t>20210812开始计费，按照合同约定共赠送672个，113.207.40.0/25 113.207.40.128/27</t>
  </si>
  <si>
    <t>边缘新增128个，111.43.177.0/25</t>
  </si>
  <si>
    <t>经与SYS确认此边缘新增128个，111.43.177.0/25未使用</t>
  </si>
  <si>
    <t>20220731退租，113.207.40.0/25 113.207.40.128/27</t>
  </si>
  <si>
    <t>20220731退租，113.207.105.128/25。2022年7月退租后CDN使用160个：113.207.105.0/25，113.207.88.96/27</t>
  </si>
  <si>
    <t>退租113.207.102.0/24</t>
  </si>
  <si>
    <t>重庆联通
重庆联通2</t>
  </si>
  <si>
    <t>重庆3联通+重庆4联通</t>
  </si>
  <si>
    <t>扩容60G节点，机柜2018.10.1日开始计费</t>
  </si>
  <si>
    <t>商务反馈20190930退租2个，CQUN2F-2B-11，  CQUN2F-2B-12</t>
  </si>
  <si>
    <t>边缘计算，BECCQ3UN1F-12-05
BECCQ3UN1F-12-06
BECCQ3UN1F-12-07</t>
  </si>
  <si>
    <t>CQUN1F-12-16,CQUN1F-12-16替换CQ4UN1F-12-16</t>
  </si>
  <si>
    <t>20220731退租，CQ4UN1F-12-16</t>
  </si>
  <si>
    <t>20220731退租，CQUN1F-12-14</t>
  </si>
  <si>
    <t>20210106开始计费，CQUN3F-A10-15</t>
  </si>
  <si>
    <t>CDNCQUN-云托管</t>
  </si>
  <si>
    <t>云托管，云度小满，CQUN2F2A-05-1
CQUN2F2A-05-2
CQUN2F2A-05-3</t>
  </si>
  <si>
    <t>中国联合网络通信有限公司广州市分公司</t>
  </si>
  <si>
    <t>广州联通</t>
  </si>
  <si>
    <t>182115IDC00091</t>
  </si>
  <si>
    <t>化龙机房</t>
  </si>
  <si>
    <t>单价400元/公里/对芯，共三条分别如下：1、化龙至华新园：69.6公里；2、化龙至南沙M3A第一路由：全长67.8公里；3、化龙至南沙M3A第二路由：全长136.7公里.</t>
  </si>
  <si>
    <t>化龙园区光交箱—化龙机房业务机柜</t>
  </si>
  <si>
    <t>化龙机房—广州南沙M3A机房第一路由</t>
  </si>
  <si>
    <t>入局光纤</t>
  </si>
  <si>
    <t>A端：化龙1号楼百度机房203；Z端：化龙机房楼外南北光交箱</t>
  </si>
  <si>
    <t>计费时间从20210329修改为20210323，400元/月/对芯公里，不到一公里按照一公里收取，其中有3对芯长度为1公里，400*3*1，此与广东广播的华龙到南沙，华新园，博浩的光纤对应</t>
  </si>
  <si>
    <t>计费时间从20210329修改为20210323，400元/月/对芯公里，有3对芯长度为2公里，400*3*2，此与广东广播的华龙到南沙，华新园，博浩的光纤对应</t>
  </si>
  <si>
    <t>广州市番禺区龙荣路21号伟鑫产业园化龙1号楼百度机房203-广州市番禺区龙荣路21号伟鑫产业园化龙机房楼外北光交箱（即GJ03）</t>
  </si>
  <si>
    <t>510GXN10973898不到一公里按照一公里收取，纤芯长度0.927公里；广州市番禺区龙荣路21号伟鑫产业园化龙1号楼百度机房203-广州市番禺区龙荣路21号伟鑫产业园化龙机房楼外北光交箱（即GJ03）</t>
  </si>
  <si>
    <t>510GXN11067424不到一公里按照一公里收取，纤芯长度0.926公里；广州市番禺区龙荣路21号伟鑫产业园化龙1号楼百度机房203-广州市番禺区龙荣路21号伟鑫产业园化龙机房楼外北光交箱（即GJ03）</t>
  </si>
  <si>
    <t>510GXN10973855不到一公里按照一公里收取，纤芯长度0.951公里；广州市番禺区龙荣路21号伟鑫产业园化龙1号楼百度机房203-广州市番禺区龙荣路21号伟鑫产业园化龙机房楼外北光交箱（即GJ03）</t>
  </si>
  <si>
    <t>510GXN10973775不到一公里按照一公里收取，纤芯长度0.990公里；广州市番禺区龙荣路21号伟鑫产业园化龙1号楼百度机房203-广州市番禺区龙荣路21号伟鑫产业园化龙机房楼外北光交箱（即GJ03）</t>
  </si>
  <si>
    <t>广州市番禺区龙荣路21号伟鑫产业园化龙1号楼百度机房203-广州市番禺区龙荣路21号伟鑫产业园化龙机房楼外北光交箱（即GJ04）</t>
  </si>
  <si>
    <t>510GXN10973987不到一公里按照一公里收取，纤芯长度 1.645公里；广州市番禺区龙荣路21号伟鑫产业园化龙1号楼百度机房203-广州市番禺区龙荣路21号伟鑫产业园化龙机房楼外北光交箱（即GJ04）</t>
  </si>
  <si>
    <t>510GXN11067458不到一公里按照一公里收取，纤芯长度1.704公里；广州市番禺区龙荣路21号伟鑫产业园化龙1号楼百度机房203-广州市番禺区龙荣路21号伟鑫产业园化龙机房楼外北光交箱（即GJ04）</t>
  </si>
  <si>
    <t>1820202IDC00394</t>
  </si>
  <si>
    <t>GZNJ-M3A</t>
  </si>
  <si>
    <t>银行账户：3602062719200060879；南江二路7号百度华章机房-南江三路8号C、D栋101厂房百度云硕机房OF0063NP（第二路由）；550*24</t>
  </si>
  <si>
    <t>银行账户：3602062719200060879；南江二路7号百度华章机房-南江三路8号C、D栋101厂房百度云硕机房OF0059NP（第二路由):550*42</t>
  </si>
  <si>
    <t>银行账户：3602062719200060879；广州市南沙区南江二路7号百度华章机房-广州市南沙区珠江街南江三路8号C、D栋101厂房百度云硕机房550*64</t>
  </si>
  <si>
    <t>广州南沙机房光纤A-广州市南沙区南江二路7号百度华章机房
B-广州市南沙区珠江街南江三路8号C、D栋101厂房百度云硕机房</t>
  </si>
  <si>
    <t>广州市南沙区南江二路7号南沙基地2楼202房 F03机柜-广州市南沙区珠江街南江三路8号D栋101厂房电信云硕机房GZM3AB101 D03 机柜</t>
  </si>
  <si>
    <t>联通（广东）产业互联网有限公司</t>
  </si>
  <si>
    <t>182115IDC00471</t>
  </si>
  <si>
    <t>BGP IP</t>
  </si>
  <si>
    <t>免费IPv4 1592个C即407552个</t>
  </si>
  <si>
    <t>免费IPv6：1个::/32</t>
  </si>
  <si>
    <t>免费IPv6：1个::/22</t>
  </si>
  <si>
    <t>182115IDC00140</t>
  </si>
  <si>
    <t>广州</t>
  </si>
  <si>
    <t>CDNGZUN</t>
  </si>
  <si>
    <t>使用768个，免费128个157.255.25.0/24,157.255.26.0/24,157.255.24.0/24</t>
  </si>
  <si>
    <t>1408个IP地址（即5C+128个，其中2.5C为SSLIP,3C为静态带宽IP）</t>
  </si>
  <si>
    <t>L20211208001</t>
  </si>
  <si>
    <t>GZHL</t>
  </si>
  <si>
    <t>IDC IP用GZNS   总6C  使用4C，
GZHL   总3C  使用3C</t>
  </si>
  <si>
    <t>广州联通产业互联网</t>
  </si>
  <si>
    <t>GZNJ-联通CDN</t>
  </si>
  <si>
    <t>GZNJ</t>
  </si>
  <si>
    <t>20211108开始计费，157.148.67.0/24 ,157.148.68.0/24</t>
  </si>
  <si>
    <t>20211108开始计费，分配157.148.65.0/24，157.148.66.0/24（实际使用157.148.65.0/24，157.148.66.0/27）</t>
  </si>
  <si>
    <t>20211108开始计费，2408:8756:0c9f:1000::/52</t>
  </si>
  <si>
    <t>L20220119005</t>
  </si>
  <si>
    <t>20220526开始计费，157.148.69.0/24</t>
  </si>
  <si>
    <t>L20230424002</t>
  </si>
  <si>
    <t>IDC，157.148.70.0/24
157.148.71.0/24</t>
  </si>
  <si>
    <t>广州联通4</t>
  </si>
  <si>
    <t>赠送288个IP，SYS反馈使用288个</t>
  </si>
  <si>
    <t>广州3联通</t>
  </si>
  <si>
    <t>边缘计算新增128个IP，163.177.9.0/25</t>
  </si>
  <si>
    <t>边缘计算58.254.180.128/25</t>
  </si>
  <si>
    <t>20220725退租，58.254.150.128/25</t>
  </si>
  <si>
    <t>4个ssl，编码批注GZUN-3F-01 
GZUN-3F-02
GZUN-3F-03
GZUN-3F-04</t>
  </si>
  <si>
    <t>新合同规定单价为5000元/月/架（含10A电，超出电量部分按照290元/A/月额外收取），按实际使用数量计费</t>
  </si>
  <si>
    <t>广州新节点</t>
  </si>
  <si>
    <t xml:space="preserve">GZUN3F-B-14、GZUN3F-B-15、GZUN3F-B-16、GZUN3F-B-17、GZUN3F-B-18、GZUN3F-B-19、GZUN3F-B-20、GZUN3F-B-21、GZUN3F-C-01、BECGZUN3F-H-04、BECGZUN3F-H-05
GZ3UN（5个）：GZUN3F-G-03、GZUN3F-G-04、GZUN3F-G-05、GZUN3F-F-05、GZUN3F-F-06
</t>
  </si>
  <si>
    <t>需要注意20200430退租7个，GZUN3F-B-15、GZUN3F-B-14、GZUN3F-B-16、GZUN3F-B-17、GZUN3F-B-18、GZUN3F-B-19、GZUN3F-B-20</t>
  </si>
  <si>
    <t>20200229CDN退租2个，GZUN3F-B-21、GZUN3F-C-01</t>
  </si>
  <si>
    <t>自2019年1月27日开始计费，GZUN3F-G-03、GZUN3F-G-04、GZUN3F-G-05、GZUN3F-F-05、GZUN3F-F-06（更新为BECGZUN3F-F-06）</t>
  </si>
  <si>
    <t>边缘计算，BECGZUN3F-E-06</t>
  </si>
  <si>
    <t>20220725退租GZUN3F-F-05
GZUN3F-G-03</t>
  </si>
  <si>
    <t>181915IDC00002</t>
  </si>
  <si>
    <t>电量为4.4KW的机柜</t>
  </si>
  <si>
    <t>27.3A</t>
  </si>
  <si>
    <t>电量为6KW的机柜，系统录入27A</t>
  </si>
  <si>
    <t>电量为7.04KW的机柜</t>
  </si>
  <si>
    <t>36.4A</t>
  </si>
  <si>
    <t>电量为8KW的机柜，系统录入36A</t>
  </si>
  <si>
    <t>20191225关闭1个GZHL1203-C-02</t>
  </si>
  <si>
    <t>电量为13.75KW的机柜</t>
  </si>
  <si>
    <t>电量为4.4KW的机柜（编号：GZHL1202-E-34、GZHL1202-D-03、GZHL1202-D-13、GZHL1202-D-08）</t>
  </si>
  <si>
    <t>电量为4.4KW的机柜（编号：GZHL1202-D-34）</t>
  </si>
  <si>
    <t>电量为7.04KW的机柜（编号：GZHL1402-I-20）</t>
  </si>
  <si>
    <t>电量为4.4KW的机柜（编号：GZHL1203-D-01）</t>
  </si>
  <si>
    <t>电量为4.4KW的机柜（编号：GZHL1202-I-03）</t>
  </si>
  <si>
    <t>电量为4.4KW的机柜（编号GZHL1202-I-01、GZHL1202-I-02、GZHL1202-I-33、GZHL1202-C-25、GZHL1202-C-30）</t>
  </si>
  <si>
    <t>经确认为外网核心机柜，合同约定外网核心机柜为27.3A</t>
  </si>
  <si>
    <t xml:space="preserve">GZHL1203-A-04
GZHL1203-B-04
</t>
  </si>
  <si>
    <t>GZHL1203-F-03
GZHL1203-F-04
GZHL1203-F-05
GZHL1203-F-06
GZHL1203-F-07
GZHL1203-F-08</t>
  </si>
  <si>
    <t>GZHL1402-I-10</t>
  </si>
  <si>
    <t>GZHL1203-E-08</t>
  </si>
  <si>
    <t xml:space="preserve">GZHL1402-E-03
GZHL1402-F-03
</t>
  </si>
  <si>
    <t>GZHL1402-E-04 GZHL1402-F-04</t>
  </si>
  <si>
    <t>GZHL1202-D-17
GZHL1202-D-10
GZHL1202-D-15
GZHL1202-D-12
GZHL1202-D-16
GZHL1202-D-09
GZHL1202-D-20
GZHL1202-D-11
GZHL1202-D-18
GZHL1202-D-21
GZHL1202-C-27
GZHL1202-C-15
GZHL1202-D-01
GZHL1202-D-04
GZHL1202-D-05
GZHL1202-D-07
GZHL1202-C-14
GZHL1202-C-28
GZHL1202-C-26
GZHL1202-D-02
GZHL1202-C-20
GZHL1202-C-24
GZHL1202-C-22
GZHL1202-C-18
GZHL1202-C-17
GZHL1202-C-19
GZHL1202-C-23
GZHL1202-C-21
GZHL1202-A-07
GZHL1202-A-09
GZHL1202-A-34
GZHL1202-A-10
GZHL1202-B-12
GZHL1202-B-13
GZHL1202-A-11
GZHL1202-B-33
GZHL1202-B-32
GZHL1202-B-30
GZHL1202-B-11
GZHL1202-A-19
GZHL1202-B-16
GZHL1202-A-17
GZHL1202-A-12
GZHL1202-B-14
GZHL1202-B-09
GZHL1202-B-08
GZHL1202-B-34
GZHL1202-B-15
GZHL1202-B-19
GZHL1202-B-10
GZHL1202-B-17
GZHL1202-A-16
GZHL1202-A-18
GZHL1202-A-14
GZHL1202-B-31
GZHL1202-B-04
GZHL1202-B-01
GZHL1202-B-06
GZHL1202-B-07
GZHL1202-B-03
GZHL1202-B-05
GZHL1202-B-26
GZHL1202-B-20
GZHL1202-C-08
GZHL1202-B-28
GZHL1202-A-29
GZHL1202-A-31
GZHL1202-A-25
GZHL1202-A-23
GZHL1202-A-27
GZHL1202-C-02
GZHL1202-A-33
GZHL1202-A-21
GZHL1202-B-21
GZHL1202-B-27
GZHL1202-C-09
GZHL1202-B-25
GZHL1202-A-28
GZHL1202-A-22
GZHL1202-A-30
GZHL1202-A-20
GZHL1202-C-07
GZHL1202-A-32
GZHL1202-C-01
GZHL1202-A-26</t>
  </si>
  <si>
    <t>超电流：2.1.2机柜费用：按照￥5980元/20A/月（大写[伍仟玖佰捌拾]元/20A/月），￥9568元/32A/月（大写[玖仟伍佰陆拾捌]元/32A/月）收取。机柜采用平均计电，单个机柜实际使用电力最高不超过机柜标准电力的120%，例如20A机柜用电不超过24A，32A机柜用电不超过38.4A。所有开通机柜实际使用的总电力不超过开通机柜标准电力的总和。如果机柜用电（列头柜处测算）超过上述标准，用电量每增加1A，按￥299元/月标准收取超量电费。</t>
  </si>
  <si>
    <t>GZHL1202-D-06
GZHL1202-D-22
GZHL1202-D-24
GZHL1202-D-25
GZHL1202-D-26
GZHL1202-D-27
GZHL1202-D-28
GZHL1202-D-30
GZHL1202-D-32
GZHL1202-D-33
GZHL1202-E-01
GZHL1202-E-02</t>
  </si>
  <si>
    <t xml:space="preserve">机架空置费：4.1甲方承诺在交付、通过甲方验收、布线测试完成且双路外市电同时具备供电能力后开始，首个12个月内，起租20A规格机架位550个。此后12个月内，起租20A规格机架位530个。
4.2甲方承诺合同期内1250个20A机架平均租赁期不少于80个月。如果合同期内每机柜、机柜位平均租赁期未达到80个月，则需双方协商在协议期满时按照20A机柜2600元/个/月标准，收取空置费。合同期内，对于因乙方原因（包括但不限于延期交付、电力、网络中断）等造成的机架无法使用，则需根据甲方实际无法使用的时间对约定最少租赁期进行相应的调整降低。因双方认可的分批交付，导致合同期内某批次机柜单位使用期小于96个月，则该批次最低租赁期同比调整降低。
</t>
  </si>
  <si>
    <t>1820202IDC00005</t>
  </si>
  <si>
    <t>华章机房(201,202,203,301,303房间）</t>
  </si>
  <si>
    <t>GZNJ202-E-12
GZNJ202-E-13
GZNJ202-E-14
GZNJ202-E-15
GZNJ202-E-16
GZNJ202-E-17
GZNJ202-E-18
GZNJ202-E-19
GZNJ202-E-20
GZNJ202-E-21
GZNJ202-E-22
GZNJ202-E-23
GZNJ202-E-24
GZNJ202-F-12
GZNJ202-F-13
GZNJ202-F-14
GZNJ202-F-15
GZNJ202-F-16</t>
  </si>
  <si>
    <t>GZNJ202-E-11
GZNJ202-E-25
GZNJ202-F-11
GZNJ201-A-01
GZNJ201-C-16
GZNJ201-C-17
GZNJ202-A-36
GZNJ203-H-01</t>
  </si>
  <si>
    <t xml:space="preserve">GZNJ202-E-08
GZNJ202-F-08
GZNJ201-C-18
GZNJ201-C-19
GZNJ201-F-18
GZNJ201-F-19
GZNJ202-B-16
GZNJ202-B-17
GZNJ202-B-18
GZNJ202-B-19
</t>
  </si>
  <si>
    <t>9KW，GZNJ202-G-10
GZNJ202-G-11
GZNJ202-H-10
GZNJ202-H-11</t>
  </si>
  <si>
    <t xml:space="preserve">24KW，GZNJ202-E-02
GZNJ202-F-02
GZNJ201-G-24
GZNJ201-H-25
GZNJ202-G-02
GZNJ202-G-04
GZNJ202-G-06
GZNJ202-G-08
GZNJ202-H-02
GZNJ202-H-04
</t>
  </si>
  <si>
    <t>1820202IDC00293</t>
  </si>
  <si>
    <t>24KW，GZNJ202-H-06
GZNJ202-H-08</t>
  </si>
  <si>
    <t xml:space="preserve">GZNJ202-E-01
GZNJ202-E-03
GZNJ202-E-10
GZNJ202-F-01
GZNJ202-F-03
GZNJ202-F-10
GZNJ201-G-25
GZNJ201-H-26
GZNJ202-G-01
GZNJ202-G-03
GZNJ202-G-05
GZNJ202-G-07
GZNJ202-G-09
GZNJ202-H-01
GZNJ202-H-03
GZNJ202-H-05
</t>
  </si>
  <si>
    <t>GZNJ202-H-07、GZNJ202-H-09</t>
  </si>
  <si>
    <t xml:space="preserve">GZNJ202-B-28
GZNJ202-B-29
GZNJ202-B-30
GZNJ202-B-31
GZNJ202-B-32
GZNJ202-B-33
GZNJ202-C-02
GZNJ202-C-03
GZNJ202-C-04
GZNJ202-C-05
GZNJ202-C-06
GZNJ202-C-07
GZNJ202-C-08
GZNJ202-C-09
GZNJ202-C-10
GZNJ202-C-11
GZNJ202-C-12
GZNJ202-C-13
GZNJ202-C-14
GZNJ202-C-15
GZNJ202-C-16
GZNJ202-C-17
GZNJ202-C-18
GZNJ202-C-19
GZNJ202-C-20
GZNJ202-C-21
GZNJ202-C-22
GZNJ202-C-23
GZNJ202-C-24
GZNJ202-C-25
GZNJ202-C-26
GZNJ202-C-27
GZNJ202-C-28
GZNJ202-C-29
GZNJ202-C-30
GZNJ202-C-31
GZNJ202-C-32
GZNJ202-C-33
GZNJ202-C-34
GZNJ202-D-01
GZNJ202-D-02
GZNJ202-D-03
GZNJ202-D-04
GZNJ202-D-05
GZNJ202-D-06
GZNJ202-D-07
GZNJ202-D-08
GZNJ202-D-09
GZNJ202-D-10
GZNJ202-D-11
GZNJ202-D-12
GZNJ202-D-13
GZNJ202-D-14
GZNJ202-D-15
GZNJ202-D-16
GZNJ202-D-17
GZNJ202-D-18
GZNJ202-D-19
GZNJ202-D-20
GZNJ202-D-21
GZNJ202-D-22
GZNJ202-D-23
GZNJ202-D-24
GZNJ202-D-25
GZNJ202-D-26
GZNJ202-D-27
GZNJ202-D-28
GZNJ202-D-29
GZNJ202-D-30
GZNJ202-D-31
GZNJ202-D-32
GZNJ202-D-33
GZNJ202-D-34
GZNJ202-D-35
GZNJ202-D-36
GZNJ202-A-01
GZNJ202-A-02
GZNJ202-A-03
GZNJ202-A-04
GZNJ202-A-05
GZNJ202-A-06
GZNJ202-A-07
GZNJ202-A-08
GZNJ202-A-09
GZNJ202-A-10
GZNJ202-A-11
GZNJ202-A-12
GZNJ202-A-13
GZNJ202-A-14
GZNJ202-A-15
GZNJ202-A-16
GZNJ202-A-17
GZNJ202-A-18
GZNJ202-A-19
GZNJ202-A-20
GZNJ202-A-21
GZNJ202-A-22
GZNJ202-A-23
GZNJ202-A-24
GZNJ202-A-25
GZNJ202-A-26
GZNJ202-A-27
GZNJ202-A-28
GZNJ202-A-29
GZNJ202-A-30
GZNJ202-A-31
GZNJ202-A-32
GZNJ202-A-33
GZNJ202-A-34
GZNJ202-B-02
GZNJ202-B-03
GZNJ202-B-04
GZNJ202-B-05
GZNJ202-B-06
GZNJ202-B-07
GZNJ202-B-08
GZNJ202-B-09
GZNJ202-B-10
GZNJ202-B-11
GZNJ202-B-12
GZNJ202-B-13
GZNJ202-B-14
GZNJ202-B-15
GZNJ202-B-20
GZNJ202-B-21
GZNJ202-B-22
GZNJ202-B-23
GZNJ202-B-24
GZNJ202-B-25
GZNJ202-B-26
GZNJ202-B-27
</t>
  </si>
  <si>
    <t>GZNJ201-A-02</t>
  </si>
  <si>
    <t xml:space="preserve">GZNJ201-A-03
GZNJ201-A-04
GZNJ201-A-05
GZNJ201-A-06
GZNJ201-A-07
GZNJ201-A-08
GZNJ201-A-09
GZNJ201-A-10
GZNJ201-A-11
GZNJ201-A-12
GZNJ201-A-13
GZNJ201-A-14
GZNJ201-A-15
GZNJ201-A-16
GZNJ201-A-17
GZNJ201-A-18
GZNJ201-A-19
GZNJ201-A-20
GZNJ201-A-21
GZNJ201-A-22
GZNJ201-A-23
GZNJ201-A-24
GZNJ201-A-25
GZNJ201-A-26
</t>
  </si>
  <si>
    <t>GZNJ203-C-13
GZNJ203-C-14</t>
  </si>
  <si>
    <t xml:space="preserve">GZNJ203-F-13
GZNJ203-F-14
</t>
  </si>
  <si>
    <t xml:space="preserve">GZNJ201-A-27
GZNJ201-A-28
GZNJ201-A-29
GZNJ201-A-30
GZNJ201-A-31
GZNJ201-A-32
GZNJ201-A-33
GZNJ201-A-34
GZNJ201-A-35
GZNJ201-A-36
GZNJ201-B-01
GZNJ201-B-02
GZNJ201-B-03
GZNJ201-B-04
GZNJ201-B-05
GZNJ201-B-06
GZNJ201-B-07
GZNJ201-B-08
GZNJ201-B-09
GZNJ201-B-10
GZNJ201-B-11
GZNJ201-B-12
GZNJ201-B-13
GZNJ201-B-14
GZNJ201-B-15
GZNJ201-B-16
GZNJ201-B-17
GZNJ201-B-18
GZNJ201-B-19
GZNJ201-B-20
GZNJ201-B-21
GZNJ201-B-22
GZNJ201-B-23
GZNJ201-B-24
GZNJ201-B-25
GZNJ201-B-26
GZNJ201-B-27
GZNJ201-B-28
GZNJ201-B-29
GZNJ201-B-30
GZNJ201-B-31
GZNJ201-B-32
GZNJ201-B-33
GZNJ201-B-34
GZNJ201-C-04
GZNJ201-C-05
GZNJ201-C-06
GZNJ201-C-07
GZNJ201-C-08
GZNJ201-C-09
</t>
  </si>
  <si>
    <t xml:space="preserve">GZNJ201-C-01
GZNJ201-C-02
GZNJ201-C-03
GZNJ201-C-10
GZNJ201-C-11
GZNJ201-C-12
GZNJ201-C-13
GZNJ201-C-14
GZNJ201-C-15
GZNJ201-C-20
GZNJ201-C-21
GZNJ201-C-22
GZNJ201-C-23
GZNJ201-C-24
GZNJ201-C-25
GZNJ201-C-26
GZNJ201-C-27
GZNJ201-C-28
GZNJ201-C-29
GZNJ201-C-30
GZNJ201-C-31
GZNJ201-C-32
GZNJ201-C-33
GZNJ201-C-34
GZNJ201-D-01
GZNJ201-D-02
GZNJ201-D-03
GZNJ201-D-04
GZNJ201-D-05
GZNJ201-D-06
GZNJ201-D-07
GZNJ201-D-08
GZNJ201-D-09
GZNJ201-D-10
GZNJ201-D-11
GZNJ201-D-12
GZNJ201-D-13
GZNJ201-D-14
GZNJ201-D-15
GZNJ201-D-16
GZNJ201-D-17
GZNJ201-D-18
GZNJ201-D-19
GZNJ201-D-20
GZNJ201-D-21
GZNJ201-D-22
GZNJ201-D-23
GZNJ201-D-24
GZNJ201-D-25
GZNJ201-D-26
GZNJ201-D-27
GZNJ201-D-28
GZNJ201-D-29
GZNJ201-D-30
GZNJ201-D-31
GZNJ201-D-32
GZNJ201-D-33
GZNJ201-D-34
GZNJ201-D-35
GZNJ201-D-36
GZNJ202-B-01
GZNJ202-B-34
</t>
  </si>
  <si>
    <t>GZNJ303-H-01</t>
  </si>
  <si>
    <t>GZNJ301-A-01</t>
  </si>
  <si>
    <t xml:space="preserve">GZNJ301-C-18
GZNJ301-C-19
GZNJ301-F-18
GZNJ301-F-19
GZNJ303-C-13
GZNJ303-C-14
</t>
  </si>
  <si>
    <t xml:space="preserve">GZNJ303-F-13
GZNJ303-F-14
</t>
  </si>
  <si>
    <t xml:space="preserve">GZNJ201-G-06
GZNJ201-G-07
GZNJ201-G-08
GZNJ201-G-09
GZNJ201-G-10
GZNJ201-G-11
GZNJ201-G-12
GZNJ201-G-13
GZNJ201-G-14
GZNJ201-G-15
GZNJ201-G-16
GZNJ201-G-17
GZNJ201-H-07
GZNJ201-H-08
GZNJ201-H-09
GZNJ201-H-10
</t>
  </si>
  <si>
    <t xml:space="preserve">GZNJ301-A-03
GZNJ301-A-04
GZNJ301-A-05
GZNJ301-A-06
GZNJ301-A-07
GZNJ301-A-08
GZNJ301-A-09
GZNJ301-A-10
GZNJ301-A-11
GZNJ301-A-12
GZNJ301-A-13
GZNJ301-A-14
GZNJ301-A-15
GZNJ301-A-16
GZNJ301-B-01
GZNJ301-B-02
GZNJ301-B-03
GZNJ301-B-04
GZNJ301-B-05
GZNJ301-B-06
GZNJ301-B-07
GZNJ301-B-08
GZNJ301-B-09
GZNJ301-B-10
GZNJ301-B-11
</t>
  </si>
  <si>
    <t xml:space="preserve">GZNJ301-B-12
GZNJ301-B-13
GZNJ301-B-14
GZNJ301-B-15
</t>
  </si>
  <si>
    <t xml:space="preserve">GZNJ201-H-11
GZNJ201-H-12
GZNJ201-H-13
GZNJ201-H-14
GZNJ201-H-15
GZNJ201-H-16
GZNJ201-H-17
GZNJ201-H-18
GZNJ203-A-01
GZNJ203-A-02
GZNJ203-A-03
GZNJ203-A-04
GZNJ203-A-05
GZNJ203-A-06
GZNJ203-A-07
GZNJ203-A-08
GZNJ203-A-09
GZNJ203-A-10
GZNJ203-B-01
GZNJ203-B-02
GZNJ203-B-03
GZNJ203-B-04
GZNJ203-B-05
GZNJ203-B-06
GZNJ203-B-07
GZNJ203-B-08
GZNJ203-B-09
GZNJ203-B-10
GZNJ203-C-01
GZNJ203-C-02
GZNJ203-C-03
GZNJ203-C-04
GZNJ203-D-01
GZNJ203-D-02
</t>
  </si>
  <si>
    <t>GZNJ201-F-30
GZNJ201-F-31
GZNJ201-F-32
GZNJ201-F-33
GZNJ201-F-34
GZNJ201-G-02
GZNJ201-G-03
GZNJ201-G-04
GZNJ201-G-05</t>
  </si>
  <si>
    <t xml:space="preserve">GZNJ201-E-01
GZNJ201-E-02
GZNJ201-E-03
GZNJ201-E-04
GZNJ201-E-05
GZNJ201-E-06
GZNJ201-E-07
GZNJ201-E-08
GZNJ201-E-09
GZNJ201-E-10
GZNJ201-E-11
GZNJ201-E-12
GZNJ201-E-13
GZNJ201-E-14
GZNJ201-E-15
GZNJ201-E-16
GZNJ201-E-17
GZNJ201-E-18
GZNJ201-E-19
GZNJ201-E-20
GZNJ201-E-21
GZNJ201-E-22
GZNJ201-E-23
GZNJ201-E-24
GZNJ201-E-25
GZNJ201-E-26
GZNJ201-E-27
GZNJ201-E-28
GZNJ201-E-29
GZNJ201-E-30
GZNJ201-E-31
GZNJ201-E-32
GZNJ201-E-33
GZNJ201-E-34
GZNJ201-E-35
GZNJ201-E-36
GZNJ201-F-01
GZNJ201-F-02
GZNJ201-F-03
GZNJ201-F-04
GZNJ201-F-05
GZNJ201-F-06
GZNJ201-F-07
</t>
  </si>
  <si>
    <t>GZNJ201-F-08
GZNJ201-F-09
GZNJ201-F-10
GZNJ201-F-11
GZNJ201-F-12
GZNJ201-F-13
GZNJ201-F-14
GZNJ201-F-15
GZNJ201-F-16
GZNJ201-F-17</t>
  </si>
  <si>
    <t>GZNJ201-G-01</t>
  </si>
  <si>
    <t>GZNJ301-A-17
GZNJ301-A-18
GZNJ301-A-19
GZNJ301-A-20
GZNJ301-A-21
GZNJ301-A-22
GZNJ301-A-23
GZNJ301-A-24
GZNJ301-A-25
GZNJ301-A-26
GZNJ301-A-27
GZNJ301-A-28
GZNJ301-A-29
GZNJ301-A-30
GZNJ301-B-16
GZNJ301-B-17
GZNJ301-B-18
GZNJ301-B-19
GZNJ301-B-20
GZNJ301-B-21
GZNJ301-B-22
GZNJ301-B-23
GZNJ301-B-24
GZNJ301-B-25
GZNJ301-B-26</t>
  </si>
  <si>
    <t>GZNJ201-H-01 GZNJ201-H-02</t>
  </si>
  <si>
    <t>GZNJ201-E-01
GZNJ201-E-02
GZNJ201-E-03
GZNJ201-E-04
GZNJ201-E-05
GZNJ201-E-06
GZNJ201-E-07
GZNJ201-E-08
GZNJ201-E-09
GZNJ201-E-10</t>
  </si>
  <si>
    <t>GZNJ201-F-20
GZNJ201-F-21
GZNJ201-F-22
GZNJ201-F-23
GZNJ201-F-24
GZNJ201-F-25
GZNJ201-F-26
GZNJ201-F-27
GZNJ201-F-28
GZNJ201-F-29</t>
  </si>
  <si>
    <t>GZNJ201-H-03、GZNJ201-H-04</t>
  </si>
  <si>
    <t>GZNJ301-B-27
GZNJ301-B-28
GZNJ301-B-29
GZNJ301-B-30
GZNJ301-B-31
GZNJ301-B-32
GZNJ301-B-33
GZNJ301-B-34</t>
  </si>
  <si>
    <t>GZNJ201-H-05 GZNJ201-H-06</t>
  </si>
  <si>
    <t>GZNJ202-H-11 GZNJ202-G-11</t>
  </si>
  <si>
    <t>GZNJ203-B-11
GZNJ301-F-01
GZNJ301-F-02
GZNJ301-F-03
GZNJ301-F-04
GZNJ301-F-05
GZNJ301-F-06
GZNJ301-F-07
GZNJ301-F-08
GZNJ301-F-09
GZNJ301-F-10
GZNJ301-F-11
GZNJ301-F-12
GZNJ301-F-13
GZNJ301-F-14
GZNJ301-F-15
GZNJ301-F-16
GZNJ301-F-17</t>
  </si>
  <si>
    <t>GZNJ203-A-12
GZNJ301-D-13
GZNJ301-D-14
GZNJ301-D-15
GZNJ301-D-16
GZNJ301-D-17
GZNJ301-D-18
GZNJ301-D-19
GZNJ301-D-20
GZNJ301-D-21
GZNJ301-D-22
GZNJ301-D-23
GZNJ301-D-24
GZNJ301-D-25
GZNJ301-D-26
GZNJ301-D-27
GZNJ301-D-28
GZNJ301-D-29</t>
  </si>
  <si>
    <t>GZNJ301-E-08
GZNJ301-E-09
GZNJ301-E-10
GZNJ301-E-11
GZNJ301-E-12
GZNJ301-E-13
GZNJ301-E-14
GZNJ301-E-15
GZNJ301-E-16
GZNJ301-E-17
GZNJ301-E-18</t>
  </si>
  <si>
    <t>GZNJ202-F-17
GZNJ202-F-18
GZNJ202-F-19
GZNJ202-F-20
GZNJ202-F-21
GZNJ202-F-22
GZNJ202-F-23
GZNJ202-F-24
GZNJ202-F-25</t>
  </si>
  <si>
    <t>GZNJ203-D-07
GZNJ203-D-08
GZNJ203-D-09
GZNJ203-D-10
GZNJ203-D-11
GZNJ203-D-12
GZNJ203-D-13
GZNJ203-D-14
GZNJ203-E-07
GZNJ203-E-08
GZNJ203-E-09
GZNJ203-E-10
GZNJ203-E-11</t>
  </si>
  <si>
    <t>其中  GZNJ202-E-09和GZNJ202-F-09机柜20210928修改电流为30A。GZNJ202-E-09
GZNJ202-F-09
GZNJ202-G-18
GZNJ202-G-19
GZNJ202-G-20
GZNJ202-G-21</t>
  </si>
  <si>
    <t>GZNJ202-G-13</t>
  </si>
  <si>
    <t>GZNJ202-E-09和GZNJ202-F-09机柜20210928修改电流为30A，因此20A电流记为20210927结束</t>
  </si>
  <si>
    <t>GZNJ202-E-09和GZNJ202-F-09机柜20210928修改电流为30A</t>
  </si>
  <si>
    <t>GZNJ203-A-11
GZNJ203-C-05
GZNJ203-C-06
GZNJ203-C-11
GZNJ203-C-12
GZNJ203-D-03
GZNJ203-D-04
GZNJ203-D-05
GZNJ203-D-06</t>
  </si>
  <si>
    <t>GZNJ202-G-11 GZNJ202-H-11</t>
  </si>
  <si>
    <t>GZNJ201-E-01
GZNJ201-E-02
GZNJ201-E-03
GZNJ201-E-04
GZNJ201-E-05
GZNJ201-E-06</t>
  </si>
  <si>
    <t>GZNJ201-E-09 GZNJ201-E-10</t>
  </si>
  <si>
    <t>GZNJ203-E-01
GZNJ203-E-02
GZNJ203-E-03
GZNJ203-E-04
GZNJ203-E-05
GZNJ203-E-06</t>
  </si>
  <si>
    <t xml:space="preserve">GZNJ301-C-16
GZNJ301-C-17
GZNJ301-C-20
GZNJ301-C-21
GZNJ301-C-22
GZNJ301-C-23
GZNJ301-C-24
GZNJ301-C-25
GZNJ301-C-26
GZNJ301-C-27
GZNJ301-C-28
GZNJ301-C-29
GZNJ301-C-30
GZNJ301-C-31
GZNJ301-C-32
GZNJ301-C-33
GZNJ301-C-34
GZNJ301-D-01
GZNJ301-D-02
GZNJ301-D-03
GZNJ301-D-04
GZNJ301-D-05
GZNJ301-D-06
GZNJ301-D-07
GZNJ301-D-08
GZNJ301-D-09
GZNJ301-D-10
GZNJ301-D-11
GZNJ301-D-12
GZNJ301-E-19
GZNJ301-E-20
GZNJ301-E-21
GZNJ301-E-22
GZNJ301-E-23
GZNJ301-E-24
GZNJ301-E-25
GZNJ301-E-26
GZNJ301-E-27
GZNJ301-E-28
GZNJ301-E-29
GZNJ301-E-30
GZNJ301-E-31
GZNJ301-E-32
GZNJ301-E-33
GZNJ301-E-34
GZNJ301-E-35
GZNJ303-E-01
GZNJ303-E-02
GZNJ303-E-03
GZNJ303-E-04
GZNJ303-E-05
GZNJ303-E-06
GZNJ303-E-07
GZNJ303-E-08
GZNJ303-E-09
GZNJ303-E-10
GZNJ303-E-11
</t>
  </si>
  <si>
    <t>GZNJ303-F-01
GZNJ303-F-02
GZNJ303-F-03
GZNJ303-F-04
GZNJ303-F-05
GZNJ303-F-06
GZNJ303-F-07
GZNJ303-F-08
GZNJ303-F-09
GZNJ303-F-10
GZNJ303-F-11
GZNJ303-F-12
GZNJ303-G-01
GZNJ303-G-02
GZNJ303-G-03
GZNJ303-G-04
GZNJ303-G-05
GZNJ303-G-06
GZNJ303-G-07
GZNJ303-G-08
GZNJ303-G-09
GZNJ303-G-10</t>
  </si>
  <si>
    <t>GZNJ203-F-01
GZNJ203-F-02
GZNJ203-F-03
GZNJ203-F-04
GZNJ203-F-05
GZNJ203-F-06
GZNJ203-F-07
GZNJ203-F-08
GZNJ203-F-09
GZNJ203-F-10
GZNJ203-F-11
GZNJ203-F-12
GZNJ203-G-01
GZNJ203-G-02
GZNJ203-G-03
GZNJ203-G-04
GZNJ203-G-05
GZNJ203-G-06
GZNJ203-G-07
GZNJ203-G-08
GZNJ203-G-09
GZNJ203-G-10
GZNJ203-G-11
GZNJ203-G-12
GZNJ203-G-13
GZNJ203-G-14
GZNJ203-H-02
GZNJ203-H-03
GZNJ203-H-04
GZNJ203-H-05
GZNJ203-H-06
GZNJ203-H-07
GZNJ203-H-08
GZNJ203-H-09</t>
  </si>
  <si>
    <t>GZNJ301-F-23
GZNJ301-F-24
GZNJ301-F-25
GZNJ301-F-26
GZNJ301-F-27
GZNJ301-F-28
GZNJ301-F-29
GZNJ301-F-30
GZNJ301-F-31
GZNJ301-F-32
GZNJ301-F-33
GZNJ301-F-34
GZNJ301-G-01
GZNJ301-G-02
GZNJ301-G-03
GZNJ301-G-04
GZNJ301-G-05
GZNJ301-G-06
GZNJ301-G-07
GZNJ301-G-08
GZNJ301-G-13
GZNJ301-G-14
GZNJ301-G-15
GZNJ301-G-16
GZNJ301-G-17
GZNJ301-G-18
GZNJ301-G-19
GZNJ301-G-20
GZNJ301-G-25
GZNJ301-G-26
GZNJ301-G-27
GZNJ301-G-28
GZNJ301-G-29
GZNJ301-G-30
GZNJ301-G-31
GZNJ301-G-32
GZNJ301-G-33
GZNJ301-G-34
GZNJ301-H-01
GZNJ301-H-02
GZNJ301-H-03
GZNJ301-H-04
GZNJ301-H-05
GZNJ301-H-06</t>
  </si>
  <si>
    <t>GZNJ301-C-01
GZNJ301-C-02
GZNJ301-C-03
GZNJ301-C-04
GZNJ301-C-05
GZNJ301-C-06
GZNJ301-C-07
GZNJ301-C-08
GZNJ301-C-09
GZNJ301-C-10
GZNJ301-C-13
GZNJ301-C-14
GZNJ301-C-15
GZNJ301-H-07
GZNJ301-H-08
GZNJ301-H-09
GZNJ301-H-10
GZNJ301-H-11
GZNJ301-H-12
GZNJ301-H-13
GZNJ301-H-14
GZNJ301-H-15
GZNJ301-H-16
GZNJ301-H-17
GZNJ301-H-18
GZNJ301-H-21
GZNJ301-H-22
GZNJ301-H-23
GZNJ301-H-24
GZNJ301-H-25
GZNJ301-H-26
GZNJ301-H-27
GZNJ301-H-28
GZNJ301-H-29
GZNJ301-H-30
GZNJ301-H-31
GZNJ301-H-32
GZNJ301-H-33
GZNJ301-H-34
GZNJ301-H-35
GZNJ301-H-36
GZNJ301-C-01
GZNJ301-C-02
GZNJ301-C-03</t>
  </si>
  <si>
    <t>GZNJ303-A-01
GZNJ303-A-02
GZNJ303-A-03
GZNJ303-A-04
GZNJ303-A-05
GZNJ303-A-06
GZNJ303-A-07
GZNJ303-A-08</t>
  </si>
  <si>
    <t>GZNJ202-G-14
GZNJ202-G-15</t>
  </si>
  <si>
    <t>SYS更新电流为0，MDF柜子，与商务沟通按照ODF价格计提，GZNJ202-A-35</t>
  </si>
  <si>
    <t>SYS更新电流为0，MDF柜子，与商务沟通按照ODF价格计提，GZNJ301-A-02</t>
  </si>
  <si>
    <t>GZNJ201-E-01
GZNJ201-E-02</t>
  </si>
  <si>
    <t>GZNJ301-E-16</t>
  </si>
  <si>
    <t>GZNJ301-E-16
GZNJ303-A-09
GZNJ303-A-10
GZNJ303-A-11
GZNJ303-B-01
GZNJ303-B-02
GZNJ303-B-03
GZNJ303-B-04
GZNJ303-B-05
GZNJ303-B-06
GZNJ303-B-07
GZNJ303-B-08
GZNJ303-C-01
GZNJ303-C-02
GZNJ303-C-03
GZNJ303-C-04
GZNJ303-C-05
GZNJ303-C-06
GZNJ303-C-07
GZNJ303-C-08
GZNJ303-C-09
GZNJ303-C-10
GZNJ303-C-11
GZNJ303-C-12
GZNJ303-D-01
GZNJ303-D-02
GZNJ303-D-03
GZNJ303-D-04
GZNJ303-D-05
GZNJ303-D-06
GZNJ303-D-07
GZNJ303-D-08
GZNJ303-D-09
GZNJ303-D-10
GZNJ303-D-11
GZNJ303-D-12
GZNJ303-D-13
GZNJ303-D-14</t>
  </si>
  <si>
    <t>GZNJ303-B-09
GZNJ303-B-10
GZNJ303-B-11
GZNJ303-B-12</t>
  </si>
  <si>
    <t>GZNJ303-A-03
GZNJ303-A-04
GZNJ303-A-07
GZNJ303-B-09
GZNJ303-B-10</t>
  </si>
  <si>
    <t>182115IDC00418</t>
  </si>
  <si>
    <t>华章机房二期（401，402房间）</t>
  </si>
  <si>
    <t>动环交付2021年7月19号 GZNJ401-A-02
GZNJ401-A-03
GZNJ401-A-05
GZNJ401-A-06
GZNJ401-A-07
GZNJ401-A-09
GZNJ401-A-10
GZNJ401-A-11</t>
  </si>
  <si>
    <t>GZNJ401-A-04
GZNJ401-A-08
GZNJ401-A-12</t>
  </si>
  <si>
    <t xml:space="preserve">GZNJ401-B-23
GZNJ401-B-24
GZNJ401-B-25
GZNJ401-B-26
GZNJ401-B-27
GZNJ401-B-28
GZNJ401-B-29
GZNJ401-B-30
GZNJ401-B-31
GZNJ401-B-32
GZNJ401-B-33
GZNJ401-B-34
</t>
  </si>
  <si>
    <t xml:space="preserve">GZNJ401-A-13
GZNJ401-A-14
GZNJ401-A-15
GZNJ401-A-16
GZNJ401-A-17
GZNJ401-A-18
GZNJ401-A-19
GZNJ401-A-20
GZNJ401-A-21
GZNJ401-A-22
GZNJ401-A-23
GZNJ401-A-24
GZNJ401-A-25
GZNJ401-A-26
GZNJ401-A-27
GZNJ401-A-28
GZNJ401-A-29
GZNJ401-A-30
GZNJ401-A-31
GZNJ401-A-32
GZNJ401-A-33
GZNJ401-A-34
GZNJ401-A-35
GZNJ401-A-36
</t>
  </si>
  <si>
    <t xml:space="preserve">GZNJ401-B-13
GZNJ401-B-14
GZNJ401-B-15
GZNJ401-B-16
GZNJ401-B-17
GZNJ401-B-18
GZNJ401-B-19
GZNJ401-B-20
GZNJ401-B-21
GZNJ401-B-22
</t>
  </si>
  <si>
    <t>GZNJ401-A-01
GZNJ402-A-36</t>
  </si>
  <si>
    <t>经与sys确认此8个机柜为20A，因此2021年9月开始从30A修改为20AGZNJ401-C-18
GZNJ401-C-19
GZNJ401-F-18
GZNJ401-F-19
GZNJ402-C-16
GZNJ402-C-17
GZNJ402-F-16
GZNJ402-F-17</t>
  </si>
  <si>
    <t>GZNJ401-D-19
GZNJ401-E-19
GZNJ402-D-18
GZNJ402-E-18</t>
  </si>
  <si>
    <t>测试电：GZNJ401-B-03
GZNJ401-B-07
GZNJ401-B-10
GZNJ401-C-02
GZNJ401-C-06
GZNJ401-C-10
GZNJ401-C-13
GZNJ401-C-17
GZNJ401-C-21
GZNJ401-C-24
GZNJ401-C-28
GZNJ401-C-32
GZNJ401-D-03
GZNJ401-D-07
GZNJ401-D-11
GZNJ401-D-15
GZNJ401-D-17
GZNJ401-D-21
GZNJ401-D-23
GZNJ401-D-27
GZNJ401-D-31
GZNJ401-D-35
GZNJ401-E-02
GZNJ401-E-06
GZNJ401-E-10
GZNJ401-E-14
GZNJ401-E-18
GZNJ401-E-21
GZNJ401-E-24
GZNJ401-E-26
GZNJ401-E-30
GZNJ401-E-34
GZNJ401-F-02
GZNJ401-F-06
GZNJ401-F-10
GZNJ401-F-12
GZNJ401-F-16
GZNJ401-F-21
GZNJ401-F-25
GZNJ401-F-29
GZNJ401-F-33
GZNJ401-G-02
GZNJ401-G-04
GZNJ401-G-08
GZNJ401-G-12
GZNJ401-G-16
GZNJ401-G-20
GZNJ401-G-24
GZNJ401-G-28
GZNJ401-G-32
GZNJ401-H-03
GZNJ401-H-07
GZNJ401-H-11
GZNJ401-H-15
GZNJ401-H-19
GZNJ401-H-23
GZNJ401-H-27
GZNJ401-H-31
GZNJ401-H-35
GZNJ402-A-02
GZNJ402-A-04
GZNJ402-A-08
GZNJ402-A-12
GZNJ402-A-16
GZNJ402-A-20
GZNJ402-A-24
GZNJ402-A-28
GZNJ402-A-32
GZNJ402-B-03
GZNJ402-B-07
GZNJ402-B-11
GZNJ402-B-15
GZNJ402-B-17
GZNJ402-B-21
GZNJ402-B-25
GZNJ402-B-29
GZNJ402-B-33
GZNJ402-C-02
GZNJ402-C-06
GZNJ402-C-10
GZNJ402-C-14
GZNJ402-C-19
GZNJ402-C-21
GZNJ402-C-25
GZNJ402-C-29
GZNJ402-C-33
GZNJ402-D-03
GZNJ402-D-07
GZNJ402-D-11
GZNJ402-D-13
GZNJ402-D-16
GZNJ402-D-19
GZNJ402-D-23
GZNJ402-D-27
GZNJ402-D-31
GZNJ402-D-35
GZNJ402-E-02
GZNJ402-E-06
GZNJ402-E-10
GZNJ402-E-14
GZNJ402-E-16
GZNJ402-E-20
GZNJ402-E-22
GZNJ402-E-26
GZNJ402-E-30
GZNJ402-E-34
GZNJ402-F-03
GZNJ402-F-07
GZNJ402-F-11
GZNJ402-F-14
GZNJ402-F-18
GZNJ402-F-22
GZNJ402-F-25
GZNJ402-F-29
GZNJ402-F-33
GZNJ402-G-02
GZNJ402-G-04
GZNJ402-G-08
GZNJ402-G-12
GZNJ402-G-16
GZNJ402-G-20
GZNJ402-G-24
GZNJ402-G-28
GZNJ402-G-32
GZNJ402-H-03
GZNJ402-H-07
GZNJ402-H-11
GZNJ402-H-15
GZNJ402-H-19
GZNJ402-H-23
GZNJ402-H-27
GZNJ402-H-31
GZNJ402-H-35</t>
  </si>
  <si>
    <t>20210806内133个测试电中有3个20210901转为正式电，因此测试电按照202108031结束记录，GZNJ401-B-03
GZNJ401-B-07
GZNJ401-B-10</t>
  </si>
  <si>
    <t>其中包含20210806的133个测试电转正式电3个，GZNJ401-B-01
GZNJ401-B-02
GZNJ401-B-03
GZNJ401-B-04
GZNJ401-B-05
GZNJ401-B-06
GZNJ401-B-07
GZNJ401-B-08
GZNJ401-B-09
GZNJ401-B-10
GZNJ401-B-11
GZNJ401-B-12</t>
  </si>
  <si>
    <t>20210806内133个测试电中有9个20210905转为正式电，因此测试电按照202109004结束记录，GZNJ401-C-02
GZNJ401-C-06
GZNJ401-C-10
GZNJ401-C-13
GZNJ401-C-17
GZNJ401-C-21
GZNJ401-C-24
GZNJ401-C-28
GZNJ401-C-32</t>
  </si>
  <si>
    <t>其中包含20210806的133个测试电转正式电9个，GZNJ401-C-01
GZNJ401-C-02
GZNJ401-C-03
GZNJ401-C-04
GZNJ401-C-05
GZNJ401-C-06
GZNJ401-C-07
GZNJ401-C-08
GZNJ401-C-09
GZNJ401-C-10
GZNJ401-C-11
GZNJ401-C-12
GZNJ401-C-13
GZNJ401-C-14
GZNJ401-C-15
GZNJ401-C-16
GZNJ401-C-17
GZNJ401-C-20
GZNJ401-C-21
GZNJ401-C-22
GZNJ401-C-23
GZNJ401-C-24
GZNJ401-C-25
GZNJ401-C-26
GZNJ401-C-27
GZNJ401-C-28
GZNJ401-C-29
GZNJ401-C-30
GZNJ401-C-31
GZNJ401-C-32</t>
  </si>
  <si>
    <t>20210806内133个测试电101个关闭，GZNJ401-F-02
GZNJ401-F-06
GZNJ401-F-10
GZNJ401-F-12
GZNJ401-F-16
GZNJ401-F-21
GZNJ401-F-25
GZNJ401-F-29
GZNJ401-F-33
GZNJ402-A-02
GZNJ402-A-04
GZNJ402-A-08
GZNJ402-A-12
GZNJ402-A-16
GZNJ402-A-20
GZNJ402-A-24
GZNJ402-A-28
GZNJ402-A-32
GZNJ402-B-03
GZNJ402-B-07
GZNJ402-B-11
GZNJ402-B-15
GZNJ402-B-17
GZNJ402-B-21
GZNJ401-G-02
GZNJ401-G-04
GZNJ401-G-08
GZNJ401-G-12
GZNJ401-G-16
GZNJ401-G-20
GZNJ401-G-24
GZNJ401-G-28
GZNJ401-G-32
GZNJ401-H-03
GZNJ401-H-07
GZNJ401-H-11
GZNJ401-H-15
GZNJ401-H-19
GZNJ401-H-23
GZNJ401-H-27
GZNJ401-H-31
GZNJ401-H-35
GZNJ402-B-25
GZNJ402-B-29
GZNJ402-B-33
GZNJ402-C-02
GZNJ402-C-06
GZNJ402-C-10
GZNJ402-C-14
GZNJ402-C-19
GZNJ402-C-21
GZNJ402-C-25
GZNJ402-C-29
GZNJ402-C-33
GZNJ402-D-03
GZNJ402-D-07
GZNJ402-D-11
GZNJ402-D-13
GZNJ402-D-16
GZNJ402-D-19
GZNJ402-D-23
GZNJ402-D-27
GZNJ402-D-31
GZNJ402-D-35
GZNJ402-E-02
GZNJ402-E-06
GZNJ402-E-10
GZNJ402-E-14
GZNJ402-E-16
GZNJ402-E-20
GZNJ402-E-22
GZNJ402-E-26
GZNJ402-E-30
GZNJ402-E-34
GZNJ402-F-03
GZNJ402-F-07
GZNJ402-F-11
GZNJ402-F-14
GZNJ402-F-18
GZNJ402-F-22
GZNJ402-F-25
GZNJ402-F-29
GZNJ402-F-33
GZNJ402-G-02
GZNJ402-G-04
GZNJ402-G-08
GZNJ402-G-12
GZNJ402-G-16
GZNJ402-G-20
GZNJ402-G-24
GZNJ402-G-28
GZNJ402-G-32
GZNJ402-H-03
GZNJ402-H-07
GZNJ402-H-11
GZNJ402-H-15
GZNJ402-H-19
GZNJ402-H-23
GZNJ402-H-27
GZNJ402-H-31
GZNJ402-H-35</t>
  </si>
  <si>
    <t>20210806内133个测试电有20个20210908转为正式电，因此测试电按照202109007结束记录，GZNJ401-D-03
GZNJ401-D-07
GZNJ401-D-11
GZNJ401-D-15
GZNJ401-D-17
GZNJ401-D-21
GZNJ401-D-23
GZNJ401-D-27
GZNJ401-D-31
GZNJ401-D-35
GZNJ401-E-02
GZNJ401-E-06
GZNJ401-E-10
GZNJ401-E-14
GZNJ401-E-18
GZNJ401-E-21
GZNJ401-E-24
GZNJ401-E-26
GZNJ401-E-30
GZNJ401-E-34</t>
  </si>
  <si>
    <t>其中包含20210806的133个测试电转正式电20个，GZNJ401-C-33
GZNJ401-C-34
GZNJ401-D-01
GZNJ401-D-02
GZNJ401-D-03
GZNJ401-D-04
GZNJ401-D-05
GZNJ401-D-06
GZNJ401-D-07
GZNJ401-D-08
GZNJ401-D-09
GZNJ401-D-10
GZNJ401-D-11
GZNJ401-D-12
GZNJ401-D-13
GZNJ401-D-14
GZNJ401-D-15
GZNJ401-D-16
GZNJ401-D-17
GZNJ401-D-18
GZNJ401-D-20
GZNJ401-D-21
GZNJ401-D-22
GZNJ401-D-23
GZNJ401-D-24
GZNJ401-D-25
GZNJ401-D-26
GZNJ401-D-27
GZNJ401-D-28
GZNJ401-D-29
GZNJ401-D-30
GZNJ401-D-31
GZNJ401-D-32
GZNJ401-D-33
GZNJ401-D-34
GZNJ401-D-35
GZNJ401-D-36
GZNJ401-E-01
GZNJ401-E-02
GZNJ401-E-03
GZNJ401-E-04
GZNJ401-E-05
GZNJ401-E-06
GZNJ401-E-07
GZNJ401-E-08
GZNJ401-E-09
GZNJ401-E-10
GZNJ401-E-11
GZNJ401-E-12
GZNJ401-E-13
GZNJ401-E-14
GZNJ401-E-15
GZNJ401-E-16
GZNJ401-E-17
GZNJ401-E-18
GZNJ401-E-20
GZNJ401-E-21
GZNJ401-E-22
GZNJ401-E-23
GZNJ401-E-24
GZNJ401-E-25
GZNJ401-E-26
GZNJ401-E-27
GZNJ401-E-28
GZNJ401-E-29
GZNJ401-E-30
GZNJ401-E-31
GZNJ401-E-32
GZNJ401-E-33
GZNJ401-E-34
GZNJ401-E-35
GZNJ401-E-36</t>
  </si>
  <si>
    <t>其中包含20210806的133个测试电转正式电24个，GZNJ401-F-01
GZNJ401-F-02
GZNJ401-F-03
GZNJ401-F-04
GZNJ401-F-05
GZNJ401-F-06
GZNJ401-F-07
GZNJ401-F-08
GZNJ401-F-09
GZNJ401-F-10
GZNJ401-F-11
GZNJ401-F-12
GZNJ401-F-13
GZNJ401-F-14
GZNJ401-F-15
GZNJ401-F-16
GZNJ401-F-17
GZNJ401-F-20
GZNJ401-F-21
GZNJ401-F-22
GZNJ401-F-23
GZNJ401-F-24
GZNJ401-F-25
GZNJ401-F-26
GZNJ401-F-27
GZNJ401-F-28
GZNJ401-F-29
GZNJ401-F-30
GZNJ401-F-31
GZNJ401-F-32
GZNJ401-F-33
GZNJ401-F-34
GZNJ402-A-01
GZNJ402-A-02
GZNJ402-A-03
GZNJ402-A-04
GZNJ402-A-05
GZNJ402-A-06
GZNJ402-A-07
GZNJ402-A-08
GZNJ402-A-09
GZNJ402-A-10
GZNJ402-A-11
GZNJ402-A-12
GZNJ402-A-13
GZNJ402-A-14
GZNJ402-A-15
GZNJ402-A-16
GZNJ402-A-17
GZNJ402-A-18
GZNJ402-A-19
GZNJ402-A-20
GZNJ402-A-21
GZNJ402-A-22
GZNJ402-A-23
GZNJ402-A-24
GZNJ402-A-25
GZNJ402-A-26
GZNJ402-A-27
GZNJ402-A-28
GZNJ402-A-29
GZNJ402-A-30
GZNJ402-A-31
GZNJ402-A-32
GZNJ402-A-33
GZNJ402-A-34
GZNJ402-B-01
GZNJ402-B-02
GZNJ402-B-03
GZNJ402-B-04
GZNJ402-B-05
GZNJ402-B-06
GZNJ402-B-07
GZNJ402-B-08
GZNJ402-B-09
GZNJ402-B-10
GZNJ402-B-11
GZNJ402-B-12
GZNJ402-B-13
GZNJ402-B-14
GZNJ402-B-15
GZNJ402-B-16
GZNJ402-B-17
GZNJ402-B-18
GZNJ402-B-19
GZNJ402-B-20
GZNJ402-B-21</t>
  </si>
  <si>
    <t>其中包含20210906关闭测试电的27个GZNJ402-E-06
GZNJ402-E-10
GZNJ402-E-14
GZNJ402-E-16
GZNJ402-E-20
GZNJ402-E-22
GZNJ402-E-26
GZNJ402-E-30
GZNJ402-E-34
GZNJ402-F-03
GZNJ402-F-07
GZNJ402-F-11
GZNJ402-F-14
GZNJ402-F-18
GZNJ402-F-22
GZNJ402-E-03
GZNJ402-E-04
GZNJ402-E-05
GZNJ402-E-07
GZNJ402-E-08
GZNJ402-E-09
GZNJ402-E-11
GZNJ402-E-12
GZNJ402-E-13
GZNJ402-E-15
GZNJ402-E-17
GZNJ402-E-19
GZNJ402-E-21
GZNJ402-E-23
GZNJ402-E-24
GZNJ402-E-25
GZNJ402-E-27
GZNJ402-E-28
GZNJ402-E-29
GZNJ402-E-31
GZNJ402-E-32
GZNJ402-E-33
GZNJ402-E-35
GZNJ402-E-36
GZNJ402-F-01
GZNJ402-F-02
GZNJ402-F-04
GZNJ402-F-05
GZNJ402-F-06
GZNJ402-F-08
GZNJ402-F-09
GZNJ402-F-10
GZNJ402-F-12
GZNJ402-F-13
GZNJ402-F-15
GZNJ402-F-19
GZNJ402-F-20
GZNJ402-F-21
GZNJ402-F-23
GZNJ402-F-24
GZNJ402-F-26
GZNJ402-F-27
GZNJ402-F-28
GZNJ402-F-30
GZNJ402-F-31
GZNJ402-F-32
GZNJ402-F-34
GZNJ402-G-01
GZNJ402-G-03
GZNJ402-G-05
GZNJ402-G-06
GZNJ402-G-07
GZNJ402-G-09
GZNJ402-G-10
GZNJ402-G-11
GZNJ402-G-13
GZNJ402-G-14
GZNJ402-G-15
GZNJ402-G-17
GZNJ402-G-18
GZNJ402-G-19
GZNJ402-G-21
GZNJ402-G-22
GZNJ402-G-23
GZNJ402-G-25
GZNJ402-G-26
GZNJ402-G-27
GZNJ402-G-29
GZNJ402-G-30
GZNJ402-G-31
GZNJ402-G-33
GZNJ402-G-34
GZNJ402-F-25
GZNJ402-F-29
GZNJ402-F-33
GZNJ402-G-02
GZNJ402-G-04
GZNJ402-G-08
GZNJ402-G-12
GZNJ402-G-16
GZNJ402-G-20
GZNJ402-G-24
GZNJ402-G-28
GZNJ402-G-32</t>
  </si>
  <si>
    <t>GZNJ402-E-01 GZNJ402-E-02</t>
  </si>
  <si>
    <t>其中包含20210806的133个测试电转正式电22个GZNJ402-B-25
GZNJ402-B-29
GZNJ402-B-33
GZNJ402-C-02
GZNJ402-C-06
GZNJ402-C-10
GZNJ402-C-14
GZNJ402-C-19
GZNJ402-C-21
GZNJ402-C-25
GZNJ402-C-29
GZNJ402-C-33
GZNJ402-D-03
GZNJ402-D-07
GZNJ402-D-11
GZNJ402-D-13
GZNJ402-D-16
GZNJ402-D-19
GZNJ402-D-23
GZNJ402-D-27
GZNJ402-D-31
GZNJ402-D-35
GZNJ402-B-22
GZNJ402-B-23
GZNJ402-B-24
GZNJ402-B-26
GZNJ402-B-27
GZNJ402-B-28
GZNJ402-B-30
GZNJ402-B-31
GZNJ402-B-32
GZNJ402-B-34
GZNJ402-C-01
GZNJ402-C-03
GZNJ402-C-04
GZNJ402-C-05
GZNJ402-C-07
GZNJ402-C-08
GZNJ402-C-09
GZNJ402-C-11
GZNJ402-C-12
GZNJ402-C-13
GZNJ402-C-15
GZNJ402-C-18
GZNJ402-C-20
GZNJ402-C-22
GZNJ402-C-23
GZNJ402-C-24
GZNJ402-C-26
GZNJ402-C-27
GZNJ402-C-28
GZNJ402-C-30
GZNJ402-C-31
GZNJ402-C-32
GZNJ402-C-34
GZNJ402-D-01
GZNJ402-D-02
GZNJ402-D-04
GZNJ402-D-05
GZNJ402-D-06
GZNJ402-D-08
GZNJ402-D-09
GZNJ402-D-10
GZNJ402-D-12
GZNJ402-D-14
GZNJ402-D-15
GZNJ402-D-17
GZNJ402-D-20
GZNJ402-D-21
GZNJ402-D-22
GZNJ402-D-24
GZNJ402-D-25
GZNJ402-D-26
GZNJ402-D-28
GZNJ402-D-29
GZNJ402-D-30
GZNJ402-D-32
GZNJ402-D-33
GZNJ402-D-34</t>
  </si>
  <si>
    <t>GZNJ402-H-01
GZNJ402-H-02
GZNJ402-H-03
GZNJ402-H-04
GZNJ402-H-05
GZNJ402-H-06
GZNJ402-H-07
GZNJ402-H-08
GZNJ402-H-09
GZNJ402-H-10
GZNJ402-H-11
GZNJ402-H-12
GZNJ402-H-13
GZNJ402-H-14
GZNJ402-H-15</t>
  </si>
  <si>
    <t>GZNJ402-H-16
GZNJ402-H-17
GZNJ402-H-18
GZNJ402-H-19
GZNJ402-H-20
GZNJ402-H-21
GZNJ402-H-22
GZNJ402-H-23
GZNJ402-H-24
GZNJ402-H-25
GZNJ402-H-26
GZNJ402-H-27
GZNJ402-H-28
GZNJ402-H-29
GZNJ402-H-30
GZNJ402-H-31
GZNJ402-H-32
GZNJ402-H-33
GZNJ402-H-34
GZNJ402-H-35
GZNJ402-H-36</t>
  </si>
  <si>
    <t>SYS更新电流为0，MDF柜子，与商务沟通按照ODF价格计提，GZNJ402-A-35</t>
  </si>
  <si>
    <t>GZNJ402-D-36</t>
  </si>
  <si>
    <t>182215IDC00074</t>
  </si>
  <si>
    <t>华章机房三期（101、302房间）</t>
  </si>
  <si>
    <t>测试电GZNJ101-A-02
GZNJ101-A-06
GZNJ101-A-10
GZNJ101-A-14
GZNJ101-A-17
GZNJ101-B-03
GZNJ101-B-07
GZNJ101-B-11
GZNJ101-B-15
GZNJ101-B-17
GZNJ101-B-18
GZNJ101-C-02
GZNJ101-C-06
GZNJ101-C-09
GZNJ101-C-12
GZNJ101-C-15
GZNJ101-D-01
GZNJ101-D-04
GZNJ101-D-08
GZNJ101-D-12
GZNJ101-D-16
GZNJ101-E-02
GZNJ101-E-06
GZNJ101-E-10
GZNJ101-E-14
GZNJ101-E-17
GZNJ101-E-18
GZNJ101-F-01
GZNJ101-F-02
GZNJ101-F-05
GZNJ101-F-09
GZNJ101-F-12
GZNJ101-F-15</t>
  </si>
  <si>
    <t>测试电GZNJ302-C-16
GZNJ302-C-17
GZNJ302-F-16
GZNJ302-F-17
GZNJ302-A-02
GZNJ302-A-04
GZNJ302-A-08
GZNJ302-A-12
GZNJ302-A-16
GZNJ302-A-20
GZNJ302-A-24
GZNJ302-A-28
GZNJ302-A-32
GZNJ302-B-03
GZNJ302-B-07
GZNJ302-B-11
GZNJ302-B-15
GZNJ302-B-17
GZNJ302-B-21
GZNJ302-B-25
GZNJ302-B-29
GZNJ302-B-33
GZNJ302-C-02
GZNJ302-C-06
GZNJ302-C-10
GZNJ302-C-14
GZNJ302-C-19
GZNJ302-C-21
GZNJ302-C-25
GZNJ302-C-29
GZNJ302-C-33
GZNJ302-D-03
GZNJ302-D-07
GZNJ302-D-11
GZNJ302-D-13
GZNJ302-D-16
GZNJ302-D-19
GZNJ302-D-23
GZNJ302-D-27
GZNJ302-D-31
GZNJ302-D-35
GZNJ302-E-02
GZNJ302-E-06
GZNJ302-E-10
GZNJ302-E-14
GZNJ302-E-16
GZNJ302-E-20
GZNJ302-E-22
GZNJ302-E-26
GZNJ302-E-30
GZNJ302-E-34
GZNJ302-F-03
GZNJ302-F-07
GZNJ302-F-11
GZNJ302-F-14
GZNJ302-F-18
GZNJ302-F-22
GZNJ302-F-25
GZNJ302-F-29
GZNJ302-F-33
GZNJ302-G-02
GZNJ302-G-04
GZNJ302-G-08
GZNJ302-G-12
GZNJ302-G-16
GZNJ302-G-20
GZNJ302-G-24
GZNJ302-G-28
GZNJ302-G-32
GZNJ302-H-03
GZNJ302-H-07
GZNJ302-H-11
GZNJ302-H-15
GZNJ302-H-19
GZNJ302-H-23
GZNJ302-H-27
GZNJ302-H-31
GZNJ302-H-35
GZNJ302-A-36</t>
  </si>
  <si>
    <t>测试电关闭，GZNJ101-A-02
GZNJ101-A-06
GZNJ101-A-10
GZNJ101-A-14
GZNJ101-A-17
GZNJ101-B-03
GZNJ101-B-07
GZNJ101-B-11
GZNJ101-B-15
GZNJ101-B-17
GZNJ101-B-18
GZNJ101-C-02
GZNJ101-C-06
GZNJ101-C-09
GZNJ101-C-12
GZNJ101-C-15
GZNJ101-D-01
GZNJ101-D-04
GZNJ101-D-08
GZNJ101-D-12
GZNJ101-D-16
GZNJ101-E-02
GZNJ101-E-06
GZNJ101-E-10
GZNJ101-E-14
GZNJ101-E-17
GZNJ101-E-18
GZNJ101-F-01
GZNJ101-F-02
GZNJ101-F-05
GZNJ101-F-09
GZNJ101-F-12
GZNJ101-F-15
GZNJ302-C-16
GZNJ302-C-17
GZNJ302-F-16
GZNJ302-F-17
GZNJ302-A-02
GZNJ302-A-04
GZNJ302-A-08
GZNJ302-A-12
GZNJ302-A-16
GZNJ302-A-20
GZNJ302-A-24
GZNJ302-A-28
GZNJ302-A-32
GZNJ302-B-03
GZNJ302-B-07
GZNJ302-B-11
GZNJ302-B-15
GZNJ302-B-17
GZNJ302-B-21
GZNJ302-B-25
GZNJ302-B-29
GZNJ302-B-33
GZNJ302-C-02
GZNJ302-C-06
GZNJ302-C-10
GZNJ302-C-14
GZNJ302-C-19
GZNJ302-C-21
GZNJ302-C-25
GZNJ302-C-29
GZNJ302-C-33
GZNJ302-D-03
GZNJ302-D-07
GZNJ302-D-11
GZNJ302-D-13
GZNJ302-D-16
GZNJ302-D-19
GZNJ302-D-23
GZNJ302-D-27
GZNJ302-D-31
GZNJ302-D-35
GZNJ302-E-02
GZNJ302-E-06
GZNJ302-E-10
GZNJ302-E-14
GZNJ302-E-16
GZNJ302-E-20
GZNJ302-E-22
GZNJ302-E-26
GZNJ302-E-30
GZNJ302-E-34
GZNJ302-F-03
GZNJ302-F-07
GZNJ302-F-11
GZNJ302-F-14
GZNJ302-F-18
GZNJ302-F-22
GZNJ302-F-25
GZNJ302-F-29
GZNJ302-F-33
GZNJ302-G-02
GZNJ302-G-04
GZNJ302-G-08
GZNJ302-G-12
GZNJ302-G-16
GZNJ302-G-20
GZNJ302-G-24
GZNJ302-G-28
GZNJ302-G-32
GZNJ302-H-03
GZNJ302-H-07
GZNJ302-H-11
GZNJ302-H-15
GZNJ302-H-19
GZNJ302-H-23
GZNJ302-H-27
GZNJ302-H-31
GZNJ302-H-35
GZNJ302-A-36</t>
  </si>
  <si>
    <t>2022年3月19日开始计费。GZNJ101-B-17
GZNJ101-B-18
GZNJ101-E-17
GZNJ101-E-18
GZNJ101-F-01
GZNJ302-A-36
GZNJ302-C-16
GZNJ302-C-17
GZNJ302-F-16
GZNJ302-F-17</t>
  </si>
  <si>
    <t>2022年3月19日开始计费。GZNJ302-D-18
GZNJ101-C-16
GZNJ101-D-18
GZNJ302-E-18</t>
  </si>
  <si>
    <t>SYS更新电流为0，MDF柜子，与商务沟通按照ODF价格计提，GZNJ302-A-35</t>
  </si>
  <si>
    <t>GZNJ101-A-01
GZNJ101-A-02
GZNJ101-A-03</t>
  </si>
  <si>
    <t xml:space="preserve">GZNJ302-A-01
GZNJ302-A-02
</t>
  </si>
  <si>
    <t>GZNJ302-A-03
GZNJ302-A-04
GZNJ302-A-05
GZNJ302-A-06
GZNJ302-A-07
GZNJ302-A-08
GZNJ302-A-09
GZNJ302-A-10
GZNJ302-A-11
GZNJ302-A-12
GZNJ302-A-13
GZNJ302-A-14
GZNJ302-A-15
GZNJ302-A-16
GZNJ302-A-17
GZNJ302-A-18
GZNJ302-A-19
GZNJ302-A-20
GZNJ302-A-21
GZNJ302-A-22
GZNJ302-A-23
GZNJ302-A-24
GZNJ302-A-25
GZNJ302-A-26
GZNJ302-A-27
GZNJ302-A-28
GZNJ302-A-29
GZNJ302-A-30
GZNJ302-A-31
GZNJ302-A-32
GZNJ302-A-33
GZNJ302-A-34
GZNJ302-B-02
GZNJ302-B-03
GZNJ302-B-04
GZNJ302-B-05
GZNJ302-B-06
GZNJ302-B-07</t>
  </si>
  <si>
    <t>GZNJ302-B-08
GZNJ302-B-09
GZNJ302-B-10
GZNJ302-B-11
GZNJ302-C-29
GZNJ302-C-30
GZNJ302-C-31
GZNJ302-C-32
GZNJ302-C-33
GZNJ302-C-34</t>
  </si>
  <si>
    <t>GZNJ302-B-12
GZNJ302-B-13
GZNJ302-B-14
GZNJ302-B-15
GZNJ302-B-16
GZNJ302-B-17
GZNJ302-B-18
GZNJ302-B-19
GZNJ302-B-20
GZNJ302-B-21
GZNJ302-B-22
GZNJ302-B-23
GZNJ302-B-24
GZNJ302-B-25
GZNJ302-B-26
GZNJ302-B-27
GZNJ302-B-28
GZNJ302-B-29
GZNJ302-B-30
GZNJ302-B-31
GZNJ302-B-32
GZNJ302-B-33
GZNJ302-B-34
GZNJ302-C-01
GZNJ302-C-02
GZNJ302-C-03
GZNJ302-C-04
GZNJ302-C-05
GZNJ302-C-06
GZNJ302-C-07
GZNJ302-C-08
GZNJ302-C-09
GZNJ302-C-10
GZNJ302-C-11
GZNJ302-C-12
GZNJ302-C-13
GZNJ302-C-14
GZNJ302-C-15
GZNJ302-C-18
GZNJ302-C-19
GZNJ302-C-20
GZNJ302-C-21
GZNJ302-C-22
GZNJ302-C-23
GZNJ302-C-24
GZNJ302-C-25
GZNJ302-C-26
GZNJ302-C-27
GZNJ302-C-28
GZNJ302-D-01
GZNJ302-D-02
GZNJ302-D-03</t>
  </si>
  <si>
    <t xml:space="preserve">GZNJ101-A-01
GZNJ101-A-02
GZNJ101-A-03
</t>
  </si>
  <si>
    <t>动环是22年2月18号验收交付。双方约定，新增机柜月租单价为5000元/月/架。按照4.4kw功率标准机柜的价格上，超出部分按照实际电流情况付费。要求如下：机柜按照平均记电，每个机柜均可支持到24A/5.3kW，所有机柜平均不会超过20A，超出20A部分按照单价250元/月/A额外计费。</t>
  </si>
  <si>
    <t>L20221025036</t>
  </si>
  <si>
    <t>ip代播费用,2个C（2500*2），BD告知20200401开始</t>
  </si>
  <si>
    <t>IP代播2个C，106.13.254.0/23</t>
  </si>
  <si>
    <t>182215IDC00478</t>
  </si>
  <si>
    <t>揭阳</t>
  </si>
  <si>
    <t>揭阳联通</t>
  </si>
  <si>
    <t>CDNJIEYUN</t>
  </si>
  <si>
    <t xml:space="preserve">20220930退租。20220701开始计费，免费544个，边缘计算使用512个，112.90.42.0/25
112.90.43.0/24
112.90.44.0/25       </t>
  </si>
  <si>
    <t>20220701开始计费，边缘计算2408:8756:E2FF:0100::/56</t>
  </si>
  <si>
    <t>20220930退租。</t>
  </si>
  <si>
    <t>边缘计算，20220701开始计费，BECJIEYUN3F-C3-813</t>
  </si>
  <si>
    <t>边缘计算，20220930退租。BECJIEYUN3F-C3-813</t>
  </si>
  <si>
    <t>超出电流每A290</t>
  </si>
  <si>
    <t>潮州</t>
  </si>
  <si>
    <t>潮州联通</t>
  </si>
  <si>
    <t>CDNCHAOZUN</t>
  </si>
  <si>
    <t>20220701开始计费，免费552个，边缘计算使用528个，赠送112.90.209.0/28
112.90.210.0/24
112.90.211.0/24</t>
  </si>
  <si>
    <t>20220701开始计费，边缘计算2408:8756:DCFF:E000::/56</t>
  </si>
  <si>
    <t>边缘计算，20220701开始计费，BECCHAOZUN1F-C1-201</t>
  </si>
  <si>
    <t>L20230306003</t>
  </si>
  <si>
    <t>揭阳2联通</t>
  </si>
  <si>
    <t>CDNJIEYUN2</t>
  </si>
  <si>
    <t>边缘计算使用520个，112.90.45.0/24
112.90.43.0/24
112.90.44.0/29</t>
  </si>
  <si>
    <t>边缘计算。2408:8756:e2ff:200::/56</t>
  </si>
  <si>
    <t>边缘计算。3F301-07-BEC02</t>
  </si>
  <si>
    <t>中国联合网络通信有限公司贵州省分公司</t>
  </si>
  <si>
    <t>贵州联通</t>
  </si>
  <si>
    <t>182215IDC00582</t>
  </si>
  <si>
    <t>贵阳</t>
  </si>
  <si>
    <t>贵阳联通</t>
  </si>
  <si>
    <t>CDNGYUN</t>
  </si>
  <si>
    <t>使用160，每个机柜赠送8个IP（61.243.8.0/25 61.243.8.128/27）</t>
  </si>
  <si>
    <t>免费</t>
  </si>
  <si>
    <t>IPV6:联通提供IPV6地址地址[1]个/56，其中免费[1]个/56，收费[0]个/56。2408:876A:1020:0800::/56</t>
  </si>
  <si>
    <t>边缘计算新增128个，61.243.9.0/25</t>
  </si>
  <si>
    <t>边缘计算新增1段，2408:876A:1020:0801::/64</t>
  </si>
  <si>
    <t>边缘计算新增128个，61.243.9.128/25</t>
  </si>
  <si>
    <t>GYUN6F-604-01，GYUN6F-604-02调整为GYUN6F-06-04
GYUN6F-06-05</t>
  </si>
  <si>
    <t xml:space="preserve">边缘计算，BECGYUN6F-06-01
BECGYUN6F-06-02
</t>
  </si>
  <si>
    <t>中国联合网络通信有限公司广安市分公司</t>
  </si>
  <si>
    <t>广安联通</t>
  </si>
  <si>
    <t>182015IDC00171</t>
  </si>
  <si>
    <t>广安</t>
  </si>
  <si>
    <t>广安2联通</t>
  </si>
  <si>
    <t>CBUCDNGAUN</t>
  </si>
  <si>
    <t>使用288个，免费512个（每万兆提供免费IP 128个)（124.161.37.0/24 175.153.62.0/27）</t>
  </si>
  <si>
    <t>2021年8月31日退租</t>
  </si>
  <si>
    <t>GAUN3F-8-3、GAUN3F-8-4</t>
  </si>
  <si>
    <t>20210831退租</t>
  </si>
  <si>
    <t>中国联合网络通信有限公司广东省分公司</t>
  </si>
  <si>
    <t>广东联通</t>
  </si>
  <si>
    <t>182115IDC00480</t>
  </si>
  <si>
    <t>广州化龙-广州南沙8M</t>
  </si>
  <si>
    <t>当月费用 2019.6.4开通</t>
  </si>
  <si>
    <t>深圳-苏州8M</t>
  </si>
  <si>
    <t xml:space="preserve">当月费用 2019.3.5开通，需要支付给深圳：sys已确认在用见财务备份。苏州深圳ANE0096NP     广东省深圳市南山区学府路东百度国际大厦超核机房--江苏省苏州市昆山市花桥经济开发区东城大道万国数据机房 </t>
  </si>
  <si>
    <t>182015IDC00282</t>
  </si>
  <si>
    <t>科技园-广州M3A</t>
  </si>
  <si>
    <t>主合同季付，北京百度科技园到广州M3A核心机房200G，账户中国建设银行广州市天河支行 44001581301059016888</t>
  </si>
  <si>
    <t>百度M1-深圳百度国际大厦</t>
  </si>
  <si>
    <t>主合同季付，北京百度M1机房到深圳百度国际大厦200G，账户中国建设银行广州市天河支行 44001581301059016888</t>
  </si>
  <si>
    <t>中国联合网络通信有限公司长沙市分公司</t>
  </si>
  <si>
    <t>长沙联通</t>
  </si>
  <si>
    <t>L20220920003</t>
  </si>
  <si>
    <t>长沙三级联通</t>
  </si>
  <si>
    <t>20220901开始计费。免费512个，使用288个，116.162.119.0/24，116.162.76.0/27</t>
  </si>
  <si>
    <t>两段64位IPV6</t>
  </si>
  <si>
    <t>中国移动通信集团广东有限公司广州分公司</t>
  </si>
  <si>
    <t>广州移动</t>
  </si>
  <si>
    <t>182115IDC00289</t>
  </si>
  <si>
    <t>GZBH</t>
  </si>
  <si>
    <t>ip代播费用，2个C，2500*2</t>
  </si>
  <si>
    <t>更新计费日期为20200929，2个C,2500*2</t>
  </si>
  <si>
    <t>L20230420003</t>
  </si>
  <si>
    <t>赠送512个。超出后50元/个/月。</t>
  </si>
  <si>
    <t>CDNGZCM3</t>
  </si>
  <si>
    <t>20220531退租带宽后IP整体免费416个。每个万兆赠送32个。20220731退租带宽后IP整体免费96个</t>
  </si>
  <si>
    <t>CDNGZCM</t>
  </si>
  <si>
    <t>需要注意广州移动GZCM20200531退租320G对应退租了512个ip。</t>
  </si>
  <si>
    <t>sys反馈CDN目前使用288+边缘计算256+边缘计算128（120.232.171.0/24(BEC IP) 120.232.177.0/25(BEC IP)）</t>
  </si>
  <si>
    <t xml:space="preserve">	CDNGZCM3</t>
  </si>
  <si>
    <t>20220531退租带宽后IP整体免费416个。每个万兆赠送32个。20220731退租带宽后IP整体免费96个。广州移动边缘计算需求128个</t>
  </si>
  <si>
    <t>先按照20220819退租记录。CDN120.232.170.128/25</t>
  </si>
  <si>
    <t>广州移动SSL</t>
  </si>
  <si>
    <t>CDNGZCM2</t>
  </si>
  <si>
    <t>202106开始因为SSL退租20G计费数据为128个；sys反馈SSL使用512个，新合同内每个万兆赠送32个，CDN+SSL330G，赠送1056个，共使用1184个</t>
  </si>
  <si>
    <t>20230201开始。CDN&amp;SSL收费共528个。SSL在用512个，免费232个，收费280个。</t>
  </si>
  <si>
    <t>181815IDC00115</t>
  </si>
  <si>
    <t>赠送3072个</t>
  </si>
  <si>
    <t>L20210629001</t>
  </si>
  <si>
    <t>赠送5120个</t>
  </si>
  <si>
    <t>182315IDC00080</t>
  </si>
  <si>
    <t>GZHXY</t>
  </si>
  <si>
    <t>IP保底费用</t>
  </si>
  <si>
    <t>云甲，20230228退租</t>
  </si>
  <si>
    <t>如激活数量超过256个IP，按每个ip100元/月收费</t>
  </si>
  <si>
    <t>L20221025017</t>
  </si>
  <si>
    <t>南方基地</t>
  </si>
  <si>
    <t>需要注意周睿发邮件预计20200531退租13个，CM2F-12-11、CM2F-12-10、CM2F-13-13、CM2F-12-13、CM2F-12-09、CM2F-12-08、CM2F-12-07、CM2F-12-06、CM2F-12-05、CM2F-12-04、CM2F-12-03、CM2F-12-02、CM2F-12-01</t>
  </si>
  <si>
    <t xml:space="preserve">GZCM32F201-I-03
GZCM32F201-I-02
GZCM32F201-I-01
GZCM32F201-H-05
GZCM32F201-H-04
GZCM32F201-H-03
GZCM32F201-H-02
GZCM32F201-H-01
GZCM32F201-I-06
GZCM32F201-I-05
GZCM32F201-I-04
</t>
  </si>
  <si>
    <t>广州移动边缘计算需求 GZCM32F201-J-01，GZCM32F201-J-02，GZCM32F201-J-03，GZCM32F201-J-04</t>
  </si>
  <si>
    <t>广州5移动</t>
  </si>
  <si>
    <t>边缘计算，BECGZCM32F201-K-03</t>
  </si>
  <si>
    <t>GZCM32F201-H-05,GZCM32F201-I-04,GZCM32F201-I-05,GZCM32F201-I-02,GZCM32F201-I-03,GZCM32F201-I-06,GZCM32F201-I-01</t>
  </si>
  <si>
    <t>20220815退租，GZCM32F201-H-01,GZCM32F201-H-02,GZCM32F201-H-03</t>
  </si>
  <si>
    <t xml:space="preserve">原205机房 的机柜退租，搬迁到308机房：GZCM205-B05-10
GZCM205-B05-11
GZCM205-B05-12
</t>
  </si>
  <si>
    <t>SSLGZCM</t>
  </si>
  <si>
    <t>机柜编号为GZCMC3308-K-01至08</t>
  </si>
  <si>
    <t>20220331退租，GZCMC3308-K-01,GZCMC3308-K-02,GZCMC3308-K-07,GZCMC3308-K-08</t>
  </si>
  <si>
    <t>GZCMC3308-K-06</t>
  </si>
  <si>
    <t>182315IDC00162</t>
  </si>
  <si>
    <t>科学城</t>
  </si>
  <si>
    <t>8KW，36A</t>
  </si>
  <si>
    <t>机架保底承诺：需要注意合同1.4保底承诺：甲方承诺自起租日起计，第三年首月起承诺保底租用1200个IDC主机托管服务，如实际租用不足1200个，则按1200个计费。乙方保证第三年首月起提供不少于1400个IDC主机托管服务的容量。</t>
  </si>
  <si>
    <t>13.7KW，62.5A</t>
  </si>
  <si>
    <t>GZHXY3A-E-05 GGZHXY3A-E-06 机柜</t>
  </si>
  <si>
    <t>截至2019年8月1989个，2019年9月关闭17个(0904-1个+0908-16个）</t>
  </si>
  <si>
    <t>GZHXY5A-H-24~25</t>
  </si>
  <si>
    <t>GZHXY5A-G-23~24</t>
  </si>
  <si>
    <t>GZHXY3A-D-15， 
GZHXY3A-D-16</t>
  </si>
  <si>
    <t>GZHXY3A-D-13</t>
  </si>
  <si>
    <t>GZHXY4B-A-01
GZHXY4B-A-03
GZHXY4B-A-04
GZHXY4B-A-05
GZHXY4B-A-12
GZHXY4B-A-14
GZHXY4B-A-15
GZHXY4B-A-16
GZHXY4B-A-17</t>
  </si>
  <si>
    <t>GZHXY6B-A-22</t>
  </si>
  <si>
    <t>20190808新增GZHXY5A-H-27，GZHXY5A-H-26</t>
  </si>
  <si>
    <t>20190902开通GZHXY5A-I-27，GZHXY5A-I-28</t>
  </si>
  <si>
    <t>20190911开通4个GZHXY6B-A-23-26</t>
  </si>
  <si>
    <t>20190904关闭1个GZHXY3A-D-09</t>
  </si>
  <si>
    <t xml:space="preserve">20190908关闭16个GZHXY5A-B-15
GZHXY5A-B-16
GZHXY5A-B-17
GZHXY5A-B-18
GZHXY5A-B-21
GZHXY5A-B-22
GZHXY5A-B-23
GZHXY5A-B-24
GZHXY5A-C-06
GZHXY5A-C-07
GZHXY5A-C-10
GZHXY5A-C-11
GZHXY5A-G-05
GZHXY5A-G-06
GZHXY5A-G-07
GZHXY5A-G-08
</t>
  </si>
  <si>
    <t xml:space="preserve">20191203关闭6个GZHXY5A-H-15
GZHXY5A-H-14
GZHXY5A-H-09
GZHXY5A-H-10
GZHXY5B-C-26
GZHXY5B-C-27
</t>
  </si>
  <si>
    <t>20200323开通1个GZHXY3A-D-09</t>
  </si>
  <si>
    <t>20200617开通2个，GZHXY5A-C-10，GZHXY5A-C-11</t>
  </si>
  <si>
    <t>20201210开通1个，GZHXY4A-E-08</t>
  </si>
  <si>
    <t>20210317开通2个，GZHXY5A-G-05
GZHXY5A-G-06</t>
  </si>
  <si>
    <t>8.8KW，40A</t>
  </si>
  <si>
    <t>运营商开通之日-2022年6月按照低价格结算。202207开始按照8.8KW的价格计算。20210318开通1个8.8KW，GZHXY3A-D-14，但是运营商说因为原合同181515IDC0038里面没有此规格因此按照8KW计算，先计提在临时合同上后期进行确认并调整</t>
  </si>
  <si>
    <t xml:space="preserve">20210326开通8个，GZHXY5A-B-15
GZHXY5A-B-16
GZHXY5A-B-17
GZHXY5A-B-18
GZHXY5A-B-21
GZHXY5A-B-22
GZHXY5A-B-23
GZHXY5A-B-24
</t>
  </si>
  <si>
    <t>20210419开通1个，GZHXY5B-C-13</t>
  </si>
  <si>
    <t>20210605关闭4个GZHXY6B-A-10
GZHXY6B-A-12
GZHXY6B-A-14
GZHXY6B-A-16</t>
  </si>
  <si>
    <t>GZHXY5A-H-09 GZHXY5A-H-10</t>
  </si>
  <si>
    <t>GZHXY5A-H-14 GZHXY5A-H-15</t>
  </si>
  <si>
    <t>GZHXY5B-C-26 GZHXY5B-C-27</t>
  </si>
  <si>
    <t>GZHXY5A-G-07 GZHXY5A-G-08</t>
  </si>
  <si>
    <t>GZHXY3A-D-06 GZHXY3A-D-05机柜改造36A更改成40.9A</t>
  </si>
  <si>
    <t>运营商按照9091价格结算。GZHXY3A-D-06 GZHXY3A-D-05机柜改造36A更改成40.9A</t>
  </si>
  <si>
    <t xml:space="preserve">20220322当天关当天改造完开通，机柜改造36A更改成81.8A
GZHXY5A-D-23 GZHXY5A-D-22 </t>
  </si>
  <si>
    <t>20210325当天关当天改造完开通，GZHXY3A-E-05 机柜改造62.5A更改成109A</t>
  </si>
  <si>
    <t>20210330当天关当天改造完开通，GGZHXY3A-E-06 机柜改造62.5A更改成109A</t>
  </si>
  <si>
    <t>GZHXY5A-B-06
GZHXY5A-B-07
GZHXY5A-C-14</t>
  </si>
  <si>
    <t>GZHXY3A-A-01
GZHXY3A-A-02
GZHXY5A-C-04
GZHXY5A-C-05</t>
  </si>
  <si>
    <t>GZHXY6B-A-09
GZHXY6B-A-13
GZHXY6B-A-15</t>
  </si>
  <si>
    <t>L20220725002</t>
  </si>
  <si>
    <t>1.4保底承诺：甲方承诺自起租日起计，第三年首月起承诺保底租用1200个IDC主机托管服务，如实际租用不足1200个，则按1200个计费。乙方保证第三年首月起提供不少于1400个IDC主机托管服务的容量。</t>
  </si>
  <si>
    <t>181915IDC00143
181815IDC00115</t>
  </si>
  <si>
    <t xml:space="preserve">博浩一期价格调整需要注意：（1）如甲方在起租当月起计12个月内开通1800个机柜，则自第13个月开始，4.4KW机柜给予甲方优惠价调整为5850元/机柜/月，8.8KW机柜给予甲方优惠价调整为11700元/机柜/月，13.75KW机柜给予甲方优惠价调整为17550元/机柜/月。
（2）如甲方在起租当月起计18个月内开通1800个机柜，则自第19个月开始，4.4KW机柜给予甲方优惠价调整为5900元/机柜/月，8.8KW机柜给予甲方优惠价调整为11800元/机柜/月，13.75KW机柜给予甲方优惠价调整为17700元/机柜/月。
</t>
  </si>
  <si>
    <t>11月15日双方邮件确认机柜功率为110A，价格以单安计算（297.5元/A）。9月上架，11月整月计费</t>
  </si>
  <si>
    <t>11月15日双方邮件确认机柜功率为30A，价格以单安计算（297.5元/A）。9月上架，11月整月计费</t>
  </si>
  <si>
    <t>功率为13.75KW，11月上架</t>
  </si>
  <si>
    <t>GZBH503-L-08~11</t>
  </si>
  <si>
    <t>GZBH503-A-13，GZBH503-A-12</t>
  </si>
  <si>
    <t>GZBH301-E-01~08，GZBH301-E-10~13，GZBH301-M-15，GZBH302-M-15，GZBH201-M-15，GZBH202-M-15，GZBH203-M-15</t>
  </si>
  <si>
    <t>GZBH503-A-06~11</t>
  </si>
  <si>
    <t>GZBH301-B-08，GZBH301-B-10</t>
  </si>
  <si>
    <t>GZBH401-A-09</t>
  </si>
  <si>
    <t>GZBH501-H-04、GZBH501-H-05</t>
  </si>
  <si>
    <t xml:space="preserve">20190807新增2个GZBH503-A-04
GZBH503-A-05
</t>
  </si>
  <si>
    <t>20190814新增2个GZBH502-E-02
GZBH502-E-03</t>
  </si>
  <si>
    <t>20190822新增2个GZBH502-F-04
GZBH502-F-05</t>
  </si>
  <si>
    <t>20190814关闭1个GZBH303-F-01</t>
  </si>
  <si>
    <t xml:space="preserve">20190906开通69个，其中二期6个：一期机柜GZBH401-B-01
GZBH401-C-04
GZBH401-C-05
GZBH401-F-01
GZBH401-H-01
GZBH402-J-01
GZBH402-J-02
GZBH402-J-03
GZBH402-J-04
GZBH402-J-05
GZBH402-J-06
GZBH402-J-07
GZBH402-J-08
GZBH402-J-09
GZBH402-J-10
GZBH402-J-11
GZBH402-J-12
GZBH402-J-13
GZBH402-J-15
GZBH402-K-01
GZBH402-K-02
GZBH402-K-03
GZBH402-K-04
GZBH402-K-05
GZBH402-K-06
GZBH402-K-07
GZBH402-K-08
GZBH402-K-09
GZBH402-K-10
GZBH402-K-11
GZBH402-K-12
GZBH402-K-13
GZBH402-L-01
GZBH402-L-12
GZBH403-A-01
GZBH403-A-02
GZBH403-A-08
GZBH403-A-09
GZBH403-A-10
GZBH403-A-11
GZBH403-A-12
GZBH403-A-13
GZBH403-A-14
GZBH403-A-15
GZBH403-B-01
GZBH403-B-02
GZBH403-B-13
GZBH403-B-14
GZBH403-C-03
GZBH403-C-04
GZBH403-C-05
GZBH403-C-06
GZBH403-C-07
GZBH403-C-08
GZBH403-C-09
GZBH403-C-10
GZBH403-C-11
GZBH403-C-12
GZBH403-C-13
GZBH403-D-01
GZBH403-D-02
GZBH403-D-03
GZBH403-D-04
</t>
  </si>
  <si>
    <t>20190912开通36个，其中二期有32个：一期机柜GZBH402-G-02
GZBH402-G-03
GZBH402-G-07
GZBH402-G-06</t>
  </si>
  <si>
    <t xml:space="preserve">20191027开通12个GZBH501-H-06
GZBH501-H-07
GZBH503-E-02
GZBH503-E-03
GZBH503-E-06
GZBH503-E-07
GZBH503-E-10
GZBH503-E-11
GZBH503-E-14
GZBH503-E-15
GZBH503-F-04
GZBH503-F-05
</t>
  </si>
  <si>
    <t xml:space="preserve">20191101开通22个GZBH403-A-03
GZBH403-C-01
GZBH403-A-04
GZBH403-A-05
GZBH403-A-06
GZBH403-A-07
GZBH403-B-03
GZBH403-B-04
GZBH403-B-05
GZBH403-B-06
GZBH403-B-07
GZBH403-B-08
GZBH403-B-09
GZBH403-B-10
GZBH403-B-11
GZBH403-B-12
GZBH403-B-15
GZBH403-C-02
GZBH403-D-05
GZBH403-D-06
GZBH403-D-07
GZBH403-D-08
</t>
  </si>
  <si>
    <t>20191122开通1个GZBH303-F-01</t>
  </si>
  <si>
    <t xml:space="preserve">20191209关闭8个GZBH502-B-10
GZBH502-B-11
GZBH502-D-06
GZBH502-D-07
GZBH502-E-04
GZBH502-E-05
GZBH502-F-08
GZBH502-F-09
</t>
  </si>
  <si>
    <t xml:space="preserve">20191206开通4个GZBH501-K-12
GZBH501-K-13
GZBH501-K-14
GZBH501-K-15
</t>
  </si>
  <si>
    <t>20191224开通2个GZBH503-E-08
GZBH503-E-09</t>
  </si>
  <si>
    <t xml:space="preserve">20200119开通4个GZBH503-J-12
GZBH503-J-13
GZBH503-J-14
GZBH503-J-15
</t>
  </si>
  <si>
    <t>20200306开通2个GZBH501-J-02，GZBH501-J-03</t>
  </si>
  <si>
    <t xml:space="preserve">20200317开通8个GZBH501-C-01
GZBH501-C-02
GZBH501-C-03
GZBH501-C-08
GZBH501-D-01
GZBH501-D-02
GZBH501-D-03
GZBH501-D-09
</t>
  </si>
  <si>
    <t>20200410关闭2个，GZBH502-E-14
GZBH502-E-15</t>
  </si>
  <si>
    <t>20200611开通GZBH202-E-08
GZBH202-E-09
GZBH202-E-10
GZBH202-E-11
GZBH202-F-02
GZBH202-F-03
GZBH202-F-04
GZBH202-F-05
GZBH202-F-06</t>
  </si>
  <si>
    <t>20200617开通6个GZBH403-D-09
GZBH403-D-10
GZBH403-D-11
GZBH403-D-12
GZBH403-D-13
GZBH403-D-14</t>
  </si>
  <si>
    <t>20200619开通1个GZBH202-F-07</t>
  </si>
  <si>
    <t>GZBH-云托管</t>
  </si>
  <si>
    <t>云托管，20200622开通3个GZBH502-G-01，GZBH502-G-02，GZBH502-G-03</t>
  </si>
  <si>
    <t xml:space="preserve">云托管，磁带库改造的标准机柜 GZBH503-J-03，与越华沟通还用博浩一期合同，与云-唐楠沟通1-3为标准机柜
</t>
  </si>
  <si>
    <t>GZBH303-M-14</t>
  </si>
  <si>
    <t>1821202IDC00031</t>
  </si>
  <si>
    <t xml:space="preserve">与越华沟通合同单价变更为3134.7，注意历史多计提的需要冲销。云托管，磁带库改造，20200624开通8个
 GZBH503-J-04
 GZBH503-J-05
 GZBH503-J-06
 GZBH503-J-07
 GZBH503-J-08
 GZBH503-J-09
 GZBH503-J-10
 GZBH503-J-11
</t>
  </si>
  <si>
    <t>24KWGZBH501-A-05、GZBH501-B-05</t>
  </si>
  <si>
    <t>GZBH403-D-15、GZBH403-F-01</t>
  </si>
  <si>
    <t>云托管-GZBH503-J-01
GZBH503-J-02</t>
  </si>
  <si>
    <t>24KW，GZBH501-F-07</t>
  </si>
  <si>
    <t>云托管-GZBH502-G-04</t>
  </si>
  <si>
    <t>GZBH503-F-02、GZBH503-F-03</t>
  </si>
  <si>
    <t>L20200918006</t>
  </si>
  <si>
    <t xml:space="preserve">202009盘点出有27个ODF，与越华沟通暂按照0计提GZBH301-A-01
GZBH301-A-02
GZBH301-A-03
GZBH301-A-04
GZBH301-B-01
GZBH301-B-02
GZBH301-B-06
GZBH301-B-07
GZBH301-C-01
GZBH301-C-02
GZBH301-C-06
GZBH301-D-01
GZBH301-D-02
GZBH301-D-03
GZBH301-D-04
GZBH501-A-01
GZBH501-A-02
GZBH501-A-06
GZBH501-A-08
GZBH501-A-09
GZBH501-B-01
GZBH501-B-02
GZBH501-B-06
GZBH501-B-08
GZBH501-B-09
GZBH501-C-05
GZBH501-D-06
</t>
  </si>
  <si>
    <t>20201029开通GZBH301-A-09</t>
  </si>
  <si>
    <t>20201120开通GZBH301-A-10</t>
  </si>
  <si>
    <t xml:space="preserve">20201202开通GZBH502-B-11
、GZBH502-B-10
</t>
  </si>
  <si>
    <t xml:space="preserve">20210119开通GZBH502-J-09
GZBH502-J-10
GZBH502-J-11
GZBH502-J-02
GZBH502-J-03
GZBH502-J-04
GZBH502-J-05
GZBH502-J-06
GZBH502-J-07
GZBH502-J-08
GZBH502-K-04
GZBH502-K-05
GZBH502-K-06
GZBH502-K-07
GZBH502-J-12
GZBH502-J-13
GZBH502-J-14
GZBH502-J-15
</t>
  </si>
  <si>
    <t xml:space="preserve">20210202开通2个，GZBH501-H-08
GZBH501-H-09
</t>
  </si>
  <si>
    <t xml:space="preserve">20210205开通2个，GZBH501-H-10
GZBH501-H-11
</t>
  </si>
  <si>
    <t xml:space="preserve">20210207开通16个，GZBH202-F-10
GZBH202-F-11
GZBH202-F-12
GZBH202-F-13
GZBH202-G-04
GZBH202-G-05
GZBH202-G-06
GZBH202-G-07
GZBH202-G-08
GZBH202-G-09
GZBH202-G-10
GZBH202-G-11
GZBH202-G-12
GZBH202-G-13
GZBH202-F-08
GZBH202-F-09
</t>
  </si>
  <si>
    <t xml:space="preserve">GZBH501-J-04
GZBH501-J-05
</t>
  </si>
  <si>
    <t xml:space="preserve">GZBH501-H-12
GZBH501-H-13
GZBH501-H-14
GZBH501-H-15
</t>
  </si>
  <si>
    <t>GZBH501-J-06、GZBH501-J-07</t>
  </si>
  <si>
    <t xml:space="preserve">GZBH502-C-01
GZBH502-D-01
GZBH502-D-02
GZBH502-D-03
GZBH502-D-04
</t>
  </si>
  <si>
    <t>GZBH502-D-05</t>
  </si>
  <si>
    <t>GZBH501-G-01
GZBH501-G-02</t>
  </si>
  <si>
    <t>GZBH403-G-01
GZBH403-G-02
GZBH403-H-01</t>
  </si>
  <si>
    <t>GZBH501-A-07</t>
  </si>
  <si>
    <t>GZBH501-J-10
GZBH501-J-11</t>
  </si>
  <si>
    <t>GZBH202-H-02
GZBH202-H-03
GZBH202-H-04
GZBH202-H-05
GZBH202-H-06
GZBH202-H-07
GZBH202-H-08
GZBH202-H-09
GZBH202-H-10
GZBH202-H-11
GZBH202-H-12
GZBH202-H-13
GZBH202-H-14
GZBH202-H-15
GZBH202-J-12
GZBH202-J-13
GZBH202-J-14
GZBH202-J-15
GZBH502-G-05,GZBH502-G-06</t>
  </si>
  <si>
    <t>GZBH502-G-05 GZBH502-G-06</t>
  </si>
  <si>
    <t>云托管，GZBH502-G-05 GZBH502-G-06</t>
  </si>
  <si>
    <t>GZBH501-L-01
GZBH501-L-02
GZBH501-L-03
GZBH501-L-04
GZBH501-L-05
GZBH501-L-06</t>
  </si>
  <si>
    <t>GZBH501-F-01
GZBH501-F-02
GZBH501-F-03
GZBH501-F-04
GZBH501-F-05
GZBH501-F-06
GZBH501-F-09
GZBH501-F-10
GZBH501-F-11
GZBH501-G-05
GZBH501-G-06
GZBH501-G-09
GZBH501-G-10
GZBH501-G-11</t>
  </si>
  <si>
    <t xml:space="preserve">GZBH202-J-02
GZBH202-J-03
GZBH202-J-04
GZBH202-J-05
GZBH202-J-06
GZBH202-J-07
GZBH202-J-08
GZBH202-J-09
GZBH202-J-10
GZBH202-J-11
</t>
  </si>
  <si>
    <t>GZBH502-K-08
GZBH502-K-09
GZBH502-K-10
GZBH502-K-11</t>
  </si>
  <si>
    <t>GZBH501-J-12
GZBH501-J-13</t>
  </si>
  <si>
    <t>GZBH202-M-03
GZBH202-M-04</t>
  </si>
  <si>
    <t>GZBH202-K-04
GZBH202-K-05
GZBH202-K-06
GZBH202-K-07
GZBH202-K-08
GZBH202-K-09
GZBH202-K-10</t>
  </si>
  <si>
    <t>GZBH502-E-04
GZBH502-E-05
GZBH502-E-14
GZBH502-E-15</t>
  </si>
  <si>
    <t>GZBH202-G-01
GZBH202-G-02
GZBH202-G-03
GZBH202-J-01
GZBH202-K-02
GZBH202-K-03
GZBH202-L-11
GZBH202-L-12
GZBH202-L-13
GZBH202-L-14
GZBH202-L-15
GZBH202-M-02
GZBH202-M-05
GZBH202-M-06
GZBH202-M-07
GZBH202-M-08
GZBH202-M-09
GZBH202-M-10
GZBH202-M-11
GZBH202-M-12
GZBH202-M-13
GZBH202-M-14</t>
  </si>
  <si>
    <t>GZBH202-L-07
GZBH202-L-08
GZBH202-L-09
GZBH202-L-10</t>
  </si>
  <si>
    <t>GZBH202-K-11
GZBH202-K-12
GZBH202-K-13</t>
  </si>
  <si>
    <t>GZBH202-E-12
GZBH202-L-01
GZBH202-L-02
GZBH202-L-03
GZBH202-L-04
GZBH202-L-05
GZBH202-L-06</t>
  </si>
  <si>
    <t>GZBH202-F-01
GZBH202-H-01
GZBH202-K-01</t>
  </si>
  <si>
    <t>GZBH501-J-08
GZBH501-J-09</t>
  </si>
  <si>
    <t>GZBH401-A-08</t>
  </si>
  <si>
    <t>GZBH501-K-01
GZBH501-K-02
GZBH501-K-03
GZBH501-K-04
GZBH501-K-05
GZBH501-K-06
GZBH501-K-07
GZBH501-K-08
GZBH501-K-09
GZBH501-K-10
GZBH501-K-11
GZBH501-L-07
GZBH501-L-08
GZBH501-L-09
GZBH501-L-10
GZBH501-L-11
GZBH501-L-12
GZBH501-L-13
GZBH501-L-14
GZBH502-D-06
GZBH502-D-07
GZBH502-F-08
GZBH502-F-09
GZBH502-K-12
GZBH502-K-13</t>
  </si>
  <si>
    <t>GZBH501-G-04</t>
  </si>
  <si>
    <t>GZBH503-C-01
GZBH503-C-02
GZBH503-C-03
GZBH503-C-04
GZBH503-C-05
GZBH503-C-06
GZBH503-C-07
GZBH503-C-08
GZBH503-C-09
GZBH503-D-01</t>
  </si>
  <si>
    <t>GZBH403-F-01</t>
  </si>
  <si>
    <t>GZBH202-B-01
GZBH202-D-01
GZBH501-G-03</t>
  </si>
  <si>
    <t>GZBH301-F-11</t>
  </si>
  <si>
    <t>GZBH501-F-04 GZBH501-F-05</t>
  </si>
  <si>
    <t>GZBH201-C-06 GZBH403-F-01</t>
  </si>
  <si>
    <t>GZBH402-H-10
GZBH402-H-11
GZBH402-H-12
GZBH402-H-13
GZBH402-H-14</t>
  </si>
  <si>
    <t>GZBH302-B-01
GZBH402-H-09
GZBH402-H-15
GZBH402-J-14</t>
  </si>
  <si>
    <t>GZBH501-B-07</t>
  </si>
  <si>
    <t>1820202IDC00169</t>
  </si>
  <si>
    <t>博浩二期</t>
  </si>
  <si>
    <t xml:space="preserve">需要注意201904-202003二期费用已付，且之前按照一期5950价格支付的多余部分已在202004机架费用里扣除，GZBH601-M-15，博浩二期价格调整需要注意（1）如甲方在首批机柜交付后的第19个月内开通1500个机柜，则自第20个月开始，4.4KW机柜给予甲方优惠价调整为5750元/机柜/月。
（2）如甲方在首批机柜交付后的第13个月内开通1000个机柜，则自第14个月开始，4.4KW机柜给予甲方优惠价调整为5700元/机柜/月。
</t>
  </si>
  <si>
    <t>需要注意历史在博浩一期数据里面，GZBH602-M-15，GZBH603-M-15</t>
  </si>
  <si>
    <t>GZBH601-B-08
GZBH601-B-09
GZBH601-B-10
GZBH601-B-11
GZBH601-B-12
GZBH601-B-13
GZBH601-B-14
GZBH601-B-15
GZBH601-C-01
GZBH601-C-02
GZBH601-C-03
GZBH601-C-04
GZBH601-C-05
GZBH601-C-09
GZBH601-C-10
GZBH601-C-11
GZBH601-C-12
GZBH601-C-13
GZBH601-D-01
GZBH601-D-02
GZBH601-D-03
GZBH601-D-04
GZBH601-D-05
GZBH601-D-06
GZBH601-D-07
GZBH601-D-08
GZBH601-D-09
GZBH601-D-10</t>
  </si>
  <si>
    <t>GZBH601-C-08</t>
  </si>
  <si>
    <t xml:space="preserve">GZBH601-A-01
GZBH601-A-02
GZBH601-A-03
GZBH601-A-04
GZBH601-A-05
GZBH601-A-06
</t>
  </si>
  <si>
    <t>GZBH601-E-08
GZBH601-E-09
GZBH601-E-10
GZBH601-E-11
GZBH601-E-12
GZBH601-E-13
GZBH601-E-14
GZBH601-E-15
GZBH601-F-02
GZBH601-F-03
GZBH601-F-04
GZBH601-F-05
GZBH601-F-06
GZBH601-F-07
GZBH601-F-08
GZBH601-F-09
GZBH601-F-10
GZBH601-F-11
GZBH601-F-12
GZBH601-F-13
GZBH601-G-04
GZBH601-G-05
GZBH601-G-06
GZBH601-G-07
GZBH601-G-08
GZBH601-G-09
GZBH601-G-10
GZBH601-G-11
GZBH601-G-12
GZBH601-G-13
GZBH601-G-14
GZBH601-G-15</t>
  </si>
  <si>
    <t xml:space="preserve">20190925开通1个，GZBH601-A-07
</t>
  </si>
  <si>
    <t xml:space="preserve">20200409开通4个，GZBH601-G-01
,GZBH601-G-02
,GZBH601-G-03
,GZBH601-H-14
</t>
  </si>
  <si>
    <t>20200417开通2个，GZBH601-L-01，GZBH601-L-02</t>
  </si>
  <si>
    <t>20200417关闭1个GZBH601-F-05</t>
  </si>
  <si>
    <t xml:space="preserve">20200422开通11个GZBH601-H-01
GZBH601-H-02
GZBH601-H-03
GZBH601-H-04
GZBH601-H-05
GZBH601-H-06
GZBH601-H-07
GZBH601-H-08
GZBH601-H-09
GZBH601-H-10
GZBH601-H-11
</t>
  </si>
  <si>
    <t>20200603开通29个GZBH601-L-03
GZBH601-L-04
GZBH601-L-05
GZBH601-L-06
GZBH601-L-07
GZBH601-L-08
GZBH601-L-09
GZBH601-L-10
GZBH601-L-11
GZBH601-L-12
GZBH601-L-13
GZBH601-L-14
GZBH601-L-15
GZBH602-A-01
GZBH602-A-02
GZBH602-A-03
GZBH602-A-04
GZBH602-A-05
GZBH602-A-06
GZBH602-A-07
GZBH602-A-08
GZBH602-A-09
GZBH602-A-10
GZBH602-A-11
GZBH602-A-12
GZBH602-A-13
GZBH602-A-14
GZBH602-A-15
GZBH602-B-12</t>
  </si>
  <si>
    <t xml:space="preserve">20200605开通3个GZBH602-B-13
GZBH602-B-14
GZBH602-B-15
</t>
  </si>
  <si>
    <t xml:space="preserve">20200609开通25个GZBH601-J-04
GZBH601-J-05
GZBH601-J-06
GZBH601-J-07
GZBH601-J-08
GZBH601-J-09
GZBH601-J-10
GZBH601-J-11
GZBH601-J-12
GZBH601-J-13
GZBH601-J-14
GZBH601-J-15
GZBH601-J-01
GZBH601-J-02
GZBH601-J-03
GZBH601-M-03
GZBH601-M-04
GZBH601-M-05
GZBH601-M-06
GZBH601-M-07
GZBH601-M-08
GZBH601-M-09
GZBH601-M-10
GZBH601-M-11
GZBH601-M-12
</t>
  </si>
  <si>
    <t>需要注意调整了9个到博浩一期，20200611开通29个GZBH602-D-05
GZBH602-D-06
GZBH602-D-07
GZBH602-D-08
GZBH601-K-02
GZBH601-K-03
GZBH601-K-04
GZBH601-K-05
GZBH601-K-06
GZBH601-K-07
GZBH601-K-08
GZBH601-K-09
GZBH601-K-10
GZBH601-K-11
GZBH601-K-12
GZBH601-K-13
GZBH601-M-01
GZBH601-M-02
GZBH601-M-13
GZBH601-M-14
GZBH602-B-02
GZBH602-B-03
GZBH602-B-04
GZBH602-B-05
GZBH602-B-06
GZBH602-B-07
GZBH602-B-08
GZBH602-B-09
GZBH602-B-10</t>
  </si>
  <si>
    <t>20200622开通30个GZBH602-E-03
GZBH602-E-04
GZBH602-E-05
GZBH602-C-13
GZBH602-D-02
GZBH602-D-03
GZBH602-E-06
GZBH602-E-07
GZBH602-E-08
GZBH602-E-09
GZBH602-E-10
GZBH602-E-11
GZBH602-D-12
GZBH602-D-13
GZBH602-D-14
GZBH602-D-15
GZBH602-E-02
GZBH602-C-09
GZBH602-C-10
GZBH602-C-11
GZBH602-C-12
GZBH602-C-02
GZBH602-C-03
GZBH602-C-04
GZBH602-C-05
GZBH602-D-10
GZBH602-D-11
GZBH602-C-06
GZBH602-C-07
GZBH602-C-08</t>
  </si>
  <si>
    <t>:GZBH602-D-04,:GZBH602-D-09</t>
  </si>
  <si>
    <t>GZBH602-M-09
GZBH602-M-10
GZBH602-M-11</t>
  </si>
  <si>
    <t xml:space="preserve">GZBH603-A-02
GZBH603-A-03
GZBH603-A-04
GZBH603-A-05
GZBH603-A-06
GZBH603-A-07
GZBH603-A-08
GZBH603-A-09
GZBH603-A-10
GZBH603-A-11
GZBH603-A-12
GZBH603-A-13
GZBH603-A-14
GZBH603-A-15
GZBH603-B-02
GZBH603-B-03
GZBH603-B-04
GZBH603-B-05
GZBH603-B-06
GZBH603-B-07
GZBH603-B-08
GZBH603-B-09
GZBH603-B-10
GZBH603-B-11
GZBH603-B-12
GZBH603-B-13
GZBH603-B-14
GZBH603-B-15
GZBH603-C-04
GZBH603-C-05
GZBH603-C-06
GZBH603-C-07
GZBH603-C-08
GZBH603-C-09
GZBH603-C-10
GZBH603-C-11
GZBH603-C-12
GZBH603-C-13
</t>
  </si>
  <si>
    <t>GZBH601-A-08
GZBH601-A-09
GZBH601-A-10
GZBH601-A-11
GZBH601-A-12
GZBH601-A-13
GZBH601-A-14
GZBH601-A-15</t>
  </si>
  <si>
    <t xml:space="preserve">GZBH601-D-11
GZBH601-D-13
GZBH601-D-14
GZBH601-B-02
GZBH601-B-03
GZBH601-C-06
GZBH601-C-07
</t>
  </si>
  <si>
    <t>GZBH601-B-04、GZBH601-D-12</t>
  </si>
  <si>
    <t xml:space="preserve">GZBH603-C-02
GZBH603-C-03
GZBH603-D-02
GZBH603-D-03
GZBH603-D-04
GZBH603-D-05
GZBH603-D-06
GZBH603-D-07
GZBH603-D-08
GZBH603-D-09
GZBH603-D-10
GZBH603-D-11
GZBH603-D-12
GZBH603-D-13
GZBH603-D-14
GZBH603-D-15
GZBH603-E-02
GZBH603-E-03
GZBH603-E-04
GZBH603-E-05
GZBH603-E-06
GZBH603-E-07
GZBH603-E-08
GZBH603-E-09
GZBH603-E-10
GZBH603-E-11
GZBH603-E-12
GZBH603-E-13
GZBH603-E-14
GZBH603-E-15
GZBH603-F-02
GZBH603-F-03
GZBH603-F-04
GZBH603-F-05
GZBH603-F-06
GZBH603-F-07
GZBH603-F-08
GZBH603-F-09
GZBH603-F-10
GZBH603-F-11
GZBH603-F-12
GZBH603-F-13
GZBH603-G-02
GZBH603-G-03
GZBH603-G-04
GZBH603-G-05
GZBH603-G-06
GZBH603-G-07
GZBH603-G-08
GZBH603-G-09
GZBH603-G-10
GZBH603-G-11
GZBH603-G-12
GZBH603-G-13
GZBH603-H-02
GZBH603-H-03
GZBH603-H-04
GZBH603-H-05
GZBH603-H-06
GZBH603-H-07
GZBH603-H-08
GZBH603-H-09
GZBH603-H-10
GZBH603-H-11
GZBH603-H-12
GZBH603-H-13
GZBH603-H-14
GZBH603-H-15
GZBH603-J-02
GZBH603-J-03
GZBH603-J-04
GZBH603-J-05
GZBH603-J-06
GZBH603-J-07
GZBH603-J-08
GZBH603-J-09
GZBH603-J-10
GZBH603-J-11
GZBH603-J-12
GZBH603-J-13
</t>
  </si>
  <si>
    <t xml:space="preserve">GZBHB501-E-01
GZBHB501-E-02
GZBHB501-F-15
GZBHB501-H-01
GZBHB501-H-02
GZBHB501-N-12
GZBHB601-A-14
GZBHB601-G-01
GZBHB601-G-02
GZBHB701-A-13
GZBHB701-D-01
GZBHB701-D-02
</t>
  </si>
  <si>
    <t xml:space="preserve">GZBHB501-K-07
GZBHB501-L-07
GZBHB601-D-01
GZBHB601-D-02
GZBHB601-K-01
GZBHB601-K-02
</t>
  </si>
  <si>
    <t xml:space="preserve">GZBHB501-J-09
GZBHB501-J-10
GZBHB501-M-09
GZBHB501-M-10
</t>
  </si>
  <si>
    <t xml:space="preserve">24KW,GZBHB501-J-02
GZBHB501-J-04
GZBHB501-K-02
GZBHB501-K-05
GZBHB501-L-02
GZBHB501-L-05
GZBHB501-M-02
GZBHB501-M-04
</t>
  </si>
  <si>
    <t xml:space="preserve">GZBH602-F-02
GZBH602-F-03
GZBH602-F-04
GZBH602-F-05
GZBH602-F-06
GZBH602-F-07
GZBH602-F-08
GZBH602-F-09
GZBH602-F-10
GZBH602-F-11
GZBH602-F-12
GZBH602-F-13
GZBH602-G-02
GZBH602-G-03
GZBH602-G-04
GZBH602-G-05
GZBH602-G-06
GZBH602-G-07
GZBH602-G-08
GZBH602-G-09
GZBH602-M-13
GZBH602-M-14
</t>
  </si>
  <si>
    <t>GZBH601-E-02
GZBH601-E-03
GZBH601-E-04
GZBH601-E-05
GZBH601-E-07
GZBH602-G-10
GZBH602-G-11
GZBH602-G-12
GZBH602-G-13
GZBH602-H-02
GZBH602-H-03
GZBH602-H-04
GZBH602-H-05
GZBH602-H-06
GZBH602-H-07
GZBH602-H-08
GZBH602-H-09
GZBH602-H-10
GZBH602-H-11
GZBH602-H-12
GZBH602-H-13
GZBH602-H-14
GZBH602-H-15
GZBH602-J-02
GZBH602-J-03
GZBH602-J-04
GZBH602-J-05</t>
  </si>
  <si>
    <t xml:space="preserve">
GZBH601-B-01
GZBH601-B-05
GZBH601-B-06
GZBH602-J-10
GZBH602-J-06
GZBH602-J-07
GZBH602-J-08
GZBH602-J-09
GZBH602-J-11
GZBH602-J-13
GZBH602-K-02
GZBH602-K-03
GZBH602-K-04
GZBH602-K-05
GZBH602-K-06
GZBH602-K-07
GZBH602-K-08
GZBH602-K-09
GZBH602-K-10
GZBH602-K-11
GZBH602-K-12
GZBH602-K-13</t>
  </si>
  <si>
    <t xml:space="preserve">GZBH601-D-15
GZBH601-E-01
</t>
  </si>
  <si>
    <t xml:space="preserve">GZBH602-J-12
GZBH602-J-14
GZBH602-J-15
GZBH602-L-02
GZBH602-L-04
GZBH602-L-06
GZBH602-L-07
GZBH602-L-08
GZBH602-L-09
GZBH602-L-10
GZBH602-L-11
GZBH602-L-12
GZBH602-L-13
GZBH602-L-14
GZBH602-L-15
GZBH602-M-01
GZBH602-M-03
GZBH602-M-05
</t>
  </si>
  <si>
    <t xml:space="preserve">GZBH602-L-01
GZBH602-L-03
GZBH602-L-05
GZBH602-M-02
GZBH602-M-04
GZBH602-M-06
GZBH602-M-07
</t>
  </si>
  <si>
    <t xml:space="preserve">GZBHB501-C-01
GZBHB501-C-02
GZBHB501-C-03
GZBHB501-C-04
GZBHB501-C-05
GZBHB501-C-06
GZBHB501-C-07
GZBHB501-C-08
GZBHB501-C-09
GZBHB501-C-10
GZBHB501-C-11
GZBHB501-C-12
GZBHB501-C-13
GZBHB501-D-02
GZBHB501-D-03
GZBHB501-D-04
GZBHB501-D-05
GZBHB501-D-06
GZBHB501-D-07
GZBHB501-D-08
GZBHB501-D-09
GZBHB501-D-10
GZBHB501-D-11
GZBHB501-D-12
GZBHB501-D-13
GZBHB501-D-14
GZBHB501-D-15
GZBHB501-E-04
GZBHB501-E-05
GZBHB501-E-06
GZBHB501-E-07
GZBHB501-E-08
GZBHB501-E-09
GZBHB501-E-10
GZBHB501-E-11
GZBHB501-E-12
GZBHB501-E-13
GZBHB501-E-14
GZBHB501-E-15
GZBHB501-F-01
GZBHB501-F-02
GZBHB501-F-03
GZBHB501-F-04
GZBHB501-F-05
GZBHB501-F-06
GZBHB501-F-07
GZBHB501-F-08
GZBHB501-F-09
GZBHB501-F-10
GZBHB501-F-11
GZBHB501-F-12
GZBHB501-F-13
GZBHB501-F-14
GZBHB501-G-02
GZBHB501-G-03
GZBHB501-G-04
GZBHB501-G-05
GZBHB501-G-06
GZBHB501-G-07
GZBHB501-G-08
GZBHB501-G-09
GZBHB501-G-10
GZBHB501-G-11
</t>
  </si>
  <si>
    <t>GZBH601-B-07</t>
  </si>
  <si>
    <t xml:space="preserve">GZBHB501-G-12
GZBHB501-G-13
GZBHB501-H-03
GZBHB501-H-04
GZBHB501-H-05
GZBHB501-H-06
GZBHB501-H-07
GZBHB501-H-08
GZBHB501-H-09
</t>
  </si>
  <si>
    <t xml:space="preserve">GZBHB601-A-01
GZBHB601-A-02
GZBHB601-A-03
GZBHB601-A-04
GZBHB601-A-07
GZBHB601-A-08
GZBHB601-A-09
GZBHB601-A-10
GZBHB601-A-11
GZBHB601-A-12
GZBHB601-B-01
GZBHB601-B-02
GZBHB601-B-03
GZBHB601-B-04
GZBHB601-B-05
GZBHB601-B-06
GZBHB601-B-07
GZBHB601-B-08
GZBHB601-B-09
GZBHB601-B-10
GZBHB601-B-11
GZBHB601-B-12
GZBHB601-B-13
GZBHB601-B-14
GZBHB601-B-15
GZBHB601-B-16
GZBHB601-C-01
GZBHB601-C-02
GZBHB601-C-03
GZBHB601-C-04
</t>
  </si>
  <si>
    <t xml:space="preserve">GZBHB701-G-01
GZBHB701-G-02
</t>
  </si>
  <si>
    <t>GZBHB701-K-01 GZBHB701-K-02 GZBHB701-N-01 GZBHB701-N-02</t>
  </si>
  <si>
    <t xml:space="preserve">GZBHB601-C-05
GZBHB601-C-06
GZBH603-J-14
GZBH603-J-15
GZBH603-K-02
GZBH603-K-03
GZBH603-K-04
GZBH603-K-05
GZBH603-K-06
GZBH603-K-07
GZBH603-K-08
GZBH603-K-09
GZBH603-K-10
GZBH603-K-11
GZBH603-K-12
GZBH603-K-13
GZBH603-L-01
GZBH603-L-02
</t>
  </si>
  <si>
    <t xml:space="preserve">GZBHB601-C-07
GZBHB601-C-08
GZBHB601-C-09
GZBHB601-C-10
GZBHB601-C-11
GZBHB601-C-12
GZBHB601-C-13
GZBHB601-C-14
GZBHB601-C-15
GZBHB601-C-16
GZBHB601-D-03
GZBHB601-D-04
GZBHB601-D-05
GZBHB601-D-06
GZBHB601-D-07
GZBHB601-D-08
GZBHB601-D-09
GZBHB601-D-10
GZBHB601-D-11
GZBHB601-D-12
GZBHB601-D-13
GZBHB601-D-14
GZBHB601-E-01
GZBHB601-E-02
GZBHB601-E-03
GZBHB601-E-04
</t>
  </si>
  <si>
    <t xml:space="preserve">GZBHB401-A-13
GZBHB401-E-01
GZBHB401-E-02
GZBHB401-M-01
GZBHB401-M-02
GZBHB801-A-13
GZBHB801-D-01
GZBHB801-D-02
</t>
  </si>
  <si>
    <t>GZBHB801-K-01
GZBHB801-K-02
GZBHB801-N-01
GZBHB801-N-02</t>
  </si>
  <si>
    <t>GZBHB501-H-10
GZBHB501-H-11</t>
  </si>
  <si>
    <t xml:space="preserve">GZBHB401-A-01
GZBHB401-A-02
GZBHB401-A-03
GZBHB401-A-04
GZBHB401-A-05
GZBHB401-A-06
GZBHB401-A-07
GZBHB401-A-08
GZBHB401-A-09
GZBHB401-A-10
GZBHB401-A-11
GZBHB401-B-01
GZBHB401-B-02
GZBHB401-B-03
GZBHB401-B-04
GZBHB401-B-05
GZBHB401-B-06
GZBHB401-B-07
GZBHB401-B-08
GZBHB401-B-09
GZBHB401-B-10
GZBHB401-B-11
GZBHB401-B-12
GZBHB401-B-13
GZBHB401-B-14
GZBHB401-B-15
GZBHB401-C-01
GZBHB401-C-02
GZBHB401-C-03
GZBHB401-C-04
GZBHB401-C-05
GZBHB401-C-06
GZBHB401-C-07
GZBHB401-C-08
GZBHB401-C-09
GZBHB401-C-10
GZBHB401-C-11
GZBHB401-C-12
GZBHB401-C-13
GZBHB401-C-14
GZBHB401-C-15
GZBHB401-D-01
GZBHB401-D-02
GZBHB401-D-03
</t>
  </si>
  <si>
    <t xml:space="preserve">GZBHB701-G-04
GZBHB701-G-05
GZBHB701-G-06
GZBHB701-G-07
GZBHB701-G-08
GZBHB701-G-09
GZBHB701-G-10
GZBHB701-G-11
GZBHB701-G-12
GZBHB701-G-13
</t>
  </si>
  <si>
    <t xml:space="preserve">GZBHB401-D-04
GZBHB401-D-05
GZBHB401-D-06
GZBHB401-D-07
GZBHB401-D-08
GZBHB401-D-09
GZBHB401-D-10
GZBHB401-D-11
GZBHB401-D-12
GZBHB401-D-13
GZBHB401-E-03
GZBHB401-E-04
GZBHB401-E-05
GZBHB401-E-06
GZBHB401-E-07
GZBHB401-E-08
GZBHB401-E-09
GZBHB401-E-10
GZBHB401-E-11
GZBHB401-E-12
GZBHB401-E-13
GZBHB401-E-14
GZBHB401-E-15
GZBHB401-F-01
GZBHB401-F-02
GZBHB401-F-03
GZBHB401-F-04
GZBHB401-F-05
</t>
  </si>
  <si>
    <t xml:space="preserve">GZBHB601-E-05
GZBHB601-E-06
GZBHB601-E-07
GZBHB601-E-08
GZBHB601-E-09
GZBHB601-E-10
GZBHB601-E-11
GZBHB601-E-12
GZBHB601-E-13
GZBHB601-E-14
GZBHB601-E-15
GZBHB601-E-16
GZBHB601-F-01
GZBHB601-F-02
GZBHB601-F-03
GZBHB601-F-04
GZBHB601-F-05
GZBHB601-F-06
GZBHB601-F-07
GZBHB601-F-08
GZBHB601-F-09
GZBHB601-F-10
GZBHB601-F-11
GZBHB601-F-12
GZBHB601-F-13
GZBHB601-F-14
GZBHB601-F-15
GZBHB601-F-16
GZBHB601-G-03
GZBHB601-G-04
GZBHB601-G-05
GZBHB601-G-06
GZBHB601-G-07
GZBHB601-G-08
GZBHB601-G-09
GZBHB601-G-10
GZBHB601-G-11
GZBHB601-G-12
GZBHB601-G-13
GZBHB601-G-14
GZBHB601-G-15
GZBHB601-G-16
GZBHB601-H-01
GZBHB601-H-02
GZBHB601-H-03
GZBHB601-H-04
GZBHB601-H-05
GZBHB601-H-06
GZBHB601-H-07
GZBHB601-H-08
GZBHB601-H-09
GZBHB601-H-10
GZBHB601-H-11
GZBHB601-H-12
GZBHB601-H-13
GZBHB601-H-14
GZBHB601-J-01
GZBHB601-J-02
GZBHB601-J-03
GZBHB601-J-04
GZBHB601-J-05
GZBHB601-J-06
GZBHB601-J-07
GZBHB601-J-08
GZBHB601-J-09
GZBHB601-J-10
GZBHB601-J-11
GZBHB601-J-12
GZBHB601-J-13
GZBHB601-J-14
</t>
  </si>
  <si>
    <t xml:space="preserve">GZBHB601-J-15
GZBHB601-J-16
GZBHB601-K-03
GZBHB601-K-04
GZBHB601-K-05
GZBHB601-K-06
GZBHB601-K-07
GZBHB601-K-08
GZBHB601-K-09
GZBHB601-K-10
GZBHB601-K-11
GZBHB601-K-12
GZBHB601-K-13
GZBHB601-K-14
GZBHB601-K-15
GZBHB601-K-16
GZBHB601-L-01
GZBHB601-L-02
GZBHB601-L-03
GZBHB601-L-04
GZBHB601-L-05
GZBHB601-L-06
GZBHB601-L-07
GZBHB601-L-08
GZBHB601-L-09
GZBHB601-L-10
GZBHB601-L-11
GZBHB601-L-12
GZBHB601-L-13
GZBHB601-L-14
GZBHB601-L-15
GZBHB601-L-16
GZBHB601-M-01
GZBHB601-M-02
GZBHB601-M-03
GZBHB601-M-04
</t>
  </si>
  <si>
    <t xml:space="preserve">GZBHB601-M-05
GZBHB601-M-06
GZBHB601-M-07
GZBHB601-M-08
GZBHB601-M-09
GZBHB601-M-10
GZBHB601-M-11
GZBHB601-M-12
GZBHB601-M-13
GZBHB601-M-14
GZBHB701-A-01
GZBHB701-A-02
GZBHB701-A-03
GZBHB701-A-04
GZBHB701-A-05
GZBHB701-A-06
GZBHB701-A-07
GZBHB701-A-08
GZBHB701-A-09
GZBHB701-A-10
GZBHB701-A-11
GZBHB701-B-01
GZBHB701-B-02
GZBHB701-B-03
GZBHB701-B-04
GZBHB701-B-05
GZBHB701-B-06
GZBHB701-B-07
GZBHB701-B-08
GZBHB701-B-09
GZBHB701-B-10
GZBHB701-B-11
GZBHB701-B-12
GZBHB701-B-13
GZBHB701-B-14
GZBHB701-B-15
GZBHB701-C-02
GZBHB701-C-03
GZBHB701-C-04
GZBHB701-C-05
GZBHB701-C-06
GZBHB701-C-07
</t>
  </si>
  <si>
    <t xml:space="preserve">GZBHB401-F-06GZBHB401-F-07
GZBHB401-F-08
GZBHB401-F-09
GZBHB401-F-10
GZBHB401-F-11
</t>
  </si>
  <si>
    <t xml:space="preserve">GZBHB701-F-02
GZBHB701-F-03
GZBHB701-F-04
GZBHB701-F-05
GZBHB701-F-06
GZBHB701-F-07
GZBHB701-F-08
GZBHB701-F-09
GZBHB701-F-10
GZBHB701-F-11
GZBHB701-F-12
GZBHB701-F-13
GZBHB701-F-14
GZBHB701-F-15
</t>
  </si>
  <si>
    <t xml:space="preserve">GZBHB401-F-12
GZBHB401-F-13
GZBHB401-F-14
GZBHB401-F-15
GZBHB401-G-02
GZBHB401-G-03
</t>
  </si>
  <si>
    <t>GZBHB601-A-05
GZBHB601-A-06
GZBHB701-C-08
GZBHB701-C-09
GZBHB701-C-10
GZBHB701-C-11
GZBHB701-C-12
GZBHB701-C-13
GZBHB701-G-14
GZBHB701-G-15
GZBHB701-H-01
GZBHB701-H-02
GZBHB701-H-03
GZBHB701-H-04
GZBHB701-H-05
GZBHB701-H-06
GZBHB701-H-07
GZBHB701-H-08
GZBHB701-H-09
GZBHB701-H-10
GZBHB701-H-11
GZBHB701-H-12
GZBHB701-H-13
GZBHB701-J-01
GZBHB701-J-02
GZBHB701-J-03
GZBHB701-J-04
GZBHB701-J-05
GZBHB701-J-06
GZBHB701-J-07
GZBHB701-J-08
GZBHB701-J-09
GZBHB701-J-10
GZBHB701-J-11
GZBHB701-J-12
GZBHB701-J-13
GZBHB701-J-14
GZBHB701-J-15
GZBHB701-K-03
GZBHB701-K-04
GZBHB701-K-05
GZBHB701-K-06
GZBHB701-K-07
GZBHB701-K-08
GZBHB701-K-09
GZBHB701-K-10
GZBHB701-K-11
GZBHB701-K-12
GZBHB701-K-13
GZBHB701-K-14
GZBHB701-K-15
GZBHB701-L-01
GZBHB701-L-02
GZBHB701-L-03</t>
  </si>
  <si>
    <t>GZBHB701-C-14
GZBHB701-C-15
GZBHB701-D-03
GZBHB701-D-04
GZBHB701-D-05
GZBHB701-D-06
GZBHB701-D-07
GZBHB701-D-08
GZBHB701-D-09
GZBHB701-D-10
GZBHB701-D-11
GZBHB701-D-12
GZBHB701-D-13
GZBHB701-E-01</t>
  </si>
  <si>
    <t>GZBHB401-K-08
GZBHB401-K-09
GZBHB401-K-10
GZBHB401-K-11</t>
  </si>
  <si>
    <t xml:space="preserve">GZBHB401-L-09
GZBHB401-L-10
GZBHB401-L-11
</t>
  </si>
  <si>
    <t xml:space="preserve">GZBHB401-G-04
GZBHB401-G-05
GZBHB401-G-06
GZBHB401-G-07
GZBHB401-G-08
GZBHB401-G-09
GZBHB401-G-10
GZBHB401-G-11
GZBHB401-G-12
GZBHB401-G-13
GZBHB401-G-14
GZBHB401-G-15
GZBHB401-H-01
GZBHB401-H-02
GZBHB401-H-03
GZBHB401-H-04
GZBHB401-H-05
GZBHB401-H-06
GZBHB401-H-07
GZBHB401-H-08
GZBHB401-H-09
GZBHB401-H-10
GZBHB401-H-11
GZBHB401-H-12
GZBHB401-H-13
GZBHB401-J-01
GZBHB401-J-02
GZBHB401-J-03
GZBHB401-J-04
GZBHB401-J-05
GZBHB401-J-06
GZBHB401-J-07
GZBHB401-J-08
GZBHB401-J-09
GZBHB401-J-10
GZBHB401-J-11
GZBHB401-J-12
GZBHB401-J-13
GZBHB401-J-14
GZBHB401-J-15
GZBHB401-K-01
GZBHB401-K-02
GZBHB401-K-03
GZBHB401-K-04
GZBHB401-K-05
</t>
  </si>
  <si>
    <t>GZBHB701-L-04
GZBHB701-L-05
GZBHB701-L-06
GZBHB701-L-07
GZBHB701-L-08
GZBHB701-L-09
GZBHB701-L-10
GZBHB701-L-11
GZBHB701-L-12
GZBHB701-L-13
GZBHB701-L-14
GZBHB701-L-15
GZBHB701-M-01
GZBHB701-M-02
GZBHB701-M-03
GZBHB701-M-04
GZBHB701-M-05
GZBHB701-M-06
GZBHB701-M-07
GZBHB701-M-08
GZBHB701-M-09
GZBHB701-M-10
GZBHB701-M-11
GZBHB701-N-03
GZBHB701-N-04
GZBHB701-N-05
GZBHB701-N-06
GZBHB701-N-07
GZBHB701-N-08
GZBHB701-N-09
GZBHB701-N-10
GZBHB701-N-11
GZBHB701-E-02
GZBHB701-E-03
GZBHB701-E-04
GZBHB701-E-05
GZBHB701-E-06
GZBHB701-E-07</t>
  </si>
  <si>
    <t xml:space="preserve">GZBHB701-E-08
GZBHB701-E-09
GZBHB701-E-10
GZBHB701-E-11
GZBHB701-E-12
GZBHB701-E-13
GZBHB701-E-14
GZBHB701-E-15
</t>
  </si>
  <si>
    <t xml:space="preserve">GZBHB701-P-02
GZBHB701-P-03
GZBHB701-P-04
GZBHB701-P-05
GZBHB701-P-06
GZBHB701-P-07
GZBHB701-P-08
GZBHB701-P-09
GZBHB701-P-10
GZBHB701-P-11
</t>
  </si>
  <si>
    <t xml:space="preserve">GZBHB401-L-15
GZBHB401-M-03
GZBHB401-M-04
GZBHB401-M-05
GZBHB401-M-06
GZBHB401-M-07
GZBHB401-M-08
GZBHB401-M-09
GZBHB401-M-10
GZBHB401-M-11
GZBHB401-M-12
GZBHB401-M-13
GZBHB401-N-07
GZBHB401-N-08
GZBHB401-N-09
</t>
  </si>
  <si>
    <t xml:space="preserve">GZBHB401-Q-01
GZBHB401-Q-02
GZBHB401-Q-03
</t>
  </si>
  <si>
    <t xml:space="preserve">GZBHB401-L-08
GZBHB401-L-12
GZBHB401-L-13
GZBHB401-L-14
GZBHB401-N-10
GZBHB401-N-11
GZBHB401-N-12
GZBHB401-N-13
</t>
  </si>
  <si>
    <t xml:space="preserve">GZBHB401-K-06
GZBHB401-K-07
GZBHB401-K-12
GZBHB401-K-13
GZBHB401-K-14
GZBHB401-K-15
GZBHB401-L-06
GZBHB401-L-07
</t>
  </si>
  <si>
    <t xml:space="preserve">GZBHB401-Q-05
GZBHB401-Q-06
GZBHB401-Q-07
</t>
  </si>
  <si>
    <t>GZBHB701-P-01
GZBHB701-P-12
GZBHB701-P-13
GZBHB701-P-14
GZBHB701-P-15</t>
  </si>
  <si>
    <t>GZBHB801-G-01
GZBHB801-G-02
GZBHB801-G-03
GZBHB801-G-06
GZBHB801-G-07
GZBHB801-H-06
GZBHB801-H-07
GZBHB801-H-10
GZBHB801-H-11
GZBHB801-H-12</t>
  </si>
  <si>
    <t>GZBH603-L-03
GZBH603-L-04
GZBH603-L-05
GZBH603-L-06
GZBH603-L-07
GZBH603-L-08</t>
  </si>
  <si>
    <t xml:space="preserve">GZBHB401-P-01
GZBHB401-P-02
GZBHB801-G-12
GZBHB801-G-13
GZBHB801-G-14
GZBHB801-G-15
GZBHB801-H-08
GZBHB801-H-09
</t>
  </si>
  <si>
    <t xml:space="preserve">云托管-GZBHB801-P-01
GZBHB801-P-02
GZBHB801-P-03
GZBHB801-P-04
GZBHB801-P-05
GZBHB801-P-06
GZBHB801-P-07
GZBHB801-P-08
GZBHB801-P-09
GZBHB801-P-10
</t>
  </si>
  <si>
    <t>GZBH603-L-09
GZBH603-L-10</t>
  </si>
  <si>
    <t>GZBHB701-C-01</t>
  </si>
  <si>
    <t>GZBHB501-J-05
GZBHB501-J-06
GZBHB501-J-07
GZBHB501-J-08</t>
  </si>
  <si>
    <t>GZBHB401-L-01
GZBHB401-L-02
GZBHB401-L-03
GZBHB401-L-04
GZBHB401-L-05
GZBHB401-N-01
GZBHB401-N-02
GZBHB401-N-03
GZBHB401-N-04
GZBHB401-N-05
GZBHB401-N-06
GZBHB401-P-12
GZBHB401-P-13
GZBHB801-E-04
GZBHB801-E-05
GZBHB801-E-06
GZBHB801-E-07
GZBHB801-E-08
GZBHB801-E-09
GZBHB801-E-10
GZBHB801-E-11
GZBHB801-E-12
GZBHB801-E-13
GZBHB801-E-14
GZBHB801-E-15
GZBHB801-J-01
GZBHB801-J-02
GZBHB801-J-03
GZBHB801-J-04
GZBHB801-J-05
GZBHB801-J-06
GZBHB801-J-07
GZBHB801-J-08
GZBHB801-J-09
GZBHB801-J-10
GZBHB801-J-11
GZBHB801-J-12
GZBHB801-J-13
GZBHB801-J-14
GZBHB801-J-15
GZBHB801-K-03
GZBHB801-K-04
GZBHB801-K-05
GZBHB801-K-06
GZBHB801-K-07
GZBHB801-K-08
GZBHB801-K-09
GZBHB801-K-10
GZBHB801-K-11
GZBHB801-K-12
GZBHB801-K-13
GZBHB801-K-14
GZBHB801-K-15
GZBHB801-L-01
GZBHB801-L-02
GZBHB801-L-03
GZBHB801-L-04
GZBHB801-L-05
GZBHB801-L-06
GZBHB801-L-07
GZBHB801-L-08
GZBHB801-L-09
GZBHB801-L-10
GZBHB801-L-11
GZBHB801-L-12
GZBHB801-L-13
GZBHB801-L-14
GZBHB801-L-15
GZBHB801-M-01
GZBHB801-M-02</t>
  </si>
  <si>
    <t>GZBHB501-D-01
GZBHB501-G-01
GZBHB501-H-12
GZBHB501-H-13
GZBHB501-H-14
GZBHB501-H-15
GZBHB701-F-01
GZBHB701-G-03
GZBHB701-M-12
GZBHB701-M-13
GZBHB701-N-12
GZBHB701-N-13
GZBHB701-Q-01
GZBHB701-Q-02
GZBHB701-Q-03</t>
  </si>
  <si>
    <t>GZBHB401-P-08
GZBHB401-P-09
GZBHB401-Q-10
GZBHB401-Q-11</t>
  </si>
  <si>
    <t>GZBHB401-P-10
GZBHB401-P-11
GZBHB401-Q-08
GZBHB401-Q-09
GZBHB401-Q-12
GZBHB401-Q-13
GZBHB401-Q-14
GZBHB401-Q-15</t>
  </si>
  <si>
    <t>GZBHB401-P-04
GZBHB401-P-05
GZBHB401-P-06</t>
  </si>
  <si>
    <t>GZBH603-L-13
GZBH603-L-14
GZBH603-L-15</t>
  </si>
  <si>
    <t>GZBHB501-E-03
GZBHB701-Q-04
GZBHB701-Q-05
GZBHB701-Q-06
GZBHB701-Q-07
GZBHB701-Q-08
GZBHB701-Q-09
GZBHB701-Q-10
GZBHB701-Q-11
GZBHB701-Q-12
GZBHB701-Q-13
GZBHB701-Q-14
GZBHB701-Q-15
GZBHB401-G-01
GZBHB401-P-03
GZBHB401-P-14
GZBHB401-P-15
GZBHB401-Q-04
GZBHB801-F-01
GZBHB801-F-02
GZBHB801-F-03
GZBHB801-F-04
GZBHB801-F-05
GZBHB801-F-06
GZBHB801-F-07
GZBHB801-F-08
GZBHB801-F-09
GZBHB801-F-10
GZBHB801-F-11
GZBHB801-F-12
GZBHB801-F-13
GZBHB801-F-14
GZBHB801-F-15
GZBHB801-G-04
GZBHB801-G-05
GZBHB801-G-08
GZBHB801-G-09
GZBHB801-G-10
GZBHB801-G-11
GZBHB801-H-01
GZBHB801-H-02
GZBHB801-H-03
GZBHB801-H-04
GZBHB801-H-05
GZBHB801-H-13
GZBHB801-M-03
GZBHB801-M-04
GZBHB801-M-05</t>
  </si>
  <si>
    <t>GZBH603-M-01
GZBH603-M-02
GZBH603-M-03
GZBH603-M-04
GZBH603-M-05
GZBH603-M-06
GZBH603-M-07
GZBH603-M-08
GZBHB801-A-10
GZBHB801-A-11</t>
  </si>
  <si>
    <t>GZBH602-E-12
GZBH602-E-13
GZBH602-E-14
GZBH602-E-15</t>
  </si>
  <si>
    <t>GZBH601-K-01
GZBH602-B-01
GZBH602-B-11
GZBH602-G-01
GZBH602-H-01
GZBH602-J-01
GZBH602-K-01
GZBH602-M-08
GZBH602-M-12
GZBH603-A-01
GZBH603-B-01
GZBH603-C-01
GZBH603-D-01
GZBH603-E-01
GZBH603-F-01
GZBH603-G-01
GZBH603-H-01
GZBH603-J-01
GZBH603-K-01
GZBH603-L-11
GZBH603-L-12
GZBH603-M-09
GZBH603-M-10
GZBH603-M-11
GZBH603-M-12
GZBH603-M-13
GZBH603-M-14</t>
  </si>
  <si>
    <t>GZBHB401-P-07 GZBH602-C-01
GZBH602-D-01
GZBH602-E-01</t>
  </si>
  <si>
    <t>GZBH602-F-01</t>
  </si>
  <si>
    <t>GZBH601-D-15
GZBHB801-A-10
GZBHB801-A-11</t>
  </si>
  <si>
    <t>GZBHB501-A-02 GZBHB501-B-02</t>
  </si>
  <si>
    <t>GZBHB801-A-06
GZBHB801-A-07
GZBHB801-A-08
GZBHB801-A-10
GZBHB801-A-11</t>
  </si>
  <si>
    <t>GZBHB501-A-05
GZBHB501-A-06
GZBHB501-B-05
GZBHB501-B-06</t>
  </si>
  <si>
    <t>GZBH601-D-15</t>
  </si>
  <si>
    <t>云托管，GZBHB801-P-11</t>
  </si>
  <si>
    <t>GZBHB801-A-04
GZBHB801-A-05
GZBHB801-A-09</t>
  </si>
  <si>
    <t>GZBHB501-A-07
GZBHB501-A-08
GZBHB501-B-07
GZBHB501-B-08</t>
  </si>
  <si>
    <t>GZBHB801-B-01
GZBHB801-B-02
GZBHB801-C-02
GZBHB801-C-03
GZBHB801-C-04
GZBHB801-C-05
GZBHB801-C-06
GZBHB801-C-07
GZBHB801-C-08
GZBHB801-C-09
GZBHB801-C-10
GZBHB801-C-11
GZBHB801-C-12
GZBHB801-C-13
GZBHB801-C-14
GZBHB801-C-15</t>
  </si>
  <si>
    <t>GZBHB801-A-01
GZBHB801-A-02
GZBHB801-A-03
GZBHB801-B-03
GZBHB801-B-04
GZBHB801-B-05
GZBHB801-B-06
GZBHB801-B-07
GZBHB801-B-08
GZBHB801-B-09
GZBHB801-B-10
GZBHB801-B-11
GZBHB801-B-12
GZBHB801-B-13
GZBHB801-B-14</t>
  </si>
  <si>
    <t>GZBHB801-B-15
GZBHB801-C-01
GZBHB801-D-03
GZBHB801-D-04</t>
  </si>
  <si>
    <t>GZBHB501-A-04
GZBHB501-B-04</t>
  </si>
  <si>
    <t>博浩一期&amp;二期</t>
  </si>
  <si>
    <t>博浩二期中的B栋交付时间：2020年7月31日
博浩二期中的C栋6层交付时间：2019年3月30日；博浩一期&amp;二期保底合并：（1）甲方承诺自机房通过验收当月起计，以每批交付机柜总数和时间为起始，第36个月起租40%，第48个月起租80%，第60个月起租90%，预留10%不做起租要求，如实际开通未达保底量则按保底量计费。
（2）本次机柜开通保底量和博浩一期（百度合同编号：181815IDC00115）机柜开通保底量合并计算叠加总量。例如本机房2019年3月30日完成机房交付验收，一期机房是2018年5月29日完成机房交付验收，则自2019年5月30日起，本机房和博浩一期机房保底机柜合计为600个机柜，两个机房总开通机柜量达600个则满足保底要求；以此类推。
1.5其它约定：
（1）如甲方在首批机柜交付后的第19个月内开通1500个机柜，则自第20个月开始，4.4KW机柜给予甲方优惠价调整为5750元/机柜/月。
（2）如甲方在首批机柜交付后的第13个月内开通1000个机柜，则自第14个月开始，4.4KW机柜给予甲方优惠价调整为5700元/机柜/月。
（3）原则上，甲方实际开通机柜未达保底量时按保底量收费，其中未开通机柜部分按照3412元/机柜/月计费。</t>
  </si>
  <si>
    <t>181815IDC00116</t>
  </si>
  <si>
    <t>计费规则为基本月租费X12个月/365天：博浩-华新园、博浩-华龙、博浩-南沙机房、博浩-南沙M3A，四条线，每月16万。从18年6月开始补计提，合同已生效，结算时看最终的确认邮件。3月计提时备注：19年3月费用。</t>
  </si>
  <si>
    <t>计费规则为基本月租费X12个月/365天：1月新增</t>
  </si>
  <si>
    <t>L20210615004</t>
  </si>
  <si>
    <t>南沙-深圳</t>
  </si>
  <si>
    <t>202108开始免费</t>
  </si>
  <si>
    <t>181915IDC00157</t>
  </si>
  <si>
    <t>博浩-科学城</t>
  </si>
  <si>
    <t>1820202IDC00128</t>
  </si>
  <si>
    <t>30122027881 华新园-深圳百度</t>
  </si>
  <si>
    <t>30122027854 博浩-深圳百度</t>
  </si>
  <si>
    <t>L20230217001</t>
  </si>
  <si>
    <t>GZBH移动CDN</t>
  </si>
  <si>
    <t>120.232.144.0/24 业务网段
120.232.145.0/24业务网段</t>
  </si>
  <si>
    <t>11.45.0.125/30 互联地址网段
111.45.0.129/30互联地址网段</t>
  </si>
  <si>
    <t>2409:8C54:0882:0000::/64业务网段
2409:8C54:0882:0001::/64业务网段</t>
  </si>
  <si>
    <t>L20230424001</t>
  </si>
  <si>
    <t xml:space="preserve">IDC，120.232.146.0/24  
120.232.147.0/24  </t>
  </si>
  <si>
    <t>补202303，新合同15000，补差额</t>
  </si>
  <si>
    <t>补202302，新合同15000，补差额</t>
  </si>
  <si>
    <t>中国移动通信集团湖南有限公司长沙分公司</t>
  </si>
  <si>
    <t>长沙移动</t>
  </si>
  <si>
    <t>182315IDC00083</t>
  </si>
  <si>
    <t>长沙移动2</t>
  </si>
  <si>
    <t>CDNCSCM2</t>
  </si>
  <si>
    <t>使用288个，（2）20220731退租带宽后IP计费变动。合同条款针对甲方内容分发节点业务，乙方每百G互联网接入带宽包含 200  个IPv4地址</t>
  </si>
  <si>
    <t>湘潭</t>
  </si>
  <si>
    <t>CDNXIANGTCM</t>
  </si>
  <si>
    <t>使用544个</t>
  </si>
  <si>
    <t>湘潭BEC</t>
  </si>
  <si>
    <t>使用256个。20220731退租带宽后IP计费变动。合同条款针对甲方内容分发节点业务，乙方每百G互联网接入带宽包含 200  个IPv4地址</t>
  </si>
  <si>
    <t>边缘计算使用128个，36.158.181.0/25</t>
  </si>
  <si>
    <t>先按照20220812退租记录。CDN36.158.197.128/25 36.158.198.0/24</t>
  </si>
  <si>
    <t>先按照20220812退租记录。CDN36.158.197.128/25 36.158.198.0/24.剩余36.158.197.0/25 36.158.199.0/27 36.158.184.0/24(BEC IP) 36.158.181.0/25(BEC IP)</t>
  </si>
  <si>
    <t>长沙2</t>
  </si>
  <si>
    <t>长沙移动无人车</t>
  </si>
  <si>
    <t>长沙3</t>
  </si>
  <si>
    <t>长沙3移动</t>
  </si>
  <si>
    <t>湘潭移动</t>
  </si>
  <si>
    <t>原计提9个，2018年11月扩容传输机柜1个CSCM28F-17-5
CSCM28F-17-6
CSCM28F-17-7
CSCM28F-17-8
CSCM28F-17-9
CSCM28F-17-10
CSCM28F-17-11
CSCM28F-17-12
CSCM28F-17-13。其中CSCM28F-17-9,CSCM28F-17-10,CSCM28F-17-8,CSCM28F-17-7,CSCM28F-17-6,CSCM28F-17-5变更为CDNCSCM2:8F:IDC-17-CDN5,CDNCSCM2:8F:IDC-17-CDN6,CDNCSCM2:8F:IDC-17-CDN7,CDNCSCM2:8F:IDC-17-CDN8,CDNCSCM2:8F:IDC-17-CDN9,CDNCSCM2:8F:IDC-17-CDN10</t>
  </si>
  <si>
    <t>原计提9个，2018年11月扩容传输机柜1个CSCM28F-17-14</t>
  </si>
  <si>
    <t>3月无人车项目新增机架CSCM28F-17-04</t>
  </si>
  <si>
    <t>CS3CM8FEAST-05-02
CS3CM8FEAST-05-03
CS3CM8FEAST-05-12
CS3CM8FEAST-05-13
CS3CM8FEAST-05-14</t>
  </si>
  <si>
    <t>XIANGTCM301-J8
XIANGTCM301-J9
XIANGTCM301-J10
XIANGTCM301-J11
XIANGTCM301-J12
XIANGTCM301-J13
XIANGTCM301-J14
XIANGTCM301-J15
XIANGTCM301-J16</t>
  </si>
  <si>
    <t>边缘计算，XIANGTCMBEC301-J-17, XIANGTCMBEC301-J-18, XIANGTCMBEC301-J-19,</t>
  </si>
  <si>
    <t>先按照20220812退租记录。CDN：XIANGTCM301-J-16,XIANGTCM301-J-15,XIANGTCM301-J-14,XIANGTCM301-J-11,XIANGTCM301-J-10,XIANGTCM301-J-09,XIANGTCM301-J-08</t>
  </si>
  <si>
    <t>CS3CM8FEAST-05-14,CS3CM8FEAST-05-13</t>
  </si>
  <si>
    <t>CSCM28F-17-13,CSCM28F-17-12,CSCM28F-17-11</t>
  </si>
  <si>
    <t>岳阳移动</t>
  </si>
  <si>
    <t>CDNYYCM</t>
  </si>
  <si>
    <t>使用288个，免费288个，201908-201910免费，201911开始计费</t>
  </si>
  <si>
    <t>20220731退租，120.226.57.0/24 120.226.58.0/27</t>
  </si>
  <si>
    <t>::/63，SYS反馈在用</t>
  </si>
  <si>
    <t>20220731退租</t>
  </si>
  <si>
    <t>201908新增的YYCM4FIDC-E-01，YYCM4FIDC-E-02，YYCM4FIDC-E-03，YYCM4FIDC-E-04，YYCM4FIDC-E-05，YYCM4FIDC-E-06，201908-201910免费。201911开始计费</t>
  </si>
  <si>
    <t>20220731退租，YYCM4FIDC-E-03,YYCM4FIDC-E-02,YYCM4FIDC-E-01,YYCM4FIDC-E-05,YYCM4FIDC-E-06,YYCM4FIDC-E-04</t>
  </si>
  <si>
    <t>长沙三级移动</t>
  </si>
  <si>
    <t>20220901开始计费。使用288个，36.158.211.0/24，120.226.40.96/27</t>
  </si>
  <si>
    <t>20220901开始计费。CSIXCM2F202-C-11, CSIXCM2F202-C-12</t>
  </si>
  <si>
    <t>20221001开始计费，CSIXCM2F202-C-18 CSIXCM2F202-C-17</t>
  </si>
  <si>
    <t>中国移动通信集团重庆有限公司</t>
  </si>
  <si>
    <t>重庆移动</t>
  </si>
  <si>
    <t>182315IDC00084</t>
  </si>
  <si>
    <t>CDNCQCM2</t>
  </si>
  <si>
    <t>新合同赠送1120个，使用544个</t>
  </si>
  <si>
    <t>重庆2移动</t>
  </si>
  <si>
    <t>新合同赠送1120个，使用288个</t>
  </si>
  <si>
    <t>重庆移动二级</t>
  </si>
  <si>
    <t>CDNCQCM</t>
  </si>
  <si>
    <t>无人车32个IP218.201.39.32/27</t>
  </si>
  <si>
    <t>重庆4移动</t>
  </si>
  <si>
    <t>20200701开始计费，使用288个（221.178.100.0/24 221.178.99.128/27）</t>
  </si>
  <si>
    <t>重庆移动SSL</t>
  </si>
  <si>
    <t>SSLCQCM</t>
  </si>
  <si>
    <t>20200801开始计费，使用576个（221.178.56.0/24,221.178.57.0/24,221.178.58.0/26）</t>
  </si>
  <si>
    <t>函件写了不计费，边缘计算新增128个，111.10.52.128/25</t>
  </si>
  <si>
    <t>边缘新增128个，221.178.62.128/25</t>
  </si>
  <si>
    <t xml:space="preserve">20220731退租，183.230.68.0/24 183.230.69.0/24 218.201.39.128/27 </t>
  </si>
  <si>
    <t>20220731退租，无人车32个IP218.201.39.32/27</t>
  </si>
  <si>
    <t xml:space="preserve">无人车使用。221.178.63.96/27 </t>
  </si>
  <si>
    <t>需要注意新合同单价5000，收费23个，水土机房11个机架</t>
  </si>
  <si>
    <t>CDNCQCM
CDNCQCM2</t>
  </si>
  <si>
    <t>水土机房、龙洲湾机房6个机柜</t>
  </si>
  <si>
    <t>20200701开始计费，182015IDC00098：CQ4CM407-G-01、CQ4CM407-G-02、CQ4CM407-G-03、CQ4CM407-G-04、CQ4CM407-G-05、CQ4CM407-G-06、CQ4CM407-G-07、CQ4CM407-G-08</t>
  </si>
  <si>
    <t>20200801开始计费，SSLCQCM405-J-02/03/04</t>
  </si>
  <si>
    <t>边缘计算， 
BECCQCM407-H-13
BECCQCM407-H-14
BECCQCM407-H-15</t>
  </si>
  <si>
    <t>20210812退租：CQ4CM407-G-07、CQ4CM407-G-08</t>
  </si>
  <si>
    <t>20220731退租，CQCM405-F-15,CQCM405-F-16,CQCM405-F-14,CQCM405-F-13,CQCM405-F-12,CQCM405-F-10,CQCM405-F-08,CQCM405-F-09,CQCM405-F-07,CQCM405-F-11,CQCM405-F-17</t>
  </si>
  <si>
    <t>20220731退租，CQ4CM407-G-06</t>
  </si>
  <si>
    <t>中国移动通信集团四川有限公司</t>
  </si>
  <si>
    <t>成都移动</t>
  </si>
  <si>
    <t>182315IDC00128</t>
  </si>
  <si>
    <t>成都移动4</t>
  </si>
  <si>
    <t>CDNCDCM3</t>
  </si>
  <si>
    <t>边缘计算使用384个183.220.193.0/24
112.19.8.128/25
，201911-201912BD反馈使用181918IDC00045合同</t>
  </si>
  <si>
    <t>成都移动2</t>
  </si>
  <si>
    <t>CDNCDCM2</t>
  </si>
  <si>
    <t>sys反馈使用288，合同内共免费4800个</t>
  </si>
  <si>
    <t>成都移动3</t>
  </si>
  <si>
    <t>成都移动5</t>
  </si>
  <si>
    <t>CDNCDCM4</t>
  </si>
  <si>
    <t>sys反馈使用288个，四川移动合同约定ip共免费4800个</t>
  </si>
  <si>
    <t>边缘计算：223.86.121.128/25</t>
  </si>
  <si>
    <t>117.174.144.0/24 183.222.97.0/2</t>
  </si>
  <si>
    <t>::/64，退租</t>
  </si>
  <si>
    <t>2段::/64，SYS反馈在用</t>
  </si>
  <si>
    <t>CDNCDCM</t>
  </si>
  <si>
    <t>12月新增5个机架；2018年9月6日新增6个机柜，10月1日计费;新增成都2  机柜4个，成都3  机柜5个，成都4  机柜6个，</t>
  </si>
  <si>
    <t xml:space="preserve">边缘计算，20191118开始计费，BECCD4CM105-D-01、
BECCD4CM105-D-02、
BECCD4CM105-D-03、
BECCD4CM105-D-04
</t>
  </si>
  <si>
    <t>成都3移动</t>
  </si>
  <si>
    <t>需要注意运营商确认计费单为20200701开始计费，202006计费已冲销。与财务沟通更新计提表计费时间为20200701.系统计费日期不变动。20200612下架CDCM1F-A-08,CDCM1F-A-09,CDCM1F-A-10,CDCM1F-A-11,CDCM1F-A-12</t>
  </si>
  <si>
    <t>需要注意运营商确认计费单为20200701开始计费，202006计费已冲销。与财务沟通更新计提表计费时间为20200701.系统计费日期不变动。20200612下架CDCM1F-A-08,CDCM1F-A-09,CDCM1F-A-10,CDCM1F-A-11,CDCM1F-A-12。上线CD3CMB04105-D-08,CD3CMB04105-D-09,CD3CMB04105-D-10,CD3CMB04105-D-11,CD3CMB04105-D-12,CD3CMB04105-D-13</t>
  </si>
  <si>
    <t>边缘计算，BECCD4CM105-D-14</t>
  </si>
  <si>
    <t>CD2CM3F-09-08,CD2CM3F-09-09,CD2CM3F-09-07,CD2CM3F-09-06</t>
  </si>
  <si>
    <t>CD3CMB04105-D-11,CD3CMB04105-D-13,CD3CMB04105-D-12</t>
  </si>
  <si>
    <t>20220809退租，CDCM105-E-06,CDCM105-E-05,CDCM105-E-04</t>
  </si>
  <si>
    <t>成都11移动</t>
  </si>
  <si>
    <t>CDNCDCM5</t>
  </si>
  <si>
    <t>20221222开始计费。边缘计算112.45.114.192/26
183.220.195.240/28</t>
  </si>
  <si>
    <t>20230113开始计费，边缘计算	117.174.51.160/27, 117.174.51.192/28</t>
  </si>
  <si>
    <t>20221222开始计费。边缘计算BECCD11CM-D-12</t>
  </si>
  <si>
    <t>L20230417003</t>
  </si>
  <si>
    <t>成都三级移动</t>
  </si>
  <si>
    <t>20230406开始计费，117.177.55.0/24</t>
  </si>
  <si>
    <t>20230406开始计费，CDNCDIX:5F:501-J-CDN01,CDNCDIX:5F:501-J-CDN02,CDNCDIX:5F:501-J-CDN03,CDNCDIX:5F:501-J-CDN04,CDNCDIX:5F:501-J-CDN05,CDNCDIX:5F:501-J-CDN06,CDNCDIX:5F:501-J-CDN07,CDNCDIX:5F:501-J-CDN08</t>
  </si>
  <si>
    <t>中国移动通信集团贵州有限公司贵阳分公司</t>
  </si>
  <si>
    <t>贵阳移动</t>
  </si>
  <si>
    <t>182315IDC00082</t>
  </si>
  <si>
    <t>CDNGYCM</t>
  </si>
  <si>
    <t>使用288个，117.187.39.0/24 117.187.216.32/27（1）针对甲方内容分发节点业务，乙方每百G互联网接入带宽包含 160 个IPv4地址，赠送448个；（2）2022年5月31日退租后赠送160个</t>
  </si>
  <si>
    <t xml:space="preserve">边缘计算新增128个，117.187.216.64/26，
117.187.216.128/26
</t>
  </si>
  <si>
    <t>边缘计算新增128个，117.187.211.128/25</t>
  </si>
  <si>
    <t>20221104退租128个，117.187.39.128/25。</t>
  </si>
  <si>
    <t>/64 的IPv6地址，超出部分的IPv4地址按照 50 元/个/月收取，超出部分的IPv6地址按照暂不收</t>
  </si>
  <si>
    <t xml:space="preserve">需要注意新合同账户信息；GYCM2F-E-09
GYCM2F-E-08
GYCM2F-E-06
GYCM2F-E-05
GYCM2F-E-04
GYCM2F-E-02
GYCM2F-E-01
</t>
  </si>
  <si>
    <t xml:space="preserve">边缘计算，
BECGYCM203-F-09， 
BECGYCM203-F-10
</t>
  </si>
  <si>
    <t>GYCM2F-E-02,GYCM2F-E-01,GYCM2F-E-09,GYCM2F-E-08</t>
  </si>
  <si>
    <t>中国移动通信集团广东有限公司东莞分公司</t>
  </si>
  <si>
    <t>东莞移动</t>
  </si>
  <si>
    <t>182315IDC00081</t>
  </si>
  <si>
    <t>东莞</t>
  </si>
  <si>
    <t>东莞5移动</t>
  </si>
  <si>
    <t>CDNDGCM</t>
  </si>
  <si>
    <t>实际使用544，赠送768120.233.49.0/24 120.233.50.0/24 120.233.48.224/27</t>
  </si>
  <si>
    <t>20220731退租384个，120.233.50.0/24 120.233.49.128/25</t>
  </si>
  <si>
    <t xml:space="preserve">DG3FA-J-01
DG3FA-J-10
DG3FA-J-09
DG3FA-J-08
DG3FA-J-07
DG3FA-J-06
DG3FA-J-11
DG3FA-J-05
DG3FA-J-04
DG3FA-J-03
DG3FA-J-02
</t>
  </si>
  <si>
    <t>退租：DG3FA-J-01,DG3FA-J-06,DG3FA-J-07,DG3FA-J-08,DG3FA-J-09,DG3FA-J-010,DG3FA-J-011</t>
  </si>
  <si>
    <t>中国移动通信集团广东有限公司深圳分公司</t>
  </si>
  <si>
    <t>深圳移动</t>
  </si>
  <si>
    <t>182115IDC00187</t>
  </si>
  <si>
    <t>深圳</t>
  </si>
  <si>
    <t>CDNSZCM</t>
  </si>
  <si>
    <t>20190901开始计费，免费544，使用544个，超出按50元/个/月120.241.39.0/24 120.241.40.0/24 120.241.41.0/27</t>
  </si>
  <si>
    <t>120.241.39.0/24 120.241.40.0/24 120.241.41.0/27</t>
  </si>
  <si>
    <t>20190901开始计费，SZ2FMD25-H-16，SZ2FMD25-H-17，SZ2FMD25-H-18，SZ2FMD25-H-19，SZ2FMD25-H-20，SZ2FMD25-H-21，SZ2FMD25-H-22，SZ2FMD25-H-23</t>
  </si>
  <si>
    <t>SZ2FMD25-H-20,SZ2FMD25-H-19,SZ2FMD25-H-21,SZ2FMD25-H-22,SZ2FMD25-H-18,SZ2FMD25-H-17,SZ2FMD25-H-23,SZ2FMD25-H-16</t>
  </si>
  <si>
    <t>广州云硕科技发展有限公司</t>
  </si>
  <si>
    <t>广州云硕</t>
  </si>
  <si>
    <t>L20220818008</t>
  </si>
  <si>
    <t>广州南沙</t>
  </si>
  <si>
    <t>GZM3A</t>
  </si>
  <si>
    <t xml:space="preserve">   </t>
  </si>
  <si>
    <t>GZM3AB101-A-07</t>
  </si>
  <si>
    <t>20190823关闭1个GZM3AB101-A-01</t>
  </si>
  <si>
    <t>95A（实际109A）</t>
  </si>
  <si>
    <t>20191114开通1个GZM3AB101-C-05，BD告知按照21KW单价计提</t>
  </si>
  <si>
    <t>20191226关闭2个GZM3AB101-A-02，GZM3AB101-A-03</t>
  </si>
  <si>
    <t>20200318开通1个GZM3AB101-F-06</t>
  </si>
  <si>
    <t>20201118开通GZM3AB101-F-02</t>
  </si>
  <si>
    <t>20210317开通GZM3AB101-F-04
GZM3AB101-F-05</t>
  </si>
  <si>
    <t>20210318开通1个8.8kw，GZM3AB101-B-06</t>
  </si>
  <si>
    <t>20210330开通1个8.8KW，GZM3AB101-B-04</t>
  </si>
  <si>
    <t>20210419开通1个，GZM3AB101-B-03</t>
  </si>
  <si>
    <t>20210419开通1个，GZM3AB101-F-03</t>
  </si>
  <si>
    <t>GZM3AB101-A-01 GZM3AB101-A-02</t>
  </si>
  <si>
    <t>GZM3AB101-E-01 GZM3AB101-F-01</t>
  </si>
  <si>
    <t xml:space="preserve">GZM3AB101-A-03
</t>
  </si>
  <si>
    <t>L20220901001</t>
  </si>
  <si>
    <t>GZM3AB101-B-05
GZM3AB101-B-07
GZM3AB101-B-08</t>
  </si>
  <si>
    <t>改造机柜，电流95A更新为109A，GZM3AB101-C-04 GZM3AB101-D-04</t>
  </si>
  <si>
    <t>L20221026001</t>
  </si>
  <si>
    <t>182215IDC00638</t>
  </si>
  <si>
    <t>GZNSNS-云托管</t>
  </si>
  <si>
    <t>云托管，GZNSNSC301-H-01
GZNSNSC301-H-02
GZNSNSC301-H-03
GZNSNSC301-H-04
GZNSNSC301-H-05</t>
  </si>
  <si>
    <t>云托管，GZNSNSC301-H-07
GZNSNSC301-H-08</t>
  </si>
  <si>
    <t>云托管，GZNSNSC301-H-09
GZNSNSC301-H-10
GZNSNSC301-H-11
GZNSNSC301-H-12</t>
  </si>
  <si>
    <t>云托管，GZNSNSC301-G-01
GZNSNSC301-G-02
GZNSNSC301-G-03
GZNSNSC301-G-04
GZNSNSC301-G-05
GZNSNSC301-G-06
GZNSNSC301-G-07
GZNSNSC301-G-08
GZNSNSC301-G-09
GZNSNSC301-G-10
GZNSNSC301-G-11</t>
  </si>
  <si>
    <t>云托管，GZNSNSC301-F-01
GZNSNSC301-F-02
GZNSNSC301-F-03
GZNSNSC301-F-04
GZNSNSC301-F-05
GZNSNSC301-G-12
GZNSNSC301-G-13
GZNSNSC301-G-14
GZNSNSC301-G-15
GZNSNSC301-H-13
GZNSNSC301-H-14
GZNSNSC301-H-15
GZNSNSC301-H-16</t>
  </si>
  <si>
    <t>云托管，GZNSNSC301-F-06</t>
  </si>
  <si>
    <t>云托管，GZNSNSC301-F-08 GZNSNSC301-F-09</t>
  </si>
  <si>
    <t>云托管，GZNSNSC301-F-07</t>
  </si>
  <si>
    <t>云托管，GZNSNSC301-F-10
GZNSNSC301-F-11
GZNSNSC301-F-12
GZNSNSC301-F-13
GZNSNSC301-F-14
GZNSNSC301-F-15</t>
  </si>
  <si>
    <t>云托管，GZNSNSC301-F-16</t>
  </si>
  <si>
    <t>云托管，GZNSNSC301-E-01</t>
  </si>
  <si>
    <t>云托管，GZNSNSC301-E-02 GZNSNSC301-E-03</t>
  </si>
  <si>
    <t>云托管，GZNSNSC301-B-01
GZNSNSC301-B-02
GZNSNSC301-B-03
GZNSNSC301-B-04
GZNSNSC301-B-05</t>
  </si>
  <si>
    <t xml:space="preserve">云托管，GZNSNSC301-E-04
GZNSNSC301-E-05
GZNSNSC301-E-06
</t>
  </si>
  <si>
    <t>云托管，GZNSNSC301-E-07
GZNSNSC301-E-08
GZNSNSC301-E-09
GZNSNSC301-E-10</t>
  </si>
  <si>
    <t>云托管，GZNSNSC301-D-01
GZNSNSC301-D-02
GZNSNSC301-D-03
GZNSNSC301-D-04
GZNSNSC301-D-05
GZNSNSC301-D-06
GZNSNSC301-D-07
GZNSNSC301-D-08
GZNSNSC301-D-09
GZNSNSC301-D-10
GZNSNSC301-D-11
GZNSNSC301-D-12
GZNSNSC301-E-12
GZNSNSC301-E-13
GZNSNSC301-E-14
GZNSNSC301-E-15</t>
  </si>
  <si>
    <t>云托管，GZNSNSC301-D-13
GZNSNSC301-D-14
GZNSNSC301-D-15</t>
  </si>
  <si>
    <t>云托管，GZNSNSC301-C-01
GZNSNSC301-C-02</t>
  </si>
  <si>
    <t>云托管，GZNSNSC301-C-03
GZNSNSC301-C-04
GZNSNSC301-C-05</t>
  </si>
  <si>
    <t>云托管，GZNSNSC301-C-07
GZNSNSC301-C-08
GZNSNSC301-C-09</t>
  </si>
  <si>
    <t>云托管，GZNSNSC301-C-10
GZNSNSC301-C-11
GZNSNSC301-C-12</t>
  </si>
  <si>
    <t>云托管，GZNSNSC301-A-01
GZNSNSC301-A-02
GZNSNSC301-A-03
GZNSNSC301-A-04</t>
  </si>
  <si>
    <t>云托管，GZNSNSC301-A-05
GZNSNSC301-A-06
GZNSNSC301-A-07
GZNSNSC301-A-08
GZNSNSC301-A-09
GZNSNSC301-A-10
GZNSNSC301-A-11
GZNSNSC301-A-12</t>
  </si>
  <si>
    <t>云托管，GZNSNSC301-C-13
GZNSNSC301-C-14</t>
  </si>
  <si>
    <t>L20230425001</t>
  </si>
  <si>
    <t>云托管，
GZNSNSC301-C-15</t>
  </si>
  <si>
    <t>LJ</t>
  </si>
  <si>
    <t>广东省广播电视网络股份有限公司</t>
  </si>
  <si>
    <t>广东广播</t>
  </si>
  <si>
    <t>1819202IDC00325</t>
  </si>
  <si>
    <t>使用天数*12/365，广州市科丰路31号华新园G3栋机房- 
广州市番禺区化龙镇伟鑫创新产业园联通公司机房（路由一）</t>
  </si>
  <si>
    <t>使用天数*12/365，广州市科丰路31号华新园G3栋机房- 
广州市番禺区化龙镇伟鑫创新产业园联通公司机房（路由二）</t>
  </si>
  <si>
    <t>182115IDC00079</t>
  </si>
  <si>
    <t>使用天数*12/365，华新园-南沙的光纤：具体线路GC20210203-HXY-NSPQ-G105广州市科丰路31号华新园机房G3栋3楼-钟村中继为70.74KM，GC20210203-HXY-NSPQ-G105钟村中继-百度南沙平谦工业园54.24KM</t>
  </si>
  <si>
    <t>裸光纤中继站</t>
  </si>
  <si>
    <t>使用天数*12/365，华新园-南沙的光纤对应的中继站</t>
  </si>
  <si>
    <t>使用天数*12/365，线路编号：GC20210228-NS-HL-S111（小学方向）；化龙：广州市番禺区化龙镇伟鑫创新产业园联通公司机房-南沙：南沙区万顷沙镇南江三路8号平谦工业园B栋；与广州联通的入局光纤对应</t>
  </si>
  <si>
    <t>使用天数*12/365，线路编号：GC20210228-NS-HL-SNDD（谭山村方向）；化龙：广州市番禺区化龙镇伟鑫创新产业园联通公司机房-南沙：南沙区万顷沙镇南江三路8号平谦工业园B栋，与广州联通的入局光纤对应</t>
  </si>
  <si>
    <t>使用天数*12/365，线路编号：GC20210225-BH-HL-G105 （海珠-番禺方向）；化龙：广州市番禺区化龙镇伟鑫创新产业园联通公司机房-博浩：广州市黄埔区斗塘路19号，与广州联通的入局光纤对应</t>
  </si>
  <si>
    <t>使用天数*12/365，线路编号：GC20210225-BH-HL-HPDQ（科丰路-黄埔大桥方向）；化龙：广州市番禺区化龙镇伟鑫创新产业园联通公司机房-博浩：广州市黄埔区斗塘路19号，与广州联通的入局光纤对应</t>
  </si>
  <si>
    <t>使用天数*12/365，线路编号：GC20210220-HXY-HL-G105 （海珠-番禺方向）；化龙：广州市番禺区化龙镇伟鑫创新产业园联通公司机房-华新园：广州市黄埔区科丰路31号 华南新材料创新园，与广州联通的入局光纤对应</t>
  </si>
  <si>
    <t>使用天数*12/365，线路编号：GC20210220-HXY-HL-HPDQ（科丰路-黄埔大桥方向）；化龙：广州市番禺区化龙镇伟鑫创新产业园联通公司机房-华新园：广州市黄埔区科丰路31号 华南新材料创新园，与广州联通的入局光纤对应</t>
  </si>
  <si>
    <t>广州市祥云网络科技有限公司</t>
  </si>
  <si>
    <t>祥云网络</t>
  </si>
  <si>
    <t>182115IDC00419</t>
  </si>
  <si>
    <t>博浩三期(A栋301,401,501;B栋201,301)</t>
  </si>
  <si>
    <t>动环交付20210721.20210810-20210821按照合同为测试期，20210822开始收费，GZBHBHA301-B-01
GZBHBHA301-C-14
GZBHBHA301-C-15
GZBHBHA401-A-16
GZBHBHA401-J-15
GZBHBHA401-N-02
GZBHBHA401-N-03
GZBHBHA501-B-16
GZBHBHA501-G-02
GZBHBHA501-G-03
GZBHBHA501-J-15
GZBHBHA501-N-03
GZBHBHA501-N-04
GZBHBHB201-A-15
GZBHBHB201-C-01
GZBHBHB201-C-02
GZBHBHB201-J-15
GZBHBHB201-N-01
GZBHBHB201-N-02
GZBHBHB301-G-16
GZBHBHB301-J-01
GZBHBHB301-J-02</t>
  </si>
  <si>
    <t>20210810-20210821按照合同为测试期，20210822开始收费，GZBHBHA401-B-03
GZBHBHA401-B-05
GZBHBHA401-B-07
GZBHBHA401-C-02
GZBHBHA401-C-04
GZBHBHA401-C-06
GZBHBHA401-D-02
GZBHBHA401-D-04
GZBHBHA401-D-06
GZBHBHA401-E-03
GZBHBHA401-E-05
GZBHBHA401-E-07</t>
  </si>
  <si>
    <t>20210817-20210821按照合同为测试期，20210822开始收费，GZBHBHA501-B-01
GZBHBHA501-B-02
GZBHBHA501-B-03
GZBHBHA501-B-04
GZBHBHA501-B-05
GZBHBHA501-B-06
GZBHBHA501-B-07
GZBHBHA501-B-08
GZBHBHA501-B-09
GZBHBHA501-B-10
GZBHBHA501-B-11
GZBHBHA501-B-12
GZBHBHA501-B-13
GZBHBHA501-B-14
GZBHBHA501-B-15
GZBHBHA501-C-01
GZBHBHA501-C-02
GZBHBHA501-C-03
GZBHBHA501-C-04
GZBHBHA501-C-05
GZBHBHA501-C-06
GZBHBHA501-C-07
GZBHBHA501-C-08
GZBHBHA501-C-09
GZBHBHA501-C-10
GZBHBHA501-C-11
GZBHBHA501-C-12
GZBHBHA501-C-13
GZBHBHA501-C-14
GZBHBHA501-C-15
GZBHBHA501-C-16
GZBHBHA501-D-02
GZBHBHA501-D-03
GZBHBHA501-D-04
GZBHBHA501-D-05
GZBHBHA501-D-06
GZBHBHA501-D-07
GZBHBHA501-D-08
GZBHBHA501-D-09
GZBHBHA501-D-10
GZBHBHA501-D-11
GZBHBHA501-D-12
GZBHBHA501-D-13</t>
  </si>
  <si>
    <t>GZBHBHA501-E-02
GZBHBHA501-E-03
GZBHBHA501-E-04</t>
  </si>
  <si>
    <t>GZBHBHA501-E-06
GZBHBHA501-E-07
GZBHBHA501-E-08
GZBHBHA501-E-09</t>
  </si>
  <si>
    <t>GZBHBHA501-F-02
GZBHBHA501-F-03
GZBHBHA501-F-04
GZBHBHA501-F-05
GZBHBHA501-F-06
GZBHBHA501-F-07
GZBHBHA501-F-08
GZBHBHA501-F-09
GZBHBHA501-F-10
GZBHBHA501-F-11
GZBHBHA501-F-12
GZBHBHA501-F-13
GZBHBHA501-F-14
GZBHBHA501-F-15</t>
  </si>
  <si>
    <t>GZBHBHA501-E-10
GZBHBHA501-E-11
GZBHBHA501-E-12
GZBHBHA501-E-13
GZBHBHA501-E-14</t>
  </si>
  <si>
    <t>GZBHBHA501-G-04
GZBHBHA501-G-05
GZBHBHA501-G-06
GZBHBHA501-G-07
GZBHBHA501-G-08
GZBHBHA501-G-09
GZBHBHA501-H-02
GZBHBHA501-H-03
GZBHBHA501-H-04
GZBHBHA501-H-05
GZBHBHA501-H-06
GZBHBHA501-H-07
GZBHBHA501-H-08
GZBHBHA501-H-09
GZBHBHA501-J-02
GZBHBHA501-J-03
GZBHBHA501-J-04
GZBHBHA501-J-05
GZBHBHA501-J-06
GZBHBHA501-J-07
GZBHBHA501-J-08
GZBHBHA501-J-09
GZBHBHA501-K-02
GZBHBHA501-K-03
GZBHBHA501-K-04
GZBHBHA501-K-05
GZBHBHA501-K-06
GZBHBHA501-K-07
GZBHBHA501-G-10
GZBHBHA501-G-11
GZBHBHA501-G-12
GZBHBHA501-G-13
GZBHBHA501-G-14
GZBHBHA501-G-15
GZBHBHA501-H-10
GZBHBHA501-H-11
GZBHBHA501-H-12
GZBHBHA501-H-13
GZBHBHA501-J-10
GZBHBHA501-J-11
GZBHBHA501-J-12
GZBHBHA501-J-13
GZBHBHA501-J-14</t>
  </si>
  <si>
    <t>GZBHBHA401-J-02
GZBHBHA401-J-03
GZBHBHA401-J-04
GZBHBHA501-E-05
GZBHBHA501-K-08
GZBHBHA501-K-09
GZBHBHA501-L-02
GZBHBHA501-L-03
GZBHBHA501-L-04
GZBHBHA501-L-05
GZBHBHA501-L-06
GZBHBHA501-L-07
GZBHBHA501-L-08
GZBHBHA501-L-09
GZBHBHA501-M-03
GZBHBHA501-M-04
GZBHBHA501-M-05
GZBHBHA501-M-06
GZBHBHA501-M-07
GZBHBHA501-M-08
GZBHBHA501-M-09
GZBHBHA501-N-05
GZBHBHA501-N-06
GZBHBHA501-N-07
GZBHBHA501-N-08
GZBHBHA501-N-09
GZBHBHA501-P-03
GZBHBHA501-P-04
GZBHBHA501-P-05
GZBHBHA501-P-06
GZBHBHA501-P-07
GZBHBHA501-P-08
GZBHBHA501-P-09
GZBHBHA501-Q-03
GZBHBHA501-Q-04
GZBHBHA501-Q-05
GZBHBHA501-Q-06
GZBHBHA501-Q-07
GZBHBHA501-Q-08
GZBHBHA501-Q-09
GZBHBHA501-E-15
GZBHBHA501-K-10
GZBHBHA501-K-11
GZBHBHA501-K-12
GZBHBHA501-K-13
GZBHBHA501-K-14
GZBHBHA501-K-15
GZBHBHA501-L-10
GZBHBHA501-L-11
GZBHBHA501-L-12
GZBHBHA501-L-13
GZBHBHA501-L-14
GZBHBHA501-L-15
GZBHBHA501-M-10
GZBHBHA501-M-11
GZBHBHA501-M-12
GZBHBHA501-M-13
GZBHBHA501-N-10
GZBHBHA501-N-11
GZBHBHA501-N-12
GZBHBHA501-N-13
GZBHBHA501-N-14
GZBHBHA501-N-15
GZBHBHA501-P-10
GZBHBHA501-P-11
GZBHBHA501-P-12
GZBHBHA501-P-13
GZBHBHA501-P-14
GZBHBHA501-P-15
GZBHBHA501-Q-10
GZBHBHA501-Q-11
GZBHBHA501-Q-12
GZBHBHA501-Q-13
GZBHBHA501-Q-14
GZBHBHA501-Q-15</t>
  </si>
  <si>
    <t>GZBHBHA401-J-10
GZBHBHA401-J-11
GZBHBHA401-J-12
GZBHBHA401-J-13
GZBHBHA401-J-14
GZBHBHA401-K-10
GZBHBHA401-K-11
GZBHBHA401-K-12
GZBHBHA401-K-13
GZBHBHA401-K-14
GZBHBHA401-K-15
GZBHBHA401-L-10
GZBHBHA401-L-11
GZBHBHA401-L-12
GZBHBHA401-L-13
GZBHBHA401-L-14
GZBHBHA401-L-15
GZBHBHA401-M-10
GZBHBHA401-M-11
GZBHBHA401-M-12
GZBHBHA401-M-13
GZBHBHA401-N-10
GZBHBHA401-N-11
GZBHBHA401-N-12
GZBHBHA401-N-13
GZBHBHA401-N-14
GZBHBHA401-N-15
GZBHBHA401-P-10
GZBHBHA401-P-11
GZBHBHA401-P-12
GZBHBHA401-P-13
GZBHBHA401-P-14
GZBHBHA401-P-15
GZBHBHA401-Q-10
GZBHBHA401-Q-11
GZBHBHA401-Q-12
GZBHBHA401-Q-13
GZBHBHA401-Q-14
GZBHBHA401-Q-15
GZBHBHA401-J-05
GZBHBHA401-J-06
GZBHBHA401-J-07
GZBHBHA401-J-08
GZBHBHA401-J-09
GZBHBHA401-K-02
GZBHBHA401-K-03
GZBHBHA401-K-04
GZBHBHA401-K-05
GZBHBHA401-K-06
GZBHBHA401-K-07
GZBHBHA401-K-08
GZBHBHA401-K-09
GZBHBHA401-L-02
GZBHBHA401-L-03
GZBHBHA401-L-04
GZBHBHA401-L-05
GZBHBHA401-L-06
GZBHBHA401-L-07
GZBHBHA401-L-08
GZBHBHA401-L-09
GZBHBHA401-M-02
GZBHBHA401-M-03
GZBHBHA401-M-04
GZBHBHA401-M-05
GZBHBHA401-M-06
GZBHBHA401-M-07
GZBHBHA401-M-08
GZBHBHA401-M-09
GZBHBHA401-N-04
GZBHBHA401-N-05
GZBHBHA401-N-06
GZBHBHA401-N-07
GZBHBHA401-N-08
GZBHBHA401-N-09
GZBHBHA401-P-02
GZBHBHA401-P-03
GZBHBHA401-P-04
GZBHBHA401-P-05
GZBHBHA401-P-06
GZBHBHA401-P-07
GZBHBHA401-P-08
GZBHBHA401-P-09
GZBHBHA401-Q-02
GZBHBHA401-Q-03
GZBHBHA401-Q-04
GZBHBHA401-Q-05
GZBHBHA401-Q-06
GZBHBHA401-Q-07
GZBHBHA401-Q-08
GZBHBHA401-Q-09</t>
  </si>
  <si>
    <t>GZBHBHA301-A-15
GZBHBHA301-B-15
GZBHBHA401-B-01
GZBHBHA401-B-02
GZBHBHA401-B-04
GZBHBHA401-B-06
GZBHBHA401-C-01
GZBHBHA401-C-03
GZBHBHA401-C-05
GZBHBHA401-D-01
GZBHBHA401-D-03
GZBHBHA401-D-05
GZBHBHA401-E-01
GZBHBHA401-E-02
GZBHBHA401-E-04
GZBHBHA401-E-06
GZBHBHA401-K-01
GZBHBHA401-L-01
GZBHBHA501-H-01
GZBHBHA501-J-01
GZBHBHB201-H-01
GZBHBHB201-J-01
GZBHBHB301-G-01
GZBHBHB301-H-01</t>
  </si>
  <si>
    <t>GZBHBHA301-C-01
GZBHBHA301-C-02
GZBHBHA301-C-03
GZBHBHA301-C-04
GZBHBHA301-C-05
GZBHBHA301-C-06
GZBHBHA301-C-07
GZBHBHA301-C-08
GZBHBHA301-C-09
GZBHBHA301-C-10
GZBHBHA301-C-11
GZBHBHA301-C-12
GZBHBHA301-C-13
GZBHBHA301-D-01
GZBHBHA301-D-02
GZBHBHA301-D-03
GZBHBHA301-D-04
GZBHBHA301-D-05
GZBHBHA301-D-06
GZBHBHA301-D-07
GZBHBHA301-D-08
GZBHBHA301-D-09
GZBHBHA301-D-10
GZBHBHA301-D-11
GZBHBHA301-D-12
GZBHBHA301-D-13
GZBHBHA301-D-14
GZBHBHA301-D-15
GZBHBHA301-E-01
GZBHBHA301-E-02
GZBHBHA301-E-03
GZBHBHA301-E-04
GZBHBHA301-E-05
GZBHBHA301-E-06
GZBHBHA301-E-07
GZBHBHA301-E-08
GZBHBHA301-E-09
GZBHBHA301-E-10
GZBHBHA301-E-11
GZBHBHA301-E-12
GZBHBHA301-E-13
GZBHBHA301-E-14
GZBHBHA301-E-15
GZBHBHA301-E-16
GZBHBHA301-F-01
GZBHBHA301-F-02
GZBHBHA301-F-03
GZBHBHA301-F-04
GZBHBHA301-F-05
GZBHBHA301-F-06
GZBHBHA301-F-07
GZBHBHA301-F-08
GZBHBHA301-F-09
GZBHBHA301-F-10
GZBHBHA301-F-11
GZBHBHA301-F-12
GZBHBHA301-F-13
GZBHBHA301-F-14
GZBHBHA301-F-15
GZBHBHA301-F-16</t>
  </si>
  <si>
    <t>GZBHBHA301-A-01
GZBHBHA301-A-02
GZBHBHA301-A-03
GZBHBHA301-A-04
GZBHBHA301-A-05
GZBHBHA301-A-06
GZBHBHA301-A-07
GZBHBHA301-A-08
GZBHBHA301-A-09
GZBHBHA301-A-10
GZBHBHA301-A-11
GZBHBHA301-A-12
GZBHBHA301-A-13
GZBHBHA301-A-14
GZBHBHA301-B-02
GZBHBHA301-B-03
GZBHBHA301-B-04
GZBHBHA301-B-05
GZBHBHA301-B-06
GZBHBHA301-B-07
GZBHBHA301-B-08
GZBHBHA301-B-09
GZBHBHA301-B-10
GZBHBHA301-B-11
GZBHBHA301-B-12
GZBHBHA301-B-13
GZBHBHA301-B-14
GZBHBHB201-A-01
GZBHBHB201-A-02
GZBHBHB201-A-03
GZBHBHB201-A-04
GZBHBHB201-A-05
GZBHBHB201-A-06
GZBHBHB201-A-07
GZBHBHB201-A-08
GZBHBHB201-A-09
GZBHBHB201-A-10
GZBHBHB201-A-11
GZBHBHB201-A-12
GZBHBHB201-A-13
GZBHBHB201-A-14
GZBHBHB201-B-01
GZBHBHB201-B-02
GZBHBHB201-B-03
GZBHBHB201-B-04
GZBHBHB201-B-05
GZBHBHB201-B-06
GZBHBHB201-B-07
GZBHBHB201-B-08
GZBHBHB201-B-09
GZBHBHB201-B-10
GZBHBHB201-B-11
GZBHBHB201-B-12
GZBHBHB201-B-13
GZBHBHB201-B-14
GZBHBHB201-B-15
GZBHBHB201-C-03
GZBHBHB201-C-04
GZBHBHB201-C-05
GZBHBHB201-C-06
GZBHBHB201-C-08
GZBHBHB201-C-09</t>
  </si>
  <si>
    <t>GZBHBHB201-C-07
GZBHBHB201-C-10
GZBHBHB201-C-11
GZBHBHB201-C-12
GZBHBHB201-C-13
GZBHBHB201-C-14
GZBHBHB201-C-15
GZBHBHB201-D-01
GZBHBHB201-D-02
GZBHBHB201-D-03
GZBHBHB201-D-04
GZBHBHB201-D-05
GZBHBHB201-D-06
GZBHBHB201-D-07
GZBHBHB201-D-08
GZBHBHB201-D-09
GZBHBHB201-D-10
GZBHBHB201-D-11
GZBHBHB201-D-12
GZBHBHB201-D-13
GZBHBHB201-E-01
GZBHBHB201-E-02
GZBHBHB201-E-03
GZBHBHB201-E-04
GZBHBHB201-E-05
GZBHBHB201-E-06
GZBHBHB201-E-07
GZBHBHB201-E-08
GZBHBHB201-E-09
GZBHBHB201-E-10
GZBHBHB201-E-11
GZBHBHB201-E-12
GZBHBHB201-E-13
GZBHBHB201-E-14
GZBHBHB201-E-15
GZBHBHB201-F-01
GZBHBHB201-F-02
GZBHBHB201-F-03</t>
  </si>
  <si>
    <t>GZBHBHB201-F-04
GZBHBHB201-F-05
GZBHBHB201-F-06
GZBHBHB201-F-07
GZBHBHB201-F-08
GZBHBHB201-F-09
GZBHBHB201-F-10
GZBHBHB201-F-11
GZBHBHB201-F-12
GZBHBHB201-F-13
GZBHBHB201-F-14
GZBHBHB201-F-15
GZBHBHB201-G-01
GZBHBHB201-G-02
GZBHBHB201-G-03
GZBHBHB201-G-04
GZBHBHB201-G-05
GZBHBHB201-G-06
GZBHBHB201-G-07
GZBHBHB201-G-08
GZBHBHB201-G-09
GZBHBHB201-G-10
GZBHBHB201-G-11
GZBHBHB201-G-12
GZBHBHB201-G-13
GZBHBHB201-G-14
GZBHBHB201-G-15
GZBHBHB201-H-02
GZBHBHB201-H-03
GZBHBHB201-H-04
GZBHBHB201-H-05
GZBHBHB201-H-06
GZBHBHB201-H-07
GZBHBHB201-H-08
GZBHBHB201-H-09
GZBHBHB201-H-10
GZBHBHB201-H-11
GZBHBHB201-H-12
GZBHBHB201-H-13
GZBHBHB201-J-02
GZBHBHB201-J-03
GZBHBHB201-J-04
GZBHBHB201-J-05
GZBHBHB201-J-06
GZBHBHB201-J-07
GZBHBHB201-J-08
GZBHBHB201-J-09
GZBHBHB201-J-10
GZBHBHB201-J-11
GZBHBHB201-J-12
GZBHBHB201-J-13
GZBHBHB201-J-14
GZBHBHB201-K-01
GZBHBHB201-K-02
GZBHBHB201-K-03
GZBHBHB201-K-04
GZBHBHB201-K-05
GZBHBHB201-K-06
GZBHBHB201-K-07
GZBHBHB201-K-08
GZBHBHB201-K-09
GZBHBHB201-K-10
GZBHBHB201-K-11
GZBHBHB201-K-12
GZBHBHB201-K-13
GZBHBHB201-K-14
GZBHBHB201-K-15
GZBHBHB201-L-01
GZBHBHB201-L-02
GZBHBHB201-L-03
GZBHBHB201-L-04
GZBHBHB201-L-05
GZBHBHB201-L-06
GZBHBHB201-L-07
GZBHBHB201-L-08
GZBHBHB201-L-09
GZBHBHB201-L-10
GZBHBHB201-L-11
GZBHBHB201-L-12
GZBHBHB201-L-13
GZBHBHB201-L-14
GZBHBHB201-L-15
GZBHBHB201-M-01
GZBHBHB201-M-02
GZBHBHB201-M-03
GZBHBHB201-M-04
GZBHBHB201-M-05
GZBHBHB201-M-06
GZBHBHB201-M-07
GZBHBHB201-M-08
GZBHBHB201-M-09
GZBHBHB201-M-10
GZBHBHB201-M-11
GZBHBHB201-M-12
GZBHBHB201-M-13
GZBHBHB201-P-01
GZBHBHB201-P-02
GZBHBHB201-P-03
GZBHBHB201-P-04
GZBHBHB201-P-05
GZBHBHB201-P-06
GZBHBHB201-P-07
GZBHBHB201-P-08
GZBHBHB201-P-09
GZBHBHB201-P-10
GZBHBHB201-P-11
GZBHBHB201-P-12
GZBHBHB201-P-13</t>
  </si>
  <si>
    <t>GZBHBHB201-Q-01
GZBHBHB201-Q-02
GZBHBHB201-Q-03
GZBHBHB201-Q-04
GZBHBHB201-Q-05
GZBHBHB201-Q-06
GZBHBHB201-Q-07
GZBHBHB201-Q-08
GZBHBHB201-Q-09
GZBHBHB201-Q-10
GZBHBHB201-Q-11
GZBHBHB201-Q-12
GZBHBHB201-Q-13
GZBHBHB201-Q-14
GZBHBHB201-Q-15</t>
  </si>
  <si>
    <t>GZBHBHB201-N-03
GZBHBHB201-N-04
GZBHBHB201-N-05
GZBHBHB201-N-06
GZBHBHB201-N-07
GZBHBHB201-N-08
GZBHBHB201-N-09
GZBHBHB201-N-10
GZBHBHB201-N-11
GZBHBHB201-N-12
GZBHBHB201-N-13
GZBHBHB201-N-14
GZBHBHB201-N-15
GZBHBHB201-P-14
GZBHBHB201-P-15
GZBHBHB301-E-05
GZBHBHB301-E-06
GZBHBHB301-E-07
GZBHBHB301-E-08
GZBHBHB301-E-09
GZBHBHB301-E-10
GZBHBHB301-E-11
GZBHBHB301-E-12
GZBHBHB301-E-13
GZBHBHB301-F-05
GZBHBHB301-F-06
GZBHBHB301-F-09
GZBHBHB301-F-10
GZBHBHB301-F-11
GZBHBHB301-F-12
GZBHBHB301-F-13
GZBHBHB301-G-02
GZBHBHB301-G-03
GZBHBHB301-G-04
GZBHBHB301-G-05
GZBHBHB301-G-06
GZBHBHB301-G-07
GZBHBHB301-G-08
GZBHBHB301-G-09
GZBHBHB301-G-10
GZBHBHB301-G-11
GZBHBHB301-G-12
GZBHBHB301-G-13
GZBHBHB301-G-14
GZBHBHB301-G-15
GZBHBHB301-H-02
GZBHBHB301-H-03
GZBHBHB301-H-04
GZBHBHB301-H-05
GZBHBHB301-H-06
GZBHBHB301-H-07</t>
  </si>
  <si>
    <t>GZBHBHB301-H-08
GZBHBHB301-H-09
GZBHBHB301-H-10
GZBHBHB301-H-11
GZBHBHB301-H-12
GZBHBHB301-H-13
GZBHBHB301-H-14
GZBHBHB301-J-03
GZBHBHB301-J-04
GZBHBHB301-J-05
GZBHBHB301-J-06
GZBHBHB301-J-07
GZBHBHB301-J-08
GZBHBHB301-J-09
GZBHBHB301-J-10
GZBHBHB301-J-12</t>
  </si>
  <si>
    <t>GZBHBHB301-F-07 GZBHBHB301-F-08</t>
  </si>
  <si>
    <t>GZBHBHB301-J-11
GZBHBHB301-J-13
GZBHBHB301-J-14
GZBHBHB301-J-15
GZBHBHB301-J-16
GZBHBHB301-K-01
GZBHBHB301-K-02
GZBHBHB301-K-03
GZBHBHB301-K-04
GZBHBHB301-K-05
GZBHBHB301-K-06
GZBHBHB301-K-07</t>
  </si>
  <si>
    <t>GZBHBHB301-K-08
GZBHBHB301-K-09
GZBHBHB301-K-10
GZBHBHB301-K-11
GZBHBHB301-K-12
GZBHBHB301-K-13
GZBHBHB301-K-14
GZBHBHB301-K-15
GZBHBHB301-K-16
GZBHBHB301-L-01
GZBHBHB301-L-02
GZBHBHB301-L-03
GZBHBHB301-L-04
GZBHBHB301-L-05
GZBHBHB301-L-06
GZBHBHB301-L-07
GZBHBHB301-L-08
GZBHBHB301-L-11</t>
  </si>
  <si>
    <t>GZBHBHB301-L-09
GZBHBHB301-L-10
GZBHBHB301-L-12
GZBHBHB301-L-13
GZBHBHB301-L-14
GZBHBHB301-L-15
GZBHBHB301-L-16
GZBHBHB301-M-01
GZBHBHB301-M-02
GZBHBHB301-M-03
GZBHBHB301-M-04
GZBHBHB301-M-05
GZBHBHB301-M-06
GZBHBHB301-M-07
GZBHBHB301-M-08
GZBHBHB301-M-09
GZBHBHB301-M-10
GZBHBHB301-M-11
GZBHBHB301-M-12
GZBHBHB301-M-13
GZBHBHB301-M-14</t>
  </si>
  <si>
    <t>182215IDC00007</t>
  </si>
  <si>
    <t>博浩四期（B301 和A601房间）</t>
  </si>
  <si>
    <t>2021年11月25日动环交付。1月25日开始计费,20220104开通GZBHBHA601-C-02
GZBHBHA601-C-03
GZBHBHA601-J-02
GZBHBHA601-J-03
GZBHBHA601-N-02
GZBHBHA601-N-03
GZBHBHB301-C-01
GZBHBHB301-C-02</t>
  </si>
  <si>
    <t>1月25日开始计费GZBHBHA601-Q-15
GZBHBHB301-A-14</t>
  </si>
  <si>
    <t>1月25日开始计费，GZBHBHA601-A-04
GZBHBHA601-A-08
GZBHBHA601-A-11
GZBHBHA601-A-14
GZBHBHA601-B-03
GZBHBHA601-B-07
GZBHBHA601-B-11
GZBHBHA601-B-14
GZBHBHA601-C-06
GZBHBHA601-C-10
GZBHBHA601-C-14
GZBHBHA601-D-02
GZBHBHA601-D-06
GZBHBHA601-D-10
GZBHBHA601-D-13
GZBHBHA601-E-04
GZBHBHA601-E-08
GZBHBHA601-E-11
GZBHBHA601-E-14
GZBHBHA601-F-03
GZBHBHA601-F-07
GZBHBHA601-F-11
GZBHBHA601-F-14
GZBHBHA601-G-04
GZBHBHA601-G-08
GZBHBHA601-G-11
GZBHBHA601-G-14
GZBHBHA601-H-03
GZBHBHA601-H-07
GZBHBHA601-H-10
GZBHBHA601-H-13
GZBHBHA601-J-07
GZBHBHA601-J-12
GZBHBHA601-K-04
GZBHBHA601-K-10
GZBHBHA601-L-04
GZBHBHA601-L-10
GZBHBHA601-L-14
GZBHBHA601-M-03
GZBHBHA601-M-09
GZBHBHA601-N-07
GZBHBHA601-N-12
GZBHBHA601-P-04
GZBHBHA601-P-10
GZBHBHA601-P-14
GZBHBHA601-Q-05
GZBHBHA601-Q-11
GZBHBHB301-A-02
GZBHBHB301-A-04
GZBHBHB301-A-08
GZBHBHB301-A-12
GZBHBHB301-B-02
GZBHBHB301-B-06
GZBHBHB301-B-10
GZBHBHB301-B-14
GZBHBHB301-C-04
GZBHBHB301-C-07
GZBHBHB301-C-11
GZBHBHB301-C-15
GZBHBHB301-D-02
GZBHBHB301-D-06
GZBHBHB301-D-09
GZBHBHB301-D-13</t>
  </si>
  <si>
    <t>1月25日开始计费GZBHBHA601-G-01，GZBHBHA601-H-01</t>
  </si>
  <si>
    <t>GZBHBHA601-A-02
GZBHBHA601-A-03
GZBHBHA601-A-04
GZBHBHA601-A-05
GZBHBHA601-A-06
GZBHBHA601-A-07
GZBHBHA601-A-08
GZBHBHA601-A-09</t>
  </si>
  <si>
    <t>GZBHBHB301-A-01
GZBHBHB301-A-02
GZBHBHB301-A-03
GZBHBHB301-A-04
GZBHBHB301-A-05
GZBHBHB301-A-06
GZBHBHB301-A-07
GZBHBHB301-A-08
GZBHBHB301-A-09
GZBHBHB301-A-10
GZBHBHB301-A-11
GZBHBHB301-A-12
GZBHBHB301-A-13</t>
  </si>
  <si>
    <t>GZBHBHA601-A-10
GZBHBHA601-A-11
GZBHBHA601-A-12
GZBHBHA601-A-13
GZBHBHA601-A-14
GZBHBHA601-A-15
GZBHBHA601-B-02
GZBHBHA601-B-03
GZBHBHA601-B-04
GZBHBHA601-B-05
GZBHBHA601-B-06
GZBHBHA601-B-07
GZBHBHA601-B-08
GZBHBHA601-B-09</t>
  </si>
  <si>
    <t>GZBHBHB301-B-01
GZBHBHB301-B-02
GZBHBHB301-B-03
GZBHBHB301-B-04
GZBHBHB301-B-05
GZBHBHB301-B-06
GZBHBHB301-B-07
GZBHBHB301-B-08
GZBHBHB301-B-09
GZBHBHB301-B-10
GZBHBHB301-B-11
GZBHBHB301-B-12
GZBHBHB301-B-13
GZBHBHB301-B-14
GZBHBHB301-B-15
GZBHBHB301-B-16
GZBHBHB301-C-03
GZBHBHB301-C-04
GZBHBHB301-C-05
GZBHBHB301-C-06
GZBHBHB301-C-07
GZBHBHB301-C-08
GZBHBHB301-C-09
GZBHBHB301-C-10
GZBHBHB301-C-11
GZBHBHB301-C-12</t>
  </si>
  <si>
    <t>GZBHBHA601-B-10
GZBHBHA601-B-11
GZBHBHA601-B-12
GZBHBHA601-B-13
GZBHBHA601-B-14
GZBHBHA601-C-04
GZBHBHA601-C-05
GZBHBHA601-C-06
GZBHBHA601-C-07
GZBHBHA601-C-08
GZBHBHA601-C-09
GZBHBHA601-C-10
GZBHBHA601-C-11
GZBHBHA601-C-12
GZBHBHA601-C-13
GZBHBHA601-C-14
GZBHBHA601-C-15
GZBHBHA601-D-01
GZBHBHA601-D-02
GZBHBHA601-D-03
GZBHBHA601-D-04
GZBHBHA601-D-05
GZBHBHA601-D-06
GZBHBHA601-D-07
GZBHBHA601-D-08
GZBHBHA601-D-09
GZBHBHA601-D-10
GZBHBHA601-D-11
GZBHBHA601-D-12
GZBHBHA601-D-13
GZBHBHA601-D-14
GZBHBHA601-E-02
GZBHBHA601-E-03
GZBHBHA601-E-04
GZBHBHA601-E-05
GZBHBHA601-E-06
GZBHBHA601-E-07
GZBHBHA601-E-08
GZBHBHA601-E-09
GZBHBHA601-E-10
GZBHBHA601-E-11
GZBHBHA601-E-12
GZBHBHA601-E-13
GZBHBHA601-E-14
GZBHBHA601-E-15
GZBHBHA601-F-02
GZBHBHA601-F-03
GZBHBHA601-F-04
GZBHBHA601-F-05
GZBHBHA601-F-06
GZBHBHA601-F-07
GZBHBHA601-F-08
GZBHBHA601-F-09
GZBHBHA601-F-10
GZBHBHA601-F-11
GZBHBHA601-F-12
GZBHBHA601-F-13
GZBHBHA601-F-14
GZBHBHA601-F-15
GZBHBHA601-G-02
GZBHBHA601-G-03
GZBHBHA601-G-04
GZBHBHA601-G-05
GZBHBHA601-G-06
GZBHBHA601-G-07
GZBHBHA601-G-08
GZBHBHA601-G-09
GZBHBHA601-G-10
GZBHBHA601-G-11
GZBHBHA601-G-12
GZBHBHA601-G-13
GZBHBHA601-G-14
GZBHBHA601-G-15
GZBHBHA601-H-02
GZBHBHA601-H-03
GZBHBHA601-H-04
GZBHBHA601-H-05
GZBHBHA601-H-06
GZBHBHA601-H-07
GZBHBHA601-H-08
GZBHBHA601-H-09
GZBHBHA601-H-10
GZBHBHA601-H-11
GZBHBHA601-H-12
GZBHBHA601-H-13
GZBHBHA601-H-14</t>
  </si>
  <si>
    <t>GZBHBHA601-B-15
GZBHBHB301-C-13
GZBHBHB301-C-14
GZBHBHB301-C-15
GZBHBHB301-C-16
GZBHBHB301-D-01
GZBHBHB301-D-02
GZBHBHB301-D-03
GZBHBHB301-D-04
GZBHBHB301-D-05
GZBHBHB301-D-06
GZBHBHB301-D-07
GZBHBHB301-D-08
GZBHBHB301-D-09
GZBHBHB301-D-10
GZBHBHB301-D-11
GZBHBHB301-D-12
GZBHBHB301-D-13
GZBHBHB301-D-14</t>
  </si>
  <si>
    <t>GZBHBHA601-J-04
GZBHBHA601-J-05
GZBHBHA601-J-06
GZBHBHA601-J-07
GZBHBHA601-J-08</t>
  </si>
  <si>
    <t>GZBHBHA601-J-09</t>
  </si>
  <si>
    <t>广州南沙博鋆科技有限公司</t>
  </si>
  <si>
    <t>南沙博</t>
  </si>
  <si>
    <t>182215IDC00533</t>
  </si>
  <si>
    <t>广州东泰一期一批（二层201，202，三层301，302房间）</t>
  </si>
  <si>
    <t>GZDT</t>
  </si>
  <si>
    <t>20220601开始正式计费，GZDTA302-E-01
GZDTA302-E-02
GZDTA302-E-03
GZDTA302-E-04
GZDTA302-E-05
GZDTA302-E-06
GZDTA302-E-07
GZDTA302-E-08</t>
  </si>
  <si>
    <t>20220601开始正式计费，GZDTA302-G-04
GZDTA302-G-05
GZDTA302-G-06
GZDTA302-G-07
GZDTA302-G-08
GZDTA302-G-09</t>
  </si>
  <si>
    <t>20220616开始计费，GZDTA201-B-01,GZDTA201-C-01，GZDTA201-H-01,GZDTA201-I-01，GZDTA302-F-01,GZDTA302-G-01,GZDTA301-O-01，GZDTA301-P-01</t>
  </si>
  <si>
    <t>GZDTA301-G-01
GZDTA302-A-11
GZDTA302-I-01</t>
  </si>
  <si>
    <t>GZDTA302-E-09
GZDTA302-E-10
GZDTA302-F-02
GZDTA302-F-03
GZDTA302-F-04
GZDTA302-F-05
GZDTA302-F-06
GZDTA302-F-07
GZDTA302-F-08
GZDTA302-F-09
GZDTA302-F-10
GZDTA302-G-02
GZDTA302-G-03
GZDTA302-G-10
GZDTA302-G-11
GZDTA302-O-02
GZDTA302-O-03
GZDTA302-O-04
GZDTA302-O-05
GZDTA302-O-06
GZDTA302-O-07
GZDTA302-O-08
GZDTA302-O-09
GZDTA302-O-10
GZDTA301-A-04
GZDTA301-A-05
GZDTA301-A-06
GZDTA301-A-07
GZDTA301-B-01
GZDTA301-B-05
GZDTA301-B-06
GZDTA301-B-07
GZDTA301-C-01
GZDTA301-C-02
GZDTA301-C-03
GZDTA301-C-04
GZDTA301-C-05
GZDTA301-C-06
GZDTA301-C-07
GZDTA301-C-08
GZDTA301-D-01
GZDTA301-D-02
GZDTA301-D-03
GZDTA301-D-04
GZDTA301-D-05
GZDTA301-D-06
GZDTA301-D-07
GZDTA301-E-01
GZDTA301-E-02
GZDTA301-E-03
GZDTA301-E-04
GZDTA301-E-05
GZDTA301-E-06
GZDTA301-F-01
GZDTA301-F-02
GZDTA301-F-03
GZDTA301-F-04
GZDTA301-F-05
GZDTA301-F-06
GZDTA301-F-07
GZDTA301-G-02
GZDTA301-G-03
GZDTA301-G-04
GZDTA301-G-05
GZDTA301-G-06
GZDTA301-O-03
GZDTA301-P-04
GZDTA301-R-07
GZDTA301-R-08
GZDTA301-S-06
GZDTA301-S-07
GZDTA301-T-05
GZDTA301-T-06
GZDTA301-T-07
GZDTA301-T-08
GZDTA201-E-01
GZDTA201-F-01
GZDTA201-L-11
GZDTA201-L-12
GZDTA301-A-02
GZDTA301-B-03
GZDTA301-G-07
GZDTA301-G-08</t>
  </si>
  <si>
    <t>需要注意历史计提在40A下，SYS确认应该为20A。20220701开始计提在20A下。GZDTA201-D-11     GZDTA201-M-01   GZDTA301-Q-08</t>
  </si>
  <si>
    <t>GZDTA301-O-04
GZDTA301-P-05</t>
  </si>
  <si>
    <t>GZDTA301-K-06
GZDTA301-L-07
GZDTA301-M-07
GZDTA301-N-06</t>
  </si>
  <si>
    <t>20220616交付。GZDTA301-L-02</t>
  </si>
  <si>
    <t>GZDTA201-A-01
GZDTA201-A-02
GZDTA201-A-03
GZDTA201-A-04
GZDTA201-A-05
GZDTA201-A-06
GZDTA201-A-07
GZDTA201-A-08
GZDTA201-A-09
GZDTA201-A-10
GZDTA201-A-11</t>
  </si>
  <si>
    <t>GZDTA301-K-02 GZDTA301-N-04</t>
  </si>
  <si>
    <t>GZDTA301-R-05
GZDTA301-R-06
GZDTA301-S-04
GZDTA301-S-05</t>
  </si>
  <si>
    <t>GZDTA301-Q-06
GZDTA301-Q-07
GZDTA301-R-03
GZDTA301-R-04</t>
  </si>
  <si>
    <t>GZDTA301-A-01
GZDTA301-B-02</t>
  </si>
  <si>
    <t>GZDTA201-B-02
GZDTA201-B-03</t>
  </si>
  <si>
    <t xml:space="preserve">GZDTA201-B-04
GZDTA201-B-05
GZDTA201-B-06
GZDTA201-B-07
GZDTA201-C-02
GZDTA201-C-03
GZDTA201-C-04
GZDTA201-D-07
GZDTA201-D-08
GZDTA201-D-09
GZDTA201-E-02
GZDTA201-E-03
GZDTA201-E-04
</t>
  </si>
  <si>
    <t>GZDTA201-B-08
GZDTA201-B-09</t>
  </si>
  <si>
    <t>GZDTA301-Q-02
GZDTA301-Q-03
GZDTA301-Q-04
GZDTA301-Q-05</t>
  </si>
  <si>
    <t>GZDTA201-B-10
GZDTA201-B-11
GZDTA201-B-12</t>
  </si>
  <si>
    <t xml:space="preserve">GZDTA201-B-13
GZDTA201-C-05
GZDTA201-C-06
GZDTA201-C-07
GZDTA201-C-08
GZDTA201-C-09
GZDTA201-C-10
GZDTA201-C-11
GZDTA201-C-12
GZDTA201-C-13
GZDTA201-D-01
GZDTA201-D-02
GZDTA201-D-03
GZDTA201-D-04
GZDTA201-D-05
GZDTA201-D-06
GZDTA201-D-10
GZDTA201-E-05
GZDTA201-E-06
GZDTA201-E-07
GZDTA201-E-08
GZDTA201-E-09
GZDTA201-E-10
GZDTA201-E-11
GZDTA201-E-12
GZDTA201-E-13
GZDTA201-F-02
GZDTA201-F-03
GZDTA201-F-04
GZDTA201-F-06
</t>
  </si>
  <si>
    <t>GZDTA201-G-01
GZDTA201-G-02
GZDTA201-G-03
GZDTA201-G-04
GZDTA201-G-05
GZDTA201-G-06
GZDTA201-G-07
GZDTA201-G-08
GZDTA201-G-09
GZDTA201-G-10
GZDTA201-G-11</t>
  </si>
  <si>
    <t>GZDTA301-S-02
GZDTA301-S-03
GZDTA301-T-02
GZDTA301-T-03
GZDTA301-T-04</t>
  </si>
  <si>
    <t>GZDTA201-F-05
GZDTA201-F-07
GZDTA201-F-08
GZDTA201-F-09
GZDTA201-F-10
GZDTA201-F-11
GZDTA201-F-12
GZDTA201-F-13
GZDTA201-H-02
GZDTA201-H-03
GZDTA201-H-04
GZDTA201-H-05
GZDTA201-H-06
GZDTA201-H-07
GZDTA201-H-08
GZDTA201-H-09
GZDTA201-H-10
GZDTA201-H-11
GZDTA201-H-12</t>
  </si>
  <si>
    <t>GZDTA302-E-09
GZDTA302-E-10
GZDTA302-F-06
GZDTA302-F-07
GZDTA302-F-08
GZDTA302-F-09
GZDTA302-F-10
GZDTA302-G-10
GZDTA302-G-11</t>
  </si>
  <si>
    <t xml:space="preserve">GZDTA201-H-13
GZDTA201-I-11
GZDTA201-I-12
GZDTA201-I-13
</t>
  </si>
  <si>
    <t>GZDTA201-I-02 GZDTA201-I-03</t>
  </si>
  <si>
    <t>GZDTA201-I-04
GZDTA201-I-05
GZDTA201-I-06</t>
  </si>
  <si>
    <t>GZDTA201-I-07
GZDTA201-I-08
GZDTA201-I-09
GZDTA201-I-10</t>
  </si>
  <si>
    <t>GZDTA202-H-10
GZDTA202-H-11
GZDTA202-H-02
GZDTA202-H-05
GZDTA202-H-08</t>
  </si>
  <si>
    <t>GZDTA202-E-11</t>
  </si>
  <si>
    <t>GZDTA202-H-03
GZDTA202-H-04
GZDTA202-H-06
GZDTA202-H-07
GZDTA202-H-09</t>
  </si>
  <si>
    <t>GZDTA202-H-04
GZDTA202-H-05
GZDTA202-H-06
GZDTA202-H-07
GZDTA202-H-08
GZDTA202-H-09</t>
  </si>
  <si>
    <t>GZDTA201-J-03
GZDTA201-J-04</t>
  </si>
  <si>
    <t>GZDTA202-H-05</t>
  </si>
  <si>
    <t>GZDTA202-H-04
GZDTA202-H-06
GZDTA202-H-07
GZDTA202-H-08
GZDTA202-H-09</t>
  </si>
  <si>
    <t>GZDTA202-I-01
GZDTA202-I-02
GZDTA202-I-03</t>
  </si>
  <si>
    <t>GZDTA202-I-04
GZDTA202-I-05
GZDTA202-I-06
GZDTA202-I-07
GZDTA202-I-08
GZDTA202-I-09
GZDTA202-I-10
GZDTA202-I-11</t>
  </si>
  <si>
    <t>GZDTA202-P-01
GZDTA202-P-02
GZDTA202-P-03
GZDTA202-P-04
GZDTA202-P-05</t>
  </si>
  <si>
    <t>GZDTA202-P-08</t>
  </si>
  <si>
    <t>每期机房提供一个月的免费测试期（期间开通的机柜为测试电，不收费）。机柜如果超功率允许，超出部分按220元/A/月进行收费。</t>
  </si>
  <si>
    <t>广东奥飞</t>
  </si>
  <si>
    <t>182315IDC00057</t>
  </si>
  <si>
    <t>广州先进一期一批（501,502,503,504,401,402,301,302房间）</t>
  </si>
  <si>
    <t>GZXJ</t>
  </si>
  <si>
    <t>9.1开始计费。GZXJ1D502-C-02
GZXJ1D502-C-03
GZXJ1D502-C-04
GZXJ1D502-C-05
GZXJ1D502-C-06
GZXJ1D502-C-07
GZXJ1D502-D-02
GZXJ1D502-D-03
GZXJ1D502-D-04
GZXJ1D502-D-05
GZXJ1D502-D-06
GZXJ1D502-D-07</t>
  </si>
  <si>
    <t>GZXJ1D502-C-01
GZXJ1D502-D-01
GZXJ1D503-C-01
GZXJ1D503-D-01
GZXJ1D504-B-01
GZXJ1D504-C-01</t>
  </si>
  <si>
    <t>GZXJ1D502-A-08 ，GZXJ1D502-B-08</t>
  </si>
  <si>
    <t>GZXJ1D504-B-08
GZXJ1D504-B-09
GZXJ1D504-B-10
GZXJ1D504-B-11
GZXJ1D504-B-12
GZXJ1D504-B-13
GZXJ1D504-C-02
GZXJ1D504-C-03
GZXJ1D504-C-04
GZXJ1D504-C-05
GZXJ1D504-C-06
GZXJ1D504-C-07
GZXJ1D504-C-08
GZXJ1D504-C-09
GZXJ1D504-C-10
GZXJ1D504-C-11
GZXJ1D504-C-12
GZXJ1D504-C-13
GZXJ1D504-C-14
GZXJ1D504-C-15
GZXJ1D504-A-02
GZXJ1D504-A-03
GZXJ1D504-A-04
GZXJ1D504-A-05
GZXJ1D504-A-06
GZXJ1D504-A-07
GZXJ1D504-A-08
GZXJ1D504-A-09
GZXJ1D504-A-11
GZXJ1D504-A-12
GZXJ1D504-A-13
GZXJ1D504-A-14
GZXJ1D504-A-15</t>
  </si>
  <si>
    <t>GZXJ1D502-A-07
GZXJ1D502-B-07</t>
  </si>
  <si>
    <t>GZXJ1D502-A-06
GZXJ1D502-B-06</t>
  </si>
  <si>
    <t>GZXJ1D501-A-10
GZXJ1D502-E-11
GZXJ1D503-A-19
GZXJ1D504-C-16</t>
  </si>
  <si>
    <t>GZXJ1D501-D-02
GZXJ1D501-D-03
GZXJ1D501-D-04
GZXJ1D501-D-05
GZXJ1D501-D-06
GZXJ1D501-D-07
GZXJ1D501-D-08
GZXJ1D501-D-09
GZXJ1D501-D-10
GZXJ1D501-E-02
GZXJ1D501-E-03
GZXJ1D501-E-04
GZXJ1D501-E-05
GZXJ1D501-E-06
GZXJ1D501-E-07
GZXJ1D501-E-08
GZXJ1D501-F-02
GZXJ1D501-F-03
GZXJ1D501-F-04
GZXJ1D501-F-05
GZXJ1D501-F-06
GZXJ1D501-F-07
GZXJ1D501-F-08
GZXJ1D501-F-09
GZXJ1D502-F-02
GZXJ1D502-F-03
GZXJ1D502-F-04
GZXJ1D502-F-05
GZXJ1D502-F-06
GZXJ1D502-F-07
GZXJ1D502-F-08
GZXJ1D502-F-09
GZXJ1D502-F-12
GZXJ1D502-G-02
GZXJ1D502-G-03
GZXJ1D502-G-04
GZXJ1D502-G-05
GZXJ1D502-G-06
GZXJ1D502-G-07
GZXJ1D502-G-08
GZXJ1D502-G-09
GZXJ1D503-C-02
GZXJ1D503-C-03
GZXJ1D503-F-01
GZXJ1D503-F-02
GZXJ1D504-A-10
GZXJ1D504-B-02
GZXJ1D504-B-03
GZXJ1D504-B-04
GZXJ1D504-B-05</t>
  </si>
  <si>
    <t>GZXJ1D502-A-02
GZXJ1D502-A-04
GZXJ1D502-B-02
GZXJ1D502-B-04</t>
  </si>
  <si>
    <t>GZXJ1D502-F-10
GZXJ1D502-F-11</t>
  </si>
  <si>
    <t>GZXJ1D504-B-06
GZXJ1D504-B-07</t>
  </si>
  <si>
    <t>GZXJ1D503-A-03
GZXJ1D503-A-04
GZXJ1D503-A-05
GZXJ1D503-A-06
GZXJ1D503-A-07
GZXJ1D503-A-08</t>
  </si>
  <si>
    <t>GZXJ1D503-A-01 GZXJ1D503-A-02</t>
  </si>
  <si>
    <t>GZXJ1D503-A-09 GZXJ1D503-A-17</t>
  </si>
  <si>
    <t>GZXJ1D503-B-08</t>
  </si>
  <si>
    <t>GZXJ1D503-A-10 GZXJ1D503-A-11</t>
  </si>
  <si>
    <t xml:space="preserve">GZXJ1D504-C-06
GZXJ1D504-A-10
GZXJ1D504-B-04
GZXJ1D504-C-09
GZXJ1D504-C-10
GZXJ1D504-C-11
GZXJ1D504-C-12
GZXJ1D504-C-13
GZXJ1D504-C-14
GZXJ1D504-C-15
GZXJ1D504-B-10
GZXJ1D504-B-11
GZXJ1D504-B-12
GZXJ1D504-B-13
</t>
  </si>
  <si>
    <t>GZXJ1D504-C-06</t>
  </si>
  <si>
    <t xml:space="preserve">GZXJ1D503-A-10
GZXJ1D503-A-11
</t>
  </si>
  <si>
    <t>GZXJ1D503-B-16 GZXJ1D503-C-10</t>
  </si>
  <si>
    <t>GZXJ1D503-A-13
GZXJ1D503-A-14
GZXJ1D503-A-15
GZXJ1D503-A-16
GZXJ1D503-B-07</t>
  </si>
  <si>
    <t>GZXJ1D503-B-02</t>
  </si>
  <si>
    <t>GZXJ1D502-G-11 GZXJ1D502-H-09</t>
  </si>
  <si>
    <t>GZXJ1D502-G-10
GZXJ1D502-G-12
GZXJ1D502-H-08
GZXJ1D502-H-10</t>
  </si>
  <si>
    <t>GZXJ1D503-B-14
GZXJ1D503-B-15
GZXJ1D503-D-03</t>
  </si>
  <si>
    <t>GZXJ1D503-C-04
GZXJ1D503-C-05
GZXJ1D503-C-06
GZXJ1D503-C-07
GZXJ1D503-C-08
GZXJ1D503-C-09
GZXJ1D503-C-11
GZXJ1D503-C-12
GZXJ1D503-C-13
GZXJ1D503-C-14
GZXJ1D503-C-15
GZXJ1D503-C-16
GZXJ1D503-C-17
GZXJ1D503-D-02
GZXJ1D503-D-04
GZXJ1D503-D-05
GZXJ1D503-D-06
GZXJ1D503-D-07
GZXJ1D503-D-08
GZXJ1D503-D-09
GZXJ1D503-D-10
GZXJ1D503-D-11
GZXJ1D503-D-12
GZXJ1D503-D-13
GZXJ1D503-D-14
GZXJ1D503-D-15</t>
  </si>
  <si>
    <t>GZXJ1D503-D-16
GZXJ1D503-D-17
GZXJ1D503-E-01
GZXJ1D503-E-02
GZXJ1D503-E-03
GZXJ1D503-E-04
GZXJ1D503-E-05
GZXJ1D503-E-06
GZXJ1D503-E-07
GZXJ1D503-E-08</t>
  </si>
  <si>
    <t>GZXJ1D402-A-16</t>
  </si>
  <si>
    <t>GZXJ1D402-C-01 GZXJ1D402-C-02</t>
  </si>
  <si>
    <t>GZXJ1D503-E-13 GZXJ1D503-E-14</t>
  </si>
  <si>
    <t>GZXJ1D503-B-01
GZXJ1D503-B-03
GZXJ1D503-B-04
GZXJ1D503-B-05
GZXJ1D503-B-06</t>
  </si>
  <si>
    <t>GZXJ1D503-A-11</t>
  </si>
  <si>
    <t>GZXJ1D301-D-01</t>
  </si>
  <si>
    <t>GZXJ1D301-A-16
GZXJ1D302-A-16
GZXJ1D401-A-16</t>
  </si>
  <si>
    <t>GZXJ1D301-A-01
GZXJ1D301-A-03
GZXJ1D301-A-05
GZXJ1D301-A-07
GZXJ1D301-B-01
GZXJ1D301-B-03
GZXJ1D301-B-05
GZXJ1D301-B-07
GZXJ1D301-D-02
GZXJ1D301-D-03
GZXJ1D301-D-04
GZXJ1D301-D-05
GZXJ1D301-D-07
GZXJ1D301-D-09
GZXJ1D301-D-11
GZXJ1D301-E-01
GZXJ1D301-E-02
GZXJ1D301-E-03
GZXJ1D301-E-04
GZXJ1D301-F-01
GZXJ1D301-F-02
GZXJ1D301-F-03
GZXJ1D301-F-04
GZXJ1D301-F-05
GZXJ1D301-F-07
GZXJ1D301-F-09
GZXJ1D301-F-11
GZXJ1D302-A-01
GZXJ1D302-A-03
GZXJ1D302-A-05
GZXJ1D302-A-07
GZXJ1D302-B-01
GZXJ1D302-B-03
GZXJ1D302-B-05
GZXJ1D302-B-07
GZXJ1D302-D-03
GZXJ1D302-D-05
GZXJ1D302-D-07
GZXJ1D302-D-09
GZXJ1D302-E-03
GZXJ1D302-E-05
GZXJ1D302-E-07
GZXJ1D302-E-09
GZXJ1D302-F-01
GZXJ1D302-F-03
GZXJ1D302-F-05
GZXJ1D302-F-07
GZXJ1D302-G-01
GZXJ1D302-G-03
GZXJ1D302-G-05
GZXJ1D302-G-07
GZXJ1D302-H-01
GZXJ1D302-H-02
GZXJ1D401-C-02
GZXJ1D401-D-02</t>
  </si>
  <si>
    <t>单一列头柜下的所有机柜，允许不超过20%机柜超电，并且单机柜不可超过签约额定电力的120%。如单机柜超出额定电力的120%，乙方不承诺甲方的SLA要求。如果出现用户单机架用电量超出规定电量时，乙方通知甲方，由甲方根据实际情况进行调整。如单机柜当月平均电力超签约额定电力的100%视为超电，并按照双方约定245元/A收取超电费用。</t>
  </si>
  <si>
    <t>L20230426004</t>
  </si>
  <si>
    <t>广州先进一期二批（第一栋楼的2层和6层房间）</t>
  </si>
  <si>
    <t>GZXJ1D201-A-16
GZXJ1D601-A-16
GZXJ1D602-A-16
GZXJ1D603-A-19
GZXJ1D604-A-19</t>
  </si>
  <si>
    <t>GZXJ1D201-B-01
GZXJ1D201-B-03
GZXJ1D201-B-05
GZXJ1D201-B-07
GZXJ1D201-C-01
GZXJ1D201-C-03
GZXJ1D201-C-05
GZXJ1D201-C-07
GZXJ1D201-E-03
GZXJ1D201-E-05
GZXJ1D201-E-07
GZXJ1D201-E-09
GZXJ1D201-F-03
GZXJ1D201-F-05
GZXJ1D201-F-07
GZXJ1D201-F-09
GZXJ1D201-G-01
GZXJ1D201-G-03
GZXJ1D201-G-05
GZXJ1D201-G-07
GZXJ1D201-H-01
GZXJ1D201-H-03
GZXJ1D201-H-05
GZXJ1D201-H-07
GZXJ1D604-H-01
GZXJ1D604-H-02</t>
  </si>
  <si>
    <t>GZXJ1D601-E-01 GZXJ1D601-E-02</t>
  </si>
  <si>
    <t>深圳市前海新型互联网交换中心有限公司</t>
  </si>
  <si>
    <t>深圳前海</t>
  </si>
  <si>
    <t>182215IDC00152</t>
  </si>
  <si>
    <t>前海IXP</t>
  </si>
  <si>
    <t>从业务开通之日起开始收取互联服务费1000元/月/端口，即2000元/月。</t>
  </si>
  <si>
    <t>鞍山灵动网络科技有限公司</t>
  </si>
  <si>
    <t>鞍山灵动</t>
  </si>
  <si>
    <t>182215IDC00363</t>
  </si>
  <si>
    <t>鞍山</t>
  </si>
  <si>
    <t>鞍山联通</t>
  </si>
  <si>
    <t>CACDNANSHANUN</t>
  </si>
  <si>
    <t>免费288个，使用288个；sys已核对使用288个(221.203.7.0/24;42.6.115.224/27)</t>
  </si>
  <si>
    <t>20230228退租。221.203.7.0/24 42.6.115.224/27</t>
  </si>
  <si>
    <t>免费/64的IPV6，超出部分单独计费</t>
  </si>
  <si>
    <t>使用7个ANSHANUN2F-H-05
ANSHANUN2F-H-11
ANSHANUN2F-H-10
ANSHANUN2F-H-09
ANSHANUN2F-H-08
ANSHANUN2F-H-07
ANSHANUN2F-H-06</t>
  </si>
  <si>
    <t>20210111退租4个，ANSHANUN2F-H-08，ANSHANUN2F-H-09，ANSHANUN2F-H-10，ANSHANUN2F-H-11</t>
  </si>
  <si>
    <t>20230228退租。ANSHANUN2F-H-05,ANSHANUN2F-H-06,ANSHANUN2F-H-07</t>
  </si>
  <si>
    <t>薛子凌</t>
  </si>
  <si>
    <t>北京奥普奈特网络科技有限公司</t>
  </si>
  <si>
    <t>安徽奥普奈特</t>
  </si>
  <si>
    <t>182015IDC00269
182115IDC00103</t>
  </si>
  <si>
    <t>淮南移动
淮南2移动
淮南3移动</t>
  </si>
  <si>
    <t>CACDNHNCM</t>
  </si>
  <si>
    <t xml:space="preserve">2018/4/9 
2018/7/26 
2019/5/25 </t>
  </si>
  <si>
    <t>IPv4：每个万兆端口赠送【25.6】个IP地址，乙方为甲方总计提供【1434】个免费IP地址（其中在用864个）(112.29.241.224/27;112.29.213.0/24
112.29.252.160/27;112.29.224.0/24
112.29.219.0/24;112.29.248.192/27
)，超出部分单独计费；20210311SYS反馈使用为112.29.215.0/24 112.29.241.0/27 112.29.218.0/24 112.29.241.32/27</t>
  </si>
  <si>
    <t>需要注意周睿发邮件20200918退租，112.29.213.0/24</t>
  </si>
  <si>
    <t>需要注意周睿发邮件20200918退租，112.29.241.224/27</t>
  </si>
  <si>
    <t>合同条款：IPv6：免费</t>
  </si>
  <si>
    <t>需要注意周睿发邮件20200918退租IPV6:2409:8c30:1000:0200::/64</t>
  </si>
  <si>
    <t xml:space="preserve">19个机柜：HNCM1F-D-07
HN3CM-D-04
HN3CM-D-03
HN2CM1F-G-10
HN3CM-D-02
HN2CM1F-G-09
HN3CM-D-01
HNCM1F-D-14
HN2CM1F-G-13
HNCM1F-D-13
HN2CM1F-G-12
HNCM1F-D-12
HN2CM1F-G-11
HNCM1F-D-11
HNCM1F-D-10
HN3CM-D-06
HNCM1F-D-09
HNCM1F-D-08
HN3CM-D-05
</t>
  </si>
  <si>
    <t>20190423退租一个
HN2CM1F-G-14，历史多付款项在202003已扣除</t>
  </si>
  <si>
    <t>商务更新计费日期20200916，HN2CM1F-G-14、HN2CM1F-G-15、HN2CM1F-G-16</t>
  </si>
  <si>
    <t>商务反馈20200915停止计费，HNCM1F-D-07、HNCM1F-D-08、HNCM1F-D-09、HNCM1F-D-10、HNCM1F-D-11、HNCM1F-D-12、HNCM1F-D-13、HNCM1F-D-14</t>
  </si>
  <si>
    <t>上海翱骋信息科技有限公司</t>
  </si>
  <si>
    <t>翱骋信息</t>
  </si>
  <si>
    <t>182115IDC00104</t>
  </si>
  <si>
    <t>IPv4：乙方为甲方总计提供【640】个免费IP地址，超出部分单独计费。（其中历史在用864个，2020年9月15日退租288个）(112.29.241.224/27;112.29.213.0/24
112.29.252.160/27;112.29.224.0/24
112.29.219.0/24;112.29.248.192/27
)，超出部分单独计费；20210311SYS反馈使用为112.29.215.0/24 112.29.241.0/27 112.29.218.0/24 112.29.241.32/27
20220228退租576个，112.29.215.0/24 112.29.241.0/27，112.29.218.0/24 112.29.241.32/27</t>
  </si>
  <si>
    <t>淮南2移动</t>
  </si>
  <si>
    <t>20220228退租，HN2CM1F-G-13,HN2CM1F-G-12,HN2CM1F-G-11,HN2CM1F-G-10,HN2CM1F-G-09,HN2CM1F-G-14,HN2CM1F-G-15,HN2CM1F-G-16</t>
  </si>
  <si>
    <t>淮南3移动</t>
  </si>
  <si>
    <t>20220228退租，HN3CM-D-03,HN3CM-D-05,HN3CM-D-02,HN3CM-D-04,HN3CM-D-01,HN3CM-D-06</t>
  </si>
  <si>
    <t>北京承启通科技有限公司</t>
  </si>
  <si>
    <t>北京承启通</t>
  </si>
  <si>
    <t>182215IDC00304</t>
  </si>
  <si>
    <t>扬州电信</t>
  </si>
  <si>
    <t>CACDNYANGZCT</t>
  </si>
  <si>
    <t>20220930退租。sys已核对使用288个(117.91.182.0/27;117.91.181.0/24)，每个万兆端口赠送【32】个免费IP地址，乙方为甲方总计提供【512】个IP地址（其中在用288个），超出部分单独计费</t>
  </si>
  <si>
    <t xml:space="preserve">	
IPV6：免费。</t>
  </si>
  <si>
    <t>YANGZCT2F-G-14
YANGZCT2F-G-19
YANGZCT2F-G-18
YANGZCT2F-G-17
YANGZCT2F-G-16
YANGZCT2F-G-15</t>
  </si>
  <si>
    <t>20210713退租，YANGZCT2F-G-19、YANGZCT2F-G-18</t>
  </si>
  <si>
    <t>YANGZCT2F-G-17,YANGZCT2F-G-16,YANGZCT2F-G-15,YANGZCT2F-G-14</t>
  </si>
  <si>
    <t>北京互联港湾科技有限公司</t>
  </si>
  <si>
    <t>互联港湾</t>
  </si>
  <si>
    <t>182215IDC00094</t>
  </si>
  <si>
    <t>中山</t>
  </si>
  <si>
    <t>中山移动</t>
  </si>
  <si>
    <t>CACDNZSCM</t>
  </si>
  <si>
    <t>20210301开始计费，使用288个，120.234.106.0/24 120.237.198.192/27，免费288个</t>
  </si>
  <si>
    <t>20220228退租</t>
  </si>
  <si>
    <t>/64个免费IPV6地址，超出部分单独计费</t>
  </si>
  <si>
    <t>20210301开始计费，ZSCM4F-B09-04、ZSCM4F-B09-01、ZSCM4F-B09-03、ZSCM4F-B09-02</t>
  </si>
  <si>
    <t>20210601开始计费，ZSCM4F-B09-05、ZSCM4F-B09-06</t>
  </si>
  <si>
    <t>20220228退租，ZSCM4F-B09-05,ZSCM4F-B09-04,ZSCM4F-B09-06,ZSCM4F-B09-01,ZSCM4F-B09-03,ZSCM4F-B09-02</t>
  </si>
  <si>
    <t>佰云互联（北京）科技有限公司</t>
  </si>
  <si>
    <t>佰云互联</t>
  </si>
  <si>
    <t>182215IDC00604</t>
  </si>
  <si>
    <t>宜昌</t>
  </si>
  <si>
    <t>宜昌2联通</t>
  </si>
  <si>
    <t>CACDNYICUN</t>
  </si>
  <si>
    <t>20200101开始计费，使用160个（119.36.226.64/27;119.36.227.0/25），免费160个，sys已核对使用160个</t>
  </si>
  <si>
    <t>边缘计算：119.36.172.128/25</t>
  </si>
  <si>
    <t xml:space="preserve">点军：119.36.227.128/26 </t>
  </si>
  <si>
    <t>20220601开始计费，边缘计算：119.36.173.128/25
119.36.174.0/25</t>
  </si>
  <si>
    <t>合同条款：IPV6:免费</t>
  </si>
  <si>
    <t>边缘计算。2408:874F:3001:0008::/64</t>
  </si>
  <si>
    <t>需要注意202205价格变动。20200101开始计费，YICUN1F101-22-17,YICUN1F101-22-18</t>
  </si>
  <si>
    <t xml:space="preserve">边缘计算，需要注意202205价格变动。BECYICUN1F101-22-14，BECYICUN1F101-22-15，BECYICUN1F101-22-16
</t>
  </si>
  <si>
    <t>边缘计算，20220601开始计费，BECYICUN1F101-21-12
BECYICUN1F101-21-13
BECYICUN1F101-21-14
BECYICUN1F101-21-15</t>
  </si>
  <si>
    <t>边缘计算退租，BECYICUN1F101-21-14
BECYICUN1F101-21-15
BECYICUN1F101-22-16
BECYICUN1F101-21-12
  BECYICUN1F101-21-13</t>
  </si>
  <si>
    <t>182215IDC00487</t>
  </si>
  <si>
    <t>IDC机架-云托管-机架</t>
  </si>
  <si>
    <t>CACDNYICUN-云托管</t>
  </si>
  <si>
    <t>云托管，需要注意202205价格变动。点军项目EVSYICUN1F101-19-02
EVSYICUN1F101-19-03
EVSYICUN1F101-19-05
EVSYICUN1F101-19-12
EVSYICUN1F101-19-19
EVSYICUN1F101-19-22
EVSYICUN1F101-19-28
EVSYICUN1F101-19-29
EVSYICUN1F101-19-30
EVSYICUN1F101-19-31
EVSYICUN1F101-19-32
EVSYICUN1F101-19-33
EVSYICUN1F101-19-34
EVSYICUN1F101-19-35</t>
  </si>
  <si>
    <t xml:space="preserve">云托管，需要注意202205价格变动。点军项目EVSYICUN1F101-19-04
EVSYICUN1F101-19-06
EVSYICUN1F101-19-07
EVSYICUN1F101-19-08
EVSYICUN1F101-19-09
EVSYICUN1F101-19-10
EVSYICUN1F101-19-11
EVSYICUN1F101-19-13
EVSYICUN1F101-19-14
EVSYICUN1F101-19-15
EVSYICUN1F101-19-16
EVSYICUN1F101-19-17
EVSYICUN1F101-19-20
EVSYICUN1F101-19-23
EVSYICUN1F101-19-24
EVSYICUN1F101-19-25
EVSYICUN1F101-19-26
EVSYICUN1F101-19-27
EVSYICUN1F101-19-21
</t>
  </si>
  <si>
    <t>云托管，点军项目EVSYICUN1F101-19-18</t>
  </si>
  <si>
    <t>182215IDC00617</t>
  </si>
  <si>
    <t>云托管，点军项目EVSYICUN1F101-19-36</t>
  </si>
  <si>
    <t>王超越</t>
  </si>
  <si>
    <t>182215IDC00618</t>
  </si>
  <si>
    <t>西宁2联通</t>
  </si>
  <si>
    <t>CACDNXNUN</t>
  </si>
  <si>
    <t>20200701开始计费，使用288个（116.177.239.0/24 116.177.236.64/27 ），免费288个</t>
  </si>
  <si>
    <t>合同条款： IPv6地址免费。</t>
  </si>
  <si>
    <t>20200701开始计费，XN2UN1F3-B-01、XN2UN1F3-B-02、XN2UN1F3-B-03</t>
  </si>
  <si>
    <t>与SYS核实机柜编码由XN2UN1F3-B-01、XN2UN1F3-B-02、XN2UN1F3-B-03更换为XN2UN1F3-L-12
XN2UN1F3-L-14
XN2UN1F3-L-13</t>
  </si>
  <si>
    <t>XN2UN1F3-L-12
XN2UN1F3-L-14
XN2UN1F3-L-13</t>
  </si>
  <si>
    <t>182215IDC00532</t>
  </si>
  <si>
    <t>枣庄</t>
  </si>
  <si>
    <t>枣庄联通</t>
  </si>
  <si>
    <t xml:space="preserve">CACDNZAOZUN </t>
  </si>
  <si>
    <t>20220501开始计费，使用288个，免费288个，39.91.128.0/24 39.91.131.0/27 ；合同内共免费640个</t>
  </si>
  <si>
    <t>20220501开始计费，使用256个，免费256个，边缘计算39.91.129.0/24</t>
  </si>
  <si>
    <t xml:space="preserve">20220701退租，边缘计算39.91.129.0/24 </t>
  </si>
  <si>
    <t>20220501开始计费，边缘计算，2408:8719:4000:000C::/64</t>
  </si>
  <si>
    <t>20220731退租，边缘计算，2408:8719:4000:000C::/64</t>
  </si>
  <si>
    <t>20220501开始计费，ZAOZUN2F-H-1 ZAOZUN2F-H-2 ，</t>
  </si>
  <si>
    <t>边缘计算，20220501开始计费，BECZAOZUN-H-03 BECZAOZUN-H-04</t>
  </si>
  <si>
    <t>20220731退租，BEC退租BECZAOZUN-H-03 BECZAOZUN-H-04，转CDN</t>
  </si>
  <si>
    <t>BEC转CDN，ZAOZUN2F-H-3 ,ZAOZUN2F-H-4</t>
  </si>
  <si>
    <t>北京数据互通科技有限公司</t>
  </si>
  <si>
    <t>数据互通</t>
  </si>
  <si>
    <t>182115IDC00445</t>
  </si>
  <si>
    <t>广州3移动</t>
  </si>
  <si>
    <t>CACDNGZCM2</t>
  </si>
  <si>
    <t>sys已核对使用288个(120.232.150.128/27;120.232.149.0/24)，免费提供【288】个IPV4地址</t>
  </si>
  <si>
    <t>20211031退租120.232.149.0/24 120.232.150.128/27</t>
  </si>
  <si>
    <t xml:space="preserve">合同条款：IPV6地址 ::/64 个网段地址 </t>
  </si>
  <si>
    <t xml:space="preserve">GZ3CM2F-M-08
GZ3CM2F-M-07
GZ3CM2F-M-06
GZ3CM2F-M-11
GZ3CM2F-M-10
GZ3CM2F-M-09
</t>
  </si>
  <si>
    <t xml:space="preserve">20211031退租，GZ3CM2F-M-08
GZ3CM2F-M-07
GZ3CM2F-M-06
GZ3CM2F-M-11
GZ3CM2F-M-10
GZ3CM2F-M-09
</t>
  </si>
  <si>
    <t>182215IDC00648</t>
  </si>
  <si>
    <t>中山3移动</t>
  </si>
  <si>
    <t>CACDNZSCM3</t>
  </si>
  <si>
    <t>20211101开始计费，使用288个，免费288个，120.232.248.0/24 120.232.40.0/27</t>
  </si>
  <si>
    <t>20230228退租</t>
  </si>
  <si>
    <t>IPv6：免费赠送：：/64个网段</t>
  </si>
  <si>
    <t>20211101开始计费，ZS3CM2F02-E-AE07，ZS3CM2F02-E-AE08，ZS3CM2F02-E-AE09，ZS3CM2F02-E-AE10，ZS3CM2F02-E-AE11，ZS3CM2F02-E-AE12，ZS3CM2F02-E-AE13，ZS3CM2F02-E-AE14</t>
  </si>
  <si>
    <t>20220831退租，ZS3CM2F02-E-AE14,ZS3CM2F02-E-AE13, ZS3CM2F02-E-AE12, ZS3CM2F02-E-AE11</t>
  </si>
  <si>
    <t>L20230324003</t>
  </si>
  <si>
    <t>广州8移动</t>
  </si>
  <si>
    <t>CACDNGZCM5</t>
  </si>
  <si>
    <t>20230301开始计费。免费288个，在用160个，183.240.223.0/25 183.240.223.128/27</t>
  </si>
  <si>
    <t>20230301开始计费。3F308-K-CDN07,3F308-K-CDN08,3F308-K-CDN09,3F308-K-CDN10</t>
  </si>
  <si>
    <t>北京中瑞云祥信息科技发展有限公司</t>
  </si>
  <si>
    <t>中瑞云祥</t>
  </si>
  <si>
    <t>182315IDC00101</t>
  </si>
  <si>
    <t>廊坊6电信</t>
  </si>
  <si>
    <t>CACDNLFCT</t>
  </si>
  <si>
    <t>20210207开始计费，使用288个，免费448个，111.225.213.0/24 27.128.215.160/27</t>
  </si>
  <si>
    <t>廊坊7电信</t>
  </si>
  <si>
    <t>（1）20210401开始计费，使用256个，廊坊7电信360G免费576个，退租100G剩余260G后赠送416个；124.239.243.0/24</t>
  </si>
  <si>
    <t>廊坊6电信&amp;廊坊7电信</t>
  </si>
  <si>
    <t>IPv6：2段/64前缀长度的IPV6地址段。合同内赠送1024个iPV6</t>
  </si>
  <si>
    <t>20210207开始计费，使用3个，廊坊电信节点共免费22个，LFCT1F-H-1、LFCT1F-H-2、LFCT1F-H-3</t>
  </si>
  <si>
    <t>20210601开始计费，使用4个，廊坊电信节点共免费22个，LFCT1F-G-3、LFCT1F-G-4、LFCT1F-G-5、LFCT1F-G-6</t>
  </si>
  <si>
    <t>20210401开始计费，使用4个，廊坊电信节点共免费22个，LF7CT1F-H-6、LF7CT1F-H-7、LF7CT1F-H-4、LF7CT1F-H-5</t>
  </si>
  <si>
    <t>LF7CT1F-H-6、LF7CT1F-H-7、LF7CT1F-H-4、LF7CT1F-H-5替换为LF7CT-H-04、LF7CT-H-05、LF7CT-H-06、LF7CT-H-07</t>
  </si>
  <si>
    <t>LF7CT-E-01、LF7CT-E-02、LF7CT-E-03</t>
  </si>
  <si>
    <t>LF6CT1F-G-02</t>
  </si>
  <si>
    <t>LF6CT1F-G-02、LFCT1F-G-6</t>
  </si>
  <si>
    <t>LF7CT-E-03</t>
  </si>
  <si>
    <t>182215IDC00416</t>
  </si>
  <si>
    <t>淄博联通&amp;淄博2联通</t>
  </si>
  <si>
    <t>CACDNZBUN</t>
  </si>
  <si>
    <t>20221130退租淄博联通。20221031退租淄博2联通160个（112.240.63.0/25 112.240.63.128/27）。20220201开始计费，免费640个，使用544个zbun112.240.62.0/24 112.240.63.0/24（包含zb2un 112.240.63.0/25 112.240.63.128/27） 60.210.16.0/27  ；其中2022051861.210.16.0/27 替换为60.210.16.0/27</t>
  </si>
  <si>
    <t>IPv6：赠送:: /64个IPV6</t>
  </si>
  <si>
    <t>20220201开始计费，ZBUN：ZBUN3F286-G-03,ZBUN3F286-G-04,ZBUN3F286-G-05,ZBUN3F286-G-06；ZB2UN：ZBUN3F286-G-07,ZBUN3F286-G-08,ZBUN3F286-G-09,ZBUN3F286-G-12</t>
  </si>
  <si>
    <t>淄博2联通</t>
  </si>
  <si>
    <t>ZBUN3F286-G-07,ZBUN3F286-G-08,ZBUN3F286-G-09,ZBUN3F286-G-12</t>
  </si>
  <si>
    <t>ZBUN3F286-G-03,ZBUN3F286-G-04,ZBUN3F286-G-05,ZBUN3F286-G-06</t>
  </si>
  <si>
    <t>182315IDC00016</t>
  </si>
  <si>
    <t>泰安联通</t>
  </si>
  <si>
    <t>CACDNTAUN</t>
  </si>
  <si>
    <t>20221101开始计费，使用288个，61.156.243.0/24 123.128.13.0/27</t>
  </si>
  <si>
    <t>退租288个，61.156.243.0/24 123.128.13.0/27</t>
  </si>
  <si>
    <t>20221101开始计费，TAUN501-F-01,TAUN501-F-02,TAUN501-F-03,TAUN501-F-04,TAUN501-F-05</t>
  </si>
  <si>
    <t>TAUN501-F-01
TAUN501-F-02
TAUN501-F-03
TAUN501-F-04
TAUN501-F-05</t>
  </si>
  <si>
    <t>泰安2联通</t>
  </si>
  <si>
    <t>20221201开始计费。使用288个，61.162.227.0/24 61.156.50.128/27</t>
  </si>
  <si>
    <t>20230110退租，61.162.227.0/24,61.156.50.128/27</t>
  </si>
  <si>
    <t xml:space="preserve">BEC,123.135.106.0/24，123.128.13.0/27 </t>
  </si>
  <si>
    <t>泰安联通&amp;泰安2联通</t>
  </si>
  <si>
    <t>IPV6：赠送2段/64。泰安2联通BEC,2408:8719:84FF:FFFB::/64</t>
  </si>
  <si>
    <t>20221201开始计费。TA2UN501-E-02,TA2UN501-E-03,TA2UN501-E-04,TA2UN501-E-05,TA2UN501-E-06</t>
  </si>
  <si>
    <t>TA2UN501-E-05
TA2UN501-E-06</t>
  </si>
  <si>
    <t>TA2UN501-E-02
TA2UN501-E-03
TA2UN501-E-04</t>
  </si>
  <si>
    <t>BECTA2UN-501-D13
BECTA2UN-501-D14
BECTA2UN-501-D15
BECTA2UN-501-D18
BECTA2UN-501-D19
BECTA2UN-501-D20
BECTA2UN-501-F10
BECTA2UN-501-F11
BECTA2UN-501-F12
BECTA2UN-501-F13
BECTA2UN-501-F17
BECTA2UN-501-F18
BECTA2UN-501-F19
BECTA2UN-501-F20</t>
  </si>
  <si>
    <t>广东力通网络科技有限公司</t>
  </si>
  <si>
    <t>广东力通</t>
  </si>
  <si>
    <t>182115IDC00428</t>
  </si>
  <si>
    <t>岳阳联通</t>
  </si>
  <si>
    <t>CACDNYYUN</t>
  </si>
  <si>
    <t>20211231退租，20200701开始计费，使用288个（116.162.19.0/24 116.162.15.64/27），免费320个，</t>
  </si>
  <si>
    <t>合同条款：提供::/64个免费IPv6地址</t>
  </si>
  <si>
    <t>20200701开始计费，每两个万兆赠送1机柜，超出4000元/柜/月  ,YYUN2FIDC-F-01、YYUN2FIDC-F-02、YYUN2FIDC-F-03</t>
  </si>
  <si>
    <t>20211231退租，YYUN2FIDC-F-01,YYUN2FIDC-F-02,YYUN2FIDC-F-03</t>
  </si>
  <si>
    <t>182115IDC00076</t>
  </si>
  <si>
    <t>佳木斯</t>
  </si>
  <si>
    <t>佳木斯2联通</t>
  </si>
  <si>
    <t>CACDNJMSUN</t>
  </si>
  <si>
    <t>20210215开始计费，使用288个，免费288个，218.7.125.0/24 218.7.124.0/27</t>
  </si>
  <si>
    <t>20211231退租</t>
  </si>
  <si>
    <t>一段/64 ipv6地址</t>
  </si>
  <si>
    <t>20210201开始计费，使用4个，404FIDC-6-4、404FIDC-6-1、404FIDC-6-3、404FIDC-6-2</t>
  </si>
  <si>
    <t>20211231退租404FIDC-6-4,404FIDC-6-1,404FIDC-6-3,404FIDC-6-2</t>
  </si>
  <si>
    <t>广东图纪网络科技有限公司</t>
  </si>
  <si>
    <t>广东图纪</t>
  </si>
  <si>
    <t>182215IDC00014</t>
  </si>
  <si>
    <t>郴州</t>
  </si>
  <si>
    <t>郴州联通二级</t>
  </si>
  <si>
    <t>CACDNCHENZUN</t>
  </si>
  <si>
    <t>20220131退租，20200122开始计费，使用288个（116.129.251.0/24 116.129.252.0/27），每个万兆端口赠送【16】个免费IP地址，乙方为甲方总计提供【384】个IP地址（其中在用288个），超出部分单独计费。</t>
  </si>
  <si>
    <t>20211001开始价格为4000，20200122开始计费，CHENZUNCACHE3F-A-13,CHENZUNCACHE3F-A-14,CHENZUNCACHE3F-A-15,CHENZUNCACHE3F-A-18,CHENZUNCACHE3F-A-19,CHENZUNCACHE3F-A-20,CHENZUNCACHE3F-A-21,CHENZUNCACHE3F-A-22</t>
  </si>
  <si>
    <t>20211001开始价格为4000，CHENZUNCACHE3F-A-15</t>
  </si>
  <si>
    <t>20220131退租</t>
  </si>
  <si>
    <t>长沙3联通</t>
  </si>
  <si>
    <t>CACDNCSUN</t>
  </si>
  <si>
    <t>20220731退租（1）需要202008暂停不计费；（2）20200311开始计费，使用288个（116.162.7.0/24 116.162.8.0/27），每个万兆端口赠送【16】个免费IP地址，乙方为甲方总计提供【320】个IP地址（其中在用288个），超出部分单独计费。</t>
  </si>
  <si>
    <t>20211001开始价格为4000，（1）需要202008暂停不计费；（2）20200311开始计费，CS3UN2FIDC2-G-10、CS3UN2FIDC2-G-11、CS3UN2FIDC2-G-12、CS3UN2FIDC2-G-13、CS3UN2FIDC2-G-14</t>
  </si>
  <si>
    <t>CS3UN2FIDC2-G-14,CS3UN2FIDC2-G-11,CS3UN2FIDC2-G-10,CS3UN2FIDC2-G-12,CS3UN2FIDC2-G-13</t>
  </si>
  <si>
    <t>182215IDC00365</t>
  </si>
  <si>
    <t>洛阳4电信</t>
  </si>
  <si>
    <t>CACDNLYCT</t>
  </si>
  <si>
    <t>20201101开始计费，使用288个（36.99.3.0/24 36.99.4.128/27），免费544个</t>
  </si>
  <si>
    <t>20220201价格为4500；20201101开始计费，LY4CT3F-02-02、LY4CT3F-02-03、LY4CT3F-02-04、LY4CT3F-02-05</t>
  </si>
  <si>
    <t>20220201价格为4500；20210201开始计费，LY4CT3F-02-06、LY4CT3F-02-07、LY4CT3F-02-08、LY4CT3F-02-09</t>
  </si>
  <si>
    <t>20220201价格为4500；20210901开始计费，LY4CT3F-02-11、LY4CT3F-02-10</t>
  </si>
  <si>
    <t>洛阳5电信</t>
  </si>
  <si>
    <t>20211001开始计费，使用288个，1.193.146.0/24 123.53.139.160/27</t>
  </si>
  <si>
    <t>洛阳4电信&amp;洛阳5电信</t>
  </si>
  <si>
    <t>IPV6：免费赠送</t>
  </si>
  <si>
    <t>20220201价格为4500；20211001开始计费，LY5CT3F-03-08、LY5CT3F-03-09、LY5CT3F-03-07</t>
  </si>
  <si>
    <t>182215IDC00575</t>
  </si>
  <si>
    <t>郴州电信</t>
  </si>
  <si>
    <t>CACDNCHENZCT</t>
  </si>
  <si>
    <t>（1）20220201扩容100G后免费640个，使用544个；（2）20211001开始计费，使用544个，免费480个，收费64个 113.219.142.0/24 113.219.161.0/24 113.219.178.0/27</t>
  </si>
  <si>
    <t>182215IDC00700</t>
  </si>
  <si>
    <t>边缘计算，113.219.178.32/28</t>
  </si>
  <si>
    <t>IPv6：免费赠送</t>
  </si>
  <si>
    <t>20220201价格为4000；20211001开始计费，CHENZCT3FM4-A-22，CHENZCT3FM4-A-23，CHENZCT3FM4-A-24，CHENZCT3FM4-A-25，CHENZCT3FM4-A-26，CHENZCT3FM4-A-27，CHENZCT3FM4-A-28</t>
  </si>
  <si>
    <t>20220201价格为4000；20211101开始计费，CHENZCT3FM4-A-29</t>
  </si>
  <si>
    <t>边缘计算，BECCHENZCT3FM4-A-37</t>
  </si>
  <si>
    <t>L20221025042</t>
  </si>
  <si>
    <t>株洲2联通</t>
  </si>
  <si>
    <t>CACDNZHUZUN</t>
  </si>
  <si>
    <t>20220201开始计费，免费704个，使用544个，119.39.203.0/24 58.20.210.0/24 119.39.202.96/27</t>
  </si>
  <si>
    <t>20220201开始计费，ZHUZ2UN8FIDC-L-03,ZHUZ2UN8FIDC-L-04,ZHUZ2UN8FIDC-L-05,ZHUZ2UN8FIDC-L-06,ZHUZ2UN8FIDC-L-07,ZHUZ2UN8FIDC-L-08,ZHUZ2UN8FIDC-L-09,ZHUZ2UN8FIDC-L-10</t>
  </si>
  <si>
    <t>182215IDC00403</t>
  </si>
  <si>
    <t>洛阳2联通</t>
  </si>
  <si>
    <t>CACDNLYUN</t>
  </si>
  <si>
    <t>20220601开始计费，使用544个，免费480个，收费64个，222.141.4.0/24 222.141.5.0/24 61.158.128.64/27</t>
  </si>
  <si>
    <t>20220622开始计费，边缘计算：I221.15.66.0/24</t>
  </si>
  <si>
    <t>20221212退租。CDN退租。222.141.5.0/24</t>
  </si>
  <si>
    <t>CDN退租。222.141.4.128/25</t>
  </si>
  <si>
    <t>边缘计算2408:8722:1010:000B:0000:0000:0000:0000/64</t>
  </si>
  <si>
    <t>20220601开始计费，LY2UN6FH-2F2P-3J,LY2UN6FH-2F2P-4J,LY2UN6FH-2F2P-5J,LY2UN6FH-2F2P-6J</t>
  </si>
  <si>
    <t>边缘计算，BECLY2UN6F-2P-7J
BECLY2UN6F-2P-9J
BECLY2UN6F-1P-7J
BECLY2UN6F-1P-8J
BECLY2UN6F-1P-9J</t>
  </si>
  <si>
    <t>182215IDC00572</t>
  </si>
  <si>
    <t>株洲3联通</t>
  </si>
  <si>
    <t>20220802开始计费，使用288个，免费320个，42.48.143.0/25 119.39.205.128/25 119.39.204.192/27</t>
  </si>
  <si>
    <t>IPV6：按需赠送</t>
  </si>
  <si>
    <t>20220802开始计费，ZHUZ3UN8FIDC-E-8,ZHUZ3UN8FIDC-E-9,ZHUZ3UN8FIDC-E-10,ZHUZ3UN8FIDC-E-11,ZHUZ3UN8FIDC-E-12,ZHUZ3UN8FIDC-E-13</t>
  </si>
  <si>
    <t>L20230305001</t>
  </si>
  <si>
    <t>重庆5移动</t>
  </si>
  <si>
    <t>CACDNCQCM5</t>
  </si>
  <si>
    <t>202304暂停计费。20230302开始计费。免费64个，收费64个，使用128个，183.230.237.0/25</t>
  </si>
  <si>
    <t>202304暂停计费。20230302开始计费。407-C-CDN05,407-C-CDN06,407-C-CDN07</t>
  </si>
  <si>
    <t>补202303，收费64个</t>
  </si>
  <si>
    <t>厦门市唯云网络科技有限公司</t>
  </si>
  <si>
    <t>厦门唯云</t>
  </si>
  <si>
    <t>182215IDC00643</t>
  </si>
  <si>
    <t>东莞4移动</t>
  </si>
  <si>
    <t>CACDNDGCM2</t>
  </si>
  <si>
    <t>sys已核对使用288个IP，收费IP176个(120.233.75.0/24;120.233.79.0/27)</t>
  </si>
  <si>
    <t>sys已核对使用288个IP，收费IP176个</t>
  </si>
  <si>
    <t>20221122退128个，120.233.75.128/25</t>
  </si>
  <si>
    <t xml:space="preserve">20220101开始价格为5000；DG4CM3F-F-06
DG4CM3F-F-05
DG4CM3F-F-04
DG4CM3F-F-03
DG4CM3F-F-02
DG4CM3F-F-01
DG4CM3F-F-07
</t>
  </si>
  <si>
    <t>20221122DG4CM3F-F-07</t>
  </si>
  <si>
    <t>L20230223024</t>
  </si>
  <si>
    <t>CACDNWXUN</t>
  </si>
  <si>
    <t>202206退租100G后IP收费变动。共使用672个，免费160个，收费512个。20191001开始计费，每个万兆端口赠送【16】个免费IP地址，乙方为甲方总计提供【512】个IP地址，超出部分单独计费。其中免费256个，收费256个。Sys已核对使用416个， 153.35.88.0/24,153.35.89.0/24,（边缘）153.35.89.0/25</t>
  </si>
  <si>
    <t>2020年10月甲方在用IP为512个（其中256个免费，256个收费）；2020年11月1日带宽扩容后，甲方在用IP为512个（其中320个免费，192个收费）；超出部分单独计费。20191001开始计费，每个万兆端口赠送【16】个免费IP地址，乙方为甲方总计提供【512】个IP地址，超出部分单独计费。其中免费256个，收费256个。Sys已核对使用416个</t>
  </si>
  <si>
    <t>2022年4月1日开始使用672个IP地址（其中480个免费，192个收费）。2020年11月1日带宽扩容后，甲方在用IP为512个（其中320个免费，192个收费）</t>
  </si>
  <si>
    <t>（1）20220401开始128个免费；（2）20220111开始计费，收费32个，免费96个边缘计算153.35.174.0/25</t>
  </si>
  <si>
    <t>（1）20220401开始128个免费；（2）20220308开始计费，使用128个，免费64个，收费64个边缘计算153.35.174.128/25</t>
  </si>
  <si>
    <t>先按照20220817退租记录，CDN：153.35.88.128/25；	
（1）IPV4:2022年 7月1日-9月19日，使用672个，免费320个，计费352个；9月20日开始，使用544个，免费320，计费224个，超出部分单独计费。</t>
  </si>
  <si>
    <t>20211001开始价格为4000；20191001开始计费，WXUNIDC2-C-06，WXUNIDC2-C-07，WXUNIDC2-C-08，WXUNIDC2-C-09，WXUNIDC2-C-10，WXUNIDC2-C-11，WXUNIDC2-C-12，WXUNIDC2-C-13</t>
  </si>
  <si>
    <t>20211001开始价格为4000；20191017开始计费，边缘计算WXUNIDC2-C-14，WXUNIDC2-C-15</t>
  </si>
  <si>
    <t>20220111开始计费，边缘计算WXUNIDC2-B-16</t>
  </si>
  <si>
    <t>20220217停止计费，WXUNIDC2-C-13,WXUNIDC2-C-12</t>
  </si>
  <si>
    <t>20220308开始计费，边缘计算WXUNIDC2-C-12,
WXUNIDC2-C-13</t>
  </si>
  <si>
    <t>20220525开始计费：边缘计算WXUNIDC2-B-07
WXUNIDC2-B-08
WXUNIDC2-B-09
WXUNIDC2-B-10
WXUNIDC2-B-17</t>
  </si>
  <si>
    <t>20220805退租，WXUNIDC2-C-09,WXUNIDC2-C-10,WXUNIDC2-C-11</t>
  </si>
  <si>
    <t>182215IDC00649</t>
  </si>
  <si>
    <t>贵阳电信</t>
  </si>
  <si>
    <t>CACDNGYCT</t>
  </si>
  <si>
    <t>20191001开始计费，每个万兆端口赠送【14.4】个免费IP地址，乙方为甲方总计提供【288】个IP地址，其中288个免费，超出部分单独计费。sys已核对使用288个(58.42.14.0/24;58.42.2.0/27)</t>
  </si>
  <si>
    <t>20191001开始计费，GYCTA6202-E-14，GYCTA6202-E-15，GYCTA6202-F-05，GYCTA6202-F-02，GYCTA6202-F-03，GYCTA6202-F-04</t>
  </si>
  <si>
    <t>20210331退租，GYCTA6202-E-15、GYCTA6202-E-14</t>
  </si>
  <si>
    <t>贵阳2电信</t>
  </si>
  <si>
    <t xml:space="preserve">CACDNGYCT </t>
  </si>
  <si>
    <t>20200117开始计费，sys已核对使用288个(219.151.25.0/24 219.151.18.0/27)，免费288个</t>
  </si>
  <si>
    <t>贵阳电信+贵阳2电信</t>
  </si>
  <si>
    <t>IPv6免费。</t>
  </si>
  <si>
    <t>20200117开始计费，GY2CTA6202-F-14,GY2CTA6202-F-15,GY2CTA6202-F-16,GY2CTA6202-F-17,GY2CTA6202-F-18</t>
  </si>
  <si>
    <t>182215IDC00703</t>
  </si>
  <si>
    <t>GY2CTA6202-F-19</t>
  </si>
  <si>
    <t>L20230223022</t>
  </si>
  <si>
    <t>吉安</t>
  </si>
  <si>
    <t>吉安电信</t>
  </si>
  <si>
    <t>CACDNJACT</t>
  </si>
  <si>
    <t>20200601开始计费，使用288个(182.107.80.0/24 220.177.178.192/27)，免费288个</t>
  </si>
  <si>
    <t>20220731退租182.107.80.128/25</t>
  </si>
  <si>
    <t>IPv6：按需免费提供.</t>
  </si>
  <si>
    <t>20220201开始价格为4200；20200601开始计费，JACT3FIDC-B-06、JACT3FIDC-B-05、JACT3FIDC-B-04</t>
  </si>
  <si>
    <t>20220201开始价格为4200；20201201开始计费，JACT3FIDC-B-02</t>
  </si>
  <si>
    <t>20220201开始价格为4200；20210120开始计费，JACT3FIDC-B-07</t>
  </si>
  <si>
    <t>20220201开始价格为4200；20210716开始计费，JACT3FIDC-B-08</t>
  </si>
  <si>
    <t>20220731退租JACT3FIDC-B-06、JACT3FIDC-B-07、JACT3FIDC-B-08</t>
  </si>
  <si>
    <t>182215IDC00289</t>
  </si>
  <si>
    <t>大连</t>
  </si>
  <si>
    <t>大连3电信</t>
  </si>
  <si>
    <t>CACDNDLCT</t>
  </si>
  <si>
    <t>20210402开始计费，使用288个，42.202.152.0/24 182.201.240.160/27，赠送320个</t>
  </si>
  <si>
    <t>IPV6：免费</t>
  </si>
  <si>
    <t>20220201开始价格为4000；20210402开始计费，DL3CT1F-C-07、DL3CT1F-C-08、DL3CT1F-C-09</t>
  </si>
  <si>
    <t>20220430退租，DL3CT1F-C-07,DL3CT1F-C-08,DL3CT1F-C-09</t>
  </si>
  <si>
    <t>182115IDC00610</t>
  </si>
  <si>
    <t>贵阳3电信</t>
  </si>
  <si>
    <t>CACDNGYCT2</t>
  </si>
  <si>
    <t>20220930退租。20210802开始计费，使用288个，免费480个，111.123.247.0/24 111.123.244.128/27</t>
  </si>
  <si>
    <t>IPV6按需免费提供</t>
  </si>
  <si>
    <t>20210802开始计费，GY3CT301-3-07、GY3CT301-3-08、GY3CT301-3-09</t>
  </si>
  <si>
    <t>经与SYS核实GY3CT301-3-07、GY3CT301-3-08、GY3CT301-3-09替换为GY3CT3F-3-07
GY3CT3F-3-08
GY3CT3F-3-10</t>
  </si>
  <si>
    <t>20211001开始计费，GY3CT3F-3-06、GY3CT3F-3-10、GY3CT3F-3-05</t>
  </si>
  <si>
    <t>GY3CT3F-3-06、GY3CT3F-3-10、GY3CT3F-3-05换成GY3CT3F-3-05，GY3CT3F-3-06</t>
  </si>
  <si>
    <t>经与SYS核实使用GY3CT3F-3-05，GY3CT3F-3-06</t>
  </si>
  <si>
    <t>20220930退租。GY3CT3F-3-07
GY3CT3F-3-08
GY3CT3F-3-10
GY3CT3F-3-05
GY3CT3F-3-06</t>
  </si>
  <si>
    <t>182215IDC00642</t>
  </si>
  <si>
    <t>绍兴</t>
  </si>
  <si>
    <t>绍兴电信</t>
  </si>
  <si>
    <t>CACDNSHAOXCT</t>
  </si>
  <si>
    <t>20211001开始计费，使用288个，免费320个，183.136.216.0/24 183.136.215.160/27</t>
  </si>
  <si>
    <t>IPV6按需免费提供。</t>
  </si>
  <si>
    <t>20211001开始价格为4000；20211001开始计费，SHAOXCT4F-J-04、SHAOXCT4F-J-05、SHAOXCT4F-J-06、SHAOXCT4F-J-01、SHAOXCT4F-J-02、SHAOXCT4F-J-03</t>
  </si>
  <si>
    <t>182315IDC00008</t>
  </si>
  <si>
    <t>泉州</t>
  </si>
  <si>
    <t>泉州2联通</t>
  </si>
  <si>
    <t>CACDNQZUN2</t>
  </si>
  <si>
    <t>（1）20211202开始计费，免费96个，收费160，20220101开始，免费160个，收费96个，36.250.244.0/24；（2）20220201开始免费224个，收费32个</t>
  </si>
  <si>
    <t>退租32个，36.250.244.160/27</t>
  </si>
  <si>
    <t>退租64个，36.250.244.192/26</t>
  </si>
  <si>
    <t>IPV6为免费赠送</t>
  </si>
  <si>
    <t>20211202开始计费，QZ2UN404-02-03、QZ2UN404-02-04、QZ2UN404-02-05</t>
  </si>
  <si>
    <t>182215IDC00082</t>
  </si>
  <si>
    <t>沧州电信</t>
  </si>
  <si>
    <t>CACDNCANGZCT</t>
  </si>
  <si>
    <t>20220630退租，20220201开始计费，免费320个，使用288个，124.238.121.0/24 27.128.146.0/27</t>
  </si>
  <si>
    <t>20220201开始计费，GZCT1F101-N-02,GZCT1F101-N-03,GZCT1F101-N-04</t>
  </si>
  <si>
    <t>20220630退租，GZCT1F101-N-02,GZCT1F101-N-03,GZCT1F101-N-04</t>
  </si>
  <si>
    <t>L20230223014</t>
  </si>
  <si>
    <t>常州</t>
  </si>
  <si>
    <t>常州3电信</t>
  </si>
  <si>
    <t>CACDNCZCT</t>
  </si>
  <si>
    <t>20220901开始计费，使用288个，免费160个，58.216.27.0/24 61.160.252.32/27，免费160个</t>
  </si>
  <si>
    <t>退租128个，58.216.27.128/25</t>
  </si>
  <si>
    <t>L20230323002</t>
  </si>
  <si>
    <t xml:space="preserve">边缘计算。58.216.27.128/25 </t>
  </si>
  <si>
    <t>IPV6：按需免费提供</t>
  </si>
  <si>
    <t>边缘计算240E:0978:0304:0004::/64</t>
  </si>
  <si>
    <t>20220901开始计费，CZ3CT3FIDC-L-8,CZ3CT3FIDC-L-9,CZ3CT3FIDC-L-10.调整为CZ3CT3FIDC-L-6
CZ3CT3FIDC-L-7，
CZ3CT3FIDC-L-8</t>
  </si>
  <si>
    <t>3FIDC-L-BEC11
3FIDC-L-BEC12
3FIDC-L-BEC13替换为CACDNCZCT:IDC3F-L-BEC11
CACDNCZCT:IDC3F-L-BEC12
CACDNCZCT:IDC3F-L-BEC13</t>
  </si>
  <si>
    <t>182315IDC00007</t>
  </si>
  <si>
    <t>昆明7电信</t>
  </si>
  <si>
    <t>CACDNKMCT</t>
  </si>
  <si>
    <t>20221101开始计费，免费320个，使用288个，182.242.59.0/24 182.242.88.64/27</t>
  </si>
  <si>
    <t>20221101开始计费，KM7CT3FIDC-D-2,KM7CT3FIDC-D-3,KM7CT3FIDC-D-4,KM7CT3FIDC-D-6,KM7CT3FIDC-D-7,KM7CT3FIDC-D-8</t>
  </si>
  <si>
    <t>补202303，128个IP计费</t>
  </si>
  <si>
    <t>广州大一互联网络科技有限公司</t>
  </si>
  <si>
    <t>广州大一</t>
  </si>
  <si>
    <t>182115IDC00064</t>
  </si>
  <si>
    <t>中山电信</t>
  </si>
  <si>
    <t xml:space="preserve">CACDNZSCT </t>
  </si>
  <si>
    <t>202110转为广州贝云供应商，20190901开始计费，使用288个，免费576个，sys已核对使用288个（113.113.100.128/27;113.113.67.0/24）</t>
  </si>
  <si>
    <t>202110转为广州贝云供应商，合同条款：::/56位*2（ipv6）个免费IP地址</t>
  </si>
  <si>
    <t>中山2电信</t>
  </si>
  <si>
    <t>CACDNZSCT</t>
  </si>
  <si>
    <t>202110转为广州贝云供应商，20210201开始计费，使用256个，免费256个，121.12.53.0/24</t>
  </si>
  <si>
    <t>202110转为广州贝云供应商，20190901开始计费，ZSCT5FB-02-06，ZSCT5FB-02-07，ZSCT5FB-02-08，ZSCT5FB-02-09，ZSCT5FB-02-10</t>
  </si>
  <si>
    <t>202110转为广州贝云供应商，20191201开始计费，ZSCT5FB-02-03,ZSCT5FB-02-04,ZSCT5FB-02-05</t>
  </si>
  <si>
    <t>202110转为广州贝云供应商，20210205退租，ZSCT5FB-02-05</t>
  </si>
  <si>
    <t>202110转为广州贝云供应商，20210201开始计费，ZSCT4F08-14-10、ZSCT4F08-14-11、ZSCT4F08-14-8、ZSCT4F08-14-9</t>
  </si>
  <si>
    <t>202110转为广州贝云供应商</t>
  </si>
  <si>
    <t>182115IDC00070</t>
  </si>
  <si>
    <t>佛山联通</t>
  </si>
  <si>
    <t>CACDNFSUN</t>
  </si>
  <si>
    <t>20190925开始计费，免费288个，已与sys核对使用288个（120.83.183.0/24;27.36.227.0/27）</t>
  </si>
  <si>
    <t>20210228退租288个</t>
  </si>
  <si>
    <t>合同条款：::/56位（ipv6）免费</t>
  </si>
  <si>
    <t>20190925开始计费，FSUN4M1-01-01，FSUN4M1-01-02，FSUN4M1-01-03，FSUN4M1-01-04，FSUN4M1-01-05</t>
  </si>
  <si>
    <t>20210228退租，，FSUN4M1-01-01，FSUN4M1-01-02，FSUN4M1-01-03，FSUN4M1-01-04，FSUN4M1-01-05</t>
  </si>
  <si>
    <t>梅州</t>
  </si>
  <si>
    <t>梅州联通</t>
  </si>
  <si>
    <t>CACDNMZUN</t>
  </si>
  <si>
    <t>需要注意20210201开始换为广州宏云供应商，20200501开始计费，使用288个(221.5.75.0/24 58.253.193.0/27)，免费288个</t>
  </si>
  <si>
    <t>需要注意20210201开始换为广州宏云供应商</t>
  </si>
  <si>
    <t>需要注意20210201开始换为广州宏云供应商，合同条款：::/56位（ipv6）免费</t>
  </si>
  <si>
    <t>需要注意20210201开始换为广州宏云供应商，20200415开始计费，MZUN2F-7-13、MZUN2F-7-12、MZUN2F-7-15、MZUN2F-7-14、MZUN2F-7-17、MZUN2F-7-16、MZUN2F-7-11</t>
  </si>
  <si>
    <t>182315IDC00059</t>
  </si>
  <si>
    <t>东莞6移动</t>
  </si>
  <si>
    <t>CACDNDGCM3</t>
  </si>
  <si>
    <t>20200101开始计费，免费256个，sys已核对使用288个</t>
  </si>
  <si>
    <t>20200101开始计费，免费256个，sys已核对使用288个（120.241.65.0/25;120.233.47.192/27;120.233.44.128/25）</t>
  </si>
  <si>
    <t>20221103退租128个，120.233.44.128/25</t>
  </si>
  <si>
    <t>20200101开始计费，DG6CM1FB-C-03、DG6CM1FB-C-04、DG6CM1FB-C-05、DG6CM1FB-C-06、DG6CM1FB-C-07</t>
  </si>
  <si>
    <t>20221124退租，DG6CM1FB-C-07</t>
  </si>
  <si>
    <t>DG6CM1FB-C-07</t>
  </si>
  <si>
    <t>广州宏云互联网络科技有限公司</t>
  </si>
  <si>
    <t>广州宏云</t>
  </si>
  <si>
    <t>182015IDC00327</t>
  </si>
  <si>
    <t>揭阳移动</t>
  </si>
  <si>
    <t>CACDNJIEYCM</t>
  </si>
  <si>
    <t>20200505开始计费，使用288个(120.238.4.0/24 120.238.5.0/27)，免费288个</t>
  </si>
  <si>
    <t>20210630退租</t>
  </si>
  <si>
    <t>20200501开始计费，IEYCM-6F-M01,JIEYCM-6F-M02,JIEYCM-6F-M03</t>
  </si>
  <si>
    <t>20201001开始计费，JIEYCM-6F-M04、JIEYCM-6F-M05、JIEYCM-6F-M06</t>
  </si>
  <si>
    <t>20210630退租，JIEYCM-6F-M01、JIEYCM-6F-M03、JIEYCM-6F-M02、JIEYCM-6F-M04、JIEYCM-6F-M05、JIEYCM-6F-M06</t>
  </si>
  <si>
    <t>182115IDC00102</t>
  </si>
  <si>
    <t>合肥3移动</t>
  </si>
  <si>
    <t>CACDNHFCM</t>
  </si>
  <si>
    <t>20210531退租288个，20200501开始计费，使用288个(112.28.241.0/24 112.30.164.32/27)，免费320个</t>
  </si>
  <si>
    <t>20200501开始计费，HF3CM2FMID-L-17、HF3CM2FMID-L-18、HF3CM2FMID-K-19</t>
  </si>
  <si>
    <t>20210531退租，HF3CM2FMID-L-17、HF3CM2FMID-L-18、HF3CM2FMID-K-19</t>
  </si>
  <si>
    <t>182115IDC00107</t>
  </si>
  <si>
    <t>佛山2电信</t>
  </si>
  <si>
    <t>CACDNFSCT</t>
  </si>
  <si>
    <t>20201001开始计费，使用288个(59.36.203.0/24 59.36.228.0/27)，免费288个</t>
  </si>
  <si>
    <t>IPV6：免费。</t>
  </si>
  <si>
    <t>20201001开始计费，FSCT3F304-HH14-05、FSCT3F304-HH14-06、FSCT3F304-HH14-07</t>
  </si>
  <si>
    <t>182115IDC00492</t>
  </si>
  <si>
    <t>许昌</t>
  </si>
  <si>
    <t>许昌联通</t>
  </si>
  <si>
    <t>CACDNXUCUN</t>
  </si>
  <si>
    <t>20200902开始计费，使用288个(219.154.248.0/24 219.154.249.0/27)，免费288个</t>
  </si>
  <si>
    <t>20220531退租，219.154.248.0/24 219.154.249.0/27</t>
  </si>
  <si>
    <t>合同条款：IPv6:赠送/64，超出部分单独计费</t>
  </si>
  <si>
    <t>20200902开始计费，XUCUN2F-5P-03,XUCUN2F-5P-04,XUCUN2F-5P-05,XUCUN2F-5P-06,XUCUN2F-5P-07,XUCUN2F-5P-08</t>
  </si>
  <si>
    <t>20211224退租，XUCUN2F-5P-07,XUCUN2F-5P-08</t>
  </si>
  <si>
    <t>20220531退租，XUCUN2F-5P-03,XUCUN2F-5P-04,XUCUN2F-5P-05,XUCUN2F-5P-06</t>
  </si>
  <si>
    <t>182215IDC00105</t>
  </si>
  <si>
    <t>自20210201开始从原广州大一转移到广州宏云，使用288个</t>
  </si>
  <si>
    <t>20220430退租</t>
  </si>
  <si>
    <t>自20210201开始从原广州大一转移到广州宏云。IPv6：赠送/56个IPv6地址，超出部分单独计费。</t>
  </si>
  <si>
    <t>自20210201开始从原广州大一转移到广州宏云，MZUN2F-7-13、MZUN2F-7-12、MZUN2F-7-15、MZUN2F-7-14、MZUN2F-7-17、MZUN2F-7-16、MZUN2F-7-11</t>
  </si>
  <si>
    <t>替换机柜编码为MZUN2F209-9-29
MZUN2F209-9-30
MZUN2F209-9-31
MZUN2F209-9-32
MZUN2F209-9-33
MZUN2F209-9-34
MZUN2F209-9-35</t>
  </si>
  <si>
    <t>20220119退租MZUN2F209-9-34
MZUN2F209-9-35</t>
  </si>
  <si>
    <t>MZUN2F209-9-29,MZUN2F209-9-30,MZUN2F209-9-31,MZUN2F209-9-32,MZUN2F209-9-33</t>
  </si>
  <si>
    <t>182215IDC00103</t>
  </si>
  <si>
    <t>惠州</t>
  </si>
  <si>
    <t>惠州联通</t>
  </si>
  <si>
    <t>CACDNHUIZUN</t>
  </si>
  <si>
    <t>20210302开始计费，使用288个，112.92.61.0/24 112.92.62.0/27，免费288个</t>
  </si>
  <si>
    <t>20220630退租，112.92.61.0/24 112.92.62.0/2</t>
  </si>
  <si>
    <t>IPv6：提供/56个免费IPv6地址，超出部分单独计费。</t>
  </si>
  <si>
    <t>20210302开始计费，HUIZUN5FI5-3-5、HUIZUN5FI5-3-4、HUIZUN5FI5-3-3、HUIZUN5FI5-3-2</t>
  </si>
  <si>
    <t>20220630退租，HUIZUN5FI5-3-2,HUIZUN5FI5-3-5,HUIZUN5FI5-3-4,HUIZUN5FI5-3-3</t>
  </si>
  <si>
    <t>182215IDC00024</t>
  </si>
  <si>
    <t>潮州2电信</t>
  </si>
  <si>
    <t>CACDNCHAOZCT</t>
  </si>
  <si>
    <t>20210402开始计费，使用288个，113.96.164.0/24 113.96.165.0/27，免费288个</t>
  </si>
  <si>
    <t>IPV6</t>
  </si>
  <si>
    <t>20210402开始计费，CHAOZCT13F-B-03、CHAOZCT13F-B-02、CHAOZCT13F-B-07、CHAOZCT13F-B-06、CHAOZCT13F-B-05、CHAOZCT13F-B-04</t>
  </si>
  <si>
    <t>20211231退租，CHAOZCT13F-B-03,CHAOZCT13F-B-02,CHAOZCT13F-B-07,CHAOZCT13F-B-06,CHAOZCT13F-B-05,CHAOZCT13F-B-04</t>
  </si>
  <si>
    <t>182215IDC00699</t>
  </si>
  <si>
    <t>九江</t>
  </si>
  <si>
    <t>九江电信</t>
  </si>
  <si>
    <t>CACDNJJCT</t>
  </si>
  <si>
    <t>20210401开始计费，免费288个，使用288个，182.106.158.0/24 182.106.149.32/27</t>
  </si>
  <si>
    <t>20230201开始转给广州贝云。</t>
  </si>
  <si>
    <t xml:space="preserve">	
IPV6：赠送/64个IPV6地址</t>
  </si>
  <si>
    <t>20210401开始计费，JJCT5F-F-7、JJCT5F-F-8、JJCT5F-F-9、JJCT5F-F-10</t>
  </si>
  <si>
    <t>182215IDC00698</t>
  </si>
  <si>
    <t>金华2电信</t>
  </si>
  <si>
    <t>CACDNJHCT2</t>
  </si>
  <si>
    <t>20210401开始计费，免费288个，使用288个，60.188.66.0/24 60.163.161.128/27</t>
  </si>
  <si>
    <t>IPV6：赠送/64个IPV6地址</t>
  </si>
  <si>
    <t>20210401开始计费，JH2CT2F-J-01、JH2CT2F-J-03、JH2CT2F-J-02、JH2CT2F-J-05、JH2CT2F-J-04</t>
  </si>
  <si>
    <t>L20230118002</t>
  </si>
  <si>
    <t xml:space="preserve"> JH2CT2F-J-06</t>
  </si>
  <si>
    <t>182115IDC00638</t>
  </si>
  <si>
    <t>周口2联通</t>
  </si>
  <si>
    <t>CACDNZKUN</t>
  </si>
  <si>
    <t>20211001开始计费，免费288个，使用288个，123.12.188.0/24 61.163.172.0/27</t>
  </si>
  <si>
    <t>20220531退租，123.12.188.0/24 61.163.172.0/2</t>
  </si>
  <si>
    <t>IPv6：提供/56个免费IPv6地址</t>
  </si>
  <si>
    <t>20211001开始计费，ZK2UN5F502-A-3、ZK2UN5F502-A-4、ZK2UN5F502-A-5</t>
  </si>
  <si>
    <t>20220531退租，ZK2UN5F502-A-3,ZK2UN5F502-A-4,ZK2UN5F502-A-5</t>
  </si>
  <si>
    <t>佛山3电信</t>
  </si>
  <si>
    <t>CACDNFSCT2</t>
  </si>
  <si>
    <t>20220101开始计费，免费288个，使用288个，183.60.219.0/24 59.37.87.160/27</t>
  </si>
  <si>
    <t>退租128个，183.60.219.128/25</t>
  </si>
  <si>
    <t>20230201开始转给广州贝云。需要注意后期资源变动。20220831退租100G（1）20220101开始计费，颗粒度100M，保底60G；（2）甲乙双方实际流量以100M为结算单位，不足50M按照0M收取，大于等于50M按100M收取</t>
  </si>
  <si>
    <t>20220101开始计费，FS3CT1F108-HH21-06、FS3CT1F108-HH21-07、FS3CT1F108-HH21-08、FS3CT1F108-HH21-09、FS3CT1F108-HH21-10</t>
  </si>
  <si>
    <t>FS3CT1F108-HH21-10,FS3CT1F108-HH21-09</t>
  </si>
  <si>
    <t>国网信息通信产业集团有限公司北京分公司</t>
  </si>
  <si>
    <t>国网信息</t>
  </si>
  <si>
    <t>182115IDC00470</t>
  </si>
  <si>
    <t>大连移动</t>
  </si>
  <si>
    <t>CACDNDLCM</t>
  </si>
  <si>
    <t>20210209开始计费，使用288个，免费288个，36.131.133.0/24 120.201.38.192/27</t>
  </si>
  <si>
    <t>IPv6: 赠送1段/64的ipv6地址，超出部分单独计费。</t>
  </si>
  <si>
    <t>需要注意最终是否需要支付202112费用。20210209开始计费，DLCM4F-J-16、DLCM4F-J-17、DLCM4F-J-18、DLCM4F-J-19、DLCM4F-J-20、DLCM4F-J-21、DLCM4F-J-22</t>
  </si>
  <si>
    <t>20211231退租，DLCM4F-J-16,DLCM4F-J-17,DLCM4F-J-18,DLCM4F-J-19,DLCM4F-J-20,DLCM4F-J-21,DLCM4F-J-22</t>
  </si>
  <si>
    <t>哈尔滨臻云科技有限公司</t>
  </si>
  <si>
    <t>臻云科技</t>
  </si>
  <si>
    <t>182315IDC00160</t>
  </si>
  <si>
    <t>哈尔滨4电信</t>
  </si>
  <si>
    <t>CACDNHEBCT</t>
  </si>
  <si>
    <t>20191105开始计费，免费768个，sys已核对使用288个（42.101.56.0/24;42.101.62.0/27）</t>
  </si>
  <si>
    <t>边缘计算42.101.93.128/25</t>
  </si>
  <si>
    <t>退租边缘计算。42.101.93.128/25</t>
  </si>
  <si>
    <t>IPv6：赠送/64，超出部分单独计费。</t>
  </si>
  <si>
    <t>边缘计算240E:908:8001:203::/64</t>
  </si>
  <si>
    <t>边缘计算240E:908:8001:204::/64</t>
  </si>
  <si>
    <t>20191105开始计费，合同约定每个万兆赠送1个，共赠送24个，目前使用5个HRBCT4F3-7B-B12,HRBCT4F3-7B-B13,HRBCT4F3-7B-B14,HRBCT4F3-7B-B15,HRBCT4F3-7B-B16</t>
  </si>
  <si>
    <t>2020年11月5日开始计费，HRBCT4F3-7B-B06、HRBCT4F3-7B-B07</t>
  </si>
  <si>
    <t>20210719关闭HRBCT4F3-7B-B07</t>
  </si>
  <si>
    <t>边缘计算，BECHRB4CTF3-7B-B07
BECHRB4CTF3-7B-B08</t>
  </si>
  <si>
    <t>边缘计算，BECHRB4CTF3-7B-B06</t>
  </si>
  <si>
    <t>BECHRB4CTF3-7B-B06
BECHRB4CTF3-7B-B07
BECHRB4CTF3-7B-B08
　</t>
  </si>
  <si>
    <t>杭州天舰信息技术股份有限公司</t>
  </si>
  <si>
    <t>杭州天舰</t>
  </si>
  <si>
    <t>L20230223017</t>
  </si>
  <si>
    <t>丽水</t>
  </si>
  <si>
    <t>丽水电信</t>
  </si>
  <si>
    <t>CACDNLSCT</t>
  </si>
  <si>
    <t>免费288个，sys已核对使用288个(115.238.242.0/24;61.164.248.192/27)</t>
  </si>
  <si>
    <t>赠送4个机架，LSCT1F-12-04
LSCT1F-12-03
LSCT1F-12-02
LSCT1F-12-01</t>
  </si>
  <si>
    <t>L20230223018</t>
  </si>
  <si>
    <t>台州电信</t>
  </si>
  <si>
    <t>CACDNTZCT</t>
  </si>
  <si>
    <t>免费288个，sys已核对使用288个(183.131.118.0/24;122.226.182.0/27)</t>
  </si>
  <si>
    <t>赠送4个机架，TZCT6F-12-04
TZCT6F-12-03
TZCT6F-12-02
TZCT6F-12-01</t>
  </si>
  <si>
    <t>L20230223032</t>
  </si>
  <si>
    <t>丽水3移动</t>
  </si>
  <si>
    <t>CACDNLSCM2</t>
  </si>
  <si>
    <t>20210401开始计费，免费288个，使用288个，183.245.148.0/24 183.245.144.192/27</t>
  </si>
  <si>
    <t>L20230223019</t>
  </si>
  <si>
    <t xml:space="preserve">20220621开始计费，边缘计算117.149.159.0/25 183.245.144.0/25 </t>
  </si>
  <si>
    <t>20221123退租后，整体看免费个数</t>
  </si>
  <si>
    <t>20220627开始计费，边缘计算112.15.46.128/25</t>
  </si>
  <si>
    <t>20221123退租128个（111.1.142.128/25），退租后整体收费减少128个</t>
  </si>
  <si>
    <t xml:space="preserve">	
IPv6免费</t>
  </si>
  <si>
    <t>20220621开始计费，边缘计算2409:8728:a2f1:1::/64</t>
  </si>
  <si>
    <t>20220627开始计费，边缘计算2409:8728:a2f1:3::/64</t>
  </si>
  <si>
    <t>20210401开始计费，LS3CM3F-8-2、LS3CM3F-8-3、LS3CM3F-8-1,LS3CM3F-8-4、LS3CM3F-8-5</t>
  </si>
  <si>
    <t>边缘计算，20220621开始计费，BECLS3CM-07-01
BECLS3CM-07-02
BECLS3CM-07-03
BECLS3CM-07-04
BECLS3CM-07-05
BECLS3CM-07-06
BECLS3CM-07-07</t>
  </si>
  <si>
    <t>边缘计算，20220627开始计费，BECLS3CM-07-08
BECLS3CM-07-09</t>
  </si>
  <si>
    <t>L20230223009</t>
  </si>
  <si>
    <t>边缘计算，20220926开始计费。BECLS3CM-08-06</t>
  </si>
  <si>
    <t>杭州优云科技有限公司</t>
  </si>
  <si>
    <t>杭州优云</t>
  </si>
  <si>
    <t>182215IDC00406</t>
  </si>
  <si>
    <t>湖州</t>
  </si>
  <si>
    <t>湖州电信</t>
  </si>
  <si>
    <t>CACDNHUZCT</t>
  </si>
  <si>
    <t>20200401开始计费免费320个，使用288个（183.131.185.0/24 183.131.187.0/27）</t>
  </si>
  <si>
    <t>IPv6：按需赠送。</t>
  </si>
  <si>
    <t>20200401开始计费，HUZCT4F4L-9-8,HUZCT4F4L-9-9,HUZCT4F4L-9-10，HUZCT4F4L-9-11</t>
  </si>
  <si>
    <t>182315IDC00049</t>
  </si>
  <si>
    <t>台州移动</t>
  </si>
  <si>
    <t>CACDNTZCM</t>
  </si>
  <si>
    <t>20200401开始计费，免费320个，使用288个（39.175.97.0/24 111.1.27.128/27）</t>
  </si>
  <si>
    <t xml:space="preserve">20200401开始计费，TZCMIP-5F501-L09, TZCMIP-5F501-L10, TZCMIP-5F501-L11, TZCMIP-5F501-L12,
TZCMIP-5F501-L13
</t>
  </si>
  <si>
    <t>杭州云之盟科技有限公司</t>
  </si>
  <si>
    <t>云之盟</t>
  </si>
  <si>
    <t>182215IDC00301</t>
  </si>
  <si>
    <t>绍兴2移动</t>
  </si>
  <si>
    <t>CACDNSHAOXCM2</t>
  </si>
  <si>
    <t>20200415开始计费，免费288个，使用288个（112.15.39.0/24，112.15.37.128/27）</t>
  </si>
  <si>
    <t>20221231退租。</t>
  </si>
  <si>
    <t>合同条款： IPV6：/64免费</t>
  </si>
  <si>
    <t>20200415开始计费，SHAOX4F401-A-03、SHAOX4F401-A-04、SHAOX4F401-A-05、SHAOX4F401-A-06</t>
  </si>
  <si>
    <t>20221231退租。，SHAOX4F401-A-03、SHAOX4F401-A-04、SHAOX4F401-A-05、SHAOX4F401-A-06</t>
  </si>
  <si>
    <t>182315IDC00052</t>
  </si>
  <si>
    <t>天津4联通</t>
  </si>
  <si>
    <t>CACDNTJUN</t>
  </si>
  <si>
    <t>20201103开始计费，免费288个，使用288个（220.194.65.0/24 111.161.118.0/27）</t>
  </si>
  <si>
    <t>赠送【 IPV6：/64】个免费IP地址，超出部分单独计费</t>
  </si>
  <si>
    <t>20201103开始计费，TJUN3F-3A1-1、TJUN3F-3A1-3、TJUN3F-3A1-2、TJUN3F-3A1-4</t>
  </si>
  <si>
    <t>20210101开始计费，TJUN3F-3A1-5、TJUN3F-3A1-6</t>
  </si>
  <si>
    <t>TJUN3F-3A1-7</t>
  </si>
  <si>
    <t>182215IDC00418</t>
  </si>
  <si>
    <t>宁波4移动</t>
  </si>
  <si>
    <t>CACDNNBCM2</t>
  </si>
  <si>
    <t>20210601开始计费，免费288个，使用256个（223.95.206.0/24）</t>
  </si>
  <si>
    <t xml:space="preserve"> IPV6：/64</t>
  </si>
  <si>
    <t>20210601开始计费，NB4CM1F-B-01
NB4CM1F-B-02
NB4CM1F-B-03
NB4CM1F-B-04</t>
  </si>
  <si>
    <t>182215IDC00652</t>
  </si>
  <si>
    <t>金华3电信</t>
  </si>
  <si>
    <t>CACDNJHCT3</t>
  </si>
  <si>
    <t>20221001开始计费。免费288个，使用288个，183.147.138.0/24 60.188.229.64/27</t>
  </si>
  <si>
    <t>20230321有128个CDN转出给BEC，183.147.138.128/25</t>
  </si>
  <si>
    <t>20230324有128个CDN转入给BEC，183.147.138.128/25</t>
  </si>
  <si>
    <t>边缘计算。240E:0692:6A00:0006::/64</t>
  </si>
  <si>
    <t>20221001开始计费。JH3CT7F-04-02,JH3CT7F-04-03,JH3CT7F-04-04,JH3CT7F-04-05,JH3CT7F-04-06,JH3CT7F-04-07,JH3CT7F-04-08</t>
  </si>
  <si>
    <t>182315IDC00135</t>
  </si>
  <si>
    <t>7F04-N-BEC027F04-N-BEC037F04-N-BEC047F04-N-BEC05更新为CACDNJHCT3:7F04:-N-BEC02
CACDNJHCT3:7F04:-N-BEC03
CACDNJHCT3:7F04:-N-BEC04
CACDNJHCT3:7F04:-N-BEC05</t>
  </si>
  <si>
    <t>182315IDC00046</t>
  </si>
  <si>
    <t>舟山</t>
  </si>
  <si>
    <t>舟山2移动</t>
  </si>
  <si>
    <t>CACDNZHOUSCM</t>
  </si>
  <si>
    <t>20230101开始计费。免费288个，使用288个，39.175.178.0/24 39.175.179.192/27</t>
  </si>
  <si>
    <t>IPV6：免费赠送/64</t>
  </si>
  <si>
    <t>20230101开始计费。ZHOUS2CM4F-l-08，ZHOUS2CM4F-l-09,ZHOUS2CM4F-l-10,ZHOUS2CM4F-l-11,ZHOUS2CM4F-l-12,ZHOUS2CM4F-l-13,ZHOUS2CM4F-l-14</t>
  </si>
  <si>
    <t>湖南风云通达信息科技有限公司</t>
  </si>
  <si>
    <t>风云通达</t>
  </si>
  <si>
    <t>182215IDC00407</t>
  </si>
  <si>
    <t>长沙3电信</t>
  </si>
  <si>
    <t>CACDNCSCT2</t>
  </si>
  <si>
    <t>20200201开始计费，免费320个，使用288个（175.6.53.0/24 175.6.54.32/27），sys已核对使用288个</t>
  </si>
  <si>
    <t>20200201开始计费，合同免费320个，使用288个，sys已核对使用288个</t>
  </si>
  <si>
    <t>IPV6赠送一段/64位IPv6</t>
  </si>
  <si>
    <t>20200201开始计费，CS3CT2F-A-06,CS3CT2F-A-07,CS3CT2F-A-08</t>
  </si>
  <si>
    <t>182215IDC00552</t>
  </si>
  <si>
    <t>包头电信</t>
  </si>
  <si>
    <t>CACDNBAOTCT</t>
  </si>
  <si>
    <t>（1）BD反馈202007扣减2天费用；（2）20200702开始计费，使用288个（1.182.48.0/24 219.147.98.32/27)，免费288个</t>
  </si>
  <si>
    <t>合同条款：提供【::/64】个免费IPv6地址</t>
  </si>
  <si>
    <t>（1）BD反馈202007在7月2日计费的基础上再扣减2天费用；（2）20200702开始计费，BAOTCT3F312-A-05,BAOTCT3F312-A-06,BAOTCT3F312-A-07</t>
  </si>
  <si>
    <t>182115IDC00051</t>
  </si>
  <si>
    <t>吉首</t>
  </si>
  <si>
    <t>吉首移动</t>
  </si>
  <si>
    <t>CACDNJSCM</t>
  </si>
  <si>
    <t>20201203开始计费，免费288个，使用160个（120.226.156.0/25 120.226.156.128/27）</t>
  </si>
  <si>
    <t>20210831退租160个，120.226.156.0/25 120.226.156.128/27</t>
  </si>
  <si>
    <t>IPv6：免费提供/64个地址，超出部分单独计费。</t>
  </si>
  <si>
    <t>20201203开始计费，JSCM2F204-B-2、JSCM2F204-B-3、JSCM2F204-B-1</t>
  </si>
  <si>
    <t>20210831退租，JSCM2F204-B-2、JSCM2F204-B-3、JSCM2F204-B-1</t>
  </si>
  <si>
    <t>L20221025040</t>
  </si>
  <si>
    <t>长沙4移动</t>
  </si>
  <si>
    <t>CACDNCSCM</t>
  </si>
  <si>
    <t>20210207开始计费，使用288个，免费288个，120.226.29.0/24 120.226.189.192/27</t>
  </si>
  <si>
    <t>20220401开始不计费，20210801开始计费，边缘计算120.226.5.128/27</t>
  </si>
  <si>
    <t>（1）2022年2月1日起，乙方为甲方总计提供【832】个免费IP地址。 乙方为甲方总计提供【864】个IP地址（在用【864】个；其中CDN在用576个，免费576个；边缘计算在用288个，免费256个，计费32个），超出部分单独计费；（2）20210901开始计费，边缘计算：120.226.24.0/25</t>
  </si>
  <si>
    <t>长沙5移动</t>
  </si>
  <si>
    <t>20211001开始计费，边缘计算120.226.22.128/25</t>
  </si>
  <si>
    <t>长沙6移动</t>
  </si>
  <si>
    <t>20211201开始计费，使用288个，36.158.250.0/24 120.226.5.160/27</t>
  </si>
  <si>
    <t>长沙7移动</t>
  </si>
  <si>
    <t>20220201开始计费，使用288个，免费288个，120.226.35.0/24 120.226.22.0/27</t>
  </si>
  <si>
    <t>20230228退租。120.226.35.0/24 120.226.22.0/27</t>
  </si>
  <si>
    <t>长沙4移动&amp;长沙5移动&amp;长沙6移动&amp;长沙7移动</t>
  </si>
  <si>
    <t>IPv6：按需赠送</t>
  </si>
  <si>
    <t>20230301开始机柜单价变动。20211201开始机柜单价变动，20210207开始计费，CS4CM2F203-K-12、CS4CM2F203-K-13、CS4CM2F203-K-14、CS4CM2F203-K-15</t>
  </si>
  <si>
    <t>边缘计算，20211201开始机柜单价变动，20210801开始计费，BECCS4CM2F203-K-11</t>
  </si>
  <si>
    <t>边缘计算，20211201开始机柜单价变动，20210901开始计费，边缘计算BECCS4CM2F203-K-10</t>
  </si>
  <si>
    <t>边缘计算，20211201开始机柜单价变动，20211001开始计费，BECCS5CM2F203-K-08、
BECCS5CM2F203-K-09</t>
  </si>
  <si>
    <t>20211201开始机柜单价变动，20211102开始计费，CS4CM2F203-K-16、CS4CM2F203-K-17、CS4CM2F203-K-18</t>
  </si>
  <si>
    <t>20211201开始计费，CS6CM2F203-C-05、CS6CM2F203-C-04、CS6CM2F203-C-07、CS6CM2F203-C-06、CS6CM2F203-C-03</t>
  </si>
  <si>
    <t>20220201开始计费，CS6CM2F203-C-15,CS6CM2F203-C-16</t>
  </si>
  <si>
    <t>20220201开始计费，CS7CM2F203-B-15,CS7CM2F203-B-16,CS7CM2F203-B-17,CS7CM2F203-B-18,CS7CM2F203-B-19</t>
  </si>
  <si>
    <t>20230228退租。CS7CM2F203-B-15,CS7CM2F203-B-16,CS7CM2F203-B-17,CS7CM2F203-B-18,CS7CM2F203-B-19</t>
  </si>
  <si>
    <t>湖南省泛泰巨网信息技术有限公司</t>
  </si>
  <si>
    <t>泛泰巨网</t>
  </si>
  <si>
    <t>182215IDC00377</t>
  </si>
  <si>
    <t>衡阳电信</t>
  </si>
  <si>
    <t>CACDNHENGYCT</t>
  </si>
  <si>
    <t>2018/7/18
2019/9/1</t>
  </si>
  <si>
    <t>每个万兆提供36个IP，共936个免费，sys已核对使用288个(175.6.240.0/27;175.6.243.0/24)</t>
  </si>
  <si>
    <t>衡阳2电信</t>
  </si>
  <si>
    <t>20200601开始计费，使用160个免费(175.6.206.0/25 175.6.240.32/27)，共免费936个</t>
  </si>
  <si>
    <t>IPV6：免费提供/60</t>
  </si>
  <si>
    <t>HENGYCT5F-03-01、HENGYCT5F-03-02、HENGYCT5F-03-03、HENGYCT5F-03-04</t>
  </si>
  <si>
    <t>202206开始收费，HENGYCT5F-03-01、HENGYCT5F-03-02、HENGYCT5F-03-03、HENGYCT5F-03-04</t>
  </si>
  <si>
    <t>HENGYCT5F-03-05，HENGYCT5F-03-06，HENGYCT5F-03-07</t>
  </si>
  <si>
    <t>20200601开始计费，HENGY2CT-02-01,HENGY2CT-02-02</t>
  </si>
  <si>
    <t>吉林省高升科技有限公司</t>
  </si>
  <si>
    <t>高升科技</t>
  </si>
  <si>
    <t>182215IDC00545</t>
  </si>
  <si>
    <t>长春3联通</t>
  </si>
  <si>
    <t>CACDNCCUN</t>
  </si>
  <si>
    <t>20200122开始计费，IPv4：每个万兆端口赠送【32】个免费IP地址，合计赠送320个IP地址（其中在用288个），超出部分单独计费。sys已核对使用288个（122.143.8.0/24 122.143.3.64/27）</t>
  </si>
  <si>
    <t>20220721退租，128个122.143.8.128/25</t>
  </si>
  <si>
    <t>合同条款：IPV6：/56免费</t>
  </si>
  <si>
    <t>20200122开始计费，新合同约定免费5个，使用5个CC3UN4F-F-10、CC3UN4F-F-11、CC3UN4F-F-12、CC3UN4F-F-13、CC3UN4F-F-14</t>
  </si>
  <si>
    <t>20220721退租，CC3UN4F-F-12,CC3UN4F-F-13,CC3UN4F-F-14</t>
  </si>
  <si>
    <t>CC3UN4F-F-12</t>
  </si>
  <si>
    <t>吉林省优果网络传媒有限公司</t>
  </si>
  <si>
    <t>吉林优果</t>
  </si>
  <si>
    <t>182215IDC00546</t>
  </si>
  <si>
    <t>哈尔滨4移动</t>
  </si>
  <si>
    <t>CACDNHEBCM3</t>
  </si>
  <si>
    <t>20200801开始计费，使用288个（111.43.173.0/24 111.43.164.32/27）</t>
  </si>
  <si>
    <t xml:space="preserve">退租128个，111.43.173.128/25	 </t>
  </si>
  <si>
    <t>搬迁替换原IP</t>
  </si>
  <si>
    <t>搬迁替换新IP，218.203.90.0/25 218.203.90.128/27</t>
  </si>
  <si>
    <t>赠送/64个地址</t>
  </si>
  <si>
    <t>20200801开始计费，HRB4CMXFIDC-LS-1、HRB4CMXFIDC-LS-2、HRB4CMXFIDC-LS-3、HRB4CMXFIDC-LS-4</t>
  </si>
  <si>
    <t>搬迁替换原机柜HRB4CMXFIDC-LS-1、HRB4CMXFIDC-LS-2、HRB4CMXFIDC-LS-3、HRB4CMXFIDC-LS-4</t>
  </si>
  <si>
    <t>搬迁替换新机柜HRB4CMXFIDC401-L3-02,HRB4CMXFIDC401-L3-03,HRB4CMXFIDC401-L3-04,HRB4CMXFIDC401-L3-05</t>
  </si>
  <si>
    <t>182015IDC00326</t>
  </si>
  <si>
    <t>鞍山电信</t>
  </si>
  <si>
    <t>CACDNANSHANCT</t>
  </si>
  <si>
    <t>20201001开始计费，使用160个（42.202.34.0/25 42.202.34.128/27）</t>
  </si>
  <si>
    <t>20201001开始计费，ANSHANCT2FIDC-A-S1、ANSHANCT2FIDC-A-S2、ANSHANCT2FIDC-A-S3</t>
  </si>
  <si>
    <t>20210630退租ANSHANCT2FIDC-A-S1、ANSHANCT2FIDC-A-S2 、ANSHANCT2FIDC-A-S3</t>
  </si>
  <si>
    <t>182215IDC00370</t>
  </si>
  <si>
    <t>沈阳3电信</t>
  </si>
  <si>
    <t>CACDNSYCT</t>
  </si>
  <si>
    <t>20210601开始计费，使用160个（59.44.25.0/25 59.44.25.128/27）</t>
  </si>
  <si>
    <t>IPv6：赠送/64个地址。</t>
  </si>
  <si>
    <t>20210601开始计费，SY3CT1F-H-07、SY3CT1F-H-09、SY3CT1F-H-08</t>
  </si>
  <si>
    <t>182215IDC00554</t>
  </si>
  <si>
    <t>天津4移动</t>
  </si>
  <si>
    <t>CACDNTJCM2</t>
  </si>
  <si>
    <t>20210610开始计费，使用288个（111.31.84.0/24 111.31.85.0/27）</t>
  </si>
  <si>
    <t>20220810退租，退租111.31.84.128/25</t>
  </si>
  <si>
    <t>IPV6：赠送/64个地址。</t>
  </si>
  <si>
    <t>20210601开始计费，TJ4CM203-F-01，TJ4CM203-F-02，TJ4CM203-F-03，TJ4CM203-F-04，TJ4CM203-F-05</t>
  </si>
  <si>
    <t>20220810退租，TJ4CM203-F-03,TJ4CM203-F-05,TJ4CM203-F-04</t>
  </si>
  <si>
    <t>江苏恒杰网络科技有限公司</t>
  </si>
  <si>
    <t>江苏恒杰</t>
  </si>
  <si>
    <t>182315IDC00006</t>
  </si>
  <si>
    <t>厦门3电信</t>
  </si>
  <si>
    <t>CACDNXMCT2</t>
  </si>
  <si>
    <t>20210201开始计费，使用288个，免费288个，110.80.30.0/24 61.131.65.64/27（替换成27.148.186.0/24 110.80.138.224/27）；20220630退租后收费320个，免费224个</t>
  </si>
  <si>
    <t>20210201开始计费，使用288个，免费288个，110.80.30.0/24 61.131.65.64/27；20220630退租后收费320个，免费224个</t>
  </si>
  <si>
    <t>20211211开始计费，边缘计算：收费240个，免费16个27.148.187.0/24（替换成27.148.187.0/25,27.148.187.128/25）；20220630退租后收费320个，免费224个</t>
  </si>
  <si>
    <t xml:space="preserve">	
IPV6：提供/64、/63个免费地址，超出部分单独计费。</t>
  </si>
  <si>
    <t>需要注意20210706开始重新计费；20210201开始计费，XM3CT4F-D02/IDF3-1,XM3CT4F-D02/IDF3-2,XM3CT4F-D02/IDF3-3,XM3CT4F-D02/IDF3-4</t>
  </si>
  <si>
    <t>需要注意20210706开始重新计费；20210501开始计费，XM3CT4F-D02/IDF3-5、XM3CT4F-D02/IDF3-6</t>
  </si>
  <si>
    <t>20211218开始计费，XM3CT4F-D02/IDF3-7、XM3CT4F-D02/IDF3-8、</t>
  </si>
  <si>
    <t>边缘计算，20211211开始计费，BECXM3CT-D02/IDF3-9   BECXM3CT-D02/IDF3-10</t>
  </si>
  <si>
    <t>20220630退租，XM3CT4F-D02/IDF3-7,XM3CT4F-D02/IDF3-8</t>
  </si>
  <si>
    <t>182315IDC00096</t>
  </si>
  <si>
    <t>郑州6电信</t>
  </si>
  <si>
    <t>CACDNZZCT</t>
  </si>
  <si>
    <t>20211101开始计费，使用288个，免费160个，收费128个。36.99.50.0/24 36.99.51.0/27</t>
  </si>
  <si>
    <t>退租128个，36.99.50.128/25。剩余36.99.50.0/25 36.99.51.0/27</t>
  </si>
  <si>
    <t>IPV6：提供/64个免费地址</t>
  </si>
  <si>
    <t>20211101开始计费，ZZ6CT3F-9-1，ZZ6CT3F-9-2，ZZ6CT3F-9-3</t>
  </si>
  <si>
    <t>ZZ6CT3F-9-15,ZZ6CT3F-9-16</t>
  </si>
  <si>
    <t>182215IDC00300</t>
  </si>
  <si>
    <t>芜湖</t>
  </si>
  <si>
    <t>芜湖联通</t>
  </si>
  <si>
    <t>CACDNWUHUN</t>
  </si>
  <si>
    <t>（1）20211001开始计费，免费160个，使用288个，58.243.203.0/24 36.35.36.128/27；（2）20220201开始，免费256个，收费32个</t>
  </si>
  <si>
    <t>退租128个，58.243.203.128/25</t>
  </si>
  <si>
    <t>20211001开始计费，WUHUN3F301-B-16、WUHUN3F301-B-17</t>
  </si>
  <si>
    <t>L20230331005</t>
  </si>
  <si>
    <t>郑州5联通</t>
  </si>
  <si>
    <t>CACDNZZUN</t>
  </si>
  <si>
    <t>边缘计算。123.6.39.0/25</t>
  </si>
  <si>
    <t>边缘计算。2408:8720:806:102::/64</t>
  </si>
  <si>
    <t>1FA-1-BEC16
1FA-1-BEC17
1FA-1-BEC18
1FA-2-BEC16</t>
  </si>
  <si>
    <t>江苏云工场信息技术有限公司</t>
  </si>
  <si>
    <t>江苏云工场</t>
  </si>
  <si>
    <t>L20230223015</t>
  </si>
  <si>
    <t>青岛</t>
  </si>
  <si>
    <t>青岛移动2</t>
  </si>
  <si>
    <t>CACDNQDCM</t>
  </si>
  <si>
    <t>免费288个，已与sys核对使用288(120.221.77.0/24 120.220.222.0/27)</t>
  </si>
  <si>
    <t>CACDNQDCM2</t>
  </si>
  <si>
    <t>边缘新增128个，120.222.230.0/25。SYS核实非CDN挪的。属于新增</t>
  </si>
  <si>
    <t>边缘计算退租，120.222.230.0/25</t>
  </si>
  <si>
    <t xml:space="preserve">QDCM4F-08S-01
QDCM4F-08S-02
QDCM4F-08S-03
QDCM4F-08S-04
QDCM4F-08S-05替换为QDCMCACHE-08S-10
QDCMCACHE-08S-11
QDCMCACHE-08S-12
QDCMCACHE-08S-06
QDCMCACHE-08S-09
</t>
  </si>
  <si>
    <t>青岛扩容200G对应的机柜QDCM4F-07S-08、QDCM4F-07S-09替换为QDCM-11S-13 QDCM-11S-12</t>
  </si>
  <si>
    <t>边缘计算，20211020开始计费，BECQDCM304-11S-06</t>
  </si>
  <si>
    <t>边缘计算，BECQDCM304-11S-06</t>
  </si>
  <si>
    <t>L20230223011</t>
  </si>
  <si>
    <t>CACDNJNCM</t>
  </si>
  <si>
    <t>免费832个，已于sys核对使用832个(120.223.254.0/24、120.223.255.0/24、120.221.157.160/27、120.221.162.0/24、120.221.153.192/27)</t>
  </si>
  <si>
    <t>济南6移动</t>
  </si>
  <si>
    <t>20201031济南6移动退租288个(120.221.162.0/24 120.221.153.192/27)</t>
  </si>
  <si>
    <t>IPV6：免费提供</t>
  </si>
  <si>
    <t>济南2移动二级</t>
  </si>
  <si>
    <t xml:space="preserve">JN5CM502-7-W08
JN5CM502-7-W07
JN5CM502-7-W06
JN5CM502-7-W05
JN5CM502-7-W04
JN5CM502-7-W03
JN5CM502-7-W02
JN5CM502-7-W01
JN5CM502-7-W09
</t>
  </si>
  <si>
    <t>182015IDC00367</t>
  </si>
  <si>
    <t xml:space="preserve">202010不计费，JN6CM502-W-16
JN6CM502-W-15
JN6CM502-W-14
JN6CM502-W-13
JN6CM502-W-12
JN6CM502-W-11
</t>
  </si>
  <si>
    <t>20201031退租，JN6CM502-W-16、JN6CM502-W-15、JN6CM502-W-14、JN6CM502-W-12、JN6CM502-W-11、JN6CM502-W-13</t>
  </si>
  <si>
    <t>青岛三线</t>
  </si>
  <si>
    <t>存量256+20200315新增32个，免费288</t>
  </si>
  <si>
    <t>存量256+20200315新增32个(120.221.78.96/27)，免费288，CDN使用</t>
  </si>
  <si>
    <t>20200704新增32个(120.221.20.160/27)，CDN使用</t>
  </si>
  <si>
    <t>合同条款：IPV6:【2的64个次方】个IPV6地址免费</t>
  </si>
  <si>
    <t>高防&amp;CDN IP</t>
  </si>
  <si>
    <t>青岛高防</t>
  </si>
  <si>
    <t>青岛高防（青岛万年泉移动）</t>
  </si>
  <si>
    <t>QDWNQ</t>
  </si>
  <si>
    <t>注意青岛移动高防业务中IP地址代播返费用6000元/月，将直接从青岛移动外拉项目中通过对账直接扣除，生效日期2019年7月1日</t>
  </si>
  <si>
    <t>高防-IP</t>
  </si>
  <si>
    <t>20200331退4个C，4*256</t>
  </si>
  <si>
    <t xml:space="preserve">20210228高防退租512个，剩余512个为CDN使用。120.222.212.0/24：CDN继续使用;2021年3月1日开始不计费
120.222.213.0/24：高防退租
120.222.214.0/24：高防退租
120.222.215.0/24：CDN继续使用
</t>
  </si>
  <si>
    <t xml:space="preserve">QDWNQ4F-06S-05
QDWNQ4F-06S-10
QDWNQ4F-06S-04
QDWNQ4F-06S-09
QDWNQ4F-06S-03
QDWNQ4F-06S-08
QDWNQ4F-06S-02
QDWNQ4F-06S-07
QDWNQ4F-06S-01
QDWNQ4F-06S-06
</t>
  </si>
  <si>
    <t xml:space="preserve">20210228退租，QDWNQ4F-06S-05
QDWNQ4F-06S-10
QDWNQ4F-06S-04
QDWNQ4F-06S-09
QDWNQ4F-06S-03
QDWNQ4F-06S-08
QDWNQ4F-06S-02
QDWNQ4F-06S-07
QDWNQ4F-06S-01
QDWNQ4F-06S-06
</t>
  </si>
  <si>
    <t>周睿已确认QDWNQ4F-08S-06
QDWNQ4F-08S-09
QDWNQ4F-08S-10
QDWNQ4F-08S-11
QDWNQ4F-08S-12
转为CDN（QDCMCACHE-08S-12
QDCMCACHE-08S-11
QDCMCACHE-08S-10
QDCMCACHE-08S-09
QDCMCACHE-08S-06）</t>
  </si>
  <si>
    <t>L20230223012</t>
  </si>
  <si>
    <t>青岛滨海</t>
  </si>
  <si>
    <t>20191104开始计费,120.220.216.0/24
120.220.217.0/24</t>
  </si>
  <si>
    <t>182015IDC00367
182115IDC00044</t>
  </si>
  <si>
    <t>注意青岛移动高防业务中IP地址代播返费用6000元/月</t>
  </si>
  <si>
    <t>202101此费用取消；</t>
  </si>
  <si>
    <t>青岛外拉传输</t>
  </si>
  <si>
    <t>青岛3移动</t>
  </si>
  <si>
    <t>20200122开始计费，已与sys核对使用288（120.222.200.64/27;120.220.214.0/24)，免费288</t>
  </si>
  <si>
    <t>20221231BEC退租。120.220.214.0/24,
120.220.211.64/27，</t>
  </si>
  <si>
    <t>青岛6移动</t>
  </si>
  <si>
    <t>20211001开始计费，免费256个，使用256个，120.222.229.0/24</t>
  </si>
  <si>
    <t>20230111CDN退租。120.222.229.128/25</t>
  </si>
  <si>
    <t>青岛3移动&amp;青岛6移动</t>
  </si>
  <si>
    <t>20200122开始计费，QD3CM4F-8N-00、QD3CM4F-8N-01、QD3CM4F-8N-02、QD3CM4F-8N-08、QD3CM4F-8N-09、QD3CM4F-9N-05</t>
  </si>
  <si>
    <t xml:space="preserve">20221231BEC退租，QD3CM4F-8N-01
QD3CM4F-8N-02
</t>
  </si>
  <si>
    <t>QD3CM4F-8N-08
QD3CM4F-8N-09
QD3CM4F-8N-00
QD3CM4F-9N-05剩余机柜更换为QD3CM-11S-14,QD3CM-11S-17,QD3CM-11S-18,QD3CM-11S-19</t>
  </si>
  <si>
    <t>QD3CM-11S-14,QD3CM-11S-17,QD3CM-11S-18,QD3CM-11S-19</t>
  </si>
  <si>
    <t>L20230223016</t>
  </si>
  <si>
    <t>呼和浩特5移动</t>
  </si>
  <si>
    <t>CACDNHHHTCM</t>
  </si>
  <si>
    <t>20200101开始计费，赠送352个，已与sys核对使用288个（117.161.124.0/27;117.161.123.0/24）更换为117.161.160.0/24,117.161.43.96/27</t>
  </si>
  <si>
    <t>20191213开始计费，HHHT5CMB03-18D-01,HHHT5CMB03-18D-02,HHHT5CMB03-18D-03,HHHT5CMB03-18D-04</t>
  </si>
  <si>
    <t>20200501开始计费，HHHT5CMB03-18D-05、HHHT5CMB03-18D-06</t>
  </si>
  <si>
    <t>182115IDC00062</t>
  </si>
  <si>
    <t>太原6移动</t>
  </si>
  <si>
    <t>CACDNTYCM</t>
  </si>
  <si>
    <t>20210331退租，20200122开始计费，已与sys核对使用288个（183.201.195.0/24;183.201.231.32/27），免费416个</t>
  </si>
  <si>
    <t>20200122开始计费，TY6CM4F-K-09,TY6CM4F-K-10,TY6CM4F-K-12,TY6CM4F-K-13,TY6CM4F-L-20</t>
  </si>
  <si>
    <t>20210101开始计费，TY6CM4F-L-17</t>
  </si>
  <si>
    <t>20210331退租，TY6CM4F-K-09、TY6CM4F-K-13、TY6CM4F-K-12、TY6CM4F-K-10、TY6CM4F-L-17、TY6CM4F-L-20</t>
  </si>
  <si>
    <t>182115IDC00233</t>
  </si>
  <si>
    <t>南宁4移动</t>
  </si>
  <si>
    <t>CACDNNNCM</t>
  </si>
  <si>
    <t>20200501开始计费，使用288个，(36.159.89.0/24 36.159.123.128/27)，免费288个</t>
  </si>
  <si>
    <t>20210930退租288个36.159.89.0/24 36.159.123.128/27</t>
  </si>
  <si>
    <t>南宁5移动</t>
  </si>
  <si>
    <t>20210401开始计费，使用288个，36.136.126.0/24 36.159.123.192/27,免费288个</t>
  </si>
  <si>
    <t>20210930退租288个36.136.126.0/24 36.159.123.192/27</t>
  </si>
  <si>
    <t>合同条款：IPV6:乙方为甲方总计提供【2^65 】个IPV6地址，全部免费，超出部分单独计费。</t>
  </si>
  <si>
    <t>20200501开始计费，NN4CM9F02-U-04,NN4CM9F02-U-07,NN4CM9F02-U-08,NN4CM9F02-U-09</t>
  </si>
  <si>
    <t>20210101开始计费，NN4CM9F02-V-10、NN4CM9F02-V-11</t>
  </si>
  <si>
    <t>20210930退租，NN4CM9F02-U-08、NN4CM9F02-U-09、NN4CM9F02-U-04、NN4CM9F02-U-07、NN4CM9F02-V-10、NN4CM9F02-V-11</t>
  </si>
  <si>
    <t>20210401开始计费，NN5CM9F02-W-01、NN5CM9F02-W-02、NN5CM9F02-W-03、NN5CM9F02-T-01、NN5CM9F02-T-02</t>
  </si>
  <si>
    <t>20210930退租，NN5CM9F02-W-01、NN5CM9F02-W-02、NN5CM9F02-W-03、NN5CM9F02-T-01、NN5CM9F02-T-02</t>
  </si>
  <si>
    <t>青岛-济南</t>
  </si>
  <si>
    <t>20G</t>
  </si>
  <si>
    <t>20201231此资源退租</t>
  </si>
  <si>
    <t>182215IDC00646</t>
  </si>
  <si>
    <t>青岛5移动</t>
  </si>
  <si>
    <t>20210201开始计费，使用288个，免费320个，120.222.217.0/24 120.220.211.0/27.IPv4：每个万兆端口赠送【16】个免费IP地址，乙方为甲方总计提供【320】个IP地址（目前已开通使用288个IP），超出部分单独计费。</t>
  </si>
  <si>
    <t>合同条款：IPv6：3个/64个免费地址，超出部分单独计费。</t>
  </si>
  <si>
    <t>20210201开始计费，QD5CM3F-04S-11、QD5CM3F-04S-12、QD5CM3F-04S-13</t>
  </si>
  <si>
    <t>20210803开始计费，QD5CM3F304-09S-14</t>
  </si>
  <si>
    <t>QD5CM3F304-09S-14（机柜调整编码为QD5CM304-09S-11
QD5CM304-09S-12
QD5CM304-09S-13）</t>
  </si>
  <si>
    <t>182315IDC00062</t>
  </si>
  <si>
    <t>济南7移动</t>
  </si>
  <si>
    <t>CACDNJNCM2</t>
  </si>
  <si>
    <t>20210105开始计费，使用288个(120.221.162.0/24 120.221.153.192/27)，免费320个</t>
  </si>
  <si>
    <t>济南8移动</t>
  </si>
  <si>
    <t>20210401开始计费，使用288个，120.221.184.0/24 120.220.194.224/27，免费320个</t>
  </si>
  <si>
    <t>济南7移动&amp;济南8移动</t>
  </si>
  <si>
    <t>IPv6：赠送3*/64位，超出部分单独计费。</t>
  </si>
  <si>
    <t>20210105开始计费，JN7CMA15F502-W-12、JN7CMA15F502-W-10、JN7CMA15F502-W-11、JN7CMA15F502-W-13</t>
  </si>
  <si>
    <t>20210401开始计费，JN8CM502-7W-16、JN8CM502-7W-17、JN8CM502-7W-14、JN8CM502-7W-15</t>
  </si>
  <si>
    <t>JN7CMA15F502-W-19</t>
  </si>
  <si>
    <t>L20230223020</t>
  </si>
  <si>
    <t>徐州</t>
  </si>
  <si>
    <t>徐州移动</t>
  </si>
  <si>
    <t>CACDNXZCM</t>
  </si>
  <si>
    <t>20210601开始计费，使用288个（223.113.140.0/24 223.113.52.192/27），赠送256个</t>
  </si>
  <si>
    <t>20210601开始计费，使用288个（223.113.140.0/24 223.113.52.192/27），赠送288个</t>
  </si>
  <si>
    <t>退租128个，223.113.140.128/25</t>
  </si>
  <si>
    <t>IPv6：赠送2个/64位，超出部分单独计费。</t>
  </si>
  <si>
    <t>20210601开始计费，XZCM2F201-E-02、XZCM2F201-E-03、XZCM2F201-E-04、XZCM2F201-E-05、XZCM2F201-E-06、XZCM2F201-E-07</t>
  </si>
  <si>
    <t>182315IDC00047</t>
  </si>
  <si>
    <t>潍坊2移动</t>
  </si>
  <si>
    <t>CACDNWFCM2</t>
  </si>
  <si>
    <t>20220130开始计费，使用288个，免费320个，120.220.245.0/24 120.220.249.192/27</t>
  </si>
  <si>
    <t>IPv6：赠送2^64 个IPV6</t>
  </si>
  <si>
    <t>20220130开始计费，WF2CM8F801-05A-07、WF2CM8F801-05A-09、WF2CM8F801-05A-10、WF2CM8F801-05A-13</t>
  </si>
  <si>
    <t>182315IDC00056</t>
  </si>
  <si>
    <t>济南9移动</t>
  </si>
  <si>
    <t>CACDNJNCM3</t>
  </si>
  <si>
    <t>20220130开始计费，使用288个，免费320个，120.220.148.0/24 120.220.194.64/27</t>
  </si>
  <si>
    <t>20220130开始计费，JN9CM502-08-W15,JN9CM502-08-W16,JN9CM502-07-W18</t>
  </si>
  <si>
    <t>L20230223034</t>
  </si>
  <si>
    <t>潍坊联通&amp;潍坊2联通</t>
  </si>
  <si>
    <t>CACDNWFUN</t>
  </si>
  <si>
    <t>20220201开始计费，使用288个（WFUN 119.176.24.0/24 61.162.206.0/27），免费480个，2022年9月1日拆分wf2un后使用256个，119.176.25.0/24</t>
  </si>
  <si>
    <t>潍坊联通</t>
  </si>
  <si>
    <t>20220201开始计费，WFUN：WFUN5FN-H-05,WFUN5FN-H-04,WFUN5FN-H-09,WF2UN：WFUN5FN-H-08，WFUN5FN-H-06</t>
  </si>
  <si>
    <t>20220430退租，WFUN5FN-H-09</t>
  </si>
  <si>
    <t>182215IDC00651</t>
  </si>
  <si>
    <t>威海</t>
  </si>
  <si>
    <t>威海移动</t>
  </si>
  <si>
    <t>CACDNWEIHCM</t>
  </si>
  <si>
    <t>20221001开始计费。免费288个，使用288个，120.220.230.0/24 120.220.128.0/27</t>
  </si>
  <si>
    <t>20221001开始计费。WEIHCM501-3N-01,WEIHCM501-3N-02,WEIHCM501-3N-03</t>
  </si>
  <si>
    <t>南通云数网络科技有限公司</t>
  </si>
  <si>
    <t>南通云数</t>
  </si>
  <si>
    <t>182315IDC00054</t>
  </si>
  <si>
    <t>常州移动2</t>
  </si>
  <si>
    <t>CACDNCZCM</t>
  </si>
  <si>
    <t>免费288个，sys已核对使用288个(36.153.7.0/24;223.112.203.64/27)</t>
  </si>
  <si>
    <t>IPV6：共赠送/64</t>
  </si>
  <si>
    <t>CZCM4F-C-07
CZCM4F-C-06
CZCM4F-C-10
CZCM4F-C-09
CZCM4F-C-08</t>
  </si>
  <si>
    <t>182215IDC00163</t>
  </si>
  <si>
    <t>扬州2电信</t>
  </si>
  <si>
    <t>CACDNYANGZCT2</t>
  </si>
  <si>
    <t>20220120转为边缘计算。20210501开始计费，使用288个（114.230.138.0/24 61.147.119.96/27），免费64个</t>
  </si>
  <si>
    <t>20220630退租</t>
  </si>
  <si>
    <t>20220120转为边缘计算。IPV6：赠送/64，超出部分单独计费。240e:978:912:100::/64</t>
  </si>
  <si>
    <t>20220630退租。IPV6：赠送/64，超出部分单独计费。240e:978:912:100::/64</t>
  </si>
  <si>
    <t>20220120转为边缘计算。20210501开始计费，YANGZ2CT2D2F-G-3、YANGZ2CT2D2F-G-2、YANGZ2CT2D2F-G-1</t>
  </si>
  <si>
    <t>20220630退租，YANGZ2CT2D2F-G-3,
YANGZ2CT2D2F-G-2,
YANGZ2CT2D2F-G-1</t>
  </si>
  <si>
    <t>182315IDC00051</t>
  </si>
  <si>
    <t>无锡4移动</t>
  </si>
  <si>
    <t>CACDNWXCM</t>
  </si>
  <si>
    <t>每个机柜赠送【16】个免费IP地址，乙方为甲方总计提供【160】个IP地址; 2023年1月1日-2023年1月5日使用3个机柜，免费48个；每个机柜赠送【16】个免费IP地址，乙方为甲方总计提供【160】个IP地址 2023年1月6日开始使用4个机柜，免费64个IP。需要注意20220101开始由江阴普尔变更为南通云数，20200706开始计费，20210101开始免费48个，使用288个(36.150.56.0/24 36.150.55.0/27)</t>
  </si>
  <si>
    <t>需要注意20220101开始由江阴普尔变更为南通云数，20200706开始计费，20210101开始免费48个，使用288个</t>
  </si>
  <si>
    <t>退租128个，223.112.144.128/25</t>
  </si>
  <si>
    <t>需要注意20220101开始由江阴普尔变更为南通云数，合同条款：IPv6：共赠送/56</t>
  </si>
  <si>
    <t>需要注意20220101开始由江阴普尔变更为南通云数，20200706开始计费，WX4CMIDC2-3A-I02、WX4CMIDC2-3A-I01</t>
  </si>
  <si>
    <t>需要注意20220101开始由江阴普尔变更为南通云数，20210101开始计费，WX4CMIDC2-3A-F08</t>
  </si>
  <si>
    <t>WX4CMIDC2-3A-H04</t>
  </si>
  <si>
    <t>182215IDC00548</t>
  </si>
  <si>
    <t>中山4移动</t>
  </si>
  <si>
    <t>CACDNZSCM4</t>
  </si>
  <si>
    <t>20220101开始计费，免费128个，使用288个，120.232.244.0/24 120.232.245.0/27；其中2022018，原IP为120.232.245.0/27替换为183.232.148.224/27</t>
  </si>
  <si>
    <t>退租288个，120.232.244.0/24 183.232.148.224/27</t>
  </si>
  <si>
    <t>ipv6赠送/64个。</t>
  </si>
  <si>
    <t>20220101开始计费，ZS4CM2FIDC01-AD-04、ZS4CM2FIDC01-AD-05、ZS4CM2FIDC01-AD-06、ZS4CM2FIDC01-AD-07、ZS4CM2FIDC01-AD-08</t>
  </si>
  <si>
    <t>ZS4CM2FIDC01-AC-11</t>
  </si>
  <si>
    <t>退租，ZS4CM2FIDC01-AD-08,ZS4CM2FIDC01-AD-07,ZS4CM2FIDC01-AD-06,ZS4CM2FIDC01-AD-05,ZS4CM2FIDC01-AD-04,ZS4CM2FIDC01-AC-11</t>
  </si>
  <si>
    <t>青岛燚汇信达通讯科技有限公司</t>
  </si>
  <si>
    <t>燚汇信达</t>
  </si>
  <si>
    <t>182215IDC00420</t>
  </si>
  <si>
    <t>青岛5电信</t>
  </si>
  <si>
    <t>CACDNQDCT</t>
  </si>
  <si>
    <t>20200908开始计费，使用288个，免费288个，（150.138.188.0/24 150.138.189.0/27）</t>
  </si>
  <si>
    <t>20220726退租。150.138.188.128/25</t>
  </si>
  <si>
    <t>青岛6电信</t>
  </si>
  <si>
    <t>20210802开始计费，使用288个，免费288个，150.138.110.0/24 150.138.111.0/27</t>
  </si>
  <si>
    <t>IPv6按需免费提供</t>
  </si>
  <si>
    <t>20200908开始计费，QD5CTE2-2FB06-02、QD5CTE2-2FB06-03、QD5CTE2-2FB06-04、QD5CTE2-2FB06-05、QD5CTE2-2FB06-06</t>
  </si>
  <si>
    <t>20210801开始计费，QD5CTE2-2FA06-16</t>
  </si>
  <si>
    <t>20210802开始计费，QD6CTE2-1FA01-02、QD6CTE2-1FA01-03、QD6CTE2-1FA01-04、QD6CTE2-1FA01-05</t>
  </si>
  <si>
    <t>20220123开始计费，QD6CTE2-1FA02-11</t>
  </si>
  <si>
    <t>20220726退租。QD5CTE2-2FA06-16
QD5CTE2-2FB06-05
QD5CTE2-2FB06-06</t>
  </si>
  <si>
    <t>182215IDC00553</t>
  </si>
  <si>
    <t>烟台</t>
  </si>
  <si>
    <t>烟台电信</t>
  </si>
  <si>
    <t>CACDNYTCT</t>
  </si>
  <si>
    <t>20211001开始计费，免费320个，使用288个，150.138.45.0/24 150.138.38.96/27</t>
  </si>
  <si>
    <t>免费提供/64位IPV6地址一组</t>
  </si>
  <si>
    <t>20211001开始计费，YTCT4F-A1-02,YTCT4F-A1-03,YTCT4F-A1-04</t>
  </si>
  <si>
    <t>182315IDC00058</t>
  </si>
  <si>
    <t>CACDNQDUN</t>
  </si>
  <si>
    <t>20230101开始计费。免费480个，使用288个，119.167.254.0/24 27.221.56.64/27</t>
  </si>
  <si>
    <t>20230101开始计费。QD8UN2F-H-01,QD8UN2F-H-02更新为CACDNQDUN:2F:IDC-H-CDN01 CACDNQDUN:2F:IDC-H-CDN02</t>
  </si>
  <si>
    <t>L20230418002</t>
  </si>
  <si>
    <t>CACDNQDUN:2F:IDC-H-CDN05</t>
  </si>
  <si>
    <t>20230101开始计费。免费480个，使用160个，119.167.224.0/25 119.167.138.192/27</t>
  </si>
  <si>
    <t>20230101开始计费。QD9UN2F-H-03,QD9UN2F-H-04</t>
  </si>
  <si>
    <t>山西卡伏科技有限公司</t>
  </si>
  <si>
    <t>山西卡伏</t>
  </si>
  <si>
    <t>182315IDC00055</t>
  </si>
  <si>
    <t>太原8移动</t>
  </si>
  <si>
    <t>CACDNTYCM3</t>
  </si>
  <si>
    <t>20210101开始计费，使用160个，免费176个。183.201.226.0/25 183.201.226.128/27。20230424将183.201.226.0/24 183.201.227.128/27替换成183.201.226.0/24，
183.201.227.128/27</t>
  </si>
  <si>
    <t>20210401开始计费，使用128个，免费368个，183.201.226.0/24 183.201.227.128/27。 20230424将183.201.226.0/24 183.201.227.128/27替换成183.201.226.0/24，
183.201.227.128/27</t>
  </si>
  <si>
    <t>20210101开始计费，TY8CM4F401-H-17、TY8CM4F401-H-18</t>
  </si>
  <si>
    <t>20210401开始计费，TY8CM4F401-H-20、TY8CM4F401-H-21、TY8CM4F401-H-19</t>
  </si>
  <si>
    <t>TY8CM4F401-H-10</t>
  </si>
  <si>
    <t>182315IDC00150</t>
  </si>
  <si>
    <t>太原9移动</t>
  </si>
  <si>
    <t>20220305开始计费，免费256个，使用256个，183.201.100.0/24</t>
  </si>
  <si>
    <t>20220305开始计费，TY9CM4F401-I-07,TY9CM4F401-I-06,TY9CM4F401-I-05</t>
  </si>
  <si>
    <t>上海云瑞智通实业有限公司</t>
  </si>
  <si>
    <t>云瑞智通</t>
  </si>
  <si>
    <t>182215IDC00016</t>
  </si>
  <si>
    <t>沈阳4移动</t>
  </si>
  <si>
    <t>CACDNSYCM</t>
  </si>
  <si>
    <t>20211231退租，20201204开始计费，使用288个，免费320个，（120.201.51.0/24 120.201.52.0/27）</t>
  </si>
  <si>
    <t>边缘计算使用128个，36.131.107.128/25</t>
  </si>
  <si>
    <t>20211231退租，36.131.107.128/25</t>
  </si>
  <si>
    <t xml:space="preserve">IPv6免费。 </t>
  </si>
  <si>
    <t>20201204开始计费，SYCM5F-D-01、SYCM5F-D-02、SYCM5F-D-03、SYCM5F-D-04、SYCM5F-D-05、SYCM5F-D-06</t>
  </si>
  <si>
    <t>转移给边缘：SYCM5F-D-05、SYCM5F-D-06</t>
  </si>
  <si>
    <t>边缘计算，BECSYCM5F-D-05BECSYCM5F-D-06</t>
  </si>
  <si>
    <t>20211231退租，SYCM5F-D-01、SYCM5F-D-02、SYCM5F-D-03、SYCM5F-D-04</t>
  </si>
  <si>
    <t>边缘计算，20211231退租，BECSYCM5F-D-05 、BECSYCM5F-D-06</t>
  </si>
  <si>
    <t>沈阳5移动</t>
  </si>
  <si>
    <t>20211001开始计费，免费256个，使用256个，36.131.108.0/24</t>
  </si>
  <si>
    <t>20220131退租，36.131.108.0/24</t>
  </si>
  <si>
    <t>20211001开始计费，SYCM2F-B-07、SYCM2F-B-08、SYCM2F-B-09、SYCM2F-L-04</t>
  </si>
  <si>
    <t>20220131退租，SYCM2F-B-07,SYCM2F-B-08,SYCM2F-B-09,SYCM2F-L-04</t>
  </si>
  <si>
    <t>182315IDC00138</t>
  </si>
  <si>
    <t>南通</t>
  </si>
  <si>
    <t>南通电信</t>
  </si>
  <si>
    <t>CACDNNTCT</t>
  </si>
  <si>
    <t>20210201开始计费，使用288个，IPv4：乙方为甲方总计提供【288】个IP地址（其中免费64个，计费224个），超出部分单独计费；49.79.225.0/24 49.79.226.0/27</t>
  </si>
  <si>
    <t>20210201开始计费，使用288个，免费224个，49.79.225.0/24 49.79.226.0/27</t>
  </si>
  <si>
    <t>20221114退租128个，49.79.225.128/25</t>
  </si>
  <si>
    <t>IPv6：乙方赠送/64个IPv6地址，超出部分单独计费。</t>
  </si>
  <si>
    <t>20210201开始计费，NTCT5F501-A-2、NTCT5F501-A-3、NTCT5F501-A-4</t>
  </si>
  <si>
    <t>182315IDC00048</t>
  </si>
  <si>
    <t>南通2电信</t>
  </si>
  <si>
    <t>CACDNNTCT2</t>
  </si>
  <si>
    <t>按照机柜赠送IP。20210201开始计费，使用288个，IPv4：每个机柜赠送【16】个免费IP地址，乙方为甲方总计提供【288】个IP地址（其中免费64个，计费224个），超出部分单独计费。114.232.92.0/24 49.79.239.0/27</t>
  </si>
  <si>
    <t>20210201开始计费，使用288个，免费48个，114.232.92.0/24 49.79.239.0/27</t>
  </si>
  <si>
    <t>20221114退租128个，114.232.92.128/25</t>
  </si>
  <si>
    <t>20210201开始计费，NT2CT3F314-F-1、NT2CT3F314-F-2、NT2CT3F314-F-3、NT2CT3F314-F-4</t>
  </si>
  <si>
    <t>20221027开始计费。NT2CT3F314-F-05</t>
  </si>
  <si>
    <t>L20230223013</t>
  </si>
  <si>
    <t>兰州6电信</t>
  </si>
  <si>
    <t>CACDNLZCT</t>
  </si>
  <si>
    <t>20210902开始计费，免费288个，使用288个，125.74.110.0/24 125.74.26.0/27</t>
  </si>
  <si>
    <t>20210902开始计费，LZ6CT2F202-L-13、LZ6CT2F202-L-1、LZ6CT2F202-L-14</t>
  </si>
  <si>
    <t>182315IDC00137</t>
  </si>
  <si>
    <t>黄石</t>
  </si>
  <si>
    <t>黄石6电信</t>
  </si>
  <si>
    <t>CACDNHSCT</t>
  </si>
  <si>
    <t>20211001开始计费，免费320个，使用288个，111.174.9.0/24 111.174.15.0/27</t>
  </si>
  <si>
    <t>IPV6：一段/64免费</t>
  </si>
  <si>
    <t>需要注意机柜降价。20211001开始计费，HS6CT4F403-03-03、HS6CT4F403-03-04、HS6CT4F403-03-05、HS6CT4F403-03-06</t>
  </si>
  <si>
    <t>四川奔云行科技有限公司</t>
  </si>
  <si>
    <t>奔云行</t>
  </si>
  <si>
    <t>182115IDC00106</t>
  </si>
  <si>
    <t>成都7移动</t>
  </si>
  <si>
    <t>CACDNCDCM2</t>
  </si>
  <si>
    <t>20210930退租288个；20210207开始计费，使用288个，赠送640个，112.19.13.0/24 112.19.15.0/27</t>
  </si>
  <si>
    <t>合同条款：IPv6：赠送/64*2个IPv6地址，超出部分单独计费。</t>
  </si>
  <si>
    <t>20210207开始计费，CD7CM1F108-B-2、CD7CM1F108-B-3、CD7CM1F108-B-1、CD7CM1F108-B-4</t>
  </si>
  <si>
    <t>20210930退租，CD7CM1F108-B-2、CD7CM1F108-B-3、CD7CM1F108-B-1、CD7CM1F108-B-4</t>
  </si>
  <si>
    <t>182115IDC00249</t>
  </si>
  <si>
    <t>CD7CM1F108-B-5</t>
  </si>
  <si>
    <t>20210930退租，CD7CM1F108-B-5</t>
  </si>
  <si>
    <t>武汉鸿扬通信技术有限公司</t>
  </si>
  <si>
    <t>武汉鸿扬</t>
  </si>
  <si>
    <t>182015IDC00348</t>
  </si>
  <si>
    <t>宜昌电信</t>
  </si>
  <si>
    <t>CACDNYICCT</t>
  </si>
  <si>
    <t>20210831退租，免费320个，sys已核对使用288个(116.207.168.0/24;116.207.169.0/27)</t>
  </si>
  <si>
    <t xml:space="preserve">共4个，免费4个YICCT1F-H-01
YICCT1F-H-02
YICCT1F-H-03
YICCT1F-H-04
</t>
  </si>
  <si>
    <t>20210831退租，
YICCT1F-H-04、YICCT1F-H-03、YICCT1F-H-02、YICCT1F-H-01</t>
  </si>
  <si>
    <t>新疆众合云尚网络股份有限公司</t>
  </si>
  <si>
    <t>众合云尚</t>
  </si>
  <si>
    <t>182215IDC00540</t>
  </si>
  <si>
    <t>阿克苏</t>
  </si>
  <si>
    <t>阿克苏2移动（原名克拉玛依5移动）</t>
  </si>
  <si>
    <t>CACDNKLMYCM2</t>
  </si>
  <si>
    <t>20210101开始计费，使用288个（117.145.100.0/24 117.145.101.0/27），免费320个</t>
  </si>
  <si>
    <t>20210101开始计费。KLMY5CM3FIDC-B-01、KLMY5CM3FIDC-B-02、KLMY5CM3FIDC-B-03、KLMY5CM3FIDC-B-04、KLMY5CM3FIDC-B-05、KLMY5CM3FIDC-B-06</t>
  </si>
  <si>
    <t>182215IDC00549</t>
  </si>
  <si>
    <t>阿克苏移动</t>
  </si>
  <si>
    <t>CACDNAKSCM</t>
  </si>
  <si>
    <t>20230430退租。20210901开始计费，边缘计算，使用128个，免费320个，117.145.102.0/25</t>
  </si>
  <si>
    <t>边缘计算，20210901开始计费，BECAKSCM-B-01,BECAKSCM-B-02,BECAKSCM-B-03</t>
  </si>
  <si>
    <t>20230430退租</t>
  </si>
  <si>
    <t>182215IDC00186</t>
  </si>
  <si>
    <t>乌鲁木齐移动</t>
  </si>
  <si>
    <t>CACDNWLMQCM</t>
  </si>
  <si>
    <t>（1）20220101开始计费，使用256个，免费128个，收费128个，117.146.64.0/24；（2）20220201-20220331，256个IPV4其中77个免费、179个收费；（3）20220630退租117.146.64.128/25，128个;20220701开始免费16个，收费112个</t>
  </si>
  <si>
    <t>边缘计算。20230228退租。</t>
  </si>
  <si>
    <t>边缘计算，20220101开始计费，BECWLMQCM2F-B4-02
BECWLMQCM2F-B4-03
BECWLMQCM2F-B4-04</t>
  </si>
  <si>
    <t>边缘计算，20220630退租，BECWLMQCM2F-B4-03</t>
  </si>
  <si>
    <t>边缘计算。20230228退租。BECWLMQCM2F-B4-02
BECWLMQCM2F-B4-04</t>
  </si>
  <si>
    <t>云端互联（西安）计算机技术有限公司</t>
  </si>
  <si>
    <t>云端互联</t>
  </si>
  <si>
    <t>L20230223027</t>
  </si>
  <si>
    <t>昆明2联通</t>
  </si>
  <si>
    <t>CACDNKMUN</t>
  </si>
  <si>
    <t>sys已核对使用160个，免费128个，收费32个（14.204.150.0/25;14.204.150.128/27）</t>
  </si>
  <si>
    <t>sys已核对使用160个，免费128个，收费32个</t>
  </si>
  <si>
    <t>IPV6：赠送/61</t>
  </si>
  <si>
    <t>免费4个，使用2个，KM2UN2F-2F-20、KM2UN2F-2F-19</t>
  </si>
  <si>
    <t>浙江山迅网络科技有限公司</t>
  </si>
  <si>
    <t>浙江山迅</t>
  </si>
  <si>
    <t>182115IDC00274</t>
  </si>
  <si>
    <t>泉州联通</t>
  </si>
  <si>
    <t>CACDNQZUN</t>
  </si>
  <si>
    <t>免费288个。sys已核对使用288个(36.250.245.0/24;36.250.251.0/27)</t>
  </si>
  <si>
    <t>QZUN2F-0302-02
QZUN2F-0302-05
QZUN2F-0302-04
QZUN2F-0302-03</t>
  </si>
  <si>
    <t>20211231退租，QZUN2F-0302-05,QZUN2F-0302-04,QZUN2F-0302-03,QZUN2F-0302-02
QZUN2F-0302-05
QZUN2F-0302-04
QZUN2F-0302-03</t>
  </si>
  <si>
    <t>浙江挚云信息科技有限公司</t>
  </si>
  <si>
    <t>浙江挚云</t>
  </si>
  <si>
    <t>182115IDC00098</t>
  </si>
  <si>
    <t>杭州</t>
  </si>
  <si>
    <t>杭州3移动</t>
  </si>
  <si>
    <t>CACDNHZCM</t>
  </si>
  <si>
    <t>sys已核对使用288个（112.13.215.0/24;111.1.54.0/27），每个万兆端口赠送【32】个免费IP地址，乙方为甲方总计提供【288】个免费IP地址，0个收费地址。</t>
  </si>
  <si>
    <t>20211031退租，112.13.175.0/24 218.205.86.64/27</t>
  </si>
  <si>
    <t>CACDNHZCM2</t>
  </si>
  <si>
    <t>HZ3CM3F-E-08-11</t>
  </si>
  <si>
    <t>20211031退租，HZ3CM3F-E-08-11</t>
  </si>
  <si>
    <t>L20221025039</t>
  </si>
  <si>
    <t>温州</t>
  </si>
  <si>
    <t>温州移动</t>
  </si>
  <si>
    <t>CACDNWZCM</t>
  </si>
  <si>
    <t>免费640个，sys已核对使用288个（112.16.225.0/24;112.16.224.224/27其中112.16.224.224/27在20220523 替换为112.16.228.32/27）</t>
  </si>
  <si>
    <t>XACDNWZCM</t>
  </si>
  <si>
    <t>WZCM6F-J-05-12</t>
  </si>
  <si>
    <t>20201216存量机柜迁移</t>
  </si>
  <si>
    <t>20201217新迁移的机柜WZ3CM6F-J-10、WZ3CM6F-J-09、WZ3CM6F-J-08、WZ3CM6F-J-07、WZ3CM6F-J-06</t>
  </si>
  <si>
    <t>L20230103007</t>
  </si>
  <si>
    <t>温州电信二级</t>
  </si>
  <si>
    <t>CACDNWZCT</t>
  </si>
  <si>
    <t>20201201开始收费96个，1907新增资源，共用256个IP，其中128个免费。122.228.115.0/24 122.228.117.96/27</t>
  </si>
  <si>
    <t>20200701开始计费，新增32个。2022080开始计费288个，免费544个</t>
  </si>
  <si>
    <t>需要注意温州电信20220701计费672个、免费160个；20220801起计费288个，免费544个；（1）边缘计算122.228.11.0/24
122.228.212.0/24</t>
  </si>
  <si>
    <t>边缘计算122.228.11.0/24
122.228.212.0/24</t>
  </si>
  <si>
    <t>20220607开始计费，边缘计算61.164.159.192/27</t>
  </si>
  <si>
    <t>合同内赠送12个，1907新增资源，共用2个机柜WZ6CT3F301-G-02
，WZ6CT3F301-G-01
均免费</t>
  </si>
  <si>
    <t>WZ6CT3F301-G-02，WZ6CT3F301-G-01进行迁移至WZ6CT3F3C-G-10 WZ6CT3F3C-G-11</t>
  </si>
  <si>
    <t>WZ6CT3F3C-G-10 WZ6CT3F3C-G-11</t>
  </si>
  <si>
    <t>20210415开始计费，免费，WZ6CT3F3C-G-08</t>
  </si>
  <si>
    <t>WZ6CT3F3C-G-10 WZ6CT3F3C-G-11 WZ6CT3F3C-G-08搬迁到WZ6CT4FB01,WZ6CT4FB02,WZ6CT4FB0</t>
  </si>
  <si>
    <t>WZ6CT3F3C-G-10 WZ6CT3F3C-G-11 WZ6CT3F3C-G-08搬迁到WZ6CT4FB01,WZ6CT4FB02,WZ6CT4FB03</t>
  </si>
  <si>
    <t>边缘计算，BECWZ6CT-C-01
BECWZ6CT-C-02
BECWZ6CT-C-03
BECWZ6CT-C-04
BECWZ6CT-C-05
BECWZ6CT-C-06
BECWZ6CT-C-07
BECWZ6CT-C-08
BECWZ6CT-C-09</t>
  </si>
  <si>
    <t>边缘计算，20220701开始免费，BECWZ6CT-B-04
BECWZ6CT-B-05
BECWZ6CT-B-06
BECWZ6CT-B-07
BECWZ6CT-B-08
BECWZ6CT-B-09</t>
  </si>
  <si>
    <t>20220701开始免费，WZ6CT4F-E-01,WZ6CT4F-E-02,WZ6CT4F-E-03,WZ6CT4F-E-04</t>
  </si>
  <si>
    <t>L20221025038</t>
  </si>
  <si>
    <t>温州3移动</t>
  </si>
  <si>
    <t>20200601开始计费，使用288个，免费288个（183.249.8.0/24 183.249.5.224/27）</t>
  </si>
  <si>
    <t>20200601开始计费，WZ3CM6F-K-10</t>
  </si>
  <si>
    <t>20201217新迁移的机柜WZ3CM6F-J-05、WZ3CM6F-J-11、WZ3CM6F-J-12。最新20230207使用为WZCM3F-A-06
WZCM3F-A-07
WZCM3F-A-08
WZCM3F-A-09</t>
  </si>
  <si>
    <t>182115IDC00432</t>
  </si>
  <si>
    <t>天津3移动</t>
  </si>
  <si>
    <t>CACDNTJCM</t>
  </si>
  <si>
    <t>20200901开始计费，使用288个，免费288个，（111.31.3.0/24 111.31.2.224/27）</t>
  </si>
  <si>
    <t>20200901开始计费，TJ3CM2F203-Z-03、TJ3CM2F203-Z-02、TJ3CM2F203-Z-01、TJ3CM2F203-Z-05、TJ3CM2F203-Z-04</t>
  </si>
  <si>
    <t>20211231退租，TJ3CM2F203-Z-03,TJ3CM2F203-Z-02,TJ3CM2F203-Z-01,TJ3CM2F203-Z-05,TJ3CM2F203-Z-04</t>
  </si>
  <si>
    <t>182115IDC00431</t>
  </si>
  <si>
    <t>温州7电信</t>
  </si>
  <si>
    <t>CACDNWZCT2</t>
  </si>
  <si>
    <t>20220630退租，20220120转为边缘计算。20201128-20201202不计费，20201001开始计费，使用288个，赠送320个122.228.93.0/24 122.228.246.64/27</t>
  </si>
  <si>
    <t>20220120转为边缘计算。IPv6：提供/64个免费地址，超出部分单独计费。 240E:00F7:C000:0310::/64</t>
  </si>
  <si>
    <t>20220120转为边缘计算。20201128-20201202不计费，注意历史多计提的冲销，20201001开始计费，免费20个，使用6个，原WZCT1F-H-20、WZCT1F-H-21、WZCT1F-H-22、WZCT1F-H-23、WZCT1F-H-24、WZCT1F-H-25，20201202迁移为WZCT4F-E-10、WZCT4F-E-11、WZCT4F-E-12、WZCT4F-E-13、WZCT4F-E-14、WZCT4F-E-15</t>
  </si>
  <si>
    <t>WZCT4F-E-10,WZCT4F-E-11,WZCT4F-E-12,WZCT4F-E-13,WZCT4F-E-14,WZCT4F-E-15</t>
  </si>
  <si>
    <t>182115IDC00250</t>
  </si>
  <si>
    <t>CACDNSUZCM</t>
  </si>
  <si>
    <t>20211031退租，20210501开始计费，使用288个，免费320个（36.150.154.0/24 36.150.156.192/27）</t>
  </si>
  <si>
    <t>20210501开始计费，SUZCM2F201-A-03、SUZCM2F201-A-02、SUZCM2F201-A-05、SUZCM2F201-A-04</t>
  </si>
  <si>
    <t>20211031退租，SUZCM2F201-A-03、SUZCM2F201-A-02、SUZCM2F201-A-05、SUZCM2F201-A-04</t>
  </si>
  <si>
    <t>182115IDC00441</t>
  </si>
  <si>
    <t>淮南7移动</t>
  </si>
  <si>
    <t>CACDNHNCM2</t>
  </si>
  <si>
    <t>20210802开始计费，使用288个，免费160个，收费128个，112.29.219.0/24;112.29.224.0/27</t>
  </si>
  <si>
    <t>20220630退租，112.29.219.0/24 112.30.198.32/27</t>
  </si>
  <si>
    <t>IPv6：赠送/64个IPv6地址，超出部分单独计费。</t>
  </si>
  <si>
    <t>20210802开始计费，	HN7CM1F-IDC-1,HN7CM1F-IDC-2,HN7CM1F-IDC-3,HN7CM1F-IDC-4,HN7CM1F-IDC-5,HN7CM1F-IDC-6,HN7CM1F-IDC-7</t>
  </si>
  <si>
    <t>20220331退租，HN7CM1F-IDC-1,HN7CM1F-IDC-2,HN7CM1F-IDC-3,HN7CM1F-IDC-4,HN7CM1F-IDC-5,HN7CM1F-IDC-6,HN7CM1F-IDC-7</t>
  </si>
  <si>
    <t>淮南5移动挪给淮南7移动使用，HN5CM1F109-E-08,HN5CM1F109-E-09,HN5CM1F109-E-10</t>
  </si>
  <si>
    <t>20220630退租，HN5CM1F109-E-08,HN5CM1F109-E-09,HN5CM1F109-E-10</t>
  </si>
  <si>
    <t>L20220419002</t>
  </si>
  <si>
    <t>淮南5移动</t>
  </si>
  <si>
    <t>2022年4月1日开始免费160个；20200401开始计费，使用288个，免费544个，（112.30.197.0/24;112.30.198.0/27）</t>
  </si>
  <si>
    <t>20220630退租，112.30.197.0/24 112.30.198.0/27</t>
  </si>
  <si>
    <t>合同条款：赠送/64个IPv6地址，超出部分单独计费</t>
  </si>
  <si>
    <t>20200401开始计费，HN5CM1F109-C-8, HN5CM1F109-C-9, HN5CM1F109-C-10</t>
  </si>
  <si>
    <t>HN5CM1F109-C-8, HN5CM1F109-C-9, HN5CM1F109-C-10进行迁移至E排</t>
  </si>
  <si>
    <t>存量C排迁移至E排，HN5CM1F109-E-08、HN5CM1F109-E-09、HN5CM1F109-E-10</t>
  </si>
  <si>
    <t>20210201开始计费，HN5CM1F109-E-05、HN5CM1F109-E-06、HN5CM1F109-E-07</t>
  </si>
  <si>
    <t>淮南5移动退租，挪给淮南7移动使用，HN5CM1F109-E-08,HN5CM1F109-E-09,HN5CM1F109-E-10</t>
  </si>
  <si>
    <t>20220630退租，HN5CM1F109-E-05、HN5CM1F109-E-06、HN5CM1F109-E-07</t>
  </si>
  <si>
    <t>182315IDC00005</t>
  </si>
  <si>
    <t>苏州3移动</t>
  </si>
  <si>
    <t>CACDNSUZCM3</t>
  </si>
  <si>
    <t>20220120转为边缘计算。20220701转回CDN，20211102开始计费，免费320个，使用288个，223.111.228.0/24 223.111.211.128/27。2409:8C20:4A22:0200::/64</t>
  </si>
  <si>
    <t>免费32个，收费96个。边缘计算183.213.24.128/25</t>
  </si>
  <si>
    <t>退租128个，</t>
  </si>
  <si>
    <t>223.111.228.128/25</t>
  </si>
  <si>
    <t>20220120转为边缘计算。20220701转回CDN。20211102开始计费，SUZ3CM301-H-01
SUZ3CM301-H-02
SUZ3CM301-H-03
SUZ3CM301-H-04</t>
  </si>
  <si>
    <t>边缘计算，BECSUZ3CM-H-05
BECSUZ3CM-H-06
BECSUZ3CM-H-07</t>
  </si>
  <si>
    <t>182215IDC00207</t>
  </si>
  <si>
    <t>广州7移动</t>
  </si>
  <si>
    <t>CACDNGZCM4</t>
  </si>
  <si>
    <t>20230331退租。20220301开始计费，免费320个，使用256个，120.240.165.0/24。20220928搬迁后使用288个。183.236.22.0/24 120.234.167.32/27（替换元256个，120.240.165.0/24）</t>
  </si>
  <si>
    <t>20220301开始计费，GZ7CM5F502-K-09、GZ7CM5F502-K-10、GZ7CM5F502-K-11、GZ7CM5F502-K-12</t>
  </si>
  <si>
    <t>20220927搬迁机房，GZ7CM5F502-K-09、GZ7CM5F502-K-10、GZ7CM5F502-K-11、GZ7CM5F502-K-12</t>
  </si>
  <si>
    <t>GZ7CM4F-10-2
GZ7CM4F-10-3
GZ7CM4F-10-4
GZ7CM4F-10-5</t>
  </si>
  <si>
    <t>20230331退租。GZ7CM4F-10-2,GZ7CM4F-10-3,GZ7CM4F-10-4,GZ7CM4F-10-5</t>
  </si>
  <si>
    <t>广东华云世纪科技有限公司</t>
  </si>
  <si>
    <t>华云世纪</t>
  </si>
  <si>
    <t>182215IDC00631</t>
  </si>
  <si>
    <t>福州5移动</t>
  </si>
  <si>
    <t>CACDNFZCM2</t>
  </si>
  <si>
    <t>20210501开始计费，使用288个，免费640个（112.50.97.0/24 112.50.96.192/27。202301发现已替换成112.49.54.0/24,112.49.25.0/27）；（1）2022月1月1日-2022年1月29日，每个万兆端口赠送【16】个免费IP地址，乙方为甲方总计提供【320】个IP地址（其中在用【288】个），超出部分单独计费；（2）2022年1月30日开始，每个万兆端口赠送【16】个免费IP地址，乙方为甲方总计提供【480】个IP地址（其中在用【288】个），超出部分单独计费</t>
  </si>
  <si>
    <t>L20230324004</t>
  </si>
  <si>
    <t>边缘计算。112.48.229.0/24</t>
  </si>
  <si>
    <t>IPv6免费</t>
  </si>
  <si>
    <t>边缘计算。2409:8C34:D00:303::/64</t>
  </si>
  <si>
    <t>20210501开始计费，FZ5CMA14F-J-05、FZ5CMA14F-J-06、FZ5CMA14F-J-07、FZ5CMA14F-J-08</t>
  </si>
  <si>
    <t>20220130开始计费，FZ5CMA14F-F-02,FZ5CMA14F-F-03,FZ5CMA14F-F-05</t>
  </si>
  <si>
    <t>20220905开始计费。FZ5CMA14F-J-01,FZ5CMA14F-J-02</t>
  </si>
  <si>
    <t>4F404-K-BEC10
4F404-K-BEC11</t>
  </si>
  <si>
    <t>182215IDC00647</t>
  </si>
  <si>
    <t>南昌</t>
  </si>
  <si>
    <t>南昌6移动</t>
  </si>
  <si>
    <t>CACDNNCCM</t>
  </si>
  <si>
    <t>20211101开始计费使用288个，免费320个。120.206.186.0/24 120.206.176.128/27。20230321有120.206.186.128/25 转给BEC</t>
  </si>
  <si>
    <t>20230321有120.206.186.128/25 转给BEC</t>
  </si>
  <si>
    <t>120.206.186.128/25 转给BEC</t>
  </si>
  <si>
    <t>IPv6：随需免费提供</t>
  </si>
  <si>
    <t>边缘计算。2409:8C38:C50:609::/64</t>
  </si>
  <si>
    <t>20211101开始计费NC6CM4F-E-21、NC6CM4F-E-22、NC6CM4F-E-23</t>
  </si>
  <si>
    <t>4FN-E-BEC02
4FN-E-BEC03
4FN-E-BEC05</t>
  </si>
  <si>
    <t>182215IDC00632</t>
  </si>
  <si>
    <t>中山5移动</t>
  </si>
  <si>
    <t>CACDNZSCM5</t>
  </si>
  <si>
    <t>20220130开始计费，使用288个，免费640个，120.232.246.0/24 183.232.149.64/27</t>
  </si>
  <si>
    <t>20220629开始计费，边缘计算120.241.124.0/25</t>
  </si>
  <si>
    <t>20220701退租，边缘计算120.241.124.0/25</t>
  </si>
  <si>
    <t>2022年10月1日后，赠送800个免费IP地址，其中使用416个，超出部分单独计费。；20220701开始计费，边缘计算120.241.124.128/25</t>
  </si>
  <si>
    <t>182315IDC00067</t>
  </si>
  <si>
    <t>边缘计算，120.232.42.128/25，</t>
  </si>
  <si>
    <t>IPv6：随需免费提供.20220701边缘计算2409:8C54:4010:0026::/64</t>
  </si>
  <si>
    <t>边缘计算，2409:8C54:4010:0032::/64</t>
  </si>
  <si>
    <t>20220130开始计费，ZS5CM2F02-AD-13,ZS5CM2F02-AD-12,ZS5CM2F02-AD-11,ZS5CM2F02-AD-10,ZS5CM2F02-AD-09,ZS5CM2F02-AC-13</t>
  </si>
  <si>
    <t>边缘计算，20220629开始计费，BECZS5CM2F02-201-AC-02
BECZS5CM2F02-201-AC-04</t>
  </si>
  <si>
    <t>边缘计算，20220701退租，BECZS5CM2F02-201-AC-02
BECZS5CM2F02-201-AC-04</t>
  </si>
  <si>
    <t>边缘计算，20220701开始计费，BECZS5CM2F-201-AC09
BECZS5CM2F-201-AC11
BECZS5CM2F-201-AC12</t>
  </si>
  <si>
    <t>边缘计算，20220705开始计费，BECZS5CM2F-201-AC08</t>
  </si>
  <si>
    <t>边缘计算，20220712退租，BECZS5CM2F-201-AC08</t>
  </si>
  <si>
    <t>边缘计算，BECZS5CM-AA-08
BECZS5CM-AA-14
BECZS5CM-AC-14
BECZS5CM-AA-02</t>
  </si>
  <si>
    <t>BECZS5CM2F-201-AC09
BECZS5CM2F-201-AC11
BECZS5CM2F-201-AC12</t>
  </si>
  <si>
    <t>182315IDC00066</t>
  </si>
  <si>
    <t>天津5移动</t>
  </si>
  <si>
    <t>CACDNTJCM4</t>
  </si>
  <si>
    <t>20221229开始计费。免费320个，使用288个，111.31.236.0/24 111.33.67.0/27</t>
  </si>
  <si>
    <t>IPV6按需赠送</t>
  </si>
  <si>
    <t>20221229开始计费。TJ5CM501-J-06,TJ5CM501-J-07,TJ5CM501-J-08,TJ5CM501-K-01</t>
  </si>
  <si>
    <t>182315IDC00050</t>
  </si>
  <si>
    <t>20230101开始计费。免费160个，收费128个。使用288个，36.136.112.0/25 36.136.94.128/25 36.136.112.160/27</t>
  </si>
  <si>
    <t>退租128个，36.136.94.128/25。由于替换IP退租后剩余36.136.112.0/25
36.136.92.128/27</t>
  </si>
  <si>
    <t>20230101开始计费。BHCM2F-L-07 BHCM2F-L-08</t>
  </si>
  <si>
    <t>南昌首页科技股份有限公司</t>
  </si>
  <si>
    <t>南昌首页</t>
  </si>
  <si>
    <t>182215IDC00650</t>
  </si>
  <si>
    <t>襄樊</t>
  </si>
  <si>
    <t>襄樊电信</t>
  </si>
  <si>
    <t>CACDNXIANGFCT</t>
  </si>
  <si>
    <t>IPV4:每个万兆端口赠送【18】个免费IP地址，乙方为甲方总计提供【648】个IP地址（其中在用【288】个），超出部分单独计费。（111.170.26.0/24 111.170.27.0/27）</t>
  </si>
  <si>
    <t>20210501开始计费，XIANGFCT2F-A07-1、XIANGFCT2F-A07-2、XIANGFCT2F-A07-3，SYS更新机柜编码为XIANGFCT2F-A08-7、XIANGFCT2F-A08-6、XIANGFCT2F-A08-5</t>
  </si>
  <si>
    <t>20210901开始计费，XIANGFCT2F-A08-9、XIANGFCT2F-A08-8</t>
  </si>
  <si>
    <t>20211101开始计费，XIANGFCT2F-A09-1、XIANGFCT2F-A09-2、XIANGFCT2F-A09-3</t>
  </si>
  <si>
    <t>L20230223028</t>
  </si>
  <si>
    <t>上饶</t>
  </si>
  <si>
    <t>上饶电信</t>
  </si>
  <si>
    <t>CACDNSRCT</t>
  </si>
  <si>
    <t>20220401开始计费，免费120个，使用256个，182.84.110.0/24</t>
  </si>
  <si>
    <t>20221101开始剩余IP对方给予全部免费.20220401开始计费，免费120个，使用256个，182.84.110.0/24</t>
  </si>
  <si>
    <t xml:space="preserve">退租128个，182.84.110.128/25 </t>
  </si>
  <si>
    <t>免费提供1个/64个IPV6地址，超出部分单独计费。</t>
  </si>
  <si>
    <t>20220401开始计费，SRCT4F-L-01,SRCT4F-L-02</t>
  </si>
  <si>
    <t>深圳市新国都万联科技通信有限公司</t>
  </si>
  <si>
    <t>新国都</t>
  </si>
  <si>
    <t>182315IDC00123</t>
  </si>
  <si>
    <t>乌鲁木齐3电信</t>
  </si>
  <si>
    <t>CACDNWLMQCT</t>
  </si>
  <si>
    <t>（1）20220701带宽退租后IP免费192个，收费96个。（2）20210601开始计费，使用288个，免费160个，收费128个，（49.119.124.0/24 49.119.125.224/27）；（3）20220201开始收费32个，免费256个</t>
  </si>
  <si>
    <t>20211221开始计费，边缘计算，49.119.118.128/25</t>
  </si>
  <si>
    <t>退租128个，49.119.124.128/25</t>
  </si>
  <si>
    <t>2022年12月退租后。CDN剩余免费额度转bec使用。</t>
  </si>
  <si>
    <t>需要注意20230101开始价格变动。20210601开始计费，WLMQ3CT-01-10、WLMQ3CT-01-11、WLMQ3CT-01-12</t>
  </si>
  <si>
    <t>边缘计算，20211221开始计费，BECWLMQ3CT-E-09</t>
  </si>
  <si>
    <t>20220201开始计费，WLMQ3CT-B-08,WLMQ3CT-B-09</t>
  </si>
  <si>
    <t>20220630退租，WLMQ3CT-B-09</t>
  </si>
  <si>
    <t>182115IDC00444</t>
  </si>
  <si>
    <t>温州9电信</t>
  </si>
  <si>
    <t>CACDNWZCT3</t>
  </si>
  <si>
    <t>20210701开始计费，使用288个，免费128个，收费160个，122.228.102.0/24 122.228.100.0/27</t>
  </si>
  <si>
    <t>20211231退租122.228.102.0/24 122.228.100.0/27</t>
  </si>
  <si>
    <t>20210701开始计费，WZ9CT3F-K-03、WZ9CT3F-K-02、WZ9CT3F-K-07、WZ9CT3F-K-04</t>
  </si>
  <si>
    <t>20210717开始计费，WZ9CT3F01-K-08</t>
  </si>
  <si>
    <t>20211231退租,WZ9CT3F01-K-02,WZ9CT3F01-K-07,WZ9CT3F01-K-04,WZ9CT3F01-K-03,WZ9CT3F01-K-08</t>
  </si>
  <si>
    <t>南昌市恒州科技有限公司</t>
  </si>
  <si>
    <t>南昌恒州</t>
  </si>
  <si>
    <t>182215IDC00550</t>
  </si>
  <si>
    <t>萍乡</t>
  </si>
  <si>
    <t>萍乡电信</t>
  </si>
  <si>
    <t>CACDNPXCT</t>
  </si>
  <si>
    <t>20210803开始计费，使用288个，免费288个，182.84.120.0/24 218.87.122.0/27</t>
  </si>
  <si>
    <t>提供【 /64】个免费IPv6地址，超出部分单独计费。</t>
  </si>
  <si>
    <t>20210803开始计费，免费4个，使用3个PXCT2F02-4-02,PXCT2F02-4-03,PXCT2F02-4-04</t>
  </si>
  <si>
    <t>20220930退租。PXCT2F02-4-02,PXCT2F02-4-03,PXCT2F02-4-04</t>
  </si>
  <si>
    <t>182115IDC00587</t>
  </si>
  <si>
    <t>九江2电信</t>
  </si>
  <si>
    <t>CACDNJJCT2</t>
  </si>
  <si>
    <t>20211001开始计费，免费288个，使用288个，182.106.137.0/24 182.106.150.224/27</t>
  </si>
  <si>
    <t>提供【 /64】个免费IPv6地址</t>
  </si>
  <si>
    <t>20211001开始计费，赠送4个，JJ2CT2F-J-01、JJ2CT2F-J-02、JJ2CT2F-J-03、JJ2CT2F-J-05</t>
  </si>
  <si>
    <t>20220930退租。JJ2CT2F-J-01,JJ2CT2F-J-02,JJ2CT2F-J-03,JJ2CT2F-J-05</t>
  </si>
  <si>
    <t>广东玖云网络科技有限公司</t>
  </si>
  <si>
    <t>广东玖云</t>
  </si>
  <si>
    <t>182115IDC00399</t>
  </si>
  <si>
    <t>中山2移动</t>
  </si>
  <si>
    <t>CACDNZSCM2</t>
  </si>
  <si>
    <t>20210801开始计费，使用288个，收费160个，免费128个，183.237.147.0/24 183.237.146.128/27</t>
  </si>
  <si>
    <t xml:space="preserve">	
ipv6赠送/64个。</t>
  </si>
  <si>
    <t>20210801开始计费，ZS2CM2F2C-04-04、ZS2CM2F2C-04-01、ZS2CM2F2C-04-03、ZS2CM2F2C-04-02</t>
  </si>
  <si>
    <t>20211231退租，ZS2CM2F2C-04-04,ZS2CM2F2C-04-01,ZS2CM2F2C-04-03,ZS2CM2F2C-04-02</t>
  </si>
  <si>
    <t>深圳网腾云计算科技有限公司</t>
  </si>
  <si>
    <t>深圳网腾</t>
  </si>
  <si>
    <t>182115IDC00497</t>
  </si>
  <si>
    <t>成都8移动</t>
  </si>
  <si>
    <t>20210801开始计费，20220531退租，使用544个，免费1000个，117.177.64.0/24 117.177.68.0/24 223.85.104.32/27</t>
  </si>
  <si>
    <t>提供【::/64】个免费IPv6地址，超出部分单独计费。</t>
  </si>
  <si>
    <t>20210801开始计费，CD8CM1F103-F-01、CD8CM1F103-F-02、CD8CM1F103-F-03、CD8CM1F103-F-04、CD8CM1F103-F-05、CD8CM1F103-F-06、CD8CM1F103-F-07、CD8CM1F103-F-08、CD8CM1F103-F-09、CD8CM1F103-F-10</t>
  </si>
  <si>
    <t>20220531退租，CD8CM1F103-F-01、CD8CM1F103-F-02、CD8CM1F103-F-03、CD8CM1F103-F-04、CD8CM1F103-F-05、CD8CM1F103-F-06、CD8CM1F103-F-07、CD8CM1F103-F-08、CD8CM1F103-F-09、CD8CM1F103-F-10</t>
  </si>
  <si>
    <t>成都9移动</t>
  </si>
  <si>
    <t>CACDNCDCM3</t>
  </si>
  <si>
    <t>20210901开始计费，20220531退租，免费1000个，使用288个，117.177.65.0/24 223.85.104.64/27</t>
  </si>
  <si>
    <t>20210901开始计费，CD7CM2F201-D-5、CD7CM2F201-D-4、CD7CM2F201-D-6、CD7CM2F201-D-1、CD7CM2F201-D-3、CD7CM2F201-D-2</t>
  </si>
  <si>
    <t>SYS交付邮件的机柜数据错误，关闭CD7CM2F201-D-5、CD7CM2F201-D-4、CD7CM2F201-D-6、CD7CM2F201-D-1、CD7CM2F201-D-3、CD7CM2F201-D-2</t>
  </si>
  <si>
    <t>20210901开始计费，CD9CM103-F-11、CD9CM103-F-12、CD9CM103-F-13、CD9CM103-F-14、CD9CM103-E-15</t>
  </si>
  <si>
    <t>20220531退租，CD9CM103-F-11、CD9CM103-F-12、CD9CM103-F-13、CD9CM103-F-14、CD9CM103-E-15</t>
  </si>
  <si>
    <t>四川云互未来科技有限公司</t>
  </si>
  <si>
    <t>云互未来</t>
  </si>
  <si>
    <t>182115IDC00494</t>
  </si>
  <si>
    <t>眉山</t>
  </si>
  <si>
    <t>眉山联通</t>
  </si>
  <si>
    <t>CACDNMSUN</t>
  </si>
  <si>
    <t>20210901开始计费，使用128个，免费128个，101.206.109.0/25</t>
  </si>
  <si>
    <t>20220331退租</t>
  </si>
  <si>
    <t>20210901开始计费，MSUN101-A-01、MSUN101-A-02</t>
  </si>
  <si>
    <t>北京天云联动科技有限公司</t>
  </si>
  <si>
    <t>天云联动</t>
  </si>
  <si>
    <t>182215IDC00200</t>
  </si>
  <si>
    <t>西安3联通</t>
  </si>
  <si>
    <t>CACDNXAUN</t>
  </si>
  <si>
    <t>（1）20211001开始计费，免费160个，收费128个。使用288个，113.200.59.0/24 124.89.31.64/27；（2）20220201开始，免费224个，收费64个</t>
  </si>
  <si>
    <t>20220531退租113.200.59.0/24 124.89.31.64/27</t>
  </si>
  <si>
    <t>赠送:1个 /64 IPV6。</t>
  </si>
  <si>
    <t>20211001开始计费，XA3UN1FD02-A-11、XA3UN1FD02-A-13、XA3UN1FD02-A-12</t>
  </si>
  <si>
    <t>20220531退租，XA3UN1FD02-A-11,XA3UN1FD02-A-13,XA3UN1FD02-A-12</t>
  </si>
  <si>
    <t>北京庭宇科技有限公司</t>
  </si>
  <si>
    <t>庭宇科技</t>
  </si>
  <si>
    <t>182315IDC00009</t>
  </si>
  <si>
    <t>CACDNSQCM</t>
  </si>
  <si>
    <t>20211001开始计费，免费288个，使用288个，112.3.25.0/24 36.156.184.160/27</t>
  </si>
  <si>
    <t>宿迁4移动</t>
  </si>
  <si>
    <t>20220901开始计费，免费160个，使用160个。36.156.187.0/25 223.68.10.224/27</t>
  </si>
  <si>
    <t>宿迁移动&amp;宿迁4移动</t>
  </si>
  <si>
    <t>20211001开始计费，SQCMT4-L1-075，SQCMT4-L1-076，SQCMT4-L1-077，SQCMT4-L1-078（SQ4CM）</t>
  </si>
  <si>
    <t>20211101开始计费，SQCMT4-L1-079、SQCMT4-L1-080（SQ4CM）</t>
  </si>
  <si>
    <t>182215IDC00366</t>
  </si>
  <si>
    <t>宿迁2移动</t>
  </si>
  <si>
    <t>20220501开始计费，使用288个，36.156.185.0/24 223.68.10.192/27</t>
  </si>
  <si>
    <t>IPV6：/64免费</t>
  </si>
  <si>
    <t>20220501开始计费，SQ2CM-L6-97、SQ2CM-L6-98、SQ2CM-L6-99、SQ2CM-L6-100</t>
  </si>
  <si>
    <t>霍尔果斯云网联商科技有限公司</t>
  </si>
  <si>
    <t>云网联商</t>
  </si>
  <si>
    <t>182115IDC00652</t>
  </si>
  <si>
    <t>通化</t>
  </si>
  <si>
    <t>通化联通</t>
  </si>
  <si>
    <t>CACDNTHUN</t>
  </si>
  <si>
    <t>20211001开始计费，免费320个，使用288个，175.21.250.0/24 175.21.251.0/27</t>
  </si>
  <si>
    <t xml:space="preserve">	
每10个万兆赠送 1个ipv6:/64 地址。</t>
  </si>
  <si>
    <t>20211001开始计费，赠送5个，使用3个THUN4F-C-11、THUN4F-C-12、THUN4F-C-13</t>
  </si>
  <si>
    <t>上海竞信网络科技有限公司</t>
  </si>
  <si>
    <t>上海竞信</t>
  </si>
  <si>
    <t>182215IDC00019</t>
  </si>
  <si>
    <t>保定3移动</t>
  </si>
  <si>
    <t>CACDNBDCM</t>
  </si>
  <si>
    <t>20211001开始计费，免费288个，使用288个，111.63.105.0/24 111.63.106.0/27</t>
  </si>
  <si>
    <t>20211126退租，111.63.105.0/24 111.63.106.0/27</t>
  </si>
  <si>
    <t>20211021开始停止计费，20211001开始计费，BD3CM2F-F-16、BD3CM2F-F-17、BD3CM2F-F-18</t>
  </si>
  <si>
    <t>20211126退租，BD3CM2F-F-16,BD3CM2F-F-17,BD3CM2F-F-18</t>
  </si>
  <si>
    <t>182215IDC00411</t>
  </si>
  <si>
    <t>保定4移动</t>
  </si>
  <si>
    <t>20220601开始计费，使用288个，免费288个，111.63.105.0/24 111.63.106.0/27</t>
  </si>
  <si>
    <t xml:space="preserve">20220803退租，111.63.105.128/25 </t>
  </si>
  <si>
    <t>乙方为甲方提供免费IP地址2409:8C04:1001:0017:0000:: /67，超出部分单独计费。</t>
  </si>
  <si>
    <t>20220601开始计费，BD3CM2F-F-16,BD3CM2F-F-17,BD3CM2F-F-18</t>
  </si>
  <si>
    <t>北京创世云科技股份有限公司</t>
  </si>
  <si>
    <t>创世云</t>
  </si>
  <si>
    <t>L20230223021</t>
  </si>
  <si>
    <t>大连2联通</t>
  </si>
  <si>
    <t>CACDNDLUN</t>
  </si>
  <si>
    <t>20211101开始计费，免费288个，使用288个，42.7.42.0/24 42.7.43.224/27</t>
  </si>
  <si>
    <t>20230111搬迁完成。IP地址由原来42.7.42.0/24,218.60.103.128/27更换为42.59.17.0/25,42.59.17.128/27</t>
  </si>
  <si>
    <t>20230401开始价格变动。20211101开始计费，DL2UND3A-P-06、DL2UND3A-P-04、DL2UND3A-P-05、DL2UND3A-P-03</t>
  </si>
  <si>
    <t>20230111搬迁完成。DL2UND3A-P-03, DL2UND3A-P-04, DL2UND3A-P-05, DL2UND3A-P-06更换为DL2UND2A-J-01,DL2UND2A-J-02,DL2UND2A-J-03,DL2UND2A-J-04</t>
  </si>
  <si>
    <t>大连3联通</t>
  </si>
  <si>
    <t>20220201开始计费，使用288个，免费288个，218.60.108.0/24 218.60.103.224/27</t>
  </si>
  <si>
    <t>退租128个，42.7.43.128/25。退租后整体看IP</t>
  </si>
  <si>
    <t>182215IDC00551</t>
  </si>
  <si>
    <t>20220621开始计费，边缘计算218.60.103.0/25</t>
  </si>
  <si>
    <t>20230112搬迁完成，IP 由原来42.7.43.0/25,,218.60.103.0/25变更为42.59.18.0/25,42.59.17.160/27</t>
  </si>
  <si>
    <t>退租。边缘计算218.60.103.0/25</t>
  </si>
  <si>
    <t>IPv6：赠送/64段IPV6（20220131退租边缘计算Ipv6:2408:8730:0600:0010::/64 ）</t>
  </si>
  <si>
    <t>20230401开始价格变动。20220201开始计费，DL3UND3A-P-13,DL3UND3A-P-14,DL3UND3A-P-02,DL3UND3A-P-01</t>
  </si>
  <si>
    <t>边缘计算，20220621开始计费，BECDL3UN-P-07
BECDL3UN-P-08</t>
  </si>
  <si>
    <t>20230112搬迁完成，机柜由原来4个DL3UND3A-P-01,DL3UND3A-P-02,DL3UND3A-P-13,DL3UND3A-P-14 变更为DL3UND2A-J-05,DL3UND2A-J-06,DL3UND2A-J-07,DL32UND2A-J-08</t>
  </si>
  <si>
    <t>BECDL3UN-P-07
BECDL3UN-P-08</t>
  </si>
  <si>
    <t>182215IDC00367</t>
  </si>
  <si>
    <t>鞍山2联通</t>
  </si>
  <si>
    <t>20220715退租。20220403开始计费，免费288个，使用256个，42.180.124.0/24</t>
  </si>
  <si>
    <t xml:space="preserve">	
免费/64</t>
  </si>
  <si>
    <t>20220403开始计费，ANSHAN2UN2F-2D-03,ANSHAN2UN2F-2D-04,ANSHAN2UN2F-2D-05</t>
  </si>
  <si>
    <t>20220715退租ANSHAN2UN2F-2D-03,ANSHAN2UN2F-2D-04,ANSHAN2UN2F-2D-05</t>
  </si>
  <si>
    <t>182215IDC00559</t>
  </si>
  <si>
    <t>锦州</t>
  </si>
  <si>
    <t>锦州3电信</t>
  </si>
  <si>
    <t>CACDNJZCT</t>
  </si>
  <si>
    <t>20230228退租。20220702开始计费，免费288个，使用256个，42.248.149.0/25 42.248.194.128/25</t>
  </si>
  <si>
    <t>IPV6：赠送一段/64 IPv6</t>
  </si>
  <si>
    <t>20220702开始计费，JZ3CT5F-B11-09,JZ3CT5F-B11-10,JZ3CT5F-B11-11,JZ3CT5F-B11-12,JZ3CT5F-B11-13</t>
  </si>
  <si>
    <t>JZ3CT5F-B11-9</t>
  </si>
  <si>
    <t>20230228退租。JZ3CT5F-B11-10,JZ3CT5F-B11-11,JZ3CT5F-B11-12,JZ3CT5F-B11-13</t>
  </si>
  <si>
    <t>L20230223010</t>
  </si>
  <si>
    <t>辽阳</t>
  </si>
  <si>
    <t>辽阳联通</t>
  </si>
  <si>
    <t>CACDNLIAOYUN</t>
  </si>
  <si>
    <t>20220902开始计费，免费288，使用288个，42.87.69.0/24 42.180.255.0/27；20221129开始已替换成42.180.248.0/24,60.18.196.32/27</t>
  </si>
  <si>
    <t>IPV6：赠送 /64段 IPv6</t>
  </si>
  <si>
    <t>20230401开始价格变动。20220902开始计费，LIAOYUN3F-02-08,LIAOYUN3F-02-09,LIAOYUN3F-02-10</t>
  </si>
  <si>
    <t>182215IDC00561</t>
  </si>
  <si>
    <t>辽阳2电信</t>
  </si>
  <si>
    <t>CACDNLIAOYCT</t>
  </si>
  <si>
    <t>20230331退租。20220901开始计费，免费288个，使用160个，182.207.101.0/25 182.207.101.128/27</t>
  </si>
  <si>
    <t>IPV6：赠送1段/64 IPv6</t>
  </si>
  <si>
    <t>20220901开始计费，LIAOYCT2F-11L-10,LIAOYCT2F-11L-11,LIAOYCT2F-11L-13</t>
  </si>
  <si>
    <t>20230331退租</t>
  </si>
  <si>
    <t>广州贝云信息科技有限公司</t>
  </si>
  <si>
    <t>广州贝云</t>
  </si>
  <si>
    <t>182115IDC00650</t>
  </si>
  <si>
    <t>使用288个，免费288个（113.113.100.128/27;113.113.67.0/24）</t>
  </si>
  <si>
    <t>20220531退租，113.113.100.128/27;113.113.67.0/24</t>
  </si>
  <si>
    <t>使用288个，免费288个，121.12.53.0/24、113.113.100.192/27</t>
  </si>
  <si>
    <t>20220531退租，121.12.53.0/24、113.113.100.192/27</t>
  </si>
  <si>
    <t>中山电信+中山2电信</t>
  </si>
  <si>
    <t>IPv6：赠送/56*3段的IPV6</t>
  </si>
  <si>
    <t>ZSCT5FB-02-08
ZSCT5FB-02-09
ZSCT5FB-02-10
ZSCT5FB-02-06
ZSCT5FB-02-07
ZSCT5FB-02-04
ZSCT5FB-02-03</t>
  </si>
  <si>
    <t>20220531退租，ZSCT5FB-02-08
ZSCT5FB-02-09
ZSCT5FB-02-10
ZSCT5FB-02-06
ZSCT5FB-02-07
ZSCT5FB-02-04
ZSCT5FB-02-03</t>
  </si>
  <si>
    <t>ZSCT4F08-14-10、ZSCT4F08-14-11、ZSCT4F08-14-8、ZSCT4F08-14-9</t>
  </si>
  <si>
    <t>20220531退租，ZSCT4F08-14-10、ZSCT4F08-14-11、ZSCT4F08-14-8、ZSCT4F08-14-9</t>
  </si>
  <si>
    <t>L20220603004</t>
  </si>
  <si>
    <t>（1）原使用带宽200G，每个万兆端口赠送【14.4】个免费IP地址；使用288个(59.36.203.0/24 59.36.228.0/27)，免费288个；（2）2022年5月30日退租100G后，免费144个，收费144个</t>
  </si>
  <si>
    <t>20220630退租59.36.203.0/24 59.36.228.0/27</t>
  </si>
  <si>
    <t>182215IDC00153</t>
  </si>
  <si>
    <t>IPv6：赠送/56</t>
  </si>
  <si>
    <t>FSCT3F304-HH14-05、FSCT3F304-HH14-06、FSCT3F304-HH14-07</t>
  </si>
  <si>
    <t>20220630退租，FSCT3F304-HH14-05,FSCT3F304-HH14-06,FSCT3F304-HH14-07</t>
  </si>
  <si>
    <t>182315IDC00125</t>
  </si>
  <si>
    <t>IPV6：赠送/56个IPV6地址</t>
  </si>
  <si>
    <t>182315IDC00108</t>
  </si>
  <si>
    <t>182315IDC00127</t>
  </si>
  <si>
    <t>赠送/56个IPV6地址</t>
  </si>
  <si>
    <t>河北燕云数据有限公司</t>
  </si>
  <si>
    <t>河北燕云</t>
  </si>
  <si>
    <t>182215IDC00002</t>
  </si>
  <si>
    <t>秦皇岛</t>
  </si>
  <si>
    <t>秦皇岛电信</t>
  </si>
  <si>
    <t>CACDNQHDCT</t>
  </si>
  <si>
    <t>20220120转为边缘计算。20220701转回CDN。20211201开始计费，使用288个，免费160个106.8.47.0/24 106.8.46.192/27</t>
  </si>
  <si>
    <t>退租128个，106.8.47.128/25</t>
  </si>
  <si>
    <t>20220120转为边缘计算。20220701转回CDN。IPv6：随需赠送/64的 IPV6。240E:0940:0706:0001::/64</t>
  </si>
  <si>
    <t>20220120转为边缘计算。20220701转回CDN。20211201开始计费，QHDCT7F-B1-16,QHDCT7F-B1-17,QHDCT7F-B1-18</t>
  </si>
  <si>
    <t>银联商务股份有限公司湖北分公司</t>
  </si>
  <si>
    <t>银联商务</t>
  </si>
  <si>
    <t>L20220924003</t>
  </si>
  <si>
    <t>WHGG-电信</t>
  </si>
  <si>
    <t>20211215开始计费，111.172.225.0/24
111.172.237.0/24</t>
  </si>
  <si>
    <t>111.172.237.0/24从IDC挪给CDN</t>
  </si>
  <si>
    <t>CACDNWHGG</t>
  </si>
  <si>
    <t>20220301转CDN使用111.172.237.0/24</t>
  </si>
  <si>
    <t>20220720CDN退128个给IDC,111.172.237.128/25</t>
  </si>
  <si>
    <t>20220721转IDC使用，111.172.237.128/25</t>
  </si>
  <si>
    <t>20230331CDN退128个给IDC,111.172.237.128/25</t>
  </si>
  <si>
    <t>20230401转IDC使用，111.172.237.0/25</t>
  </si>
  <si>
    <t>20211215开始计费，240E:95C:5008:100::/56</t>
  </si>
  <si>
    <t>WHGG-联通</t>
  </si>
  <si>
    <t>20211215开始计费，220.202.52.0/24
220.202.53.0/24</t>
  </si>
  <si>
    <t>220.202.53.0/24从IDC挪给CDN</t>
  </si>
  <si>
    <t>220.202.53.0/24</t>
  </si>
  <si>
    <t>20230331CDN退128个给IDC,220.202.53.0/25</t>
  </si>
  <si>
    <t>20230401转IDC使用，220.202.53.0/25</t>
  </si>
  <si>
    <t>20220720CDN退128个给IDC,220.202.53.128/25</t>
  </si>
  <si>
    <t>20220721转IDC使用，220.202.53.128/25</t>
  </si>
  <si>
    <t xml:space="preserve">20230420开始计费。58.19.14.0/24 
58.19.15.0/24 </t>
  </si>
  <si>
    <t>20211215开始计费，2409:8C4C:C00:500::/56</t>
  </si>
  <si>
    <t>WHGG-移动</t>
  </si>
  <si>
    <t>20211215开始计费，223.76.161.0/24
223.76.162.0/24</t>
  </si>
  <si>
    <t>223.76.162.0/24从IDC挪给CDN</t>
  </si>
  <si>
    <t>20220301转CDN使用，223.76.162.0/24</t>
  </si>
  <si>
    <t>20220720CDN退128个给IDC,223.76.162.128/25</t>
  </si>
  <si>
    <t>20220721转IDC使用，223.76.162.128/25</t>
  </si>
  <si>
    <t>20230331CDN退128个给IDC,223.76.162.0/25</t>
  </si>
  <si>
    <t>20230401转IDC使用，223.76.162.0/25</t>
  </si>
  <si>
    <t>20211215开始计费，2408:874E:5001:0000::/56</t>
  </si>
  <si>
    <t>L20220924006</t>
  </si>
  <si>
    <t>WHGG-电信/WHGG-移动</t>
  </si>
  <si>
    <t>20220301开始计费，CDNWHGG4A-18-16
CDNWHGG4A-18-15
CDNWHGG4A-18-13
CDNWHGG4A-18-14</t>
  </si>
  <si>
    <t>182215IDC00364</t>
  </si>
  <si>
    <t>济南7联通</t>
  </si>
  <si>
    <t>CACDNJNUN</t>
  </si>
  <si>
    <t>20220101开始计费，20220418退租，免费320个，使用288个，61.156.44.0/24 61.133.124.128/27</t>
  </si>
  <si>
    <t>IPv6：/64</t>
  </si>
  <si>
    <t>20220101开始计费，JN7UN5F-1-01,JN7UN5F-1-02,JN7UN5F-1-03</t>
  </si>
  <si>
    <t>20220418退租，JN7UN5F-1-01,JN7UN5F-1-02,JN7UN5F-1-03</t>
  </si>
  <si>
    <t>甘肃柏隆电子商务科技有限责任公司</t>
  </si>
  <si>
    <t>甘肃柏隆</t>
  </si>
  <si>
    <t>182215IDC00062</t>
  </si>
  <si>
    <t>兰州4移动</t>
  </si>
  <si>
    <t>CACDNLZCM</t>
  </si>
  <si>
    <t>20220101开始计费，使用288个，免费288个，117.157.253.0/24
117.157.226.0/27</t>
  </si>
  <si>
    <t>2409:8C74:F100:1414::/64</t>
  </si>
  <si>
    <t>边缘计算，20220101开始计费，BECLZ4CM3F301-A10-1，BECLZ4CM3F301-A10-2，BECLZ4CM3F301-A10-3</t>
  </si>
  <si>
    <t>深圳腾华数据中心科技有限公司</t>
  </si>
  <si>
    <t>深圳腾华</t>
  </si>
  <si>
    <t>182215IDC00176</t>
  </si>
  <si>
    <t>广州4电信</t>
  </si>
  <si>
    <t>CACDNGZCT</t>
  </si>
  <si>
    <t>20220731退租。20220201开始计费，使用288个，免费512个，183.56.138.0/24 183.56.141.0/27</t>
  </si>
  <si>
    <t>IPv6：20个万兆口总共赠送一段/64位</t>
  </si>
  <si>
    <t>20220201开始计费，GZ4CT4F401-5-11,GZ4CT4F401-5-12,GZ4CT4F401-5-13,GZ4CT4F401-5-14</t>
  </si>
  <si>
    <t>20220731退租，GZ4CT4F401-5-11,GZ4CT4F401-5-12,GZ4CT4F401-5-13,GZ4CT4F401-5-14</t>
  </si>
  <si>
    <t>广西阳晨伟业科技有限公司</t>
  </si>
  <si>
    <t>广西阳晨</t>
  </si>
  <si>
    <t>182315IDC00060</t>
  </si>
  <si>
    <t>南宁6移动</t>
  </si>
  <si>
    <t>CACDNNNCM2</t>
  </si>
  <si>
    <t>20220201开始计费，使用128个，免费128个，36.136.53.0/25</t>
  </si>
  <si>
    <t>IPv6：免费赠送一段前缀/64</t>
  </si>
  <si>
    <t>20220201开始计费，NN6CM5F5C-A-01,NN6CM5F5C-A-02</t>
  </si>
  <si>
    <t>上海恩晴信息技术有限公司</t>
  </si>
  <si>
    <t>上海恩晴</t>
  </si>
  <si>
    <t>182315IDC00095</t>
  </si>
  <si>
    <t>上海2联通</t>
  </si>
  <si>
    <t>CACDNSHUN</t>
  </si>
  <si>
    <t>20220201开始计费，使用288个，免费256个，收费32个，211.95.34.0/24 43.250.147.32/27</t>
  </si>
  <si>
    <t>20221124退租128个，211.95.34.128/25</t>
  </si>
  <si>
    <t>IPv6：赠送/64个IPV6</t>
  </si>
  <si>
    <t>20220201开始计费，SH2UN2F202-I-19,SH2UN2F202-I-18更新为SH2UN2F202-I-16 SH2UN2F202-I-17</t>
  </si>
  <si>
    <t>北京和顺泰科技有限公司</t>
  </si>
  <si>
    <t>和顺泰</t>
  </si>
  <si>
    <t>182315IDC00136</t>
  </si>
  <si>
    <t>武汉4电信</t>
  </si>
  <si>
    <t>CACDNWHCT3</t>
  </si>
  <si>
    <t>20220401开始计费，免费288个，使用288个，119.96.52.0/24 119.96.55.0/27</t>
  </si>
  <si>
    <t>免费/64</t>
  </si>
  <si>
    <t>20220401开始计费，WH4CT3F301-C-5,WH4CT3F301-C-6,WH4CT3F301-C-7,WH4CT3F301-C-8</t>
  </si>
  <si>
    <t>182315IDC00015</t>
  </si>
  <si>
    <t>天津5电信</t>
  </si>
  <si>
    <t>CACDNTJCT</t>
  </si>
  <si>
    <t>免费288个，使用288个，42.81.98.0/24 42.81.10.64/27</t>
  </si>
  <si>
    <t>IPV6：免费/64</t>
  </si>
  <si>
    <t>TJ5CT2F-E-08,TJ5CT2F-E-09,TJ5CT2F-E-10</t>
  </si>
  <si>
    <t>杭州盈为网络科技有限公司</t>
  </si>
  <si>
    <t>杭州盈为</t>
  </si>
  <si>
    <t>182215IDC00405</t>
  </si>
  <si>
    <t>榆林</t>
  </si>
  <si>
    <t>榆林联通</t>
  </si>
  <si>
    <t>CACDNYLUN</t>
  </si>
  <si>
    <t>20220602开始计费，使用160个，免费160个；113.201.153.0/25 113.201.153.128/27</t>
  </si>
  <si>
    <t>赠送 /64，超出部分单独计费。</t>
  </si>
  <si>
    <t>20220602开始计费，YLUN401-O-16,YLUN401-O-17</t>
  </si>
  <si>
    <t>成都震汉科技有限公司</t>
  </si>
  <si>
    <t>成都震汉</t>
  </si>
  <si>
    <t>182215IDC00413</t>
  </si>
  <si>
    <t>成都10移动</t>
  </si>
  <si>
    <t>CACDNCDCM4</t>
  </si>
  <si>
    <t>20220601开始计费，112.45.32.0/25 112.45.32.128/27</t>
  </si>
  <si>
    <t>IPV6：赠送/64</t>
  </si>
  <si>
    <t>20220601开始计费，CD10CM101-H-08,CD10CM101-H-09</t>
  </si>
  <si>
    <t>泰州云下科技有限公司</t>
  </si>
  <si>
    <t>云下科技</t>
  </si>
  <si>
    <t>182215IDC00547</t>
  </si>
  <si>
    <t>泰州3电信</t>
  </si>
  <si>
    <t>CACDNTAIZCT</t>
  </si>
  <si>
    <t>20220801开始计费，使用288个180.122.77.0/24 58.222.57.160/27</t>
  </si>
  <si>
    <t>退租128个，180.122.77.128/25。剩余180.122.77.0/25 58.222.57.160/27</t>
  </si>
  <si>
    <t>IPV6：免费赠送一段/64的IPV6</t>
  </si>
  <si>
    <t>20220801开始计费，CACDNTAIZCT13F-D-12,CACDNTAIZCT13F-D-13,CACDNTAIZCT13F-D-14,CACDNTAIZCT13F-D-15,CACDNTAIZCT13F-D-16</t>
  </si>
  <si>
    <t>182315IDC00092</t>
  </si>
  <si>
    <t>CACDNTAIZCT13F-D-17,CACDNTAIZCT13F-D-18</t>
  </si>
  <si>
    <t>江苏网擎信息技术有限公司</t>
  </si>
  <si>
    <t>江苏网擎</t>
  </si>
  <si>
    <t>182315IDC00011</t>
  </si>
  <si>
    <t>常州4电信</t>
  </si>
  <si>
    <t>CACDNCZCT2</t>
  </si>
  <si>
    <t>20221001开始计费，使用288个，免费160个，收费128个，58.216.66.0/24 222.185.224.0/27</t>
  </si>
  <si>
    <t>20221027退租160个，58.216.66.128/25</t>
  </si>
  <si>
    <t>IPV6：赠送1段 /64</t>
  </si>
  <si>
    <t>20221001开始计费，CZ4CT3F-8-1,CZ4CT3F-8-2,CZ4CT3F-8-3,CZ4CT3F-8-4</t>
  </si>
  <si>
    <t>182315IDC00013</t>
  </si>
  <si>
    <t>常州2移动</t>
  </si>
  <si>
    <t>CACDNCZCM2</t>
  </si>
  <si>
    <t>边缘计算使用160个，223.109.77.64/27 223.109.77.128/25</t>
  </si>
  <si>
    <t>边缘计算，2409:8c20:3c42:31::/64</t>
  </si>
  <si>
    <t>边缘计算，BECCZ2CM-3F8-06</t>
  </si>
  <si>
    <t>182315IDC00012</t>
  </si>
  <si>
    <t xml:space="preserve">   CACDNCZUN</t>
  </si>
  <si>
    <t>边缘计算使用64个，112.82.240.128/26</t>
  </si>
  <si>
    <t>边缘计算，2408:873c:3810:4::/64</t>
  </si>
  <si>
    <t>边缘计算，BECCZUN-3F8-05</t>
  </si>
  <si>
    <t>深圳万象天地科技有限公司</t>
  </si>
  <si>
    <t>深圳万象天地</t>
  </si>
  <si>
    <t>L20230321001</t>
  </si>
  <si>
    <t>盐城</t>
  </si>
  <si>
    <t>盐城2移动</t>
  </si>
  <si>
    <t>20221001开始计费。使用288个，223.109.44.0/24 36.156.102.32/27</t>
  </si>
  <si>
    <t>20230322CDN转出128个给BEC，223.109.44.128/25</t>
  </si>
  <si>
    <t>20230323BEC转入128个，223.109.44.128/25</t>
  </si>
  <si>
    <t>IPV6：赠送11 段/64。</t>
  </si>
  <si>
    <t>20221001开始计费。YANC2CM-2F10-21 YANC2CM-2F10-22</t>
  </si>
  <si>
    <t>山东蓝海领航大数据发展有限公司</t>
  </si>
  <si>
    <t>蓝海领航</t>
  </si>
  <si>
    <t>L20230119004</t>
  </si>
  <si>
    <t>济南11移动</t>
  </si>
  <si>
    <t>CDNJNIX</t>
  </si>
  <si>
    <t>边缘计算，使用512个，120.223.238.0/24,
120.223.239.0/24</t>
  </si>
  <si>
    <t>BECJN11CM-103-G1
BECJN11CM-103-G2
BECJN11CM-103-G3
BECJN11CM-103-G4
BECJN11CM-103-G5
BECJN11CM-103-G6
BECJN11CM-103-G7
BECJN11CM-103-G8
BECJN11CM-103-G9
BECJN11CM-103-H1
BECJN11CM-103-H2
BECJN11CM-103-H3
BECJN11CM-103-H4
BECJN11CM-103-H5
BECJN11CM-103-H6
BECJN11CM-103-H7
BECJN11CM-103-H8
BECJN11CM-103-H9
BECJN11CM-103-H10</t>
  </si>
  <si>
    <t>浙江宁波本电网络科技有限公司</t>
  </si>
  <si>
    <t>浙江本电</t>
  </si>
  <si>
    <t>L20230204008</t>
  </si>
  <si>
    <t>宁波8电信</t>
  </si>
  <si>
    <t>CACDNNBCT2</t>
  </si>
  <si>
    <t>20220303开始计费，免费128个，使用128个，183.136.195.0/25</t>
  </si>
  <si>
    <t>20220303开始计费，免费14个，在用2个；NB8CT2F201-01,NB8CT2F201-02</t>
  </si>
  <si>
    <t>182215IDC00563</t>
  </si>
  <si>
    <t>宁波7电信</t>
  </si>
  <si>
    <t>CACDNNBCT</t>
  </si>
  <si>
    <t>20210909开始计费，使用160个，免费128个，收费32个，183.134.235.0/25 183.134.239.0/27</t>
  </si>
  <si>
    <t>20210909开始计费，NB7CT-B-1，NB7CT-B-2</t>
  </si>
  <si>
    <t>北京亿芃科技有限公司</t>
  </si>
  <si>
    <t>北京亿芃</t>
  </si>
  <si>
    <t>L20230405001</t>
  </si>
  <si>
    <t>朝阳</t>
  </si>
  <si>
    <t>朝阳电信</t>
  </si>
  <si>
    <t>CACDNCYCT</t>
  </si>
  <si>
    <t>20230401开始计费，123.244.94.0/25 123.244.94.128/27</t>
  </si>
  <si>
    <t>20230401开始计费，CACDNCYCT:3F:IDC-14-CDN4,CACDNCYCT:3F:IDC-14-CDN5,CACDNCYCT:3F:IDC-14-CDN6,CACDNCYCT:3F:IDC-14-CDN7</t>
  </si>
  <si>
    <t>朝阳2电信</t>
  </si>
  <si>
    <t>20230401开始计费，182.207.233.0/25 182.207.233.128/27</t>
  </si>
  <si>
    <t>20230401开始计费，CACDNCYCT:3F:IDC-14-CDN10,CACDNCYCT:3F:IDC-14-CDN11,CACDNCYCT:3F:IDC-14-CDN12,CACDNCYCT:3F:IDC-14-CDN13</t>
  </si>
  <si>
    <t>山东爱特云翔信息技术有限公司</t>
  </si>
  <si>
    <t>爱特云翔</t>
  </si>
  <si>
    <t>L20230420001</t>
  </si>
  <si>
    <t>淄博三级电信</t>
  </si>
  <si>
    <t>20230406开始计费。58.57.102.0/24</t>
  </si>
  <si>
    <t>淄博三线联通</t>
  </si>
  <si>
    <t>20230406开始计费。112.240.58.0/24</t>
  </si>
  <si>
    <t>淄博三线联通&amp;淄博三级电信</t>
  </si>
  <si>
    <t>ZBIXIDC21F4-E-01,ZBIXIDC21F4-E-02,ZBIXIDC21F4-E-03,ZBIXIDC21F4-E-04,ZBIXIDC21F4-E-05,ZBIXIDC21F4-E-06,ZBIXIDC21F4-E-07,ZBIXIDC21F4-E-08,ZBIXIDC21F4-E-09,ZBIXIDC21F4-E-10,ZBIXIDC21F4-E-11,ZBIXIDC21F4-E-12,ZBIXIDC21F4-E-13,ZBIXIDC21F4-E-14,ZBIXIDC21F4-D-01,ZBIXIDC21F4-D-02,ZBIXIDC21F4-D-03,ZBIXIDC21F4-D-04</t>
  </si>
  <si>
    <t>上海迅悟网络科技有限公司</t>
  </si>
  <si>
    <t>上海迅悟</t>
  </si>
  <si>
    <t>L20230306002</t>
  </si>
  <si>
    <t>济南10联通</t>
  </si>
  <si>
    <t>CACDNJNUN2</t>
  </si>
  <si>
    <t>边缘计算。39.91.169.0/24、27.221.104.64/27</t>
  </si>
  <si>
    <t>边缘计算，39.91.170.0/25</t>
  </si>
  <si>
    <t>边缘计算。2408:8719:0404:0007::/64</t>
  </si>
  <si>
    <t>边缘计算，2408:8719:0404:0009::/64</t>
  </si>
  <si>
    <t>5F 3B-05-BEC10</t>
  </si>
  <si>
    <t>济南12移动</t>
  </si>
  <si>
    <t>CACDNJNCM4</t>
  </si>
  <si>
    <t>边缘计算。120.220.195.0/24、120.221.151.64/27</t>
  </si>
  <si>
    <t>边缘计算。2409:8C3C:904:C::/64</t>
  </si>
  <si>
    <t>边缘计算。2409:8C3C:0904:F::/64</t>
  </si>
  <si>
    <t>5F3B-05-BEC09</t>
  </si>
  <si>
    <t>北京共晟科技有限公司</t>
  </si>
  <si>
    <t>共晟科技</t>
  </si>
  <si>
    <t>L20230424003</t>
  </si>
  <si>
    <t>WHGG移动2</t>
  </si>
  <si>
    <t>WHJRG</t>
  </si>
  <si>
    <t>20220422开始计费。公网IP：111.48.94.170/30
111.48.94.174/30；业务IP：111.48.101.0/24
111.48.109.0/24</t>
  </si>
  <si>
    <t>20230422开始计费。	WHJRGB13-4B-04C</t>
  </si>
  <si>
    <t>浙江途说科技发展有限公司</t>
  </si>
  <si>
    <t>浙江途说</t>
  </si>
  <si>
    <t>L20230406001</t>
  </si>
  <si>
    <t>深圳2移动</t>
  </si>
  <si>
    <t>CACDNSZCM</t>
  </si>
  <si>
    <t>120.241.231.0/25 120.241.32.96/27</t>
  </si>
  <si>
    <t>CACDNSZCM:7F:E-4-CDN3,CACDNSZCM:7F:E-4-CDN4,CACDNSZCM:7F:E-4-CDN5,CACDNSZCM:7F:E-4-CDN6,CACDNSZCM:7F:E-4-CDN7,CACDNSZCM:7F:E-4-CDN8</t>
  </si>
  <si>
    <t>华北-林加</t>
  </si>
  <si>
    <t>北京艾维通信有限公司</t>
  </si>
  <si>
    <t>艾维</t>
  </si>
  <si>
    <t>L20230203003</t>
  </si>
  <si>
    <t>维护费</t>
  </si>
  <si>
    <t>广州市天河区五山路381号华南理工大学电讯楼1楼---广州市南沙区平谦国际现代产业园B冻一层M3A；
广州市天河区五山路381号华南理工大学电讯楼1楼---广州市南沙区平谦国际现代产业园B冻一层M3A</t>
  </si>
  <si>
    <t>202210 教育网光纤设备维护费。原广东有线合同中裸光纤部分转签至中信、跳纤及设备维护费计提在艾维</t>
  </si>
  <si>
    <t>北京华盛云融科技有限公司</t>
  </si>
  <si>
    <t>华盛云融（鹏博士CDN）</t>
  </si>
  <si>
    <t>L20230203002</t>
  </si>
  <si>
    <t>北京鹏博士2</t>
  </si>
  <si>
    <t>CDNBJPBS</t>
  </si>
  <si>
    <t>124.192.164.0/24,124.192.165.0/24</t>
  </si>
  <si>
    <t>CDNSHPBS</t>
  </si>
  <si>
    <t>124.14.15.0/25</t>
  </si>
  <si>
    <t>武汉鹏博士</t>
  </si>
  <si>
    <t>CDNWHPBS</t>
  </si>
  <si>
    <t>43.224.186.0/25</t>
  </si>
  <si>
    <t>佛山鹏博士</t>
  </si>
  <si>
    <t>CDNFSPBS</t>
  </si>
  <si>
    <t>180.88.56.0/24,180.88.57.0/27</t>
  </si>
  <si>
    <t>成都鹏博士</t>
  </si>
  <si>
    <t>CDNCDPBS</t>
  </si>
  <si>
    <t>211.162.160.0/24</t>
  </si>
  <si>
    <t>重庆鹏博士</t>
  </si>
  <si>
    <t>CDNCQPBS</t>
  </si>
  <si>
    <t>211.162.215.0/25</t>
  </si>
  <si>
    <t>沈阳鹏博士</t>
  </si>
  <si>
    <t>CDNSYPBS</t>
  </si>
  <si>
    <t>101.246.172.0/24,101.246.172.0/25 这两是一段。256个</t>
  </si>
  <si>
    <t>L20221110007</t>
  </si>
  <si>
    <t>深圳鹏博士</t>
  </si>
  <si>
    <t>CDNSZPBS</t>
  </si>
  <si>
    <t>合同主体由星缘新动力变更为鹏博士SZPBS2F-K-01、SZPBS2F-K-02、SZPBS2F-K-03、SZPBS2F-K-04、SZPBS2F-K-05、SZPBS2F-K-06、SZPBS2F-K-07、SZPBS2F-K-08</t>
  </si>
  <si>
    <t>20201111退租4个机架：SZPBS2F-K-05, SZPBS2F-K-06, SZPBS2F-K-07, SZPBS2F-K-08。220.113.150.0/24</t>
  </si>
  <si>
    <t>20210510退租：SZPBS2F-K-01,SZPBS2F-K-02,SZPBS2F-K-03,SZPBS2F-K-04</t>
  </si>
  <si>
    <t>合同主体由星缘新动力变更为鹏博士
SHPBS1F-D-05、SHPBS1F-D-11</t>
  </si>
  <si>
    <t>L20221110001</t>
  </si>
  <si>
    <t>SHPBS扩容1个机柜 SHPBS1F-C-03</t>
  </si>
  <si>
    <t>合同主体由星缘新动力变更为鹏博士
WHPBS2F-G-10、WHPBS2F-G-09</t>
  </si>
  <si>
    <t>合同主体由星缘新动力变更为鹏博士
SYPBS2F-A-06、SYPBS2F-A-07、SYPBS2F-A-08、SYPBS2F-A-09、SYPBS2F-A-10</t>
  </si>
  <si>
    <t>20210510退租：SYPBS2F-A-08,SYPBS2F-A-09,SYPBS2F-A-10</t>
  </si>
  <si>
    <t>SYPBS扩容1个机柜：SYPBS2F-A-08</t>
  </si>
  <si>
    <t>合同主体由星缘新动力变更为鹏博士
CQPBS2F-A-09</t>
  </si>
  <si>
    <t>合同主体由星缘新动力变更为鹏博士
CDPBS2F-L-103、CDPBS2F-L-102、CDPBS2F-L-109、CDPBS2F-L-110、CDPBS2F-L-127</t>
  </si>
  <si>
    <t>20210510退租：CDPBS2F-L-109,CDPBS2F-L-110,CDPBS2F-L-127</t>
  </si>
  <si>
    <t>合同主体由星缘新动力变更为鹏博士
FSPBS1F-B-01、FSPBS1F-B-02、FSPBS1F-B-03、FSPBS1F-B-04</t>
  </si>
  <si>
    <t>FSPBS1F-B-01、FSPBS1F-B-02、FSPBS1F-B-03、FSPBS1F-B-04</t>
  </si>
  <si>
    <t>FSPBS1F-G-20、FSPBS1F-G-21</t>
  </si>
  <si>
    <t>FSPBS 20220118扩容1个机柜：FSPBS1F-G-19</t>
  </si>
  <si>
    <t>合同主体由星缘新动力变更为鹏博士
BJPBS1FM1-01-30、BJPBS1FM1-01-31、BJPBS1FM1-01-32、BJPBS1FM1-01-33、BJPBS1FM1-01-34、BJPBS1FM1-01-29、BJPBS1FM1-01-27、BJPBS1FM1-01-28</t>
  </si>
  <si>
    <t>2021/5/10退租：BJPBS1FM1-01-31、BJPBS1FM1-01-32、BJPBS1FM1-01-33、BJPBS1FM1-01-34</t>
  </si>
  <si>
    <t>BJ2PBS退租1个机柜：BJPBS1FM1-01-30</t>
  </si>
  <si>
    <t>北京中关村软件园发展有限责任公司</t>
  </si>
  <si>
    <t>中关村</t>
  </si>
  <si>
    <t>182115IDC00053</t>
  </si>
  <si>
    <t>科技园-软件园园区</t>
  </si>
  <si>
    <t>移动 电信 联通共布放9条96芯（48对芯）的光纤，目前开通3条，三家运营商各1条，长度5.8公里。需要关联正式合同182115IDC00053</t>
  </si>
  <si>
    <t>华南-林加</t>
  </si>
  <si>
    <t>成都旭荣云科技有限公司</t>
  </si>
  <si>
    <t>成都旭荣</t>
  </si>
  <si>
    <t>L20230223039</t>
  </si>
  <si>
    <t>成都2联通</t>
  </si>
  <si>
    <t>CACDNCDUN</t>
  </si>
  <si>
    <t>边缘计算：119.6.229.128/25</t>
  </si>
  <si>
    <t>边缘计算：116.169.50.0/24</t>
  </si>
  <si>
    <t>CDN使用：101.206.106.0/25</t>
  </si>
  <si>
    <t>成都2联通IP V6共使用2段，免费1段，收费1段。CDN  IPV6:2408:8766:000C:0102::/64</t>
  </si>
  <si>
    <t>成都2联通IP V6共使用2段，免费1段，收费1段。BEC  PV6: 2408:8766:C:103::/64</t>
  </si>
  <si>
    <t>边缘计算：BECCD2UN5F501-C-01、BECCD2UN5F501-C-02、BECCD2UN5F501-C-03、BECCD2UN5F501-C-04、BECCD2UN5F501-C-05、BECCD2UN5F501-C-06、BECCD2UN5F501-C-07、BECCD2UN5F501-C-08、BECCD2UN5F501-C-09、BECCD2UN5F501-C-10、BECCD2UN5F501-C-11、BECCD2UN5F501-C-12、BECCD2UN5F501-C-13、BECCD2UN5F501-C-14、BECCD2UN5F501-C-15、BECCD2UN5F501-C-16、BECCD2UN5F501-C-17、BECCD2UN5F501-C-18、BECCD2UN5F501-C-19、BECCD2UN5F501-C-20、BECCD2UN5F501-C-21、BECCD2UN5F501-C-22、BECCD2UN5F501-C-23、BECCD2UN5F501-C-24、BECCD2UN5F501-D-01</t>
  </si>
  <si>
    <t>CDN使用：CDUN5F-D-02</t>
  </si>
  <si>
    <t>边缘计算：BECCD2UN5F501-B-01、BECCD2UN5F501-B-02、BECCD2UN5F501-B-03、BECCD2UN5F501-B-04、BECCD2UN5F501-B-07、BECCD2UN5F501-B-06、BECCD2UN5F501-B-07、BECCD2UN5F501-B-08、BECCD2UN5F501-B-09</t>
  </si>
  <si>
    <t>广东有线广播电视网络有限公司</t>
  </si>
  <si>
    <t>广东有线</t>
  </si>
  <si>
    <t>182215IDC00066</t>
  </si>
  <si>
    <t>根据预审合同添加计提行。2021.5.1元赛尔下裸光纤合规转签给 广东有线：广州市天河区五山路381号华南理工大学电讯楼1楼---广州市南沙区平谦国际现代产业园B冻一层M3A；
广州市天河区五山路381号华南理工大学电讯楼1楼---广州市南沙区平谦国际现代产业园B冻一层M3A</t>
  </si>
  <si>
    <t>2022.2合规转签至中信</t>
  </si>
  <si>
    <t>赛尔新技术（北京）有限公司</t>
  </si>
  <si>
    <t>赛尔</t>
  </si>
  <si>
    <t>L20230203001</t>
  </si>
  <si>
    <t>北京教育网</t>
  </si>
  <si>
    <t>CDNBJCE2</t>
  </si>
  <si>
    <t>222.199.191.0/24</t>
  </si>
  <si>
    <t>武汉教育网</t>
  </si>
  <si>
    <t>CDNWHCE</t>
  </si>
  <si>
    <t>122.205.109.0/25</t>
  </si>
  <si>
    <t>上海教育网</t>
  </si>
  <si>
    <t>CDNSHCE</t>
  </si>
  <si>
    <t>59.78.173.0/25</t>
  </si>
  <si>
    <t>182115IDC00598</t>
  </si>
  <si>
    <t>20211201机柜搬迁变更机架编号，变更后BJCE15F-B-109、BJCE15F-B-110，变更前BJ2CE2F-C-09、BJ2CE2F-C-10</t>
  </si>
  <si>
    <t>20211201BJCE扩容20G，新增1个机柜：BJCE15F-B-114</t>
  </si>
  <si>
    <t>SHCE1F-102-31</t>
  </si>
  <si>
    <t>WHCE2F-B-13</t>
  </si>
  <si>
    <t>182015IDC00147</t>
  </si>
  <si>
    <t>华南理工-M2A</t>
  </si>
  <si>
    <t>广州教育网出口-广州南沙机房</t>
  </si>
  <si>
    <t>2021.5.1合规转签给 广东有线：广州教育网出口-广州南沙机房</t>
  </si>
  <si>
    <t>L20220419001</t>
  </si>
  <si>
    <t>GZCE</t>
  </si>
  <si>
    <t>CDNGZCE</t>
  </si>
  <si>
    <t>免费节点，预计使用1个月：110.64.37.0/25、110.64.37.128/27</t>
  </si>
  <si>
    <t>广州教育网</t>
  </si>
  <si>
    <t>免费节点，预计使用1个月：GZCE2F-B-02</t>
  </si>
  <si>
    <t>华东-林加</t>
  </si>
  <si>
    <t>温州三线-电信</t>
  </si>
  <si>
    <t>182215IDC00473</t>
  </si>
  <si>
    <t>温州三线</t>
  </si>
  <si>
    <t>温州三级电信</t>
  </si>
  <si>
    <t>CDNWZIX</t>
  </si>
  <si>
    <t>IPV4：122.228.213.0/24,122.228.81.32/27 
IPV6：240E:F7:C000:0308::/64</t>
  </si>
  <si>
    <t>WZIX-H-03、WZIX-H-04、WZIX-H-05、WZIX-H-06、WZIX-H-08、WZIX-H-09</t>
  </si>
  <si>
    <t>条</t>
  </si>
  <si>
    <t>温州三线B2回源光纤：1、5772GQL16442767兰江软件园B幢4005D
5772GQL16447274滨海明珠路788号IDC机房
2、5772GQL16444297兰江软件园B幢4005D
5772GQL16443531滨海明珠路788号IDC机房</t>
  </si>
  <si>
    <t>温州三线-联通</t>
  </si>
  <si>
    <t>182215IDC00471</t>
  </si>
  <si>
    <t>温州三级联通</t>
  </si>
  <si>
    <t>IPV4：101.69.133.0/24,123.159.206.224/27
IPV6：2408:8740:31FE:0011::/64</t>
  </si>
  <si>
    <t>WZIX-F-08、WZIX-F-09、WZIX-F-10、WZIX-F-11、WZIX-H-01、WZIX-H-02</t>
  </si>
  <si>
    <t>温州三线-移动</t>
  </si>
  <si>
    <t>182215IDC00472</t>
  </si>
  <si>
    <t>温州三级移动</t>
  </si>
  <si>
    <t>IPV4：117.149.244.0/24 ,112.16.228.0/27
IPV6：2409:8c28:30b0:0008::/64</t>
  </si>
  <si>
    <t>WZIX-F-02、WZIX-F-03、WZIX-F-04、WZIX-F-05、WZIX-F-06、WZIX-F-07</t>
  </si>
  <si>
    <t>中广宽带网络有限公司</t>
  </si>
  <si>
    <t>中广宽带</t>
  </si>
  <si>
    <t>182215IDC00557</t>
  </si>
  <si>
    <t>湖北武汉</t>
  </si>
  <si>
    <t>武汉2广电</t>
  </si>
  <si>
    <t>CDNWHOC2</t>
  </si>
  <si>
    <t>【CDN新建】湖北武汉广电新建20G免费节点，开通128个IP：58.48.98.0/25</t>
  </si>
  <si>
    <t>【CDN新建】湖北武汉广电新建20G免费节点，开通2个机架：WH2OC3FIDC-0-01、WH2OC3FIDC-0-02</t>
  </si>
  <si>
    <t>中国电信股份有限公司湖州分公司</t>
  </si>
  <si>
    <t>182315IDC00041</t>
  </si>
  <si>
    <t>湖州2电信</t>
  </si>
  <si>
    <t>CDNHUZCT</t>
  </si>
  <si>
    <t>边缘计算，115.231.28.0/26</t>
  </si>
  <si>
    <t>边缘计算，240E:F7:8E00:700:: 56</t>
  </si>
  <si>
    <t>BECHUZ2CT-4F19-11</t>
  </si>
  <si>
    <t>中国电信股份有限公司江西分公司</t>
  </si>
  <si>
    <t>江西电信</t>
  </si>
  <si>
    <t>L20230223037</t>
  </si>
  <si>
    <t>CDNNCCT2 南昌</t>
  </si>
  <si>
    <t>南昌3电信</t>
  </si>
  <si>
    <t>CDNNCCT2</t>
  </si>
  <si>
    <t>2022.4.16与SYS核对IP，更新使用数量及IP段117.41.247.0/25。
南昌电信边缘计算节点新申请（扩容）如下资源，接入cdn核心交换机地址为：106.225.194.1于2020-12-11正式开通；
新增128个IP:59.63.229.128/25。均免费</t>
  </si>
  <si>
    <t>南昌电信</t>
  </si>
  <si>
    <t>IPV4：106.225.194.0/24；59.63.229.0/24。赠送IPV6地址2条/64：</t>
  </si>
  <si>
    <t>南昌3电信边缘计算节点新增2个机架，128个IP,于2021-05-17正式开通，2021/6/1开始计费：117.41.247.0/25</t>
  </si>
  <si>
    <t>退租128个，106.225.194.128/25</t>
  </si>
  <si>
    <t>机架免费，每2个万兆送1个机柜，220G共送11个，实际使用9个。
NC3CT-C-3、NC3CT-F-3、NC3CT-C-4、BECNCCT6F-F-04、BECNCCT6F-F-05</t>
  </si>
  <si>
    <t>江西南昌2</t>
  </si>
  <si>
    <t>每2个万兆送1个机柜，220G共送11个，实际使用9个。江西南昌电信 增量40G，增7个机柜，免费NC3CT-F-2,NC3CT-C-2,NC3CT-C-1,NC3CT-F-1,NCCT6F-10-05,NCCT6F-10-06,NCCT6F-10-07</t>
  </si>
  <si>
    <t xml:space="preserve">每2个万兆送1个机柜，220G共送11个，实际使用9个。
nc2ct的带宽合并至nc3ct，nc2ct节点下线，机房CDNNCCT2退租部分资源：NCCT6F-10-05、NCCT6F-10-06、NCCT6F-10-07，
退租IP：59.63.229.128/25,59.63.217.64/27
</t>
  </si>
  <si>
    <t>南昌电信边缘计算节点新申请（扩容）如下资源，接入cdn核心交换机地址为：106.225.194.1于2020-12-11正式开通。机柜加电时间2020/12/13。NCCT6F-F-15，机架免费</t>
  </si>
  <si>
    <t>南昌3电信边缘计算节点新增2个机架，128个IP,于2021-05-17正式开通，2021/6/1开始计费，其中1个机架免费，1个机架超出免费范围：BECNCCT6F-C-06、BECNCCT6F-C-07</t>
  </si>
  <si>
    <t>2021.11从NC3CT拆出210G，11月免费。保留的10G边缘正常计费。原节点退租6个免费机柜：NC3CT-C-1、NC3CT-F-1、NC3CT-C-2、NC3CT-C-3、NC3CT-F-2、NC3CT-C-4、NC3CT-F-3，新节点增加6个免费机柜：NCCT3A01-D-7、NCCT3A01-D-8、NCCT3A01-D-9、NCCT3A01-D-10、NCCT3A01-D-11、NCCT3A01-D-12。因不涉及计费，且下月即还原，故本月未操作系统</t>
  </si>
  <si>
    <t>2021.11从NC3CT拆出210G，11月免费。保留的10G边缘正常计费。原节点退租6个免费机柜：NC3CT-C-1、NC3CT-F-1、NC3CT-C-2、NC3CT-C-3、NC3CT-F-2、NC3CT-C-4、NC3CT-F-3从2021.12开始还原</t>
  </si>
  <si>
    <t>南昌4电信</t>
  </si>
  <si>
    <t>2021.12.3退租。</t>
  </si>
  <si>
    <t>【CDN退租】CDN江西南昌电信退租信息 (NC3CT)退租机柜：NC3CT-C-4</t>
  </si>
  <si>
    <t>L20221129001</t>
  </si>
  <si>
    <t>南昌5电信</t>
  </si>
  <si>
    <t>CDNNCCT4</t>
  </si>
  <si>
    <t>使用288个，106.227.30.0/24 106.227.31.0/27</t>
  </si>
  <si>
    <t>20221231退租。106.227.30.0/24 106.227.31.0/27</t>
  </si>
  <si>
    <t>NC5CT1F04-I-01,NC5CT1F04-I-02,NC5CT1F04-I-03,NC5CT1F04-I-04,NC5CT1F04-I-05,NC5CT1F04-I-06</t>
  </si>
  <si>
    <t>中国电信股份有限公司宁波分公司</t>
  </si>
  <si>
    <t>宁波电信</t>
  </si>
  <si>
    <t>L20230223030</t>
  </si>
  <si>
    <t>宁波电信SSL</t>
  </si>
  <si>
    <t>CDNNBCT2</t>
  </si>
  <si>
    <t>根据2021.10.13与宁波电信对 IPV4及互联IP的核对结果（已包含NB5CT 9.16扩容的IP），CDN（不含边缘计算）共使用1776个，BEC使用640个，SSL使用780个，共3196个，运营商免费提供3196个，IP全部免费
SSL使用IP段为：183.131.53.172/30*（互联地址）、
115.231.186.0/23、
183.131.53.176/29*（互联地址）、
122.246.5.0/24</t>
  </si>
  <si>
    <t>宁波5电信</t>
  </si>
  <si>
    <t>根据2021.10.13与宁波电信对 IPV4及互联IP的核对结果（已包含NB5CT 9.16扩容的IP），CDN（不含边缘计算）共使用1776个，BEC使用640个，SSL使用780个，共3196个，运营商免费提供3196个，IP全部免费
CDN使用IP段为：183.131.62.0/23、
183.136.137.0/27、
183.136.137.32/27（增加)、
183.136.137.64/26(增加）、
115.238.189.0/25、
115.231.178.160/27、
183.136.137.128/25、
115.231.41.0/24、
115.238.189.128/25、
122.227.228.224/27、
115.238.187.0/24、
122.227.251.160/27*（互联地址）、
183.131.50.192/26*（互联地址）、
115.231.179.80/29*（互联地址）、
115.231.179.48/28*（互联地址）、
122.227.251.128/27*（互联地址）、
115.231.179.64/28*（互联地址）、
115.231.179.40/29*（互联地址）
BEC使用IP段为：
183.131.37.0/24、
122.246.16.128/25、
122.227.228.0/25、
115.231.179.128/25</t>
  </si>
  <si>
    <t>宁波4电信</t>
  </si>
  <si>
    <t>2022.6.30【CDN退租】CDN浙江宁波电信退租IP (NB4CT)：115.238.187.0/24，183.136.137.0/27</t>
  </si>
  <si>
    <t>宁波
NB2CTCACHE</t>
  </si>
  <si>
    <t>宁波电信CACHE2</t>
  </si>
  <si>
    <t>115.231.41.0/24,115.238.189.0/24,122.227.228.0/24</t>
  </si>
  <si>
    <t>L20230504024</t>
  </si>
  <si>
    <t>CBUCDNNBCT</t>
  </si>
  <si>
    <t>从2022.8开始使用25个，免费22个，收费3个。截止2022.2使用的机架编号为：NBCT3F-4-J4、NBCT3F-4-J1、NBCT3F-4-J2、NBCT3F-4-J3
CDN使用，带宽保底132G，每6G送1个机架，免费22个
2020.3更新机房名称，原NB01共536个，拆分为CBUCDNNBCT 12个，NB01 11个和NB01 513个：NB5CT5F-A-10、NB5CT5F-A-06、NB5CT5F-A-07、NB5CT5F-A-08、NB5CT5F-A-09、NB5CT5F-A-03、NB5CT5F-A-04、NB5CT5F-A-05、NBCT3F-4-J4、NBCT3F-4-J1、NBCT3F-4-J2、NBCT3F-4-J3</t>
  </si>
  <si>
    <t>从2022.8开始使用25个，免费22个，收费3个。截止2022.2使用的机架编号为：NB5CT5F-A-10、NB5CT5F-A-06、NB5CT5F-A-07、NB5CT5F-A-08、NB5CT5F-A-09、NB5CT5F-A-03、NB5CT5F-A-04、NB5CT5F-A-05
CDN使用，带宽保底132G，每6G送1个机架，免费22个
2020.3更新机房名称，原NB01共536个，拆分为CBUCDNNBCT 12个，NB01 11个和NB01 513个：NB5CT5F-A-10、NB5CT5F-A-06、NB5CT5F-A-07、NB5CT5F-A-08、NB5CT5F-A-09、NB5CT5F-A-03、NB5CT5F-A-04、NB5CT5F-A-05、NBCT3F-4-J4、NBCT3F-4-J1、NBCT3F-4-J2、NBCT3F-4-J3</t>
  </si>
  <si>
    <t>L20220305002</t>
  </si>
  <si>
    <t>NB01</t>
  </si>
  <si>
    <t>CDN使用，带宽保底132G，每6G送1个机架，免费22个
2020.3更新机房名称，原NB01共536个，拆分为CBUCDNNBCT 12个，NB01 11个和NB01 513个：NB01205-H-01~NB01205-H-11</t>
  </si>
  <si>
    <t>CDN使用，带宽保底132G，每6G送1个机架，免费22个。
宁波4电信(NB4CT)退租80G，退4个机架：NBCT3F-4-J4、NBCT3F-4-J3、NBCT3F-4-J2、NBCT3F-4-J1</t>
  </si>
  <si>
    <t>CDN使用，带宽保底132G，每6G送1个机架，免费22个
宁波2电信二级(NB2CTCACHE)退160G，退11个机架
NB01205-H-11、NB01205-H-10、NB01205-H-09、NB01205-H-08、NB01205-H-07、NB01205-H-06、NB01205-H-05、NB01205-H-04、NB01205-H-03、NB01205-H-01、NB01205-H-02</t>
  </si>
  <si>
    <t>CDN使用，带宽保底132G，每6G送1个机架，免费22个
2020/9/16宁波4电信(NB4CT)重新上线80G，开通4个机架：NBCT3F-4-J4、NBCT3F-4-J3、NBCT3F-4-J2、NBCT3F-4-J1</t>
  </si>
  <si>
    <t>2022.6.30【CDN退租】CDN浙江宁波电信退租机柜 (NB4CT)：NBCT3F-4-J4、NBCT3F-4-J3、NBCT3F-4-J2、NBCT3F-4-J1</t>
  </si>
  <si>
    <t>CDN使用，带宽保底132G，每6G送1个机架，免费22个
2020/8/1宁波2电信二级(NB2CTCACHE)重新上线160G，开通11个机架，其中收费3个，8个免费
NB01205-H-04、NB01205-H-05、NB01205-H-06、NB01205-H-07、NB01205-H-08、NB01205-H-09、NB01205-H-10、NB01205-H-11</t>
  </si>
  <si>
    <t>从2022.8开始使用25个，免费22个，收费3个。CDN使用，带宽保底132G，每6G送1个机架，免费22个。
2020/8/1宁波2电信二级(NB2CTCACHE)重新上线160G，开通11个机架，其中收费3个,8个免费
NB01205-H-03、NB01205-H-01、NB01205-H-02（NB2CT205-H-01、NB2CT205-H-02、NB2CT205-H-03 SYS侧是这3个机柜编号）</t>
  </si>
  <si>
    <t>从2022.8开始使用25个，免费22个，收费3个。CDN使用，带宽保底132G，每6G送1个机架，免费22个
2021/5/31退租3个机架：NB5CT5F-A-08、NB5CT5F-A-09、NB5CT5F-A-10</t>
  </si>
  <si>
    <t>CDN使用，带宽保底132G，每6G送1个机架，免费22个。
边缘计算BECNB5CT5F-A-01、 
BECNB5CT5F-A-02</t>
  </si>
  <si>
    <t>2021/8/31退租8个机柜：NB01205-H-11、NB01205-H-10、NB01205-H-09、NB01205-H-08、NB01205-H-07、NB01205-H-06、NB01205-H-05、NB01205-H-04</t>
  </si>
  <si>
    <t>从2022.8开始使用25个，免费22个，收费3个。2021/8/31退租8个机柜：NB01205-H-11、NB01205-H-10、NB01205-H-09、NB01205-H-08、NB01205-H-07、NB01205-H-06、NB01205-H-05、NB01205-H-04</t>
  </si>
  <si>
    <t>NB2CT2F-H-04、NB2CT2F-H-05</t>
  </si>
  <si>
    <t>从2022.8开始使用25个，免费22个，收费3个。CDN使用，带宽保底132G，每6G送1个机架，免费22个。SSL6个全部收费
NBCT23F-F-09
NBCT23F-F-10
NBCT23F-F-11
CDNNBCT23F-G-11
CDNNBCT23F-G-09
CDNNBCT23F-G-10</t>
  </si>
  <si>
    <t>从2022.8开始使用25个，免费22个，收费3个。NBCT23F-G-11</t>
  </si>
  <si>
    <t>从2022.8开始使用25个，免费22个，收费3个。宁波电信边缘计算节点新增1个机架，128个IP，于2021-04-14正式开通，2021.5.16开始计费：BECNBCT3F-A-11</t>
  </si>
  <si>
    <t>从2022.8开始使用25个，免费22个，收费3个。NB5CT 2021/10/1扩容12个机架，其中5个收费：BECNBCT3F-B-08、
BECNBCT3F-B-09、
BECNBCT3F-B-10、
BECNBCT3F-B-11、
BECNBCT3F-A-12
按照甲方每保底到达6G，乙方配备1个机柜，超出配备范围的机柜数量按照4700元/柜/月进行收费。可免费送22个机柜</t>
  </si>
  <si>
    <t>NB5CT 2021/10/1扩容12个机架其中7个免费：BECNBCT3F-B-01、
BECNBCT3F-B-02、
BECNBCT3F-B-03、
BECNBCT3F-B-04、
BECNBCT3F-B-05、
BECNBCT3F-B-06、
BECNBCT3F-B-07
按照甲方每保底到达6G，乙方配备1个机柜，超出配备范围的机柜数量按照4700元/柜/月进行收费。可免费送22个机柜</t>
  </si>
  <si>
    <t>从2022.8开始使用25个，免费22个，收费3个。NB5CT 2021/12/15扩容1个机架：BECNB5CT5F-A-10，于2021.12.15开始计费
按照甲方每保底到达6G，乙方配备1个机柜，超出配备范围的机柜数量按照4700元/柜/月进行收费。可免费送22个机柜</t>
  </si>
  <si>
    <t>从2022.8开始使用25个，免费22个，收费3个。NB5CT 2022/1/15扩容1个机架：BECNBCT3F-A-09，于2022.1.15开始计费
按照甲方每保底到达6G，乙方配备1个机柜，超出配备范围的机柜数量按照4700元/柜/月进行收费。可免费送22个机柜</t>
  </si>
  <si>
    <t>从2022.8开始使用25个，免费22个，收费3个。NB5CT5F-A-06,NB5CT5F-A-05,NB5CT5F-A-04,NB5CT5F-A-03,NB5CT5F-A-07</t>
  </si>
  <si>
    <t>NBCT23F-G-09  
NBCT23F-G-10</t>
  </si>
  <si>
    <t>中国电信股份有限公司温州分公司</t>
  </si>
  <si>
    <t>温州电信</t>
  </si>
  <si>
    <t>L20221110002</t>
  </si>
  <si>
    <t>温州2电信</t>
  </si>
  <si>
    <t>CDNWZCT</t>
  </si>
  <si>
    <t>2022.6带宽20G，IP仍然免费
60.190.117.0/24;60.190.116.0/24</t>
  </si>
  <si>
    <t>温州10电信</t>
  </si>
  <si>
    <t>CDNWZCT2</t>
  </si>
  <si>
    <t>2022/2/1 新建WZ10CT，该节点为免费节点：115.223.16.0/24</t>
  </si>
  <si>
    <t>免费节点退租：115.223.16.0/24</t>
  </si>
  <si>
    <t>WZCT2F-H-01、WZCT2F-H-02、WZCT2F-H-03、WZCT2F-H-04、WZCT2F-H-05、WZCT2F-H-06、WZCT2F-H-07、WZCT2F-H-08、WZCT2F-I-01、WZCT2F-I-02、
WZCT2F-213-H09、
WZCT2F-213-H10、
WZCT2F-213-H11、
WZCT2F-213-H12、
WZCT2F-213-H13、
WZCT2F-213-H14</t>
  </si>
  <si>
    <t>WZ5CT2F-213H-15、WZ5CT2F-213H-16、WZ5CT2F-213H-17、WZ5CT2F-213H-18</t>
  </si>
  <si>
    <t>2019/12/31WZ5CT退租120G，退4个机柜，288个IP
WZ5CT2F-213H-15、WZ5CT2F-213H-16、WZ5CT2F-213H-17、WZ5CT2F-213H-18</t>
  </si>
  <si>
    <t>6个机架5.31退租。6-10月多计提的费用在付款时冲销
WZCT2F-213-H09、
WZCT2F-213-H10、
WZCT2F-213-H11、
WZCT2F-213-H12、
WZCT2F-213-H13、
WZCT2F-213-H14</t>
  </si>
  <si>
    <t>WZ8CT关闭，退租2个机柜:WZCT2F-I-02、WZCT2F-I-01</t>
  </si>
  <si>
    <t>温州电信2退租220G，同时退租6个机柜：WZCT2F-H-04、WZCT2F-H-08、WZCT2F-H-05、WZCT2F-H-03、WZCT2F-H-02、WZCT2F-H-01</t>
  </si>
  <si>
    <t>2022/6/24 WZ2CT退租1个机柜：WZCT2F-H-07</t>
  </si>
  <si>
    <t>2022/2/1 新建WZ10CT，该节点为免费节点：WZ10CT4F4C-B-03、WZ10CT4F4C-B-05、WZ10CT4F4C-B-04</t>
  </si>
  <si>
    <t>免费节点退租：WZ10CT4F4C-B-03、WZ10CT4F4C-B-05、WZ10CT4F4C-B-04</t>
  </si>
  <si>
    <t>中国联合网络通信有限公司杭州市分公司</t>
  </si>
  <si>
    <t>杭州联通</t>
  </si>
  <si>
    <t>L20230223031</t>
  </si>
  <si>
    <t>杭州2联通</t>
  </si>
  <si>
    <t>CDNHZUN3</t>
  </si>
  <si>
    <t>边缘计算节点新建，每个10GE端口核配1个标准机柜及64个IP地址，免费768个IP，超出每个50元，实际使用768个：101.67.21.0/24
101.67.22.0/24
101.67.23.0/24
2408:8740:c3fe:0010::/61
2408:8740:c3fe:0018::/62</t>
  </si>
  <si>
    <t>101.67.22.0/24
101.67.21.0/24</t>
  </si>
  <si>
    <t>边缘计算节点新建，每个10GE端口核配1个标准机柜及64个IP地址，免费12个机柜，实际使用1个：BECHZ2UN-D-16</t>
  </si>
  <si>
    <t>L20230426006</t>
  </si>
  <si>
    <t>BECHZ2UN-D-5
BECHZ2UN-D-6
BECHZ2UN-D-7
BECHZ2UN-D-8
BECHZ2UN-D-9
BECHZ2UN-D-10
BECHZ2UN-D-11
BECHZ2UN-D-12
BECHZ2UN-D-13
BECHZ2UN-D-14
BECHZ2UN-D-15</t>
  </si>
  <si>
    <t>BECHZ2UN-D-10
BECHZ2UN-D-13
BECHZ2UN-D-14
BECHZ2UN-D-15</t>
  </si>
  <si>
    <t>中国联合网络通信有限公司湖州市分公司</t>
  </si>
  <si>
    <t>湖州联通</t>
  </si>
  <si>
    <t>182115IDC00406</t>
  </si>
  <si>
    <t>湖州联通SSL</t>
  </si>
  <si>
    <t>SSLHUZHOUUN</t>
  </si>
  <si>
    <t>2018/6/20
2019/1/20</t>
  </si>
  <si>
    <t>杭州联通湖州节点2020.6核对结果，CDN40G，使用256个IP：101.69.172.0/24；SSL10G，使用512个IP：61.241.118.0/24 ；101.69.175.0/24
每万兆送64个IP，共送320个，收费448个</t>
  </si>
  <si>
    <t>2022.6开始湖州联通SSL10G，每10G送1个机柜，使用3个机架，收费2个，免费1个。
THLIDC2-01-12、THLIDC2-01-11</t>
  </si>
  <si>
    <t>2022.6开始湖州联通SSL10G，每10G送1个机柜，使用3个机架，收费2个，免费1个。
THLIDC2-01-10</t>
  </si>
  <si>
    <t>湖州
湖州2</t>
  </si>
  <si>
    <t>湖州2联通</t>
  </si>
  <si>
    <t>CDNHUZUN</t>
  </si>
  <si>
    <t>2022/5/31节点退租：101.69.172.0/24</t>
  </si>
  <si>
    <t>湖州联通SSL使用3个机架，湖州联通CDN使用3个机架，CDN SLL共50G，每万兆送1个，共送5个，收费1个</t>
  </si>
  <si>
    <t>2020/4/30退3个
退租后机柜编号HUZUN1F-01-07、HUZUN1F-01-08、HUZUN1F-01-09</t>
  </si>
  <si>
    <t>2022/5/31节点退租：HUZUN1F-01-07、HUZUN1F-01-08、HUZUN1F-01-09</t>
  </si>
  <si>
    <t>中国联合网络通信有限公司嘉兴市分公司</t>
  </si>
  <si>
    <t>嘉兴联通</t>
  </si>
  <si>
    <t>182215IDC00426</t>
  </si>
  <si>
    <t>CDNJIAXUN</t>
  </si>
  <si>
    <t xml:space="preserve"> 【BEC新建】嘉兴联通边缘计算节点新建100G (JIAXUN)，每万兆送64个IP，使用640个IP：101.68.219.0/24（在用）101.69.193.0/24（在用）101.69.205.128/25（在用），免费640个</t>
  </si>
  <si>
    <t>BEC,2408:8740:71FC:0500::/56</t>
  </si>
  <si>
    <t>10.1开通： 【BEC新建】嘉兴联通边缘计算节点新建100G正式交付  (JIAXUN)，送20个机柜，使用10个：BECJIAXUN-01-04、BECJIAXUN-01-05、BECJIAXUN-01-06、BECJIAXUN-01-07、BECJIAXUN-06-01、BECJIAXUN-06-02、BECJIAXUN-06-03、BECJIAXUN-06-04、BECJIAXUN-06-05、BECJIAXUN-06-06</t>
  </si>
  <si>
    <t>11.1开通： 【BEC新建】嘉兴联通边缘计算节点新建100G正式交付  (JIAXUN)，送20个机柜，使用10个：BECJIAXUN-02-11、BECJIAXUN-02-12、BECJIAXUN-02-13、BECJIAXUN-02-14、BECJIAXUN-02-15、BECJIAXUN-02-16、BECJIAXUN-02-17、BECJIAXUN-02-18、BECJIAXUN-02-19、BECJIAXUN-02-20</t>
  </si>
  <si>
    <t>中国联合网络通信有限公司金华市分公司</t>
  </si>
  <si>
    <t>金华联通</t>
  </si>
  <si>
    <t>182215IDC00691</t>
  </si>
  <si>
    <t>CDNJHUN</t>
  </si>
  <si>
    <t>【BEC新建】金华联通新增200G 节点正式上线  (JHUN)：
IPV4:101.69.97.0/24
101.69.98.0/24
101.69.99.0/24
60.12.147.0/24
60.12.156.0/24;
IPV6:2408:8740:41fc:400::/56</t>
  </si>
  <si>
    <t>每300M签约带宽可申请免费分配1个/56 ipv6前缀地址，不足300M按300M计，最大可免费申请分配256个/56 ipv6前缀地址。</t>
  </si>
  <si>
    <t>【BEC新建】金华联通新增200G 节点正式上线  (JHUN)：赠送20个，目前使用1个，BECJHUN-07-06</t>
  </si>
  <si>
    <t>中国联合网络通信有限公司南昌市分公司</t>
  </si>
  <si>
    <t>江西联通</t>
  </si>
  <si>
    <t>182215IDC00444</t>
  </si>
  <si>
    <t>南昌2联通</t>
  </si>
  <si>
    <t>CDNNCUN</t>
  </si>
  <si>
    <t>根据运营商202210账单看，运营商只收费128个IP费用。
2022.9开始带宽量变为20G，按照19年双方签署的主合同约定，每100G送320个IP，等比折算可送64个，使用416个，收费352个。
2021.7更新使用数量为416个，均免费：118.212.135.0/27；118.212.135.128/25；116.153.0.0/24</t>
  </si>
  <si>
    <t>根据运营商202210账单看，运营商只收费128个IP费用。2022.9开始带宽量变为20G，按照19年双方签署的主合同约定，每100G送320个IP，等比折算可送64个，使用416个，收费352个。</t>
  </si>
  <si>
    <t>根据运营商202210账单看，运营商只收费128个IP费用。2022.9开始带宽量变为20G，按照19年双方签署的主合同约定，每100G送320个IP，等比折算可送64个，使用416个，收费352个。
南昌联通边缘计算节点新申请（扩容）如下资源，接入cdn核心交换机地址为：116.153.0.1于2020-12-11正式开通。新增128个IP免费：116.153.1.0/25。本次无新增机架</t>
  </si>
  <si>
    <t>根据运营商202210账单看，运营商只收费128个IP费用。2022.9开始带宽量变为20G，按照19年双方签署的主合同约定，每100G送320个IP，等比折算可送64个，使用416个，收费352个。
南昌联通边缘计算节点新申请1个机架，128个IP，于2021-03-30正式开通，2021.5.1开始计费：116.153.1.128/25</t>
  </si>
  <si>
    <t>根据运营商202210账单看，运营商只收费128个IP费用。2022.9开始带宽量变为20G，按照19年双方签署的主合同约定，每100G送320个IP，等比折算可送64个，使用416个，收费352个。
2022/7/31 退租IP：116.153.0.128/25，退租后剩余与SYS记录不符，SYS记录剩余416个，116.153.0.0/25 118.212.135.0/27 116.153.1.0/25(BEC IP) 118.212.135.128/25(BEC IP)</t>
  </si>
  <si>
    <t>根据运营商202210账单看，运营商只收费128个IP费用。2022.9开始带宽量变为20G，按照19年双方签署的主合同约定，每100G送320个IP，等比折算可送64个，使用416个，收费352个。
116.153.1.128/25。2022.8.26如流同顾晓佳沟通，按照退租邮件列式的保存资源进行退租</t>
  </si>
  <si>
    <t>2021.9与SYS核对已开通机架情况，调整计提表机架编号。BECNCUN4F-K-02、BECNCUN4F-K-03、NCUN4F-M-09、NCUN4F-M-10</t>
  </si>
  <si>
    <t>南昌联通边缘计算节点新扩容1个机柜，128个IP，于2021-03-30正式开通，均免费：BECNCUN4F-K-04</t>
  </si>
  <si>
    <t>2021/9/10边缘计算新增机柜：BECNCUN4F-K-05</t>
  </si>
  <si>
    <t>NCUN4F-M-10</t>
  </si>
  <si>
    <t>L20210919001</t>
  </si>
  <si>
    <t>2021.9与SYS核对已开通机架情况，共使用7个机架，运营商侧使用6个，K01运营商反馈为列头柜，按照对百度有利原则，放在0金额的临时合同行上BECNCUN4F-K-01</t>
  </si>
  <si>
    <t>中国联合网络通信有限公司绍兴市分公司</t>
  </si>
  <si>
    <t>绍兴联通</t>
  </si>
  <si>
    <t>182115IDC00405</t>
  </si>
  <si>
    <t>绍兴2联通</t>
  </si>
  <si>
    <t>CDNSHAOXUN</t>
  </si>
  <si>
    <t>2020.4.30退租40G后与SYS核对IP资源，共使用384个IP,每万兆送64个，共送256个，收费128个123.157.149.0/24;101.69.223.128/25</t>
  </si>
  <si>
    <t>绍兴联通边缘计算节点新申请1个机架，128个IP于2021-04-12正式开通，从2021/5/1开始计费：101.69.223.0/25</t>
  </si>
  <si>
    <t>2021/7/22退租96个IP：123.157.149.160/27，123.157.149.192/26</t>
  </si>
  <si>
    <t>2018/6/20
2019/12/13</t>
  </si>
  <si>
    <t>共80G，每个万兆送1个机柜，共送4个，超出单价4000。目前CDN使用4个：SHAOXUN7F-B-01、SHAOXUN7F-B-02、SHAOXUN7F-B-03、SHAOXUN7F-B-04；边缘计算使用 2个：BECSHAOXUN7F-B-05、BECSHAOXUN7F-B-06</t>
  </si>
  <si>
    <t xml:space="preserve">2020/4/30退2个，退租后使用机柜编号
SHAOXUN7F-B-03、 
SHAOXUN7F-B-04、
BECSHAOXUN7F-B-05
BECSHAOXUN7F-B-06
</t>
  </si>
  <si>
    <t>绍兴联通边缘计算节点新申请1个机架，128个IP于2021-04-12正式开通，从2021/5/1开始计费：BECSHAOX2UN7F-SB-07</t>
  </si>
  <si>
    <t>L20230306001</t>
  </si>
  <si>
    <t>绍兴3联通</t>
  </si>
  <si>
    <t>边缘计算。使用640个，116.148.204.0/24、116.148.205.0/24、116.148.206.0/25</t>
  </si>
  <si>
    <t>边缘计算。2408:8740:5ef8:100::/56</t>
  </si>
  <si>
    <t>5LC01-C-BEC01</t>
  </si>
  <si>
    <t>中国联合网络通信有限公司台州市分公司</t>
  </si>
  <si>
    <t>台州联通</t>
  </si>
  <si>
    <t>182215IDC00615</t>
  </si>
  <si>
    <t>CDNTZUN</t>
  </si>
  <si>
    <t>【BEC新建】台州联通新增100G 节点正式上线，新增320个IP V4：101.71.161.0/24；101.71.175.128/26。	
IPV4:每个10GE端口核配64个IP地址，共送1280个
新增ipv6：2408:8742:51FF:5::/64</t>
  </si>
  <si>
    <t>BEC,每300M签约带宽可申请免费分配1个/56 ipv6前缀地址，不足300M按300M计，最大可免费申请分配256个/56 ipv6前缀地址</t>
  </si>
  <si>
    <t>【BEC新建】台州联通新增100G 节点正式上线：BECTZUN-03-03。	
每个10GE端口核配1个标准机柜，共送20个</t>
  </si>
  <si>
    <t>中国联合网络通信有限公司温州市分公司</t>
  </si>
  <si>
    <t>温州联通</t>
  </si>
  <si>
    <t>L20230223029</t>
  </si>
  <si>
    <t>CDNWZUN</t>
  </si>
  <si>
    <t>边缘计算节点新建，免费1920个IP，实际使用288个：101.69.133.0/24，123.159.205.192/27</t>
  </si>
  <si>
    <t>边缘计算节点新建，免费50个机柜：BECWZUN-03-06</t>
  </si>
  <si>
    <t>中国联合网络通信有限公司舟山市分公司</t>
  </si>
  <si>
    <t>舟山联通</t>
  </si>
  <si>
    <t>182215IDC00614</t>
  </si>
  <si>
    <t>CDNZHOUSUN</t>
  </si>
  <si>
    <t>【BEC新建】舟山联通新增100G ，每个10GE端口核配1个标准机柜及64个IP地址，可送640个，使用256个IP：116.148.168.0/24
新增 ipv6：2408:8740:B1FF:0005::0/64</t>
  </si>
  <si>
    <t>BEC，	
每300M签约带宽可申请免费分配1个/56 ipv6前缀地址，不足300M按300M计，最大可免费申请分配256个/56 ipv6前缀地址。</t>
  </si>
  <si>
    <t>【BEC新建】舟山联通新增100G ，每个10GE端口核配1个标准机柜及64个IP地址，可送10个机柜：BECZHOUSUN-E-01、BECZHOUSUN-E-04、BECZHOUSUN-A-07、BECZHOUSUN-A-08、BECZHOUSUN-A-09、BECZHOUSUN-A-10、BECZHOUSUN-B-08、BECZHOUSUN-B-09、BECZHOUSUN-B-10、BECZHOUSUN-B-11</t>
  </si>
  <si>
    <t>中国移动通信集团江西有限公司南昌分公司</t>
  </si>
  <si>
    <t>南昌移动</t>
  </si>
  <si>
    <t>182315IDC00070</t>
  </si>
  <si>
    <t>南昌2移动</t>
  </si>
  <si>
    <t>CDNNCCM2</t>
  </si>
  <si>
    <t>117.169.99.0/24;117.169.104.128/27。
免费。2021年合同约定乙方互联网接入带宽包含 704  个IPv4地址，  /56  的IPv6地址，超出部分的IPv4地址按照 50  元/个/月收取，超出部分的IPv6地址按照   / 收取</t>
  </si>
  <si>
    <t>117.169.99.0/24;117.169.104.128/27</t>
  </si>
  <si>
    <t>南昌5</t>
  </si>
  <si>
    <t>南昌5移动</t>
  </si>
  <si>
    <t>117.169.106.0/24;117.169.104.160/27。
2021年合同约定乙方互联网接入带宽包含 704  个IPv4地址，  /56  的IPv6地址，超出部分的IPv4地址按照 50  元/个/月收取，超出部分的IPv6地址按照   / 收取</t>
  </si>
  <si>
    <t>免费。NC5CM边缘计算节点新增2个机架，128个IP,于2021-1-28正式开通：117.167.104.0/25
2021年合同约定乙方互联网接入带宽包含 704  个IPv4地址，  /56  的IPv6地址，超出部分的IPv4地址按照 50  元/个/月收取，超出部分的IPv6地址按照   / 收取</t>
  </si>
  <si>
    <t>2022/3/31退租288个CDN IP，按照合同约定共送704个，暂时将原收费的边缘IP挪到免费资源中，若后续对账中运营商坚持收费，再做补计提
2021/7/16南昌移动NC5CM边缘计算扩容128个IP:117.167.104.128/25</t>
  </si>
  <si>
    <t>117.169.106.128/25</t>
  </si>
  <si>
    <t>NCCM2F-B-2、NCCM2F-B-3</t>
  </si>
  <si>
    <t>NC5CM2F205-J-14
NC5CM2F205-J-15
NC5CM2F205-J-16
NC5CM2F205-J-17</t>
  </si>
  <si>
    <t>NC5CM边缘计算节点新增2个机架，128个IP,于2021-1-28正式开通：BECNCCM2-J-13、BECNCCM2-J -18</t>
  </si>
  <si>
    <t>NC5CM2F205-J-17,NC5CM2F205-J-15,NC5CM2F205-J-14</t>
  </si>
  <si>
    <t>BECNCCM2-J-13
BECNCCM2-J-18</t>
  </si>
  <si>
    <t>中国移动通信集团江西有限公司上饶分公司</t>
  </si>
  <si>
    <t>上饶移动</t>
  </si>
  <si>
    <t>182115IDC00149</t>
  </si>
  <si>
    <t>南昌移动3</t>
  </si>
  <si>
    <t>CDNNCCM</t>
  </si>
  <si>
    <t>实际使用288：183.216.160.0/24;183.216.161.0/27
2021年合同约定乙方互联网接入带宽包含 288个IPv4地址， /64 的IPv6地址，超出部分的IPv4地址按照 50 元/个/月收取，超出部分的IPv6地址按照  / 收取</t>
  </si>
  <si>
    <t>2022/7/31 节点退租。183.216.160.0/24 183.216.161.0/27</t>
  </si>
  <si>
    <t>NCCM4F-E-02、NCCM4F-E-03、NCCM4F-E-04、NCCM4F-E-05</t>
  </si>
  <si>
    <t>NCCM4F-E-06、NCCM4F-E-07
江西南昌移动 增量100G完成业务测试，已于2020-05-15开始正式切流量上线.机柜加电日期5.11</t>
  </si>
  <si>
    <t>2022/7/31 节点退租。NCCM4F-E-03,NCCM4F-E-02,NCCM4F-E-05,NCCM4F-E-04,NCCM4F-E-07,NCCM4F-E-06</t>
  </si>
  <si>
    <t>中国移动通信集团浙江有限公司杭州分公司</t>
  </si>
  <si>
    <t>杭州移动</t>
  </si>
  <si>
    <t>182315IDC00117</t>
  </si>
  <si>
    <t>CDNHZCM</t>
  </si>
  <si>
    <t>111.1.52.0/25 112.17.3.128/25 117.148.160.0/25（BEC）。每万兆送32个，CDNSSL共110G，共送352个。CDN实际使用384个，免费352，收费32个
2021年合同约定乙方IP地址按照每万兆赠送32个，超出部分的IP地址按照 50 元/个/月收取</t>
  </si>
  <si>
    <t>每万兆送32个，CDNSSL共110G，共送352个。CDN实际使用384个，免费352，收费32个
2021年合同约定乙方IP地址按照每万兆赠送32个，超出部分的IP地址按照 50 元/个/月收取</t>
  </si>
  <si>
    <t>杭州移动边缘计算节点新申请（扩容）1个机架，128个IP于2021-04-15正式开通，从2021/5/1开始计费：
117.148.160.128/25</t>
  </si>
  <si>
    <t xml:space="preserve">浙江杭州移动边缘计算节点扩容（HZCM）新增128个IP，于2021-08-30上线，2021-9-1开始计费：112.13.64.128/25
</t>
  </si>
  <si>
    <t>HZCM4F-J-03、HZCM4F-J-04、HZCM4F-J-05、HZCM4F-J-06</t>
  </si>
  <si>
    <t>2021.9存量机架编号变更，变更之后为：BECHZCM4F-J-06、BECHZCM4F-J-07
2019.12新增边缘计算：BECHZCM4F-J-08、BECHZCM4F-J-09。边缘计算使用的IP运营商账单不收费，202002删除了计提行</t>
  </si>
  <si>
    <t>2021.9存量机架编号变更，变更之后为：BECHZCM4F-J-14
2021.5杭州移动边缘计算节点新申请（扩容）1个机架，128个IP于2021-04-15正式开通，从2021/5/1开始计费：
BECHZCM4F-J-16</t>
  </si>
  <si>
    <t xml:space="preserve">浙江杭州移动边缘计算节点扩容（HZCM）新增2个机柜，于2021-08-30上线，2021-9-1开始计费：BECHZCM4F-J-10,
BECHZCM4F-J-09
</t>
  </si>
  <si>
    <t>杭州4移动</t>
  </si>
  <si>
    <t>CDNHZCM2</t>
  </si>
  <si>
    <t>边缘计算使用544个，39.173.184.0/24  39.173.185.0/24 117.147.217.96/27</t>
  </si>
  <si>
    <t>边缘计算，IPV6: 2409:8c28:0600:0300::/56；
2409:8c28:0600:0400::/56；</t>
  </si>
  <si>
    <t>边缘计算，BECHZ4CM-4-J10</t>
  </si>
  <si>
    <t>中国移动通信集团浙江有限公司嘉兴分公司</t>
  </si>
  <si>
    <t>嘉兴移动</t>
  </si>
  <si>
    <t>182115IDC00160</t>
  </si>
  <si>
    <t xml:space="preserve">嘉兴 </t>
  </si>
  <si>
    <t>CDNJIAXCM</t>
  </si>
  <si>
    <t>每万兆赠送32个IP，共送384个。实际使用384个
2022/4/30退租后送256个，收费128个
183.246.188.0/24 183.246.189.0/27
乙方IP地址按照每万兆赠送32个，超出部分的IPv4地址按照 50 元/个/月收取</t>
  </si>
  <si>
    <t xml:space="preserve">2022/5/31 节点退租：183.246.188.0/24
183.246.189.0/25 </t>
  </si>
  <si>
    <t>嘉兴</t>
  </si>
  <si>
    <t>浙江嘉兴移动 增量120G，新增4个机柜，2020-01-01开始正式切流量上线：JIAX4FIDC-C-15、JIAX4FIDC-C-16、JIAX4FIDC-C-17、JIAX4FIDC-C-18</t>
  </si>
  <si>
    <t>2022/5/31 节点退组：JIAX4FIDC-C-15、JIAX4FIDC-C-16、JIAX4FIDC-C-17、JIAX4FIDC-C-18</t>
  </si>
  <si>
    <t>中国移动通信集团浙江有限公司金华分公司</t>
  </si>
  <si>
    <t>金华移动</t>
  </si>
  <si>
    <t>182315IDC00087</t>
  </si>
  <si>
    <t>CDNJHCM</t>
  </si>
  <si>
    <t>截止2022.9.15金华移动带宽总量90G，可送288个IP，CDN SSL合计使用672个，SSL收费384个，SSL免费128个，CDN 160个均免费。223.95.34.0/24;111.2.123.0/27</t>
  </si>
  <si>
    <t>截止2022.9.15金华移动带宽总量90G，可送288个IP，CDN SSL合计使用672个，SSL收费384个，SSL免费128个，CDN 160个均免费。
2022/5/31节点退租：223.95.34.0/24 111.2.123.0/27</t>
  </si>
  <si>
    <t>金华2移动</t>
  </si>
  <si>
    <t>CDNJHCM2</t>
  </si>
  <si>
    <t>截止2022.9.15金华移动带宽总量90G，可送288个IP，CDN SSL合计使用672个，SSL收费384个，SSL免费128个，CDN 160个均免费。223.95.34.0/24;111.2.123.0/27
2020.5.19JH2CM使用288个IP:117.147.213.0/24 117.147.212.0/27
2021年合同约定乙方IP地址按照每万兆赠送32个IPv4地址， 10段/64位 的IPv6地址，超出部分的IPv4地址按照50元/个/月收取</t>
  </si>
  <si>
    <t>退租：117.147.213.128/25。截止2022.9.15金华移动带宽总量90G，可送288个IP，CDN SSL合计使用672个，SSL收费384个，SSL免费128个，CDN 160个均免费</t>
  </si>
  <si>
    <t>金华移动SSL</t>
  </si>
  <si>
    <t>SSLJHCM</t>
  </si>
  <si>
    <t>截止2022.9.15金华移动带宽总量90G，可送288个IP，CDN SSL合计使用672个，SSL收费384个，SSL免费128个，CDN 160个均免费：117.147.214.0/24, 117.147.215.0/24
2021年合同约定乙方IP地址按照每万兆赠送32个IPv4地址， 10段/64位 的IPv6地址，超出部分的IPv4地址按照50元/个/月收取</t>
  </si>
  <si>
    <t>截止2022.9.15金华移动带宽总量90G，可送288个IP，CDN SSL合计使用672个，SSL收费384个，SSL免费128个，CDN 160个均免费。223.95.34.0/24;111.2.123.0/27。2021.6与SSL核对使用512个IP，均免费：117.147.214.0/24, 117.147.215.0/24
2021年合同约定乙方IP地址按照每万兆赠送32个IPv4地址， 10段/64位 的IPv6地址，超出部分的IPv4地址按照50元/个/月收取</t>
  </si>
  <si>
    <t>20221130退租</t>
  </si>
  <si>
    <t>20221130退租。剩余160个117.147.213.0/25 117.147.212.0/27</t>
  </si>
  <si>
    <t>JHCM6F-L-11、JHCM6F-L-10、JHCM6F-L-09、JHCM6F-L-08、JHCM6F-L-07、JHCM6F-L-13、JHCM6F-L-12</t>
  </si>
  <si>
    <t>2022/5/31节点退租：JHCM6F-L-11、JHCM6F-L-10、JHCM6F-L-09、JHCM6F-L-08、JHCM6F-L-07、JHCM6F-L-13、JHCM6F-L-12</t>
  </si>
  <si>
    <t>D012F204-E-01、D012F204-E-03、D012F204-E-02、D012F204-E-05、D012F204-E-04、D012F204-E-06</t>
  </si>
  <si>
    <t>D012F204-E-04、D012F204-E-05、D012F204-E-06</t>
  </si>
  <si>
    <t xml:space="preserve">2020.8SYS更正开通数量为2个：JHCM204-E-07、JHCM204-E-08
</t>
  </si>
  <si>
    <t>JHCM204-E-09</t>
  </si>
  <si>
    <t>20221130退租。JHCM204-E-07
JHCM204-E-08
JHCM204-E-09</t>
  </si>
  <si>
    <t>中国移动通信集团浙江有限公司丽水分公司</t>
  </si>
  <si>
    <t>丽水移动</t>
  </si>
  <si>
    <t>182115IDC00161</t>
  </si>
  <si>
    <t>丽水2移动</t>
  </si>
  <si>
    <t>CDNLSCM</t>
  </si>
  <si>
    <t>2022.6带宽60G，每万兆赠送32个IP，送192个IP。实际使用288个，收费96个
112.15.254.0/24 117.147.159.192/27。2021年合同约定乙方IP地址按照每万兆赠送32个IPv4地址， 10段/64位 的IPv6地址，超出部分的IPv4地址按照50元/个/月收取</t>
  </si>
  <si>
    <t>2022/7/31 节点退租。112.15.254.0/24 117.147.159.192/27</t>
  </si>
  <si>
    <t>2020.7调整价格。LS2CM5F-C-09、LS2CM5F-C-10、LS2CM5F-C-11</t>
  </si>
  <si>
    <t>2020.6调整单价，合同审批中
LS2CM5F-C-22、LS2CM5F-C-23</t>
  </si>
  <si>
    <t>2022/7/31 节点退租。LS2CM5F-C-09,LS2CM5F-C-10,LS2CM5F-C-11,LS2CM5F-C-22,LS2CM5F-C-23</t>
  </si>
  <si>
    <t>中国移动通信集团浙江有限公司宁波分公司</t>
  </si>
  <si>
    <t>宁波移动</t>
  </si>
  <si>
    <t>182115IDC00162</t>
  </si>
  <si>
    <t>鄞州机房</t>
  </si>
  <si>
    <t>CDNNBCM</t>
  </si>
  <si>
    <t>2022.6宁波移动80G，可送256个IP，使用288个，收费32个：120.199.69.0/24;120.199.94.160/27。每万兆互联网接入带宽包含 32  个IPv4地址，包含 1段 /64  的IPv6地址，超出部分的IPv4地址按照  50 元/个/月收取</t>
  </si>
  <si>
    <t>202207宁波移动80G，可送256个IP，使用288个，收费32个：120.199.69.0/24;120.199.94.160/27。每万兆互联网接入带宽包含 32  个IPv4地址，包含 1段 /64  的IPv6地址，超出部分的IPv4地址按照  50 元/个/月收取</t>
  </si>
  <si>
    <t>2022/7/31 宁波二级移动节点下线。120.199.69.0/24 120.199.94.160/27</t>
  </si>
  <si>
    <t>宁波杭州湾</t>
  </si>
  <si>
    <t>宁波2移动</t>
  </si>
  <si>
    <t>XACDNNBCM</t>
  </si>
  <si>
    <t>使用288个IP：111.1.162.128/27;111.1.163.0/24
2021年合同约定乙方每万兆互联网接入带宽包含 32  个IPv4地址，包含 1段 /64  的IPv6地址，超出部分的IPv4地址按照  50 元/个/月收取</t>
  </si>
  <si>
    <t>2022/4/30宁波2移动全部退租：使用288个IP：111.1.162.128/27;111.1.163.0/24
2021年合同约定乙方每万兆互联网接入带宽包含 32  个IPv4地址，包含 1段 /64  的IPv6地址，超出部分的IPv4地址按照  50 元/个/月收取</t>
  </si>
  <si>
    <t>NBCM7F-I-06、NBCM7F-I-07、NBCM7F-I-08、NBCM7F-I-09、NBCM7F-I-10、NBCM7F-I-11、NBCM7F-I-12、NBCM7F-I-13</t>
  </si>
  <si>
    <t>2022/7/31 宁波二级移动节点下线。NBCM7F-I-06、NBCM7F-I-07、NBCM7F-I-08、NBCM7F-I-09、NBCM7F-I-10、NBCM7F-I-11、NBCM7F-I-12、NBCM7F-I-13</t>
  </si>
  <si>
    <t>NBCM4F-A-18、NBCM4F-A-19、NBCM4F-A-20、NBCM4F-A-21</t>
  </si>
  <si>
    <t>2022/4/30宁波2移动全部退租：NBCM4F-A-18、NBCM4F-A-19、NBCM4F-A-20、NBCM4F-A-21</t>
  </si>
  <si>
    <t>中国移动通信集团浙江有限公司衢州分公司</t>
  </si>
  <si>
    <t>衢州移动</t>
  </si>
  <si>
    <t>L20230418001</t>
  </si>
  <si>
    <t>衢州</t>
  </si>
  <si>
    <t>CDNQUZHOUCM</t>
  </si>
  <si>
    <t>20230401开始计费，在用700个，183.246.192.0/25
111.3.72.144/28
111.3.72.160/27
111.3.72.240/29
39.174.97.0/25
39.174.97.128/27
39.173.65.0/24
39.173.66.0/26
111.3.72.192/31
111.3.72.194/31
111.3.72.196/30
111.3.72.200/29
111.3.72.208/28
111.3.72.248/30</t>
  </si>
  <si>
    <t>20230401开始计费，2409:8C28:7CE0:0100::/56
2409:8C28:7CE0:0200::/56</t>
  </si>
  <si>
    <t>20230401开始计费，2FD09-D-BEC09</t>
  </si>
  <si>
    <t>中国移动通信集团浙江有限公司绍兴分公司</t>
  </si>
  <si>
    <t>绍兴移动</t>
  </si>
  <si>
    <t>182215IDC00611</t>
  </si>
  <si>
    <t>绍兴3移动</t>
  </si>
  <si>
    <t>CDNSHAOXCM3</t>
  </si>
  <si>
    <t>【BEC新建】绍兴移动新建(SHAOX3CM)：使用384个IP，每万兆送32个，可送640个：111.0.17.0/24
111.0.18.0/26
111.0.18.64/26
IPV6：2409:8C28:6092:0000::/64  
2409:8C28:6092:0001::/64</t>
  </si>
  <si>
    <t>IPv6地址按照0 收取</t>
  </si>
  <si>
    <t>【BEC新建】绍兴移动新建(SHAOX3CM)：BECSHAOX3CM-B-01、BECSHAOX3CM-B-02、BECSHAOX3CM-B-03、BECSHAOX3CM-B-04、BECSHAOX3CM-B-05、BECSHAOX3CM-B-06、BECSHAOX3CM-B-07、BECSHAOX3CM-B-08、BECSHAOX3CM-B-12</t>
  </si>
  <si>
    <t>中国移动通信集团浙江有限公司台州分公司</t>
  </si>
  <si>
    <t>182315IDC00069</t>
  </si>
  <si>
    <t>台州2移动</t>
  </si>
  <si>
    <t>CDNTZCM</t>
  </si>
  <si>
    <t>2022.6开始带宽量为140G，可赠送IP 448个，使用544个，收费96个。2020/5/14开通。每万兆送32个IP，开通340G共送1088个，340G使用544个，均免费
39.175.100.0/24 39.175.101.0/24 117.148.190.96/27
2021年合同约定：乙方IP地址按照每万兆赠送32个，超出部分的IPv4地址按照  50 元/个/月收取</t>
  </si>
  <si>
    <t>2022/7/31退租：39.175.100.128/25 39.175.101.0/24</t>
  </si>
  <si>
    <t xml:space="preserve">2022/7/31退租：39.175.100.128/25 39.175.101.0/24.剩余39.175.100.0/25 117.148.190.96/27 </t>
  </si>
  <si>
    <t>TZ2CM5F-M-01、TZ2CM5F-M-02、TZ2CM5F-M-03、TZ2CM5F-M-04、TZ2CM5F-M-05、TZ2CM5F-M-06、TZ2CM5F-M-07、TZ2CM5F-M-08、TZ2CM5F-M-09、TZ2CM5F-M-10</t>
  </si>
  <si>
    <t>TZ2CM扩容1个机柜：TZ2CM5F-I-10</t>
  </si>
  <si>
    <t>TZ2CM5F-M-06、TZ2CM5F-M-07、TZ2CM5F-M-08、TZ2CM5F-M-09、TZ2CM5F-M-10、TZ2CM5F-I-10</t>
  </si>
  <si>
    <t>TZ2CM5F-M-04,TZ2CM5F-M-05</t>
  </si>
  <si>
    <t>台州3移动</t>
  </si>
  <si>
    <t xml:space="preserve">【BEC新建】台州移动 (TZ3CM)：新增1024个IP，每万兆送32个，可送832个，收费192个：39.175.114.64/26
39.175.114.128/25
39.175.96.0/26
39.175.99.0/24
39.175.97.0/24
39.175.112.0/24
IPV6：2409:8C28:90A0:0005::/64
</t>
  </si>
  <si>
    <t xml:space="preserve">根据2022.9账单看，新增IP未收费。【BEC新建】台州移动 (TZ3CM)：新增1024个IP，每万兆送32个，可送832个，收费192个：39.175.114.64/26
39.175.114.128/25
39.175.96.0/26
39.175.99.0/24
39.175.97.0/24
39.175.112.0/24
IPV6：2409:8C28:90A0:0005::/64
</t>
  </si>
  <si>
    <t>L20230426003</t>
  </si>
  <si>
    <t>边缘计算。39.175.113.0/24</t>
  </si>
  <si>
    <t>2022.10调整计费时间为9.1。【BEC新建】台州移动 (TZ3CM)：新增BECTZ3CM5F-L-14为收费机柜</t>
  </si>
  <si>
    <t>L20221229001</t>
  </si>
  <si>
    <t>2022.10调整计费时间为9.1。【BEC新建】台州移动 (TZ3CM)：BECTZ3CM5F-K-04为客户机柜，不计费，但由于百度设备放在该机架上，故计提在临时合同上进行管理</t>
  </si>
  <si>
    <t>中国移动通信集团浙江有限公司温州分公司</t>
  </si>
  <si>
    <t>182315IDC00118</t>
  </si>
  <si>
    <t>温州2移动</t>
  </si>
  <si>
    <t>CDNWZCM</t>
  </si>
  <si>
    <t xml:space="preserve">2022.8带宽量80G，可送256个，使用160个，均免费。
2022.6带宽量100G，每万兆送32个IP，可送320个，实际使用544个IP，收费224个。每100G最多可分配1段/56的IPv6地址，超出部分的IPv4地址按照 50 元/个/月收取。2020/5/15新建 WZ2CM，使用544个I
112.16.240.0/24 112.16.241.0/24 117.149.239.64/27
</t>
  </si>
  <si>
    <t>2022/7/31退租：112.16.240.128/25，112.16.241.0/24</t>
  </si>
  <si>
    <t>2022/7/31退租：112.16.240.128/25，112.16.241.0/24.剩余160个，112.16.240.0/25 117.149.239.64/27</t>
  </si>
  <si>
    <t>WZ2CM1H2F-D-12,WZ2CM1H2F-D-13,WZ2CM1H2F-D-14,WZ2CM1H2F-D-15,WZ2CM1H2F-D-16,WZ2CM1H2F-D-17,WZ2CM1H2F-D-18,WZ2CM1H2F-D-19,WZ2CM1H2F-D-20</t>
  </si>
  <si>
    <t>WZ2CM退租机柜：WZ2CM1H2F-D-16,WZ2CM1H2F-D-17,WZ2CM1H2F-D-18,WZ2CM1H2F-D-19,WZ2CM1H2F-D-20</t>
  </si>
  <si>
    <t>WZ2CM1H2F-D-14,WZ2CM1H2F-D-15</t>
  </si>
  <si>
    <t>中国移动通信集团浙江有限公司舟山分公司</t>
  </si>
  <si>
    <t>舟山移动</t>
  </si>
  <si>
    <t>182215IDC00399</t>
  </si>
  <si>
    <t>CDNZHOUSCM</t>
  </si>
  <si>
    <t>每万兆赠送32个，共送768个。【BEC新建】舟山移动新建：39.174.57.0/24、39.174.58.0/27；IPV6：2409:8C28:88F1:0000::/56
每万兆送32个IP，共送768个，实际使用288个</t>
  </si>
  <si>
    <t>送10段/64位 的IPv6地址</t>
  </si>
  <si>
    <t>【BEC新建】舟山移动新建240G，使用5个机柜：BECZHOUSCM-4F-B08、BECZHOUSCM-4F-C01、BECZHOUSCM-4F-C02、BECZHOUSCM-4F-C03、BECZHOUSCM-4F-C04</t>
  </si>
  <si>
    <t>边缘计算，120.221.103.128/25</t>
  </si>
  <si>
    <t>ZZJG304-G-01、ZZJG304-G-02、ZZJG304-G-03、ZZJG304-G-04、ZZJG304-H-03、ZZJG304-H-04</t>
  </si>
  <si>
    <t>SZZJ3D203E-A-01、SZZJ3D203E-A-02、SZZJ3D203E-A-03、SZZJ3D203E-A-04、SZZJ3D203E-A-05、SZZJ3D203E-A-06、SZZJ3D203E-A-07、SZZJ3D203E-A-08、SZZJ3D203E-A-09、SZZJ3D203E-A-10</t>
  </si>
  <si>
    <t>SZZJ3D204E-B-06</t>
  </si>
  <si>
    <t>SZZJ3D602E-I-02、SZZJ3D602E-I-03、SZZJ3D602E-I-04、SZZJ3D602E-I-05、SZZJ3D602E-I-06、SZZJ3D602E-I-07、SZZJ3D602E-I-08、SZZJ3D602E-I-09、SZZJ3D602E-I-10、SZZJ3D602E-I-11、SZZJ3D602E-I-12、SZZJ3D602E-I-13、SZZJ3D602E-I-14、SZZJ3D602E-I-15、SZZJ3D603E-I-02、SZZJ3D603E-I-04、SZZJ3D603E-I-06、SZZJ3D603E-I-08、SZZJ3D603E-I-09、SZZJ3D603E-I-10、SZZJ3D603E-I-11、SZZJ3D603E-I-12、SZZJ3D603E-I-13、SZZJ3D603E-I-14、SZZJ3D603E-I-15</t>
  </si>
  <si>
    <t>云托管，
GZNSNSC301-A-13。GZNSNSC301-A-14</t>
  </si>
  <si>
    <t>BJDDM342-H-13
BJDDM342-H-15</t>
  </si>
  <si>
    <t>BJDDM541-D-07
BJDDM541-D-08
BJDDM541-D-09
BJDDM541-E-09
BJDDM541-E-11
BJDDM541-E-12
BJDDM541-F-01
BJDDM541-F-02
BJDDM541-F-03
BJDDM541-F-04
BJDDM541-F-05
BJDDM541-F-06
BJDDM541-F-07
BJDDM541-F-08
BJDDM541-F-09</t>
  </si>
  <si>
    <t>XAKD1D403-B-10
XAKD1D403-B-11
XAKD1D403-B-12</t>
  </si>
  <si>
    <t>XAKD1D403-F-15
XAKD1D403-F-16
XAKD1D403-F-17</t>
  </si>
  <si>
    <t>XAFJ5D204-H-08
XAFJ5D204-I-03
XAFJ5D204-I-04
XAFJ5D204-I-05
XAFJ5D204-I-07
XAFJ5D204-I-13
XAFJ5D204-I-15
XAFJ5D204-J-03
XAFJ5D204-J-13</t>
  </si>
  <si>
    <t>XAFJ5D204-J-11</t>
  </si>
  <si>
    <t>扩容2个CIP：223.109.83.0/24
223.109.84.0/24</t>
  </si>
  <si>
    <t>扩容1个CIP：117.81.175.0/24</t>
  </si>
  <si>
    <t>L20230504027</t>
  </si>
  <si>
    <t>扩容2个CIP：114.112.200.0/24
114.112.201.0/24</t>
  </si>
  <si>
    <t>L20230504028</t>
  </si>
  <si>
    <t>苏州联通</t>
  </si>
  <si>
    <t>CDNSUZUN</t>
  </si>
  <si>
    <t>【BEC新建】苏州联通新增1G 2023-4-10节点正式上线 (CDNSUZUN)：4F401-D-BEC02</t>
  </si>
  <si>
    <t>【BEC新建】苏州联通新增1G 2023-4-10节点正式上线 157.0.149.128/28
157.0.149.192/26
2408:873D:1810:0009::/64
免费128个，超出35元/个</t>
  </si>
  <si>
    <t>SZWG101-G-09</t>
  </si>
  <si>
    <t>+</t>
  </si>
  <si>
    <t xml:space="preserve">2023.4.1开通
GAJLD742-A-05
</t>
  </si>
  <si>
    <t>NJXG103-B-05、NJXG103-B-06、NJXG103-B-07、NJXG103-B-08、NJXG103-B-09</t>
  </si>
  <si>
    <t>BJDDM522-C-10</t>
  </si>
  <si>
    <t>CDNWHGG4A-18-16
CDNWHGG4A-18-15
CDNWHGG4A-18-13
CDNWHGG4A-18-14</t>
  </si>
  <si>
    <t>2023.4.27开通
GAJLD521-A-01
GAJLD521-A-02
GAJLD521-A-03
GAJLD521-A-04
GAJLD521-A-05
GAJLD521-A-06
GAJLD521-A-07
GAJLD521-A-08
GAJLD521-A-09
GAJLD521-A-10
GAJLD521-A-11
GAJLD521-A-13
GAJLD521-A-15
GAJLD521-B-07
GAJLD521-B-09
GAJLD521-B-11
GAJLD521-B-13
GAJLD521-C-01
GAJLD521-D-01
GAJLD521-D-09
GAJLD521-D-11
GAJLD521-D-13
GAJLD521-D-15
GAJLD521-E-01
GAJLD531-R-09
GAJLD531-R-11
GAJLD531-R-12
GAJLD531-S-01
GAJLD531-S-02
GAJLD531-S-03
GAJLD531-S-04
GAJLD531-S-05
GAJLD531-S-06
GAJLD531-S-07
GAJLD531-S-08
GAJLD531-S-09
GAJLD531-S-10
GAJLD531-S-11
GAJLD531-S-12
GAJLD531-S-13
GAJLD531-S-14
GAJLD531-S-15
GAJLD531-S-16
GAJLD531-T-01
GAJLD531-T-02
GAJLD531-T-03
GAJLD531-T-04
GAJLD531-T-05
GAJLD531-T-06
GAJLD531-T-07
GAJLD531-T-08
GAJLD531-T-09
GAJLD531-T-10
GAJLD531-T-11
GAJLD531-T-12
GAJLD531-T-13
GAJLD531-T-14
GAJLD531-T-15
GAJLD531-T-16
GAJLD532-B-09
GAJLD532-B-10
GAJLD532-C-01
GAJLD532-C-02
GAJLD532-C-03
GAJLD532-C-04
GAJLD532-C-05
GAJLD532-C-06
GAJLD532-C-07
GAJLD532-C-08
GAJLD532-C-09
GAJLD532-C-10
GAJLD532-C-11
GAJLD532-C-12
GAJLD532-D-01
GAJLD532-D-02
GAJLD532-D-03
GAJLD532-D-04
GAJLD532-D-05
GAJLD532-D-06
GAJLD532-D-07
GAJLD532-D-08
GAJLD532-D-09
GAJLD532-D-10
GAJLD532-D-11
GAJLD532-D-12
GAJLD532-E-02
GAJLD532-E-03
GAJLD532-E-04
GAJLD532-E-05
GAJLD532-E-06
GAJLD532-E-07
GAJLD532-E-08
GAJLD532-E-09
GAJLD532-E-10
GAJLD532-F-01
GAJLD532-F-02
GAJLD532-F-03
GAJLD532-F-04
GAJLD532-F-05
GAJLD532-F-06
GAJLD532-F-07</t>
  </si>
  <si>
    <t>2023.4.28开通
GAJLD521-A-14
GAJLD521-B-01
GAJLD521-B-02
GAJLD521-B-03
GAJLD521-B-04
GAJLD521-B-05
GAJLD521-B-06
GAJLD521-B-08
GAJLD521-B-12
GAJLD521-B-14
GAJLD521-C-02
GAJLD521-C-03
GAJLD521-C-04
GAJLD521-C-05
GAJLD521-C-06
GAJLD521-C-07
GAJLD521-C-08
GAJLD521-C-09
GAJLD521-C-10
GAJLD521-C-11
GAJLD521-C-12
GAJLD521-C-13
GAJLD521-C-14
GAJLD521-C-15
GAJLD521-D-02
GAJLD521-D-03
GAJLD521-D-04
GAJLD521-D-05
GAJLD521-D-06
GAJLD521-D-07
GAJLD521-D-08
GAJLD531-R-01
GAJLD531-R-02
GAJLD531-R-03
GAJLD531-R-04
GAJLD531-R-05
GAJLD531-R-06
GAJLD531-R-07
GAJLD531-R-08
GAJLD531-R-10</t>
  </si>
  <si>
    <t>2023.4.29开通
GAJLD521-A-16</t>
  </si>
  <si>
    <t>CDMT1D603-D-25</t>
  </si>
  <si>
    <t>CDMT1D603-E-16</t>
  </si>
  <si>
    <t>CDMT1D603-F-03、CDMT1D603-F-04、CDMT1D603-F-05、CDMT1D603-F-06、CDMT1D603-F-07、CDMT1D603-F-08、CDMT1D603-F-09、CDMT1D603-F-10、CDMT1D603-F-11、CDMT1D603-F-12、CDMT1D603-F-13、CDMT1D603-F-14、</t>
  </si>
  <si>
    <t>CDMT1D603-F-02</t>
  </si>
  <si>
    <t>合同号</t>
  </si>
  <si>
    <t>本月预提是否关联正式合同</t>
  </si>
  <si>
    <t>原因</t>
  </si>
  <si>
    <t>合同状态</t>
  </si>
  <si>
    <t>合同性质</t>
  </si>
  <si>
    <t>合同申请时间</t>
  </si>
  <si>
    <t>签约部门</t>
  </si>
  <si>
    <t>申请人</t>
  </si>
  <si>
    <t>申请部门</t>
  </si>
  <si>
    <t>执行人</t>
  </si>
  <si>
    <t>执行部门</t>
  </si>
  <si>
    <t>替代提交</t>
  </si>
  <si>
    <t>百度签约公司</t>
  </si>
  <si>
    <t>合同类别</t>
  </si>
  <si>
    <t>客户名称</t>
  </si>
  <si>
    <t>申请理由</t>
  </si>
  <si>
    <t>合同开始时间</t>
  </si>
  <si>
    <t>项目号</t>
  </si>
  <si>
    <t>费用类型</t>
  </si>
  <si>
    <t>收款总金额</t>
  </si>
  <si>
    <t>收款币种</t>
  </si>
  <si>
    <t>付款总金额</t>
  </si>
  <si>
    <t>付款币种</t>
  </si>
  <si>
    <t>合同返回时间</t>
  </si>
  <si>
    <t>变更合同</t>
  </si>
  <si>
    <t>变更类型</t>
  </si>
  <si>
    <t>关联合同号</t>
  </si>
  <si>
    <t>合同属性</t>
  </si>
  <si>
    <t>范本名称</t>
  </si>
  <si>
    <t>关联性质</t>
  </si>
  <si>
    <t>关联交易</t>
  </si>
  <si>
    <t>支付境外客户(含港澳台)</t>
  </si>
  <si>
    <t>财务BG</t>
  </si>
  <si>
    <t>履约方式</t>
  </si>
  <si>
    <t>产品线</t>
  </si>
  <si>
    <t>生效</t>
  </si>
  <si>
    <t>非范本合同</t>
  </si>
  <si>
    <t>2023-04-20</t>
  </si>
  <si>
    <t>基础资源战略合作部</t>
  </si>
  <si>
    <t>林加</t>
  </si>
  <si>
    <t>中后台组</t>
  </si>
  <si>
    <t>基础资源商务组</t>
  </si>
  <si>
    <t>是</t>
  </si>
  <si>
    <t>甲方:北京百度网讯科技有限公司;</t>
  </si>
  <si>
    <t>IDC/ITE合同</t>
  </si>
  <si>
    <t>乙方:中国移动通信集团广东有限公司广州分公司_IDC(待审核);</t>
  </si>
  <si>
    <t xml:space="preserve">1.月度需求2022年3月，2022年8月，2022年12月
2.合同概要：续签商务条件如下：
1）机柜：2023年2月至2023年7月4.4kw机柜4800元/个/月，非4.4kw机柜按照此单价折算， 以实际使用资源计费。机柜降幅2%。
2）静态带宽：与原合同一致，即单价2万元/G/月，华新园与博浩机房合并端口计费，合并保底80G（保底13%），同时每月给予4G免费流量。目前华新园22个万兆，博浩40个万兆，共计62个万兆端口。
3）光纤：广州南沙到广州科学城双路由裸光纤免费。广州南沙到深圳双路由裸光纤原合同12万元/月，此次由于移动无法进行更多机柜降价，故减免光纤费用，减免追溯至21年8月，即光纤免费两年共计288万元。折算至机柜单价，折合4780元/柜/月，降幅4.4%。
3.预估金额：(4800*2051+9600*1+15000*16+19637*2+26182*2+8728*6)*11+（20000*80*11）= 130,222,466.00 元
</t>
  </si>
  <si>
    <t>2023-02-01</t>
  </si>
  <si>
    <t>2023-12-31</t>
  </si>
  <si>
    <t>付款</t>
  </si>
  <si>
    <t>130222466</t>
  </si>
  <si>
    <t>人民币</t>
  </si>
  <si>
    <t>2023-04-24</t>
  </si>
  <si>
    <t>,PeriodChange,GoodsUpdate,</t>
  </si>
  <si>
    <t>182215IDC00268</t>
  </si>
  <si>
    <t>IDC战略合作部-国内-IDC-机房</t>
  </si>
  <si>
    <t>否</t>
  </si>
  <si>
    <t>ACG</t>
  </si>
  <si>
    <t>182315IDC00159</t>
  </si>
  <si>
    <t>框架合同</t>
  </si>
  <si>
    <t>范本合同</t>
  </si>
  <si>
    <t>2023-04-19</t>
  </si>
  <si>
    <t>乙方:哈尔滨臻云科技有限公司_IDC(待审核);</t>
  </si>
  <si>
    <t>1.CDN框架合同，无月度需求审批信息 
2.合同概要：本合同为框架合同，不涉及资源数量及价格，无需月度需求审批。具体资源数量及价格以各节点订单为准 
3.预估金额=0</t>
  </si>
  <si>
    <t>2023-03-01</t>
  </si>
  <si>
    <t>2024-02-29</t>
  </si>
  <si>
    <t>2023-04-21</t>
  </si>
  <si>
    <t>IDC战略合作部-国内-CDN</t>
  </si>
  <si>
    <t>IDC-SA合同正本-2</t>
  </si>
  <si>
    <t>乙方:哈尔滨臻云科技有限公司_IDC;</t>
  </si>
  <si>
    <t>此供应商已签署框架协议（合同号182315IDC00159），在框架协议下增加哈尔滨电信的资源订单，具体资源情况如下： 
按照需求，黑龙江哈尔滨电信-存量240G-续约-代理
1.月度需求在2023年1月 
2.带宽：30%保底，95计费，自2023年3月1日起单价由6250元/G/月降价至5000元/G/月，相比原价降幅20%，相比集约9500元/G/月降幅47.37%。按照95计费45%利用率，相比集约节约（9500-5000）*12*240*45%=583.2万元/年
3.机柜：单价4000元，免费24个，在用6个，以实际开通为准 
4.IP：IPV4单价50元，免费768个，在用416个，IPV6按需赠送。以实际开通为准 
5.预估金额：5000*240*30%*12=  4,320,000.00 元</t>
  </si>
  <si>
    <t>4320000</t>
  </si>
  <si>
    <t>框架下订单</t>
  </si>
  <si>
    <t>吴蕊</t>
  </si>
  <si>
    <t>乙方:中国移动通信集团江苏有限公司盐城分公司_IDC(待审核);</t>
  </si>
  <si>
    <t>1、月度需求在2023年1月。
2、合同概要：江苏省盐城市移动合同续签至2023年5月31日，商务条件与2022年集约价格保持不变。
BEC带宽200G，保底40%，95计费，6740元/G/月；1个收费机柜，单价4300元；IP免费提供512个。
22年6月6日申请了12个月的合同，由于移动集约限制只签到了12月31日，现集约价格可续签半年，本合同仅申请续签到23年5月31日。
3、预估金额=(带宽200*保底40%*6740元+机柜1个*单价4300元)*5个月</t>
  </si>
  <si>
    <t>2023-01-01</t>
  </si>
  <si>
    <t>2717500</t>
  </si>
  <si>
    <t>2023-04-26</t>
  </si>
  <si>
    <t>182315IDC00026</t>
  </si>
  <si>
    <t>182315IDC00161</t>
  </si>
  <si>
    <t>语音</t>
  </si>
  <si>
    <t>王玉伟</t>
  </si>
  <si>
    <t>乙方:安徽智侒信信息技术有限公司_IDC(待审核);</t>
  </si>
  <si>
    <t>1、合同概要：前期与供应商【智侒信】签署的《语音号码验证服务采购合同》于2023年3月31日到期，现进行续约。此合同为ACG AI应用产品部提供号码认证类资源，本次续约价格保持不变。
2、预估金额=预估月度消费金额*12=1,200,000.00元</t>
  </si>
  <si>
    <t>2023-04-01</t>
  </si>
  <si>
    <t>2024-04-30</t>
  </si>
  <si>
    <t>1200000</t>
  </si>
  <si>
    <t>IDC战略合作部-国内-其他</t>
  </si>
  <si>
    <t>语音号码验证服务采购合同</t>
  </si>
  <si>
    <t>182315IDC00153</t>
  </si>
  <si>
    <t>2023-04-18</t>
  </si>
  <si>
    <t>乙方:北京易掌云峰科技有限公司_IDC(待审核);</t>
  </si>
  <si>
    <t>1、合同概要：为支撑ACGCRM外呼需求，持续优化供应商池，引入供应商【易掌云峰】的语音线路资源，可保障投诉比15万分钟时不断供。
 2、预估金额=600000元</t>
  </si>
  <si>
    <t>2024-04-23</t>
  </si>
  <si>
    <t>600000</t>
  </si>
  <si>
    <t>语音线路采购协议</t>
  </si>
  <si>
    <t>乙方:山西卡伏科技有限公司_IDC(待审核);</t>
  </si>
  <si>
    <t xml:space="preserve">供应商已签署框架协议（合同号182215IDC00708 ），在框架协议下增加太原移动的资源订单，具体资源情况如下：
按照需求，山西太原移动-存量100G（包端口）-续约-代理
1.月度需求在2023年1月
2.带宽：4500元/G/月，包端口计费。折算成95峰值计费价格是5625元，相比集约6740元/G/月，降幅16.54%。按照95计费80%利用率，相比集约节约（6740*100*80%-4500*100）*12=107.04万元/年 
3.机柜：单价5000元，在用3个，以实际开通为准
4.IP：IPV4 单价50元，免费256个，在用256个；IPV6 按需赠送，以实际开通为准
5.预估金额：（5000*3+4500*100*100%）*10= 4,650,000.00 元
</t>
  </si>
  <si>
    <t>4650000</t>
  </si>
  <si>
    <t>182215IDC00708</t>
  </si>
  <si>
    <t>李佳</t>
  </si>
  <si>
    <t>乙方:中国移动通信集团宁夏有限公司_IDC(待审核);</t>
  </si>
  <si>
    <t>1、月度需求在2023年1月。
2、合同概要：宁夏省移动合同续签至2023年6月30日，商务条件与2022年集约价格保持不变。
带宽2023.01-2023.02共260G，3月开始新增200G，共460G，保底40%，95计费，6740元/G/月；
机柜2023.01-2023.02共收费10个16A机柜，5000元/柜/月；3月开始新增5个20A机柜，5500元/柜/月，免费0个；
IP收费0个，50元/个/月；
3、预估金额=带宽260G*保底率40%*单价6740*2个月+带宽460G*保底率40%*单价6740*4个月+机柜10个*单价5000*6个月+机柜5个*单价5500*4个月+无收费IP数量</t>
  </si>
  <si>
    <t>2023-06-30</t>
  </si>
  <si>
    <t>6772560</t>
  </si>
  <si>
    <t>182315IDC00026 182115IDC00185</t>
  </si>
  <si>
    <t>乙方:中国移动通信集团陕西有限公司西安分公司_IDC(待审核);</t>
  </si>
  <si>
    <t>1、月度需求在2023年1月。
2、合同概要：陕西省西安移动合同续签至2023年6月30日，商务条件与2022年集约价格保持不变。
     带宽260G，保底40%，95计费，6740元/G/月；
     机柜收费14个，5000元/柜/月；免费0个；
     IP收费0个，50元/个/月；
3、预估金额=带宽260G*保底率40%*单价6740*6个月+机柜14个*单价5000*6个月+无收费IP数量</t>
  </si>
  <si>
    <t>4625760</t>
  </si>
  <si>
    <t>182315IDC00026 182115IDC00168</t>
  </si>
  <si>
    <t>乙方:中国移动通信集团陕西有限公司汉中分公司_IDC(待审核);</t>
  </si>
  <si>
    <t>1、月度需求在2022年10月，2022年12月，2023年1月。
2、合同概要：陕西省汉中市移动合同续签至2023年6月30日，商务条件与2022年集约价格保持不变。
     带宽800G，保底40%，95计费，6740元/G/月；
     IP收费0个，50元/个/月；
3、预估金额=(带宽800G*保底率40%*单价6740+无收费IP数量）*6个月</t>
  </si>
  <si>
    <t>12940800</t>
  </si>
  <si>
    <t>182315IDC00026 182115IDC00150</t>
  </si>
  <si>
    <t>182315IDC00154</t>
  </si>
  <si>
    <t>带宽合同</t>
  </si>
  <si>
    <t>王冬雨</t>
  </si>
  <si>
    <t>乙方:乌兰察布华为云计算技术有限公司_IDC(待审核);</t>
  </si>
  <si>
    <t>1、月度需求在2023年2月。
2、与华为续签商业CDN双向合作合同，采购价格8400元/G/月，1000进制，月95计费，包头系数1.1。
3、预估金额=8400元*12月*900G</t>
  </si>
  <si>
    <t>90720000</t>
  </si>
  <si>
    <t>,PeriodChange,</t>
  </si>
  <si>
    <t>182215IDC00183 182215IDC00442</t>
  </si>
  <si>
    <t>2023-04-17</t>
  </si>
  <si>
    <t>乙方:中国移动通信集团陕西有限公司商洛分公司_IDC(待审核);</t>
  </si>
  <si>
    <t>1、月度需求在2023年1月。
2、合同概要：陕西省商洛市移动合同续签至2023年6月30日，商务条件与2022年集约价格保持不变。
带宽260G，保底40%，95计费，6740元/G/月；
IP收费0个，50元/个/月；
3、预估金额=带宽260G*保底率40%*单价6740+无收费IP数量）*6个月</t>
  </si>
  <si>
    <t>4205760</t>
  </si>
  <si>
    <t>182315IDC00026 182115IDC00167</t>
  </si>
  <si>
    <t>乙方:中国移动通信集团甘肃有限公司_IDC(待审核);</t>
  </si>
  <si>
    <t>1、月度需求在2023年1月。
2、合同概要：甘肃省移动合同续签至2023年6月30日，商务条件与2022年集约价格保持不变。
带宽240G，保底40%，95计费，6740元/G/月；
机柜收费6个，5500元/柜/月;免费0个；
IP收费0个，50元/个/月；
3、预估金额=带宽240G*保底率40%6*单价6740+机柜6个*单价5500+无收费IP数量）*6个月</t>
  </si>
  <si>
    <t>4080240</t>
  </si>
  <si>
    <t>182315IDC00026 182115IDC00183</t>
  </si>
  <si>
    <t>2023-04-16</t>
  </si>
  <si>
    <t>乙方:中国移动通信集团安徽有限公司_IDC(待审核);</t>
  </si>
  <si>
    <t>1、月度需求在2023年1月。
2、合同概要：安徽省移动合同续签至2023年6月30日，商务条件与2022年集约价格保持不变。
带宽560G，保底40%，95计费，6740元/G/月；
机柜收费21个，5000元/柜/月;免费0个；
IP收费0个，50元/个/月；
3、预估金额=收费机柜数量21*单价5000+带宽560G*保底率40%*单价6740+无收费IP数量）*6个月=</t>
  </si>
  <si>
    <t>9568560</t>
  </si>
  <si>
    <t>182315IDC00026 182115IDC00208</t>
  </si>
  <si>
    <t>2023-04-15</t>
  </si>
  <si>
    <t>乙方:上海云瑞智通实业有限公司_IDC(待审核);</t>
  </si>
  <si>
    <t>此供应商已签署框架协议（合同号182215IDC00242），在框架协议下增加南通电信的资源订单，具体资源情况如下： 
按照需求，江苏南通电信-存量100G-续约-代理
1.月度需求在2023年1月 
2.带宽：30%保底，6916.67元/G/月；较集约价9500元/G/月，降价27% 。按照95计费45%利用率，按照95计费45%利用率，相比集约节约（9500-6916.67）*12*100*45%/10000= 139.50万元/年
3.机柜：单价4000元，在用3个。以实际开通为准 
4.IP：IPV4单价50元，在用160个，免费64个，收费96个，IPV6赠送/64。以实际开通为准 
5.预估金额：(6916.67*100*30%+4000*3+50*96)*12=  2,691,601.20 元</t>
  </si>
  <si>
    <t>2024-01-31</t>
  </si>
  <si>
    <t>2691601.2</t>
  </si>
  <si>
    <t>2023-04-23</t>
  </si>
  <si>
    <t>182215IDC00242</t>
  </si>
  <si>
    <t>此供应商已签署框架协议（合同号182215IDC00242），在框架协议下增加黄石电信的资源订单，具体资源情况如下： 
按照需求，湖北黄石电信（平均流量）-存量200G-续约-代理
1.月度需求在2023年3月 
2.带宽：13750元/G/月，20%保底，均值计费；按照2.4系数折算为95计费价格5729.17元/G/月；较集约价9500元/G/月，降幅39.7%。按照95计费45%利用率，相比集约节约（9500-13750/2.4）12*200*45%=407.3万元/年
3.机柜：机柜单价由4000元调整为3800元，降幅5%，在用4个。以实际开通为准 
4.IP：IPV4单价50元，免费320个，在用288个，IPV6赠送/64。以实际开通为准 
5.预估金额：3800*4*12+200*20%*13750*12= 6,782,400.00 元</t>
  </si>
  <si>
    <t>2024-03-31</t>
  </si>
  <si>
    <t>6782400</t>
  </si>
  <si>
    <t>182315IDC00134</t>
  </si>
  <si>
    <t>2023-04-14</t>
  </si>
  <si>
    <t>乙方:派欧云计算（上海）有限公司_IDC(待审核);</t>
  </si>
  <si>
    <t>1、月度需求在2023年3月。
2、PPIO-XCDN汇聚-存量优化，自2023年3月1日起，移动2350元/G/月、电联3350元/G/月，移动降幅10.63%、电联降幅6.94%。
3、预估金额=（100G*2350+100G*3350）*12个月</t>
  </si>
  <si>
    <t>6840000</t>
  </si>
  <si>
    <t>,GoodsUpdate,</t>
  </si>
  <si>
    <t>182215IDC00445</t>
  </si>
  <si>
    <t>乙方:北京和顺泰科技有限公司_IDC(待审核);</t>
  </si>
  <si>
    <t>此供应商已签署框架协议（合同号182215IDC00232），在框架协议下增加武汉电信的资源订单，具体资源情况如下： 
按照需求，湖北武汉电信-存量200G-续约-代理
1.月度需求在2023年3月 
2.带宽： 30%保底，95计费，自2023年4月1日起单价由6300元/G/月调整为5083.33元/G/月，较原价格降幅19.3%，相比集约9500元/G/月，降幅46.5%。按照95计费45%利用率，相比集约节约（9500-5083.33）*12*200*45%=477万元/年
3.机柜：单价5000元，在用4个。以实际开通为准 
4.IP：IPV4单价50元，免费288个，在用288个，IPV6赠送/64。以实际开通为准 
5.预估金额：5083.33*200*30%*12+5000*4*12= 3,899,997.60 元</t>
  </si>
  <si>
    <t>3899997.6</t>
  </si>
  <si>
    <t>182215IDC00232</t>
  </si>
  <si>
    <t>乙方:杭州云之盟科技有限公司_IDC(待审核);</t>
  </si>
  <si>
    <t>此供应商已签署框架协议（合同号182215IDC00228），在框架协议下增加金华电信的资源订单，具体资源情况如下：
按照需求，浙江金华电信-新增机柜（边缘计算）-代理
1.月度需求审批信息在2023年3月
2.机柜：单价3300元，新增4个，以实际开通为准
3.IP：IPV6免费提供1段/56
4.预估金额：3300*4*8/31+3300*4*7= 95,806.45 元</t>
  </si>
  <si>
    <t>2023-03-24</t>
  </si>
  <si>
    <t>2023-09-30</t>
  </si>
  <si>
    <t>95806.45</t>
  </si>
  <si>
    <t>182215IDC00228</t>
  </si>
  <si>
    <t>192315IDC00132</t>
  </si>
  <si>
    <t>2023-04-13</t>
  </si>
  <si>
    <t>甲方:百度在线网络技术（北京）有限公司上海软件技术分公司;</t>
  </si>
  <si>
    <t>乙方:中国电信股份有限公司上海分公司_IDC(待审核);</t>
  </si>
  <si>
    <t>1、为支撑萝卜快跑客服语音类需求，需要向上海电信申请400号码资源。
1）本次申请按主协议1920181PCKF00499新开通上海电信400号码1个（4008206677）。
2）按主协议优惠资费执行：本地0.1元/分钟，长途0.13元/分钟"
2、审批自PR流程审批，无月度需求审批信息，PR：469731。</t>
  </si>
  <si>
    <t>12000</t>
  </si>
  <si>
    <t>,GoodsAdd,</t>
  </si>
  <si>
    <t>1920181PCKF00499</t>
  </si>
  <si>
    <t>MEG</t>
  </si>
  <si>
    <t>182315IDC00131</t>
  </si>
  <si>
    <t>2023-04-12</t>
  </si>
  <si>
    <t>乙方:北京智奇数美科技有限公司_IDC(待审核);</t>
  </si>
  <si>
    <t>为配合ACG AI应用产品部业务发展，前期与供应商【智奇数美】签署的《号码品牌认证战略合作协议》于2023年4月7日到期，现进行续约。 续约后价格为原合同的8折且免除品牌认证费用。</t>
  </si>
  <si>
    <t>2023-04-08</t>
  </si>
  <si>
    <t>2024-04-07</t>
  </si>
  <si>
    <t>182315IDC00129</t>
  </si>
  <si>
    <t>该节点已退租，仅跑了2022.9一个月，用临时合同预提且金额为零，不影响预提（详见备注3）</t>
  </si>
  <si>
    <t>2023-04-11</t>
  </si>
  <si>
    <t>乙方:北京新流万联网络技术有限公司_IDC(待审核);</t>
  </si>
  <si>
    <t>此供应商已签署框架协议（合同号182315IDC00120 ），在框架协议下增加V石家庄移动（裸金属）的资源订单
具体资源情况如下： 按照需求，2022年9月新建河北石家庄移动裸金属100G，使用1个月
1、月度需求在2022年10月。
2、带宽：5200元/G/月，月95计费，40%保底，相比集约6740元/G/月降幅22.84%。
3、IP：PV4每个万兆端口送64个，超出单价50元；IPV6按需赠送。以实际开通为准
4、预估金额=100G*0.4*5200元/G/月*1个月</t>
  </si>
  <si>
    <t>2022-09-01</t>
  </si>
  <si>
    <t>2023-08-31</t>
  </si>
  <si>
    <t>208000</t>
  </si>
  <si>
    <t>182315IDC00120</t>
  </si>
  <si>
    <t>182315IDC00130</t>
  </si>
  <si>
    <t>短信</t>
  </si>
  <si>
    <t>史昕</t>
  </si>
  <si>
    <t>乙方:浙江盘兴数智科技股份有限公司_IDC(待审核);</t>
  </si>
  <si>
    <t>新签框架，为我司提供三网物流和金融短信通道。</t>
  </si>
  <si>
    <t>11061710.52</t>
  </si>
  <si>
    <t>企业短信业务合作协议书（日常项目）</t>
  </si>
  <si>
    <t>2023-04-10</t>
  </si>
  <si>
    <t>乙方:中国移动通信集团四川有限公司_IDC(待审核);</t>
  </si>
  <si>
    <t xml:space="preserve">1.月度需求在2023年1月
2.合同概要：四川移动合同续签至2023年6月30日，商务条件与2022年集约价格保持不变
1）带宽：四川移动600G（CDN580+边缘计算20G），单价6740元/G/月，保底40%，95计费
2）机柜：单价3750元/个/月，收费17个，以实际开通为准
3）IP：IPV4单价50元，免费1504个，在用1504个，以实际开通为准
4）预估金额：（600*6740*40%+3750*17）*6=10,088,100.00 元
</t>
  </si>
  <si>
    <t>10088100</t>
  </si>
  <si>
    <t>182315IDC00026 182115IDC00201</t>
  </si>
  <si>
    <t>2023-04-09</t>
  </si>
  <si>
    <t>乙方:广州贝云信息科技有限公司_IDC(待审核);</t>
  </si>
  <si>
    <t>此供应商已签署框架协议（合同号182315IDC00033），在框架协议下增加佛山电信的资源订单，具体资源情况如下：
按照需求，广东佛山电信-存量100G-换供应商-代理
1.月度需求审批信息在2022年10月
2.带宽：8333元/G/月，30%保底，95计费。较直签11667元/G/月降幅28.58% 。按照95计费45%利用率，相比直签节约（11667-8333）*9*100*45%/10000= 135.03 万元/年
3.机柜：单价4000元，在用3个，以实际开通为准
4.IP：IPV4 单价50元，免费288个，在用160个；IPV6 免费/56，以实际开通为准
5.原资源签署主体为广州宏云互联网络科技有限公司，按照代理商要求2023年2月1日开始使用广州贝云信息科技有限公司
6.预估金额：4000*3*9+100*30%*8333*9=   2,357,910.00 元</t>
  </si>
  <si>
    <t>2023-10-31</t>
  </si>
  <si>
    <t>2357910</t>
  </si>
  <si>
    <t>182315IDC00033</t>
  </si>
  <si>
    <t>2023-04-07</t>
  </si>
  <si>
    <t>此供应商已签署框架协议（合同号182315IDC00033），在框架协议下增加九江电信的资源订单，具体资源情况如下：
按照需求，江西九江电信-存量100G-换供应商-代理
1.月度需求审批信息在2022年9月
2.带宽：6333元/G/月，30%保底，95计费。相比集约9500元/G/月降幅33.34%.按照95计费45%利用率，相比集约节约（9500-6333）*8*200*45%/10000=  228.02 万元/年
3.机柜：2023年2月1日起单价由4500元调整为4000元，在用4个，以实际开通为准
4.IP：IPV4 单价50元，免费288个，在用288个；IPV6 免费/56，以实际开通为准
5.原资源签署主体为广州宏云互联网络科技有限公司，按照代理商要求2023年2月1日开始使用广州贝云信息科技有限公司
6.预估金额：4000*4*8+100*30%*6333*8=  1,647,920.00 元</t>
  </si>
  <si>
    <t>1647920</t>
  </si>
  <si>
    <t>182315IDC00124</t>
  </si>
  <si>
    <t>乙方:中国联合网络通信有限公司上海市分公司_IDC(待审核);</t>
  </si>
  <si>
    <t>1、合同概要：为支持ACG语音类业务发展，增加号码号线资源储备，引入上海联通直连语音线路，线路资源较低为6秒计费，价格处于行业低位。
2、预估金额=预估月度消费金额*12=1,200,000.00元</t>
  </si>
  <si>
    <t>2024-04-19</t>
  </si>
  <si>
    <t>2022315IDC00126</t>
  </si>
  <si>
    <t>甲方:百度时代网络技术（北京）有限公司&amp;mdash;总部;</t>
  </si>
  <si>
    <t>乙方:北京国都互联科技有限公司_IDC(待审核);</t>
  </si>
  <si>
    <t>该供应商为老供应商，为百度提供新产品5G短消息和阅信三网通道。</t>
  </si>
  <si>
    <t>2024-03-01</t>
  </si>
  <si>
    <t>乙方:深圳市新国都万联科技通信有限公司_IDC(待审核);</t>
  </si>
  <si>
    <t xml:space="preserve">1.月度需求在2022年11月
2.合同概要：按照需求，新疆乌鲁木齐电信-存量120G降价-代理，40%保底，95计费
1）带宽：2023年1月31日-2023年6月30日带宽单价为5833.3元/G/月，相比原价6667元/G/月降幅12.5%，相比直签价9600元/G/月降幅39.2%；2023年7月1日-2023年12月31日带宽单价为5416.6元/G/月，相比原价6667元/G/月降幅18.8%，相比直签价9600元/G/月降幅43.6%。按照95计费45%利用率，相比直签节约(9600-5833.3)*6*120*45%/10000+(9600-5416.6)*6*120*45%/10000=257.58万元/年
2）机柜：4500元，在用5个，以实际开通为准
3）IP：IPV4单价50元，在用288个，收费96个，免费192个
3.预估金额：50*96*12+4500*5*12+5833.3*120*40%*6+5416.6*120*40%= 2,267,587.20 元
</t>
  </si>
  <si>
    <t>2267587.2</t>
  </si>
  <si>
    <t>2023-04-04</t>
  </si>
  <si>
    <t>1、CDN框架合同，无月度需求审批信息。 
2、合同概要：本合同为框架合同，不涉及资源数量及价格，无需月度需求审批。具体资源数量及价格以各节点订单为准。 
3、预估金额=0</t>
  </si>
  <si>
    <t>002315IDC00115</t>
  </si>
  <si>
    <t>2023-04-03</t>
  </si>
  <si>
    <t>甲方:百度在线网络技术（北京）有限公司;丙方:北京百度网讯科技有限公司;</t>
  </si>
  <si>
    <t>乙方:北京天润融通科技股份有限公司_IDC(待审核);</t>
  </si>
  <si>
    <t>为配合ACG语音业务发展，与供应商【天润融通】进行价格谈判，将号码状态检测采购价格由0.03元/条降为0.023元/条，同时根据公司要求，将签约主体由百度在线变更为百度网讯，鉴于上述原因需签署补充协议。</t>
  </si>
  <si>
    <t>2023-12-24</t>
  </si>
  <si>
    <t>,CompanyChange,GoodsUpdate,</t>
  </si>
  <si>
    <t>152115IDC00641 152215IDC00702</t>
  </si>
  <si>
    <t>乙方:中国移动通信集团浙江有限公司杭州分公司_IDC(待审核);</t>
  </si>
  <si>
    <t>1.月度需求在2023年1月，2022年10月
2.合同概要：浙江省杭州移动合同续签至2023年6月30日，商务条件与2022年集约价格保持不变
1）带宽310G，单价6740元/G/月，保底40%，95计费
2）机柜单价4300元/个/月，收费10个，在用10个，以实际开通为准
3）IP：IPV4单价50元/个/月，其中110G带宽免费352个，收费288个，200G带宽免费640个；IPV6 赠送4段/64，以实际开通为准
3.预估金额：（6740*310*40%+4300*10*50*288）*6=  5,358,960.00  元</t>
  </si>
  <si>
    <t>5358960</t>
  </si>
  <si>
    <t>182315IDC00026 182115IDC00158</t>
  </si>
  <si>
    <t>臧明杰</t>
  </si>
  <si>
    <t>乙方:中国联合网络通信有限公司常州市分公司_IDC(待审核);</t>
  </si>
  <si>
    <t xml:space="preserve">1、月度需求在2023年1月。
2、南京-昆山联通光纤原资费：460元/KM/月，现降价为400元/KM/月，总长度：1948.22KM，机柜3500元/柜/月，共使用15个。合计年节省：140万元，降幅13%。主体由联通数科转签为常州联通。
3、预估金额=400元/KM/对芯*1948.22KM*12个月+3500元/柜/月*15个*12个月
</t>
  </si>
  <si>
    <t>9981456</t>
  </si>
  <si>
    <t>IDC战略合作部-国内-IDC-非机房</t>
  </si>
  <si>
    <t>乙方:中国移动通信集团浙江有限公司温州分公司_IDC(待审核);</t>
  </si>
  <si>
    <t>1.月度需求在2023年1月
2.合同概要：浙江省温州移动合同续签至2023年6月30日，商务条件与2022年集约价格保持不变
1）带宽80G，单价6740元/G/月，保底40%，95计费
2）机柜单价4300元/个/月，收费2个，在用2个，以实际开通为准
3）IP：IPV4单价50元/个/月，免费160个，在用160个；IPV6 赠送1段/64，以实际开通为准
3.预估金额：（6740*80*40%+4300*2）*6=  1,345,680.00 元</t>
  </si>
  <si>
    <t>1345680</t>
  </si>
  <si>
    <t>182315IDC00026 182115IDC00164</t>
  </si>
  <si>
    <t>182315IDC00119</t>
  </si>
  <si>
    <t>为配合ACG语音业务发展，与供应商【天润融通】签署的《通信能力管理平台服务协议》于2023年3月31日到期，现进行续约，续约后单价保持不变。</t>
  </si>
  <si>
    <t>182215IDC00225</t>
  </si>
  <si>
    <t>182315IDC00114</t>
  </si>
  <si>
    <t>乙方:江苏睿鸿网络技术股份有限公司_IDC(待审核);</t>
  </si>
  <si>
    <t>1、月度需求在2023年2月。
2、与睿鸿签订商业CDN补充协议，落实存量优化+续签，承载汽车之家三网业务，采购价格5350元/G/月，1024*3进制，月95计费，包头系数1，较存量降幅4.46%
3、预估金额=单价5350*12月*200G</t>
  </si>
  <si>
    <t>12840000</t>
  </si>
  <si>
    <t>182215IDC00446</t>
  </si>
  <si>
    <t>2023-03-30</t>
  </si>
  <si>
    <t>乙方:中国移动通信集团山东有限公司潍坊分公司_IDC(待审核);</t>
  </si>
  <si>
    <t>1、月度需求在2023年1月。
2、山东潍坊移动新建BEC节点600G，单价6740元/G，保底40%；预留3个机柜，3月23日开通1个，后期开通计费以实际加电时间为准，单价5900元；IP 1536个，均免费
3、预估金额=600G*保底40%*单价6740元*5月+实际开通1个机柜*单价5900*4月</t>
  </si>
  <si>
    <t>2023-02-10</t>
  </si>
  <si>
    <t>8111600</t>
  </si>
  <si>
    <t>2023-03-28</t>
  </si>
  <si>
    <t>此供应商已签署框架协议（合同号182315IDC00033），在框架协议下增加金华电信的资源订单，具体资源情况如下：
按照需求，浙江金华电信-存量200G-换供应商-代理
1.月度需求审批信息在2022年9月
2.带宽：6333元/G/月，30%保底，95计费。相比集约9500元/G/月降幅33.34%。按照95计费45%利用率，相比集约节约（9500-6333）*8*200*45%/10000=  228.02 万元/年
3.机柜：2023年2月1日开始单价由4500元调整为4000元，在用6个，以实际开通为准
4.IP：IPV4 单价50元，免费288个，在用288个；IPV6 免费/56，以实际开通为准
5.原资源签署主体为广州宏云互联网络科技有限公司，按照代理商要求2023年2月1日开始使用广州贝云信息科技有限公司
6.预估金额：4000*6*8+200*30%*6333*8=   3,231,840.00 元</t>
  </si>
  <si>
    <t>3231840</t>
  </si>
  <si>
    <t>182315IDC00102</t>
  </si>
  <si>
    <t>2023-03-22</t>
  </si>
  <si>
    <t>乙方:武汉拓研信息技术有限公司_IDC(待审核);</t>
  </si>
  <si>
    <t>1、月度需求在2023年1月。
2、与拓研新签商业CDN合同，承载快手湖北电信业务，采购价格是5000元/G/月、1024*1进制、月95计费、包头系数1，商务条件优于存量最低价。
3、预估金额=单价5000*100G**12月</t>
  </si>
  <si>
    <t>2022-12-01</t>
  </si>
  <si>
    <t>2023-11-30</t>
  </si>
  <si>
    <t>6000000</t>
  </si>
  <si>
    <t>182315IDC00103</t>
  </si>
  <si>
    <t>乙方:江苏朝宁网络科技有限公司_IDC(待审核);</t>
  </si>
  <si>
    <t>1、月度需求在2022年12月。
2、与朝宁签订补充协议，落实存量优化+续约，存量价格5550元/G/月、1024进制*3，优化价格4800元/G/月、1000进制，降幅7.13%，其余商务条件不变。
3、预估金额=单价4800元*12月*1000G</t>
  </si>
  <si>
    <t>57600000</t>
  </si>
  <si>
    <t>2023-04-25</t>
  </si>
  <si>
    <t>182215IDC00196 182215IDC00440 182215IDC00590</t>
  </si>
  <si>
    <t>182315IDC00099</t>
  </si>
  <si>
    <t>2023-03-21</t>
  </si>
  <si>
    <t>乙方:上海蓝云网络科技有限公司_IDC(待审核);</t>
  </si>
  <si>
    <t>1、与蓝云（世纪互联）新签商业CDN合同，框架协议，无金额，不涉及付款。
2、按照微软要求，须与两个主体分别签订协议：有帮信息科技（北京）有限公司&amp;上海蓝云网络科技有限公司</t>
  </si>
  <si>
    <t>2025-12-31</t>
  </si>
  <si>
    <t>0</t>
  </si>
  <si>
    <t>2023-03-20</t>
  </si>
  <si>
    <t>乙方:中国联合网络通信有限公司定西市分公司_IDC(待审核);</t>
  </si>
  <si>
    <t>1、月度需求2022年10月份 
2、合同概要：甘肃联通：存量40G、95计费百度与甘肃联通合同到期续签，合同号为182215IDC00221，到期日期2022年11月30日， 合计40G
     1）原商务条件：40G、10.8万元/G/年 9000元/G/月、30%保底、4KW机柜/2500/月、2个万兆赠送4个半月测试时长，
     2）现商务条件：40G、10.8万元/G/年 9000元/G/月、30%保底，4KW机柜/2500/月、4个万兆赠送4个月测试时长，带宽降幅0.3%
3、预估金额=带宽单价9000元/G/月 x 带宽X保底30% x 12月份=9000*40*0.3*12=1,296,000.00元
4、月度需求机柜为预估数量，以实际开通为准</t>
  </si>
  <si>
    <t>1296000</t>
  </si>
  <si>
    <t>,OtherProvisionChange,</t>
  </si>
  <si>
    <t>182215IDC00221</t>
  </si>
  <si>
    <t>2023-03-17</t>
  </si>
  <si>
    <t>王孟</t>
  </si>
  <si>
    <t>乙方:广东奥飞数据科技股份有限公司_IDC(待审核);</t>
  </si>
  <si>
    <t>1、此为决策会项目，决策邮件见附件。
2、固安奥飞数据中心一期（7号楼）在前期已完成决策的情况下，经与系统部协同，整体出柜率提升，机柜单价下降（预估降幅6.4%）。
数量单价均在月度需求审批范围内，且经过预算确认。
方案如下：
原方案：8800元/机柜/月包电（租电分离455元/KW/月）
新方案：
a. 整体出柜率提升：7号楼可用机柜数量由1400*40A提升至1600*40A。
b. 交付锁定数量在决策范围内：1期交付数量不变（800个40A业务机柜+200核心机柜），剩余500*40A无罚则锁定（另外500*40A在8号楼交付）。
c. 增加阶梯计费模式：负载&lt;70%，7950元/柜/月，负载≥70%，8550元/柜/月。降幅2.84%-9.66%。当50%机柜处于70%以上负载时，降幅6.4%。
3、预估金额=（20A 17个*3975元+40A 1053个*7950元+80A 4个*18770元+60A 2个*16000元）*60个月=512,760,300.00元。
4、其他资源行说明：预提时将40A机柜全部关联单价为7950元的合同行，若发生（28A＜单机柜平均电流≤40A）时，用此部分的机柜数量*（8550-7950）体现。</t>
  </si>
  <si>
    <t>2027-08-31</t>
  </si>
  <si>
    <t>512760300</t>
  </si>
  <si>
    <t>182315IDC00089</t>
  </si>
  <si>
    <t>2023-03-14</t>
  </si>
  <si>
    <t>乙方:小快（厦门）网络科技有限公司_IDC(待审核);</t>
  </si>
  <si>
    <t xml:space="preserve">1、月度需求在2023年2月。
2、与小快续签PCDN汇聚资源合同承载视频业务，新签XCDN汇聚资源合同。PCDN视频汇聚，移动2300元/G/月、电联3300元/G/月，较存量移动降幅4.16%、电联降幅2.94%；XCDN汇聚，移动2300元/G/月、电联3300元/G/月，1000进制，包头系数1，日95月均计费，该价格处于存量低价水平，可有效提升XCDN汇聚资源供应能力。
3、预估金额=12月*（2300元*50G+3300元*50G+2300元*50G+3300元*50G）
</t>
  </si>
  <si>
    <t>6720000</t>
  </si>
  <si>
    <t>2023-03-13</t>
  </si>
  <si>
    <t>乙方:中国移动通信集团重庆有限公司_IDC(待审核);</t>
  </si>
  <si>
    <t>1.月度需求在2023年1月
2.合同概要：重庆移动合同续签至2023年6月30日，商务条件与2022年集约价格保持不变
1）带宽：重庆移动500G（SSL 20G+CDN 480G）；单价6740元/G/月，保底40%，95计费
2）机柜单价5000元/个/月，收费23个（SSL在用3个+CDN在用20个），以实际开通为准
3）IP：IPV4单价50元/个/月，免费1728个，在用1728个（SSL在用576个+CDN在用1152个）；IPV6 免费5个/64，以实际开通为准
3.预估金额：（500*40%*6740+5000*23）*6=   8,778,000.00 元</t>
  </si>
  <si>
    <t>8778000</t>
  </si>
  <si>
    <t>2023-03-09</t>
  </si>
  <si>
    <t>乙方:中国移动通信集团江苏有限公司扬州分公司_IDC(待审核);</t>
  </si>
  <si>
    <t>1、月度需求在2023年1月。
2、合同概要：江苏省扬州市移动合同续签至2023年6月30日，商务条件与2022年集约价格保持不变。
     带宽360G，保底40%，95计费，6740元/G/月；机柜收费13个，4000元/柜/月；IP使用768个,均免费，超出单价20元。
3、预估金额=(机柜13个*单价4000+带宽360*保底40%*6740元)*6个月。</t>
  </si>
  <si>
    <t>6135360</t>
  </si>
  <si>
    <t>乙方:中国移动通信集团江苏有限公司无锡分公司_IDC(待审核);</t>
  </si>
  <si>
    <t>1、月度需求在2023年1月。
2、合同概要：江苏省无锡市移动合同续签至2023年6月30日，商务条件与2022年集约价格保持不变。
     带宽40G，保底40%，95计费，6740元/G/月；机柜收费4个，5000元/柜/月；IP使用928个，免费584个，收费344个。
3、预估金额=（机柜4个*单价5000元+带宽40G*保底40%*单价6740元+344个*单价50元）*6个月</t>
  </si>
  <si>
    <t>870240</t>
  </si>
  <si>
    <t>1、BEC节点月度需求在2022年10月。
2、合同概要：江苏省盐城市移动合同续签至2023年6月30日，商务条件与2022年集约价格保持不变。
     盐城移动BEC带宽300G，保底40%，95计费，6740元/G/月；无收费机柜；IP免费提供768个，超出20元/个/月。
3、预估金额=(带宽300G*保底40%*6740元)*6个月。</t>
  </si>
  <si>
    <t>4852800</t>
  </si>
  <si>
    <t>2023-03-07</t>
  </si>
  <si>
    <t>1、月度需求2021年10月份 ,云盘链接见附件
2、陕西移动二期大机房：合同6年、共计776个、分别为499个业务机柜、管理网络机柜5个（4.4kw），基础服务机柜106个（8.8kw），核心机柜A2个（30kw），核心机柜B 118个（8.8KW）业务ODF机柜6个（0KW），核心ODF机柜40个（0kw）
商务条件：业务机柜9300元/月/8.8KW、管理网络机柜4650元/月/4.4KW、基础服务机柜9300元/月/8.8KW、核心A 36180元/月/30KW、核心B 9300元/月/8.8KW、
在机房验收交付后预留22个工作日为布线和网络相关设备业务调整，期间免费。
业务机柜起租进度为3：3：2：2 （业务机柜第12个月底前完成验收总量的30%，第24个月完成验收总量的60%，第36个月完成验收总量的80%，预留20%不做起租要求）核心机柜A开通第一年折扣为3折，第二年为6折，第三年为8折，第四年恢复原价，开通后半年为期限，百度任意挑选2个月费用减免（后续签署补充协议或函件不在本合同内约束）
3、预估金额=业务机柜预估金额+网络机柜预估金额=191,840,400.00+4,081,104.00=195,921,504.00
    业务机柜预估金额=机柜单价9300元/8.8KW/月*150*12+机柜单价9300元/8.8KW/月*300*12+机柜单价9300元/8.8KW/月*400*12+（机柜单价9300元/8.8KW/月*400*12）*3=191,840,400.00
   网络机柜预估金额=管理网络机柜单价4650元/4.4KW/月*5*72+基础服务机柜9300元/8.8KW/月*106*72+核心机柜B 9300元/月/8.8KW*118*72+核心机柜A 37130元/月/30KW*0.3+核心机柜A 37130元/月/30KW*0.6+核心机柜A 37130元/月/30KW*0.8+核心机柜A 37130元/月/30KW*3=4,081,104.00</t>
  </si>
  <si>
    <t>2028-11-30</t>
  </si>
  <si>
    <t>195921504</t>
  </si>
  <si>
    <t>乙方:中国移动通信集团浙江有限公司台州分公司_IDC(待审核);</t>
  </si>
  <si>
    <t xml:space="preserve">1.月度需求在2022年9月，2023年1月
2.合同概要：浙江省台州移动合同续签至2023年6月30日，商务条件与2022年集约价格保持不变
1）带宽380G，单价6740元/G/月，保底40%，95计费
2）机柜单价4300元/个/月，收费4个，以实际开通为准
3）IP：IPV4单价50元/个/月，免费1184个，在用1184个；IPV6 赠送2段64位，以实际开通为准
3.预估金额：（6740*380*40%+4300*4）*6= 1,041,680.00 元
</t>
  </si>
  <si>
    <t>1041680</t>
  </si>
  <si>
    <t>182215IDC00695</t>
  </si>
  <si>
    <t>2022-12-22</t>
  </si>
  <si>
    <t>乙方:中国联合网络通信有限公司北京市分公司_IDC(待审核);</t>
  </si>
  <si>
    <t>1、月度需求审批信息在2022年8月，云盘链接见附件。 
2、合同概述：
联通DNS刷新业务合同：解析查询+缓存刷新高级版：
1）20次以下，按照标准价格 8折 执行，即6000元/次。
2）20次以上，超出部分按照标准价格5折执行，即3750元/次。
联通前期报价方案为20次保底+8折，经沟通，由于业务无法预估实际使用次数，因此联通同意免除保底，且超20次部分由8折降低至5折。
按照2022年6-10月测试情况来看，业务共计发起刷新需求2次，推及全年预估使用次数不超过5次。
3、预估金额：次数*单价=5*6000=30000元</t>
  </si>
  <si>
    <t>2022-11-01</t>
  </si>
  <si>
    <t>30000</t>
  </si>
  <si>
    <t>2022-12-07</t>
  </si>
  <si>
    <t>乙方:汇天网络科技有限公司_IDC(待审核);</t>
  </si>
  <si>
    <t>1、月度需求在2022年12月。
2、合同内容：银行监管部门对百信租赁的汇天机房进行审查，要求提供机房风险评估及安全审计检查报告，一次性费用52000元
3、预估金额=52000元</t>
  </si>
  <si>
    <t>52000</t>
  </si>
  <si>
    <t>2023年4月当期</t>
  </si>
  <si>
    <t>线上金额合计</t>
  </si>
  <si>
    <t>非带宽表</t>
  </si>
  <si>
    <t>博睿&amp;听云表</t>
  </si>
  <si>
    <t>线下金额合计</t>
  </si>
  <si>
    <t>核对</t>
  </si>
  <si>
    <t>1、</t>
  </si>
  <si>
    <t>广州移动光纤（南沙-深圳）4月份预提为零，1-3月预提为12万，中台解释刚签完合同系免费故4月预提单价为零，之前多余提的会冲掉</t>
  </si>
  <si>
    <t>2、云之盟4个机柜实际为2023.3开通，但由于SYS 调整资源编码更新（7F04-N-BEC027F04-N-BEC037F04-N-BEC047F04-N-BEC05更新为CACDNJHCT3:7F04:-N-BEC02
CACDNJHCT3:7F04:-N-BEC03
CACDNJHCT3:7F04:-N-BEC04
CACDNJHCT3:7F04:-N-BEC05）</t>
  </si>
  <si>
    <t xml:space="preserve">     故系统显示开通时间为2023.4.1，但实际为3月开通</t>
  </si>
  <si>
    <t>3、北京新流万联网络技术有限公司正式合同182315IDC00129 于2023.4月返回，合同期间22.9.1-23.8.31，但实际仅用了2022.9一个月，后续已退租。</t>
  </si>
</sst>
</file>

<file path=xl/styles.xml><?xml version="1.0" encoding="utf-8"?>
<styleSheet xmlns="http://schemas.openxmlformats.org/spreadsheetml/2006/main">
  <numFmts count="1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0_ "/>
    <numFmt numFmtId="178" formatCode="#,##0.00_ ;[Red]\-#,##0.00\ "/>
    <numFmt numFmtId="179" formatCode="0.0000_ "/>
    <numFmt numFmtId="180" formatCode="0.00_);[Red]\(0.00\)"/>
    <numFmt numFmtId="181" formatCode="#,##0.00000_ ;[Red]\-#,##0.00000\ "/>
    <numFmt numFmtId="182" formatCode="0_);[Red]\(0\)"/>
    <numFmt numFmtId="183" formatCode="#,##0.00_);[Red]\(#,##0.00\)"/>
    <numFmt numFmtId="184" formatCode="0.000_);[Red]\(0.000\)"/>
    <numFmt numFmtId="185" formatCode="_ * #,##0.0000_ ;_ * \-#,##0.0000_ ;_ * &quot;-&quot;????_ ;_ @_ "/>
    <numFmt numFmtId="186" formatCode="yyyy/m/d;@"/>
    <numFmt numFmtId="187" formatCode="0.000000_);[Red]\(0.000000\)"/>
    <numFmt numFmtId="188" formatCode="#,##0.000_ ;[Red]\-#,##0.000\ "/>
  </numFmts>
  <fonts count="37">
    <font>
      <sz val="11"/>
      <color theme="1"/>
      <name val="等线"/>
      <charset val="134"/>
      <scheme val="minor"/>
    </font>
    <font>
      <b/>
      <sz val="10"/>
      <name val="微软雅黑"/>
      <charset val="134"/>
    </font>
    <font>
      <sz val="10"/>
      <name val="微软雅黑"/>
      <charset val="134"/>
    </font>
    <font>
      <b/>
      <sz val="11"/>
      <color theme="1"/>
      <name val="等线"/>
      <charset val="134"/>
      <scheme val="minor"/>
    </font>
    <font>
      <sz val="11"/>
      <color theme="1"/>
      <name val="等线"/>
      <charset val="134"/>
      <scheme val="minor"/>
    </font>
    <font>
      <sz val="11"/>
      <color indexed="8"/>
      <name val="等线"/>
      <charset val="134"/>
      <scheme val="minor"/>
    </font>
    <font>
      <b/>
      <sz val="11"/>
      <name val="宋体"/>
      <charset val="134"/>
    </font>
    <font>
      <sz val="11"/>
      <color theme="1"/>
      <name val="等线"/>
      <charset val="134"/>
    </font>
    <font>
      <sz val="11"/>
      <color theme="1"/>
      <name val="等线"/>
      <charset val="134"/>
    </font>
    <font>
      <sz val="9"/>
      <color rgb="FFFF0000"/>
      <name val="微软雅黑"/>
      <charset val="134"/>
    </font>
    <font>
      <b/>
      <sz val="9"/>
      <name val="微软雅黑"/>
      <charset val="134"/>
    </font>
    <font>
      <sz val="9"/>
      <color rgb="FF000000"/>
      <name val="微软雅黑"/>
      <charset val="134"/>
    </font>
    <font>
      <sz val="9"/>
      <name val="微软雅黑"/>
      <charset val="134"/>
    </font>
    <font>
      <b/>
      <sz val="9"/>
      <color rgb="FF000000"/>
      <name val="微软雅黑"/>
      <charset val="134"/>
    </font>
    <font>
      <sz val="11"/>
      <color theme="1"/>
      <name val="等线"/>
      <charset val="134"/>
      <scheme val="minor"/>
    </font>
    <font>
      <sz val="12"/>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sz val="12"/>
      <color rgb="FF000000"/>
      <name val="等线"/>
      <charset val="134"/>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000000"/>
      <name val="等线"/>
      <charset val="134"/>
    </font>
  </fonts>
  <fills count="39">
    <fill>
      <patternFill patternType="none"/>
    </fill>
    <fill>
      <patternFill patternType="gray125"/>
    </fill>
    <fill>
      <patternFill patternType="solid">
        <fgColor rgb="FF00B0F0"/>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00"/>
        <bgColor indexed="64"/>
      </patternFill>
    </fill>
    <fill>
      <patternFill patternType="solid">
        <fgColor rgb="FFD6FDD0"/>
        <bgColor indexed="64"/>
      </patternFill>
    </fill>
    <fill>
      <patternFill patternType="solid">
        <fgColor theme="5" tint="0.799981688894314"/>
        <bgColor rgb="FF00000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xf numFmtId="42" fontId="14" fillId="0" borderId="0" applyFont="0" applyFill="0" applyBorder="0" applyAlignment="0" applyProtection="0">
      <alignment vertical="center"/>
    </xf>
    <xf numFmtId="0" fontId="15" fillId="0" borderId="0">
      <protection locked="0"/>
    </xf>
    <xf numFmtId="0" fontId="16" fillId="8" borderId="0" applyNumberFormat="0" applyBorder="0" applyAlignment="0" applyProtection="0">
      <alignment vertical="center"/>
    </xf>
    <xf numFmtId="0" fontId="17" fillId="9" borderId="5" applyNumberFormat="0" applyAlignment="0" applyProtection="0">
      <alignment vertical="center"/>
    </xf>
    <xf numFmtId="44" fontId="14" fillId="0" borderId="0" applyFont="0" applyFill="0" applyBorder="0" applyAlignment="0" applyProtection="0">
      <alignment vertical="center"/>
    </xf>
    <xf numFmtId="0" fontId="4" fillId="0" borderId="0">
      <alignment vertical="center"/>
    </xf>
    <xf numFmtId="41" fontId="14" fillId="0" borderId="0" applyFont="0" applyFill="0" applyBorder="0" applyAlignment="0" applyProtection="0">
      <alignment vertical="center"/>
    </xf>
    <xf numFmtId="0" fontId="16" fillId="10" borderId="0" applyNumberFormat="0" applyBorder="0" applyAlignment="0" applyProtection="0">
      <alignment vertical="center"/>
    </xf>
    <xf numFmtId="0" fontId="18" fillId="11" borderId="0" applyNumberFormat="0" applyBorder="0" applyAlignment="0" applyProtection="0">
      <alignment vertical="center"/>
    </xf>
    <xf numFmtId="43" fontId="0" fillId="0" borderId="0" applyFont="0" applyFill="0" applyBorder="0" applyAlignment="0" applyProtection="0">
      <alignment vertical="center"/>
    </xf>
    <xf numFmtId="0" fontId="19"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protection locked="0"/>
    </xf>
    <xf numFmtId="9"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14" fillId="13" borderId="6" applyNumberFormat="0" applyFont="0" applyAlignment="0" applyProtection="0">
      <alignment vertical="center"/>
    </xf>
    <xf numFmtId="0" fontId="19" fillId="14"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7" applyNumberFormat="0" applyFill="0" applyAlignment="0" applyProtection="0">
      <alignment vertical="center"/>
    </xf>
    <xf numFmtId="0" fontId="28" fillId="0" borderId="7" applyNumberFormat="0" applyFill="0" applyAlignment="0" applyProtection="0">
      <alignment vertical="center"/>
    </xf>
    <xf numFmtId="0" fontId="19" fillId="15" borderId="0" applyNumberFormat="0" applyBorder="0" applyAlignment="0" applyProtection="0">
      <alignment vertical="center"/>
    </xf>
    <xf numFmtId="0" fontId="23" fillId="0" borderId="8" applyNumberFormat="0" applyFill="0" applyAlignment="0" applyProtection="0">
      <alignment vertical="center"/>
    </xf>
    <xf numFmtId="0" fontId="19" fillId="16" borderId="0" applyNumberFormat="0" applyBorder="0" applyAlignment="0" applyProtection="0">
      <alignment vertical="center"/>
    </xf>
    <xf numFmtId="0" fontId="29" fillId="17" borderId="9" applyNumberFormat="0" applyAlignment="0" applyProtection="0">
      <alignment vertical="center"/>
    </xf>
    <xf numFmtId="0" fontId="30" fillId="17" borderId="5" applyNumberFormat="0" applyAlignment="0" applyProtection="0">
      <alignment vertical="center"/>
    </xf>
    <xf numFmtId="0" fontId="31" fillId="18" borderId="10" applyNumberFormat="0" applyAlignment="0" applyProtection="0">
      <alignment vertical="center"/>
    </xf>
    <xf numFmtId="0" fontId="16" fillId="19" borderId="0" applyNumberFormat="0" applyBorder="0" applyAlignment="0" applyProtection="0">
      <alignment vertical="center"/>
    </xf>
    <xf numFmtId="0" fontId="19" fillId="20" borderId="0" applyNumberFormat="0" applyBorder="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16" fillId="23" borderId="0" applyNumberFormat="0" applyBorder="0" applyAlignment="0" applyProtection="0">
      <alignment vertical="center"/>
    </xf>
    <xf numFmtId="0" fontId="19" fillId="24" borderId="0" applyNumberFormat="0" applyBorder="0" applyAlignment="0" applyProtection="0">
      <alignment vertical="center"/>
    </xf>
    <xf numFmtId="0" fontId="16"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9" fillId="29" borderId="0" applyNumberFormat="0" applyBorder="0" applyAlignment="0" applyProtection="0">
      <alignment vertical="center"/>
    </xf>
    <xf numFmtId="0" fontId="15" fillId="0" borderId="0">
      <protection locked="0"/>
    </xf>
    <xf numFmtId="0" fontId="19"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9" fillId="33" borderId="0" applyNumberFormat="0" applyBorder="0" applyAlignment="0" applyProtection="0">
      <alignment vertical="center"/>
    </xf>
    <xf numFmtId="0" fontId="15" fillId="0" borderId="0">
      <protection locked="0"/>
    </xf>
    <xf numFmtId="0" fontId="16" fillId="34" borderId="0" applyNumberFormat="0" applyBorder="0" applyAlignment="0" applyProtection="0">
      <alignment vertical="center"/>
    </xf>
    <xf numFmtId="0" fontId="19" fillId="35" borderId="0" applyNumberFormat="0" applyBorder="0" applyAlignment="0" applyProtection="0">
      <alignment vertical="center"/>
    </xf>
    <xf numFmtId="0" fontId="19" fillId="36" borderId="0" applyNumberFormat="0" applyBorder="0" applyAlignment="0" applyProtection="0">
      <alignment vertical="center"/>
    </xf>
    <xf numFmtId="0" fontId="0" fillId="0" borderId="0"/>
    <xf numFmtId="0" fontId="36" fillId="0" borderId="0">
      <protection locked="0"/>
    </xf>
    <xf numFmtId="0" fontId="16" fillId="37" borderId="0" applyNumberFormat="0" applyBorder="0" applyAlignment="0" applyProtection="0">
      <alignment vertical="center"/>
    </xf>
    <xf numFmtId="0" fontId="19" fillId="38" borderId="0" applyNumberFormat="0" applyBorder="0" applyAlignment="0" applyProtection="0">
      <alignment vertical="center"/>
    </xf>
    <xf numFmtId="0" fontId="0" fillId="0" borderId="0"/>
    <xf numFmtId="0" fontId="0" fillId="0" borderId="0"/>
    <xf numFmtId="0" fontId="5" fillId="0" borderId="0">
      <alignment vertical="center"/>
    </xf>
    <xf numFmtId="43" fontId="0" fillId="0" borderId="0" applyFont="0" applyFill="0" applyBorder="0" applyAlignment="0" applyProtection="0">
      <alignment vertical="center"/>
    </xf>
    <xf numFmtId="0" fontId="0" fillId="0" borderId="0">
      <alignment vertical="center"/>
    </xf>
    <xf numFmtId="0" fontId="21" fillId="0" borderId="0">
      <protection locked="0"/>
    </xf>
    <xf numFmtId="0" fontId="36" fillId="0" borderId="0">
      <protection locked="0"/>
    </xf>
    <xf numFmtId="0" fontId="15" fillId="0" borderId="0">
      <protection locked="0"/>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4" fillId="0" borderId="0" applyFont="0" applyFill="0" applyBorder="0" applyAlignment="0" applyProtection="0">
      <alignment vertical="center"/>
    </xf>
    <xf numFmtId="43" fontId="0" fillId="0" borderId="0" applyFont="0" applyFill="0" applyBorder="0" applyAlignment="0" applyProtection="0">
      <alignment vertical="center"/>
    </xf>
  </cellStyleXfs>
  <cellXfs count="575">
    <xf numFmtId="0" fontId="0" fillId="0" borderId="0" xfId="0"/>
    <xf numFmtId="0" fontId="0" fillId="2" borderId="0" xfId="0" applyFill="1"/>
    <xf numFmtId="0" fontId="1" fillId="0" borderId="0" xfId="0" applyFont="1" applyFill="1" applyBorder="1" applyAlignment="1"/>
    <xf numFmtId="0" fontId="2" fillId="3" borderId="0" xfId="0" applyFont="1" applyFill="1" applyBorder="1" applyAlignment="1"/>
    <xf numFmtId="0" fontId="2" fillId="0" borderId="0" xfId="0" applyFont="1" applyFill="1" applyBorder="1" applyAlignment="1"/>
    <xf numFmtId="0" fontId="2" fillId="4" borderId="0" xfId="0" applyFont="1" applyFill="1" applyBorder="1" applyAlignment="1"/>
    <xf numFmtId="0" fontId="3" fillId="2" borderId="0" xfId="0" applyFont="1" applyFill="1"/>
    <xf numFmtId="0" fontId="1" fillId="0" borderId="1" xfId="0" applyFont="1" applyFill="1" applyBorder="1" applyAlignment="1">
      <alignment horizontal="center" vertical="center"/>
    </xf>
    <xf numFmtId="0" fontId="1" fillId="0" borderId="1" xfId="56" applyFont="1" applyFill="1" applyBorder="1" applyAlignment="1">
      <alignment horizontal="center" vertical="center"/>
    </xf>
    <xf numFmtId="0" fontId="1" fillId="0" borderId="1" xfId="0" applyFont="1" applyFill="1" applyBorder="1" applyAlignment="1">
      <alignment horizontal="left" vertical="center"/>
    </xf>
    <xf numFmtId="0" fontId="1" fillId="0" borderId="1" xfId="48" applyFont="1" applyFill="1" applyBorder="1" applyAlignment="1" applyProtection="1">
      <alignment vertical="top"/>
    </xf>
    <xf numFmtId="0" fontId="2" fillId="3" borderId="1" xfId="0" applyFont="1" applyFill="1" applyBorder="1" applyAlignment="1" applyProtection="1">
      <alignment horizontal="center" vertical="center"/>
      <protection locked="0"/>
    </xf>
    <xf numFmtId="0" fontId="2" fillId="3" borderId="2" xfId="0" applyFont="1" applyFill="1" applyBorder="1" applyAlignment="1">
      <alignment horizontal="center" vertical="center"/>
    </xf>
    <xf numFmtId="0" fontId="2" fillId="3" borderId="1" xfId="0" applyFont="1" applyFill="1" applyBorder="1" applyAlignment="1" applyProtection="1">
      <alignment horizontal="left" vertical="center"/>
      <protection locked="0"/>
    </xf>
    <xf numFmtId="0" fontId="2" fillId="3" borderId="1" xfId="48" applyFont="1" applyFill="1" applyBorder="1" applyAlignment="1">
      <alignment vertical="center"/>
      <protection locked="0"/>
    </xf>
    <xf numFmtId="0" fontId="2" fillId="0" borderId="1" xfId="0" applyFont="1" applyFill="1" applyBorder="1" applyAlignment="1">
      <alignment horizontal="center" vertical="center"/>
    </xf>
    <xf numFmtId="0" fontId="2" fillId="0" borderId="1" xfId="48" applyFont="1" applyFill="1" applyBorder="1" applyAlignment="1" applyProtection="1">
      <alignment horizontal="left" vertical="top"/>
    </xf>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protection locked="0"/>
    </xf>
    <xf numFmtId="0" fontId="2" fillId="0" borderId="1" xfId="48" applyFont="1" applyFill="1" applyBorder="1" applyAlignment="1">
      <alignment horizontal="center" vertical="center"/>
      <protection locked="0"/>
    </xf>
    <xf numFmtId="0" fontId="3" fillId="2" borderId="0" xfId="0" applyFont="1" applyFill="1" applyAlignment="1"/>
    <xf numFmtId="0" fontId="2" fillId="4" borderId="1" xfId="58" applyFont="1" applyFill="1" applyBorder="1" applyAlignment="1" applyProtection="1">
      <alignment horizontal="center" vertical="center"/>
      <protection locked="0"/>
    </xf>
    <xf numFmtId="0" fontId="2" fillId="4" borderId="1" xfId="0" applyFont="1" applyFill="1" applyBorder="1" applyAlignment="1">
      <alignment horizontal="center" vertical="center"/>
    </xf>
    <xf numFmtId="0" fontId="2" fillId="4" borderId="1" xfId="0" applyFont="1" applyFill="1" applyBorder="1" applyAlignment="1" applyProtection="1">
      <alignment horizontal="left" vertical="center"/>
      <protection locked="0"/>
    </xf>
    <xf numFmtId="0" fontId="2" fillId="4" borderId="1" xfId="0" applyFont="1" applyFill="1" applyBorder="1" applyAlignment="1" applyProtection="1">
      <alignment horizontal="center" vertical="center"/>
      <protection locked="0"/>
    </xf>
    <xf numFmtId="0" fontId="2" fillId="4" borderId="1" xfId="48" applyFont="1" applyFill="1" applyBorder="1" applyAlignment="1">
      <alignment horizontal="center" vertical="center"/>
      <protection locked="0"/>
    </xf>
    <xf numFmtId="0" fontId="1" fillId="5" borderId="1" xfId="48" applyFont="1" applyFill="1" applyBorder="1" applyAlignment="1" applyProtection="1">
      <alignment vertical="top"/>
    </xf>
    <xf numFmtId="0" fontId="1" fillId="0" borderId="1" xfId="61" applyFont="1" applyFill="1" applyBorder="1" applyAlignment="1" applyProtection="1">
      <alignment horizontal="center" vertical="center"/>
    </xf>
    <xf numFmtId="14" fontId="1" fillId="0" borderId="1" xfId="61" applyNumberFormat="1" applyFont="1" applyFill="1" applyBorder="1" applyAlignment="1" applyProtection="1">
      <alignment horizontal="center" vertical="center"/>
    </xf>
    <xf numFmtId="176" fontId="1" fillId="0" borderId="1" xfId="10" applyNumberFormat="1" applyFont="1" applyFill="1" applyBorder="1" applyAlignment="1" applyProtection="1">
      <alignment horizontal="right" vertical="center"/>
    </xf>
    <xf numFmtId="0" fontId="2" fillId="3" borderId="1" xfId="0" applyFont="1" applyFill="1" applyBorder="1" applyAlignment="1">
      <alignment horizontal="left" vertical="center"/>
    </xf>
    <xf numFmtId="0" fontId="2" fillId="3" borderId="1" xfId="63" applyFont="1" applyFill="1" applyBorder="1" applyAlignment="1">
      <alignment horizontal="center" vertical="center"/>
      <protection locked="0"/>
    </xf>
    <xf numFmtId="49" fontId="2" fillId="3" borderId="1" xfId="0" applyNumberFormat="1" applyFont="1" applyFill="1" applyBorder="1" applyAlignment="1" applyProtection="1">
      <alignment horizontal="center" vertical="center"/>
      <protection locked="0"/>
    </xf>
    <xf numFmtId="43" fontId="2" fillId="3" borderId="1" xfId="10" applyFont="1" applyFill="1" applyBorder="1" applyAlignment="1" applyProtection="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76" fontId="2" fillId="5" borderId="1" xfId="10" applyNumberFormat="1" applyFont="1" applyFill="1" applyBorder="1" applyAlignment="1" applyProtection="1">
      <alignment horizontal="center" vertical="center"/>
      <protection locked="0"/>
    </xf>
    <xf numFmtId="0" fontId="2" fillId="0" borderId="1" xfId="61" applyFont="1" applyFill="1" applyBorder="1" applyAlignment="1" applyProtection="1">
      <alignment horizontal="center" vertical="center"/>
    </xf>
    <xf numFmtId="14" fontId="2" fillId="0" borderId="1" xfId="61" applyNumberFormat="1" applyFont="1" applyFill="1" applyBorder="1" applyAlignment="1" applyProtection="1">
      <alignment horizontal="center" vertical="center"/>
    </xf>
    <xf numFmtId="176" fontId="2" fillId="0" borderId="1" xfId="10" applyNumberFormat="1" applyFont="1" applyFill="1" applyBorder="1" applyAlignment="1" applyProtection="1">
      <alignment horizontal="right" vertical="center"/>
    </xf>
    <xf numFmtId="0" fontId="2" fillId="0" borderId="1" xfId="0" applyFont="1" applyFill="1" applyBorder="1" applyAlignment="1">
      <alignment horizontal="left" vertical="center"/>
    </xf>
    <xf numFmtId="0" fontId="2" fillId="0" borderId="1" xfId="63" applyFont="1" applyFill="1" applyBorder="1" applyAlignment="1">
      <alignment horizontal="center" vertical="center"/>
      <protection locked="0"/>
    </xf>
    <xf numFmtId="49" fontId="2" fillId="0" borderId="1" xfId="0" applyNumberFormat="1" applyFont="1" applyFill="1" applyBorder="1" applyAlignment="1" applyProtection="1">
      <alignment horizontal="center" vertical="center"/>
      <protection locked="0"/>
    </xf>
    <xf numFmtId="43" fontId="2" fillId="0" borderId="1" xfId="66" applyFont="1" applyFill="1" applyBorder="1" applyAlignment="1" applyProtection="1">
      <alignment horizontal="center" vertical="center"/>
    </xf>
    <xf numFmtId="14" fontId="2" fillId="0" borderId="1" xfId="0" applyNumberFormat="1" applyFont="1" applyFill="1" applyBorder="1" applyAlignment="1">
      <alignment horizontal="center" vertical="center"/>
    </xf>
    <xf numFmtId="176" fontId="2" fillId="5" borderId="1" xfId="66" applyNumberFormat="1" applyFont="1" applyFill="1" applyBorder="1" applyAlignment="1" applyProtection="1">
      <alignment horizontal="center" vertical="center"/>
      <protection locked="0"/>
    </xf>
    <xf numFmtId="0" fontId="2" fillId="4" borderId="1" xfId="0" applyFont="1" applyFill="1" applyBorder="1" applyAlignment="1">
      <alignment horizontal="left" vertical="center"/>
    </xf>
    <xf numFmtId="0" fontId="2" fillId="4" borderId="1" xfId="63" applyFont="1" applyFill="1" applyBorder="1" applyAlignment="1">
      <alignment horizontal="center" vertical="center"/>
      <protection locked="0"/>
    </xf>
    <xf numFmtId="43" fontId="2" fillId="4" borderId="1" xfId="66" applyFont="1" applyFill="1" applyBorder="1" applyAlignment="1" applyProtection="1">
      <alignment horizontal="center" vertical="center"/>
      <protection locked="0"/>
    </xf>
    <xf numFmtId="0" fontId="2" fillId="4" borderId="1" xfId="2" applyFont="1" applyFill="1" applyBorder="1" applyAlignment="1" applyProtection="1">
      <alignment horizontal="center" vertical="center"/>
    </xf>
    <xf numFmtId="14" fontId="2" fillId="4" borderId="1" xfId="0" applyNumberFormat="1" applyFont="1" applyFill="1" applyBorder="1" applyAlignment="1">
      <alignment horizontal="center" vertical="center"/>
    </xf>
    <xf numFmtId="178" fontId="2" fillId="4" borderId="1" xfId="66" applyNumberFormat="1" applyFont="1" applyFill="1" applyBorder="1" applyAlignment="1" applyProtection="1">
      <alignment horizontal="center" vertical="center"/>
      <protection locked="0"/>
    </xf>
    <xf numFmtId="176" fontId="2" fillId="4" borderId="1" xfId="66" applyNumberFormat="1" applyFont="1" applyFill="1" applyBorder="1" applyAlignment="1" applyProtection="1">
      <alignment horizontal="center" vertical="center"/>
      <protection locked="0"/>
    </xf>
    <xf numFmtId="178" fontId="1" fillId="0" borderId="1" xfId="10" applyNumberFormat="1" applyFont="1" applyFill="1" applyBorder="1" applyAlignment="1" applyProtection="1">
      <alignment vertical="center"/>
    </xf>
    <xf numFmtId="178" fontId="1" fillId="0" borderId="1" xfId="10" applyNumberFormat="1" applyFont="1" applyFill="1" applyBorder="1" applyAlignment="1" applyProtection="1">
      <alignment horizontal="left" vertical="center"/>
    </xf>
    <xf numFmtId="178" fontId="1" fillId="0" borderId="3" xfId="10" applyNumberFormat="1" applyFont="1" applyFill="1" applyBorder="1" applyAlignment="1" applyProtection="1">
      <alignment horizontal="center" vertical="center"/>
    </xf>
    <xf numFmtId="178" fontId="1" fillId="0" borderId="1" xfId="10" applyNumberFormat="1" applyFont="1" applyFill="1" applyBorder="1" applyAlignment="1" applyProtection="1">
      <alignment horizontal="center" vertical="center"/>
    </xf>
    <xf numFmtId="0" fontId="1" fillId="0" borderId="1" xfId="48" applyFont="1" applyFill="1" applyBorder="1" applyAlignment="1" applyProtection="1">
      <alignment horizontal="center" vertical="center"/>
    </xf>
    <xf numFmtId="176" fontId="2" fillId="3" borderId="1" xfId="10" applyNumberFormat="1" applyFont="1" applyFill="1" applyBorder="1" applyAlignment="1" applyProtection="1">
      <alignment horizontal="center" vertical="center"/>
    </xf>
    <xf numFmtId="176" fontId="2" fillId="3" borderId="1" xfId="10" applyNumberFormat="1" applyFont="1" applyFill="1" applyBorder="1" applyAlignment="1" applyProtection="1">
      <alignment horizontal="center" vertical="center"/>
      <protection locked="0"/>
    </xf>
    <xf numFmtId="0" fontId="2" fillId="3" borderId="1" xfId="0" applyNumberFormat="1" applyFont="1" applyFill="1" applyBorder="1" applyAlignment="1">
      <alignment horizontal="left" vertical="center"/>
    </xf>
    <xf numFmtId="43" fontId="2" fillId="3" borderId="1" xfId="10" applyFont="1" applyFill="1" applyBorder="1" applyAlignment="1" applyProtection="1">
      <alignment horizontal="center" vertical="center"/>
      <protection locked="0"/>
    </xf>
    <xf numFmtId="178" fontId="2" fillId="0" borderId="1" xfId="10" applyNumberFormat="1" applyFont="1" applyFill="1" applyBorder="1" applyAlignment="1" applyProtection="1">
      <alignment vertical="center"/>
    </xf>
    <xf numFmtId="178" fontId="2" fillId="0" borderId="1" xfId="10" applyNumberFormat="1" applyFont="1" applyFill="1" applyBorder="1" applyAlignment="1" applyProtection="1">
      <alignment horizontal="center" vertical="center"/>
    </xf>
    <xf numFmtId="179" fontId="2" fillId="0" borderId="1" xfId="10" applyNumberFormat="1" applyFont="1" applyFill="1" applyBorder="1" applyAlignment="1" applyProtection="1">
      <alignment horizontal="right" vertical="center"/>
    </xf>
    <xf numFmtId="0" fontId="2" fillId="0" borderId="1" xfId="48" applyFont="1" applyFill="1" applyBorder="1" applyAlignment="1" applyProtection="1">
      <alignment horizontal="center" vertical="center"/>
    </xf>
    <xf numFmtId="176" fontId="2" fillId="0" borderId="1" xfId="66" applyNumberFormat="1" applyFont="1" applyFill="1" applyBorder="1" applyAlignment="1" applyProtection="1">
      <alignment horizontal="center" vertical="center"/>
    </xf>
    <xf numFmtId="176" fontId="2" fillId="0" borderId="1" xfId="66" applyNumberFormat="1" applyFont="1" applyFill="1" applyBorder="1" applyAlignment="1" applyProtection="1">
      <alignment horizontal="center" vertical="center"/>
      <protection locked="0"/>
    </xf>
    <xf numFmtId="0" fontId="2" fillId="0" borderId="1" xfId="0" applyNumberFormat="1" applyFont="1" applyFill="1" applyBorder="1" applyAlignment="1">
      <alignment horizontal="left" vertical="center"/>
    </xf>
    <xf numFmtId="43" fontId="2" fillId="0" borderId="1" xfId="66" applyFont="1" applyFill="1" applyBorder="1" applyAlignment="1" applyProtection="1">
      <alignment horizontal="center" vertical="center"/>
      <protection locked="0"/>
    </xf>
    <xf numFmtId="176" fontId="2" fillId="4" borderId="1" xfId="66" applyNumberFormat="1" applyFont="1" applyFill="1" applyBorder="1" applyAlignment="1" applyProtection="1">
      <alignment horizontal="center" vertical="center"/>
    </xf>
    <xf numFmtId="0" fontId="2" fillId="4" borderId="1" xfId="0" applyNumberFormat="1" applyFont="1" applyFill="1" applyBorder="1" applyAlignment="1">
      <alignment horizontal="left" vertical="center" wrapText="1"/>
    </xf>
    <xf numFmtId="43" fontId="2" fillId="4" borderId="1" xfId="66" applyFont="1" applyFill="1" applyBorder="1" applyAlignment="1">
      <alignment horizontal="center" vertical="center"/>
    </xf>
    <xf numFmtId="14" fontId="2" fillId="4" borderId="1" xfId="61" applyNumberFormat="1" applyFont="1" applyFill="1" applyBorder="1" applyAlignment="1" applyProtection="1">
      <alignment horizontal="center" vertical="center"/>
    </xf>
    <xf numFmtId="0" fontId="4" fillId="0" borderId="0" xfId="0" applyFont="1"/>
    <xf numFmtId="0" fontId="3" fillId="0" borderId="0" xfId="0" applyFont="1" applyFill="1"/>
    <xf numFmtId="0" fontId="3" fillId="0" borderId="0" xfId="0" applyFont="1"/>
    <xf numFmtId="176" fontId="3" fillId="0" borderId="0" xfId="0" applyNumberFormat="1" applyFont="1" applyFill="1"/>
    <xf numFmtId="4" fontId="0" fillId="0" borderId="0" xfId="0" applyNumberFormat="1"/>
    <xf numFmtId="176" fontId="4" fillId="0" borderId="0" xfId="0" applyNumberFormat="1" applyFont="1" applyFill="1"/>
    <xf numFmtId="43" fontId="0" fillId="0" borderId="0" xfId="10" applyFont="1" applyAlignment="1"/>
    <xf numFmtId="0" fontId="5" fillId="0" borderId="0" xfId="58" applyFill="1">
      <alignment vertical="center"/>
    </xf>
    <xf numFmtId="0" fontId="5" fillId="0" borderId="0" xfId="58">
      <alignment vertical="center"/>
    </xf>
    <xf numFmtId="0" fontId="6" fillId="6" borderId="4" xfId="58" applyFont="1" applyFill="1" applyBorder="1" applyAlignment="1">
      <alignment horizontal="center"/>
    </xf>
    <xf numFmtId="0" fontId="6" fillId="0" borderId="4" xfId="58" applyFont="1" applyFill="1" applyBorder="1" applyAlignment="1">
      <alignment horizontal="center"/>
    </xf>
    <xf numFmtId="176" fontId="2" fillId="4" borderId="0" xfId="0" applyNumberFormat="1" applyFont="1" applyFill="1" applyBorder="1" applyAlignment="1"/>
    <xf numFmtId="176" fontId="2" fillId="3" borderId="0" xfId="0" applyNumberFormat="1" applyFont="1" applyFill="1" applyBorder="1" applyAlignment="1"/>
    <xf numFmtId="0" fontId="7" fillId="3" borderId="0" xfId="0" applyFont="1" applyFill="1" applyBorder="1"/>
    <xf numFmtId="0" fontId="8" fillId="4" borderId="0" xfId="0" applyFont="1" applyFill="1" applyBorder="1"/>
    <xf numFmtId="0" fontId="8" fillId="3" borderId="0" xfId="0" applyFont="1" applyFill="1" applyBorder="1"/>
    <xf numFmtId="180" fontId="2" fillId="0" borderId="0" xfId="0" applyNumberFormat="1" applyFont="1" applyFill="1" applyBorder="1" applyAlignment="1"/>
    <xf numFmtId="0" fontId="2" fillId="0" borderId="0" xfId="0" applyFont="1" applyFill="1" applyBorder="1" applyAlignment="1">
      <alignment horizontal="left" vertical="top"/>
    </xf>
    <xf numFmtId="0" fontId="2" fillId="0" borderId="0" xfId="0" applyFont="1" applyFill="1" applyBorder="1" applyAlignment="1">
      <alignment horizontal="center"/>
    </xf>
    <xf numFmtId="176" fontId="2" fillId="0" borderId="0" xfId="10" applyNumberFormat="1" applyFont="1" applyFill="1" applyBorder="1" applyAlignment="1">
      <alignment horizontal="right"/>
    </xf>
    <xf numFmtId="179" fontId="2" fillId="0" borderId="0" xfId="10" applyNumberFormat="1" applyFont="1" applyFill="1" applyBorder="1" applyAlignment="1">
      <alignment horizontal="right"/>
    </xf>
    <xf numFmtId="14" fontId="2" fillId="0" borderId="0" xfId="0" applyNumberFormat="1" applyFont="1" applyFill="1" applyBorder="1" applyAlignment="1"/>
    <xf numFmtId="0" fontId="2" fillId="4" borderId="1" xfId="58" applyFont="1" applyFill="1" applyBorder="1" applyAlignment="1">
      <alignment horizontal="center" vertical="center"/>
    </xf>
    <xf numFmtId="0" fontId="2" fillId="4" borderId="1" xfId="0" applyFont="1" applyFill="1" applyBorder="1" applyAlignment="1">
      <alignment vertical="center"/>
    </xf>
    <xf numFmtId="0" fontId="2" fillId="4" borderId="1" xfId="56" applyFont="1" applyFill="1" applyBorder="1" applyAlignment="1" applyProtection="1">
      <alignment horizontal="center" vertical="center"/>
      <protection locked="0"/>
    </xf>
    <xf numFmtId="0" fontId="2" fillId="4" borderId="1" xfId="48" applyFont="1" applyFill="1" applyBorder="1" applyAlignment="1" applyProtection="1">
      <alignment horizontal="left" vertical="center"/>
    </xf>
    <xf numFmtId="0" fontId="2" fillId="4" borderId="1" xfId="48" applyFont="1" applyFill="1" applyBorder="1" applyAlignment="1">
      <alignment horizontal="left" vertical="center"/>
      <protection locked="0"/>
    </xf>
    <xf numFmtId="0" fontId="2" fillId="3" borderId="1" xfId="58" applyFont="1" applyFill="1" applyBorder="1" applyAlignment="1" applyProtection="1">
      <alignment horizontal="center" vertical="center"/>
      <protection locked="0"/>
    </xf>
    <xf numFmtId="0" fontId="2" fillId="3" borderId="1" xfId="58" applyFont="1" applyFill="1" applyBorder="1" applyAlignment="1">
      <alignment horizontal="center" vertical="center"/>
    </xf>
    <xf numFmtId="0" fontId="2" fillId="3" borderId="1" xfId="48" applyFont="1" applyFill="1" applyBorder="1" applyAlignment="1">
      <alignment horizontal="left" vertical="center"/>
      <protection locked="0"/>
    </xf>
    <xf numFmtId="0" fontId="2" fillId="3" borderId="1" xfId="0" applyFont="1" applyFill="1" applyBorder="1" applyAlignment="1">
      <alignment vertical="center"/>
    </xf>
    <xf numFmtId="176" fontId="2" fillId="4" borderId="1" xfId="10" applyNumberFormat="1" applyFont="1" applyFill="1" applyBorder="1" applyAlignment="1">
      <alignment horizontal="right" vertical="center"/>
    </xf>
    <xf numFmtId="40" fontId="2" fillId="4" borderId="1" xfId="61" applyNumberFormat="1" applyFont="1" applyFill="1" applyBorder="1" applyAlignment="1" applyProtection="1">
      <alignment horizontal="center" vertical="center"/>
    </xf>
    <xf numFmtId="0" fontId="2" fillId="4" borderId="1" xfId="61" applyFont="1" applyFill="1" applyBorder="1" applyAlignment="1" applyProtection="1">
      <alignment horizontal="center" vertical="center"/>
    </xf>
    <xf numFmtId="176" fontId="2" fillId="4" borderId="1" xfId="61" applyNumberFormat="1" applyFont="1" applyFill="1" applyBorder="1" applyAlignment="1" applyProtection="1">
      <alignment horizontal="right" vertical="center"/>
    </xf>
    <xf numFmtId="49" fontId="2" fillId="4" borderId="1" xfId="0" applyNumberFormat="1" applyFont="1" applyFill="1" applyBorder="1" applyAlignment="1" applyProtection="1">
      <alignment horizontal="center" vertical="center"/>
      <protection locked="0"/>
    </xf>
    <xf numFmtId="0" fontId="2" fillId="3" borderId="1" xfId="48" applyFont="1" applyFill="1" applyBorder="1" applyAlignment="1">
      <alignment horizontal="center" vertical="center"/>
      <protection locked="0"/>
    </xf>
    <xf numFmtId="14" fontId="2" fillId="3" borderId="1" xfId="48" applyNumberFormat="1" applyFont="1" applyFill="1" applyBorder="1" applyAlignment="1">
      <alignment horizontal="center" vertical="center"/>
      <protection locked="0"/>
    </xf>
    <xf numFmtId="176" fontId="2" fillId="3" borderId="1" xfId="10" applyNumberFormat="1" applyFont="1" applyFill="1" applyBorder="1" applyAlignment="1">
      <alignment horizontal="right" vertical="center"/>
    </xf>
    <xf numFmtId="0" fontId="2" fillId="3" borderId="1" xfId="2" applyFont="1" applyFill="1" applyBorder="1" applyAlignment="1" applyProtection="1">
      <alignment horizontal="center" vertical="center"/>
    </xf>
    <xf numFmtId="176" fontId="2" fillId="4" borderId="1" xfId="0" applyNumberFormat="1" applyFont="1" applyFill="1" applyBorder="1" applyAlignment="1">
      <alignment horizontal="right" vertical="center"/>
    </xf>
    <xf numFmtId="0" fontId="2" fillId="4" borderId="1" xfId="63" applyFont="1" applyFill="1" applyBorder="1" applyAlignment="1">
      <alignment vertical="center"/>
      <protection locked="0"/>
    </xf>
    <xf numFmtId="14" fontId="2" fillId="4" borderId="1" xfId="0" applyNumberFormat="1" applyFont="1" applyFill="1" applyBorder="1" applyAlignment="1">
      <alignment vertical="center"/>
    </xf>
    <xf numFmtId="176" fontId="2" fillId="4" borderId="1" xfId="10" applyNumberFormat="1" applyFont="1" applyFill="1" applyBorder="1" applyAlignment="1" applyProtection="1">
      <alignment horizontal="right" vertical="center"/>
      <protection locked="0"/>
    </xf>
    <xf numFmtId="176" fontId="2" fillId="4" borderId="1" xfId="10" applyNumberFormat="1" applyFont="1" applyFill="1" applyBorder="1" applyAlignment="1" applyProtection="1">
      <alignment horizontal="right" vertical="center"/>
    </xf>
    <xf numFmtId="40" fontId="2" fillId="4" borderId="1" xfId="61" applyNumberFormat="1" applyFont="1" applyFill="1" applyBorder="1" applyAlignment="1" applyProtection="1">
      <alignment horizontal="left" vertical="center"/>
    </xf>
    <xf numFmtId="180" fontId="2" fillId="4" borderId="1" xfId="48" applyNumberFormat="1" applyFont="1" applyFill="1" applyBorder="1" applyAlignment="1">
      <alignment horizontal="center" vertical="center"/>
      <protection locked="0"/>
    </xf>
    <xf numFmtId="0" fontId="2" fillId="4" borderId="1" xfId="0" applyFont="1" applyFill="1" applyBorder="1" applyAlignment="1"/>
    <xf numFmtId="40" fontId="2" fillId="4" borderId="1" xfId="61" applyNumberFormat="1" applyFont="1" applyFill="1" applyBorder="1" applyAlignment="1" applyProtection="1">
      <alignment horizontal="left" vertical="center" wrapText="1"/>
    </xf>
    <xf numFmtId="0" fontId="2" fillId="4" borderId="1" xfId="0" applyNumberFormat="1" applyFont="1" applyFill="1" applyBorder="1" applyAlignment="1">
      <alignment horizontal="left" vertical="center"/>
    </xf>
    <xf numFmtId="181" fontId="2" fillId="4" borderId="1" xfId="10" applyNumberFormat="1" applyFont="1" applyFill="1" applyBorder="1" applyAlignment="1" applyProtection="1">
      <alignment horizontal="right" vertical="center"/>
      <protection locked="0"/>
    </xf>
    <xf numFmtId="176" fontId="2" fillId="3" borderId="1" xfId="0" applyNumberFormat="1" applyFont="1" applyFill="1" applyBorder="1" applyAlignment="1">
      <alignment horizontal="right" vertical="center"/>
    </xf>
    <xf numFmtId="176" fontId="2" fillId="3" borderId="1" xfId="10" applyNumberFormat="1" applyFont="1" applyFill="1" applyBorder="1" applyAlignment="1" applyProtection="1">
      <alignment horizontal="right" vertical="center"/>
      <protection locked="0"/>
    </xf>
    <xf numFmtId="0" fontId="2" fillId="3" borderId="1" xfId="63" applyFont="1" applyFill="1" applyBorder="1" applyAlignment="1">
      <alignment vertical="center"/>
      <protection locked="0"/>
    </xf>
    <xf numFmtId="0" fontId="2" fillId="3" borderId="1" xfId="0" applyFont="1" applyFill="1" applyBorder="1" applyAlignment="1"/>
    <xf numFmtId="14" fontId="2" fillId="3" borderId="1" xfId="0" applyNumberFormat="1" applyFont="1" applyFill="1" applyBorder="1" applyAlignment="1"/>
    <xf numFmtId="176" fontId="2" fillId="3" borderId="1" xfId="10" applyNumberFormat="1" applyFont="1" applyFill="1" applyBorder="1" applyAlignment="1" applyProtection="1">
      <alignment horizontal="right" vertical="center"/>
    </xf>
    <xf numFmtId="14" fontId="2" fillId="3" borderId="1" xfId="0" applyNumberFormat="1" applyFont="1" applyFill="1" applyBorder="1" applyAlignment="1">
      <alignment vertical="center"/>
    </xf>
    <xf numFmtId="43" fontId="2" fillId="4" borderId="1" xfId="10" applyFont="1" applyFill="1" applyBorder="1" applyAlignment="1">
      <alignment vertical="center"/>
    </xf>
    <xf numFmtId="43" fontId="2" fillId="3" borderId="1" xfId="10" applyFont="1" applyFill="1" applyBorder="1" applyAlignment="1">
      <alignment vertical="center"/>
    </xf>
    <xf numFmtId="0" fontId="2" fillId="3" borderId="1" xfId="56" applyFont="1" applyFill="1" applyBorder="1" applyAlignment="1">
      <alignment horizontal="center" vertical="center"/>
    </xf>
    <xf numFmtId="0" fontId="2" fillId="3" borderId="1" xfId="56" applyFont="1" applyFill="1" applyBorder="1" applyAlignment="1" applyProtection="1">
      <alignment horizontal="center" vertical="center"/>
      <protection locked="0"/>
    </xf>
    <xf numFmtId="0" fontId="2" fillId="3" borderId="1" xfId="56" applyFont="1" applyFill="1" applyBorder="1" applyAlignment="1">
      <alignment horizontal="left" vertical="center"/>
    </xf>
    <xf numFmtId="0" fontId="2" fillId="3" borderId="1" xfId="48" applyFont="1" applyFill="1" applyBorder="1" applyAlignment="1" applyProtection="1">
      <alignment horizontal="left" vertical="center" wrapText="1"/>
    </xf>
    <xf numFmtId="176" fontId="2" fillId="3" borderId="1" xfId="67" applyNumberFormat="1" applyFont="1" applyFill="1" applyBorder="1" applyAlignment="1">
      <alignment horizontal="right" vertical="center"/>
    </xf>
    <xf numFmtId="176" fontId="2" fillId="4" borderId="1" xfId="67" applyNumberFormat="1" applyFont="1" applyFill="1" applyBorder="1" applyAlignment="1">
      <alignment horizontal="right" vertical="center"/>
    </xf>
    <xf numFmtId="0" fontId="2" fillId="3" borderId="1" xfId="48" applyFont="1" applyFill="1" applyBorder="1" applyAlignment="1">
      <alignment horizontal="center" vertical="center" wrapText="1"/>
      <protection locked="0"/>
    </xf>
    <xf numFmtId="40" fontId="2" fillId="3" borderId="1" xfId="61" applyNumberFormat="1" applyFont="1" applyFill="1" applyBorder="1" applyAlignment="1" applyProtection="1">
      <alignment horizontal="center" vertical="center"/>
    </xf>
    <xf numFmtId="0" fontId="2" fillId="3" borderId="1" xfId="61" applyFont="1" applyFill="1" applyBorder="1" applyAlignment="1" applyProtection="1">
      <alignment horizontal="center" vertical="center"/>
    </xf>
    <xf numFmtId="14" fontId="2" fillId="3" borderId="1" xfId="61" applyNumberFormat="1" applyFont="1" applyFill="1" applyBorder="1" applyAlignment="1" applyProtection="1">
      <alignment horizontal="center" vertical="center" wrapText="1"/>
    </xf>
    <xf numFmtId="0" fontId="2" fillId="3" borderId="1" xfId="61" applyFont="1" applyFill="1" applyBorder="1" applyAlignment="1" applyProtection="1">
      <alignment horizontal="center" vertical="center" wrapText="1"/>
    </xf>
    <xf numFmtId="176" fontId="2" fillId="3" borderId="1" xfId="59" applyNumberFormat="1" applyFont="1" applyFill="1" applyBorder="1" applyAlignment="1" applyProtection="1">
      <alignment horizontal="right" vertical="center"/>
    </xf>
    <xf numFmtId="14" fontId="2" fillId="3" borderId="1" xfId="61" applyNumberFormat="1" applyFont="1" applyFill="1" applyBorder="1" applyAlignment="1" applyProtection="1">
      <alignment horizontal="center" vertical="center"/>
    </xf>
    <xf numFmtId="40" fontId="2" fillId="3" borderId="1" xfId="61" applyNumberFormat="1" applyFont="1" applyFill="1" applyBorder="1" applyAlignment="1" applyProtection="1">
      <alignment horizontal="left" vertical="center" wrapText="1"/>
    </xf>
    <xf numFmtId="40" fontId="2" fillId="3" borderId="1" xfId="61" applyNumberFormat="1" applyFont="1" applyFill="1" applyBorder="1" applyAlignment="1" applyProtection="1">
      <alignment vertical="center"/>
    </xf>
    <xf numFmtId="0" fontId="2" fillId="3" borderId="1" xfId="56" applyFont="1" applyFill="1" applyBorder="1" applyAlignment="1"/>
    <xf numFmtId="40" fontId="2" fillId="3" borderId="1" xfId="61" applyNumberFormat="1" applyFont="1" applyFill="1" applyBorder="1" applyAlignment="1" applyProtection="1">
      <alignment horizontal="left" vertical="center"/>
    </xf>
    <xf numFmtId="14" fontId="2" fillId="3" borderId="1" xfId="61" applyNumberFormat="1" applyFont="1" applyFill="1" applyBorder="1" applyAlignment="1" applyProtection="1">
      <alignment vertical="center"/>
    </xf>
    <xf numFmtId="0" fontId="2" fillId="3" borderId="1" xfId="48" applyFont="1" applyFill="1" applyBorder="1" applyAlignment="1" applyProtection="1">
      <alignment horizontal="left" vertical="center"/>
    </xf>
    <xf numFmtId="0" fontId="2" fillId="3" borderId="1" xfId="52" applyFont="1" applyFill="1" applyBorder="1" applyAlignment="1" applyProtection="1">
      <alignment horizontal="left" vertical="center"/>
      <protection locked="0"/>
    </xf>
    <xf numFmtId="0" fontId="2" fillId="3" borderId="1" xfId="52" applyFont="1" applyFill="1" applyBorder="1" applyAlignment="1" applyProtection="1">
      <alignment horizontal="center" vertical="center"/>
      <protection locked="0"/>
    </xf>
    <xf numFmtId="0" fontId="2" fillId="3" borderId="1" xfId="48" applyFont="1" applyFill="1" applyBorder="1" applyAlignment="1" applyProtection="1">
      <alignment horizontal="center" vertical="center"/>
    </xf>
    <xf numFmtId="176" fontId="2" fillId="3" borderId="1" xfId="61" applyNumberFormat="1" applyFont="1" applyFill="1" applyBorder="1" applyAlignment="1" applyProtection="1">
      <alignment horizontal="right" vertical="center"/>
    </xf>
    <xf numFmtId="176" fontId="2" fillId="3" borderId="1" xfId="59" applyNumberFormat="1" applyFont="1" applyFill="1" applyBorder="1" applyAlignment="1" applyProtection="1">
      <alignment horizontal="right" vertical="center"/>
      <protection locked="0"/>
    </xf>
    <xf numFmtId="182" fontId="2" fillId="3" borderId="1" xfId="48" applyNumberFormat="1" applyFont="1" applyFill="1" applyBorder="1" applyAlignment="1">
      <alignment vertical="center"/>
      <protection locked="0"/>
    </xf>
    <xf numFmtId="180" fontId="2" fillId="3" borderId="1" xfId="48" applyNumberFormat="1" applyFont="1" applyFill="1" applyBorder="1" applyAlignment="1">
      <alignment horizontal="center" vertical="center"/>
      <protection locked="0"/>
    </xf>
    <xf numFmtId="0" fontId="2" fillId="4" borderId="1" xfId="56" applyFont="1" applyFill="1" applyBorder="1" applyAlignment="1">
      <alignment horizontal="center" vertical="center"/>
    </xf>
    <xf numFmtId="0" fontId="2" fillId="4" borderId="1" xfId="56" applyFont="1" applyFill="1" applyBorder="1" applyAlignment="1" applyProtection="1">
      <alignment horizontal="left" vertical="center"/>
      <protection locked="0"/>
    </xf>
    <xf numFmtId="0" fontId="2" fillId="4" borderId="1" xfId="56" applyFont="1" applyFill="1" applyBorder="1" applyAlignment="1">
      <alignment horizontal="left" vertical="center"/>
    </xf>
    <xf numFmtId="49" fontId="2" fillId="4" borderId="1" xfId="56" applyNumberFormat="1" applyFont="1" applyFill="1" applyBorder="1" applyAlignment="1" applyProtection="1">
      <alignment horizontal="center" vertical="center"/>
      <protection locked="0"/>
    </xf>
    <xf numFmtId="176" fontId="2" fillId="4" borderId="1" xfId="59" applyNumberFormat="1" applyFont="1" applyFill="1" applyBorder="1" applyAlignment="1" applyProtection="1">
      <alignment horizontal="right" vertical="center"/>
    </xf>
    <xf numFmtId="0" fontId="2" fillId="4" borderId="1" xfId="56" applyFont="1" applyFill="1" applyBorder="1" applyAlignment="1"/>
    <xf numFmtId="40" fontId="2" fillId="4" borderId="1" xfId="61" applyNumberFormat="1" applyFont="1" applyFill="1" applyBorder="1" applyAlignment="1" applyProtection="1">
      <alignment vertical="center"/>
    </xf>
    <xf numFmtId="0" fontId="2" fillId="4" borderId="1" xfId="61" applyFont="1" applyFill="1" applyBorder="1" applyAlignment="1" applyProtection="1">
      <alignment horizontal="left" vertical="center"/>
    </xf>
    <xf numFmtId="0" fontId="1" fillId="4" borderId="1" xfId="61" applyFont="1" applyFill="1" applyBorder="1" applyAlignment="1" applyProtection="1">
      <alignment horizontal="left" vertical="center"/>
    </xf>
    <xf numFmtId="40" fontId="1" fillId="4" borderId="1" xfId="61" applyNumberFormat="1" applyFont="1" applyFill="1" applyBorder="1" applyAlignment="1" applyProtection="1">
      <alignment horizontal="left" vertical="center"/>
    </xf>
    <xf numFmtId="0" fontId="2" fillId="3" borderId="1" xfId="56" applyFont="1" applyFill="1" applyBorder="1" applyAlignment="1" applyProtection="1">
      <alignment horizontal="left" vertical="center"/>
      <protection locked="0"/>
    </xf>
    <xf numFmtId="0" fontId="2" fillId="3" borderId="1" xfId="61" applyFont="1" applyFill="1" applyBorder="1" applyAlignment="1">
      <alignment horizontal="center" vertical="center"/>
      <protection locked="0"/>
    </xf>
    <xf numFmtId="0" fontId="2" fillId="4" borderId="1" xfId="61" applyFont="1" applyFill="1" applyBorder="1" applyAlignment="1">
      <alignment horizontal="center" vertical="center"/>
      <protection locked="0"/>
    </xf>
    <xf numFmtId="0" fontId="2" fillId="3" borderId="1" xfId="56" applyFont="1" applyFill="1" applyBorder="1" applyAlignment="1">
      <alignment horizontal="center" vertical="center" wrapText="1"/>
    </xf>
    <xf numFmtId="49" fontId="2" fillId="3" borderId="1" xfId="48" applyNumberFormat="1" applyFont="1" applyFill="1" applyBorder="1" applyAlignment="1">
      <alignment horizontal="center" vertical="center"/>
      <protection locked="0"/>
    </xf>
    <xf numFmtId="14" fontId="2" fillId="3" borderId="1" xfId="63" applyNumberFormat="1" applyFont="1" applyFill="1" applyBorder="1" applyAlignment="1">
      <alignment horizontal="center" vertical="center"/>
      <protection locked="0"/>
    </xf>
    <xf numFmtId="0" fontId="2" fillId="3" borderId="1" xfId="2" applyFont="1" applyFill="1" applyBorder="1" applyAlignment="1">
      <alignment horizontal="center" vertical="center"/>
      <protection locked="0"/>
    </xf>
    <xf numFmtId="176" fontId="2" fillId="3" borderId="1" xfId="59" applyNumberFormat="1" applyFont="1" applyFill="1" applyBorder="1" applyAlignment="1">
      <alignment horizontal="right" vertical="center"/>
    </xf>
    <xf numFmtId="0" fontId="2" fillId="4" borderId="1" xfId="48" applyFont="1" applyFill="1" applyBorder="1" applyAlignment="1" applyProtection="1">
      <alignment horizontal="center" vertical="center"/>
    </xf>
    <xf numFmtId="49" fontId="2" fillId="4" borderId="1" xfId="48" applyNumberFormat="1" applyFont="1" applyFill="1" applyBorder="1" applyAlignment="1">
      <alignment horizontal="center" vertical="center"/>
      <protection locked="0"/>
    </xf>
    <xf numFmtId="14" fontId="2" fillId="4" borderId="1" xfId="63" applyNumberFormat="1" applyFont="1" applyFill="1" applyBorder="1" applyAlignment="1">
      <alignment horizontal="center" vertical="center"/>
      <protection locked="0"/>
    </xf>
    <xf numFmtId="0" fontId="2" fillId="4" borderId="1" xfId="2" applyFont="1" applyFill="1" applyBorder="1" applyAlignment="1">
      <alignment horizontal="center" vertical="center"/>
      <protection locked="0"/>
    </xf>
    <xf numFmtId="176" fontId="2" fillId="4" borderId="1" xfId="59" applyNumberFormat="1" applyFont="1" applyFill="1" applyBorder="1" applyAlignment="1">
      <alignment horizontal="right" vertical="center"/>
    </xf>
    <xf numFmtId="0" fontId="2" fillId="3" borderId="1" xfId="56" applyFont="1" applyFill="1" applyBorder="1" applyAlignment="1">
      <alignment horizontal="left"/>
    </xf>
    <xf numFmtId="14" fontId="2" fillId="4" borderId="1" xfId="61" applyNumberFormat="1" applyFont="1" applyFill="1" applyBorder="1" applyAlignment="1" applyProtection="1">
      <alignment horizontal="left" vertical="center"/>
    </xf>
    <xf numFmtId="14" fontId="2" fillId="4" borderId="1" xfId="61" applyNumberFormat="1" applyFont="1" applyFill="1" applyBorder="1" applyAlignment="1" applyProtection="1">
      <alignment vertical="center"/>
    </xf>
    <xf numFmtId="14" fontId="2" fillId="4" borderId="1" xfId="63" applyNumberFormat="1" applyFont="1" applyFill="1" applyBorder="1" applyAlignment="1">
      <alignment horizontal="left" vertical="center"/>
      <protection locked="0"/>
    </xf>
    <xf numFmtId="0" fontId="2" fillId="4" borderId="1" xfId="53" applyFont="1" applyFill="1" applyBorder="1" applyAlignment="1">
      <alignment horizontal="left" vertical="center"/>
      <protection locked="0"/>
    </xf>
    <xf numFmtId="0" fontId="2" fillId="4" borderId="1" xfId="53" applyFont="1" applyFill="1" applyBorder="1" applyAlignment="1">
      <alignment horizontal="left" vertical="center" wrapText="1"/>
      <protection locked="0"/>
    </xf>
    <xf numFmtId="14" fontId="2" fillId="4" borderId="1" xfId="61" applyNumberFormat="1" applyFont="1" applyFill="1" applyBorder="1" applyAlignment="1" applyProtection="1">
      <alignment horizontal="left" vertical="center" wrapText="1"/>
    </xf>
    <xf numFmtId="0" fontId="2" fillId="3" borderId="1" xfId="53" applyFont="1" applyFill="1" applyBorder="1" applyAlignment="1">
      <alignment horizontal="left" vertical="center"/>
      <protection locked="0"/>
    </xf>
    <xf numFmtId="14" fontId="2" fillId="4" borderId="1" xfId="63" applyNumberFormat="1" applyFont="1" applyFill="1" applyBorder="1" applyAlignment="1">
      <alignment horizontal="left" vertical="center" wrapText="1"/>
      <protection locked="0"/>
    </xf>
    <xf numFmtId="49" fontId="2" fillId="3" borderId="1" xfId="61" applyNumberFormat="1" applyFont="1" applyFill="1" applyBorder="1" applyAlignment="1">
      <alignment horizontal="center" vertical="center"/>
      <protection locked="0"/>
    </xf>
    <xf numFmtId="14" fontId="2" fillId="3" borderId="1" xfId="61" applyNumberFormat="1" applyFont="1" applyFill="1" applyBorder="1" applyAlignment="1">
      <alignment horizontal="center" vertical="center"/>
      <protection locked="0"/>
    </xf>
    <xf numFmtId="0" fontId="2" fillId="3" borderId="1" xfId="61" applyFont="1" applyFill="1" applyBorder="1" applyAlignment="1">
      <alignment horizontal="left" vertical="center"/>
      <protection locked="0"/>
    </xf>
    <xf numFmtId="0" fontId="2" fillId="3" borderId="1" xfId="61" applyFont="1" applyFill="1" applyBorder="1" applyAlignment="1">
      <alignment vertical="center"/>
      <protection locked="0"/>
    </xf>
    <xf numFmtId="0" fontId="2" fillId="3" borderId="1" xfId="53" applyFont="1" applyFill="1" applyBorder="1" applyAlignment="1">
      <alignment vertical="center"/>
      <protection locked="0"/>
    </xf>
    <xf numFmtId="0" fontId="2" fillId="3" borderId="1" xfId="53" applyFont="1" applyFill="1" applyBorder="1" applyAlignment="1">
      <alignment horizontal="left" vertical="center" wrapText="1"/>
      <protection locked="0"/>
    </xf>
    <xf numFmtId="14" fontId="2" fillId="3" borderId="1" xfId="61" applyNumberFormat="1" applyFont="1" applyFill="1" applyBorder="1" applyAlignment="1" applyProtection="1">
      <alignment horizontal="left" vertical="center"/>
    </xf>
    <xf numFmtId="0" fontId="2" fillId="4" borderId="1" xfId="0" applyFont="1" applyFill="1" applyBorder="1" applyAlignment="1">
      <alignment horizontal="left" wrapText="1"/>
    </xf>
    <xf numFmtId="0" fontId="2" fillId="4" borderId="1" xfId="0" applyFont="1" applyFill="1" applyBorder="1" applyAlignment="1">
      <alignment horizontal="left"/>
    </xf>
    <xf numFmtId="14" fontId="1" fillId="4" borderId="1" xfId="63" applyNumberFormat="1" applyFont="1" applyFill="1" applyBorder="1" applyAlignment="1">
      <alignment horizontal="left" vertical="center"/>
      <protection locked="0"/>
    </xf>
    <xf numFmtId="0" fontId="2" fillId="3" borderId="1" xfId="48" applyFont="1" applyFill="1" applyBorder="1" applyAlignment="1">
      <alignment horizontal="left" vertical="center" wrapText="1"/>
      <protection locked="0"/>
    </xf>
    <xf numFmtId="0" fontId="2" fillId="4" borderId="1" xfId="52" applyFont="1" applyFill="1" applyBorder="1" applyAlignment="1" applyProtection="1">
      <alignment horizontal="center" vertical="center"/>
      <protection locked="0"/>
    </xf>
    <xf numFmtId="0" fontId="2" fillId="4" borderId="1" xfId="52" applyFont="1" applyFill="1" applyBorder="1" applyAlignment="1">
      <alignment horizontal="center" vertical="center"/>
    </xf>
    <xf numFmtId="0" fontId="2" fillId="4" borderId="1" xfId="52" applyFont="1" applyFill="1" applyBorder="1" applyAlignment="1" applyProtection="1">
      <alignment horizontal="left" vertical="center"/>
      <protection locked="0"/>
    </xf>
    <xf numFmtId="49" fontId="2" fillId="4" borderId="1" xfId="52" applyNumberFormat="1" applyFont="1" applyFill="1" applyBorder="1" applyAlignment="1" applyProtection="1">
      <alignment horizontal="center" vertical="center"/>
      <protection locked="0"/>
    </xf>
    <xf numFmtId="176" fontId="2" fillId="4" borderId="1" xfId="59" applyNumberFormat="1" applyFont="1" applyFill="1" applyBorder="1" applyAlignment="1" applyProtection="1">
      <alignment horizontal="right" vertical="center"/>
      <protection locked="0"/>
    </xf>
    <xf numFmtId="176" fontId="2" fillId="4" borderId="1" xfId="59" applyNumberFormat="1" applyFont="1" applyFill="1" applyBorder="1" applyAlignment="1">
      <alignment horizontal="right" vertical="center" wrapText="1"/>
    </xf>
    <xf numFmtId="176" fontId="2" fillId="3" borderId="1" xfId="59" applyNumberFormat="1" applyFont="1" applyFill="1" applyBorder="1" applyAlignment="1">
      <alignment horizontal="right" vertical="center" wrapText="1"/>
    </xf>
    <xf numFmtId="43" fontId="2" fillId="4" borderId="1" xfId="10" applyFont="1" applyFill="1" applyBorder="1" applyAlignment="1" applyProtection="1">
      <alignment horizontal="center" vertical="center"/>
      <protection locked="0"/>
    </xf>
    <xf numFmtId="14" fontId="2" fillId="3" borderId="1" xfId="63" applyNumberFormat="1" applyFont="1" applyFill="1" applyBorder="1" applyAlignment="1">
      <alignment horizontal="left" vertical="center"/>
      <protection locked="0"/>
    </xf>
    <xf numFmtId="176" fontId="2" fillId="4" borderId="1" xfId="64" applyNumberFormat="1" applyFont="1" applyFill="1" applyBorder="1" applyAlignment="1" applyProtection="1">
      <alignment horizontal="right" vertical="center"/>
    </xf>
    <xf numFmtId="0" fontId="2" fillId="4" borderId="1" xfId="52" applyFont="1" applyFill="1" applyBorder="1" applyAlignment="1">
      <alignment vertical="center"/>
    </xf>
    <xf numFmtId="43" fontId="2" fillId="4" borderId="1" xfId="64" applyFont="1" applyFill="1" applyBorder="1" applyAlignment="1" applyProtection="1">
      <alignment horizontal="center" vertical="center"/>
      <protection locked="0"/>
    </xf>
    <xf numFmtId="176" fontId="2" fillId="3" borderId="1" xfId="10" applyNumberFormat="1" applyFont="1" applyFill="1" applyBorder="1" applyAlignment="1">
      <alignment horizontal="right" vertical="center" wrapText="1"/>
    </xf>
    <xf numFmtId="180" fontId="2" fillId="3" borderId="1" xfId="48" applyNumberFormat="1" applyFont="1" applyFill="1" applyBorder="1" applyAlignment="1">
      <alignment horizontal="right" vertical="center"/>
      <protection locked="0"/>
    </xf>
    <xf numFmtId="0" fontId="2" fillId="4" borderId="1" xfId="56" applyFont="1" applyFill="1" applyBorder="1" applyAlignment="1">
      <alignment horizontal="left"/>
    </xf>
    <xf numFmtId="14" fontId="2" fillId="4" borderId="1" xfId="63" applyNumberFormat="1" applyFont="1" applyFill="1" applyBorder="1" applyAlignment="1">
      <alignment vertical="center"/>
      <protection locked="0"/>
    </xf>
    <xf numFmtId="0" fontId="2" fillId="4" borderId="1" xfId="56" applyFont="1" applyFill="1" applyBorder="1" applyAlignment="1">
      <alignment horizontal="center" vertical="center" wrapText="1"/>
    </xf>
    <xf numFmtId="14" fontId="2" fillId="3" borderId="1" xfId="43" applyNumberFormat="1" applyFont="1" applyFill="1" applyBorder="1" applyAlignment="1" applyProtection="1">
      <alignment horizontal="center" vertical="center"/>
    </xf>
    <xf numFmtId="0" fontId="1" fillId="4" borderId="1" xfId="56" applyFont="1" applyFill="1" applyBorder="1" applyAlignment="1">
      <alignment horizontal="left"/>
    </xf>
    <xf numFmtId="0" fontId="2" fillId="4" borderId="1" xfId="61" applyFont="1" applyFill="1" applyBorder="1" applyAlignment="1">
      <alignment horizontal="left" vertical="center"/>
      <protection locked="0"/>
    </xf>
    <xf numFmtId="0" fontId="2" fillId="4" borderId="1" xfId="61" applyFont="1" applyFill="1" applyBorder="1" applyAlignment="1">
      <alignment vertical="center"/>
      <protection locked="0"/>
    </xf>
    <xf numFmtId="0" fontId="1" fillId="4" borderId="1" xfId="61" applyFont="1" applyFill="1" applyBorder="1" applyAlignment="1">
      <alignment horizontal="left" vertical="center"/>
      <protection locked="0"/>
    </xf>
    <xf numFmtId="183" fontId="2" fillId="3" borderId="1" xfId="10" applyNumberFormat="1" applyFont="1" applyFill="1" applyBorder="1" applyAlignment="1">
      <alignment horizontal="center" vertical="center"/>
    </xf>
    <xf numFmtId="0" fontId="2" fillId="4" borderId="1" xfId="48" applyFont="1" applyFill="1" applyBorder="1" applyAlignment="1">
      <alignment horizontal="left" vertical="top"/>
      <protection locked="0"/>
    </xf>
    <xf numFmtId="176" fontId="2" fillId="3" borderId="1" xfId="61" applyNumberFormat="1" applyFont="1" applyFill="1" applyBorder="1" applyAlignment="1">
      <alignment horizontal="right" vertical="center"/>
      <protection locked="0"/>
    </xf>
    <xf numFmtId="49" fontId="2" fillId="4" borderId="1" xfId="61" applyNumberFormat="1" applyFont="1" applyFill="1" applyBorder="1" applyAlignment="1">
      <alignment horizontal="center" vertical="center"/>
      <protection locked="0"/>
    </xf>
    <xf numFmtId="14" fontId="2" fillId="4" borderId="1" xfId="61" applyNumberFormat="1" applyFont="1" applyFill="1" applyBorder="1" applyAlignment="1">
      <alignment horizontal="center" vertical="center"/>
      <protection locked="0"/>
    </xf>
    <xf numFmtId="14" fontId="2" fillId="4" borderId="1" xfId="43" applyNumberFormat="1" applyFont="1" applyFill="1" applyBorder="1" applyAlignment="1">
      <alignment horizontal="center" vertical="center"/>
      <protection locked="0"/>
    </xf>
    <xf numFmtId="176" fontId="2" fillId="3" borderId="1" xfId="48" applyNumberFormat="1" applyFont="1" applyFill="1" applyBorder="1" applyAlignment="1">
      <alignment horizontal="right" vertical="center"/>
      <protection locked="0"/>
    </xf>
    <xf numFmtId="0" fontId="2" fillId="3" borderId="1" xfId="61" applyFont="1" applyFill="1" applyBorder="1" applyAlignment="1">
      <alignment horizontal="left" vertical="center" wrapText="1"/>
      <protection locked="0"/>
    </xf>
    <xf numFmtId="0" fontId="2" fillId="4" borderId="1" xfId="61" applyFont="1" applyFill="1" applyBorder="1" applyAlignment="1">
      <alignment horizontal="left" vertical="center" wrapText="1"/>
      <protection locked="0"/>
    </xf>
    <xf numFmtId="14" fontId="2" fillId="4" borderId="1" xfId="43" applyNumberFormat="1" applyFont="1" applyFill="1" applyBorder="1" applyAlignment="1" applyProtection="1">
      <alignment horizontal="center" vertical="center"/>
    </xf>
    <xf numFmtId="0" fontId="2" fillId="3" borderId="1" xfId="48" applyFont="1" applyFill="1" applyBorder="1" applyAlignment="1">
      <alignment horizontal="left" vertical="top"/>
      <protection locked="0"/>
    </xf>
    <xf numFmtId="14" fontId="2" fillId="3" borderId="1" xfId="63" applyNumberFormat="1" applyFont="1" applyFill="1" applyBorder="1" applyAlignment="1">
      <alignment horizontal="left" vertical="center" wrapText="1"/>
      <protection locked="0"/>
    </xf>
    <xf numFmtId="0" fontId="2" fillId="4" borderId="1" xfId="43" applyFont="1" applyFill="1" applyBorder="1" applyAlignment="1">
      <alignment horizontal="center" vertical="center"/>
      <protection locked="0"/>
    </xf>
    <xf numFmtId="176" fontId="2" fillId="4" borderId="1" xfId="0" applyNumberFormat="1" applyFont="1" applyFill="1" applyBorder="1" applyAlignment="1" applyProtection="1">
      <alignment horizontal="right" vertical="center"/>
      <protection locked="0"/>
    </xf>
    <xf numFmtId="14" fontId="2" fillId="4" borderId="1" xfId="2" applyNumberFormat="1" applyFont="1" applyFill="1" applyBorder="1" applyAlignment="1">
      <alignment horizontal="center" vertical="center"/>
      <protection locked="0"/>
    </xf>
    <xf numFmtId="176" fontId="2" fillId="4" borderId="1" xfId="43" applyNumberFormat="1" applyFont="1" applyFill="1" applyBorder="1" applyAlignment="1">
      <alignment horizontal="right" vertical="center"/>
      <protection locked="0"/>
    </xf>
    <xf numFmtId="14" fontId="2" fillId="4" borderId="1" xfId="48" applyNumberFormat="1" applyFont="1" applyFill="1" applyBorder="1" applyAlignment="1">
      <alignment horizontal="center" vertical="center"/>
      <protection locked="0"/>
    </xf>
    <xf numFmtId="180" fontId="2" fillId="4" borderId="1" xfId="48" applyNumberFormat="1" applyFont="1" applyFill="1" applyBorder="1" applyAlignment="1">
      <alignment horizontal="left" vertical="center"/>
      <protection locked="0"/>
    </xf>
    <xf numFmtId="14" fontId="2" fillId="4" borderId="1" xfId="61" applyNumberFormat="1" applyFont="1" applyFill="1" applyBorder="1" applyAlignment="1">
      <alignment horizontal="left" vertical="center"/>
      <protection locked="0"/>
    </xf>
    <xf numFmtId="40" fontId="2" fillId="4" borderId="1" xfId="61" applyNumberFormat="1" applyFont="1" applyFill="1" applyBorder="1" applyAlignment="1">
      <alignment horizontal="left" vertical="center"/>
      <protection locked="0"/>
    </xf>
    <xf numFmtId="40" fontId="2" fillId="4" borderId="1" xfId="61" applyNumberFormat="1" applyFont="1" applyFill="1" applyBorder="1" applyAlignment="1">
      <alignment vertical="center"/>
      <protection locked="0"/>
    </xf>
    <xf numFmtId="14" fontId="2" fillId="4" borderId="1" xfId="60" applyNumberFormat="1" applyFont="1" applyFill="1" applyBorder="1" applyAlignment="1" applyProtection="1">
      <alignment horizontal="center" vertical="center"/>
      <protection locked="0"/>
    </xf>
    <xf numFmtId="0" fontId="2" fillId="4" borderId="1" xfId="56" applyFont="1" applyFill="1" applyBorder="1" applyAlignment="1" applyProtection="1">
      <alignment vertical="center"/>
      <protection locked="0"/>
    </xf>
    <xf numFmtId="0" fontId="2" fillId="4" borderId="1" xfId="53" applyFont="1" applyFill="1" applyBorder="1" applyAlignment="1">
      <alignment vertical="center"/>
      <protection locked="0"/>
    </xf>
    <xf numFmtId="0" fontId="2" fillId="4" borderId="1" xfId="62" applyFont="1" applyFill="1" applyBorder="1" applyAlignment="1">
      <alignment horizontal="left" vertical="center"/>
      <protection locked="0"/>
    </xf>
    <xf numFmtId="0" fontId="2" fillId="4" borderId="1" xfId="62" applyFont="1" applyFill="1" applyBorder="1" applyAlignment="1">
      <alignment vertical="center"/>
      <protection locked="0"/>
    </xf>
    <xf numFmtId="40" fontId="2" fillId="3" borderId="1" xfId="61" applyNumberFormat="1" applyFont="1" applyFill="1" applyBorder="1" applyAlignment="1">
      <alignment horizontal="left" vertical="center"/>
      <protection locked="0"/>
    </xf>
    <xf numFmtId="40" fontId="2" fillId="3" borderId="1" xfId="61" applyNumberFormat="1" applyFont="1" applyFill="1" applyBorder="1" applyAlignment="1">
      <alignment vertical="center"/>
      <protection locked="0"/>
    </xf>
    <xf numFmtId="14" fontId="2" fillId="3" borderId="1" xfId="60" applyNumberFormat="1" applyFont="1" applyFill="1" applyBorder="1" applyAlignment="1" applyProtection="1">
      <alignment horizontal="center" vertical="center"/>
      <protection locked="0"/>
    </xf>
    <xf numFmtId="0" fontId="2" fillId="3" borderId="1" xfId="62" applyFont="1" applyFill="1" applyBorder="1" applyAlignment="1">
      <alignment horizontal="left" vertical="center"/>
      <protection locked="0"/>
    </xf>
    <xf numFmtId="0" fontId="2" fillId="3" borderId="1" xfId="62" applyFont="1" applyFill="1" applyBorder="1" applyAlignment="1">
      <alignment vertical="center"/>
      <protection locked="0"/>
    </xf>
    <xf numFmtId="14" fontId="2" fillId="3" borderId="1" xfId="48" applyNumberFormat="1" applyFont="1" applyFill="1" applyBorder="1" applyAlignment="1">
      <alignment horizontal="left" vertical="center"/>
      <protection locked="0"/>
    </xf>
    <xf numFmtId="40" fontId="1" fillId="3" borderId="1" xfId="61" applyNumberFormat="1" applyFont="1" applyFill="1" applyBorder="1" applyAlignment="1">
      <alignment horizontal="left" vertical="center"/>
      <protection locked="0"/>
    </xf>
    <xf numFmtId="0" fontId="2" fillId="4" borderId="1" xfId="48" applyFont="1" applyFill="1" applyBorder="1" applyAlignment="1" applyProtection="1">
      <alignment horizontal="left" vertical="center" wrapText="1"/>
    </xf>
    <xf numFmtId="177" fontId="2" fillId="4" borderId="1" xfId="2" applyNumberFormat="1" applyFont="1" applyFill="1" applyBorder="1" applyAlignment="1">
      <alignment horizontal="center" vertical="center"/>
      <protection locked="0"/>
    </xf>
    <xf numFmtId="14" fontId="2" fillId="4" borderId="1" xfId="63" applyNumberFormat="1" applyFont="1" applyFill="1" applyBorder="1" applyAlignment="1">
      <alignment horizontal="center" vertical="center" wrapText="1"/>
      <protection locked="0"/>
    </xf>
    <xf numFmtId="14" fontId="2" fillId="3" borderId="1" xfId="63" applyNumberFormat="1" applyFont="1" applyFill="1" applyBorder="1" applyAlignment="1">
      <alignment horizontal="center" vertical="center" wrapText="1"/>
      <protection locked="0"/>
    </xf>
    <xf numFmtId="14" fontId="1" fillId="3" borderId="1" xfId="63" applyNumberFormat="1" applyFont="1" applyFill="1" applyBorder="1" applyAlignment="1">
      <alignment horizontal="left" vertical="center"/>
      <protection locked="0"/>
    </xf>
    <xf numFmtId="0" fontId="2" fillId="3" borderId="1" xfId="2" applyFont="1" applyFill="1" applyBorder="1" applyAlignment="1">
      <alignment horizontal="center" vertical="center" wrapText="1"/>
      <protection locked="0"/>
    </xf>
    <xf numFmtId="43" fontId="2" fillId="3" borderId="1" xfId="10" applyFont="1" applyFill="1" applyBorder="1" applyAlignment="1" applyProtection="1">
      <alignment horizontal="right" vertical="center"/>
      <protection locked="0"/>
    </xf>
    <xf numFmtId="14" fontId="2" fillId="4" borderId="1" xfId="61" applyNumberFormat="1" applyFont="1" applyFill="1" applyBorder="1" applyAlignment="1" applyProtection="1">
      <alignment horizontal="center" vertical="center" wrapText="1"/>
    </xf>
    <xf numFmtId="43" fontId="2" fillId="4" borderId="1" xfId="59" applyFont="1" applyFill="1" applyBorder="1" applyAlignment="1">
      <alignment horizontal="center" vertical="center"/>
    </xf>
    <xf numFmtId="14" fontId="2" fillId="4" borderId="1" xfId="56" applyNumberFormat="1" applyFont="1" applyFill="1" applyBorder="1" applyAlignment="1">
      <alignment horizontal="center" vertical="center"/>
    </xf>
    <xf numFmtId="14" fontId="2" fillId="3" borderId="1" xfId="53" applyNumberFormat="1" applyFont="1" applyFill="1" applyBorder="1" applyAlignment="1">
      <alignment horizontal="left" vertical="center"/>
      <protection locked="0"/>
    </xf>
    <xf numFmtId="14" fontId="2" fillId="4" borderId="1" xfId="61" applyNumberFormat="1" applyFont="1" applyFill="1" applyBorder="1" applyAlignment="1">
      <alignment vertical="center"/>
      <protection locked="0"/>
    </xf>
    <xf numFmtId="184" fontId="2" fillId="4" borderId="1" xfId="48" applyNumberFormat="1" applyFont="1" applyFill="1" applyBorder="1" applyAlignment="1">
      <alignment horizontal="center" vertical="center"/>
      <protection locked="0"/>
    </xf>
    <xf numFmtId="14" fontId="2" fillId="4" borderId="1" xfId="56" applyNumberFormat="1" applyFont="1" applyFill="1" applyBorder="1" applyAlignment="1">
      <alignment horizontal="left" vertical="center"/>
    </xf>
    <xf numFmtId="14" fontId="2" fillId="4" borderId="1" xfId="56" applyNumberFormat="1" applyFont="1" applyFill="1" applyBorder="1" applyAlignment="1">
      <alignment vertical="center"/>
    </xf>
    <xf numFmtId="182" fontId="2" fillId="4" borderId="1" xfId="48" applyNumberFormat="1" applyFont="1" applyFill="1" applyBorder="1" applyAlignment="1">
      <alignment vertical="center"/>
      <protection locked="0"/>
    </xf>
    <xf numFmtId="0" fontId="2" fillId="4" borderId="1" xfId="48" applyFont="1" applyFill="1" applyBorder="1" applyAlignment="1">
      <alignment vertical="center"/>
      <protection locked="0"/>
    </xf>
    <xf numFmtId="176" fontId="2" fillId="4" borderId="1" xfId="63" applyNumberFormat="1" applyFont="1" applyFill="1" applyBorder="1" applyAlignment="1">
      <alignment horizontal="right" vertical="center"/>
      <protection locked="0"/>
    </xf>
    <xf numFmtId="0" fontId="2" fillId="4" borderId="1" xfId="52" applyFont="1" applyFill="1" applyBorder="1" applyAlignment="1"/>
    <xf numFmtId="0" fontId="2" fillId="3" borderId="1" xfId="63" applyFont="1" applyFill="1" applyBorder="1" applyAlignment="1">
      <alignment horizontal="right" vertical="center"/>
      <protection locked="0"/>
    </xf>
    <xf numFmtId="0" fontId="2" fillId="3" borderId="1" xfId="0" applyFont="1" applyFill="1" applyBorder="1" applyAlignment="1">
      <alignment horizontal="left"/>
    </xf>
    <xf numFmtId="0" fontId="2" fillId="4" borderId="1" xfId="63" applyFont="1" applyFill="1" applyBorder="1" applyAlignment="1">
      <alignment horizontal="right" vertical="center"/>
      <protection locked="0"/>
    </xf>
    <xf numFmtId="0" fontId="2" fillId="4" borderId="1" xfId="0" applyFont="1" applyFill="1" applyBorder="1"/>
    <xf numFmtId="176" fontId="2" fillId="4" borderId="1" xfId="0" applyNumberFormat="1" applyFont="1" applyFill="1" applyBorder="1"/>
    <xf numFmtId="183" fontId="2" fillId="4" borderId="1" xfId="10" applyNumberFormat="1" applyFont="1" applyFill="1" applyBorder="1" applyAlignment="1">
      <alignment horizontal="center" vertical="center"/>
    </xf>
    <xf numFmtId="43" fontId="2" fillId="4" borderId="1" xfId="10" applyFont="1" applyFill="1" applyBorder="1" applyAlignment="1" applyProtection="1">
      <alignment horizontal="left" vertical="center"/>
    </xf>
    <xf numFmtId="40" fontId="2" fillId="4" borderId="1" xfId="61" applyNumberFormat="1" applyFont="1" applyFill="1" applyBorder="1" applyAlignment="1" applyProtection="1">
      <alignment vertical="center" wrapText="1"/>
    </xf>
    <xf numFmtId="0" fontId="2" fillId="3" borderId="1" xfId="61" applyFont="1" applyFill="1" applyBorder="1" applyAlignment="1" applyProtection="1">
      <alignment horizontal="left" vertical="center"/>
    </xf>
    <xf numFmtId="40" fontId="1" fillId="3" borderId="1" xfId="61" applyNumberFormat="1" applyFont="1" applyFill="1" applyBorder="1" applyAlignment="1" applyProtection="1">
      <alignment horizontal="left" vertical="center"/>
    </xf>
    <xf numFmtId="0" fontId="2" fillId="4" borderId="1" xfId="52" applyFont="1" applyFill="1" applyBorder="1" applyAlignment="1" applyProtection="1">
      <alignment horizontal="left" vertical="center" wrapText="1"/>
      <protection locked="0"/>
    </xf>
    <xf numFmtId="43" fontId="2" fillId="4" borderId="1" xfId="10" applyFont="1" applyFill="1" applyBorder="1" applyAlignment="1" applyProtection="1">
      <alignment horizontal="center" vertical="center"/>
    </xf>
    <xf numFmtId="0" fontId="2" fillId="4" borderId="1" xfId="52" applyFont="1" applyFill="1" applyBorder="1" applyAlignment="1" applyProtection="1">
      <alignment horizontal="center" vertical="center" wrapText="1"/>
      <protection locked="0"/>
    </xf>
    <xf numFmtId="0" fontId="2" fillId="4" borderId="1" xfId="52" applyFont="1" applyFill="1" applyBorder="1" applyAlignment="1" applyProtection="1">
      <alignment vertical="center"/>
      <protection locked="0"/>
    </xf>
    <xf numFmtId="180" fontId="2" fillId="4" borderId="1" xfId="0" applyNumberFormat="1" applyFont="1" applyFill="1" applyBorder="1" applyAlignment="1">
      <alignment horizontal="right"/>
    </xf>
    <xf numFmtId="0" fontId="2" fillId="3" borderId="1" xfId="52" applyFont="1" applyFill="1" applyBorder="1" applyAlignment="1">
      <alignment horizontal="center" vertical="center"/>
    </xf>
    <xf numFmtId="49" fontId="2" fillId="3" borderId="1" xfId="52" applyNumberFormat="1" applyFont="1" applyFill="1" applyBorder="1" applyAlignment="1" applyProtection="1">
      <alignment horizontal="center" vertical="center"/>
      <protection locked="0"/>
    </xf>
    <xf numFmtId="176" fontId="2" fillId="3" borderId="1" xfId="63" applyNumberFormat="1" applyFont="1" applyFill="1" applyBorder="1" applyAlignment="1">
      <alignment horizontal="right" vertical="center"/>
      <protection locked="0"/>
    </xf>
    <xf numFmtId="176" fontId="2" fillId="3" borderId="1" xfId="64" applyNumberFormat="1" applyFont="1" applyFill="1" applyBorder="1" applyAlignment="1" applyProtection="1">
      <alignment horizontal="right" vertical="center"/>
    </xf>
    <xf numFmtId="0" fontId="2" fillId="3" borderId="1" xfId="52" applyFont="1" applyFill="1" applyBorder="1" applyAlignment="1"/>
    <xf numFmtId="0" fontId="2" fillId="3" borderId="1" xfId="52" applyFont="1" applyFill="1" applyBorder="1" applyAlignment="1" applyProtection="1">
      <alignment vertical="center"/>
      <protection locked="0"/>
    </xf>
    <xf numFmtId="180" fontId="2" fillId="3" borderId="1" xfId="0" applyNumberFormat="1" applyFont="1" applyFill="1" applyBorder="1" applyAlignment="1">
      <alignment horizontal="right"/>
    </xf>
    <xf numFmtId="176" fontId="2" fillId="4" borderId="1" xfId="61" applyNumberFormat="1" applyFont="1" applyFill="1" applyBorder="1" applyAlignment="1" applyProtection="1">
      <alignment horizontal="center" vertical="center"/>
    </xf>
    <xf numFmtId="14" fontId="1" fillId="3" borderId="1" xfId="48" applyNumberFormat="1" applyFont="1" applyFill="1" applyBorder="1" applyAlignment="1">
      <alignment horizontal="center" vertical="center"/>
      <protection locked="0"/>
    </xf>
    <xf numFmtId="179" fontId="2" fillId="4" borderId="1" xfId="10" applyNumberFormat="1" applyFont="1" applyFill="1" applyBorder="1" applyAlignment="1">
      <alignment horizontal="right"/>
    </xf>
    <xf numFmtId="14" fontId="2" fillId="4" borderId="1" xfId="0" applyNumberFormat="1" applyFont="1" applyFill="1" applyBorder="1" applyAlignment="1"/>
    <xf numFmtId="0" fontId="2" fillId="4" borderId="1" xfId="56" applyFont="1" applyFill="1" applyBorder="1" applyAlignment="1" applyProtection="1">
      <alignment horizontal="left" vertical="center" wrapText="1"/>
      <protection locked="0"/>
    </xf>
    <xf numFmtId="0" fontId="1" fillId="3" borderId="1" xfId="52" applyFont="1" applyFill="1" applyBorder="1" applyAlignment="1" applyProtection="1">
      <alignment vertical="center"/>
      <protection locked="0"/>
    </xf>
    <xf numFmtId="14" fontId="1" fillId="4" borderId="1" xfId="61" applyNumberFormat="1" applyFont="1" applyFill="1" applyBorder="1" applyAlignment="1" applyProtection="1">
      <alignment horizontal="left" vertical="center"/>
    </xf>
    <xf numFmtId="179" fontId="2" fillId="3" borderId="1" xfId="10" applyNumberFormat="1" applyFont="1" applyFill="1" applyBorder="1" applyAlignment="1">
      <alignment horizontal="right"/>
    </xf>
    <xf numFmtId="0" fontId="2" fillId="4" borderId="1" xfId="0" applyFont="1" applyFill="1" applyBorder="1" applyAlignment="1" applyProtection="1">
      <alignment horizontal="center" vertical="center" wrapText="1"/>
      <protection locked="0"/>
    </xf>
    <xf numFmtId="0" fontId="2" fillId="4" borderId="1" xfId="61" applyFont="1" applyFill="1" applyBorder="1" applyAlignment="1">
      <alignment horizontal="center" vertical="center" wrapText="1"/>
      <protection locked="0"/>
    </xf>
    <xf numFmtId="0" fontId="2" fillId="4" borderId="1" xfId="48" applyFont="1" applyFill="1" applyBorder="1" applyAlignment="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3" borderId="1" xfId="61" applyFont="1" applyFill="1" applyBorder="1" applyAlignment="1">
      <alignment horizontal="center" vertical="center" wrapText="1"/>
      <protection locked="0"/>
    </xf>
    <xf numFmtId="0" fontId="2" fillId="4" borderId="1" xfId="2" applyFont="1" applyFill="1" applyBorder="1" applyAlignment="1" applyProtection="1">
      <alignment horizontal="center" vertical="center" wrapText="1"/>
    </xf>
    <xf numFmtId="14" fontId="2" fillId="4" borderId="1" xfId="61" applyNumberFormat="1" applyFont="1" applyFill="1" applyBorder="1" applyAlignment="1">
      <alignment horizontal="center" vertical="center" wrapText="1"/>
      <protection locked="0"/>
    </xf>
    <xf numFmtId="176" fontId="2" fillId="4" borderId="1" xfId="61" applyNumberFormat="1" applyFont="1" applyFill="1" applyBorder="1" applyAlignment="1">
      <alignment horizontal="center" vertical="center" wrapText="1"/>
      <protection locked="0"/>
    </xf>
    <xf numFmtId="0" fontId="2" fillId="3" borderId="1" xfId="2" applyFont="1" applyFill="1" applyBorder="1" applyAlignment="1" applyProtection="1">
      <alignment horizontal="center" vertical="center" wrapText="1"/>
    </xf>
    <xf numFmtId="14" fontId="2" fillId="3" borderId="1" xfId="61" applyNumberFormat="1" applyFont="1" applyFill="1" applyBorder="1" applyAlignment="1">
      <alignment horizontal="center" vertical="center" wrapText="1"/>
      <protection locked="0"/>
    </xf>
    <xf numFmtId="176" fontId="2" fillId="3" borderId="1" xfId="61" applyNumberFormat="1" applyFont="1" applyFill="1" applyBorder="1" applyAlignment="1">
      <alignment horizontal="center" vertical="center" wrapText="1"/>
      <protection locked="0"/>
    </xf>
    <xf numFmtId="176" fontId="2" fillId="4" borderId="1" xfId="10" applyNumberFormat="1" applyFont="1" applyFill="1" applyBorder="1" applyAlignment="1" applyProtection="1">
      <alignment horizontal="right" vertical="center" wrapText="1"/>
      <protection locked="0"/>
    </xf>
    <xf numFmtId="182" fontId="2" fillId="4" borderId="1" xfId="48" applyNumberFormat="1" applyFont="1" applyFill="1" applyBorder="1" applyAlignment="1">
      <alignment vertical="center" wrapText="1"/>
      <protection locked="0"/>
    </xf>
    <xf numFmtId="180" fontId="2" fillId="4" borderId="1" xfId="48" applyNumberFormat="1" applyFont="1" applyFill="1" applyBorder="1" applyAlignment="1">
      <alignment horizontal="center" vertical="center" wrapText="1"/>
      <protection locked="0"/>
    </xf>
    <xf numFmtId="176" fontId="2" fillId="3" borderId="1" xfId="10" applyNumberFormat="1" applyFont="1" applyFill="1" applyBorder="1" applyAlignment="1" applyProtection="1">
      <alignment horizontal="right" vertical="center" wrapText="1"/>
      <protection locked="0"/>
    </xf>
    <xf numFmtId="182" fontId="2" fillId="3" borderId="1" xfId="48" applyNumberFormat="1" applyFont="1" applyFill="1" applyBorder="1" applyAlignment="1">
      <alignment vertical="center" wrapText="1"/>
      <protection locked="0"/>
    </xf>
    <xf numFmtId="180" fontId="2" fillId="3" borderId="1" xfId="48" applyNumberFormat="1" applyFont="1" applyFill="1" applyBorder="1" applyAlignment="1">
      <alignment horizontal="center" vertical="center" wrapText="1"/>
      <protection locked="0"/>
    </xf>
    <xf numFmtId="176" fontId="2" fillId="3" borderId="1" xfId="0" applyNumberFormat="1" applyFont="1" applyFill="1" applyBorder="1" applyAlignment="1" applyProtection="1">
      <alignment horizontal="center" vertical="center"/>
      <protection locked="0"/>
    </xf>
    <xf numFmtId="176" fontId="2" fillId="4" borderId="1" xfId="0" applyNumberFormat="1" applyFont="1" applyFill="1" applyBorder="1" applyAlignment="1" applyProtection="1">
      <alignment horizontal="center" vertical="center"/>
      <protection locked="0"/>
    </xf>
    <xf numFmtId="14"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183" fontId="2" fillId="4" borderId="1" xfId="0" applyNumberFormat="1" applyFont="1" applyFill="1" applyBorder="1" applyAlignment="1" applyProtection="1">
      <alignment horizontal="center" vertical="center"/>
      <protection locked="0"/>
    </xf>
    <xf numFmtId="0" fontId="2" fillId="4" borderId="1" xfId="48" applyFont="1" applyFill="1" applyBorder="1" applyAlignment="1" applyProtection="1">
      <alignment horizontal="center" vertical="center" wrapText="1"/>
    </xf>
    <xf numFmtId="49" fontId="2" fillId="3" borderId="1" xfId="61" applyNumberFormat="1" applyFont="1" applyFill="1" applyBorder="1" applyAlignment="1">
      <alignment horizontal="center" vertical="center" wrapText="1"/>
      <protection locked="0"/>
    </xf>
    <xf numFmtId="0" fontId="1" fillId="4" borderId="1" xfId="61" applyFont="1" applyFill="1" applyBorder="1" applyAlignment="1">
      <alignment horizontal="left" vertical="center" wrapText="1"/>
      <protection locked="0"/>
    </xf>
    <xf numFmtId="0" fontId="2" fillId="4" borderId="1" xfId="13" applyFont="1" applyFill="1" applyBorder="1" applyAlignment="1">
      <alignment horizontal="center" vertical="center" wrapText="1"/>
      <protection locked="0"/>
    </xf>
    <xf numFmtId="14" fontId="1" fillId="4" borderId="1" xfId="61" applyNumberFormat="1" applyFont="1" applyFill="1" applyBorder="1" applyAlignment="1">
      <alignment horizontal="center" vertical="center" wrapText="1"/>
      <protection locked="0"/>
    </xf>
    <xf numFmtId="14" fontId="1" fillId="3" borderId="1" xfId="61" applyNumberFormat="1" applyFont="1" applyFill="1" applyBorder="1" applyAlignment="1">
      <alignment horizontal="center" vertical="center" wrapText="1"/>
      <protection locked="0"/>
    </xf>
    <xf numFmtId="0" fontId="2" fillId="3" borderId="1" xfId="61" applyFont="1" applyFill="1" applyBorder="1" applyAlignment="1">
      <alignment horizontal="left" vertical="top" wrapText="1"/>
      <protection locked="0"/>
    </xf>
    <xf numFmtId="0" fontId="1" fillId="3" borderId="1" xfId="61" applyFont="1" applyFill="1" applyBorder="1" applyAlignment="1">
      <alignment horizontal="left" vertical="center" wrapText="1"/>
      <protection locked="0"/>
    </xf>
    <xf numFmtId="14" fontId="2" fillId="4" borderId="1" xfId="0" applyNumberFormat="1"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 fillId="3" borderId="1" xfId="48" applyFont="1" applyFill="1" applyBorder="1" applyAlignment="1" applyProtection="1">
      <alignment horizontal="center" vertical="center" wrapText="1"/>
    </xf>
    <xf numFmtId="0" fontId="2" fillId="4" borderId="1" xfId="61" applyFont="1" applyFill="1" applyBorder="1" applyAlignment="1" applyProtection="1">
      <alignment horizontal="center" vertical="center" wrapText="1"/>
    </xf>
    <xf numFmtId="0" fontId="2" fillId="4" borderId="1" xfId="2" applyFont="1" applyFill="1" applyBorder="1" applyAlignment="1">
      <alignment horizontal="center" vertical="center" wrapText="1"/>
      <protection locked="0"/>
    </xf>
    <xf numFmtId="176" fontId="2" fillId="4" borderId="1" xfId="2" applyNumberFormat="1" applyFont="1" applyFill="1" applyBorder="1" applyAlignment="1">
      <alignment horizontal="center" vertical="center" wrapText="1"/>
      <protection locked="0"/>
    </xf>
    <xf numFmtId="176" fontId="2" fillId="3" borderId="1" xfId="61" applyNumberFormat="1" applyFont="1" applyFill="1" applyBorder="1" applyAlignment="1" applyProtection="1">
      <alignment horizontal="center" vertical="center" wrapText="1"/>
    </xf>
    <xf numFmtId="0" fontId="2" fillId="3" borderId="1" xfId="61" applyFont="1" applyFill="1" applyBorder="1" applyAlignment="1" applyProtection="1">
      <alignment horizontal="left" vertical="center" wrapText="1"/>
    </xf>
    <xf numFmtId="176" fontId="2" fillId="3" borderId="1" xfId="48" applyNumberFormat="1" applyFont="1" applyFill="1" applyBorder="1" applyAlignment="1" applyProtection="1">
      <alignment horizontal="center" vertical="center" wrapText="1"/>
    </xf>
    <xf numFmtId="176" fontId="2" fillId="4" borderId="1" xfId="61" applyNumberFormat="1" applyFont="1" applyFill="1" applyBorder="1" applyAlignment="1" applyProtection="1">
      <alignment horizontal="center" vertical="center" wrapText="1"/>
    </xf>
    <xf numFmtId="0" fontId="2" fillId="4" borderId="1" xfId="53" applyFont="1" applyFill="1" applyBorder="1" applyAlignment="1">
      <alignment vertical="center" wrapText="1"/>
      <protection locked="0"/>
    </xf>
    <xf numFmtId="176" fontId="2" fillId="3" borderId="1" xfId="10" applyNumberFormat="1" applyFont="1" applyFill="1" applyBorder="1" applyAlignment="1" applyProtection="1">
      <alignment horizontal="right" vertical="center" wrapText="1"/>
    </xf>
    <xf numFmtId="0" fontId="2" fillId="3" borderId="1" xfId="53" applyFont="1" applyFill="1" applyBorder="1" applyAlignment="1">
      <alignment vertical="center" wrapText="1"/>
      <protection locked="0"/>
    </xf>
    <xf numFmtId="0" fontId="2" fillId="3" borderId="1" xfId="53" applyFont="1" applyFill="1" applyBorder="1" applyAlignment="1">
      <alignment vertical="top" wrapText="1"/>
      <protection locked="0"/>
    </xf>
    <xf numFmtId="176" fontId="2" fillId="4" borderId="1" xfId="10" applyNumberFormat="1" applyFont="1" applyFill="1" applyBorder="1" applyAlignment="1" applyProtection="1">
      <alignment horizontal="right" vertical="center" wrapText="1"/>
    </xf>
    <xf numFmtId="14" fontId="2" fillId="4" borderId="1" xfId="0" applyNumberFormat="1" applyFont="1" applyFill="1" applyBorder="1" applyAlignment="1">
      <alignment horizontal="center" vertical="center" wrapText="1"/>
    </xf>
    <xf numFmtId="40" fontId="2" fillId="4" borderId="1" xfId="61" applyNumberFormat="1" applyFont="1" applyFill="1" applyBorder="1" applyAlignment="1" applyProtection="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4"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176" fontId="2" fillId="4" borderId="1" xfId="0" applyNumberFormat="1" applyFont="1" applyFill="1" applyBorder="1" applyAlignment="1">
      <alignment horizontal="center" vertical="center"/>
    </xf>
    <xf numFmtId="40" fontId="2" fillId="3" borderId="1" xfId="61" applyNumberFormat="1" applyFont="1" applyFill="1" applyBorder="1" applyAlignment="1" applyProtection="1">
      <alignment horizontal="center" vertical="center" wrapText="1"/>
    </xf>
    <xf numFmtId="180" fontId="2" fillId="3" borderId="1" xfId="48" applyNumberFormat="1" applyFont="1" applyFill="1" applyBorder="1" applyAlignment="1">
      <alignment vertical="center" wrapText="1"/>
      <protection locked="0"/>
    </xf>
    <xf numFmtId="0" fontId="2" fillId="3" borderId="1" xfId="56" applyFont="1" applyFill="1" applyBorder="1" applyAlignment="1" applyProtection="1">
      <alignment horizontal="left" vertical="center" wrapText="1"/>
      <protection locked="0"/>
    </xf>
    <xf numFmtId="176" fontId="2" fillId="3" borderId="1" xfId="2" applyNumberFormat="1" applyFont="1" applyFill="1" applyBorder="1" applyAlignment="1">
      <alignment horizontal="center" vertical="center" wrapText="1"/>
      <protection locked="0"/>
    </xf>
    <xf numFmtId="0" fontId="2" fillId="3" borderId="1" xfId="63" applyFont="1" applyFill="1" applyBorder="1" applyAlignment="1">
      <alignment horizontal="center" vertical="center" wrapText="1"/>
      <protection locked="0"/>
    </xf>
    <xf numFmtId="176" fontId="2" fillId="3" borderId="1" xfId="63" applyNumberFormat="1" applyFont="1" applyFill="1" applyBorder="1" applyAlignment="1">
      <alignment horizontal="center" vertical="center" wrapText="1"/>
      <protection locked="0"/>
    </xf>
    <xf numFmtId="49" fontId="2" fillId="3" borderId="1" xfId="56" applyNumberFormat="1" applyFont="1" applyFill="1" applyBorder="1" applyAlignment="1" applyProtection="1">
      <alignment horizontal="center" vertical="center" wrapText="1"/>
      <protection locked="0"/>
    </xf>
    <xf numFmtId="14" fontId="2" fillId="3" borderId="1" xfId="63" applyNumberFormat="1" applyFont="1" applyFill="1" applyBorder="1" applyAlignment="1">
      <alignment vertical="center" wrapText="1"/>
      <protection locked="0"/>
    </xf>
    <xf numFmtId="14" fontId="1" fillId="3" borderId="1" xfId="63" applyNumberFormat="1" applyFont="1" applyFill="1" applyBorder="1" applyAlignment="1">
      <alignment vertical="center" wrapText="1"/>
      <protection locked="0"/>
    </xf>
    <xf numFmtId="14" fontId="1" fillId="3" borderId="1" xfId="61" applyNumberFormat="1" applyFont="1" applyFill="1" applyBorder="1" applyAlignment="1" applyProtection="1">
      <alignment vertical="center" wrapText="1"/>
    </xf>
    <xf numFmtId="0" fontId="2" fillId="3" borderId="1" xfId="56" applyFont="1" applyFill="1" applyBorder="1" applyAlignment="1" applyProtection="1">
      <alignment horizontal="center" vertical="center" wrapText="1"/>
      <protection locked="0"/>
    </xf>
    <xf numFmtId="176" fontId="2" fillId="3" borderId="1" xfId="63" applyNumberFormat="1" applyFont="1" applyFill="1" applyBorder="1" applyAlignment="1">
      <alignment horizontal="center" vertical="center"/>
      <protection locked="0"/>
    </xf>
    <xf numFmtId="0" fontId="2" fillId="4" borderId="1" xfId="56" applyFont="1" applyFill="1" applyBorder="1" applyAlignment="1" applyProtection="1">
      <alignment horizontal="center" vertical="center" wrapText="1"/>
      <protection locked="0"/>
    </xf>
    <xf numFmtId="49" fontId="2" fillId="4" borderId="1" xfId="56" applyNumberFormat="1" applyFont="1" applyFill="1" applyBorder="1" applyAlignment="1" applyProtection="1">
      <alignment horizontal="center" vertical="center" wrapText="1"/>
      <protection locked="0"/>
    </xf>
    <xf numFmtId="176" fontId="2" fillId="4" borderId="1" xfId="63" applyNumberFormat="1" applyFont="1" applyFill="1" applyBorder="1" applyAlignment="1">
      <alignment horizontal="center" vertical="center"/>
      <protection locked="0"/>
    </xf>
    <xf numFmtId="14" fontId="2" fillId="3" borderId="1" xfId="61" applyNumberFormat="1" applyFont="1" applyFill="1" applyBorder="1" applyAlignment="1" applyProtection="1">
      <alignment vertical="center" wrapText="1"/>
    </xf>
    <xf numFmtId="0" fontId="2" fillId="3" borderId="1" xfId="56" applyFont="1" applyFill="1" applyBorder="1"/>
    <xf numFmtId="14" fontId="2" fillId="4" borderId="1" xfId="61" applyNumberFormat="1" applyFont="1" applyFill="1" applyBorder="1" applyAlignment="1" applyProtection="1">
      <alignment vertical="center" wrapText="1"/>
    </xf>
    <xf numFmtId="0" fontId="2" fillId="4" borderId="1" xfId="56" applyFont="1" applyFill="1" applyBorder="1"/>
    <xf numFmtId="43" fontId="9" fillId="3" borderId="1" xfId="10" applyFont="1" applyFill="1" applyBorder="1" applyAlignment="1" applyProtection="1">
      <alignment horizontal="right" vertical="center"/>
      <protection locked="0"/>
    </xf>
    <xf numFmtId="40" fontId="2" fillId="3" borderId="1" xfId="61" applyNumberFormat="1" applyFont="1" applyFill="1" applyBorder="1" applyAlignment="1" applyProtection="1">
      <alignment horizontal="center" vertical="top" wrapText="1"/>
    </xf>
    <xf numFmtId="0" fontId="2" fillId="3" borderId="1" xfId="56" applyFont="1" applyFill="1" applyBorder="1" applyAlignment="1" applyProtection="1">
      <alignment vertical="center"/>
      <protection locked="0"/>
    </xf>
    <xf numFmtId="0" fontId="2" fillId="3" borderId="1" xfId="48" applyFont="1" applyFill="1" applyBorder="1" applyAlignment="1">
      <alignment vertical="center" wrapText="1"/>
      <protection locked="0"/>
    </xf>
    <xf numFmtId="176" fontId="2" fillId="4" borderId="1" xfId="59" applyNumberFormat="1" applyFont="1" applyFill="1" applyBorder="1" applyAlignment="1" applyProtection="1">
      <alignment horizontal="center" vertical="center"/>
      <protection locked="0"/>
    </xf>
    <xf numFmtId="176" fontId="2" fillId="3" borderId="1" xfId="59" applyNumberFormat="1" applyFont="1" applyFill="1" applyBorder="1" applyAlignment="1" applyProtection="1">
      <alignment horizontal="center" vertical="center"/>
      <protection locked="0"/>
    </xf>
    <xf numFmtId="176" fontId="2" fillId="4" borderId="1" xfId="64" applyNumberFormat="1" applyFont="1" applyFill="1" applyBorder="1" applyAlignment="1" applyProtection="1">
      <alignment horizontal="center" vertical="center"/>
    </xf>
    <xf numFmtId="176" fontId="2" fillId="4" borderId="1" xfId="64" applyNumberFormat="1" applyFont="1" applyFill="1" applyBorder="1" applyAlignment="1" applyProtection="1">
      <alignment horizontal="right" vertical="center"/>
      <protection locked="0"/>
    </xf>
    <xf numFmtId="43" fontId="2" fillId="4" borderId="1" xfId="59" applyFont="1" applyFill="1" applyBorder="1" applyAlignment="1">
      <alignment vertical="center"/>
    </xf>
    <xf numFmtId="14" fontId="2" fillId="4" borderId="1" xfId="64" applyNumberFormat="1" applyFont="1" applyFill="1" applyBorder="1" applyAlignment="1" applyProtection="1">
      <alignment horizontal="center" vertical="center"/>
      <protection locked="0"/>
    </xf>
    <xf numFmtId="176" fontId="2" fillId="3" borderId="1" xfId="64" applyNumberFormat="1" applyFont="1" applyFill="1" applyBorder="1" applyAlignment="1" applyProtection="1">
      <alignment horizontal="center" vertical="center"/>
    </xf>
    <xf numFmtId="176" fontId="2" fillId="3" borderId="1" xfId="64" applyNumberFormat="1" applyFont="1" applyFill="1" applyBorder="1" applyAlignment="1" applyProtection="1">
      <alignment horizontal="right" vertical="center"/>
      <protection locked="0"/>
    </xf>
    <xf numFmtId="0" fontId="2" fillId="3" borderId="1" xfId="52" applyFont="1" applyFill="1" applyBorder="1" applyAlignment="1">
      <alignment vertical="center"/>
    </xf>
    <xf numFmtId="43" fontId="2" fillId="3" borderId="1" xfId="59" applyFont="1" applyFill="1" applyBorder="1" applyAlignment="1">
      <alignment vertical="center"/>
    </xf>
    <xf numFmtId="43" fontId="2" fillId="3" borderId="1" xfId="64" applyFont="1" applyFill="1" applyBorder="1" applyAlignment="1" applyProtection="1">
      <alignment horizontal="center" vertical="center"/>
      <protection locked="0"/>
    </xf>
    <xf numFmtId="14" fontId="2" fillId="3" borderId="1" xfId="64" applyNumberFormat="1" applyFont="1" applyFill="1" applyBorder="1" applyAlignment="1" applyProtection="1">
      <alignment horizontal="center" vertical="center"/>
      <protection locked="0"/>
    </xf>
    <xf numFmtId="176" fontId="2" fillId="4" borderId="1" xfId="59" applyNumberFormat="1" applyFont="1" applyFill="1" applyBorder="1" applyAlignment="1" applyProtection="1">
      <alignment horizontal="center" vertical="center"/>
    </xf>
    <xf numFmtId="176" fontId="2" fillId="4" borderId="1" xfId="64" applyNumberFormat="1" applyFont="1" applyFill="1" applyBorder="1" applyAlignment="1" applyProtection="1">
      <alignment horizontal="center" vertical="center"/>
      <protection locked="0"/>
    </xf>
    <xf numFmtId="14" fontId="1" fillId="4" borderId="1" xfId="61" applyNumberFormat="1" applyFont="1" applyFill="1" applyBorder="1" applyAlignment="1" applyProtection="1">
      <alignment horizontal="center" vertical="center"/>
    </xf>
    <xf numFmtId="14" fontId="1" fillId="4" borderId="1" xfId="61" applyNumberFormat="1" applyFont="1" applyFill="1" applyBorder="1" applyAlignment="1" applyProtection="1">
      <alignment horizontal="left" vertical="center" wrapText="1"/>
    </xf>
    <xf numFmtId="14" fontId="1" fillId="3" borderId="1" xfId="61" applyNumberFormat="1" applyFont="1" applyFill="1" applyBorder="1" applyAlignment="1" applyProtection="1">
      <alignment horizontal="center" vertical="center"/>
    </xf>
    <xf numFmtId="176" fontId="2" fillId="3" borderId="1" xfId="64" applyNumberFormat="1" applyFont="1" applyFill="1" applyBorder="1" applyAlignment="1" applyProtection="1">
      <alignment horizontal="center" vertical="center"/>
      <protection locked="0"/>
    </xf>
    <xf numFmtId="14" fontId="1" fillId="3" borderId="1" xfId="61" applyNumberFormat="1" applyFont="1" applyFill="1" applyBorder="1" applyAlignment="1" applyProtection="1">
      <alignment horizontal="left" vertical="center" wrapText="1"/>
    </xf>
    <xf numFmtId="14" fontId="2" fillId="4" borderId="1" xfId="52" applyNumberFormat="1" applyFont="1" applyFill="1" applyBorder="1" applyAlignment="1">
      <alignment horizontal="center" vertical="center"/>
    </xf>
    <xf numFmtId="14" fontId="2" fillId="3" borderId="1" xfId="52" applyNumberFormat="1" applyFont="1" applyFill="1" applyBorder="1" applyAlignment="1">
      <alignment horizontal="center" vertical="center"/>
    </xf>
    <xf numFmtId="0" fontId="2" fillId="3" borderId="1" xfId="52" applyFont="1" applyFill="1" applyBorder="1" applyAlignment="1" applyProtection="1">
      <alignment horizontal="center"/>
      <protection locked="0"/>
    </xf>
    <xf numFmtId="0" fontId="2" fillId="3" borderId="1" xfId="52" applyFont="1" applyFill="1" applyBorder="1" applyAlignment="1">
      <alignment horizontal="center"/>
    </xf>
    <xf numFmtId="0" fontId="2" fillId="3" borderId="1" xfId="52" applyFont="1" applyFill="1" applyBorder="1" applyAlignment="1" applyProtection="1">
      <alignment horizontal="left"/>
      <protection locked="0"/>
    </xf>
    <xf numFmtId="0" fontId="2" fillId="3" borderId="1" xfId="56" applyFont="1" applyFill="1" applyBorder="1" applyAlignment="1">
      <alignment horizontal="center"/>
    </xf>
    <xf numFmtId="176" fontId="2" fillId="4" borderId="1" xfId="59" applyNumberFormat="1" applyFont="1" applyFill="1" applyBorder="1" applyAlignment="1">
      <alignment horizontal="center" vertical="center"/>
    </xf>
    <xf numFmtId="14" fontId="2" fillId="3" borderId="1" xfId="56" applyNumberFormat="1" applyFont="1" applyFill="1" applyBorder="1" applyAlignment="1">
      <alignment horizontal="center" vertical="center"/>
    </xf>
    <xf numFmtId="176" fontId="2" fillId="3" borderId="1" xfId="59" applyNumberFormat="1" applyFont="1" applyFill="1" applyBorder="1" applyAlignment="1" applyProtection="1">
      <alignment horizontal="center" vertical="center"/>
    </xf>
    <xf numFmtId="43" fontId="2" fillId="3" borderId="1" xfId="66" applyFont="1" applyFill="1" applyBorder="1" applyAlignment="1" applyProtection="1">
      <alignment horizontal="center" vertical="center"/>
      <protection locked="0"/>
    </xf>
    <xf numFmtId="0" fontId="2" fillId="4" borderId="1" xfId="52" applyNumberFormat="1" applyFont="1" applyFill="1" applyBorder="1" applyAlignment="1">
      <alignment horizontal="left" vertical="center"/>
    </xf>
    <xf numFmtId="43" fontId="2" fillId="3" borderId="1" xfId="66" applyFont="1" applyFill="1" applyBorder="1" applyAlignment="1" applyProtection="1">
      <alignment horizontal="right" vertical="center"/>
      <protection locked="0"/>
    </xf>
    <xf numFmtId="0" fontId="2" fillId="3" borderId="1" xfId="52" applyNumberFormat="1" applyFont="1" applyFill="1" applyBorder="1" applyAlignment="1">
      <alignment horizontal="left" vertical="center" wrapText="1"/>
    </xf>
    <xf numFmtId="49" fontId="2" fillId="3" borderId="1" xfId="56" applyNumberFormat="1" applyFont="1" applyFill="1" applyBorder="1" applyAlignment="1" applyProtection="1">
      <alignment horizontal="center" vertical="center"/>
      <protection locked="0"/>
    </xf>
    <xf numFmtId="14" fontId="2" fillId="3" borderId="1" xfId="61" applyNumberFormat="1" applyFont="1" applyFill="1" applyBorder="1" applyAlignment="1" applyProtection="1">
      <alignment horizontal="left" vertical="center" wrapText="1"/>
    </xf>
    <xf numFmtId="14" fontId="2" fillId="4" borderId="1" xfId="61" applyNumberFormat="1" applyFont="1" applyFill="1" applyBorder="1" applyAlignment="1" applyProtection="1">
      <alignment horizontal="left" vertical="top"/>
    </xf>
    <xf numFmtId="43" fontId="2" fillId="4" borderId="1" xfId="64" applyFont="1" applyFill="1" applyBorder="1" applyAlignment="1">
      <alignment vertical="center"/>
    </xf>
    <xf numFmtId="0" fontId="2" fillId="3" borderId="1" xfId="52" applyFont="1" applyFill="1" applyBorder="1" applyAlignment="1">
      <alignment horizontal="left" vertical="center"/>
    </xf>
    <xf numFmtId="176" fontId="2" fillId="3" borderId="1" xfId="61" applyNumberFormat="1" applyFont="1" applyFill="1" applyBorder="1" applyAlignment="1" applyProtection="1">
      <alignment horizontal="center" vertical="center"/>
    </xf>
    <xf numFmtId="176" fontId="2" fillId="3" borderId="1" xfId="52" applyNumberFormat="1" applyFont="1" applyFill="1" applyBorder="1" applyAlignment="1" applyProtection="1">
      <alignment horizontal="center" vertical="center"/>
      <protection locked="0"/>
    </xf>
    <xf numFmtId="43" fontId="2" fillId="3" borderId="1" xfId="64" applyFont="1" applyFill="1" applyBorder="1" applyAlignment="1">
      <alignment vertical="center"/>
    </xf>
    <xf numFmtId="0" fontId="2" fillId="3" borderId="1" xfId="52" applyNumberFormat="1" applyFont="1" applyFill="1" applyBorder="1" applyAlignment="1">
      <alignment horizontal="left" vertical="center"/>
    </xf>
    <xf numFmtId="176" fontId="2" fillId="3" borderId="1" xfId="52" applyNumberFormat="1" applyFont="1" applyFill="1" applyBorder="1" applyAlignment="1" applyProtection="1">
      <alignment horizontal="right" vertical="center"/>
      <protection locked="0"/>
    </xf>
    <xf numFmtId="40" fontId="2" fillId="3" borderId="1" xfId="61" applyNumberFormat="1" applyFont="1" applyFill="1" applyBorder="1" applyAlignment="1" applyProtection="1">
      <alignment vertical="center" wrapText="1"/>
    </xf>
    <xf numFmtId="0" fontId="2" fillId="4" borderId="1" xfId="52" applyFont="1" applyFill="1" applyBorder="1" applyAlignment="1">
      <alignment horizontal="left" vertical="center"/>
    </xf>
    <xf numFmtId="0" fontId="2" fillId="3" borderId="1" xfId="57" applyFont="1" applyFill="1" applyBorder="1" applyAlignment="1">
      <alignment horizontal="center" vertical="center"/>
    </xf>
    <xf numFmtId="0" fontId="2" fillId="3" borderId="1" xfId="57" applyFont="1" applyFill="1" applyBorder="1" applyAlignment="1" applyProtection="1">
      <alignment horizontal="center" vertical="center"/>
      <protection locked="0"/>
    </xf>
    <xf numFmtId="0" fontId="2" fillId="3" borderId="1" xfId="57" applyFont="1" applyFill="1" applyBorder="1" applyAlignment="1">
      <alignment horizontal="left" vertical="center"/>
    </xf>
    <xf numFmtId="176" fontId="2" fillId="4" borderId="1" xfId="48" applyNumberFormat="1" applyFont="1" applyFill="1" applyBorder="1" applyAlignment="1" applyProtection="1">
      <alignment horizontal="center" vertical="center"/>
    </xf>
    <xf numFmtId="176" fontId="2" fillId="3" borderId="1" xfId="65" applyNumberFormat="1" applyFont="1" applyFill="1" applyBorder="1" applyAlignment="1" applyProtection="1">
      <alignment horizontal="center" vertical="center"/>
      <protection locked="0"/>
    </xf>
    <xf numFmtId="176" fontId="2" fillId="4" borderId="1" xfId="48" applyNumberFormat="1" applyFont="1" applyFill="1" applyBorder="1" applyAlignment="1" applyProtection="1">
      <alignment horizontal="right" vertical="center"/>
    </xf>
    <xf numFmtId="176" fontId="2" fillId="4" borderId="1" xfId="52" applyNumberFormat="1" applyFont="1" applyFill="1" applyBorder="1" applyAlignment="1" applyProtection="1">
      <alignment horizontal="right" vertical="center"/>
      <protection locked="0"/>
    </xf>
    <xf numFmtId="43" fontId="2" fillId="4" borderId="1" xfId="52" applyNumberFormat="1" applyFont="1" applyFill="1" applyBorder="1" applyAlignment="1"/>
    <xf numFmtId="176" fontId="2" fillId="3" borderId="1" xfId="65" applyNumberFormat="1" applyFont="1" applyFill="1" applyBorder="1" applyAlignment="1" applyProtection="1">
      <alignment horizontal="right" vertical="center"/>
    </xf>
    <xf numFmtId="176" fontId="2" fillId="3" borderId="1" xfId="65" applyNumberFormat="1" applyFont="1" applyFill="1" applyBorder="1" applyAlignment="1" applyProtection="1">
      <alignment horizontal="right" vertical="center"/>
      <protection locked="0"/>
    </xf>
    <xf numFmtId="40" fontId="1" fillId="3" borderId="1" xfId="61" applyNumberFormat="1" applyFont="1" applyFill="1" applyBorder="1" applyAlignment="1" applyProtection="1">
      <alignment vertical="center" wrapText="1"/>
    </xf>
    <xf numFmtId="43" fontId="2" fillId="3" borderId="1" xfId="66" applyFont="1" applyFill="1" applyBorder="1" applyAlignment="1">
      <alignment vertical="center"/>
    </xf>
    <xf numFmtId="0" fontId="2" fillId="3" borderId="1" xfId="57" applyFont="1" applyFill="1" applyBorder="1" applyAlignment="1">
      <alignment horizontal="right"/>
    </xf>
    <xf numFmtId="176" fontId="2" fillId="3" borderId="1" xfId="6" applyNumberFormat="1" applyFont="1" applyFill="1" applyBorder="1" applyAlignment="1">
      <alignment horizontal="center" vertical="center"/>
    </xf>
    <xf numFmtId="43" fontId="2" fillId="3" borderId="1" xfId="64" applyFont="1" applyFill="1" applyBorder="1" applyAlignment="1" applyProtection="1">
      <alignment horizontal="center" vertical="center"/>
    </xf>
    <xf numFmtId="176" fontId="2" fillId="4" borderId="1" xfId="52" applyNumberFormat="1" applyFont="1" applyFill="1" applyBorder="1" applyAlignment="1">
      <alignment horizontal="center" vertical="center"/>
    </xf>
    <xf numFmtId="176" fontId="2" fillId="3" borderId="1" xfId="64" applyNumberFormat="1" applyFont="1" applyFill="1" applyBorder="1" applyAlignment="1">
      <alignment horizontal="right" vertical="center"/>
    </xf>
    <xf numFmtId="176" fontId="2" fillId="3" borderId="1" xfId="6" applyNumberFormat="1" applyFont="1" applyFill="1" applyBorder="1" applyAlignment="1">
      <alignment horizontal="right" vertical="center"/>
    </xf>
    <xf numFmtId="176" fontId="2" fillId="4" borderId="1" xfId="64" applyNumberFormat="1" applyFont="1" applyFill="1" applyBorder="1" applyAlignment="1">
      <alignment horizontal="right" vertical="center"/>
    </xf>
    <xf numFmtId="176" fontId="2" fillId="4" borderId="1" xfId="52" applyNumberFormat="1" applyFont="1" applyFill="1" applyBorder="1" applyAlignment="1">
      <alignment horizontal="right" vertical="center"/>
    </xf>
    <xf numFmtId="183" fontId="2" fillId="4" borderId="1" xfId="64" applyNumberFormat="1" applyFont="1" applyFill="1" applyBorder="1" applyAlignment="1">
      <alignment horizontal="center" vertical="center"/>
    </xf>
    <xf numFmtId="176" fontId="2" fillId="3" borderId="1" xfId="52" applyNumberFormat="1" applyFont="1" applyFill="1" applyBorder="1" applyAlignment="1">
      <alignment horizontal="center" vertical="center"/>
    </xf>
    <xf numFmtId="43" fontId="2" fillId="4" borderId="1" xfId="10" applyNumberFormat="1" applyFont="1" applyFill="1" applyBorder="1" applyAlignment="1">
      <alignment vertical="center"/>
    </xf>
    <xf numFmtId="176" fontId="2" fillId="3" borderId="1" xfId="52" applyNumberFormat="1" applyFont="1" applyFill="1" applyBorder="1" applyAlignment="1">
      <alignment horizontal="right" vertical="center"/>
    </xf>
    <xf numFmtId="0" fontId="2" fillId="4" borderId="1" xfId="61" applyNumberFormat="1" applyFont="1" applyFill="1" applyBorder="1" applyAlignment="1" applyProtection="1">
      <alignment horizontal="center" vertical="center"/>
    </xf>
    <xf numFmtId="176" fontId="2" fillId="4" borderId="1" xfId="66" applyNumberFormat="1" applyFont="1" applyFill="1" applyBorder="1" applyAlignment="1" applyProtection="1">
      <alignment horizontal="right" vertical="center"/>
      <protection locked="0"/>
    </xf>
    <xf numFmtId="43" fontId="2" fillId="4" borderId="1" xfId="66" applyFont="1" applyFill="1" applyBorder="1" applyAlignment="1">
      <alignment vertical="center"/>
    </xf>
    <xf numFmtId="43" fontId="2" fillId="7" borderId="1" xfId="64" applyFont="1" applyFill="1" applyBorder="1" applyAlignment="1" applyProtection="1">
      <alignment horizontal="right" vertical="center"/>
      <protection locked="0"/>
    </xf>
    <xf numFmtId="43" fontId="2" fillId="4" borderId="1" xfId="52" applyNumberFormat="1" applyFont="1" applyFill="1" applyBorder="1" applyAlignment="1">
      <alignment vertical="center"/>
    </xf>
    <xf numFmtId="14" fontId="2" fillId="4" borderId="1" xfId="61" applyNumberFormat="1" applyFont="1" applyFill="1" applyBorder="1" applyAlignment="1" applyProtection="1">
      <alignment vertical="top" wrapText="1"/>
    </xf>
    <xf numFmtId="43" fontId="2" fillId="3" borderId="1" xfId="10" applyNumberFormat="1" applyFont="1" applyFill="1" applyBorder="1" applyAlignment="1">
      <alignment vertical="center"/>
    </xf>
    <xf numFmtId="183" fontId="2" fillId="3" borderId="1" xfId="61" applyNumberFormat="1" applyFont="1" applyFill="1" applyBorder="1" applyAlignment="1" applyProtection="1">
      <alignment horizontal="center" vertical="center" wrapText="1"/>
    </xf>
    <xf numFmtId="176" fontId="2" fillId="3" borderId="1" xfId="66" applyNumberFormat="1" applyFont="1" applyFill="1" applyBorder="1" applyAlignment="1" applyProtection="1">
      <alignment horizontal="center" vertical="center"/>
    </xf>
    <xf numFmtId="176" fontId="2" fillId="3" borderId="1" xfId="66" applyNumberFormat="1" applyFont="1" applyFill="1" applyBorder="1" applyAlignment="1" applyProtection="1">
      <alignment horizontal="right" vertical="center"/>
      <protection locked="0"/>
    </xf>
    <xf numFmtId="40" fontId="1" fillId="3" borderId="1" xfId="61" applyNumberFormat="1" applyFont="1" applyFill="1" applyBorder="1" applyAlignment="1" applyProtection="1">
      <alignment horizontal="left" vertical="top" wrapText="1"/>
    </xf>
    <xf numFmtId="184" fontId="2" fillId="3" borderId="1" xfId="61" applyNumberFormat="1" applyFont="1" applyFill="1" applyBorder="1" applyAlignment="1">
      <alignment horizontal="right" vertical="center"/>
      <protection locked="0"/>
    </xf>
    <xf numFmtId="40" fontId="2" fillId="3" borderId="1" xfId="61" applyNumberFormat="1" applyFont="1" applyFill="1" applyBorder="1" applyAlignment="1" applyProtection="1">
      <alignment horizontal="left" vertical="top" wrapText="1"/>
    </xf>
    <xf numFmtId="180" fontId="2" fillId="3" borderId="1" xfId="61" applyNumberFormat="1" applyFont="1" applyFill="1" applyBorder="1" applyAlignment="1">
      <alignment horizontal="center" vertical="center"/>
      <protection locked="0"/>
    </xf>
    <xf numFmtId="176" fontId="2" fillId="3" borderId="1" xfId="66" applyNumberFormat="1" applyFont="1" applyFill="1" applyBorder="1" applyAlignment="1" applyProtection="1">
      <alignment horizontal="center" vertical="center"/>
      <protection locked="0"/>
    </xf>
    <xf numFmtId="14" fontId="2" fillId="3" borderId="1" xfId="2" applyNumberFormat="1" applyFont="1" applyFill="1" applyBorder="1" applyAlignment="1">
      <alignment horizontal="center" vertical="center"/>
      <protection locked="0"/>
    </xf>
    <xf numFmtId="43" fontId="2" fillId="4" borderId="1" xfId="10" applyNumberFormat="1" applyFont="1" applyFill="1" applyBorder="1" applyAlignment="1">
      <alignment horizontal="left" vertical="center"/>
    </xf>
    <xf numFmtId="43" fontId="2" fillId="4" borderId="1" xfId="52" applyNumberFormat="1" applyFont="1" applyFill="1" applyBorder="1" applyAlignment="1">
      <alignment horizontal="right" vertical="center"/>
    </xf>
    <xf numFmtId="14" fontId="2" fillId="3" borderId="1" xfId="0" applyNumberFormat="1" applyFont="1" applyFill="1" applyBorder="1" applyAlignment="1" applyProtection="1">
      <alignment horizontal="center" vertical="center"/>
      <protection locked="0"/>
    </xf>
    <xf numFmtId="43" fontId="2" fillId="3" borderId="1" xfId="66" applyFont="1" applyFill="1" applyBorder="1" applyAlignment="1" applyProtection="1">
      <alignment horizontal="center" vertical="center"/>
    </xf>
    <xf numFmtId="14" fontId="2" fillId="4" borderId="1" xfId="0" applyNumberFormat="1" applyFont="1" applyFill="1" applyBorder="1" applyAlignment="1" applyProtection="1">
      <alignment horizontal="center" vertical="center"/>
      <protection locked="0"/>
    </xf>
    <xf numFmtId="0" fontId="1" fillId="3" borderId="1" xfId="0" applyNumberFormat="1" applyFont="1" applyFill="1" applyBorder="1" applyAlignment="1">
      <alignment horizontal="left" vertical="center"/>
    </xf>
    <xf numFmtId="185" fontId="2" fillId="3" borderId="1" xfId="66" applyNumberFormat="1" applyFont="1" applyFill="1" applyBorder="1" applyAlignment="1" applyProtection="1">
      <alignment horizontal="center" vertical="center"/>
    </xf>
    <xf numFmtId="186" fontId="2" fillId="3" borderId="1" xfId="0" applyNumberFormat="1" applyFont="1" applyFill="1" applyBorder="1" applyAlignment="1">
      <alignment horizontal="center" vertical="center"/>
    </xf>
    <xf numFmtId="43" fontId="2" fillId="4" borderId="1" xfId="66" applyFont="1" applyFill="1" applyBorder="1" applyAlignment="1" applyProtection="1">
      <alignment horizontal="center" vertical="center"/>
    </xf>
    <xf numFmtId="49" fontId="2" fillId="3" borderId="1" xfId="2" applyNumberFormat="1" applyFont="1" applyFill="1" applyBorder="1" applyAlignment="1">
      <alignment horizontal="center" vertical="center"/>
      <protection locked="0"/>
    </xf>
    <xf numFmtId="49" fontId="2" fillId="3" borderId="1" xfId="0" applyNumberFormat="1" applyFont="1" applyFill="1" applyBorder="1" applyAlignment="1">
      <alignment horizontal="center" vertical="center"/>
    </xf>
    <xf numFmtId="40" fontId="2" fillId="3" borderId="1" xfId="48" applyNumberFormat="1" applyFont="1" applyFill="1" applyBorder="1" applyAlignment="1">
      <alignment horizontal="center" vertical="center"/>
      <protection locked="0"/>
    </xf>
    <xf numFmtId="0" fontId="2" fillId="3" borderId="1" xfId="2" applyNumberFormat="1" applyFont="1" applyFill="1" applyBorder="1" applyAlignment="1">
      <alignment horizontal="center" vertical="center"/>
      <protection locked="0"/>
    </xf>
    <xf numFmtId="0" fontId="2" fillId="4" borderId="1" xfId="66" applyNumberFormat="1" applyFont="1" applyFill="1" applyBorder="1" applyAlignment="1" applyProtection="1">
      <alignment horizontal="left" vertical="center"/>
      <protection locked="0"/>
    </xf>
    <xf numFmtId="14" fontId="2" fillId="3" borderId="1" xfId="66" applyNumberFormat="1" applyFont="1" applyFill="1" applyBorder="1" applyAlignment="1">
      <alignment vertical="center"/>
    </xf>
    <xf numFmtId="14" fontId="2" fillId="3" borderId="1" xfId="66" applyNumberFormat="1" applyFont="1" applyFill="1" applyBorder="1" applyAlignment="1">
      <alignment horizontal="center" vertical="center"/>
    </xf>
    <xf numFmtId="0" fontId="2" fillId="3" borderId="1" xfId="66" applyNumberFormat="1" applyFont="1" applyFill="1" applyBorder="1" applyAlignment="1" applyProtection="1">
      <alignment horizontal="left" vertical="center"/>
      <protection locked="0"/>
    </xf>
    <xf numFmtId="0" fontId="1" fillId="3" borderId="1" xfId="66" applyNumberFormat="1" applyFont="1" applyFill="1" applyBorder="1" applyAlignment="1" applyProtection="1">
      <alignment horizontal="left" vertical="center"/>
      <protection locked="0"/>
    </xf>
    <xf numFmtId="14" fontId="2" fillId="3" borderId="1" xfId="66" applyNumberFormat="1" applyFont="1" applyFill="1" applyBorder="1" applyAlignment="1" applyProtection="1">
      <alignment horizontal="center" vertical="center"/>
      <protection locked="0"/>
    </xf>
    <xf numFmtId="176" fontId="2" fillId="4" borderId="1" xfId="66" applyNumberFormat="1" applyFont="1" applyFill="1" applyBorder="1" applyAlignment="1">
      <alignment horizontal="center" vertical="center"/>
    </xf>
    <xf numFmtId="0" fontId="2" fillId="4" borderId="1" xfId="0" applyNumberFormat="1" applyFont="1" applyFill="1" applyBorder="1" applyAlignment="1">
      <alignment horizontal="center" vertical="center"/>
    </xf>
    <xf numFmtId="176" fontId="2" fillId="3" borderId="1" xfId="66" applyNumberFormat="1" applyFont="1" applyFill="1" applyBorder="1" applyAlignment="1">
      <alignment horizontal="center" vertical="center"/>
    </xf>
    <xf numFmtId="14" fontId="2" fillId="4" borderId="1" xfId="66" applyNumberFormat="1" applyFont="1" applyFill="1" applyBorder="1" applyAlignment="1" applyProtection="1">
      <alignment horizontal="center" vertical="center"/>
      <protection locked="0"/>
    </xf>
    <xf numFmtId="0" fontId="2" fillId="3" borderId="1" xfId="66" applyNumberFormat="1" applyFont="1" applyFill="1" applyBorder="1" applyAlignment="1" applyProtection="1">
      <alignment horizontal="center" vertical="center"/>
      <protection locked="0"/>
    </xf>
    <xf numFmtId="43" fontId="2" fillId="4" borderId="1" xfId="67" applyFont="1" applyFill="1" applyBorder="1" applyAlignment="1" applyProtection="1">
      <alignment horizontal="center" vertical="center"/>
      <protection locked="0"/>
    </xf>
    <xf numFmtId="14" fontId="2" fillId="3" borderId="1" xfId="48" applyNumberFormat="1" applyFont="1" applyFill="1" applyBorder="1" applyAlignment="1" applyProtection="1">
      <alignment horizontal="center" vertical="center"/>
    </xf>
    <xf numFmtId="14" fontId="2" fillId="4" borderId="1" xfId="2" applyNumberFormat="1" applyFont="1" applyFill="1" applyBorder="1" applyAlignment="1" applyProtection="1">
      <alignment horizontal="center" vertical="center"/>
    </xf>
    <xf numFmtId="43" fontId="2" fillId="3" borderId="1" xfId="66" applyFont="1" applyFill="1" applyBorder="1" applyAlignment="1">
      <alignment horizontal="center" vertical="center"/>
    </xf>
    <xf numFmtId="0" fontId="1" fillId="4" borderId="1"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xf>
    <xf numFmtId="0" fontId="2" fillId="4" borderId="1" xfId="60" applyFont="1" applyFill="1" applyBorder="1" applyAlignment="1" applyProtection="1">
      <alignment horizontal="center" vertical="center"/>
      <protection locked="0"/>
    </xf>
    <xf numFmtId="0" fontId="2" fillId="4" borderId="1" xfId="60" applyFont="1" applyFill="1" applyBorder="1" applyAlignment="1" applyProtection="1">
      <alignment horizontal="left" vertical="center"/>
      <protection locked="0"/>
    </xf>
    <xf numFmtId="49" fontId="2" fillId="4" borderId="1" xfId="60" applyNumberFormat="1" applyFont="1" applyFill="1" applyBorder="1" applyAlignment="1" applyProtection="1">
      <alignment horizontal="center" vertical="center"/>
      <protection locked="0"/>
    </xf>
    <xf numFmtId="14" fontId="2" fillId="3" borderId="1" xfId="2" applyNumberFormat="1" applyFont="1" applyFill="1" applyBorder="1" applyAlignment="1" applyProtection="1">
      <alignment horizontal="center" vertical="center"/>
    </xf>
    <xf numFmtId="176" fontId="2" fillId="4" borderId="1" xfId="66" applyNumberFormat="1" applyFont="1" applyFill="1" applyBorder="1" applyAlignment="1">
      <alignment vertical="center"/>
    </xf>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3" borderId="1" xfId="0" applyFont="1" applyFill="1" applyBorder="1" applyAlignment="1">
      <alignment vertical="center"/>
    </xf>
    <xf numFmtId="186" fontId="2"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14" fontId="1" fillId="3" borderId="1" xfId="0" applyNumberFormat="1" applyFont="1" applyFill="1" applyBorder="1" applyAlignment="1">
      <alignment horizontal="center" vertical="center"/>
    </xf>
    <xf numFmtId="176" fontId="2" fillId="3" borderId="1" xfId="66" applyNumberFormat="1" applyFont="1" applyFill="1" applyBorder="1" applyAlignment="1">
      <alignment vertical="center"/>
    </xf>
    <xf numFmtId="14" fontId="2" fillId="4" borderId="1" xfId="66" applyNumberFormat="1" applyFont="1" applyFill="1" applyBorder="1" applyAlignment="1">
      <alignment horizontal="center" vertical="center"/>
    </xf>
    <xf numFmtId="0" fontId="2" fillId="4" borderId="1" xfId="56" applyNumberFormat="1" applyFont="1" applyFill="1" applyBorder="1" applyAlignment="1">
      <alignment horizontal="left" vertical="center"/>
    </xf>
    <xf numFmtId="49" fontId="2" fillId="4" borderId="1" xfId="0" applyNumberFormat="1" applyFont="1" applyFill="1" applyBorder="1" applyAlignment="1">
      <alignment horizontal="center" vertical="center"/>
    </xf>
    <xf numFmtId="43" fontId="2" fillId="4" borderId="1" xfId="0" applyNumberFormat="1" applyFont="1" applyFill="1" applyBorder="1" applyAlignment="1">
      <alignment horizontal="center" vertical="center"/>
    </xf>
    <xf numFmtId="0" fontId="2" fillId="4" borderId="1" xfId="0" applyNumberFormat="1" applyFont="1" applyFill="1" applyBorder="1" applyAlignment="1">
      <alignment vertical="center"/>
    </xf>
    <xf numFmtId="178" fontId="2" fillId="4" borderId="1" xfId="63" applyNumberFormat="1" applyFont="1" applyFill="1" applyBorder="1" applyAlignment="1">
      <alignment horizontal="center" vertical="center"/>
      <protection locked="0"/>
    </xf>
    <xf numFmtId="0" fontId="2" fillId="3" borderId="1" xfId="56" applyNumberFormat="1" applyFont="1" applyFill="1" applyBorder="1" applyAlignment="1">
      <alignment horizontal="left" vertical="center"/>
    </xf>
    <xf numFmtId="187" fontId="2" fillId="4" borderId="1" xfId="66" applyNumberFormat="1" applyFont="1" applyFill="1" applyBorder="1" applyAlignment="1">
      <alignment vertical="center"/>
    </xf>
    <xf numFmtId="187" fontId="2" fillId="3" borderId="1" xfId="66" applyNumberFormat="1" applyFont="1" applyFill="1" applyBorder="1" applyAlignment="1">
      <alignment vertical="center"/>
    </xf>
    <xf numFmtId="176" fontId="2" fillId="3" borderId="1" xfId="66" applyNumberFormat="1" applyFont="1" applyFill="1" applyBorder="1" applyAlignment="1" applyProtection="1">
      <alignment vertical="center"/>
      <protection locked="0"/>
    </xf>
    <xf numFmtId="176" fontId="2" fillId="4" borderId="1" xfId="66" applyNumberFormat="1" applyFont="1" applyFill="1" applyBorder="1" applyAlignment="1" applyProtection="1">
      <alignment vertical="center"/>
      <protection locked="0"/>
    </xf>
    <xf numFmtId="40" fontId="2" fillId="3" borderId="1" xfId="0" applyNumberFormat="1" applyFont="1" applyFill="1" applyBorder="1" applyAlignment="1">
      <alignment horizontal="center" vertical="center"/>
    </xf>
    <xf numFmtId="176" fontId="2" fillId="3" borderId="1" xfId="0" applyNumberFormat="1" applyFont="1" applyFill="1" applyBorder="1" applyAlignment="1">
      <alignment vertical="center"/>
    </xf>
    <xf numFmtId="40" fontId="2" fillId="4" borderId="1" xfId="0" applyNumberFormat="1" applyFont="1" applyFill="1" applyBorder="1" applyAlignment="1">
      <alignment horizontal="center" vertical="center"/>
    </xf>
    <xf numFmtId="176" fontId="2" fillId="3" borderId="1" xfId="66" applyNumberFormat="1" applyFont="1" applyFill="1" applyBorder="1" applyAlignment="1" applyProtection="1">
      <alignment vertical="center"/>
    </xf>
    <xf numFmtId="176" fontId="2" fillId="4" borderId="1" xfId="66" applyNumberFormat="1" applyFont="1" applyFill="1" applyBorder="1" applyAlignment="1" applyProtection="1">
      <alignment vertical="center"/>
    </xf>
    <xf numFmtId="0" fontId="1" fillId="3" borderId="1" xfId="56" applyNumberFormat="1" applyFont="1" applyFill="1" applyBorder="1" applyAlignment="1">
      <alignment horizontal="left" vertical="center"/>
    </xf>
    <xf numFmtId="176" fontId="2" fillId="3" borderId="1" xfId="66" applyNumberFormat="1" applyFont="1" applyFill="1" applyBorder="1" applyAlignment="1">
      <alignment horizontal="right" vertical="center"/>
    </xf>
    <xf numFmtId="40" fontId="2" fillId="3" borderId="1" xfId="0" applyNumberFormat="1" applyFont="1" applyFill="1" applyBorder="1" applyAlignment="1">
      <alignment vertical="center"/>
    </xf>
    <xf numFmtId="188" fontId="2" fillId="3" borderId="1" xfId="0" applyNumberFormat="1" applyFont="1" applyFill="1" applyBorder="1" applyAlignment="1">
      <alignment horizontal="center" vertical="center"/>
    </xf>
    <xf numFmtId="14" fontId="2" fillId="3" borderId="1" xfId="0" applyNumberFormat="1" applyFont="1" applyFill="1" applyBorder="1" applyAlignment="1">
      <alignment horizontal="left" vertical="center"/>
    </xf>
    <xf numFmtId="40" fontId="2" fillId="3" borderId="1" xfId="0" applyNumberFormat="1" applyFont="1" applyFill="1" applyBorder="1" applyAlignment="1">
      <alignment horizontal="left" vertical="center"/>
    </xf>
    <xf numFmtId="176" fontId="2" fillId="4" borderId="1" xfId="66" applyNumberFormat="1" applyFont="1" applyFill="1" applyBorder="1" applyAlignment="1">
      <alignment horizontal="right" vertical="center"/>
    </xf>
    <xf numFmtId="40" fontId="2" fillId="4" borderId="1" xfId="0" applyNumberFormat="1" applyFont="1" applyFill="1" applyBorder="1" applyAlignment="1">
      <alignment horizontal="left" vertical="center"/>
    </xf>
    <xf numFmtId="177" fontId="2" fillId="3" borderId="1" xfId="0" applyNumberFormat="1" applyFont="1" applyFill="1" applyBorder="1" applyAlignment="1">
      <alignment horizontal="center" vertical="center"/>
    </xf>
    <xf numFmtId="180" fontId="2" fillId="3" borderId="1" xfId="0" applyNumberFormat="1" applyFont="1" applyFill="1" applyBorder="1" applyAlignment="1">
      <alignment horizontal="center" vertical="center"/>
    </xf>
    <xf numFmtId="176" fontId="2" fillId="3" borderId="1" xfId="66" applyNumberFormat="1" applyFont="1" applyFill="1" applyBorder="1" applyAlignment="1" applyProtection="1">
      <alignment horizontal="right" vertical="center"/>
    </xf>
    <xf numFmtId="14" fontId="2" fillId="4" borderId="1" xfId="0" applyNumberFormat="1" applyFont="1" applyFill="1" applyBorder="1" applyAlignment="1">
      <alignment horizontal="left" vertical="center"/>
    </xf>
    <xf numFmtId="180" fontId="2" fillId="4" borderId="1" xfId="0" applyNumberFormat="1" applyFont="1" applyFill="1" applyBorder="1" applyAlignment="1">
      <alignment horizontal="center" vertical="center"/>
    </xf>
    <xf numFmtId="177" fontId="2" fillId="4" borderId="1" xfId="0" applyNumberFormat="1" applyFont="1" applyFill="1" applyBorder="1" applyAlignment="1">
      <alignment horizontal="center" vertical="center"/>
    </xf>
    <xf numFmtId="40" fontId="2" fillId="3" borderId="1" xfId="0" applyNumberFormat="1" applyFont="1" applyFill="1" applyBorder="1" applyAlignment="1">
      <alignment horizontal="left" vertical="center" wrapText="1"/>
    </xf>
    <xf numFmtId="0" fontId="10" fillId="3" borderId="1" xfId="0" applyFont="1" applyFill="1" applyBorder="1" applyAlignment="1">
      <alignment horizontal="center" vertical="center"/>
    </xf>
    <xf numFmtId="176" fontId="1" fillId="3" borderId="1" xfId="0" applyNumberFormat="1" applyFont="1" applyFill="1" applyBorder="1" applyAlignment="1">
      <alignment horizontal="right" vertical="center"/>
    </xf>
    <xf numFmtId="43" fontId="2" fillId="3" borderId="1" xfId="0" applyNumberFormat="1" applyFont="1" applyFill="1" applyBorder="1" applyAlignment="1">
      <alignment horizontal="center" vertical="center"/>
    </xf>
    <xf numFmtId="176" fontId="2" fillId="4" borderId="1" xfId="66" applyNumberFormat="1" applyFont="1" applyFill="1" applyBorder="1" applyAlignment="1" applyProtection="1">
      <alignment horizontal="right" vertical="center"/>
    </xf>
    <xf numFmtId="40" fontId="1" fillId="4" borderId="1" xfId="0" applyNumberFormat="1" applyFont="1" applyFill="1" applyBorder="1" applyAlignment="1">
      <alignment horizontal="left" vertical="center"/>
    </xf>
    <xf numFmtId="0" fontId="11" fillId="3" borderId="1" xfId="58"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2" fillId="3" borderId="1" xfId="0" applyFont="1" applyFill="1" applyBorder="1" applyAlignment="1" applyProtection="1">
      <alignment horizontal="left" vertical="center"/>
      <protection locked="0"/>
    </xf>
    <xf numFmtId="0" fontId="12" fillId="3" borderId="1" xfId="0" applyFont="1" applyFill="1" applyBorder="1" applyAlignment="1" applyProtection="1">
      <alignment horizontal="center" vertical="center"/>
      <protection locked="0"/>
    </xf>
    <xf numFmtId="0" fontId="12" fillId="3" borderId="1" xfId="48" applyFont="1" applyFill="1" applyBorder="1" applyAlignment="1">
      <alignment horizontal="center" vertical="center"/>
      <protection locked="0"/>
    </xf>
    <xf numFmtId="0" fontId="12" fillId="3" borderId="1" xfId="2" applyFont="1" applyFill="1" applyBorder="1" applyAlignment="1">
      <alignment horizontal="center" vertical="center"/>
      <protection locked="0"/>
    </xf>
    <xf numFmtId="176" fontId="2" fillId="4" borderId="1" xfId="0" applyNumberFormat="1" applyFont="1" applyFill="1" applyBorder="1" applyAlignment="1">
      <alignment vertical="center"/>
    </xf>
    <xf numFmtId="0" fontId="12" fillId="3" borderId="1" xfId="63" applyFont="1" applyFill="1" applyBorder="1" applyAlignment="1">
      <alignment horizontal="center" vertical="center"/>
      <protection locked="0"/>
    </xf>
    <xf numFmtId="0" fontId="11" fillId="3" borderId="1" xfId="0" applyFont="1" applyFill="1" applyBorder="1" applyAlignment="1" applyProtection="1">
      <alignment horizontal="center" vertical="center"/>
      <protection locked="0"/>
    </xf>
    <xf numFmtId="43" fontId="12" fillId="3" borderId="1" xfId="10" applyFont="1" applyFill="1" applyBorder="1" applyAlignment="1" applyProtection="1">
      <alignment horizontal="center" vertical="center"/>
      <protection locked="0"/>
    </xf>
    <xf numFmtId="0" fontId="11" fillId="3" borderId="1" xfId="2" applyFont="1" applyFill="1" applyBorder="1" applyAlignment="1" applyProtection="1">
      <alignment horizontal="center" vertical="center"/>
    </xf>
    <xf numFmtId="14" fontId="11" fillId="3" borderId="1" xfId="0" applyNumberFormat="1" applyFont="1" applyFill="1" applyBorder="1" applyAlignment="1">
      <alignment horizontal="center" vertical="center"/>
    </xf>
    <xf numFmtId="0" fontId="11" fillId="3" borderId="1" xfId="63" applyFont="1" applyFill="1" applyBorder="1" applyAlignment="1">
      <alignment horizontal="center" vertical="center"/>
      <protection locked="0"/>
    </xf>
    <xf numFmtId="49" fontId="12" fillId="3" borderId="1" xfId="0" applyNumberFormat="1" applyFont="1" applyFill="1" applyBorder="1" applyAlignment="1" applyProtection="1">
      <alignment horizontal="center" vertical="center"/>
      <protection locked="0"/>
    </xf>
    <xf numFmtId="0" fontId="12" fillId="3" borderId="1" xfId="2" applyFont="1" applyFill="1" applyBorder="1" applyAlignment="1" applyProtection="1">
      <alignment horizontal="center" vertical="center"/>
    </xf>
    <xf numFmtId="14" fontId="12" fillId="3" borderId="1" xfId="61" applyNumberFormat="1" applyFont="1" applyFill="1" applyBorder="1" applyAlignment="1" applyProtection="1">
      <alignment horizontal="center" vertical="center"/>
    </xf>
    <xf numFmtId="14" fontId="12" fillId="3" borderId="1" xfId="2" applyNumberFormat="1" applyFont="1" applyFill="1" applyBorder="1" applyAlignment="1" applyProtection="1">
      <alignment horizontal="center" vertical="center"/>
    </xf>
    <xf numFmtId="14" fontId="10" fillId="3" borderId="1" xfId="61" applyNumberFormat="1" applyFont="1" applyFill="1" applyBorder="1" applyAlignment="1" applyProtection="1">
      <alignment horizontal="center" vertical="center"/>
    </xf>
    <xf numFmtId="43" fontId="2" fillId="4" borderId="1" xfId="0" applyNumberFormat="1" applyFont="1" applyFill="1" applyBorder="1" applyAlignment="1">
      <alignment horizontal="right" vertical="center"/>
    </xf>
    <xf numFmtId="43" fontId="12" fillId="3" borderId="1" xfId="10" applyFont="1" applyFill="1" applyBorder="1" applyAlignment="1" applyProtection="1">
      <alignment horizontal="center" vertical="center"/>
    </xf>
    <xf numFmtId="0" fontId="12" fillId="3" borderId="1" xfId="0" applyNumberFormat="1" applyFont="1" applyFill="1" applyBorder="1" applyAlignment="1">
      <alignment horizontal="left" vertical="center"/>
    </xf>
    <xf numFmtId="0" fontId="11" fillId="3" borderId="1" xfId="0" applyFont="1" applyFill="1" applyBorder="1" applyAlignment="1">
      <alignment vertical="center"/>
    </xf>
    <xf numFmtId="187" fontId="11" fillId="3" borderId="1" xfId="10" applyNumberFormat="1" applyFont="1" applyFill="1" applyBorder="1" applyAlignment="1">
      <alignment vertical="center"/>
    </xf>
    <xf numFmtId="43" fontId="11" fillId="3" borderId="1" xfId="10" applyFont="1" applyFill="1" applyBorder="1" applyAlignment="1">
      <alignment vertical="center"/>
    </xf>
    <xf numFmtId="14" fontId="8" fillId="4" borderId="0" xfId="0" applyNumberFormat="1" applyFont="1" applyFill="1" applyBorder="1"/>
    <xf numFmtId="14" fontId="8" fillId="3" borderId="0" xfId="0" applyNumberFormat="1" applyFont="1" applyFill="1" applyBorder="1"/>
    <xf numFmtId="0" fontId="13" fillId="3" borderId="1" xfId="0" applyFont="1" applyFill="1" applyBorder="1" applyAlignment="1">
      <alignment vertical="center"/>
    </xf>
    <xf numFmtId="14" fontId="12" fillId="3" borderId="1" xfId="0" applyNumberFormat="1" applyFont="1" applyFill="1" applyBorder="1" applyAlignment="1">
      <alignment horizontal="center" vertical="center"/>
    </xf>
    <xf numFmtId="40" fontId="1" fillId="4" borderId="1" xfId="61" applyNumberFormat="1" applyFont="1" applyFill="1" applyBorder="1" applyAlignment="1" applyProtection="1">
      <alignment horizontal="left" vertical="center" wrapText="1"/>
    </xf>
    <xf numFmtId="0" fontId="13" fillId="3" borderId="1" xfId="0" applyFont="1" applyFill="1" applyBorder="1" applyAlignment="1">
      <alignment vertical="center" wrapText="1"/>
    </xf>
  </cellXfs>
  <cellStyles count="68">
    <cellStyle name="常规" xfId="0" builtinId="0"/>
    <cellStyle name="货币[0]" xfId="1" builtinId="7"/>
    <cellStyle name="常规 2 2 2 2" xfId="2"/>
    <cellStyle name="20% - 强调文字颜色 3" xfId="3" builtinId="38"/>
    <cellStyle name="输入" xfId="4" builtinId="20"/>
    <cellStyle name="货币" xfId="5" builtinId="4"/>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常规 5 7" xfId="13"/>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常规 3 2" xfId="43"/>
    <cellStyle name="强调文字颜色 4" xfId="44" builtinId="41"/>
    <cellStyle name="20% - 强调文字颜色 4" xfId="45" builtinId="42"/>
    <cellStyle name="40% - 强调文字颜色 4" xfId="46" builtinId="43"/>
    <cellStyle name="强调文字颜色 5" xfId="47" builtinId="45"/>
    <cellStyle name="常规 2 2" xfId="48"/>
    <cellStyle name="40% - 强调文字颜色 5" xfId="49" builtinId="47"/>
    <cellStyle name="60% - 强调文字颜色 5" xfId="50" builtinId="48"/>
    <cellStyle name="强调文字颜色 6" xfId="51" builtinId="49"/>
    <cellStyle name="常规 2 3" xfId="52"/>
    <cellStyle name="常规 10" xfId="53"/>
    <cellStyle name="40% - 强调文字颜色 6" xfId="54" builtinId="51"/>
    <cellStyle name="60% - 强调文字颜色 6" xfId="55" builtinId="52"/>
    <cellStyle name="常规 2" xfId="56"/>
    <cellStyle name="常规 2 3 16" xfId="57"/>
    <cellStyle name="常规 3" xfId="58"/>
    <cellStyle name="千位分隔 2" xfId="59"/>
    <cellStyle name="常规 4" xfId="60"/>
    <cellStyle name="常规 5" xfId="61"/>
    <cellStyle name="常规 9 2" xfId="62"/>
    <cellStyle name="普通 3" xfId="63"/>
    <cellStyle name="千位分隔 2 2" xfId="64"/>
    <cellStyle name="千位分隔 2 2 16" xfId="65"/>
    <cellStyle name="千位分隔 2 4" xfId="66"/>
    <cellStyle name="千位分隔 4" xfId="67"/>
  </cellStyles>
  <dxfs count="8">
    <dxf>
      <border>
        <left style="thin">
          <color auto="1"/>
        </left>
        <right style="thin">
          <color auto="1"/>
        </right>
        <top style="thin">
          <color auto="1"/>
        </top>
        <bottom style="thin">
          <color auto="1"/>
        </bottom>
      </border>
    </dxf>
    <dxf>
      <font>
        <u val="none"/>
      </font>
      <border>
        <left style="thin">
          <color auto="1"/>
        </left>
        <right style="thin">
          <color auto="1"/>
        </right>
        <top style="thin">
          <color auto="1"/>
        </top>
        <bottom style="thin">
          <color auto="1"/>
        </bottom>
      </border>
    </dxf>
    <dxf>
      <font>
        <color rgb="FF9C0006"/>
      </font>
      <fill>
        <patternFill patternType="solid">
          <bgColor rgb="FFFFC7CE"/>
        </patternFill>
      </fill>
    </dxf>
    <dxf>
      <border>
        <left style="thin">
          <color auto="1"/>
        </left>
        <right style="thin">
          <color auto="1"/>
        </right>
        <top style="thin">
          <color auto="1"/>
        </top>
        <bottom style="thin">
          <color auto="1"/>
        </bottom>
      </border>
    </dxf>
    <dxf>
      <font>
        <color rgb="FF000000"/>
      </font>
      <fill>
        <patternFill patternType="solid"/>
      </fill>
    </dxf>
    <dxf>
      <border>
        <left style="thin">
          <color rgb="FF000000"/>
        </left>
        <right style="thin">
          <color rgb="FF000000"/>
        </right>
        <top style="thin">
          <color rgb="FF000000"/>
        </top>
        <bottom style="thin">
          <color rgb="FF000000"/>
        </bottom>
      </border>
    </dxf>
    <dxf>
      <font>
        <name val="宋体"/>
        <scheme val="none"/>
        <charset val="134"/>
        <b val="0"/>
        <i val="0"/>
        <strike val="0"/>
        <u val="none"/>
        <sz val="12"/>
        <color rgb="FF9C0006"/>
      </font>
      <fill>
        <patternFill patternType="solid">
          <bgColor rgb="FFFFC7CE"/>
        </patternFill>
      </fill>
    </dxf>
    <dxf>
      <font>
        <u val="none"/>
      </font>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12</xdr:col>
      <xdr:colOff>468095</xdr:colOff>
      <xdr:row>18</xdr:row>
      <xdr:rowOff>44824</xdr:rowOff>
    </xdr:to>
    <xdr:pic>
      <xdr:nvPicPr>
        <xdr:cNvPr id="2" name="图片 1"/>
        <xdr:cNvPicPr>
          <a:picLocks noChangeAspect="1"/>
        </xdr:cNvPicPr>
      </xdr:nvPicPr>
      <xdr:blipFill>
        <a:blip r:embed="rId1"/>
        <a:stretch>
          <a:fillRect/>
        </a:stretch>
      </xdr:blipFill>
      <xdr:spPr>
        <a:xfrm>
          <a:off x="0" y="0"/>
          <a:ext cx="10799445" cy="32448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10</xdr:row>
      <xdr:rowOff>130176</xdr:rowOff>
    </xdr:from>
    <xdr:to>
      <xdr:col>11</xdr:col>
      <xdr:colOff>133350</xdr:colOff>
      <xdr:row>18</xdr:row>
      <xdr:rowOff>30024</xdr:rowOff>
    </xdr:to>
    <xdr:pic>
      <xdr:nvPicPr>
        <xdr:cNvPr id="2" name="图片 1"/>
        <xdr:cNvPicPr>
          <a:picLocks noChangeAspect="1"/>
        </xdr:cNvPicPr>
      </xdr:nvPicPr>
      <xdr:blipFill>
        <a:blip r:embed="rId1"/>
        <a:stretch>
          <a:fillRect/>
        </a:stretch>
      </xdr:blipFill>
      <xdr:spPr>
        <a:xfrm>
          <a:off x="0" y="1971675"/>
          <a:ext cx="8337550" cy="1322070"/>
        </a:xfrm>
        <a:prstGeom prst="rect">
          <a:avLst/>
        </a:prstGeom>
      </xdr:spPr>
    </xdr:pic>
    <xdr:clientData/>
  </xdr:twoCellAnchor>
  <xdr:twoCellAnchor editAs="oneCell">
    <xdr:from>
      <xdr:col>0</xdr:col>
      <xdr:colOff>180975</xdr:colOff>
      <xdr:row>20</xdr:row>
      <xdr:rowOff>0</xdr:rowOff>
    </xdr:from>
    <xdr:to>
      <xdr:col>4</xdr:col>
      <xdr:colOff>492125</xdr:colOff>
      <xdr:row>27</xdr:row>
      <xdr:rowOff>84182</xdr:rowOff>
    </xdr:to>
    <xdr:pic>
      <xdr:nvPicPr>
        <xdr:cNvPr id="3" name="图片 2"/>
        <xdr:cNvPicPr>
          <a:picLocks noChangeAspect="1"/>
        </xdr:cNvPicPr>
      </xdr:nvPicPr>
      <xdr:blipFill>
        <a:blip r:embed="rId2"/>
        <a:stretch>
          <a:fillRect/>
        </a:stretch>
      </xdr:blipFill>
      <xdr:spPr>
        <a:xfrm>
          <a:off x="180975" y="3619500"/>
          <a:ext cx="3054350" cy="1328420"/>
        </a:xfrm>
        <a:prstGeom prst="rect">
          <a:avLst/>
        </a:prstGeom>
      </xdr:spPr>
    </xdr:pic>
    <xdr:clientData/>
  </xdr:twoCellAnchor>
  <xdr:twoCellAnchor editAs="oneCell">
    <xdr:from>
      <xdr:col>0</xdr:col>
      <xdr:colOff>0</xdr:colOff>
      <xdr:row>37</xdr:row>
      <xdr:rowOff>0</xdr:rowOff>
    </xdr:from>
    <xdr:to>
      <xdr:col>9</xdr:col>
      <xdr:colOff>196850</xdr:colOff>
      <xdr:row>49</xdr:row>
      <xdr:rowOff>77945</xdr:rowOff>
    </xdr:to>
    <xdr:pic>
      <xdr:nvPicPr>
        <xdr:cNvPr id="4" name="图片 3"/>
        <xdr:cNvPicPr>
          <a:picLocks noChangeAspect="1"/>
        </xdr:cNvPicPr>
      </xdr:nvPicPr>
      <xdr:blipFill>
        <a:blip r:embed="rId3"/>
        <a:stretch>
          <a:fillRect/>
        </a:stretch>
      </xdr:blipFill>
      <xdr:spPr>
        <a:xfrm>
          <a:off x="0" y="6667500"/>
          <a:ext cx="7029450" cy="2211070"/>
        </a:xfrm>
        <a:prstGeom prst="rect">
          <a:avLst/>
        </a:prstGeom>
      </xdr:spPr>
    </xdr:pic>
    <xdr:clientData/>
  </xdr:twoCellAnchor>
  <xdr:twoCellAnchor editAs="oneCell">
    <xdr:from>
      <xdr:col>12</xdr:col>
      <xdr:colOff>552450</xdr:colOff>
      <xdr:row>52</xdr:row>
      <xdr:rowOff>82551</xdr:rowOff>
    </xdr:from>
    <xdr:to>
      <xdr:col>17</xdr:col>
      <xdr:colOff>105474</xdr:colOff>
      <xdr:row>58</xdr:row>
      <xdr:rowOff>66675</xdr:rowOff>
    </xdr:to>
    <xdr:pic>
      <xdr:nvPicPr>
        <xdr:cNvPr id="5" name="图片 4"/>
        <xdr:cNvPicPr>
          <a:picLocks noChangeAspect="1"/>
        </xdr:cNvPicPr>
      </xdr:nvPicPr>
      <xdr:blipFill>
        <a:blip r:embed="rId4"/>
        <a:stretch>
          <a:fillRect/>
        </a:stretch>
      </xdr:blipFill>
      <xdr:spPr>
        <a:xfrm>
          <a:off x="9442450" y="9417050"/>
          <a:ext cx="3197860" cy="1050925"/>
        </a:xfrm>
        <a:prstGeom prst="rect">
          <a:avLst/>
        </a:prstGeom>
      </xdr:spPr>
    </xdr:pic>
    <xdr:clientData/>
  </xdr:twoCellAnchor>
  <xdr:twoCellAnchor editAs="oneCell">
    <xdr:from>
      <xdr:col>0</xdr:col>
      <xdr:colOff>0</xdr:colOff>
      <xdr:row>51</xdr:row>
      <xdr:rowOff>63500</xdr:rowOff>
    </xdr:from>
    <xdr:to>
      <xdr:col>11</xdr:col>
      <xdr:colOff>522815</xdr:colOff>
      <xdr:row>68</xdr:row>
      <xdr:rowOff>0</xdr:rowOff>
    </xdr:to>
    <xdr:pic>
      <xdr:nvPicPr>
        <xdr:cNvPr id="6" name="图片 5"/>
        <xdr:cNvPicPr>
          <a:picLocks noChangeAspect="1"/>
        </xdr:cNvPicPr>
      </xdr:nvPicPr>
      <xdr:blipFill>
        <a:blip r:embed="rId5"/>
        <a:stretch>
          <a:fillRect/>
        </a:stretch>
      </xdr:blipFill>
      <xdr:spPr>
        <a:xfrm>
          <a:off x="0" y="9220200"/>
          <a:ext cx="8726805" cy="2959100"/>
        </a:xfrm>
        <a:prstGeom prst="rect">
          <a:avLst/>
        </a:prstGeom>
      </xdr:spPr>
    </xdr:pic>
    <xdr:clientData/>
  </xdr:twoCellAnchor>
  <xdr:twoCellAnchor editAs="oneCell">
    <xdr:from>
      <xdr:col>0</xdr:col>
      <xdr:colOff>0</xdr:colOff>
      <xdr:row>72</xdr:row>
      <xdr:rowOff>0</xdr:rowOff>
    </xdr:from>
    <xdr:to>
      <xdr:col>9</xdr:col>
      <xdr:colOff>191140</xdr:colOff>
      <xdr:row>84</xdr:row>
      <xdr:rowOff>47625</xdr:rowOff>
    </xdr:to>
    <xdr:pic>
      <xdr:nvPicPr>
        <xdr:cNvPr id="7" name="图片 6"/>
        <xdr:cNvPicPr>
          <a:picLocks noChangeAspect="1"/>
        </xdr:cNvPicPr>
      </xdr:nvPicPr>
      <xdr:blipFill>
        <a:blip r:embed="rId6"/>
        <a:stretch>
          <a:fillRect/>
        </a:stretch>
      </xdr:blipFill>
      <xdr:spPr>
        <a:xfrm>
          <a:off x="0" y="12890500"/>
          <a:ext cx="7023735" cy="2181225"/>
        </a:xfrm>
        <a:prstGeom prst="rect">
          <a:avLst/>
        </a:prstGeom>
      </xdr:spPr>
    </xdr:pic>
    <xdr:clientData/>
  </xdr:twoCellAnchor>
  <xdr:twoCellAnchor editAs="oneCell">
    <xdr:from>
      <xdr:col>0</xdr:col>
      <xdr:colOff>0</xdr:colOff>
      <xdr:row>85</xdr:row>
      <xdr:rowOff>1</xdr:rowOff>
    </xdr:from>
    <xdr:to>
      <xdr:col>6</xdr:col>
      <xdr:colOff>646537</xdr:colOff>
      <xdr:row>110</xdr:row>
      <xdr:rowOff>114300</xdr:rowOff>
    </xdr:to>
    <xdr:pic>
      <xdr:nvPicPr>
        <xdr:cNvPr id="8" name="图片 7"/>
        <xdr:cNvPicPr>
          <a:picLocks noChangeAspect="1"/>
        </xdr:cNvPicPr>
      </xdr:nvPicPr>
      <xdr:blipFill>
        <a:blip r:embed="rId7"/>
        <a:stretch>
          <a:fillRect/>
        </a:stretch>
      </xdr:blipFill>
      <xdr:spPr>
        <a:xfrm>
          <a:off x="0" y="15201900"/>
          <a:ext cx="4761230" cy="4559300"/>
        </a:xfrm>
        <a:prstGeom prst="rect">
          <a:avLst/>
        </a:prstGeom>
      </xdr:spPr>
    </xdr:pic>
    <xdr:clientData/>
  </xdr:twoCellAnchor>
  <xdr:twoCellAnchor editAs="oneCell">
    <xdr:from>
      <xdr:col>0</xdr:col>
      <xdr:colOff>0</xdr:colOff>
      <xdr:row>111</xdr:row>
      <xdr:rowOff>38100</xdr:rowOff>
    </xdr:from>
    <xdr:to>
      <xdr:col>5</xdr:col>
      <xdr:colOff>0</xdr:colOff>
      <xdr:row>117</xdr:row>
      <xdr:rowOff>54263</xdr:rowOff>
    </xdr:to>
    <xdr:pic>
      <xdr:nvPicPr>
        <xdr:cNvPr id="9" name="图片 8"/>
        <xdr:cNvPicPr>
          <a:picLocks noChangeAspect="1"/>
        </xdr:cNvPicPr>
      </xdr:nvPicPr>
      <xdr:blipFill>
        <a:blip r:embed="rId8"/>
        <a:stretch>
          <a:fillRect/>
        </a:stretch>
      </xdr:blipFill>
      <xdr:spPr>
        <a:xfrm>
          <a:off x="0" y="19862800"/>
          <a:ext cx="3429000" cy="10826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A1038336"/>
  <sheetViews>
    <sheetView tabSelected="1" zoomScale="80" zoomScaleNormal="80" workbookViewId="0">
      <pane ySplit="1" topLeftCell="A2" activePane="bottomLeft" state="frozen"/>
      <selection/>
      <selection pane="bottomLeft" activeCell="R265" sqref="R265:R283"/>
    </sheetView>
  </sheetViews>
  <sheetFormatPr defaultColWidth="8.41666666666667" defaultRowHeight="15" customHeight="1"/>
  <cols>
    <col min="1" max="1" width="6.5" style="4" customWidth="1"/>
    <col min="2" max="2" width="13.75" style="4" customWidth="1"/>
    <col min="3" max="4" width="6.5" style="4" customWidth="1"/>
    <col min="5" max="5" width="27.8333333333333" style="4" customWidth="1"/>
    <col min="6" max="6" width="12" style="4" customWidth="1"/>
    <col min="7" max="7" width="8" style="4" customWidth="1"/>
    <col min="8" max="8" width="18.75" style="91" customWidth="1"/>
    <col min="9" max="9" width="21.0833333333333" style="91" customWidth="1"/>
    <col min="10" max="10" width="9.16666666666667" style="4" customWidth="1"/>
    <col min="11" max="11" width="16.75" style="92" customWidth="1"/>
    <col min="12" max="12" width="14.75" style="92" customWidth="1"/>
    <col min="13" max="13" width="17.4166666666667" style="4" customWidth="1"/>
    <col min="14" max="14" width="14.8333333333333" style="4" customWidth="1"/>
    <col min="15" max="15" width="5.83333333333333" style="4" customWidth="1"/>
    <col min="16" max="16" width="11.9166666666667" style="93" customWidth="1"/>
    <col min="17" max="17" width="12.4166666666667" style="93" customWidth="1"/>
    <col min="18" max="18" width="13.6666666666667" style="93" customWidth="1"/>
    <col min="19" max="19" width="7.5" style="4" customWidth="1"/>
    <col min="20" max="20" width="18.9166666666667" style="2" customWidth="1"/>
    <col min="21" max="21" width="6.83333333333333" style="4" customWidth="1"/>
    <col min="22" max="22" width="10.25" style="94" customWidth="1"/>
    <col min="23" max="23" width="6.83333333333333" style="4" customWidth="1"/>
    <col min="24" max="25" width="16.6666666666667" style="95" customWidth="1"/>
    <col min="26" max="16384" width="8.41666666666667" style="4"/>
  </cols>
  <sheetData>
    <row r="1" customHeight="1" spans="1:25">
      <c r="A1" s="15" t="s">
        <v>0</v>
      </c>
      <c r="B1" s="15" t="s">
        <v>1</v>
      </c>
      <c r="C1" s="15" t="s">
        <v>2</v>
      </c>
      <c r="D1" s="15" t="s">
        <v>3</v>
      </c>
      <c r="E1" s="15" t="s">
        <v>4</v>
      </c>
      <c r="F1" s="8" t="s">
        <v>5</v>
      </c>
      <c r="G1" s="15" t="s">
        <v>6</v>
      </c>
      <c r="H1" s="16" t="s">
        <v>7</v>
      </c>
      <c r="I1" s="26" t="s">
        <v>8</v>
      </c>
      <c r="J1" s="37" t="s">
        <v>9</v>
      </c>
      <c r="K1" s="37" t="s">
        <v>10</v>
      </c>
      <c r="L1" s="37" t="s">
        <v>11</v>
      </c>
      <c r="M1" s="37" t="s">
        <v>12</v>
      </c>
      <c r="N1" s="38" t="s">
        <v>13</v>
      </c>
      <c r="O1" s="37" t="s">
        <v>14</v>
      </c>
      <c r="P1" s="39" t="s">
        <v>15</v>
      </c>
      <c r="Q1" s="39" t="s">
        <v>16</v>
      </c>
      <c r="R1" s="39" t="s">
        <v>17</v>
      </c>
      <c r="S1" s="62" t="s">
        <v>18</v>
      </c>
      <c r="T1" s="53" t="s">
        <v>19</v>
      </c>
      <c r="U1" s="63" t="s">
        <v>20</v>
      </c>
      <c r="V1" s="64" t="s">
        <v>21</v>
      </c>
      <c r="W1" s="65" t="s">
        <v>22</v>
      </c>
      <c r="X1" s="38" t="s">
        <v>23</v>
      </c>
      <c r="Y1" s="38" t="s">
        <v>24</v>
      </c>
    </row>
    <row r="2" s="85" customFormat="1" customHeight="1" spans="1:25">
      <c r="A2" s="22" t="s">
        <v>25</v>
      </c>
      <c r="B2" s="96" t="s">
        <v>26</v>
      </c>
      <c r="C2" s="22" t="s">
        <v>27</v>
      </c>
      <c r="D2" s="96" t="s">
        <v>28</v>
      </c>
      <c r="E2" s="97" t="s">
        <v>29</v>
      </c>
      <c r="F2" s="22" t="s">
        <v>30</v>
      </c>
      <c r="G2" s="24" t="s">
        <v>31</v>
      </c>
      <c r="H2" s="46" t="s">
        <v>32</v>
      </c>
      <c r="I2" s="46" t="e">
        <f>VLOOKUP(H2,'合同高级查询数据-4月返'!A:A,1,FALSE)</f>
        <v>#N/A</v>
      </c>
      <c r="J2" s="47" t="s">
        <v>33</v>
      </c>
      <c r="K2" s="22" t="s">
        <v>34</v>
      </c>
      <c r="L2" s="22" t="s">
        <v>35</v>
      </c>
      <c r="M2" s="22" t="s">
        <v>36</v>
      </c>
      <c r="N2" s="50">
        <v>44682</v>
      </c>
      <c r="O2" s="22" t="s">
        <v>37</v>
      </c>
      <c r="P2" s="105">
        <v>0</v>
      </c>
      <c r="Q2" s="114">
        <v>64</v>
      </c>
      <c r="R2" s="105">
        <f t="shared" ref="R2:R10" si="0">ROUND(P2*Q2,2)</f>
        <v>0</v>
      </c>
      <c r="S2" s="115">
        <v>202304</v>
      </c>
      <c r="T2" s="97" t="s">
        <v>38</v>
      </c>
      <c r="U2" s="97"/>
      <c r="V2" s="97"/>
      <c r="W2" s="97"/>
      <c r="X2" s="116">
        <v>44682</v>
      </c>
      <c r="Y2" s="116">
        <v>45046</v>
      </c>
    </row>
    <row r="3" s="85" customFormat="1" customHeight="1" spans="1:25">
      <c r="A3" s="22" t="s">
        <v>25</v>
      </c>
      <c r="B3" s="96" t="s">
        <v>26</v>
      </c>
      <c r="C3" s="22" t="s">
        <v>39</v>
      </c>
      <c r="D3" s="96" t="s">
        <v>28</v>
      </c>
      <c r="E3" s="97" t="s">
        <v>29</v>
      </c>
      <c r="F3" s="22" t="s">
        <v>30</v>
      </c>
      <c r="G3" s="24" t="s">
        <v>31</v>
      </c>
      <c r="H3" s="46" t="s">
        <v>32</v>
      </c>
      <c r="I3" s="46" t="e">
        <f>VLOOKUP(H3,'合同高级查询数据-4月返'!A:A,1,FALSE)</f>
        <v>#N/A</v>
      </c>
      <c r="J3" s="47" t="s">
        <v>33</v>
      </c>
      <c r="K3" s="22" t="s">
        <v>40</v>
      </c>
      <c r="L3" s="22" t="s">
        <v>41</v>
      </c>
      <c r="M3" s="22" t="s">
        <v>42</v>
      </c>
      <c r="N3" s="50">
        <v>44682</v>
      </c>
      <c r="O3" s="22" t="s">
        <v>37</v>
      </c>
      <c r="P3" s="105">
        <v>0</v>
      </c>
      <c r="Q3" s="114">
        <v>64</v>
      </c>
      <c r="R3" s="105">
        <f t="shared" si="0"/>
        <v>0</v>
      </c>
      <c r="S3" s="115">
        <v>202304</v>
      </c>
      <c r="T3" s="97" t="s">
        <v>43</v>
      </c>
      <c r="U3" s="97"/>
      <c r="V3" s="97"/>
      <c r="W3" s="97"/>
      <c r="X3" s="116">
        <v>44682</v>
      </c>
      <c r="Y3" s="116">
        <v>45046</v>
      </c>
    </row>
    <row r="4" s="85" customFormat="1" customHeight="1" spans="1:25">
      <c r="A4" s="24" t="s">
        <v>25</v>
      </c>
      <c r="B4" s="96" t="s">
        <v>26</v>
      </c>
      <c r="C4" s="22" t="s">
        <v>44</v>
      </c>
      <c r="D4" s="96" t="s">
        <v>28</v>
      </c>
      <c r="E4" s="97" t="s">
        <v>29</v>
      </c>
      <c r="F4" s="22" t="s">
        <v>30</v>
      </c>
      <c r="G4" s="24" t="s">
        <v>31</v>
      </c>
      <c r="H4" s="46" t="s">
        <v>45</v>
      </c>
      <c r="I4" s="46" t="e">
        <f>VLOOKUP(H4,'合同高级查询数据-4月返'!A:A,1,FALSE)</f>
        <v>#N/A</v>
      </c>
      <c r="J4" s="47" t="s">
        <v>33</v>
      </c>
      <c r="K4" s="22" t="s">
        <v>46</v>
      </c>
      <c r="L4" s="22" t="s">
        <v>47</v>
      </c>
      <c r="M4" s="22" t="s">
        <v>48</v>
      </c>
      <c r="N4" s="50">
        <v>44835</v>
      </c>
      <c r="O4" s="22" t="s">
        <v>37</v>
      </c>
      <c r="P4" s="105">
        <v>0</v>
      </c>
      <c r="Q4" s="114">
        <v>64</v>
      </c>
      <c r="R4" s="117">
        <f t="shared" si="0"/>
        <v>0</v>
      </c>
      <c r="S4" s="115">
        <v>202304</v>
      </c>
      <c r="T4" s="97" t="s">
        <v>49</v>
      </c>
      <c r="U4" s="97"/>
      <c r="V4" s="97"/>
      <c r="W4" s="97"/>
      <c r="X4" s="116">
        <v>44835</v>
      </c>
      <c r="Y4" s="116">
        <v>45046</v>
      </c>
    </row>
    <row r="5" s="85" customFormat="1" customHeight="1" spans="1:25">
      <c r="A5" s="24" t="s">
        <v>25</v>
      </c>
      <c r="B5" s="96" t="s">
        <v>26</v>
      </c>
      <c r="C5" s="22" t="s">
        <v>50</v>
      </c>
      <c r="D5" s="96" t="s">
        <v>28</v>
      </c>
      <c r="E5" s="97" t="s">
        <v>29</v>
      </c>
      <c r="F5" s="22" t="s">
        <v>30</v>
      </c>
      <c r="G5" s="24" t="s">
        <v>31</v>
      </c>
      <c r="H5" s="46" t="s">
        <v>45</v>
      </c>
      <c r="I5" s="46" t="e">
        <f>VLOOKUP(H5,'合同高级查询数据-4月返'!A:A,1,FALSE)</f>
        <v>#N/A</v>
      </c>
      <c r="J5" s="47" t="s">
        <v>33</v>
      </c>
      <c r="K5" s="22" t="s">
        <v>51</v>
      </c>
      <c r="L5" s="22" t="s">
        <v>52</v>
      </c>
      <c r="M5" s="22" t="s">
        <v>53</v>
      </c>
      <c r="N5" s="50">
        <v>44835</v>
      </c>
      <c r="O5" s="22" t="s">
        <v>37</v>
      </c>
      <c r="P5" s="105">
        <v>0</v>
      </c>
      <c r="Q5" s="114">
        <v>64</v>
      </c>
      <c r="R5" s="117">
        <f t="shared" si="0"/>
        <v>0</v>
      </c>
      <c r="S5" s="115">
        <v>202304</v>
      </c>
      <c r="T5" s="97" t="s">
        <v>54</v>
      </c>
      <c r="U5" s="97"/>
      <c r="V5" s="97"/>
      <c r="W5" s="97"/>
      <c r="X5" s="116">
        <v>44835</v>
      </c>
      <c r="Y5" s="116">
        <v>45046</v>
      </c>
    </row>
    <row r="6" s="85" customFormat="1" customHeight="1" spans="1:25">
      <c r="A6" s="22" t="s">
        <v>25</v>
      </c>
      <c r="B6" s="96" t="s">
        <v>26</v>
      </c>
      <c r="C6" s="22" t="s">
        <v>44</v>
      </c>
      <c r="D6" s="96" t="s">
        <v>28</v>
      </c>
      <c r="E6" s="97" t="s">
        <v>29</v>
      </c>
      <c r="F6" s="22" t="s">
        <v>30</v>
      </c>
      <c r="G6" s="24" t="s">
        <v>31</v>
      </c>
      <c r="H6" s="46" t="s">
        <v>55</v>
      </c>
      <c r="I6" s="46" t="e">
        <f>VLOOKUP(H6,'合同高级查询数据-4月返'!A:A,1,FALSE)</f>
        <v>#N/A</v>
      </c>
      <c r="J6" s="47" t="s">
        <v>33</v>
      </c>
      <c r="K6" s="22" t="s">
        <v>46</v>
      </c>
      <c r="L6" s="22" t="s">
        <v>56</v>
      </c>
      <c r="M6" s="22" t="s">
        <v>57</v>
      </c>
      <c r="N6" s="50">
        <v>44682</v>
      </c>
      <c r="O6" s="22" t="s">
        <v>37</v>
      </c>
      <c r="P6" s="105"/>
      <c r="Q6" s="114">
        <v>64</v>
      </c>
      <c r="R6" s="105">
        <f t="shared" si="0"/>
        <v>0</v>
      </c>
      <c r="S6" s="115">
        <v>202304</v>
      </c>
      <c r="T6" s="97" t="s">
        <v>58</v>
      </c>
      <c r="U6" s="97"/>
      <c r="V6" s="97"/>
      <c r="W6" s="97"/>
      <c r="X6" s="116">
        <v>44835</v>
      </c>
      <c r="Y6" s="116">
        <v>45046</v>
      </c>
    </row>
    <row r="7" s="85" customFormat="1" customHeight="1" spans="1:25">
      <c r="A7" s="22" t="s">
        <v>25</v>
      </c>
      <c r="B7" s="96" t="s">
        <v>26</v>
      </c>
      <c r="C7" s="22" t="s">
        <v>50</v>
      </c>
      <c r="D7" s="96" t="s">
        <v>28</v>
      </c>
      <c r="E7" s="97" t="s">
        <v>29</v>
      </c>
      <c r="F7" s="22" t="s">
        <v>30</v>
      </c>
      <c r="G7" s="24" t="s">
        <v>31</v>
      </c>
      <c r="H7" s="46" t="s">
        <v>55</v>
      </c>
      <c r="I7" s="46" t="e">
        <f>VLOOKUP(H7,'合同高级查询数据-4月返'!A:A,1,FALSE)</f>
        <v>#N/A</v>
      </c>
      <c r="J7" s="47" t="s">
        <v>33</v>
      </c>
      <c r="K7" s="22" t="s">
        <v>51</v>
      </c>
      <c r="L7" s="22" t="s">
        <v>59</v>
      </c>
      <c r="M7" s="22" t="s">
        <v>53</v>
      </c>
      <c r="N7" s="50">
        <v>44682</v>
      </c>
      <c r="O7" s="22" t="s">
        <v>37</v>
      </c>
      <c r="P7" s="105">
        <v>0</v>
      </c>
      <c r="Q7" s="114">
        <v>64</v>
      </c>
      <c r="R7" s="105">
        <f t="shared" si="0"/>
        <v>0</v>
      </c>
      <c r="S7" s="115">
        <v>202304</v>
      </c>
      <c r="T7" s="97" t="s">
        <v>60</v>
      </c>
      <c r="U7" s="97"/>
      <c r="V7" s="97"/>
      <c r="W7" s="97"/>
      <c r="X7" s="116">
        <v>44835</v>
      </c>
      <c r="Y7" s="116">
        <v>45046</v>
      </c>
    </row>
    <row r="8" s="85" customFormat="1" customHeight="1" spans="1:25">
      <c r="A8" s="22" t="s">
        <v>61</v>
      </c>
      <c r="B8" s="98" t="s">
        <v>62</v>
      </c>
      <c r="C8" s="24" t="s">
        <v>63</v>
      </c>
      <c r="D8" s="24" t="s">
        <v>64</v>
      </c>
      <c r="E8" s="46" t="s">
        <v>65</v>
      </c>
      <c r="F8" s="22" t="s">
        <v>66</v>
      </c>
      <c r="G8" s="25" t="s">
        <v>67</v>
      </c>
      <c r="H8" s="99" t="s">
        <v>68</v>
      </c>
      <c r="I8" s="46" t="e">
        <f>VLOOKUP(H8,'合同高级查询数据-4月返'!A:A,1,FALSE)</f>
        <v>#N/A</v>
      </c>
      <c r="J8" s="25" t="s">
        <v>69</v>
      </c>
      <c r="K8" s="106" t="s">
        <v>70</v>
      </c>
      <c r="L8" s="107"/>
      <c r="M8" s="49"/>
      <c r="N8" s="73">
        <v>44345</v>
      </c>
      <c r="O8" s="107" t="s">
        <v>71</v>
      </c>
      <c r="P8" s="108">
        <v>1730</v>
      </c>
      <c r="Q8" s="118">
        <v>2</v>
      </c>
      <c r="R8" s="118">
        <f t="shared" si="0"/>
        <v>3460</v>
      </c>
      <c r="S8" s="115">
        <v>202304</v>
      </c>
      <c r="T8" s="119" t="s">
        <v>72</v>
      </c>
      <c r="U8" s="119"/>
      <c r="V8" s="120"/>
      <c r="W8" s="120"/>
      <c r="X8" s="116">
        <v>44331</v>
      </c>
      <c r="Y8" s="116">
        <v>45426</v>
      </c>
    </row>
    <row r="9" s="85" customFormat="1" customHeight="1" spans="1:25">
      <c r="A9" s="22" t="s">
        <v>61</v>
      </c>
      <c r="B9" s="98" t="s">
        <v>62</v>
      </c>
      <c r="C9" s="24" t="s">
        <v>63</v>
      </c>
      <c r="D9" s="24" t="s">
        <v>64</v>
      </c>
      <c r="E9" s="46" t="s">
        <v>65</v>
      </c>
      <c r="F9" s="22" t="s">
        <v>66</v>
      </c>
      <c r="G9" s="25" t="s">
        <v>67</v>
      </c>
      <c r="H9" s="99" t="s">
        <v>68</v>
      </c>
      <c r="I9" s="46" t="e">
        <f>VLOOKUP(H9,'合同高级查询数据-4月返'!A:A,1,FALSE)</f>
        <v>#N/A</v>
      </c>
      <c r="J9" s="25" t="s">
        <v>69</v>
      </c>
      <c r="K9" s="106" t="s">
        <v>73</v>
      </c>
      <c r="L9" s="107"/>
      <c r="M9" s="49"/>
      <c r="N9" s="73">
        <v>44345</v>
      </c>
      <c r="O9" s="107" t="s">
        <v>71</v>
      </c>
      <c r="P9" s="108">
        <v>1660</v>
      </c>
      <c r="Q9" s="118">
        <v>1</v>
      </c>
      <c r="R9" s="118">
        <f t="shared" si="0"/>
        <v>1660</v>
      </c>
      <c r="S9" s="115">
        <v>202304</v>
      </c>
      <c r="T9" s="119" t="s">
        <v>74</v>
      </c>
      <c r="U9" s="119"/>
      <c r="V9" s="121"/>
      <c r="W9" s="121"/>
      <c r="X9" s="116">
        <v>44331</v>
      </c>
      <c r="Y9" s="116">
        <v>45426</v>
      </c>
    </row>
    <row r="10" s="85" customFormat="1" customHeight="1" spans="1:25">
      <c r="A10" s="22" t="s">
        <v>61</v>
      </c>
      <c r="B10" s="98" t="s">
        <v>62</v>
      </c>
      <c r="C10" s="24" t="s">
        <v>63</v>
      </c>
      <c r="D10" s="24" t="s">
        <v>75</v>
      </c>
      <c r="E10" s="46" t="s">
        <v>76</v>
      </c>
      <c r="F10" s="22" t="s">
        <v>77</v>
      </c>
      <c r="G10" s="25" t="s">
        <v>78</v>
      </c>
      <c r="H10" s="99" t="s">
        <v>79</v>
      </c>
      <c r="I10" s="46" t="e">
        <f>VLOOKUP(H10,'合同高级查询数据-4月返'!A:A,1,FALSE)</f>
        <v>#N/A</v>
      </c>
      <c r="J10" s="25" t="s">
        <v>80</v>
      </c>
      <c r="K10" s="106" t="s">
        <v>81</v>
      </c>
      <c r="L10" s="107"/>
      <c r="M10" s="49"/>
      <c r="N10" s="73">
        <v>44348</v>
      </c>
      <c r="O10" s="107"/>
      <c r="P10" s="108">
        <f>160/1.09*1.06</f>
        <v>155.596330275229</v>
      </c>
      <c r="Q10" s="118">
        <v>55</v>
      </c>
      <c r="R10" s="118">
        <f t="shared" si="0"/>
        <v>8557.8</v>
      </c>
      <c r="S10" s="115">
        <v>202304</v>
      </c>
      <c r="T10" s="119" t="s">
        <v>82</v>
      </c>
      <c r="U10" s="119"/>
      <c r="V10" s="121"/>
      <c r="W10" s="121"/>
      <c r="X10" s="116">
        <v>43714</v>
      </c>
      <c r="Y10" s="116">
        <v>45163</v>
      </c>
    </row>
    <row r="11" s="85" customFormat="1" customHeight="1" spans="1:25">
      <c r="A11" s="22" t="s">
        <v>61</v>
      </c>
      <c r="B11" s="98" t="s">
        <v>62</v>
      </c>
      <c r="C11" s="24" t="s">
        <v>63</v>
      </c>
      <c r="D11" s="24" t="s">
        <v>75</v>
      </c>
      <c r="E11" s="46" t="s">
        <v>76</v>
      </c>
      <c r="F11" s="22" t="s">
        <v>77</v>
      </c>
      <c r="G11" s="25" t="s">
        <v>78</v>
      </c>
      <c r="H11" s="99" t="s">
        <v>79</v>
      </c>
      <c r="I11" s="46" t="e">
        <f>VLOOKUP(H11,'合同高级查询数据-4月返'!A:A,1,FALSE)</f>
        <v>#N/A</v>
      </c>
      <c r="J11" s="25" t="s">
        <v>80</v>
      </c>
      <c r="K11" s="106" t="s">
        <v>81</v>
      </c>
      <c r="L11" s="107"/>
      <c r="M11" s="49"/>
      <c r="N11" s="73">
        <v>44348</v>
      </c>
      <c r="O11" s="107"/>
      <c r="P11" s="108">
        <f>160/1.09*1.06</f>
        <v>155.596330275229</v>
      </c>
      <c r="Q11" s="118">
        <v>107.2</v>
      </c>
      <c r="R11" s="118">
        <f>ROUND(P11*Q11,2)-0.01</f>
        <v>16679.92</v>
      </c>
      <c r="S11" s="115">
        <v>202304</v>
      </c>
      <c r="T11" s="119" t="s">
        <v>82</v>
      </c>
      <c r="U11" s="119"/>
      <c r="V11" s="121"/>
      <c r="W11" s="121"/>
      <c r="X11" s="116">
        <v>43714</v>
      </c>
      <c r="Y11" s="116">
        <v>45163</v>
      </c>
    </row>
    <row r="12" s="85" customFormat="1" customHeight="1" spans="1:25">
      <c r="A12" s="22" t="s">
        <v>61</v>
      </c>
      <c r="B12" s="24" t="s">
        <v>83</v>
      </c>
      <c r="C12" s="24" t="s">
        <v>84</v>
      </c>
      <c r="D12" s="24" t="s">
        <v>85</v>
      </c>
      <c r="E12" s="46" t="s">
        <v>86</v>
      </c>
      <c r="F12" s="22" t="s">
        <v>87</v>
      </c>
      <c r="G12" s="25" t="s">
        <v>88</v>
      </c>
      <c r="H12" s="99" t="s">
        <v>89</v>
      </c>
      <c r="I12" s="46" t="e">
        <f>VLOOKUP(H12,'合同高级查询数据-4月返'!A:A,1,FALSE)</f>
        <v>#N/A</v>
      </c>
      <c r="J12" s="25" t="s">
        <v>90</v>
      </c>
      <c r="K12" s="106"/>
      <c r="L12" s="107"/>
      <c r="M12" s="49" t="s">
        <v>91</v>
      </c>
      <c r="N12" s="73">
        <v>43313</v>
      </c>
      <c r="O12" s="107" t="s">
        <v>92</v>
      </c>
      <c r="P12" s="108">
        <v>5000</v>
      </c>
      <c r="Q12" s="118">
        <v>2</v>
      </c>
      <c r="R12" s="118">
        <f>P12*Q12</f>
        <v>10000</v>
      </c>
      <c r="S12" s="115">
        <v>202304</v>
      </c>
      <c r="T12" s="119" t="s">
        <v>93</v>
      </c>
      <c r="U12" s="119"/>
      <c r="V12" s="121"/>
      <c r="W12" s="121"/>
      <c r="X12" s="116">
        <v>44044</v>
      </c>
      <c r="Y12" s="116">
        <v>45138</v>
      </c>
    </row>
    <row r="13" s="85" customFormat="1" customHeight="1" spans="1:25">
      <c r="A13" s="22" t="s">
        <v>61</v>
      </c>
      <c r="B13" s="24" t="s">
        <v>83</v>
      </c>
      <c r="C13" s="24" t="s">
        <v>84</v>
      </c>
      <c r="D13" s="24" t="s">
        <v>85</v>
      </c>
      <c r="E13" s="46" t="s">
        <v>86</v>
      </c>
      <c r="F13" s="22" t="s">
        <v>87</v>
      </c>
      <c r="G13" s="25" t="s">
        <v>67</v>
      </c>
      <c r="H13" s="99" t="s">
        <v>89</v>
      </c>
      <c r="I13" s="46" t="e">
        <f>VLOOKUP(H13,'合同高级查询数据-4月返'!A:A,1,FALSE)</f>
        <v>#N/A</v>
      </c>
      <c r="J13" s="25" t="s">
        <v>69</v>
      </c>
      <c r="K13" s="106" t="s">
        <v>94</v>
      </c>
      <c r="L13" s="107"/>
      <c r="M13" s="49"/>
      <c r="N13" s="73">
        <v>43819</v>
      </c>
      <c r="O13" s="107" t="s">
        <v>71</v>
      </c>
      <c r="P13" s="108">
        <v>500</v>
      </c>
      <c r="Q13" s="118">
        <v>1</v>
      </c>
      <c r="R13" s="118">
        <f t="shared" ref="R13:R27" si="1">ROUND(P13*Q13,2)</f>
        <v>500</v>
      </c>
      <c r="S13" s="115">
        <v>202304</v>
      </c>
      <c r="T13" s="119" t="s">
        <v>95</v>
      </c>
      <c r="U13" s="119"/>
      <c r="V13" s="121"/>
      <c r="W13" s="121"/>
      <c r="X13" s="116">
        <v>44044</v>
      </c>
      <c r="Y13" s="116">
        <v>45138</v>
      </c>
    </row>
    <row r="14" s="85" customFormat="1" customHeight="1" spans="1:25">
      <c r="A14" s="22" t="s">
        <v>61</v>
      </c>
      <c r="B14" s="24" t="s">
        <v>83</v>
      </c>
      <c r="C14" s="24" t="s">
        <v>84</v>
      </c>
      <c r="D14" s="24" t="s">
        <v>85</v>
      </c>
      <c r="E14" s="46" t="s">
        <v>86</v>
      </c>
      <c r="F14" s="22" t="s">
        <v>87</v>
      </c>
      <c r="G14" s="25" t="s">
        <v>67</v>
      </c>
      <c r="H14" s="99" t="s">
        <v>89</v>
      </c>
      <c r="I14" s="46" t="e">
        <f>VLOOKUP(H14,'合同高级查询数据-4月返'!A:A,1,FALSE)</f>
        <v>#N/A</v>
      </c>
      <c r="J14" s="25" t="s">
        <v>69</v>
      </c>
      <c r="K14" s="106"/>
      <c r="L14" s="107"/>
      <c r="M14" s="49"/>
      <c r="N14" s="73">
        <v>44805</v>
      </c>
      <c r="O14" s="107" t="s">
        <v>71</v>
      </c>
      <c r="P14" s="108">
        <v>500</v>
      </c>
      <c r="Q14" s="118">
        <v>1</v>
      </c>
      <c r="R14" s="118">
        <f t="shared" si="1"/>
        <v>500</v>
      </c>
      <c r="S14" s="115">
        <v>202304</v>
      </c>
      <c r="T14" s="119" t="s">
        <v>96</v>
      </c>
      <c r="U14" s="119"/>
      <c r="V14" s="121"/>
      <c r="W14" s="121"/>
      <c r="X14" s="116">
        <v>44044</v>
      </c>
      <c r="Y14" s="116">
        <v>45138</v>
      </c>
    </row>
    <row r="15" s="85" customFormat="1" customHeight="1" spans="1:25">
      <c r="A15" s="22" t="s">
        <v>61</v>
      </c>
      <c r="B15" s="24" t="s">
        <v>83</v>
      </c>
      <c r="C15" s="24" t="s">
        <v>84</v>
      </c>
      <c r="D15" s="24" t="s">
        <v>85</v>
      </c>
      <c r="E15" s="46" t="s">
        <v>86</v>
      </c>
      <c r="F15" s="22" t="s">
        <v>87</v>
      </c>
      <c r="G15" s="25" t="s">
        <v>67</v>
      </c>
      <c r="H15" s="99" t="s">
        <v>89</v>
      </c>
      <c r="I15" s="46" t="e">
        <f>VLOOKUP(H15,'合同高级查询数据-4月返'!A:A,1,FALSE)</f>
        <v>#N/A</v>
      </c>
      <c r="J15" s="25" t="s">
        <v>69</v>
      </c>
      <c r="K15" s="106"/>
      <c r="L15" s="107"/>
      <c r="M15" s="49"/>
      <c r="N15" s="73">
        <v>44805</v>
      </c>
      <c r="O15" s="107" t="s">
        <v>71</v>
      </c>
      <c r="P15" s="108">
        <v>500</v>
      </c>
      <c r="Q15" s="118">
        <v>1</v>
      </c>
      <c r="R15" s="118">
        <f t="shared" si="1"/>
        <v>500</v>
      </c>
      <c r="S15" s="115">
        <v>202304</v>
      </c>
      <c r="T15" s="119" t="s">
        <v>97</v>
      </c>
      <c r="U15" s="119"/>
      <c r="V15" s="121"/>
      <c r="W15" s="121"/>
      <c r="X15" s="116">
        <v>44044</v>
      </c>
      <c r="Y15" s="116">
        <v>45138</v>
      </c>
    </row>
    <row r="16" s="85" customFormat="1" customHeight="1" spans="1:25">
      <c r="A16" s="22" t="s">
        <v>61</v>
      </c>
      <c r="B16" s="24" t="s">
        <v>83</v>
      </c>
      <c r="C16" s="24" t="s">
        <v>84</v>
      </c>
      <c r="D16" s="24" t="s">
        <v>85</v>
      </c>
      <c r="E16" s="46" t="s">
        <v>86</v>
      </c>
      <c r="F16" s="22" t="s">
        <v>87</v>
      </c>
      <c r="G16" s="25" t="s">
        <v>67</v>
      </c>
      <c r="H16" s="99" t="s">
        <v>89</v>
      </c>
      <c r="I16" s="46" t="e">
        <f>VLOOKUP(H16,'合同高级查询数据-4月返'!A:A,1,FALSE)</f>
        <v>#N/A</v>
      </c>
      <c r="J16" s="25" t="s">
        <v>69</v>
      </c>
      <c r="K16" s="106"/>
      <c r="L16" s="107"/>
      <c r="M16" s="49"/>
      <c r="N16" s="73">
        <v>44805</v>
      </c>
      <c r="O16" s="107" t="s">
        <v>71</v>
      </c>
      <c r="P16" s="108">
        <v>500</v>
      </c>
      <c r="Q16" s="118">
        <v>1</v>
      </c>
      <c r="R16" s="118">
        <f t="shared" si="1"/>
        <v>500</v>
      </c>
      <c r="S16" s="115">
        <v>202304</v>
      </c>
      <c r="T16" s="119" t="s">
        <v>98</v>
      </c>
      <c r="U16" s="119"/>
      <c r="V16" s="121"/>
      <c r="W16" s="121"/>
      <c r="X16" s="116">
        <v>44044</v>
      </c>
      <c r="Y16" s="116">
        <v>45138</v>
      </c>
    </row>
    <row r="17" s="85" customFormat="1" customHeight="1" spans="1:25">
      <c r="A17" s="22" t="s">
        <v>61</v>
      </c>
      <c r="B17" s="24" t="s">
        <v>83</v>
      </c>
      <c r="C17" s="24" t="s">
        <v>84</v>
      </c>
      <c r="D17" s="24" t="s">
        <v>85</v>
      </c>
      <c r="E17" s="46" t="s">
        <v>86</v>
      </c>
      <c r="F17" s="22" t="s">
        <v>87</v>
      </c>
      <c r="G17" s="25" t="s">
        <v>67</v>
      </c>
      <c r="H17" s="99" t="s">
        <v>89</v>
      </c>
      <c r="I17" s="46" t="e">
        <f>VLOOKUP(H17,'合同高级查询数据-4月返'!A:A,1,FALSE)</f>
        <v>#N/A</v>
      </c>
      <c r="J17" s="25" t="s">
        <v>69</v>
      </c>
      <c r="K17" s="106"/>
      <c r="L17" s="107"/>
      <c r="M17" s="49"/>
      <c r="N17" s="73">
        <v>44805</v>
      </c>
      <c r="O17" s="107" t="s">
        <v>71</v>
      </c>
      <c r="P17" s="108">
        <v>500</v>
      </c>
      <c r="Q17" s="118">
        <v>1</v>
      </c>
      <c r="R17" s="118">
        <f t="shared" si="1"/>
        <v>500</v>
      </c>
      <c r="S17" s="115">
        <v>202304</v>
      </c>
      <c r="T17" s="119" t="s">
        <v>99</v>
      </c>
      <c r="U17" s="119"/>
      <c r="V17" s="121"/>
      <c r="W17" s="121"/>
      <c r="X17" s="116">
        <v>44044</v>
      </c>
      <c r="Y17" s="116">
        <v>45138</v>
      </c>
    </row>
    <row r="18" s="85" customFormat="1" customHeight="1" spans="1:25">
      <c r="A18" s="22" t="s">
        <v>61</v>
      </c>
      <c r="B18" s="24" t="s">
        <v>83</v>
      </c>
      <c r="C18" s="24" t="s">
        <v>84</v>
      </c>
      <c r="D18" s="24" t="s">
        <v>85</v>
      </c>
      <c r="E18" s="46" t="s">
        <v>86</v>
      </c>
      <c r="F18" s="22" t="s">
        <v>87</v>
      </c>
      <c r="G18" s="25" t="s">
        <v>67</v>
      </c>
      <c r="H18" s="99" t="s">
        <v>89</v>
      </c>
      <c r="I18" s="46" t="e">
        <f>VLOOKUP(H18,'合同高级查询数据-4月返'!A:A,1,FALSE)</f>
        <v>#N/A</v>
      </c>
      <c r="J18" s="25" t="s">
        <v>69</v>
      </c>
      <c r="K18" s="106"/>
      <c r="L18" s="107"/>
      <c r="M18" s="49"/>
      <c r="N18" s="73">
        <v>44805</v>
      </c>
      <c r="O18" s="107" t="s">
        <v>71</v>
      </c>
      <c r="P18" s="108">
        <v>500</v>
      </c>
      <c r="Q18" s="118">
        <v>1</v>
      </c>
      <c r="R18" s="118">
        <f t="shared" si="1"/>
        <v>500</v>
      </c>
      <c r="S18" s="115">
        <v>202304</v>
      </c>
      <c r="T18" s="119" t="s">
        <v>100</v>
      </c>
      <c r="U18" s="119"/>
      <c r="V18" s="121"/>
      <c r="W18" s="121"/>
      <c r="X18" s="116">
        <v>44044</v>
      </c>
      <c r="Y18" s="116">
        <v>45138</v>
      </c>
    </row>
    <row r="19" s="85" customFormat="1" customHeight="1" spans="1:25">
      <c r="A19" s="22" t="s">
        <v>61</v>
      </c>
      <c r="B19" s="24" t="s">
        <v>83</v>
      </c>
      <c r="C19" s="24" t="s">
        <v>84</v>
      </c>
      <c r="D19" s="24" t="s">
        <v>85</v>
      </c>
      <c r="E19" s="46" t="s">
        <v>86</v>
      </c>
      <c r="F19" s="22" t="s">
        <v>87</v>
      </c>
      <c r="G19" s="25" t="s">
        <v>67</v>
      </c>
      <c r="H19" s="99" t="s">
        <v>89</v>
      </c>
      <c r="I19" s="46" t="e">
        <f>VLOOKUP(H19,'合同高级查询数据-4月返'!A:A,1,FALSE)</f>
        <v>#N/A</v>
      </c>
      <c r="J19" s="25" t="s">
        <v>69</v>
      </c>
      <c r="K19" s="106"/>
      <c r="L19" s="107"/>
      <c r="M19" s="49"/>
      <c r="N19" s="73">
        <v>44805</v>
      </c>
      <c r="O19" s="107" t="s">
        <v>71</v>
      </c>
      <c r="P19" s="108">
        <v>500</v>
      </c>
      <c r="Q19" s="118">
        <v>1</v>
      </c>
      <c r="R19" s="118">
        <f t="shared" si="1"/>
        <v>500</v>
      </c>
      <c r="S19" s="115">
        <v>202304</v>
      </c>
      <c r="T19" s="119" t="s">
        <v>101</v>
      </c>
      <c r="U19" s="119"/>
      <c r="V19" s="121"/>
      <c r="W19" s="121"/>
      <c r="X19" s="116">
        <v>44044</v>
      </c>
      <c r="Y19" s="116">
        <v>45138</v>
      </c>
    </row>
    <row r="20" s="85" customFormat="1" customHeight="1" spans="1:25">
      <c r="A20" s="22" t="s">
        <v>61</v>
      </c>
      <c r="B20" s="24" t="s">
        <v>83</v>
      </c>
      <c r="C20" s="24" t="s">
        <v>84</v>
      </c>
      <c r="D20" s="24" t="s">
        <v>85</v>
      </c>
      <c r="E20" s="46" t="s">
        <v>86</v>
      </c>
      <c r="F20" s="22" t="s">
        <v>87</v>
      </c>
      <c r="G20" s="25" t="s">
        <v>67</v>
      </c>
      <c r="H20" s="99" t="s">
        <v>89</v>
      </c>
      <c r="I20" s="46" t="e">
        <f>VLOOKUP(H20,'合同高级查询数据-4月返'!A:A,1,FALSE)</f>
        <v>#N/A</v>
      </c>
      <c r="J20" s="25" t="s">
        <v>69</v>
      </c>
      <c r="K20" s="106"/>
      <c r="L20" s="107"/>
      <c r="M20" s="49"/>
      <c r="N20" s="73">
        <v>44805</v>
      </c>
      <c r="O20" s="107" t="s">
        <v>71</v>
      </c>
      <c r="P20" s="108">
        <v>500</v>
      </c>
      <c r="Q20" s="118">
        <v>1</v>
      </c>
      <c r="R20" s="118">
        <f t="shared" si="1"/>
        <v>500</v>
      </c>
      <c r="S20" s="115">
        <v>202304</v>
      </c>
      <c r="T20" s="119" t="s">
        <v>102</v>
      </c>
      <c r="U20" s="119"/>
      <c r="V20" s="121"/>
      <c r="W20" s="121"/>
      <c r="X20" s="116">
        <v>44044</v>
      </c>
      <c r="Y20" s="116">
        <v>45138</v>
      </c>
    </row>
    <row r="21" s="85" customFormat="1" customHeight="1" spans="1:25">
      <c r="A21" s="22" t="s">
        <v>61</v>
      </c>
      <c r="B21" s="24" t="s">
        <v>83</v>
      </c>
      <c r="C21" s="24" t="s">
        <v>84</v>
      </c>
      <c r="D21" s="24" t="s">
        <v>85</v>
      </c>
      <c r="E21" s="46" t="s">
        <v>86</v>
      </c>
      <c r="F21" s="22" t="s">
        <v>87</v>
      </c>
      <c r="G21" s="25" t="s">
        <v>67</v>
      </c>
      <c r="H21" s="99" t="s">
        <v>89</v>
      </c>
      <c r="I21" s="46" t="e">
        <f>VLOOKUP(H21,'合同高级查询数据-4月返'!A:A,1,FALSE)</f>
        <v>#N/A</v>
      </c>
      <c r="J21" s="25" t="s">
        <v>69</v>
      </c>
      <c r="K21" s="106"/>
      <c r="L21" s="107"/>
      <c r="M21" s="49"/>
      <c r="N21" s="73">
        <v>44805</v>
      </c>
      <c r="O21" s="107" t="s">
        <v>71</v>
      </c>
      <c r="P21" s="108">
        <v>500</v>
      </c>
      <c r="Q21" s="118">
        <v>1</v>
      </c>
      <c r="R21" s="118">
        <f t="shared" si="1"/>
        <v>500</v>
      </c>
      <c r="S21" s="115">
        <v>202304</v>
      </c>
      <c r="T21" s="119" t="s">
        <v>103</v>
      </c>
      <c r="U21" s="119"/>
      <c r="V21" s="121"/>
      <c r="W21" s="121"/>
      <c r="X21" s="116">
        <v>44044</v>
      </c>
      <c r="Y21" s="116">
        <v>45138</v>
      </c>
    </row>
    <row r="22" s="85" customFormat="1" customHeight="1" spans="1:25">
      <c r="A22" s="22" t="s">
        <v>61</v>
      </c>
      <c r="B22" s="24" t="s">
        <v>83</v>
      </c>
      <c r="C22" s="24" t="s">
        <v>84</v>
      </c>
      <c r="D22" s="24" t="s">
        <v>85</v>
      </c>
      <c r="E22" s="46" t="s">
        <v>86</v>
      </c>
      <c r="F22" s="22" t="s">
        <v>87</v>
      </c>
      <c r="G22" s="25" t="s">
        <v>67</v>
      </c>
      <c r="H22" s="99" t="s">
        <v>89</v>
      </c>
      <c r="I22" s="46" t="e">
        <f>VLOOKUP(H22,'合同高级查询数据-4月返'!A:A,1,FALSE)</f>
        <v>#N/A</v>
      </c>
      <c r="J22" s="25" t="s">
        <v>69</v>
      </c>
      <c r="K22" s="106"/>
      <c r="L22" s="107"/>
      <c r="M22" s="49"/>
      <c r="N22" s="73">
        <v>44805</v>
      </c>
      <c r="O22" s="107" t="s">
        <v>71</v>
      </c>
      <c r="P22" s="108">
        <v>500</v>
      </c>
      <c r="Q22" s="118">
        <v>1</v>
      </c>
      <c r="R22" s="118">
        <f t="shared" si="1"/>
        <v>500</v>
      </c>
      <c r="S22" s="115">
        <v>202304</v>
      </c>
      <c r="T22" s="119" t="s">
        <v>104</v>
      </c>
      <c r="U22" s="119"/>
      <c r="V22" s="121"/>
      <c r="W22" s="121"/>
      <c r="X22" s="116">
        <v>44044</v>
      </c>
      <c r="Y22" s="116">
        <v>45138</v>
      </c>
    </row>
    <row r="23" s="85" customFormat="1" customHeight="1" spans="1:25">
      <c r="A23" s="22" t="s">
        <v>61</v>
      </c>
      <c r="B23" s="24" t="s">
        <v>83</v>
      </c>
      <c r="C23" s="24" t="s">
        <v>84</v>
      </c>
      <c r="D23" s="24" t="s">
        <v>85</v>
      </c>
      <c r="E23" s="46" t="s">
        <v>86</v>
      </c>
      <c r="F23" s="22" t="s">
        <v>87</v>
      </c>
      <c r="G23" s="25" t="s">
        <v>67</v>
      </c>
      <c r="H23" s="99" t="s">
        <v>89</v>
      </c>
      <c r="I23" s="46" t="e">
        <f>VLOOKUP(H23,'合同高级查询数据-4月返'!A:A,1,FALSE)</f>
        <v>#N/A</v>
      </c>
      <c r="J23" s="25" t="s">
        <v>69</v>
      </c>
      <c r="K23" s="106"/>
      <c r="L23" s="107"/>
      <c r="M23" s="49"/>
      <c r="N23" s="73">
        <v>44805</v>
      </c>
      <c r="O23" s="107" t="s">
        <v>71</v>
      </c>
      <c r="P23" s="108">
        <v>500</v>
      </c>
      <c r="Q23" s="118">
        <v>1</v>
      </c>
      <c r="R23" s="118">
        <f t="shared" si="1"/>
        <v>500</v>
      </c>
      <c r="S23" s="115">
        <v>202304</v>
      </c>
      <c r="T23" s="119" t="s">
        <v>105</v>
      </c>
      <c r="U23" s="119"/>
      <c r="V23" s="121"/>
      <c r="W23" s="121"/>
      <c r="X23" s="116">
        <v>44044</v>
      </c>
      <c r="Y23" s="116">
        <v>45138</v>
      </c>
    </row>
    <row r="24" s="85" customFormat="1" customHeight="1" spans="1:25">
      <c r="A24" s="22" t="s">
        <v>61</v>
      </c>
      <c r="B24" s="24" t="s">
        <v>83</v>
      </c>
      <c r="C24" s="24" t="s">
        <v>84</v>
      </c>
      <c r="D24" s="24" t="s">
        <v>85</v>
      </c>
      <c r="E24" s="46" t="s">
        <v>86</v>
      </c>
      <c r="F24" s="22" t="s">
        <v>87</v>
      </c>
      <c r="G24" s="25" t="s">
        <v>67</v>
      </c>
      <c r="H24" s="99" t="s">
        <v>89</v>
      </c>
      <c r="I24" s="46" t="e">
        <f>VLOOKUP(H24,'合同高级查询数据-4月返'!A:A,1,FALSE)</f>
        <v>#N/A</v>
      </c>
      <c r="J24" s="25" t="s">
        <v>69</v>
      </c>
      <c r="K24" s="106"/>
      <c r="L24" s="107"/>
      <c r="M24" s="49"/>
      <c r="N24" s="73">
        <v>44805</v>
      </c>
      <c r="O24" s="107" t="s">
        <v>71</v>
      </c>
      <c r="P24" s="108">
        <v>500</v>
      </c>
      <c r="Q24" s="118">
        <v>1</v>
      </c>
      <c r="R24" s="118">
        <f t="shared" si="1"/>
        <v>500</v>
      </c>
      <c r="S24" s="115">
        <v>202304</v>
      </c>
      <c r="T24" s="119" t="s">
        <v>106</v>
      </c>
      <c r="U24" s="119"/>
      <c r="V24" s="121"/>
      <c r="W24" s="121"/>
      <c r="X24" s="116">
        <v>44044</v>
      </c>
      <c r="Y24" s="116">
        <v>45138</v>
      </c>
    </row>
    <row r="25" s="85" customFormat="1" customHeight="1" spans="1:25">
      <c r="A25" s="22" t="s">
        <v>61</v>
      </c>
      <c r="B25" s="24" t="s">
        <v>83</v>
      </c>
      <c r="C25" s="24" t="s">
        <v>84</v>
      </c>
      <c r="D25" s="24" t="s">
        <v>85</v>
      </c>
      <c r="E25" s="46" t="s">
        <v>86</v>
      </c>
      <c r="F25" s="22" t="s">
        <v>87</v>
      </c>
      <c r="G25" s="25" t="s">
        <v>67</v>
      </c>
      <c r="H25" s="99" t="s">
        <v>89</v>
      </c>
      <c r="I25" s="46" t="e">
        <f>VLOOKUP(H25,'合同高级查询数据-4月返'!A:A,1,FALSE)</f>
        <v>#N/A</v>
      </c>
      <c r="J25" s="25" t="s">
        <v>69</v>
      </c>
      <c r="K25" s="106"/>
      <c r="L25" s="107"/>
      <c r="M25" s="49"/>
      <c r="N25" s="73">
        <v>44805</v>
      </c>
      <c r="O25" s="107" t="s">
        <v>71</v>
      </c>
      <c r="P25" s="108">
        <v>500</v>
      </c>
      <c r="Q25" s="118">
        <v>1</v>
      </c>
      <c r="R25" s="118">
        <f t="shared" si="1"/>
        <v>500</v>
      </c>
      <c r="S25" s="115">
        <v>202304</v>
      </c>
      <c r="T25" s="119" t="s">
        <v>107</v>
      </c>
      <c r="U25" s="119"/>
      <c r="V25" s="121"/>
      <c r="W25" s="121"/>
      <c r="X25" s="116">
        <v>44044</v>
      </c>
      <c r="Y25" s="116">
        <v>45138</v>
      </c>
    </row>
    <row r="26" s="85" customFormat="1" customHeight="1" spans="1:25">
      <c r="A26" s="22" t="s">
        <v>61</v>
      </c>
      <c r="B26" s="24" t="s">
        <v>83</v>
      </c>
      <c r="C26" s="24" t="s">
        <v>84</v>
      </c>
      <c r="D26" s="24" t="s">
        <v>85</v>
      </c>
      <c r="E26" s="46" t="s">
        <v>86</v>
      </c>
      <c r="F26" s="22" t="s">
        <v>87</v>
      </c>
      <c r="G26" s="25" t="s">
        <v>67</v>
      </c>
      <c r="H26" s="99" t="s">
        <v>89</v>
      </c>
      <c r="I26" s="46" t="e">
        <f>VLOOKUP(H26,'合同高级查询数据-4月返'!A:A,1,FALSE)</f>
        <v>#N/A</v>
      </c>
      <c r="J26" s="25" t="s">
        <v>69</v>
      </c>
      <c r="K26" s="106"/>
      <c r="L26" s="107"/>
      <c r="M26" s="49"/>
      <c r="N26" s="73">
        <v>44971</v>
      </c>
      <c r="O26" s="107" t="s">
        <v>71</v>
      </c>
      <c r="P26" s="108">
        <v>500</v>
      </c>
      <c r="Q26" s="118">
        <v>2</v>
      </c>
      <c r="R26" s="118">
        <f t="shared" si="1"/>
        <v>1000</v>
      </c>
      <c r="S26" s="115">
        <v>202304</v>
      </c>
      <c r="T26" s="122" t="s">
        <v>108</v>
      </c>
      <c r="U26" s="119"/>
      <c r="V26" s="121"/>
      <c r="W26" s="121"/>
      <c r="X26" s="116">
        <v>44044</v>
      </c>
      <c r="Y26" s="116">
        <v>45138</v>
      </c>
    </row>
    <row r="27" s="85" customFormat="1" customHeight="1" spans="1:25">
      <c r="A27" s="21" t="s">
        <v>109</v>
      </c>
      <c r="B27" s="96" t="s">
        <v>26</v>
      </c>
      <c r="C27" s="22" t="s">
        <v>39</v>
      </c>
      <c r="D27" s="96" t="s">
        <v>28</v>
      </c>
      <c r="E27" s="23" t="s">
        <v>110</v>
      </c>
      <c r="F27" s="24" t="s">
        <v>111</v>
      </c>
      <c r="G27" s="24" t="s">
        <v>31</v>
      </c>
      <c r="H27" s="100" t="s">
        <v>112</v>
      </c>
      <c r="I27" s="46" t="e">
        <f>VLOOKUP(H27,'合同高级查询数据-4月返'!A:A,1,FALSE)</f>
        <v>#N/A</v>
      </c>
      <c r="J27" s="47" t="s">
        <v>33</v>
      </c>
      <c r="K27" s="24" t="s">
        <v>40</v>
      </c>
      <c r="L27" s="109" t="s">
        <v>113</v>
      </c>
      <c r="M27" s="49" t="s">
        <v>114</v>
      </c>
      <c r="N27" s="50">
        <v>44927</v>
      </c>
      <c r="O27" s="50" t="s">
        <v>37</v>
      </c>
      <c r="P27" s="105">
        <v>0</v>
      </c>
      <c r="Q27" s="114">
        <v>64</v>
      </c>
      <c r="R27" s="117">
        <f t="shared" si="1"/>
        <v>0</v>
      </c>
      <c r="S27" s="115">
        <v>202304</v>
      </c>
      <c r="T27" s="123" t="s">
        <v>115</v>
      </c>
      <c r="U27" s="121"/>
      <c r="V27" s="121"/>
      <c r="W27" s="121"/>
      <c r="X27" s="116">
        <v>44927</v>
      </c>
      <c r="Y27" s="116">
        <v>46022</v>
      </c>
    </row>
    <row r="28" s="85" customFormat="1" customHeight="1" spans="1:25">
      <c r="A28" s="21" t="s">
        <v>109</v>
      </c>
      <c r="B28" s="96" t="s">
        <v>26</v>
      </c>
      <c r="C28" s="22" t="s">
        <v>39</v>
      </c>
      <c r="D28" s="96" t="s">
        <v>28</v>
      </c>
      <c r="E28" s="23" t="s">
        <v>110</v>
      </c>
      <c r="F28" s="24" t="s">
        <v>111</v>
      </c>
      <c r="G28" s="24" t="s">
        <v>78</v>
      </c>
      <c r="H28" s="100" t="s">
        <v>112</v>
      </c>
      <c r="I28" s="46" t="e">
        <f>VLOOKUP(H28,'合同高级查询数据-4月返'!A:A,1,FALSE)</f>
        <v>#N/A</v>
      </c>
      <c r="J28" s="24" t="s">
        <v>116</v>
      </c>
      <c r="K28" s="24" t="s">
        <v>40</v>
      </c>
      <c r="L28" s="109" t="s">
        <v>113</v>
      </c>
      <c r="M28" s="49" t="s">
        <v>114</v>
      </c>
      <c r="N28" s="50">
        <v>44927</v>
      </c>
      <c r="O28" s="50" t="s">
        <v>117</v>
      </c>
      <c r="P28" s="105">
        <v>97.63</v>
      </c>
      <c r="Q28" s="118">
        <v>2</v>
      </c>
      <c r="R28" s="118">
        <f>ROUND(P28*Q28*30,2)</f>
        <v>5857.8</v>
      </c>
      <c r="S28" s="115">
        <v>202304</v>
      </c>
      <c r="T28" s="123" t="s">
        <v>118</v>
      </c>
      <c r="U28" s="121"/>
      <c r="V28" s="121"/>
      <c r="W28" s="121"/>
      <c r="X28" s="116">
        <v>44927</v>
      </c>
      <c r="Y28" s="116">
        <v>46022</v>
      </c>
    </row>
    <row r="29" s="85" customFormat="1" customHeight="1" spans="1:25">
      <c r="A29" s="21" t="s">
        <v>109</v>
      </c>
      <c r="B29" s="96" t="s">
        <v>26</v>
      </c>
      <c r="C29" s="22" t="s">
        <v>39</v>
      </c>
      <c r="D29" s="96" t="s">
        <v>28</v>
      </c>
      <c r="E29" s="23" t="s">
        <v>110</v>
      </c>
      <c r="F29" s="24" t="s">
        <v>111</v>
      </c>
      <c r="G29" s="24" t="s">
        <v>78</v>
      </c>
      <c r="H29" s="100" t="s">
        <v>112</v>
      </c>
      <c r="I29" s="46" t="e">
        <f>VLOOKUP(H29,'合同高级查询数据-4月返'!A:A,1,FALSE)</f>
        <v>#N/A</v>
      </c>
      <c r="J29" s="24" t="s">
        <v>116</v>
      </c>
      <c r="K29" s="24" t="s">
        <v>40</v>
      </c>
      <c r="L29" s="109" t="s">
        <v>113</v>
      </c>
      <c r="M29" s="49" t="s">
        <v>114</v>
      </c>
      <c r="N29" s="50">
        <v>44927</v>
      </c>
      <c r="O29" s="50" t="s">
        <v>117</v>
      </c>
      <c r="P29" s="105">
        <v>69.7</v>
      </c>
      <c r="Q29" s="118">
        <v>14</v>
      </c>
      <c r="R29" s="118">
        <f>ROUND(P29*Q29*30,2)</f>
        <v>29274</v>
      </c>
      <c r="S29" s="115">
        <v>202304</v>
      </c>
      <c r="T29" s="123" t="s">
        <v>119</v>
      </c>
      <c r="U29" s="121"/>
      <c r="V29" s="121"/>
      <c r="W29" s="121"/>
      <c r="X29" s="116">
        <v>44927</v>
      </c>
      <c r="Y29" s="116">
        <v>46022</v>
      </c>
    </row>
    <row r="30" s="85" customFormat="1" customHeight="1" spans="1:25">
      <c r="A30" s="21" t="s">
        <v>109</v>
      </c>
      <c r="B30" s="96" t="s">
        <v>26</v>
      </c>
      <c r="C30" s="22" t="s">
        <v>120</v>
      </c>
      <c r="D30" s="96" t="s">
        <v>28</v>
      </c>
      <c r="E30" s="23" t="s">
        <v>110</v>
      </c>
      <c r="F30" s="24" t="s">
        <v>111</v>
      </c>
      <c r="G30" s="24" t="s">
        <v>31</v>
      </c>
      <c r="H30" s="100" t="s">
        <v>112</v>
      </c>
      <c r="I30" s="46" t="e">
        <f>VLOOKUP(H30,'合同高级查询数据-4月返'!A:A,1,FALSE)</f>
        <v>#N/A</v>
      </c>
      <c r="J30" s="47" t="s">
        <v>33</v>
      </c>
      <c r="K30" s="24" t="s">
        <v>121</v>
      </c>
      <c r="L30" s="109" t="s">
        <v>122</v>
      </c>
      <c r="M30" s="49" t="s">
        <v>123</v>
      </c>
      <c r="N30" s="50">
        <v>44927</v>
      </c>
      <c r="O30" s="50" t="s">
        <v>37</v>
      </c>
      <c r="P30" s="105">
        <v>0</v>
      </c>
      <c r="Q30" s="105">
        <v>64</v>
      </c>
      <c r="R30" s="117">
        <f>ROUND(P30*Q30,2)</f>
        <v>0</v>
      </c>
      <c r="S30" s="115">
        <v>202304</v>
      </c>
      <c r="T30" s="123" t="s">
        <v>124</v>
      </c>
      <c r="U30" s="121"/>
      <c r="V30" s="121"/>
      <c r="W30" s="121"/>
      <c r="X30" s="116">
        <v>44927</v>
      </c>
      <c r="Y30" s="116">
        <v>46022</v>
      </c>
    </row>
    <row r="31" s="85" customFormat="1" customHeight="1" spans="1:25">
      <c r="A31" s="21" t="s">
        <v>109</v>
      </c>
      <c r="B31" s="96" t="s">
        <v>26</v>
      </c>
      <c r="C31" s="22" t="s">
        <v>120</v>
      </c>
      <c r="D31" s="96" t="s">
        <v>28</v>
      </c>
      <c r="E31" s="23" t="s">
        <v>110</v>
      </c>
      <c r="F31" s="24" t="s">
        <v>111</v>
      </c>
      <c r="G31" s="24" t="s">
        <v>78</v>
      </c>
      <c r="H31" s="100" t="s">
        <v>112</v>
      </c>
      <c r="I31" s="46" t="e">
        <f>VLOOKUP(H31,'合同高级查询数据-4月返'!A:A,1,FALSE)</f>
        <v>#N/A</v>
      </c>
      <c r="J31" s="24" t="s">
        <v>116</v>
      </c>
      <c r="K31" s="24" t="s">
        <v>121</v>
      </c>
      <c r="L31" s="109" t="s">
        <v>122</v>
      </c>
      <c r="M31" s="49" t="s">
        <v>123</v>
      </c>
      <c r="N31" s="50">
        <v>44927</v>
      </c>
      <c r="O31" s="50" t="s">
        <v>117</v>
      </c>
      <c r="P31" s="105">
        <v>97.63</v>
      </c>
      <c r="Q31" s="118">
        <v>2</v>
      </c>
      <c r="R31" s="118">
        <f t="shared" ref="R31:R32" si="2">ROUND(P31*Q31*30,2)</f>
        <v>5857.8</v>
      </c>
      <c r="S31" s="115">
        <v>202304</v>
      </c>
      <c r="T31" s="123" t="s">
        <v>118</v>
      </c>
      <c r="U31" s="121"/>
      <c r="V31" s="121"/>
      <c r="W31" s="121"/>
      <c r="X31" s="116">
        <v>44927</v>
      </c>
      <c r="Y31" s="116">
        <v>46022</v>
      </c>
    </row>
    <row r="32" s="85" customFormat="1" customHeight="1" spans="1:25">
      <c r="A32" s="21" t="s">
        <v>109</v>
      </c>
      <c r="B32" s="96" t="s">
        <v>26</v>
      </c>
      <c r="C32" s="22" t="s">
        <v>120</v>
      </c>
      <c r="D32" s="96" t="s">
        <v>28</v>
      </c>
      <c r="E32" s="23" t="s">
        <v>110</v>
      </c>
      <c r="F32" s="24" t="s">
        <v>111</v>
      </c>
      <c r="G32" s="24" t="s">
        <v>78</v>
      </c>
      <c r="H32" s="100" t="s">
        <v>112</v>
      </c>
      <c r="I32" s="46" t="e">
        <f>VLOOKUP(H32,'合同高级查询数据-4月返'!A:A,1,FALSE)</f>
        <v>#N/A</v>
      </c>
      <c r="J32" s="24" t="s">
        <v>116</v>
      </c>
      <c r="K32" s="24" t="s">
        <v>121</v>
      </c>
      <c r="L32" s="109" t="s">
        <v>122</v>
      </c>
      <c r="M32" s="49" t="s">
        <v>123</v>
      </c>
      <c r="N32" s="50">
        <v>44927</v>
      </c>
      <c r="O32" s="50" t="s">
        <v>117</v>
      </c>
      <c r="P32" s="105">
        <v>69.7</v>
      </c>
      <c r="Q32" s="118">
        <v>18</v>
      </c>
      <c r="R32" s="118">
        <f t="shared" si="2"/>
        <v>37638</v>
      </c>
      <c r="S32" s="115">
        <v>202304</v>
      </c>
      <c r="T32" s="123" t="s">
        <v>119</v>
      </c>
      <c r="U32" s="121"/>
      <c r="V32" s="121"/>
      <c r="W32" s="121"/>
      <c r="X32" s="116">
        <v>44927</v>
      </c>
      <c r="Y32" s="116">
        <v>46022</v>
      </c>
    </row>
    <row r="33" s="85" customFormat="1" customHeight="1" spans="1:25">
      <c r="A33" s="21" t="s">
        <v>109</v>
      </c>
      <c r="B33" s="96" t="s">
        <v>26</v>
      </c>
      <c r="C33" s="22" t="s">
        <v>125</v>
      </c>
      <c r="D33" s="96" t="s">
        <v>28</v>
      </c>
      <c r="E33" s="23" t="s">
        <v>110</v>
      </c>
      <c r="F33" s="24" t="s">
        <v>111</v>
      </c>
      <c r="G33" s="24" t="s">
        <v>31</v>
      </c>
      <c r="H33" s="100" t="s">
        <v>112</v>
      </c>
      <c r="I33" s="46" t="e">
        <f>VLOOKUP(H33,'合同高级查询数据-4月返'!A:A,1,FALSE)</f>
        <v>#N/A</v>
      </c>
      <c r="J33" s="47" t="s">
        <v>33</v>
      </c>
      <c r="K33" s="24" t="s">
        <v>126</v>
      </c>
      <c r="L33" s="109" t="s">
        <v>127</v>
      </c>
      <c r="M33" s="49" t="s">
        <v>128</v>
      </c>
      <c r="N33" s="50">
        <v>44927</v>
      </c>
      <c r="O33" s="50" t="s">
        <v>37</v>
      </c>
      <c r="P33" s="105">
        <v>0</v>
      </c>
      <c r="Q33" s="114">
        <v>64</v>
      </c>
      <c r="R33" s="117">
        <f>ROUND(P33*Q33,2)</f>
        <v>0</v>
      </c>
      <c r="S33" s="115">
        <v>202304</v>
      </c>
      <c r="T33" s="123" t="s">
        <v>129</v>
      </c>
      <c r="U33" s="121"/>
      <c r="V33" s="121"/>
      <c r="W33" s="121"/>
      <c r="X33" s="116">
        <v>44927</v>
      </c>
      <c r="Y33" s="116">
        <v>46022</v>
      </c>
    </row>
    <row r="34" s="85" customFormat="1" customHeight="1" spans="1:25">
      <c r="A34" s="21" t="s">
        <v>109</v>
      </c>
      <c r="B34" s="96" t="s">
        <v>26</v>
      </c>
      <c r="C34" s="22" t="s">
        <v>125</v>
      </c>
      <c r="D34" s="96" t="s">
        <v>28</v>
      </c>
      <c r="E34" s="23" t="s">
        <v>110</v>
      </c>
      <c r="F34" s="24" t="s">
        <v>111</v>
      </c>
      <c r="G34" s="24" t="s">
        <v>78</v>
      </c>
      <c r="H34" s="100" t="s">
        <v>112</v>
      </c>
      <c r="I34" s="46" t="e">
        <f>VLOOKUP(H34,'合同高级查询数据-4月返'!A:A,1,FALSE)</f>
        <v>#N/A</v>
      </c>
      <c r="J34" s="24" t="s">
        <v>116</v>
      </c>
      <c r="K34" s="24" t="s">
        <v>126</v>
      </c>
      <c r="L34" s="109" t="s">
        <v>127</v>
      </c>
      <c r="M34" s="49" t="s">
        <v>128</v>
      </c>
      <c r="N34" s="50">
        <v>44927</v>
      </c>
      <c r="O34" s="50" t="s">
        <v>117</v>
      </c>
      <c r="P34" s="105">
        <v>97.63</v>
      </c>
      <c r="Q34" s="118">
        <v>2</v>
      </c>
      <c r="R34" s="118">
        <f t="shared" ref="R34:R36" si="3">ROUND(P34*Q34*30,2)</f>
        <v>5857.8</v>
      </c>
      <c r="S34" s="115">
        <v>202304</v>
      </c>
      <c r="T34" s="123" t="s">
        <v>118</v>
      </c>
      <c r="U34" s="121"/>
      <c r="V34" s="121"/>
      <c r="W34" s="121"/>
      <c r="X34" s="116">
        <v>44927</v>
      </c>
      <c r="Y34" s="116">
        <v>46022</v>
      </c>
    </row>
    <row r="35" s="85" customFormat="1" customHeight="1" spans="1:25">
      <c r="A35" s="21" t="s">
        <v>109</v>
      </c>
      <c r="B35" s="96" t="s">
        <v>26</v>
      </c>
      <c r="C35" s="22" t="s">
        <v>125</v>
      </c>
      <c r="D35" s="96" t="s">
        <v>28</v>
      </c>
      <c r="E35" s="23" t="s">
        <v>110</v>
      </c>
      <c r="F35" s="24" t="s">
        <v>111</v>
      </c>
      <c r="G35" s="24" t="s">
        <v>78</v>
      </c>
      <c r="H35" s="100" t="s">
        <v>112</v>
      </c>
      <c r="I35" s="46" t="e">
        <f>VLOOKUP(H35,'合同高级查询数据-4月返'!A:A,1,FALSE)</f>
        <v>#N/A</v>
      </c>
      <c r="J35" s="24" t="s">
        <v>116</v>
      </c>
      <c r="K35" s="24" t="s">
        <v>126</v>
      </c>
      <c r="L35" s="109" t="s">
        <v>127</v>
      </c>
      <c r="M35" s="49" t="s">
        <v>128</v>
      </c>
      <c r="N35" s="50">
        <v>44927</v>
      </c>
      <c r="O35" s="50" t="s">
        <v>117</v>
      </c>
      <c r="P35" s="105">
        <v>69.7</v>
      </c>
      <c r="Q35" s="118">
        <v>9</v>
      </c>
      <c r="R35" s="118">
        <f t="shared" si="3"/>
        <v>18819</v>
      </c>
      <c r="S35" s="115">
        <v>202304</v>
      </c>
      <c r="T35" s="123" t="s">
        <v>119</v>
      </c>
      <c r="U35" s="121"/>
      <c r="V35" s="121"/>
      <c r="W35" s="121"/>
      <c r="X35" s="116">
        <v>44927</v>
      </c>
      <c r="Y35" s="116">
        <v>46022</v>
      </c>
    </row>
    <row r="36" s="85" customFormat="1" customHeight="1" spans="1:25">
      <c r="A36" s="21" t="s">
        <v>109</v>
      </c>
      <c r="B36" s="96" t="s">
        <v>26</v>
      </c>
      <c r="C36" s="22" t="s">
        <v>125</v>
      </c>
      <c r="D36" s="96" t="s">
        <v>28</v>
      </c>
      <c r="E36" s="23" t="s">
        <v>110</v>
      </c>
      <c r="F36" s="24" t="s">
        <v>111</v>
      </c>
      <c r="G36" s="24" t="s">
        <v>78</v>
      </c>
      <c r="H36" s="100" t="s">
        <v>112</v>
      </c>
      <c r="I36" s="46" t="e">
        <f>VLOOKUP(H36,'合同高级查询数据-4月返'!A:A,1,FALSE)</f>
        <v>#N/A</v>
      </c>
      <c r="J36" s="24" t="s">
        <v>116</v>
      </c>
      <c r="K36" s="24" t="s">
        <v>126</v>
      </c>
      <c r="L36" s="109" t="s">
        <v>127</v>
      </c>
      <c r="M36" s="49" t="s">
        <v>128</v>
      </c>
      <c r="N36" s="50">
        <v>44958</v>
      </c>
      <c r="O36" s="50" t="s">
        <v>117</v>
      </c>
      <c r="P36" s="105">
        <v>69.7</v>
      </c>
      <c r="Q36" s="118">
        <v>8</v>
      </c>
      <c r="R36" s="118">
        <f t="shared" si="3"/>
        <v>16728</v>
      </c>
      <c r="S36" s="115">
        <v>202304</v>
      </c>
      <c r="T36" s="123" t="s">
        <v>130</v>
      </c>
      <c r="U36" s="121"/>
      <c r="V36" s="121"/>
      <c r="W36" s="121"/>
      <c r="X36" s="116">
        <v>44927</v>
      </c>
      <c r="Y36" s="116">
        <v>46022</v>
      </c>
    </row>
    <row r="37" s="85" customFormat="1" customHeight="1" spans="1:25">
      <c r="A37" s="21" t="s">
        <v>109</v>
      </c>
      <c r="B37" s="96" t="s">
        <v>26</v>
      </c>
      <c r="C37" s="24" t="s">
        <v>50</v>
      </c>
      <c r="D37" s="96" t="s">
        <v>28</v>
      </c>
      <c r="E37" s="23" t="s">
        <v>110</v>
      </c>
      <c r="F37" s="24" t="s">
        <v>111</v>
      </c>
      <c r="G37" s="24" t="s">
        <v>31</v>
      </c>
      <c r="H37" s="100" t="s">
        <v>112</v>
      </c>
      <c r="I37" s="46" t="e">
        <f>VLOOKUP(H37,'合同高级查询数据-4月返'!A:A,1,FALSE)</f>
        <v>#N/A</v>
      </c>
      <c r="J37" s="47" t="s">
        <v>33</v>
      </c>
      <c r="K37" s="24" t="s">
        <v>50</v>
      </c>
      <c r="L37" s="109" t="s">
        <v>131</v>
      </c>
      <c r="M37" s="49" t="s">
        <v>132</v>
      </c>
      <c r="N37" s="50">
        <v>44958</v>
      </c>
      <c r="O37" s="50" t="s">
        <v>37</v>
      </c>
      <c r="P37" s="105">
        <v>0</v>
      </c>
      <c r="Q37" s="118">
        <v>64</v>
      </c>
      <c r="R37" s="117">
        <f>ROUND(P37*Q37,2)</f>
        <v>0</v>
      </c>
      <c r="S37" s="115">
        <v>202304</v>
      </c>
      <c r="T37" s="123" t="s">
        <v>133</v>
      </c>
      <c r="U37" s="124"/>
      <c r="V37" s="116"/>
      <c r="W37" s="116"/>
      <c r="X37" s="116">
        <v>44927</v>
      </c>
      <c r="Y37" s="116">
        <v>46022</v>
      </c>
    </row>
    <row r="38" s="85" customFormat="1" customHeight="1" spans="1:25">
      <c r="A38" s="21" t="s">
        <v>109</v>
      </c>
      <c r="B38" s="96" t="s">
        <v>26</v>
      </c>
      <c r="C38" s="24" t="s">
        <v>50</v>
      </c>
      <c r="D38" s="96" t="s">
        <v>28</v>
      </c>
      <c r="E38" s="23" t="s">
        <v>110</v>
      </c>
      <c r="F38" s="24" t="s">
        <v>111</v>
      </c>
      <c r="G38" s="24" t="s">
        <v>78</v>
      </c>
      <c r="H38" s="100" t="s">
        <v>112</v>
      </c>
      <c r="I38" s="46" t="e">
        <f>VLOOKUP(H38,'合同高级查询数据-4月返'!A:A,1,FALSE)</f>
        <v>#N/A</v>
      </c>
      <c r="J38" s="24" t="s">
        <v>116</v>
      </c>
      <c r="K38" s="24" t="s">
        <v>50</v>
      </c>
      <c r="L38" s="109" t="s">
        <v>131</v>
      </c>
      <c r="M38" s="49" t="s">
        <v>132</v>
      </c>
      <c r="N38" s="50">
        <v>44958</v>
      </c>
      <c r="O38" s="50" t="s">
        <v>117</v>
      </c>
      <c r="P38" s="105">
        <v>97.63</v>
      </c>
      <c r="Q38" s="118">
        <v>2</v>
      </c>
      <c r="R38" s="118">
        <f t="shared" ref="R38:R39" si="4">ROUND(P38*Q38*30,2)</f>
        <v>5857.8</v>
      </c>
      <c r="S38" s="115">
        <v>202304</v>
      </c>
      <c r="T38" s="123" t="s">
        <v>134</v>
      </c>
      <c r="U38" s="121"/>
      <c r="V38" s="121"/>
      <c r="W38" s="121"/>
      <c r="X38" s="116">
        <v>44927</v>
      </c>
      <c r="Y38" s="116">
        <v>46022</v>
      </c>
    </row>
    <row r="39" s="85" customFormat="1" customHeight="1" spans="1:25">
      <c r="A39" s="21" t="s">
        <v>109</v>
      </c>
      <c r="B39" s="96" t="s">
        <v>26</v>
      </c>
      <c r="C39" s="24" t="s">
        <v>50</v>
      </c>
      <c r="D39" s="96" t="s">
        <v>28</v>
      </c>
      <c r="E39" s="23" t="s">
        <v>110</v>
      </c>
      <c r="F39" s="24" t="s">
        <v>111</v>
      </c>
      <c r="G39" s="24" t="s">
        <v>78</v>
      </c>
      <c r="H39" s="100" t="s">
        <v>112</v>
      </c>
      <c r="I39" s="46" t="e">
        <f>VLOOKUP(H39,'合同高级查询数据-4月返'!A:A,1,FALSE)</f>
        <v>#N/A</v>
      </c>
      <c r="J39" s="24" t="s">
        <v>116</v>
      </c>
      <c r="K39" s="24" t="s">
        <v>50</v>
      </c>
      <c r="L39" s="109" t="s">
        <v>131</v>
      </c>
      <c r="M39" s="49" t="s">
        <v>132</v>
      </c>
      <c r="N39" s="50">
        <v>44958</v>
      </c>
      <c r="O39" s="50" t="s">
        <v>117</v>
      </c>
      <c r="P39" s="105">
        <v>69.7</v>
      </c>
      <c r="Q39" s="118">
        <v>19</v>
      </c>
      <c r="R39" s="118">
        <f t="shared" si="4"/>
        <v>39729</v>
      </c>
      <c r="S39" s="115">
        <v>202304</v>
      </c>
      <c r="T39" s="123" t="s">
        <v>135</v>
      </c>
      <c r="U39" s="121"/>
      <c r="V39" s="121"/>
      <c r="W39" s="121"/>
      <c r="X39" s="116">
        <v>44927</v>
      </c>
      <c r="Y39" s="116">
        <v>46022</v>
      </c>
    </row>
    <row r="40" s="86" customFormat="1" customHeight="1" spans="1:25">
      <c r="A40" s="101" t="s">
        <v>109</v>
      </c>
      <c r="B40" s="102" t="s">
        <v>26</v>
      </c>
      <c r="C40" s="11" t="s">
        <v>136</v>
      </c>
      <c r="D40" s="102" t="s">
        <v>28</v>
      </c>
      <c r="E40" s="13" t="s">
        <v>110</v>
      </c>
      <c r="F40" s="11" t="s">
        <v>111</v>
      </c>
      <c r="G40" s="11" t="s">
        <v>31</v>
      </c>
      <c r="H40" s="103" t="s">
        <v>137</v>
      </c>
      <c r="I40" s="30" t="e">
        <f>VLOOKUP(H40,'合同高级查询数据-4月返'!A:A,1,FALSE)</f>
        <v>#N/A</v>
      </c>
      <c r="J40" s="31" t="s">
        <v>33</v>
      </c>
      <c r="K40" s="35" t="s">
        <v>136</v>
      </c>
      <c r="L40" s="110" t="s">
        <v>138</v>
      </c>
      <c r="M40" s="35" t="s">
        <v>139</v>
      </c>
      <c r="N40" s="111">
        <v>44987</v>
      </c>
      <c r="O40" s="34" t="s">
        <v>37</v>
      </c>
      <c r="P40" s="112">
        <v>0</v>
      </c>
      <c r="Q40" s="125">
        <v>64</v>
      </c>
      <c r="R40" s="126">
        <f>ROUND(P40*Q40,2)</f>
        <v>0</v>
      </c>
      <c r="S40" s="127">
        <v>202304</v>
      </c>
      <c r="T40" s="60" t="s">
        <v>140</v>
      </c>
      <c r="U40" s="128"/>
      <c r="V40" s="128"/>
      <c r="W40" s="128"/>
      <c r="X40" s="129"/>
      <c r="Y40" s="129"/>
    </row>
    <row r="41" s="86" customFormat="1" customHeight="1" spans="1:25">
      <c r="A41" s="101" t="s">
        <v>109</v>
      </c>
      <c r="B41" s="102" t="s">
        <v>26</v>
      </c>
      <c r="C41" s="11" t="s">
        <v>136</v>
      </c>
      <c r="D41" s="102" t="s">
        <v>28</v>
      </c>
      <c r="E41" s="13" t="s">
        <v>110</v>
      </c>
      <c r="F41" s="11" t="s">
        <v>111</v>
      </c>
      <c r="G41" s="11" t="s">
        <v>78</v>
      </c>
      <c r="H41" s="103" t="s">
        <v>137</v>
      </c>
      <c r="I41" s="30" t="e">
        <f>VLOOKUP(H41,'合同高级查询数据-4月返'!A:A,1,FALSE)</f>
        <v>#N/A</v>
      </c>
      <c r="J41" s="11" t="s">
        <v>116</v>
      </c>
      <c r="K41" s="35" t="s">
        <v>136</v>
      </c>
      <c r="L41" s="110" t="s">
        <v>138</v>
      </c>
      <c r="M41" s="35" t="s">
        <v>139</v>
      </c>
      <c r="N41" s="111">
        <v>44987</v>
      </c>
      <c r="O41" s="34" t="s">
        <v>117</v>
      </c>
      <c r="P41" s="112">
        <v>97.63</v>
      </c>
      <c r="Q41" s="130">
        <v>2</v>
      </c>
      <c r="R41" s="130">
        <f t="shared" ref="R41:R43" si="5">ROUND(P41*Q41*30,2)</f>
        <v>5857.8</v>
      </c>
      <c r="S41" s="127">
        <v>202304</v>
      </c>
      <c r="T41" s="60" t="s">
        <v>141</v>
      </c>
      <c r="U41" s="128"/>
      <c r="V41" s="128"/>
      <c r="W41" s="128"/>
      <c r="X41" s="129"/>
      <c r="Y41" s="129"/>
    </row>
    <row r="42" s="86" customFormat="1" customHeight="1" spans="1:25">
      <c r="A42" s="101" t="s">
        <v>109</v>
      </c>
      <c r="B42" s="102" t="s">
        <v>26</v>
      </c>
      <c r="C42" s="11" t="s">
        <v>136</v>
      </c>
      <c r="D42" s="102" t="s">
        <v>28</v>
      </c>
      <c r="E42" s="13" t="s">
        <v>110</v>
      </c>
      <c r="F42" s="11" t="s">
        <v>111</v>
      </c>
      <c r="G42" s="11" t="s">
        <v>78</v>
      </c>
      <c r="H42" s="103" t="s">
        <v>137</v>
      </c>
      <c r="I42" s="30" t="e">
        <f>VLOOKUP(H42,'合同高级查询数据-4月返'!A:A,1,FALSE)</f>
        <v>#N/A</v>
      </c>
      <c r="J42" s="11" t="s">
        <v>116</v>
      </c>
      <c r="K42" s="35" t="s">
        <v>136</v>
      </c>
      <c r="L42" s="110" t="s">
        <v>138</v>
      </c>
      <c r="M42" s="35" t="s">
        <v>139</v>
      </c>
      <c r="N42" s="111">
        <v>44987</v>
      </c>
      <c r="O42" s="34" t="s">
        <v>117</v>
      </c>
      <c r="P42" s="112">
        <v>69.7</v>
      </c>
      <c r="Q42" s="130">
        <v>10</v>
      </c>
      <c r="R42" s="130">
        <f t="shared" si="5"/>
        <v>20910</v>
      </c>
      <c r="S42" s="127">
        <v>202304</v>
      </c>
      <c r="T42" s="60" t="s">
        <v>142</v>
      </c>
      <c r="U42" s="128"/>
      <c r="V42" s="128"/>
      <c r="W42" s="128"/>
      <c r="X42" s="129"/>
      <c r="Y42" s="129"/>
    </row>
    <row r="43" s="86" customFormat="1" customHeight="1" spans="1:25">
      <c r="A43" s="101" t="s">
        <v>109</v>
      </c>
      <c r="B43" s="102" t="s">
        <v>26</v>
      </c>
      <c r="C43" s="11" t="s">
        <v>136</v>
      </c>
      <c r="D43" s="102" t="s">
        <v>28</v>
      </c>
      <c r="E43" s="13" t="s">
        <v>110</v>
      </c>
      <c r="F43" s="11" t="s">
        <v>111</v>
      </c>
      <c r="G43" s="11" t="s">
        <v>78</v>
      </c>
      <c r="H43" s="103" t="s">
        <v>137</v>
      </c>
      <c r="I43" s="30" t="e">
        <f>VLOOKUP(H43,'合同高级查询数据-4月返'!A:A,1,FALSE)</f>
        <v>#N/A</v>
      </c>
      <c r="J43" s="11" t="s">
        <v>116</v>
      </c>
      <c r="K43" s="35" t="s">
        <v>136</v>
      </c>
      <c r="L43" s="110" t="s">
        <v>138</v>
      </c>
      <c r="M43" s="35" t="s">
        <v>139</v>
      </c>
      <c r="N43" s="111">
        <v>45017</v>
      </c>
      <c r="O43" s="34" t="s">
        <v>117</v>
      </c>
      <c r="P43" s="112">
        <v>69.7</v>
      </c>
      <c r="Q43" s="130">
        <v>6</v>
      </c>
      <c r="R43" s="130">
        <f t="shared" si="5"/>
        <v>12546</v>
      </c>
      <c r="S43" s="127">
        <v>202304</v>
      </c>
      <c r="T43" s="60" t="s">
        <v>143</v>
      </c>
      <c r="U43" s="128"/>
      <c r="V43" s="128"/>
      <c r="W43" s="128"/>
      <c r="X43" s="129"/>
      <c r="Y43" s="129"/>
    </row>
    <row r="44" s="86" customFormat="1" customHeight="1" spans="1:25">
      <c r="A44" s="35" t="s">
        <v>109</v>
      </c>
      <c r="B44" s="102" t="s">
        <v>26</v>
      </c>
      <c r="C44" s="35" t="s">
        <v>144</v>
      </c>
      <c r="D44" s="102" t="s">
        <v>28</v>
      </c>
      <c r="E44" s="104" t="s">
        <v>145</v>
      </c>
      <c r="F44" s="35" t="s">
        <v>146</v>
      </c>
      <c r="G44" s="11" t="s">
        <v>31</v>
      </c>
      <c r="H44" s="30" t="s">
        <v>147</v>
      </c>
      <c r="I44" s="30" t="e">
        <f>VLOOKUP(H44,'合同高级查询数据-4月返'!A:A,1,FALSE)</f>
        <v>#N/A</v>
      </c>
      <c r="J44" s="31" t="s">
        <v>33</v>
      </c>
      <c r="K44" s="35" t="s">
        <v>148</v>
      </c>
      <c r="L44" s="35" t="s">
        <v>149</v>
      </c>
      <c r="M44" s="35" t="s">
        <v>150</v>
      </c>
      <c r="N44" s="34">
        <v>44805</v>
      </c>
      <c r="O44" s="35" t="s">
        <v>37</v>
      </c>
      <c r="P44" s="112">
        <v>0</v>
      </c>
      <c r="Q44" s="125">
        <v>64</v>
      </c>
      <c r="R44" s="112">
        <f t="shared" ref="R44:R107" si="6">ROUND(P44*Q44,2)</f>
        <v>0</v>
      </c>
      <c r="S44" s="127">
        <v>202304</v>
      </c>
      <c r="T44" s="104" t="s">
        <v>151</v>
      </c>
      <c r="U44" s="104"/>
      <c r="V44" s="104"/>
      <c r="W44" s="104"/>
      <c r="X44" s="131"/>
      <c r="Y44" s="131"/>
    </row>
    <row r="45" s="85" customFormat="1" customHeight="1" spans="1:25">
      <c r="A45" s="21" t="s">
        <v>152</v>
      </c>
      <c r="B45" s="96" t="s">
        <v>26</v>
      </c>
      <c r="C45" s="22" t="s">
        <v>153</v>
      </c>
      <c r="D45" s="96" t="s">
        <v>28</v>
      </c>
      <c r="E45" s="23" t="s">
        <v>154</v>
      </c>
      <c r="F45" s="24" t="s">
        <v>155</v>
      </c>
      <c r="G45" s="24" t="s">
        <v>31</v>
      </c>
      <c r="H45" s="100" t="s">
        <v>156</v>
      </c>
      <c r="I45" s="46" t="e">
        <f>VLOOKUP(H45,'合同高级查询数据-4月返'!A:A,1,FALSE)</f>
        <v>#N/A</v>
      </c>
      <c r="J45" s="47" t="s">
        <v>33</v>
      </c>
      <c r="K45" s="24" t="s">
        <v>157</v>
      </c>
      <c r="L45" s="109" t="s">
        <v>158</v>
      </c>
      <c r="M45" s="49" t="s">
        <v>159</v>
      </c>
      <c r="N45" s="50">
        <v>44660</v>
      </c>
      <c r="O45" s="50" t="s">
        <v>37</v>
      </c>
      <c r="P45" s="105">
        <v>0</v>
      </c>
      <c r="Q45" s="114">
        <v>80</v>
      </c>
      <c r="R45" s="117">
        <f t="shared" si="6"/>
        <v>0</v>
      </c>
      <c r="S45" s="115">
        <v>202304</v>
      </c>
      <c r="T45" s="123" t="s">
        <v>160</v>
      </c>
      <c r="U45" s="97"/>
      <c r="V45" s="132"/>
      <c r="W45" s="132"/>
      <c r="X45" s="116">
        <v>44660</v>
      </c>
      <c r="Y45" s="116">
        <v>44712</v>
      </c>
    </row>
    <row r="46" s="85" customFormat="1" customHeight="1" spans="1:25">
      <c r="A46" s="21" t="s">
        <v>152</v>
      </c>
      <c r="B46" s="96" t="s">
        <v>26</v>
      </c>
      <c r="C46" s="22" t="s">
        <v>153</v>
      </c>
      <c r="D46" s="96" t="s">
        <v>28</v>
      </c>
      <c r="E46" s="23" t="s">
        <v>154</v>
      </c>
      <c r="F46" s="24" t="s">
        <v>155</v>
      </c>
      <c r="G46" s="24" t="s">
        <v>31</v>
      </c>
      <c r="H46" s="100" t="s">
        <v>156</v>
      </c>
      <c r="I46" s="46" t="e">
        <f>VLOOKUP(H46,'合同高级查询数据-4月返'!A:A,1,FALSE)</f>
        <v>#N/A</v>
      </c>
      <c r="J46" s="47" t="s">
        <v>33</v>
      </c>
      <c r="K46" s="24" t="s">
        <v>157</v>
      </c>
      <c r="L46" s="109" t="s">
        <v>158</v>
      </c>
      <c r="M46" s="49" t="s">
        <v>159</v>
      </c>
      <c r="N46" s="50">
        <v>44712</v>
      </c>
      <c r="O46" s="50" t="s">
        <v>37</v>
      </c>
      <c r="P46" s="105">
        <v>0</v>
      </c>
      <c r="Q46" s="114">
        <v>-80</v>
      </c>
      <c r="R46" s="117">
        <f t="shared" si="6"/>
        <v>0</v>
      </c>
      <c r="S46" s="115">
        <v>202304</v>
      </c>
      <c r="T46" s="123" t="s">
        <v>161</v>
      </c>
      <c r="U46" s="97"/>
      <c r="V46" s="132"/>
      <c r="W46" s="132"/>
      <c r="X46" s="116">
        <v>44660</v>
      </c>
      <c r="Y46" s="116">
        <v>44712</v>
      </c>
    </row>
    <row r="47" s="85" customFormat="1" customHeight="1" spans="1:25">
      <c r="A47" s="21" t="s">
        <v>152</v>
      </c>
      <c r="B47" s="96" t="s">
        <v>26</v>
      </c>
      <c r="C47" s="22" t="s">
        <v>153</v>
      </c>
      <c r="D47" s="96" t="s">
        <v>28</v>
      </c>
      <c r="E47" s="23" t="s">
        <v>154</v>
      </c>
      <c r="F47" s="24" t="s">
        <v>155</v>
      </c>
      <c r="G47" s="24" t="s">
        <v>78</v>
      </c>
      <c r="H47" s="100" t="s">
        <v>156</v>
      </c>
      <c r="I47" s="46" t="e">
        <f>VLOOKUP(H47,'合同高级查询数据-4月返'!A:A,1,FALSE)</f>
        <v>#N/A</v>
      </c>
      <c r="J47" s="47" t="s">
        <v>162</v>
      </c>
      <c r="K47" s="24" t="s">
        <v>157</v>
      </c>
      <c r="L47" s="109" t="s">
        <v>158</v>
      </c>
      <c r="M47" s="49" t="s">
        <v>159</v>
      </c>
      <c r="N47" s="50">
        <v>44660</v>
      </c>
      <c r="O47" s="50" t="s">
        <v>163</v>
      </c>
      <c r="P47" s="105">
        <v>0</v>
      </c>
      <c r="Q47" s="114">
        <v>3</v>
      </c>
      <c r="R47" s="117">
        <f t="shared" si="6"/>
        <v>0</v>
      </c>
      <c r="S47" s="115">
        <v>202304</v>
      </c>
      <c r="T47" s="123" t="s">
        <v>164</v>
      </c>
      <c r="U47" s="97"/>
      <c r="V47" s="132"/>
      <c r="W47" s="132"/>
      <c r="X47" s="116">
        <v>44660</v>
      </c>
      <c r="Y47" s="116">
        <v>44712</v>
      </c>
    </row>
    <row r="48" s="85" customFormat="1" customHeight="1" spans="1:25">
      <c r="A48" s="21" t="s">
        <v>152</v>
      </c>
      <c r="B48" s="96" t="s">
        <v>26</v>
      </c>
      <c r="C48" s="22" t="s">
        <v>153</v>
      </c>
      <c r="D48" s="96" t="s">
        <v>28</v>
      </c>
      <c r="E48" s="23" t="s">
        <v>154</v>
      </c>
      <c r="F48" s="24" t="s">
        <v>155</v>
      </c>
      <c r="G48" s="24" t="s">
        <v>78</v>
      </c>
      <c r="H48" s="100" t="s">
        <v>156</v>
      </c>
      <c r="I48" s="46" t="e">
        <f>VLOOKUP(H48,'合同高级查询数据-4月返'!A:A,1,FALSE)</f>
        <v>#N/A</v>
      </c>
      <c r="J48" s="47" t="s">
        <v>162</v>
      </c>
      <c r="K48" s="24" t="s">
        <v>157</v>
      </c>
      <c r="L48" s="109" t="s">
        <v>158</v>
      </c>
      <c r="M48" s="49" t="s">
        <v>159</v>
      </c>
      <c r="N48" s="50">
        <v>44712</v>
      </c>
      <c r="O48" s="50" t="s">
        <v>163</v>
      </c>
      <c r="P48" s="105">
        <v>0</v>
      </c>
      <c r="Q48" s="114">
        <v>-3</v>
      </c>
      <c r="R48" s="117">
        <f t="shared" si="6"/>
        <v>0</v>
      </c>
      <c r="S48" s="115">
        <v>202304</v>
      </c>
      <c r="T48" s="123" t="s">
        <v>165</v>
      </c>
      <c r="U48" s="97"/>
      <c r="V48" s="132"/>
      <c r="W48" s="132"/>
      <c r="X48" s="116">
        <v>44660</v>
      </c>
      <c r="Y48" s="116">
        <v>44712</v>
      </c>
    </row>
    <row r="49" s="86" customFormat="1" customHeight="1" spans="1:25">
      <c r="A49" s="101" t="s">
        <v>25</v>
      </c>
      <c r="B49" s="102" t="s">
        <v>26</v>
      </c>
      <c r="C49" s="35" t="s">
        <v>153</v>
      </c>
      <c r="D49" s="102" t="s">
        <v>28</v>
      </c>
      <c r="E49" s="13" t="s">
        <v>154</v>
      </c>
      <c r="F49" s="11" t="s">
        <v>155</v>
      </c>
      <c r="G49" s="11" t="s">
        <v>31</v>
      </c>
      <c r="H49" s="103" t="s">
        <v>166</v>
      </c>
      <c r="I49" s="30" t="e">
        <f>VLOOKUP(H49,'合同高级查询数据-4月返'!A:A,1,FALSE)</f>
        <v>#N/A</v>
      </c>
      <c r="J49" s="31" t="s">
        <v>33</v>
      </c>
      <c r="K49" s="11" t="s">
        <v>157</v>
      </c>
      <c r="L49" s="32" t="s">
        <v>167</v>
      </c>
      <c r="M49" s="113" t="s">
        <v>168</v>
      </c>
      <c r="N49" s="34">
        <v>44658</v>
      </c>
      <c r="O49" s="34" t="s">
        <v>37</v>
      </c>
      <c r="P49" s="112">
        <v>0</v>
      </c>
      <c r="Q49" s="125">
        <v>160</v>
      </c>
      <c r="R49" s="126">
        <f t="shared" si="6"/>
        <v>0</v>
      </c>
      <c r="S49" s="127">
        <v>202304</v>
      </c>
      <c r="T49" s="60" t="s">
        <v>169</v>
      </c>
      <c r="U49" s="104"/>
      <c r="V49" s="133"/>
      <c r="W49" s="133"/>
      <c r="X49" s="131"/>
      <c r="Y49" s="131"/>
    </row>
    <row r="50" s="86" customFormat="1" customHeight="1" spans="1:25">
      <c r="A50" s="101" t="s">
        <v>25</v>
      </c>
      <c r="B50" s="102" t="s">
        <v>26</v>
      </c>
      <c r="C50" s="35" t="s">
        <v>153</v>
      </c>
      <c r="D50" s="102" t="s">
        <v>28</v>
      </c>
      <c r="E50" s="13" t="s">
        <v>154</v>
      </c>
      <c r="F50" s="11" t="s">
        <v>155</v>
      </c>
      <c r="G50" s="11" t="s">
        <v>78</v>
      </c>
      <c r="H50" s="103" t="s">
        <v>166</v>
      </c>
      <c r="I50" s="30" t="e">
        <f>VLOOKUP(H50,'合同高级查询数据-4月返'!A:A,1,FALSE)</f>
        <v>#N/A</v>
      </c>
      <c r="J50" s="31" t="s">
        <v>162</v>
      </c>
      <c r="K50" s="11" t="s">
        <v>157</v>
      </c>
      <c r="L50" s="32" t="s">
        <v>167</v>
      </c>
      <c r="M50" s="113" t="s">
        <v>168</v>
      </c>
      <c r="N50" s="34">
        <v>44658</v>
      </c>
      <c r="O50" s="34" t="s">
        <v>163</v>
      </c>
      <c r="P50" s="112">
        <v>0</v>
      </c>
      <c r="Q50" s="125">
        <v>6</v>
      </c>
      <c r="R50" s="126">
        <f t="shared" si="6"/>
        <v>0</v>
      </c>
      <c r="S50" s="127">
        <v>202304</v>
      </c>
      <c r="T50" s="60" t="s">
        <v>170</v>
      </c>
      <c r="U50" s="104"/>
      <c r="V50" s="133"/>
      <c r="W50" s="133"/>
      <c r="X50" s="131"/>
      <c r="Y50" s="131"/>
    </row>
    <row r="51" s="86" customFormat="1" customHeight="1" spans="1:25">
      <c r="A51" s="101" t="s">
        <v>25</v>
      </c>
      <c r="B51" s="102" t="s">
        <v>26</v>
      </c>
      <c r="C51" s="35" t="s">
        <v>153</v>
      </c>
      <c r="D51" s="102" t="s">
        <v>28</v>
      </c>
      <c r="E51" s="13" t="s">
        <v>154</v>
      </c>
      <c r="F51" s="11" t="s">
        <v>155</v>
      </c>
      <c r="G51" s="11" t="s">
        <v>31</v>
      </c>
      <c r="H51" s="103" t="s">
        <v>171</v>
      </c>
      <c r="I51" s="30" t="e">
        <f>VLOOKUP(H51,'合同高级查询数据-4月返'!A:A,1,FALSE)</f>
        <v>#N/A</v>
      </c>
      <c r="J51" s="31" t="s">
        <v>33</v>
      </c>
      <c r="K51" s="11" t="s">
        <v>157</v>
      </c>
      <c r="L51" s="32" t="s">
        <v>172</v>
      </c>
      <c r="M51" s="113" t="s">
        <v>173</v>
      </c>
      <c r="N51" s="34">
        <v>44624</v>
      </c>
      <c r="O51" s="34" t="s">
        <v>37</v>
      </c>
      <c r="P51" s="112">
        <v>0</v>
      </c>
      <c r="Q51" s="125">
        <v>80</v>
      </c>
      <c r="R51" s="126">
        <f t="shared" si="6"/>
        <v>0</v>
      </c>
      <c r="S51" s="127">
        <v>202304</v>
      </c>
      <c r="T51" s="60" t="s">
        <v>174</v>
      </c>
      <c r="U51" s="104"/>
      <c r="V51" s="133"/>
      <c r="W51" s="133"/>
      <c r="X51" s="131"/>
      <c r="Y51" s="131"/>
    </row>
    <row r="52" s="86" customFormat="1" customHeight="1" spans="1:25">
      <c r="A52" s="101" t="s">
        <v>25</v>
      </c>
      <c r="B52" s="102" t="s">
        <v>26</v>
      </c>
      <c r="C52" s="35" t="s">
        <v>153</v>
      </c>
      <c r="D52" s="102" t="s">
        <v>28</v>
      </c>
      <c r="E52" s="13" t="s">
        <v>154</v>
      </c>
      <c r="F52" s="11" t="s">
        <v>155</v>
      </c>
      <c r="G52" s="11" t="s">
        <v>78</v>
      </c>
      <c r="H52" s="103" t="s">
        <v>171</v>
      </c>
      <c r="I52" s="30" t="e">
        <f>VLOOKUP(H52,'合同高级查询数据-4月返'!A:A,1,FALSE)</f>
        <v>#N/A</v>
      </c>
      <c r="J52" s="31" t="s">
        <v>162</v>
      </c>
      <c r="K52" s="11" t="s">
        <v>157</v>
      </c>
      <c r="L52" s="32" t="s">
        <v>172</v>
      </c>
      <c r="M52" s="113" t="s">
        <v>173</v>
      </c>
      <c r="N52" s="34">
        <v>44624</v>
      </c>
      <c r="O52" s="34" t="s">
        <v>163</v>
      </c>
      <c r="P52" s="112">
        <v>0</v>
      </c>
      <c r="Q52" s="125">
        <v>3</v>
      </c>
      <c r="R52" s="126">
        <f t="shared" si="6"/>
        <v>0</v>
      </c>
      <c r="S52" s="127">
        <v>202304</v>
      </c>
      <c r="T52" s="60" t="s">
        <v>175</v>
      </c>
      <c r="U52" s="104"/>
      <c r="V52" s="133"/>
      <c r="W52" s="133"/>
      <c r="X52" s="131"/>
      <c r="Y52" s="131"/>
    </row>
    <row r="53" s="86" customFormat="1" customHeight="1" spans="1:25">
      <c r="A53" s="101" t="s">
        <v>25</v>
      </c>
      <c r="B53" s="102" t="s">
        <v>26</v>
      </c>
      <c r="C53" s="35" t="s">
        <v>153</v>
      </c>
      <c r="D53" s="102" t="s">
        <v>28</v>
      </c>
      <c r="E53" s="13" t="s">
        <v>154</v>
      </c>
      <c r="F53" s="11" t="s">
        <v>155</v>
      </c>
      <c r="G53" s="11" t="s">
        <v>31</v>
      </c>
      <c r="H53" s="103" t="s">
        <v>176</v>
      </c>
      <c r="I53" s="30" t="e">
        <f>VLOOKUP(H53,'合同高级查询数据-4月返'!A:A,1,FALSE)</f>
        <v>#N/A</v>
      </c>
      <c r="J53" s="31" t="s">
        <v>33</v>
      </c>
      <c r="K53" s="11" t="s">
        <v>157</v>
      </c>
      <c r="L53" s="32" t="s">
        <v>177</v>
      </c>
      <c r="M53" s="113" t="s">
        <v>173</v>
      </c>
      <c r="N53" s="34">
        <v>44652</v>
      </c>
      <c r="O53" s="34" t="s">
        <v>37</v>
      </c>
      <c r="P53" s="112">
        <v>0</v>
      </c>
      <c r="Q53" s="125">
        <v>1</v>
      </c>
      <c r="R53" s="126">
        <f t="shared" si="6"/>
        <v>0</v>
      </c>
      <c r="S53" s="127">
        <v>202304</v>
      </c>
      <c r="T53" s="60" t="s">
        <v>178</v>
      </c>
      <c r="U53" s="104"/>
      <c r="V53" s="133"/>
      <c r="W53" s="133"/>
      <c r="X53" s="131"/>
      <c r="Y53" s="131"/>
    </row>
    <row r="54" s="86" customFormat="1" customHeight="1" spans="1:25">
      <c r="A54" s="101" t="s">
        <v>25</v>
      </c>
      <c r="B54" s="102" t="s">
        <v>26</v>
      </c>
      <c r="C54" s="35" t="s">
        <v>153</v>
      </c>
      <c r="D54" s="102" t="s">
        <v>28</v>
      </c>
      <c r="E54" s="13" t="s">
        <v>154</v>
      </c>
      <c r="F54" s="11" t="s">
        <v>155</v>
      </c>
      <c r="G54" s="11" t="s">
        <v>31</v>
      </c>
      <c r="H54" s="103" t="s">
        <v>176</v>
      </c>
      <c r="I54" s="30" t="e">
        <f>VLOOKUP(H54,'合同高级查询数据-4月返'!A:A,1,FALSE)</f>
        <v>#N/A</v>
      </c>
      <c r="J54" s="31" t="s">
        <v>33</v>
      </c>
      <c r="K54" s="11" t="s">
        <v>157</v>
      </c>
      <c r="L54" s="32" t="s">
        <v>177</v>
      </c>
      <c r="M54" s="113" t="s">
        <v>173</v>
      </c>
      <c r="N54" s="34">
        <v>44652</v>
      </c>
      <c r="O54" s="35" t="s">
        <v>179</v>
      </c>
      <c r="P54" s="112">
        <v>0</v>
      </c>
      <c r="Q54" s="112">
        <v>0</v>
      </c>
      <c r="R54" s="126">
        <f t="shared" si="6"/>
        <v>0</v>
      </c>
      <c r="S54" s="127">
        <v>202304</v>
      </c>
      <c r="T54" s="104" t="s">
        <v>180</v>
      </c>
      <c r="U54" s="104"/>
      <c r="V54" s="133"/>
      <c r="W54" s="133"/>
      <c r="X54" s="131"/>
      <c r="Y54" s="131"/>
    </row>
    <row r="55" s="86" customFormat="1" customHeight="1" spans="1:25">
      <c r="A55" s="101" t="s">
        <v>25</v>
      </c>
      <c r="B55" s="102" t="s">
        <v>26</v>
      </c>
      <c r="C55" s="35" t="s">
        <v>153</v>
      </c>
      <c r="D55" s="102" t="s">
        <v>28</v>
      </c>
      <c r="E55" s="13" t="s">
        <v>154</v>
      </c>
      <c r="F55" s="11" t="s">
        <v>155</v>
      </c>
      <c r="G55" s="11" t="s">
        <v>78</v>
      </c>
      <c r="H55" s="103" t="s">
        <v>176</v>
      </c>
      <c r="I55" s="30" t="e">
        <f>VLOOKUP(H55,'合同高级查询数据-4月返'!A:A,1,FALSE)</f>
        <v>#N/A</v>
      </c>
      <c r="J55" s="31" t="s">
        <v>162</v>
      </c>
      <c r="K55" s="11" t="s">
        <v>157</v>
      </c>
      <c r="L55" s="32" t="s">
        <v>177</v>
      </c>
      <c r="M55" s="113" t="s">
        <v>173</v>
      </c>
      <c r="N55" s="34">
        <v>44652</v>
      </c>
      <c r="O55" s="35" t="s">
        <v>92</v>
      </c>
      <c r="P55" s="112">
        <v>0</v>
      </c>
      <c r="Q55" s="112">
        <v>0</v>
      </c>
      <c r="R55" s="126">
        <f t="shared" si="6"/>
        <v>0</v>
      </c>
      <c r="S55" s="127">
        <v>202304</v>
      </c>
      <c r="T55" s="104" t="s">
        <v>181</v>
      </c>
      <c r="U55" s="104"/>
      <c r="V55" s="133"/>
      <c r="W55" s="133"/>
      <c r="X55" s="131"/>
      <c r="Y55" s="131"/>
    </row>
    <row r="56" s="85" customFormat="1" customHeight="1" spans="1:25">
      <c r="A56" s="22" t="s">
        <v>152</v>
      </c>
      <c r="B56" s="96" t="s">
        <v>26</v>
      </c>
      <c r="C56" s="22" t="s">
        <v>153</v>
      </c>
      <c r="D56" s="96" t="s">
        <v>28</v>
      </c>
      <c r="E56" s="97" t="s">
        <v>154</v>
      </c>
      <c r="F56" s="22" t="s">
        <v>155</v>
      </c>
      <c r="G56" s="24" t="s">
        <v>31</v>
      </c>
      <c r="H56" s="46" t="s">
        <v>182</v>
      </c>
      <c r="I56" s="46" t="e">
        <f>VLOOKUP(H56,'合同高级查询数据-4月返'!A:A,1,FALSE)</f>
        <v>#N/A</v>
      </c>
      <c r="J56" s="47" t="s">
        <v>33</v>
      </c>
      <c r="K56" s="22" t="s">
        <v>183</v>
      </c>
      <c r="L56" s="22" t="s">
        <v>184</v>
      </c>
      <c r="M56" s="22" t="s">
        <v>185</v>
      </c>
      <c r="N56" s="50">
        <v>44682</v>
      </c>
      <c r="O56" s="22" t="s">
        <v>37</v>
      </c>
      <c r="P56" s="105">
        <v>0</v>
      </c>
      <c r="Q56" s="114">
        <v>1</v>
      </c>
      <c r="R56" s="117">
        <f t="shared" si="6"/>
        <v>0</v>
      </c>
      <c r="S56" s="115">
        <v>202304</v>
      </c>
      <c r="T56" s="97" t="s">
        <v>186</v>
      </c>
      <c r="U56" s="97"/>
      <c r="V56" s="97"/>
      <c r="W56" s="97"/>
      <c r="X56" s="116">
        <v>44682</v>
      </c>
      <c r="Y56" s="116">
        <v>45016</v>
      </c>
    </row>
    <row r="57" s="85" customFormat="1" customHeight="1" spans="1:25">
      <c r="A57" s="22" t="s">
        <v>152</v>
      </c>
      <c r="B57" s="96" t="s">
        <v>26</v>
      </c>
      <c r="C57" s="22" t="s">
        <v>153</v>
      </c>
      <c r="D57" s="96" t="s">
        <v>28</v>
      </c>
      <c r="E57" s="97" t="s">
        <v>154</v>
      </c>
      <c r="F57" s="22" t="s">
        <v>155</v>
      </c>
      <c r="G57" s="24" t="s">
        <v>31</v>
      </c>
      <c r="H57" s="46" t="s">
        <v>182</v>
      </c>
      <c r="I57" s="46" t="e">
        <f>VLOOKUP(H57,'合同高级查询数据-4月返'!A:A,1,FALSE)</f>
        <v>#N/A</v>
      </c>
      <c r="J57" s="47" t="s">
        <v>33</v>
      </c>
      <c r="K57" s="22" t="s">
        <v>183</v>
      </c>
      <c r="L57" s="22" t="s">
        <v>184</v>
      </c>
      <c r="M57" s="22" t="s">
        <v>185</v>
      </c>
      <c r="N57" s="50">
        <v>44813</v>
      </c>
      <c r="O57" s="22" t="s">
        <v>37</v>
      </c>
      <c r="P57" s="105">
        <v>0</v>
      </c>
      <c r="Q57" s="114">
        <v>-1</v>
      </c>
      <c r="R57" s="117">
        <f t="shared" si="6"/>
        <v>0</v>
      </c>
      <c r="S57" s="115">
        <v>202304</v>
      </c>
      <c r="T57" s="97" t="s">
        <v>187</v>
      </c>
      <c r="U57" s="97"/>
      <c r="V57" s="97"/>
      <c r="W57" s="97"/>
      <c r="X57" s="116">
        <v>44682</v>
      </c>
      <c r="Y57" s="116">
        <v>45016</v>
      </c>
    </row>
    <row r="58" s="85" customFormat="1" customHeight="1" spans="1:25">
      <c r="A58" s="22" t="s">
        <v>152</v>
      </c>
      <c r="B58" s="96" t="s">
        <v>26</v>
      </c>
      <c r="C58" s="22" t="s">
        <v>153</v>
      </c>
      <c r="D58" s="96" t="s">
        <v>28</v>
      </c>
      <c r="E58" s="97" t="s">
        <v>154</v>
      </c>
      <c r="F58" s="22" t="s">
        <v>155</v>
      </c>
      <c r="G58" s="24" t="s">
        <v>31</v>
      </c>
      <c r="H58" s="46" t="s">
        <v>182</v>
      </c>
      <c r="I58" s="46" t="e">
        <f>VLOOKUP(H58,'合同高级查询数据-4月返'!A:A,1,FALSE)</f>
        <v>#N/A</v>
      </c>
      <c r="J58" s="47" t="s">
        <v>33</v>
      </c>
      <c r="K58" s="22" t="s">
        <v>183</v>
      </c>
      <c r="L58" s="22" t="s">
        <v>184</v>
      </c>
      <c r="M58" s="22" t="s">
        <v>185</v>
      </c>
      <c r="N58" s="50">
        <v>44682</v>
      </c>
      <c r="O58" s="22" t="s">
        <v>179</v>
      </c>
      <c r="P58" s="105">
        <v>0</v>
      </c>
      <c r="Q58" s="105">
        <v>0</v>
      </c>
      <c r="R58" s="117">
        <f t="shared" si="6"/>
        <v>0</v>
      </c>
      <c r="S58" s="115">
        <v>202304</v>
      </c>
      <c r="T58" s="97" t="s">
        <v>180</v>
      </c>
      <c r="U58" s="97"/>
      <c r="V58" s="97"/>
      <c r="W58" s="97"/>
      <c r="X58" s="116">
        <v>44682</v>
      </c>
      <c r="Y58" s="116">
        <v>45016</v>
      </c>
    </row>
    <row r="59" s="85" customFormat="1" customHeight="1" spans="1:25">
      <c r="A59" s="22" t="s">
        <v>152</v>
      </c>
      <c r="B59" s="96" t="s">
        <v>26</v>
      </c>
      <c r="C59" s="22" t="s">
        <v>153</v>
      </c>
      <c r="D59" s="96" t="s">
        <v>28</v>
      </c>
      <c r="E59" s="97" t="s">
        <v>154</v>
      </c>
      <c r="F59" s="22" t="s">
        <v>155</v>
      </c>
      <c r="G59" s="24" t="s">
        <v>78</v>
      </c>
      <c r="H59" s="46" t="s">
        <v>182</v>
      </c>
      <c r="I59" s="46" t="e">
        <f>VLOOKUP(H59,'合同高级查询数据-4月返'!A:A,1,FALSE)</f>
        <v>#N/A</v>
      </c>
      <c r="J59" s="47" t="s">
        <v>162</v>
      </c>
      <c r="K59" s="22" t="s">
        <v>183</v>
      </c>
      <c r="L59" s="22" t="s">
        <v>184</v>
      </c>
      <c r="M59" s="22" t="s">
        <v>185</v>
      </c>
      <c r="N59" s="50">
        <v>44682</v>
      </c>
      <c r="O59" s="22" t="s">
        <v>92</v>
      </c>
      <c r="P59" s="105">
        <v>0</v>
      </c>
      <c r="Q59" s="105">
        <v>0</v>
      </c>
      <c r="R59" s="117">
        <f t="shared" si="6"/>
        <v>0</v>
      </c>
      <c r="S59" s="115">
        <v>202304</v>
      </c>
      <c r="T59" s="97" t="s">
        <v>181</v>
      </c>
      <c r="U59" s="97"/>
      <c r="V59" s="97"/>
      <c r="W59" s="97"/>
      <c r="X59" s="116">
        <v>44682</v>
      </c>
      <c r="Y59" s="116">
        <v>45016</v>
      </c>
    </row>
    <row r="60" s="86" customFormat="1" customHeight="1" spans="1:25">
      <c r="A60" s="35" t="s">
        <v>25</v>
      </c>
      <c r="B60" s="102" t="s">
        <v>26</v>
      </c>
      <c r="C60" s="35" t="s">
        <v>188</v>
      </c>
      <c r="D60" s="102" t="s">
        <v>28</v>
      </c>
      <c r="E60" s="104" t="s">
        <v>154</v>
      </c>
      <c r="F60" s="35" t="s">
        <v>155</v>
      </c>
      <c r="G60" s="11" t="s">
        <v>31</v>
      </c>
      <c r="H60" s="103" t="s">
        <v>189</v>
      </c>
      <c r="I60" s="30" t="e">
        <f>VLOOKUP(H60,'合同高级查询数据-4月返'!A:A,1,FALSE)</f>
        <v>#N/A</v>
      </c>
      <c r="J60" s="31" t="s">
        <v>33</v>
      </c>
      <c r="K60" s="35" t="s">
        <v>190</v>
      </c>
      <c r="L60" s="35" t="s">
        <v>191</v>
      </c>
      <c r="M60" s="35" t="s">
        <v>192</v>
      </c>
      <c r="N60" s="34">
        <v>44682</v>
      </c>
      <c r="O60" s="35" t="s">
        <v>37</v>
      </c>
      <c r="P60" s="112">
        <v>0</v>
      </c>
      <c r="Q60" s="125">
        <v>1</v>
      </c>
      <c r="R60" s="126">
        <f t="shared" si="6"/>
        <v>0</v>
      </c>
      <c r="S60" s="127">
        <v>202304</v>
      </c>
      <c r="T60" s="104" t="s">
        <v>193</v>
      </c>
      <c r="U60" s="104"/>
      <c r="V60" s="104"/>
      <c r="W60" s="104"/>
      <c r="X60" s="131"/>
      <c r="Y60" s="131"/>
    </row>
    <row r="61" s="86" customFormat="1" customHeight="1" spans="1:25">
      <c r="A61" s="35" t="s">
        <v>25</v>
      </c>
      <c r="B61" s="102" t="s">
        <v>26</v>
      </c>
      <c r="C61" s="35" t="s">
        <v>188</v>
      </c>
      <c r="D61" s="102" t="s">
        <v>28</v>
      </c>
      <c r="E61" s="104" t="s">
        <v>154</v>
      </c>
      <c r="F61" s="35" t="s">
        <v>155</v>
      </c>
      <c r="G61" s="11" t="s">
        <v>31</v>
      </c>
      <c r="H61" s="103" t="s">
        <v>189</v>
      </c>
      <c r="I61" s="30" t="e">
        <f>VLOOKUP(H61,'合同高级查询数据-4月返'!A:A,1,FALSE)</f>
        <v>#N/A</v>
      </c>
      <c r="J61" s="31" t="s">
        <v>33</v>
      </c>
      <c r="K61" s="35" t="s">
        <v>190</v>
      </c>
      <c r="L61" s="35" t="s">
        <v>191</v>
      </c>
      <c r="M61" s="35" t="s">
        <v>192</v>
      </c>
      <c r="N61" s="34">
        <v>44682</v>
      </c>
      <c r="O61" s="35" t="s">
        <v>179</v>
      </c>
      <c r="P61" s="112">
        <v>0</v>
      </c>
      <c r="Q61" s="112">
        <v>0</v>
      </c>
      <c r="R61" s="126">
        <f t="shared" si="6"/>
        <v>0</v>
      </c>
      <c r="S61" s="127">
        <v>202304</v>
      </c>
      <c r="T61" s="104" t="s">
        <v>180</v>
      </c>
      <c r="U61" s="104"/>
      <c r="V61" s="104"/>
      <c r="W61" s="104"/>
      <c r="X61" s="131"/>
      <c r="Y61" s="131"/>
    </row>
    <row r="62" s="86" customFormat="1" customHeight="1" spans="1:25">
      <c r="A62" s="35" t="s">
        <v>25</v>
      </c>
      <c r="B62" s="102" t="s">
        <v>26</v>
      </c>
      <c r="C62" s="35" t="s">
        <v>188</v>
      </c>
      <c r="D62" s="102" t="s">
        <v>28</v>
      </c>
      <c r="E62" s="104" t="s">
        <v>154</v>
      </c>
      <c r="F62" s="35" t="s">
        <v>155</v>
      </c>
      <c r="G62" s="11" t="s">
        <v>78</v>
      </c>
      <c r="H62" s="103" t="s">
        <v>189</v>
      </c>
      <c r="I62" s="30" t="e">
        <f>VLOOKUP(H62,'合同高级查询数据-4月返'!A:A,1,FALSE)</f>
        <v>#N/A</v>
      </c>
      <c r="J62" s="31" t="s">
        <v>162</v>
      </c>
      <c r="K62" s="35" t="s">
        <v>190</v>
      </c>
      <c r="L62" s="35" t="s">
        <v>191</v>
      </c>
      <c r="M62" s="35" t="s">
        <v>192</v>
      </c>
      <c r="N62" s="34">
        <v>44682</v>
      </c>
      <c r="O62" s="35" t="s">
        <v>92</v>
      </c>
      <c r="P62" s="112">
        <v>0</v>
      </c>
      <c r="Q62" s="112">
        <v>0</v>
      </c>
      <c r="R62" s="126">
        <f t="shared" si="6"/>
        <v>0</v>
      </c>
      <c r="S62" s="127">
        <v>202304</v>
      </c>
      <c r="T62" s="104" t="s">
        <v>181</v>
      </c>
      <c r="U62" s="104"/>
      <c r="V62" s="104"/>
      <c r="W62" s="104"/>
      <c r="X62" s="131"/>
      <c r="Y62" s="131"/>
    </row>
    <row r="63" s="86" customFormat="1" customHeight="1" spans="1:25">
      <c r="A63" s="35" t="s">
        <v>25</v>
      </c>
      <c r="B63" s="102" t="s">
        <v>26</v>
      </c>
      <c r="C63" s="35" t="s">
        <v>188</v>
      </c>
      <c r="D63" s="102" t="s">
        <v>28</v>
      </c>
      <c r="E63" s="104" t="s">
        <v>154</v>
      </c>
      <c r="F63" s="35" t="s">
        <v>155</v>
      </c>
      <c r="G63" s="11" t="s">
        <v>31</v>
      </c>
      <c r="H63" s="103" t="s">
        <v>189</v>
      </c>
      <c r="I63" s="30" t="e">
        <f>VLOOKUP(H63,'合同高级查询数据-4月返'!A:A,1,FALSE)</f>
        <v>#N/A</v>
      </c>
      <c r="J63" s="31" t="s">
        <v>33</v>
      </c>
      <c r="K63" s="35" t="s">
        <v>190</v>
      </c>
      <c r="L63" s="35" t="s">
        <v>194</v>
      </c>
      <c r="M63" s="35" t="s">
        <v>192</v>
      </c>
      <c r="N63" s="34">
        <v>44682</v>
      </c>
      <c r="O63" s="35" t="s">
        <v>37</v>
      </c>
      <c r="P63" s="112">
        <v>0</v>
      </c>
      <c r="Q63" s="125">
        <v>1</v>
      </c>
      <c r="R63" s="126">
        <f t="shared" si="6"/>
        <v>0</v>
      </c>
      <c r="S63" s="127">
        <v>202304</v>
      </c>
      <c r="T63" s="104" t="s">
        <v>195</v>
      </c>
      <c r="U63" s="104"/>
      <c r="V63" s="104"/>
      <c r="W63" s="104"/>
      <c r="X63" s="131"/>
      <c r="Y63" s="131"/>
    </row>
    <row r="64" s="86" customFormat="1" customHeight="1" spans="1:25">
      <c r="A64" s="35" t="s">
        <v>25</v>
      </c>
      <c r="B64" s="102" t="s">
        <v>26</v>
      </c>
      <c r="C64" s="35" t="s">
        <v>188</v>
      </c>
      <c r="D64" s="102" t="s">
        <v>28</v>
      </c>
      <c r="E64" s="104" t="s">
        <v>154</v>
      </c>
      <c r="F64" s="35" t="s">
        <v>155</v>
      </c>
      <c r="G64" s="11" t="s">
        <v>31</v>
      </c>
      <c r="H64" s="103" t="s">
        <v>189</v>
      </c>
      <c r="I64" s="30" t="e">
        <f>VLOOKUP(H64,'合同高级查询数据-4月返'!A:A,1,FALSE)</f>
        <v>#N/A</v>
      </c>
      <c r="J64" s="31" t="s">
        <v>33</v>
      </c>
      <c r="K64" s="35" t="s">
        <v>190</v>
      </c>
      <c r="L64" s="35" t="s">
        <v>194</v>
      </c>
      <c r="M64" s="35" t="s">
        <v>192</v>
      </c>
      <c r="N64" s="34">
        <v>44682</v>
      </c>
      <c r="O64" s="35" t="s">
        <v>179</v>
      </c>
      <c r="P64" s="112">
        <v>0</v>
      </c>
      <c r="Q64" s="112">
        <v>0</v>
      </c>
      <c r="R64" s="126">
        <f t="shared" si="6"/>
        <v>0</v>
      </c>
      <c r="S64" s="127">
        <v>202304</v>
      </c>
      <c r="T64" s="104" t="s">
        <v>180</v>
      </c>
      <c r="U64" s="104"/>
      <c r="V64" s="104"/>
      <c r="W64" s="104"/>
      <c r="X64" s="131"/>
      <c r="Y64" s="131"/>
    </row>
    <row r="65" s="86" customFormat="1" customHeight="1" spans="1:25">
      <c r="A65" s="35" t="s">
        <v>25</v>
      </c>
      <c r="B65" s="102" t="s">
        <v>26</v>
      </c>
      <c r="C65" s="35" t="s">
        <v>188</v>
      </c>
      <c r="D65" s="102" t="s">
        <v>28</v>
      </c>
      <c r="E65" s="104" t="s">
        <v>154</v>
      </c>
      <c r="F65" s="35" t="s">
        <v>155</v>
      </c>
      <c r="G65" s="11" t="s">
        <v>78</v>
      </c>
      <c r="H65" s="103" t="s">
        <v>189</v>
      </c>
      <c r="I65" s="30" t="e">
        <f>VLOOKUP(H65,'合同高级查询数据-4月返'!A:A,1,FALSE)</f>
        <v>#N/A</v>
      </c>
      <c r="J65" s="31" t="s">
        <v>162</v>
      </c>
      <c r="K65" s="35" t="s">
        <v>190</v>
      </c>
      <c r="L65" s="35" t="s">
        <v>194</v>
      </c>
      <c r="M65" s="35" t="s">
        <v>192</v>
      </c>
      <c r="N65" s="34">
        <v>44682</v>
      </c>
      <c r="O65" s="35" t="s">
        <v>92</v>
      </c>
      <c r="P65" s="112">
        <v>0</v>
      </c>
      <c r="Q65" s="112">
        <v>0</v>
      </c>
      <c r="R65" s="126">
        <f t="shared" si="6"/>
        <v>0</v>
      </c>
      <c r="S65" s="127">
        <v>202304</v>
      </c>
      <c r="T65" s="104" t="s">
        <v>181</v>
      </c>
      <c r="U65" s="104"/>
      <c r="V65" s="104"/>
      <c r="W65" s="104"/>
      <c r="X65" s="131"/>
      <c r="Y65" s="131"/>
    </row>
    <row r="66" s="86" customFormat="1" customHeight="1" spans="1:25">
      <c r="A66" s="11" t="s">
        <v>25</v>
      </c>
      <c r="B66" s="102" t="s">
        <v>26</v>
      </c>
      <c r="C66" s="35" t="s">
        <v>196</v>
      </c>
      <c r="D66" s="102" t="s">
        <v>28</v>
      </c>
      <c r="E66" s="104" t="s">
        <v>154</v>
      </c>
      <c r="F66" s="35" t="s">
        <v>155</v>
      </c>
      <c r="G66" s="11" t="s">
        <v>31</v>
      </c>
      <c r="H66" s="103" t="s">
        <v>197</v>
      </c>
      <c r="I66" s="30" t="e">
        <f>VLOOKUP(H66,'合同高级查询数据-4月返'!A:A,1,FALSE)</f>
        <v>#N/A</v>
      </c>
      <c r="J66" s="31" t="s">
        <v>33</v>
      </c>
      <c r="K66" s="35" t="s">
        <v>198</v>
      </c>
      <c r="L66" s="35" t="s">
        <v>199</v>
      </c>
      <c r="M66" s="35" t="s">
        <v>200</v>
      </c>
      <c r="N66" s="34">
        <v>44682</v>
      </c>
      <c r="O66" s="35" t="s">
        <v>37</v>
      </c>
      <c r="P66" s="112">
        <v>0</v>
      </c>
      <c r="Q66" s="125">
        <v>1</v>
      </c>
      <c r="R66" s="126">
        <f t="shared" si="6"/>
        <v>0</v>
      </c>
      <c r="S66" s="127">
        <v>202304</v>
      </c>
      <c r="T66" s="104" t="s">
        <v>201</v>
      </c>
      <c r="U66" s="104"/>
      <c r="V66" s="104"/>
      <c r="W66" s="104"/>
      <c r="X66" s="131"/>
      <c r="Y66" s="131"/>
    </row>
    <row r="67" s="86" customFormat="1" customHeight="1" spans="1:25">
      <c r="A67" s="11" t="s">
        <v>25</v>
      </c>
      <c r="B67" s="102" t="s">
        <v>26</v>
      </c>
      <c r="C67" s="35" t="s">
        <v>196</v>
      </c>
      <c r="D67" s="102" t="s">
        <v>28</v>
      </c>
      <c r="E67" s="104" t="s">
        <v>154</v>
      </c>
      <c r="F67" s="35" t="s">
        <v>155</v>
      </c>
      <c r="G67" s="11" t="s">
        <v>31</v>
      </c>
      <c r="H67" s="103" t="s">
        <v>197</v>
      </c>
      <c r="I67" s="30" t="e">
        <f>VLOOKUP(H67,'合同高级查询数据-4月返'!A:A,1,FALSE)</f>
        <v>#N/A</v>
      </c>
      <c r="J67" s="31" t="s">
        <v>33</v>
      </c>
      <c r="K67" s="35" t="s">
        <v>198</v>
      </c>
      <c r="L67" s="35" t="s">
        <v>199</v>
      </c>
      <c r="M67" s="35" t="s">
        <v>200</v>
      </c>
      <c r="N67" s="34">
        <v>44682</v>
      </c>
      <c r="O67" s="35" t="s">
        <v>179</v>
      </c>
      <c r="P67" s="112">
        <v>0</v>
      </c>
      <c r="Q67" s="112">
        <v>0</v>
      </c>
      <c r="R67" s="126">
        <f t="shared" si="6"/>
        <v>0</v>
      </c>
      <c r="S67" s="127">
        <v>202304</v>
      </c>
      <c r="T67" s="104" t="s">
        <v>180</v>
      </c>
      <c r="U67" s="104"/>
      <c r="V67" s="104"/>
      <c r="W67" s="104"/>
      <c r="X67" s="131"/>
      <c r="Y67" s="131"/>
    </row>
    <row r="68" s="86" customFormat="1" customHeight="1" spans="1:25">
      <c r="A68" s="11" t="s">
        <v>25</v>
      </c>
      <c r="B68" s="102" t="s">
        <v>26</v>
      </c>
      <c r="C68" s="35" t="s">
        <v>196</v>
      </c>
      <c r="D68" s="102" t="s">
        <v>28</v>
      </c>
      <c r="E68" s="104" t="s">
        <v>154</v>
      </c>
      <c r="F68" s="35" t="s">
        <v>155</v>
      </c>
      <c r="G68" s="11" t="s">
        <v>78</v>
      </c>
      <c r="H68" s="103" t="s">
        <v>197</v>
      </c>
      <c r="I68" s="30" t="e">
        <f>VLOOKUP(H68,'合同高级查询数据-4月返'!A:A,1,FALSE)</f>
        <v>#N/A</v>
      </c>
      <c r="J68" s="31" t="s">
        <v>162</v>
      </c>
      <c r="K68" s="35" t="s">
        <v>198</v>
      </c>
      <c r="L68" s="35" t="s">
        <v>199</v>
      </c>
      <c r="M68" s="35" t="s">
        <v>200</v>
      </c>
      <c r="N68" s="34">
        <v>44682</v>
      </c>
      <c r="O68" s="35" t="s">
        <v>92</v>
      </c>
      <c r="P68" s="112">
        <v>0</v>
      </c>
      <c r="Q68" s="112">
        <v>0</v>
      </c>
      <c r="R68" s="126">
        <f t="shared" si="6"/>
        <v>0</v>
      </c>
      <c r="S68" s="127">
        <v>202304</v>
      </c>
      <c r="T68" s="104" t="s">
        <v>181</v>
      </c>
      <c r="U68" s="104"/>
      <c r="V68" s="104"/>
      <c r="W68" s="104"/>
      <c r="X68" s="131"/>
      <c r="Y68" s="131"/>
    </row>
    <row r="69" s="85" customFormat="1" customHeight="1" spans="1:25">
      <c r="A69" s="21" t="s">
        <v>109</v>
      </c>
      <c r="B69" s="96" t="s">
        <v>26</v>
      </c>
      <c r="C69" s="22" t="s">
        <v>44</v>
      </c>
      <c r="D69" s="96" t="s">
        <v>28</v>
      </c>
      <c r="E69" s="23" t="s">
        <v>154</v>
      </c>
      <c r="F69" s="24" t="s">
        <v>155</v>
      </c>
      <c r="G69" s="24" t="s">
        <v>31</v>
      </c>
      <c r="H69" s="100" t="s">
        <v>202</v>
      </c>
      <c r="I69" s="46" t="e">
        <f>VLOOKUP(H69,'合同高级查询数据-4月返'!A:A,1,FALSE)</f>
        <v>#N/A</v>
      </c>
      <c r="J69" s="47" t="s">
        <v>33</v>
      </c>
      <c r="K69" s="24" t="s">
        <v>203</v>
      </c>
      <c r="L69" s="109" t="s">
        <v>204</v>
      </c>
      <c r="M69" s="49" t="s">
        <v>205</v>
      </c>
      <c r="N69" s="50">
        <v>44652</v>
      </c>
      <c r="O69" s="50" t="s">
        <v>37</v>
      </c>
      <c r="P69" s="105">
        <v>0</v>
      </c>
      <c r="Q69" s="114">
        <v>1</v>
      </c>
      <c r="R69" s="117">
        <f t="shared" si="6"/>
        <v>0</v>
      </c>
      <c r="S69" s="115">
        <v>202304</v>
      </c>
      <c r="T69" s="123" t="s">
        <v>206</v>
      </c>
      <c r="U69" s="97"/>
      <c r="V69" s="132"/>
      <c r="W69" s="132"/>
      <c r="X69" s="116">
        <v>44652</v>
      </c>
      <c r="Y69" s="116">
        <v>45016</v>
      </c>
    </row>
    <row r="70" s="85" customFormat="1" customHeight="1" spans="1:25">
      <c r="A70" s="21" t="s">
        <v>109</v>
      </c>
      <c r="B70" s="96" t="s">
        <v>26</v>
      </c>
      <c r="C70" s="22" t="s">
        <v>44</v>
      </c>
      <c r="D70" s="96" t="s">
        <v>28</v>
      </c>
      <c r="E70" s="23" t="s">
        <v>154</v>
      </c>
      <c r="F70" s="24" t="s">
        <v>155</v>
      </c>
      <c r="G70" s="24" t="s">
        <v>31</v>
      </c>
      <c r="H70" s="100" t="s">
        <v>202</v>
      </c>
      <c r="I70" s="46" t="e">
        <f>VLOOKUP(H70,'合同高级查询数据-4月返'!A:A,1,FALSE)</f>
        <v>#N/A</v>
      </c>
      <c r="J70" s="47" t="s">
        <v>33</v>
      </c>
      <c r="K70" s="24" t="s">
        <v>203</v>
      </c>
      <c r="L70" s="109" t="s">
        <v>204</v>
      </c>
      <c r="M70" s="49" t="s">
        <v>205</v>
      </c>
      <c r="N70" s="50">
        <v>44926</v>
      </c>
      <c r="O70" s="50" t="s">
        <v>37</v>
      </c>
      <c r="P70" s="105">
        <v>0</v>
      </c>
      <c r="Q70" s="114">
        <v>-1</v>
      </c>
      <c r="R70" s="117">
        <f t="shared" si="6"/>
        <v>0</v>
      </c>
      <c r="S70" s="115">
        <v>202304</v>
      </c>
      <c r="T70" s="123" t="s">
        <v>206</v>
      </c>
      <c r="U70" s="97"/>
      <c r="V70" s="132"/>
      <c r="W70" s="132"/>
      <c r="X70" s="116">
        <v>44652</v>
      </c>
      <c r="Y70" s="116">
        <v>45016</v>
      </c>
    </row>
    <row r="71" s="85" customFormat="1" customHeight="1" spans="1:25">
      <c r="A71" s="21" t="s">
        <v>109</v>
      </c>
      <c r="B71" s="96" t="s">
        <v>26</v>
      </c>
      <c r="C71" s="22" t="s">
        <v>44</v>
      </c>
      <c r="D71" s="96" t="s">
        <v>28</v>
      </c>
      <c r="E71" s="23" t="s">
        <v>154</v>
      </c>
      <c r="F71" s="24" t="s">
        <v>155</v>
      </c>
      <c r="G71" s="24" t="s">
        <v>31</v>
      </c>
      <c r="H71" s="100" t="s">
        <v>202</v>
      </c>
      <c r="I71" s="46" t="e">
        <f>VLOOKUP(H71,'合同高级查询数据-4月返'!A:A,1,FALSE)</f>
        <v>#N/A</v>
      </c>
      <c r="J71" s="47" t="s">
        <v>33</v>
      </c>
      <c r="K71" s="24" t="s">
        <v>203</v>
      </c>
      <c r="L71" s="109" t="s">
        <v>204</v>
      </c>
      <c r="M71" s="49" t="s">
        <v>205</v>
      </c>
      <c r="N71" s="50">
        <v>44652</v>
      </c>
      <c r="O71" s="22" t="s">
        <v>179</v>
      </c>
      <c r="P71" s="105">
        <v>0</v>
      </c>
      <c r="Q71" s="105">
        <v>0</v>
      </c>
      <c r="R71" s="117">
        <f t="shared" si="6"/>
        <v>0</v>
      </c>
      <c r="S71" s="115">
        <v>202304</v>
      </c>
      <c r="T71" s="97" t="s">
        <v>207</v>
      </c>
      <c r="U71" s="97"/>
      <c r="V71" s="132"/>
      <c r="W71" s="132"/>
      <c r="X71" s="116">
        <v>44652</v>
      </c>
      <c r="Y71" s="116">
        <v>45016</v>
      </c>
    </row>
    <row r="72" s="85" customFormat="1" customHeight="1" spans="1:25">
      <c r="A72" s="21" t="s">
        <v>109</v>
      </c>
      <c r="B72" s="96" t="s">
        <v>26</v>
      </c>
      <c r="C72" s="22" t="s">
        <v>44</v>
      </c>
      <c r="D72" s="96" t="s">
        <v>28</v>
      </c>
      <c r="E72" s="23" t="s">
        <v>154</v>
      </c>
      <c r="F72" s="24" t="s">
        <v>155</v>
      </c>
      <c r="G72" s="24" t="s">
        <v>78</v>
      </c>
      <c r="H72" s="100" t="s">
        <v>202</v>
      </c>
      <c r="I72" s="46" t="e">
        <f>VLOOKUP(H72,'合同高级查询数据-4月返'!A:A,1,FALSE)</f>
        <v>#N/A</v>
      </c>
      <c r="J72" s="47" t="s">
        <v>162</v>
      </c>
      <c r="K72" s="24" t="s">
        <v>203</v>
      </c>
      <c r="L72" s="109" t="s">
        <v>204</v>
      </c>
      <c r="M72" s="49" t="s">
        <v>205</v>
      </c>
      <c r="N72" s="50">
        <v>44652</v>
      </c>
      <c r="O72" s="22" t="s">
        <v>92</v>
      </c>
      <c r="P72" s="105">
        <v>0</v>
      </c>
      <c r="Q72" s="105">
        <v>0</v>
      </c>
      <c r="R72" s="117">
        <f t="shared" si="6"/>
        <v>0</v>
      </c>
      <c r="S72" s="115">
        <v>202304</v>
      </c>
      <c r="T72" s="97" t="s">
        <v>208</v>
      </c>
      <c r="U72" s="97"/>
      <c r="V72" s="132"/>
      <c r="W72" s="132"/>
      <c r="X72" s="116">
        <v>44652</v>
      </c>
      <c r="Y72" s="116">
        <v>45016</v>
      </c>
    </row>
    <row r="73" s="85" customFormat="1" customHeight="1" spans="1:25">
      <c r="A73" s="21" t="s">
        <v>109</v>
      </c>
      <c r="B73" s="96" t="s">
        <v>26</v>
      </c>
      <c r="C73" s="22" t="s">
        <v>44</v>
      </c>
      <c r="D73" s="96" t="s">
        <v>28</v>
      </c>
      <c r="E73" s="23" t="s">
        <v>154</v>
      </c>
      <c r="F73" s="24" t="s">
        <v>155</v>
      </c>
      <c r="G73" s="24" t="s">
        <v>31</v>
      </c>
      <c r="H73" s="100" t="s">
        <v>209</v>
      </c>
      <c r="I73" s="46" t="e">
        <f>VLOOKUP(H73,'合同高级查询数据-4月返'!A:A,1,FALSE)</f>
        <v>#N/A</v>
      </c>
      <c r="J73" s="47" t="s">
        <v>33</v>
      </c>
      <c r="K73" s="24" t="s">
        <v>203</v>
      </c>
      <c r="L73" s="109" t="s">
        <v>210</v>
      </c>
      <c r="M73" s="49" t="s">
        <v>205</v>
      </c>
      <c r="N73" s="50">
        <v>44652</v>
      </c>
      <c r="O73" s="50" t="s">
        <v>37</v>
      </c>
      <c r="P73" s="105">
        <v>0</v>
      </c>
      <c r="Q73" s="114">
        <v>1</v>
      </c>
      <c r="R73" s="117">
        <f t="shared" si="6"/>
        <v>0</v>
      </c>
      <c r="S73" s="115">
        <v>202304</v>
      </c>
      <c r="T73" s="123" t="s">
        <v>211</v>
      </c>
      <c r="U73" s="97"/>
      <c r="V73" s="132"/>
      <c r="W73" s="132"/>
      <c r="X73" s="116">
        <v>44652</v>
      </c>
      <c r="Y73" s="116">
        <v>45016</v>
      </c>
    </row>
    <row r="74" s="85" customFormat="1" customHeight="1" spans="1:25">
      <c r="A74" s="21" t="s">
        <v>109</v>
      </c>
      <c r="B74" s="96" t="s">
        <v>26</v>
      </c>
      <c r="C74" s="22" t="s">
        <v>44</v>
      </c>
      <c r="D74" s="96" t="s">
        <v>28</v>
      </c>
      <c r="E74" s="23" t="s">
        <v>154</v>
      </c>
      <c r="F74" s="24" t="s">
        <v>155</v>
      </c>
      <c r="G74" s="24" t="s">
        <v>31</v>
      </c>
      <c r="H74" s="100" t="s">
        <v>209</v>
      </c>
      <c r="I74" s="46" t="e">
        <f>VLOOKUP(H74,'合同高级查询数据-4月返'!A:A,1,FALSE)</f>
        <v>#N/A</v>
      </c>
      <c r="J74" s="47" t="s">
        <v>33</v>
      </c>
      <c r="K74" s="24" t="s">
        <v>203</v>
      </c>
      <c r="L74" s="109" t="s">
        <v>210</v>
      </c>
      <c r="M74" s="49" t="s">
        <v>205</v>
      </c>
      <c r="N74" s="50">
        <v>44818</v>
      </c>
      <c r="O74" s="50" t="s">
        <v>37</v>
      </c>
      <c r="P74" s="105">
        <v>0</v>
      </c>
      <c r="Q74" s="114">
        <v>-1</v>
      </c>
      <c r="R74" s="117">
        <f t="shared" si="6"/>
        <v>0</v>
      </c>
      <c r="S74" s="115">
        <v>202304</v>
      </c>
      <c r="T74" s="123" t="s">
        <v>212</v>
      </c>
      <c r="U74" s="97"/>
      <c r="V74" s="132"/>
      <c r="W74" s="132"/>
      <c r="X74" s="116">
        <v>44652</v>
      </c>
      <c r="Y74" s="116">
        <v>45016</v>
      </c>
    </row>
    <row r="75" s="85" customFormat="1" customHeight="1" spans="1:25">
      <c r="A75" s="21" t="s">
        <v>109</v>
      </c>
      <c r="B75" s="96" t="s">
        <v>26</v>
      </c>
      <c r="C75" s="22" t="s">
        <v>44</v>
      </c>
      <c r="D75" s="96" t="s">
        <v>28</v>
      </c>
      <c r="E75" s="23" t="s">
        <v>154</v>
      </c>
      <c r="F75" s="24" t="s">
        <v>155</v>
      </c>
      <c r="G75" s="24" t="s">
        <v>31</v>
      </c>
      <c r="H75" s="100" t="s">
        <v>209</v>
      </c>
      <c r="I75" s="46" t="e">
        <f>VLOOKUP(H75,'合同高级查询数据-4月返'!A:A,1,FALSE)</f>
        <v>#N/A</v>
      </c>
      <c r="J75" s="47" t="s">
        <v>33</v>
      </c>
      <c r="K75" s="24" t="s">
        <v>203</v>
      </c>
      <c r="L75" s="109" t="s">
        <v>210</v>
      </c>
      <c r="M75" s="49" t="s">
        <v>205</v>
      </c>
      <c r="N75" s="50">
        <v>44652</v>
      </c>
      <c r="O75" s="22" t="s">
        <v>179</v>
      </c>
      <c r="P75" s="105">
        <v>0</v>
      </c>
      <c r="Q75" s="105">
        <v>0</v>
      </c>
      <c r="R75" s="117">
        <f t="shared" si="6"/>
        <v>0</v>
      </c>
      <c r="S75" s="115">
        <v>202304</v>
      </c>
      <c r="T75" s="97" t="s">
        <v>180</v>
      </c>
      <c r="U75" s="97"/>
      <c r="V75" s="132"/>
      <c r="W75" s="132"/>
      <c r="X75" s="116">
        <v>44652</v>
      </c>
      <c r="Y75" s="116">
        <v>45016</v>
      </c>
    </row>
    <row r="76" s="85" customFormat="1" customHeight="1" spans="1:25">
      <c r="A76" s="21" t="s">
        <v>109</v>
      </c>
      <c r="B76" s="96" t="s">
        <v>26</v>
      </c>
      <c r="C76" s="22" t="s">
        <v>44</v>
      </c>
      <c r="D76" s="96" t="s">
        <v>28</v>
      </c>
      <c r="E76" s="23" t="s">
        <v>154</v>
      </c>
      <c r="F76" s="24" t="s">
        <v>155</v>
      </c>
      <c r="G76" s="24" t="s">
        <v>78</v>
      </c>
      <c r="H76" s="100" t="s">
        <v>209</v>
      </c>
      <c r="I76" s="46" t="e">
        <f>VLOOKUP(H76,'合同高级查询数据-4月返'!A:A,1,FALSE)</f>
        <v>#N/A</v>
      </c>
      <c r="J76" s="47" t="s">
        <v>162</v>
      </c>
      <c r="K76" s="24" t="s">
        <v>203</v>
      </c>
      <c r="L76" s="109" t="s">
        <v>210</v>
      </c>
      <c r="M76" s="49" t="s">
        <v>205</v>
      </c>
      <c r="N76" s="50">
        <v>44652</v>
      </c>
      <c r="O76" s="22" t="s">
        <v>92</v>
      </c>
      <c r="P76" s="105">
        <v>0</v>
      </c>
      <c r="Q76" s="105">
        <v>0</v>
      </c>
      <c r="R76" s="117">
        <f t="shared" si="6"/>
        <v>0</v>
      </c>
      <c r="S76" s="115">
        <v>202304</v>
      </c>
      <c r="T76" s="97" t="s">
        <v>181</v>
      </c>
      <c r="U76" s="97"/>
      <c r="V76" s="132"/>
      <c r="W76" s="132"/>
      <c r="X76" s="116">
        <v>44652</v>
      </c>
      <c r="Y76" s="116">
        <v>45016</v>
      </c>
    </row>
    <row r="77" s="85" customFormat="1" customHeight="1" spans="1:25">
      <c r="A77" s="24" t="s">
        <v>109</v>
      </c>
      <c r="B77" s="96" t="s">
        <v>26</v>
      </c>
      <c r="C77" s="22" t="s">
        <v>44</v>
      </c>
      <c r="D77" s="96" t="s">
        <v>28</v>
      </c>
      <c r="E77" s="97" t="s">
        <v>154</v>
      </c>
      <c r="F77" s="22" t="s">
        <v>155</v>
      </c>
      <c r="G77" s="24" t="s">
        <v>31</v>
      </c>
      <c r="H77" s="100" t="s">
        <v>209</v>
      </c>
      <c r="I77" s="46" t="e">
        <f>VLOOKUP(H77,'合同高级查询数据-4月返'!A:A,1,FALSE)</f>
        <v>#N/A</v>
      </c>
      <c r="J77" s="47" t="s">
        <v>33</v>
      </c>
      <c r="K77" s="22" t="s">
        <v>203</v>
      </c>
      <c r="L77" s="22" t="s">
        <v>213</v>
      </c>
      <c r="M77" s="22" t="s">
        <v>205</v>
      </c>
      <c r="N77" s="50">
        <v>44818</v>
      </c>
      <c r="O77" s="22" t="s">
        <v>37</v>
      </c>
      <c r="P77" s="105"/>
      <c r="Q77" s="114">
        <v>1</v>
      </c>
      <c r="R77" s="117">
        <f t="shared" si="6"/>
        <v>0</v>
      </c>
      <c r="S77" s="115">
        <v>202304</v>
      </c>
      <c r="T77" s="97" t="s">
        <v>214</v>
      </c>
      <c r="U77" s="97"/>
      <c r="V77" s="132"/>
      <c r="W77" s="132"/>
      <c r="X77" s="116">
        <v>44652</v>
      </c>
      <c r="Y77" s="116">
        <v>45016</v>
      </c>
    </row>
    <row r="78" s="85" customFormat="1" customHeight="1" spans="1:25">
      <c r="A78" s="24" t="s">
        <v>109</v>
      </c>
      <c r="B78" s="96" t="s">
        <v>26</v>
      </c>
      <c r="C78" s="22" t="s">
        <v>44</v>
      </c>
      <c r="D78" s="96" t="s">
        <v>28</v>
      </c>
      <c r="E78" s="97" t="s">
        <v>154</v>
      </c>
      <c r="F78" s="22" t="s">
        <v>155</v>
      </c>
      <c r="G78" s="24" t="s">
        <v>31</v>
      </c>
      <c r="H78" s="100" t="s">
        <v>209</v>
      </c>
      <c r="I78" s="46" t="e">
        <f>VLOOKUP(H78,'合同高级查询数据-4月返'!A:A,1,FALSE)</f>
        <v>#N/A</v>
      </c>
      <c r="J78" s="47" t="s">
        <v>33</v>
      </c>
      <c r="K78" s="22" t="s">
        <v>203</v>
      </c>
      <c r="L78" s="22" t="s">
        <v>213</v>
      </c>
      <c r="M78" s="22" t="s">
        <v>205</v>
      </c>
      <c r="N78" s="50">
        <v>44926</v>
      </c>
      <c r="O78" s="22" t="s">
        <v>37</v>
      </c>
      <c r="P78" s="105"/>
      <c r="Q78" s="114">
        <v>-1</v>
      </c>
      <c r="R78" s="117">
        <f t="shared" si="6"/>
        <v>0</v>
      </c>
      <c r="S78" s="115">
        <v>202304</v>
      </c>
      <c r="T78" s="97" t="s">
        <v>215</v>
      </c>
      <c r="U78" s="97"/>
      <c r="V78" s="97"/>
      <c r="W78" s="97"/>
      <c r="X78" s="116">
        <v>44652</v>
      </c>
      <c r="Y78" s="116">
        <v>45016</v>
      </c>
    </row>
    <row r="79" s="86" customFormat="1" customHeight="1" spans="1:25">
      <c r="A79" s="11" t="s">
        <v>109</v>
      </c>
      <c r="B79" s="102" t="s">
        <v>26</v>
      </c>
      <c r="C79" s="35" t="s">
        <v>216</v>
      </c>
      <c r="D79" s="102" t="s">
        <v>28</v>
      </c>
      <c r="E79" s="104" t="s">
        <v>154</v>
      </c>
      <c r="F79" s="35" t="s">
        <v>155</v>
      </c>
      <c r="G79" s="11" t="s">
        <v>31</v>
      </c>
      <c r="H79" s="104" t="s">
        <v>217</v>
      </c>
      <c r="I79" s="30" t="e">
        <f>VLOOKUP(H79,'合同高级查询数据-4月返'!A:A,1,FALSE)</f>
        <v>#N/A</v>
      </c>
      <c r="J79" s="31" t="s">
        <v>33</v>
      </c>
      <c r="K79" s="35" t="s">
        <v>218</v>
      </c>
      <c r="L79" s="35" t="s">
        <v>219</v>
      </c>
      <c r="M79" s="35" t="s">
        <v>220</v>
      </c>
      <c r="N79" s="34">
        <v>44774</v>
      </c>
      <c r="O79" s="35" t="s">
        <v>37</v>
      </c>
      <c r="P79" s="138">
        <v>0</v>
      </c>
      <c r="Q79" s="125">
        <v>1</v>
      </c>
      <c r="R79" s="126">
        <f t="shared" si="6"/>
        <v>0</v>
      </c>
      <c r="S79" s="127">
        <v>202304</v>
      </c>
      <c r="T79" s="104" t="s">
        <v>221</v>
      </c>
      <c r="U79" s="104"/>
      <c r="V79" s="104"/>
      <c r="W79" s="104"/>
      <c r="X79" s="131"/>
      <c r="Y79" s="131"/>
    </row>
    <row r="80" s="86" customFormat="1" customHeight="1" spans="1:25">
      <c r="A80" s="11" t="s">
        <v>152</v>
      </c>
      <c r="B80" s="102" t="s">
        <v>26</v>
      </c>
      <c r="C80" s="35" t="s">
        <v>39</v>
      </c>
      <c r="D80" s="102" t="s">
        <v>28</v>
      </c>
      <c r="E80" s="104" t="s">
        <v>154</v>
      </c>
      <c r="F80" s="35" t="s">
        <v>155</v>
      </c>
      <c r="G80" s="11" t="s">
        <v>31</v>
      </c>
      <c r="H80" s="104" t="s">
        <v>222</v>
      </c>
      <c r="I80" s="30" t="e">
        <f>VLOOKUP(H80,'合同高级查询数据-4月返'!A:A,1,FALSE)</f>
        <v>#N/A</v>
      </c>
      <c r="J80" s="31" t="s">
        <v>33</v>
      </c>
      <c r="K80" s="35" t="s">
        <v>223</v>
      </c>
      <c r="L80" s="35" t="s">
        <v>224</v>
      </c>
      <c r="M80" s="35" t="s">
        <v>225</v>
      </c>
      <c r="N80" s="34">
        <v>44774</v>
      </c>
      <c r="O80" s="35" t="s">
        <v>37</v>
      </c>
      <c r="P80" s="138">
        <v>0</v>
      </c>
      <c r="Q80" s="125">
        <v>1</v>
      </c>
      <c r="R80" s="126">
        <f t="shared" si="6"/>
        <v>0</v>
      </c>
      <c r="S80" s="127">
        <v>202304</v>
      </c>
      <c r="T80" s="104" t="s">
        <v>226</v>
      </c>
      <c r="U80" s="104"/>
      <c r="V80" s="104"/>
      <c r="W80" s="104"/>
      <c r="X80" s="131"/>
      <c r="Y80" s="131"/>
    </row>
    <row r="81" s="85" customFormat="1" customHeight="1" spans="1:25">
      <c r="A81" s="24" t="s">
        <v>109</v>
      </c>
      <c r="B81" s="96" t="s">
        <v>26</v>
      </c>
      <c r="C81" s="22" t="s">
        <v>227</v>
      </c>
      <c r="D81" s="96" t="s">
        <v>28</v>
      </c>
      <c r="E81" s="97" t="s">
        <v>154</v>
      </c>
      <c r="F81" s="22" t="s">
        <v>155</v>
      </c>
      <c r="G81" s="24" t="s">
        <v>31</v>
      </c>
      <c r="H81" s="97" t="s">
        <v>228</v>
      </c>
      <c r="I81" s="46" t="e">
        <f>VLOOKUP(H81,'合同高级查询数据-4月返'!A:A,1,FALSE)</f>
        <v>#N/A</v>
      </c>
      <c r="J81" s="47" t="s">
        <v>33</v>
      </c>
      <c r="K81" s="22" t="s">
        <v>229</v>
      </c>
      <c r="L81" s="22" t="s">
        <v>230</v>
      </c>
      <c r="M81" s="22" t="s">
        <v>231</v>
      </c>
      <c r="N81" s="50">
        <v>44774</v>
      </c>
      <c r="O81" s="22" t="s">
        <v>37</v>
      </c>
      <c r="P81" s="139">
        <v>0</v>
      </c>
      <c r="Q81" s="114">
        <v>1</v>
      </c>
      <c r="R81" s="117">
        <f t="shared" si="6"/>
        <v>0</v>
      </c>
      <c r="S81" s="115">
        <v>202304</v>
      </c>
      <c r="T81" s="97" t="s">
        <v>232</v>
      </c>
      <c r="U81" s="97"/>
      <c r="V81" s="97"/>
      <c r="W81" s="97"/>
      <c r="X81" s="116">
        <v>44774</v>
      </c>
      <c r="Y81" s="116">
        <v>45016</v>
      </c>
    </row>
    <row r="82" s="85" customFormat="1" customHeight="1" spans="1:25">
      <c r="A82" s="24" t="s">
        <v>109</v>
      </c>
      <c r="B82" s="96" t="s">
        <v>26</v>
      </c>
      <c r="C82" s="22" t="s">
        <v>227</v>
      </c>
      <c r="D82" s="96" t="s">
        <v>28</v>
      </c>
      <c r="E82" s="97" t="s">
        <v>154</v>
      </c>
      <c r="F82" s="22" t="s">
        <v>155</v>
      </c>
      <c r="G82" s="24" t="s">
        <v>31</v>
      </c>
      <c r="H82" s="97" t="s">
        <v>228</v>
      </c>
      <c r="I82" s="46" t="e">
        <f>VLOOKUP(H82,'合同高级查询数据-4月返'!A:A,1,FALSE)</f>
        <v>#N/A</v>
      </c>
      <c r="J82" s="47" t="s">
        <v>33</v>
      </c>
      <c r="K82" s="22" t="s">
        <v>229</v>
      </c>
      <c r="L82" s="22" t="s">
        <v>230</v>
      </c>
      <c r="M82" s="22" t="s">
        <v>231</v>
      </c>
      <c r="N82" s="50">
        <v>44804</v>
      </c>
      <c r="O82" s="22" t="s">
        <v>37</v>
      </c>
      <c r="P82" s="139">
        <v>0</v>
      </c>
      <c r="Q82" s="114">
        <v>-1</v>
      </c>
      <c r="R82" s="117">
        <f t="shared" si="6"/>
        <v>0</v>
      </c>
      <c r="S82" s="115">
        <v>202304</v>
      </c>
      <c r="T82" s="97" t="s">
        <v>233</v>
      </c>
      <c r="U82" s="97"/>
      <c r="V82" s="97"/>
      <c r="W82" s="97"/>
      <c r="X82" s="116">
        <v>44774</v>
      </c>
      <c r="Y82" s="116">
        <v>45016</v>
      </c>
    </row>
    <row r="83" s="85" customFormat="1" customHeight="1" spans="1:25">
      <c r="A83" s="24" t="s">
        <v>109</v>
      </c>
      <c r="B83" s="96" t="s">
        <v>26</v>
      </c>
      <c r="C83" s="22" t="s">
        <v>44</v>
      </c>
      <c r="D83" s="96" t="s">
        <v>28</v>
      </c>
      <c r="E83" s="97" t="s">
        <v>154</v>
      </c>
      <c r="F83" s="22" t="s">
        <v>155</v>
      </c>
      <c r="G83" s="24" t="s">
        <v>31</v>
      </c>
      <c r="H83" s="97" t="s">
        <v>234</v>
      </c>
      <c r="I83" s="46" t="e">
        <f>VLOOKUP(H83,'合同高级查询数据-4月返'!A:A,1,FALSE)</f>
        <v>#N/A</v>
      </c>
      <c r="J83" s="47" t="s">
        <v>33</v>
      </c>
      <c r="K83" s="22" t="s">
        <v>203</v>
      </c>
      <c r="L83" s="22" t="s">
        <v>235</v>
      </c>
      <c r="M83" s="22" t="s">
        <v>236</v>
      </c>
      <c r="N83" s="50">
        <v>44774</v>
      </c>
      <c r="O83" s="22" t="s">
        <v>37</v>
      </c>
      <c r="P83" s="139">
        <v>0</v>
      </c>
      <c r="Q83" s="114">
        <v>1</v>
      </c>
      <c r="R83" s="117">
        <f t="shared" si="6"/>
        <v>0</v>
      </c>
      <c r="S83" s="115">
        <v>202304</v>
      </c>
      <c r="T83" s="97" t="s">
        <v>237</v>
      </c>
      <c r="U83" s="97"/>
      <c r="V83" s="97"/>
      <c r="W83" s="97"/>
      <c r="X83" s="116">
        <v>44774</v>
      </c>
      <c r="Y83" s="116">
        <v>45016</v>
      </c>
    </row>
    <row r="84" s="85" customFormat="1" customHeight="1" spans="1:25">
      <c r="A84" s="24" t="s">
        <v>109</v>
      </c>
      <c r="B84" s="96" t="s">
        <v>26</v>
      </c>
      <c r="C84" s="22" t="s">
        <v>44</v>
      </c>
      <c r="D84" s="96" t="s">
        <v>28</v>
      </c>
      <c r="E84" s="97" t="s">
        <v>154</v>
      </c>
      <c r="F84" s="22" t="s">
        <v>155</v>
      </c>
      <c r="G84" s="24" t="s">
        <v>31</v>
      </c>
      <c r="H84" s="97" t="s">
        <v>234</v>
      </c>
      <c r="I84" s="46" t="e">
        <f>VLOOKUP(H84,'合同高级查询数据-4月返'!A:A,1,FALSE)</f>
        <v>#N/A</v>
      </c>
      <c r="J84" s="47" t="s">
        <v>33</v>
      </c>
      <c r="K84" s="22" t="s">
        <v>203</v>
      </c>
      <c r="L84" s="22" t="s">
        <v>235</v>
      </c>
      <c r="M84" s="22" t="s">
        <v>236</v>
      </c>
      <c r="N84" s="50">
        <v>44926</v>
      </c>
      <c r="O84" s="22" t="s">
        <v>37</v>
      </c>
      <c r="P84" s="139">
        <v>0</v>
      </c>
      <c r="Q84" s="114">
        <v>-1</v>
      </c>
      <c r="R84" s="117">
        <f t="shared" si="6"/>
        <v>0</v>
      </c>
      <c r="S84" s="115">
        <v>202304</v>
      </c>
      <c r="T84" s="97" t="s">
        <v>237</v>
      </c>
      <c r="U84" s="97"/>
      <c r="V84" s="97"/>
      <c r="W84" s="97"/>
      <c r="X84" s="116">
        <v>44774</v>
      </c>
      <c r="Y84" s="116">
        <v>45016</v>
      </c>
    </row>
    <row r="85" s="86" customFormat="1" customHeight="1" spans="1:25">
      <c r="A85" s="11" t="s">
        <v>109</v>
      </c>
      <c r="B85" s="102" t="s">
        <v>26</v>
      </c>
      <c r="C85" s="35" t="s">
        <v>238</v>
      </c>
      <c r="D85" s="102" t="s">
        <v>28</v>
      </c>
      <c r="E85" s="104" t="s">
        <v>154</v>
      </c>
      <c r="F85" s="35" t="s">
        <v>155</v>
      </c>
      <c r="G85" s="11" t="s">
        <v>31</v>
      </c>
      <c r="H85" s="103" t="s">
        <v>239</v>
      </c>
      <c r="I85" s="30" t="e">
        <f>VLOOKUP(H85,'合同高级查询数据-4月返'!A:A,1,FALSE)</f>
        <v>#N/A</v>
      </c>
      <c r="J85" s="31" t="s">
        <v>33</v>
      </c>
      <c r="K85" s="35" t="s">
        <v>240</v>
      </c>
      <c r="L85" s="35" t="s">
        <v>241</v>
      </c>
      <c r="M85" s="35" t="s">
        <v>242</v>
      </c>
      <c r="N85" s="34">
        <v>44774</v>
      </c>
      <c r="O85" s="35" t="s">
        <v>37</v>
      </c>
      <c r="P85" s="138">
        <v>0</v>
      </c>
      <c r="Q85" s="125">
        <v>1</v>
      </c>
      <c r="R85" s="126">
        <f t="shared" si="6"/>
        <v>0</v>
      </c>
      <c r="S85" s="127">
        <v>202304</v>
      </c>
      <c r="T85" s="104" t="s">
        <v>243</v>
      </c>
      <c r="U85" s="104"/>
      <c r="V85" s="104"/>
      <c r="W85" s="104"/>
      <c r="X85" s="131"/>
      <c r="Y85" s="131"/>
    </row>
    <row r="86" s="86" customFormat="1" customHeight="1" spans="1:25">
      <c r="A86" s="11" t="s">
        <v>109</v>
      </c>
      <c r="B86" s="102" t="s">
        <v>26</v>
      </c>
      <c r="C86" s="35" t="s">
        <v>238</v>
      </c>
      <c r="D86" s="102" t="s">
        <v>28</v>
      </c>
      <c r="E86" s="104" t="s">
        <v>154</v>
      </c>
      <c r="F86" s="35" t="s">
        <v>155</v>
      </c>
      <c r="G86" s="11" t="s">
        <v>31</v>
      </c>
      <c r="H86" s="103" t="s">
        <v>239</v>
      </c>
      <c r="I86" s="30" t="e">
        <f>VLOOKUP(H86,'合同高级查询数据-4月返'!A:A,1,FALSE)</f>
        <v>#N/A</v>
      </c>
      <c r="J86" s="31" t="s">
        <v>33</v>
      </c>
      <c r="K86" s="35" t="s">
        <v>240</v>
      </c>
      <c r="L86" s="35" t="s">
        <v>244</v>
      </c>
      <c r="M86" s="35" t="s">
        <v>242</v>
      </c>
      <c r="N86" s="34">
        <v>44774</v>
      </c>
      <c r="O86" s="35" t="s">
        <v>37</v>
      </c>
      <c r="P86" s="138">
        <v>0</v>
      </c>
      <c r="Q86" s="125">
        <v>1</v>
      </c>
      <c r="R86" s="126">
        <f t="shared" si="6"/>
        <v>0</v>
      </c>
      <c r="S86" s="127">
        <v>202304</v>
      </c>
      <c r="T86" s="104" t="s">
        <v>245</v>
      </c>
      <c r="U86" s="104"/>
      <c r="V86" s="104"/>
      <c r="W86" s="104"/>
      <c r="X86" s="131"/>
      <c r="Y86" s="131"/>
    </row>
    <row r="87" s="85" customFormat="1" customHeight="1" spans="1:25">
      <c r="A87" s="24" t="s">
        <v>152</v>
      </c>
      <c r="B87" s="96" t="s">
        <v>26</v>
      </c>
      <c r="C87" s="22" t="s">
        <v>153</v>
      </c>
      <c r="D87" s="96" t="s">
        <v>28</v>
      </c>
      <c r="E87" s="97" t="s">
        <v>154</v>
      </c>
      <c r="F87" s="22" t="s">
        <v>155</v>
      </c>
      <c r="G87" s="24" t="s">
        <v>31</v>
      </c>
      <c r="H87" s="97" t="s">
        <v>246</v>
      </c>
      <c r="I87" s="46" t="e">
        <f>VLOOKUP(H87,'合同高级查询数据-4月返'!A:A,1,FALSE)</f>
        <v>#N/A</v>
      </c>
      <c r="J87" s="47" t="s">
        <v>33</v>
      </c>
      <c r="K87" s="22" t="s">
        <v>247</v>
      </c>
      <c r="L87" s="22" t="s">
        <v>248</v>
      </c>
      <c r="M87" s="22" t="s">
        <v>249</v>
      </c>
      <c r="N87" s="50">
        <v>44774</v>
      </c>
      <c r="O87" s="22" t="s">
        <v>37</v>
      </c>
      <c r="P87" s="139">
        <v>0</v>
      </c>
      <c r="Q87" s="114">
        <v>1</v>
      </c>
      <c r="R87" s="117">
        <f t="shared" si="6"/>
        <v>0</v>
      </c>
      <c r="S87" s="115">
        <v>202304</v>
      </c>
      <c r="T87" s="97" t="s">
        <v>250</v>
      </c>
      <c r="U87" s="97"/>
      <c r="V87" s="97"/>
      <c r="W87" s="97"/>
      <c r="X87" s="116">
        <v>44774</v>
      </c>
      <c r="Y87" s="116">
        <v>45016</v>
      </c>
    </row>
    <row r="88" s="85" customFormat="1" customHeight="1" spans="1:25">
      <c r="A88" s="24" t="s">
        <v>152</v>
      </c>
      <c r="B88" s="96" t="s">
        <v>26</v>
      </c>
      <c r="C88" s="22" t="s">
        <v>153</v>
      </c>
      <c r="D88" s="96" t="s">
        <v>28</v>
      </c>
      <c r="E88" s="97" t="s">
        <v>154</v>
      </c>
      <c r="F88" s="22" t="s">
        <v>155</v>
      </c>
      <c r="G88" s="24" t="s">
        <v>31</v>
      </c>
      <c r="H88" s="97" t="s">
        <v>246</v>
      </c>
      <c r="I88" s="46" t="e">
        <f>VLOOKUP(H88,'合同高级查询数据-4月返'!A:A,1,FALSE)</f>
        <v>#N/A</v>
      </c>
      <c r="J88" s="47" t="s">
        <v>33</v>
      </c>
      <c r="K88" s="22" t="s">
        <v>247</v>
      </c>
      <c r="L88" s="22" t="s">
        <v>248</v>
      </c>
      <c r="M88" s="22" t="s">
        <v>249</v>
      </c>
      <c r="N88" s="50">
        <v>44929</v>
      </c>
      <c r="O88" s="22" t="s">
        <v>37</v>
      </c>
      <c r="P88" s="139">
        <v>0</v>
      </c>
      <c r="Q88" s="114">
        <v>-1</v>
      </c>
      <c r="R88" s="117">
        <f t="shared" si="6"/>
        <v>0</v>
      </c>
      <c r="S88" s="115">
        <v>202304</v>
      </c>
      <c r="T88" s="97" t="s">
        <v>251</v>
      </c>
      <c r="U88" s="97"/>
      <c r="V88" s="97"/>
      <c r="W88" s="97"/>
      <c r="X88" s="116">
        <v>44774</v>
      </c>
      <c r="Y88" s="116">
        <v>45016</v>
      </c>
    </row>
    <row r="89" s="85" customFormat="1" customHeight="1" spans="1:25">
      <c r="A89" s="24" t="s">
        <v>152</v>
      </c>
      <c r="B89" s="96" t="s">
        <v>26</v>
      </c>
      <c r="C89" s="22" t="s">
        <v>153</v>
      </c>
      <c r="D89" s="96" t="s">
        <v>28</v>
      </c>
      <c r="E89" s="97" t="s">
        <v>154</v>
      </c>
      <c r="F89" s="22" t="s">
        <v>155</v>
      </c>
      <c r="G89" s="24" t="s">
        <v>31</v>
      </c>
      <c r="H89" s="97" t="s">
        <v>252</v>
      </c>
      <c r="I89" s="46" t="e">
        <f>VLOOKUP(H89,'合同高级查询数据-4月返'!A:A,1,FALSE)</f>
        <v>#N/A</v>
      </c>
      <c r="J89" s="47" t="s">
        <v>33</v>
      </c>
      <c r="K89" s="22" t="s">
        <v>247</v>
      </c>
      <c r="L89" s="22" t="s">
        <v>253</v>
      </c>
      <c r="M89" s="22" t="s">
        <v>254</v>
      </c>
      <c r="N89" s="50">
        <v>44775</v>
      </c>
      <c r="O89" s="22" t="s">
        <v>37</v>
      </c>
      <c r="P89" s="139">
        <v>0</v>
      </c>
      <c r="Q89" s="114">
        <v>1</v>
      </c>
      <c r="R89" s="117">
        <f t="shared" si="6"/>
        <v>0</v>
      </c>
      <c r="S89" s="115">
        <v>202304</v>
      </c>
      <c r="T89" s="97" t="s">
        <v>255</v>
      </c>
      <c r="U89" s="97"/>
      <c r="V89" s="97"/>
      <c r="W89" s="97"/>
      <c r="X89" s="116">
        <v>44775</v>
      </c>
      <c r="Y89" s="116">
        <v>45016</v>
      </c>
    </row>
    <row r="90" s="85" customFormat="1" customHeight="1" spans="1:25">
      <c r="A90" s="24" t="s">
        <v>152</v>
      </c>
      <c r="B90" s="96" t="s">
        <v>26</v>
      </c>
      <c r="C90" s="22" t="s">
        <v>153</v>
      </c>
      <c r="D90" s="96" t="s">
        <v>28</v>
      </c>
      <c r="E90" s="97" t="s">
        <v>154</v>
      </c>
      <c r="F90" s="22" t="s">
        <v>155</v>
      </c>
      <c r="G90" s="24" t="s">
        <v>31</v>
      </c>
      <c r="H90" s="97" t="s">
        <v>252</v>
      </c>
      <c r="I90" s="46" t="e">
        <f>VLOOKUP(H90,'合同高级查询数据-4月返'!A:A,1,FALSE)</f>
        <v>#N/A</v>
      </c>
      <c r="J90" s="47" t="s">
        <v>33</v>
      </c>
      <c r="K90" s="22" t="s">
        <v>247</v>
      </c>
      <c r="L90" s="22" t="s">
        <v>253</v>
      </c>
      <c r="M90" s="22" t="s">
        <v>254</v>
      </c>
      <c r="N90" s="50">
        <v>44929</v>
      </c>
      <c r="O90" s="22" t="s">
        <v>37</v>
      </c>
      <c r="P90" s="139">
        <v>0</v>
      </c>
      <c r="Q90" s="114">
        <v>-1</v>
      </c>
      <c r="R90" s="117">
        <f t="shared" si="6"/>
        <v>0</v>
      </c>
      <c r="S90" s="115">
        <v>202304</v>
      </c>
      <c r="T90" s="97" t="s">
        <v>256</v>
      </c>
      <c r="U90" s="97"/>
      <c r="V90" s="97"/>
      <c r="W90" s="97"/>
      <c r="X90" s="116">
        <v>44775</v>
      </c>
      <c r="Y90" s="116">
        <v>45016</v>
      </c>
    </row>
    <row r="91" s="86" customFormat="1" customHeight="1" spans="1:25">
      <c r="A91" s="11" t="s">
        <v>109</v>
      </c>
      <c r="B91" s="102" t="s">
        <v>26</v>
      </c>
      <c r="C91" s="35" t="s">
        <v>216</v>
      </c>
      <c r="D91" s="102" t="s">
        <v>28</v>
      </c>
      <c r="E91" s="104" t="s">
        <v>154</v>
      </c>
      <c r="F91" s="35" t="s">
        <v>155</v>
      </c>
      <c r="G91" s="11" t="s">
        <v>31</v>
      </c>
      <c r="H91" s="104" t="s">
        <v>257</v>
      </c>
      <c r="I91" s="30" t="e">
        <f>VLOOKUP(H91,'合同高级查询数据-4月返'!A:A,1,FALSE)</f>
        <v>#N/A</v>
      </c>
      <c r="J91" s="31" t="s">
        <v>33</v>
      </c>
      <c r="K91" s="35" t="s">
        <v>218</v>
      </c>
      <c r="L91" s="35" t="s">
        <v>258</v>
      </c>
      <c r="M91" s="35" t="s">
        <v>259</v>
      </c>
      <c r="N91" s="34">
        <v>44805</v>
      </c>
      <c r="O91" s="35" t="s">
        <v>37</v>
      </c>
      <c r="P91" s="112">
        <v>0</v>
      </c>
      <c r="Q91" s="125">
        <v>1</v>
      </c>
      <c r="R91" s="126">
        <f t="shared" si="6"/>
        <v>0</v>
      </c>
      <c r="S91" s="127">
        <v>202304</v>
      </c>
      <c r="T91" s="104" t="s">
        <v>260</v>
      </c>
      <c r="U91" s="104"/>
      <c r="V91" s="104"/>
      <c r="W91" s="104"/>
      <c r="X91" s="131"/>
      <c r="Y91" s="131"/>
    </row>
    <row r="92" s="86" customFormat="1" customHeight="1" spans="1:25">
      <c r="A92" s="11" t="s">
        <v>25</v>
      </c>
      <c r="B92" s="102" t="s">
        <v>26</v>
      </c>
      <c r="C92" s="35" t="s">
        <v>196</v>
      </c>
      <c r="D92" s="102" t="s">
        <v>28</v>
      </c>
      <c r="E92" s="104" t="s">
        <v>154</v>
      </c>
      <c r="F92" s="35" t="s">
        <v>155</v>
      </c>
      <c r="G92" s="11" t="s">
        <v>31</v>
      </c>
      <c r="H92" s="103" t="s">
        <v>261</v>
      </c>
      <c r="I92" s="30" t="e">
        <f>VLOOKUP(H92,'合同高级查询数据-4月返'!A:A,1,FALSE)</f>
        <v>#N/A</v>
      </c>
      <c r="J92" s="31" t="s">
        <v>33</v>
      </c>
      <c r="K92" s="35" t="s">
        <v>198</v>
      </c>
      <c r="L92" s="35" t="s">
        <v>262</v>
      </c>
      <c r="M92" s="35" t="s">
        <v>263</v>
      </c>
      <c r="N92" s="34">
        <v>44805</v>
      </c>
      <c r="O92" s="35" t="s">
        <v>37</v>
      </c>
      <c r="P92" s="112">
        <v>0</v>
      </c>
      <c r="Q92" s="125">
        <v>1</v>
      </c>
      <c r="R92" s="126">
        <f t="shared" si="6"/>
        <v>0</v>
      </c>
      <c r="S92" s="127">
        <v>202304</v>
      </c>
      <c r="T92" s="104" t="s">
        <v>264</v>
      </c>
      <c r="U92" s="104"/>
      <c r="V92" s="104"/>
      <c r="W92" s="104"/>
      <c r="X92" s="131"/>
      <c r="Y92" s="131"/>
    </row>
    <row r="93" s="86" customFormat="1" customHeight="1" spans="1:25">
      <c r="A93" s="11" t="s">
        <v>25</v>
      </c>
      <c r="B93" s="102" t="s">
        <v>26</v>
      </c>
      <c r="C93" s="35" t="s">
        <v>196</v>
      </c>
      <c r="D93" s="102" t="s">
        <v>28</v>
      </c>
      <c r="E93" s="104" t="s">
        <v>154</v>
      </c>
      <c r="F93" s="35" t="s">
        <v>155</v>
      </c>
      <c r="G93" s="11" t="s">
        <v>31</v>
      </c>
      <c r="H93" s="103" t="s">
        <v>261</v>
      </c>
      <c r="I93" s="30" t="e">
        <f>VLOOKUP(H93,'合同高级查询数据-4月返'!A:A,1,FALSE)</f>
        <v>#N/A</v>
      </c>
      <c r="J93" s="31" t="s">
        <v>33</v>
      </c>
      <c r="K93" s="35" t="s">
        <v>198</v>
      </c>
      <c r="L93" s="35" t="s">
        <v>265</v>
      </c>
      <c r="M93" s="35" t="s">
        <v>263</v>
      </c>
      <c r="N93" s="34">
        <v>44805</v>
      </c>
      <c r="O93" s="35" t="s">
        <v>37</v>
      </c>
      <c r="P93" s="112">
        <v>0</v>
      </c>
      <c r="Q93" s="125">
        <v>1</v>
      </c>
      <c r="R93" s="126">
        <f t="shared" si="6"/>
        <v>0</v>
      </c>
      <c r="S93" s="127">
        <v>202304</v>
      </c>
      <c r="T93" s="104" t="s">
        <v>266</v>
      </c>
      <c r="U93" s="104"/>
      <c r="V93" s="104"/>
      <c r="W93" s="104"/>
      <c r="X93" s="131"/>
      <c r="Y93" s="131"/>
    </row>
    <row r="94" s="86" customFormat="1" customHeight="1" spans="1:25">
      <c r="A94" s="11" t="s">
        <v>25</v>
      </c>
      <c r="B94" s="102" t="s">
        <v>26</v>
      </c>
      <c r="C94" s="35" t="s">
        <v>196</v>
      </c>
      <c r="D94" s="102" t="s">
        <v>28</v>
      </c>
      <c r="E94" s="104" t="s">
        <v>154</v>
      </c>
      <c r="F94" s="35" t="s">
        <v>155</v>
      </c>
      <c r="G94" s="11" t="s">
        <v>31</v>
      </c>
      <c r="H94" s="103" t="s">
        <v>267</v>
      </c>
      <c r="I94" s="30" t="e">
        <f>VLOOKUP(H94,'合同高级查询数据-4月返'!A:A,1,FALSE)</f>
        <v>#N/A</v>
      </c>
      <c r="J94" s="31" t="s">
        <v>33</v>
      </c>
      <c r="K94" s="35" t="s">
        <v>198</v>
      </c>
      <c r="L94" s="35" t="s">
        <v>268</v>
      </c>
      <c r="M94" s="35" t="s">
        <v>263</v>
      </c>
      <c r="N94" s="34">
        <v>44807</v>
      </c>
      <c r="O94" s="35" t="s">
        <v>37</v>
      </c>
      <c r="P94" s="112">
        <v>0</v>
      </c>
      <c r="Q94" s="125">
        <v>32</v>
      </c>
      <c r="R94" s="126">
        <f t="shared" si="6"/>
        <v>0</v>
      </c>
      <c r="S94" s="127">
        <v>202304</v>
      </c>
      <c r="T94" s="104" t="s">
        <v>269</v>
      </c>
      <c r="U94" s="104"/>
      <c r="V94" s="104"/>
      <c r="W94" s="104"/>
      <c r="X94" s="131"/>
      <c r="Y94" s="131"/>
    </row>
    <row r="95" s="86" customFormat="1" customHeight="1" spans="1:25">
      <c r="A95" s="11" t="s">
        <v>25</v>
      </c>
      <c r="B95" s="102" t="s">
        <v>26</v>
      </c>
      <c r="C95" s="35" t="s">
        <v>196</v>
      </c>
      <c r="D95" s="102" t="s">
        <v>28</v>
      </c>
      <c r="E95" s="104" t="s">
        <v>154</v>
      </c>
      <c r="F95" s="35" t="s">
        <v>155</v>
      </c>
      <c r="G95" s="11" t="s">
        <v>31</v>
      </c>
      <c r="H95" s="104" t="s">
        <v>270</v>
      </c>
      <c r="I95" s="30" t="e">
        <f>VLOOKUP(H95,'合同高级查询数据-4月返'!A:A,1,FALSE)</f>
        <v>#N/A</v>
      </c>
      <c r="J95" s="31" t="s">
        <v>33</v>
      </c>
      <c r="K95" s="35" t="s">
        <v>271</v>
      </c>
      <c r="L95" s="35" t="s">
        <v>272</v>
      </c>
      <c r="M95" s="35" t="s">
        <v>273</v>
      </c>
      <c r="N95" s="34">
        <v>44805</v>
      </c>
      <c r="O95" s="35" t="s">
        <v>37</v>
      </c>
      <c r="P95" s="112">
        <v>0</v>
      </c>
      <c r="Q95" s="125">
        <v>1</v>
      </c>
      <c r="R95" s="126">
        <f t="shared" si="6"/>
        <v>0</v>
      </c>
      <c r="S95" s="127">
        <v>202304</v>
      </c>
      <c r="T95" s="104" t="s">
        <v>274</v>
      </c>
      <c r="U95" s="104"/>
      <c r="V95" s="104"/>
      <c r="W95" s="104"/>
      <c r="X95" s="131"/>
      <c r="Y95" s="131"/>
    </row>
    <row r="96" s="86" customFormat="1" customHeight="1" spans="1:25">
      <c r="A96" s="11" t="s">
        <v>109</v>
      </c>
      <c r="B96" s="102" t="s">
        <v>26</v>
      </c>
      <c r="C96" s="35" t="s">
        <v>275</v>
      </c>
      <c r="D96" s="102" t="s">
        <v>28</v>
      </c>
      <c r="E96" s="104" t="s">
        <v>154</v>
      </c>
      <c r="F96" s="35" t="s">
        <v>155</v>
      </c>
      <c r="G96" s="11" t="s">
        <v>31</v>
      </c>
      <c r="H96" s="104" t="s">
        <v>276</v>
      </c>
      <c r="I96" s="30" t="e">
        <f>VLOOKUP(H96,'合同高级查询数据-4月返'!A:A,1,FALSE)</f>
        <v>#N/A</v>
      </c>
      <c r="J96" s="31" t="s">
        <v>33</v>
      </c>
      <c r="K96" s="35" t="s">
        <v>277</v>
      </c>
      <c r="L96" s="35" t="s">
        <v>278</v>
      </c>
      <c r="M96" s="35" t="s">
        <v>279</v>
      </c>
      <c r="N96" s="34">
        <v>44805</v>
      </c>
      <c r="O96" s="35" t="s">
        <v>37</v>
      </c>
      <c r="P96" s="112">
        <v>0</v>
      </c>
      <c r="Q96" s="125">
        <v>1</v>
      </c>
      <c r="R96" s="126">
        <f t="shared" si="6"/>
        <v>0</v>
      </c>
      <c r="S96" s="127">
        <v>202304</v>
      </c>
      <c r="T96" s="104" t="s">
        <v>280</v>
      </c>
      <c r="U96" s="104"/>
      <c r="V96" s="104"/>
      <c r="W96" s="104"/>
      <c r="X96" s="131"/>
      <c r="Y96" s="131"/>
    </row>
    <row r="97" s="86" customFormat="1" customHeight="1" spans="1:25">
      <c r="A97" s="11" t="s">
        <v>152</v>
      </c>
      <c r="B97" s="102" t="s">
        <v>26</v>
      </c>
      <c r="C97" s="35" t="s">
        <v>39</v>
      </c>
      <c r="D97" s="102" t="s">
        <v>28</v>
      </c>
      <c r="E97" s="104" t="s">
        <v>154</v>
      </c>
      <c r="F97" s="35" t="s">
        <v>155</v>
      </c>
      <c r="G97" s="11" t="s">
        <v>31</v>
      </c>
      <c r="H97" s="104" t="s">
        <v>281</v>
      </c>
      <c r="I97" s="30" t="e">
        <f>VLOOKUP(H97,'合同高级查询数据-4月返'!A:A,1,FALSE)</f>
        <v>#N/A</v>
      </c>
      <c r="J97" s="31" t="s">
        <v>33</v>
      </c>
      <c r="K97" s="35" t="s">
        <v>223</v>
      </c>
      <c r="L97" s="35" t="s">
        <v>282</v>
      </c>
      <c r="M97" s="35" t="s">
        <v>283</v>
      </c>
      <c r="N97" s="34">
        <v>44805</v>
      </c>
      <c r="O97" s="35" t="s">
        <v>37</v>
      </c>
      <c r="P97" s="112">
        <v>0</v>
      </c>
      <c r="Q97" s="125">
        <v>1</v>
      </c>
      <c r="R97" s="126">
        <f t="shared" si="6"/>
        <v>0</v>
      </c>
      <c r="S97" s="127">
        <v>202304</v>
      </c>
      <c r="T97" s="104" t="s">
        <v>284</v>
      </c>
      <c r="U97" s="104"/>
      <c r="V97" s="104"/>
      <c r="W97" s="104"/>
      <c r="X97" s="131"/>
      <c r="Y97" s="131"/>
    </row>
    <row r="98" s="85" customFormat="1" customHeight="1" spans="1:25">
      <c r="A98" s="24" t="s">
        <v>109</v>
      </c>
      <c r="B98" s="96" t="s">
        <v>26</v>
      </c>
      <c r="C98" s="22" t="s">
        <v>227</v>
      </c>
      <c r="D98" s="96" t="s">
        <v>28</v>
      </c>
      <c r="E98" s="97" t="s">
        <v>154</v>
      </c>
      <c r="F98" s="22" t="s">
        <v>155</v>
      </c>
      <c r="G98" s="24" t="s">
        <v>31</v>
      </c>
      <c r="H98" s="97" t="s">
        <v>285</v>
      </c>
      <c r="I98" s="46" t="e">
        <f>VLOOKUP(H98,'合同高级查询数据-4月返'!A:A,1,FALSE)</f>
        <v>#N/A</v>
      </c>
      <c r="J98" s="47" t="s">
        <v>33</v>
      </c>
      <c r="K98" s="22" t="s">
        <v>286</v>
      </c>
      <c r="L98" s="22" t="s">
        <v>287</v>
      </c>
      <c r="M98" s="22" t="s">
        <v>288</v>
      </c>
      <c r="N98" s="50">
        <v>44807</v>
      </c>
      <c r="O98" s="22" t="s">
        <v>37</v>
      </c>
      <c r="P98" s="105">
        <v>0</v>
      </c>
      <c r="Q98" s="114">
        <v>32</v>
      </c>
      <c r="R98" s="117">
        <f t="shared" si="6"/>
        <v>0</v>
      </c>
      <c r="S98" s="115">
        <v>202304</v>
      </c>
      <c r="T98" s="97" t="s">
        <v>289</v>
      </c>
      <c r="U98" s="97"/>
      <c r="V98" s="97"/>
      <c r="W98" s="97"/>
      <c r="X98" s="116">
        <v>44807</v>
      </c>
      <c r="Y98" s="116">
        <v>45016</v>
      </c>
    </row>
    <row r="99" s="86" customFormat="1" customHeight="1" spans="1:25">
      <c r="A99" s="11" t="s">
        <v>109</v>
      </c>
      <c r="B99" s="102" t="s">
        <v>26</v>
      </c>
      <c r="C99" s="35" t="s">
        <v>227</v>
      </c>
      <c r="D99" s="102" t="s">
        <v>28</v>
      </c>
      <c r="E99" s="104" t="s">
        <v>154</v>
      </c>
      <c r="F99" s="35" t="s">
        <v>155</v>
      </c>
      <c r="G99" s="11" t="s">
        <v>31</v>
      </c>
      <c r="H99" s="104" t="s">
        <v>290</v>
      </c>
      <c r="I99" s="30" t="e">
        <f>VLOOKUP(H99,'合同高级查询数据-4月返'!A:A,1,FALSE)</f>
        <v>#N/A</v>
      </c>
      <c r="J99" s="31" t="s">
        <v>33</v>
      </c>
      <c r="K99" s="35" t="s">
        <v>286</v>
      </c>
      <c r="L99" s="35" t="s">
        <v>287</v>
      </c>
      <c r="M99" s="35" t="s">
        <v>288</v>
      </c>
      <c r="N99" s="34">
        <v>45002</v>
      </c>
      <c r="O99" s="35" t="s">
        <v>37</v>
      </c>
      <c r="P99" s="112">
        <v>0</v>
      </c>
      <c r="Q99" s="125">
        <v>-32</v>
      </c>
      <c r="R99" s="126">
        <f t="shared" si="6"/>
        <v>0</v>
      </c>
      <c r="S99" s="127">
        <v>202304</v>
      </c>
      <c r="T99" s="104" t="s">
        <v>291</v>
      </c>
      <c r="U99" s="104"/>
      <c r="V99" s="104"/>
      <c r="W99" s="104"/>
      <c r="X99" s="131"/>
      <c r="Y99" s="131"/>
    </row>
    <row r="100" s="86" customFormat="1" customHeight="1" spans="1:25">
      <c r="A100" s="11" t="s">
        <v>109</v>
      </c>
      <c r="B100" s="102" t="s">
        <v>26</v>
      </c>
      <c r="C100" s="35" t="s">
        <v>238</v>
      </c>
      <c r="D100" s="102" t="s">
        <v>28</v>
      </c>
      <c r="E100" s="104" t="s">
        <v>154</v>
      </c>
      <c r="F100" s="35" t="s">
        <v>155</v>
      </c>
      <c r="G100" s="11" t="s">
        <v>31</v>
      </c>
      <c r="H100" s="104" t="s">
        <v>292</v>
      </c>
      <c r="I100" s="30" t="e">
        <f>VLOOKUP(H100,'合同高级查询数据-4月返'!A:A,1,FALSE)</f>
        <v>#N/A</v>
      </c>
      <c r="J100" s="31" t="s">
        <v>33</v>
      </c>
      <c r="K100" s="35" t="s">
        <v>240</v>
      </c>
      <c r="L100" s="35" t="s">
        <v>293</v>
      </c>
      <c r="M100" s="35" t="s">
        <v>242</v>
      </c>
      <c r="N100" s="34">
        <v>44805</v>
      </c>
      <c r="O100" s="35" t="s">
        <v>37</v>
      </c>
      <c r="P100" s="112">
        <v>0</v>
      </c>
      <c r="Q100" s="125">
        <v>1</v>
      </c>
      <c r="R100" s="126">
        <f t="shared" si="6"/>
        <v>0</v>
      </c>
      <c r="S100" s="127">
        <v>202304</v>
      </c>
      <c r="T100" s="104" t="s">
        <v>294</v>
      </c>
      <c r="U100" s="104"/>
      <c r="V100" s="104"/>
      <c r="W100" s="104"/>
      <c r="X100" s="131"/>
      <c r="Y100" s="131"/>
    </row>
    <row r="101" s="85" customFormat="1" customHeight="1" spans="1:25">
      <c r="A101" s="24" t="s">
        <v>109</v>
      </c>
      <c r="B101" s="96" t="s">
        <v>26</v>
      </c>
      <c r="C101" s="22" t="s">
        <v>44</v>
      </c>
      <c r="D101" s="96" t="s">
        <v>28</v>
      </c>
      <c r="E101" s="97" t="s">
        <v>154</v>
      </c>
      <c r="F101" s="22" t="s">
        <v>155</v>
      </c>
      <c r="G101" s="24" t="s">
        <v>31</v>
      </c>
      <c r="H101" s="97" t="s">
        <v>295</v>
      </c>
      <c r="I101" s="46" t="e">
        <f>VLOOKUP(H101,'合同高级查询数据-4月返'!A:A,1,FALSE)</f>
        <v>#N/A</v>
      </c>
      <c r="J101" s="47" t="s">
        <v>33</v>
      </c>
      <c r="K101" s="22" t="s">
        <v>296</v>
      </c>
      <c r="L101" s="22" t="s">
        <v>297</v>
      </c>
      <c r="M101" s="22" t="s">
        <v>298</v>
      </c>
      <c r="N101" s="50">
        <v>44805</v>
      </c>
      <c r="O101" s="22" t="s">
        <v>37</v>
      </c>
      <c r="P101" s="105">
        <v>0</v>
      </c>
      <c r="Q101" s="114">
        <v>1</v>
      </c>
      <c r="R101" s="117">
        <f t="shared" si="6"/>
        <v>0</v>
      </c>
      <c r="S101" s="115">
        <v>202304</v>
      </c>
      <c r="T101" s="97" t="s">
        <v>299</v>
      </c>
      <c r="U101" s="97"/>
      <c r="V101" s="97"/>
      <c r="W101" s="97"/>
      <c r="X101" s="116">
        <v>44805</v>
      </c>
      <c r="Y101" s="116">
        <v>45016</v>
      </c>
    </row>
    <row r="102" s="85" customFormat="1" customHeight="1" spans="1:25">
      <c r="A102" s="24" t="s">
        <v>109</v>
      </c>
      <c r="B102" s="96" t="s">
        <v>26</v>
      </c>
      <c r="C102" s="22" t="s">
        <v>44</v>
      </c>
      <c r="D102" s="96" t="s">
        <v>28</v>
      </c>
      <c r="E102" s="97" t="s">
        <v>154</v>
      </c>
      <c r="F102" s="22" t="s">
        <v>155</v>
      </c>
      <c r="G102" s="24" t="s">
        <v>31</v>
      </c>
      <c r="H102" s="97" t="s">
        <v>295</v>
      </c>
      <c r="I102" s="46" t="e">
        <f>VLOOKUP(H102,'合同高级查询数据-4月返'!A:A,1,FALSE)</f>
        <v>#N/A</v>
      </c>
      <c r="J102" s="47" t="s">
        <v>33</v>
      </c>
      <c r="K102" s="22" t="s">
        <v>296</v>
      </c>
      <c r="L102" s="22" t="s">
        <v>297</v>
      </c>
      <c r="M102" s="22" t="s">
        <v>298</v>
      </c>
      <c r="N102" s="50">
        <v>44834</v>
      </c>
      <c r="O102" s="22" t="s">
        <v>37</v>
      </c>
      <c r="P102" s="105">
        <v>0</v>
      </c>
      <c r="Q102" s="114">
        <v>-1</v>
      </c>
      <c r="R102" s="117">
        <f t="shared" si="6"/>
        <v>0</v>
      </c>
      <c r="S102" s="115">
        <v>202304</v>
      </c>
      <c r="T102" s="97" t="s">
        <v>300</v>
      </c>
      <c r="U102" s="97"/>
      <c r="V102" s="97"/>
      <c r="W102" s="97"/>
      <c r="X102" s="116">
        <v>44805</v>
      </c>
      <c r="Y102" s="116">
        <v>45016</v>
      </c>
    </row>
    <row r="103" s="85" customFormat="1" customHeight="1" spans="1:25">
      <c r="A103" s="24" t="s">
        <v>109</v>
      </c>
      <c r="B103" s="96" t="s">
        <v>26</v>
      </c>
      <c r="C103" s="22" t="s">
        <v>44</v>
      </c>
      <c r="D103" s="96" t="s">
        <v>28</v>
      </c>
      <c r="E103" s="97" t="s">
        <v>154</v>
      </c>
      <c r="F103" s="22" t="s">
        <v>155</v>
      </c>
      <c r="G103" s="24" t="s">
        <v>31</v>
      </c>
      <c r="H103" s="97" t="s">
        <v>301</v>
      </c>
      <c r="I103" s="46" t="e">
        <f>VLOOKUP(H103,'合同高级查询数据-4月返'!A:A,1,FALSE)</f>
        <v>#N/A</v>
      </c>
      <c r="J103" s="47" t="s">
        <v>33</v>
      </c>
      <c r="K103" s="22" t="s">
        <v>203</v>
      </c>
      <c r="L103" s="22" t="s">
        <v>302</v>
      </c>
      <c r="M103" s="22" t="s">
        <v>205</v>
      </c>
      <c r="N103" s="50">
        <v>44805</v>
      </c>
      <c r="O103" s="22" t="s">
        <v>37</v>
      </c>
      <c r="P103" s="105">
        <v>0</v>
      </c>
      <c r="Q103" s="114">
        <v>1</v>
      </c>
      <c r="R103" s="117">
        <f t="shared" si="6"/>
        <v>0</v>
      </c>
      <c r="S103" s="115">
        <v>202304</v>
      </c>
      <c r="T103" s="97" t="s">
        <v>303</v>
      </c>
      <c r="U103" s="97"/>
      <c r="V103" s="97"/>
      <c r="W103" s="97"/>
      <c r="X103" s="116">
        <v>44805</v>
      </c>
      <c r="Y103" s="116">
        <v>45016</v>
      </c>
    </row>
    <row r="104" s="85" customFormat="1" customHeight="1" spans="1:25">
      <c r="A104" s="24" t="s">
        <v>109</v>
      </c>
      <c r="B104" s="96" t="s">
        <v>26</v>
      </c>
      <c r="C104" s="22" t="s">
        <v>44</v>
      </c>
      <c r="D104" s="96" t="s">
        <v>28</v>
      </c>
      <c r="E104" s="97" t="s">
        <v>154</v>
      </c>
      <c r="F104" s="22" t="s">
        <v>155</v>
      </c>
      <c r="G104" s="24" t="s">
        <v>31</v>
      </c>
      <c r="H104" s="97" t="s">
        <v>301</v>
      </c>
      <c r="I104" s="46" t="e">
        <f>VLOOKUP(H104,'合同高级查询数据-4月返'!A:A,1,FALSE)</f>
        <v>#N/A</v>
      </c>
      <c r="J104" s="47" t="s">
        <v>33</v>
      </c>
      <c r="K104" s="22" t="s">
        <v>203</v>
      </c>
      <c r="L104" s="22" t="s">
        <v>302</v>
      </c>
      <c r="M104" s="22" t="s">
        <v>205</v>
      </c>
      <c r="N104" s="50">
        <v>44926</v>
      </c>
      <c r="O104" s="22" t="s">
        <v>37</v>
      </c>
      <c r="P104" s="105">
        <v>0</v>
      </c>
      <c r="Q104" s="114">
        <v>-1</v>
      </c>
      <c r="R104" s="117">
        <f t="shared" si="6"/>
        <v>0</v>
      </c>
      <c r="S104" s="115">
        <v>202304</v>
      </c>
      <c r="T104" s="97" t="s">
        <v>303</v>
      </c>
      <c r="U104" s="97"/>
      <c r="V104" s="97"/>
      <c r="W104" s="97"/>
      <c r="X104" s="116">
        <v>44805</v>
      </c>
      <c r="Y104" s="116">
        <v>45016</v>
      </c>
    </row>
    <row r="105" s="85" customFormat="1" customHeight="1" spans="1:25">
      <c r="A105" s="24" t="s">
        <v>109</v>
      </c>
      <c r="B105" s="96" t="s">
        <v>26</v>
      </c>
      <c r="C105" s="22" t="s">
        <v>44</v>
      </c>
      <c r="D105" s="96" t="s">
        <v>28</v>
      </c>
      <c r="E105" s="97" t="s">
        <v>154</v>
      </c>
      <c r="F105" s="22" t="s">
        <v>155</v>
      </c>
      <c r="G105" s="24" t="s">
        <v>31</v>
      </c>
      <c r="H105" s="97" t="s">
        <v>301</v>
      </c>
      <c r="I105" s="46" t="e">
        <f>VLOOKUP(H105,'合同高级查询数据-4月返'!A:A,1,FALSE)</f>
        <v>#N/A</v>
      </c>
      <c r="J105" s="47" t="s">
        <v>33</v>
      </c>
      <c r="K105" s="22" t="s">
        <v>203</v>
      </c>
      <c r="L105" s="22" t="s">
        <v>304</v>
      </c>
      <c r="M105" s="22" t="s">
        <v>205</v>
      </c>
      <c r="N105" s="50">
        <v>44805</v>
      </c>
      <c r="O105" s="22" t="s">
        <v>37</v>
      </c>
      <c r="P105" s="105">
        <v>0</v>
      </c>
      <c r="Q105" s="114">
        <v>1</v>
      </c>
      <c r="R105" s="117">
        <f t="shared" si="6"/>
        <v>0</v>
      </c>
      <c r="S105" s="115">
        <v>202304</v>
      </c>
      <c r="T105" s="97" t="s">
        <v>305</v>
      </c>
      <c r="U105" s="97"/>
      <c r="V105" s="97"/>
      <c r="W105" s="97"/>
      <c r="X105" s="116">
        <v>44805</v>
      </c>
      <c r="Y105" s="116">
        <v>45016</v>
      </c>
    </row>
    <row r="106" s="85" customFormat="1" customHeight="1" spans="1:25">
      <c r="A106" s="24" t="s">
        <v>109</v>
      </c>
      <c r="B106" s="96" t="s">
        <v>26</v>
      </c>
      <c r="C106" s="22" t="s">
        <v>44</v>
      </c>
      <c r="D106" s="96" t="s">
        <v>28</v>
      </c>
      <c r="E106" s="97" t="s">
        <v>154</v>
      </c>
      <c r="F106" s="22" t="s">
        <v>155</v>
      </c>
      <c r="G106" s="24" t="s">
        <v>31</v>
      </c>
      <c r="H106" s="97" t="s">
        <v>301</v>
      </c>
      <c r="I106" s="46" t="e">
        <f>VLOOKUP(H106,'合同高级查询数据-4月返'!A:A,1,FALSE)</f>
        <v>#N/A</v>
      </c>
      <c r="J106" s="47" t="s">
        <v>33</v>
      </c>
      <c r="K106" s="22" t="s">
        <v>203</v>
      </c>
      <c r="L106" s="22" t="s">
        <v>304</v>
      </c>
      <c r="M106" s="22" t="s">
        <v>205</v>
      </c>
      <c r="N106" s="50">
        <v>44813</v>
      </c>
      <c r="O106" s="22" t="s">
        <v>37</v>
      </c>
      <c r="P106" s="105">
        <v>0</v>
      </c>
      <c r="Q106" s="114">
        <v>-1</v>
      </c>
      <c r="R106" s="117">
        <f t="shared" si="6"/>
        <v>0</v>
      </c>
      <c r="S106" s="115">
        <v>202304</v>
      </c>
      <c r="T106" s="97" t="s">
        <v>306</v>
      </c>
      <c r="U106" s="97"/>
      <c r="V106" s="97"/>
      <c r="W106" s="97"/>
      <c r="X106" s="116">
        <v>44805</v>
      </c>
      <c r="Y106" s="116">
        <v>45016</v>
      </c>
    </row>
    <row r="107" s="85" customFormat="1" customHeight="1" spans="1:25">
      <c r="A107" s="24" t="s">
        <v>109</v>
      </c>
      <c r="B107" s="96" t="s">
        <v>26</v>
      </c>
      <c r="C107" s="22" t="s">
        <v>44</v>
      </c>
      <c r="D107" s="96" t="s">
        <v>28</v>
      </c>
      <c r="E107" s="97" t="s">
        <v>154</v>
      </c>
      <c r="F107" s="22" t="s">
        <v>155</v>
      </c>
      <c r="G107" s="24" t="s">
        <v>31</v>
      </c>
      <c r="H107" s="97" t="s">
        <v>301</v>
      </c>
      <c r="I107" s="46" t="e">
        <f>VLOOKUP(H107,'合同高级查询数据-4月返'!A:A,1,FALSE)</f>
        <v>#N/A</v>
      </c>
      <c r="J107" s="47" t="s">
        <v>33</v>
      </c>
      <c r="K107" s="22" t="s">
        <v>203</v>
      </c>
      <c r="L107" s="22" t="s">
        <v>307</v>
      </c>
      <c r="M107" s="22" t="s">
        <v>205</v>
      </c>
      <c r="N107" s="50">
        <v>44805</v>
      </c>
      <c r="O107" s="22" t="s">
        <v>37</v>
      </c>
      <c r="P107" s="105">
        <v>0</v>
      </c>
      <c r="Q107" s="114">
        <v>1</v>
      </c>
      <c r="R107" s="117">
        <f t="shared" si="6"/>
        <v>0</v>
      </c>
      <c r="S107" s="115">
        <v>202304</v>
      </c>
      <c r="T107" s="97" t="s">
        <v>308</v>
      </c>
      <c r="U107" s="97"/>
      <c r="V107" s="97"/>
      <c r="W107" s="97"/>
      <c r="X107" s="116">
        <v>44805</v>
      </c>
      <c r="Y107" s="116">
        <v>45016</v>
      </c>
    </row>
    <row r="108" s="85" customFormat="1" customHeight="1" spans="1:25">
      <c r="A108" s="24" t="s">
        <v>109</v>
      </c>
      <c r="B108" s="96" t="s">
        <v>26</v>
      </c>
      <c r="C108" s="22" t="s">
        <v>44</v>
      </c>
      <c r="D108" s="96" t="s">
        <v>28</v>
      </c>
      <c r="E108" s="97" t="s">
        <v>154</v>
      </c>
      <c r="F108" s="22" t="s">
        <v>155</v>
      </c>
      <c r="G108" s="24" t="s">
        <v>31</v>
      </c>
      <c r="H108" s="97" t="s">
        <v>301</v>
      </c>
      <c r="I108" s="46" t="e">
        <f>VLOOKUP(H108,'合同高级查询数据-4月返'!A:A,1,FALSE)</f>
        <v>#N/A</v>
      </c>
      <c r="J108" s="47" t="s">
        <v>33</v>
      </c>
      <c r="K108" s="22" t="s">
        <v>203</v>
      </c>
      <c r="L108" s="22" t="s">
        <v>307</v>
      </c>
      <c r="M108" s="22" t="s">
        <v>205</v>
      </c>
      <c r="N108" s="50">
        <v>44926</v>
      </c>
      <c r="O108" s="22" t="s">
        <v>37</v>
      </c>
      <c r="P108" s="105">
        <v>0</v>
      </c>
      <c r="Q108" s="114">
        <v>-1</v>
      </c>
      <c r="R108" s="117">
        <f t="shared" ref="R108:R122" si="7">ROUND(P108*Q108,2)</f>
        <v>0</v>
      </c>
      <c r="S108" s="115">
        <v>202304</v>
      </c>
      <c r="T108" s="97" t="s">
        <v>308</v>
      </c>
      <c r="U108" s="97"/>
      <c r="V108" s="97"/>
      <c r="W108" s="97"/>
      <c r="X108" s="116">
        <v>44805</v>
      </c>
      <c r="Y108" s="116">
        <v>45016</v>
      </c>
    </row>
    <row r="109" s="85" customFormat="1" customHeight="1" spans="1:25">
      <c r="A109" s="24" t="s">
        <v>152</v>
      </c>
      <c r="B109" s="96" t="s">
        <v>26</v>
      </c>
      <c r="C109" s="22" t="s">
        <v>153</v>
      </c>
      <c r="D109" s="96" t="s">
        <v>28</v>
      </c>
      <c r="E109" s="97" t="s">
        <v>154</v>
      </c>
      <c r="F109" s="22" t="s">
        <v>155</v>
      </c>
      <c r="G109" s="24" t="s">
        <v>31</v>
      </c>
      <c r="H109" s="97" t="s">
        <v>309</v>
      </c>
      <c r="I109" s="46" t="e">
        <f>VLOOKUP(H109,'合同高级查询数据-4月返'!A:A,1,FALSE)</f>
        <v>#N/A</v>
      </c>
      <c r="J109" s="47" t="s">
        <v>33</v>
      </c>
      <c r="K109" s="22" t="s">
        <v>157</v>
      </c>
      <c r="L109" s="22" t="s">
        <v>310</v>
      </c>
      <c r="M109" s="22" t="s">
        <v>311</v>
      </c>
      <c r="N109" s="50">
        <v>44805</v>
      </c>
      <c r="O109" s="22" t="s">
        <v>37</v>
      </c>
      <c r="P109" s="105">
        <v>0</v>
      </c>
      <c r="Q109" s="114">
        <v>1</v>
      </c>
      <c r="R109" s="117">
        <f t="shared" si="7"/>
        <v>0</v>
      </c>
      <c r="S109" s="115">
        <v>202304</v>
      </c>
      <c r="T109" s="97" t="s">
        <v>312</v>
      </c>
      <c r="U109" s="97"/>
      <c r="V109" s="97"/>
      <c r="W109" s="97"/>
      <c r="X109" s="116">
        <v>44805</v>
      </c>
      <c r="Y109" s="116">
        <v>45016</v>
      </c>
    </row>
    <row r="110" s="85" customFormat="1" customHeight="1" spans="1:25">
      <c r="A110" s="24" t="s">
        <v>152</v>
      </c>
      <c r="B110" s="96" t="s">
        <v>26</v>
      </c>
      <c r="C110" s="22" t="s">
        <v>153</v>
      </c>
      <c r="D110" s="96" t="s">
        <v>28</v>
      </c>
      <c r="E110" s="97" t="s">
        <v>154</v>
      </c>
      <c r="F110" s="22" t="s">
        <v>155</v>
      </c>
      <c r="G110" s="24" t="s">
        <v>31</v>
      </c>
      <c r="H110" s="97" t="s">
        <v>309</v>
      </c>
      <c r="I110" s="46" t="e">
        <f>VLOOKUP(H110,'合同高级查询数据-4月返'!A:A,1,FALSE)</f>
        <v>#N/A</v>
      </c>
      <c r="J110" s="47" t="s">
        <v>33</v>
      </c>
      <c r="K110" s="22" t="s">
        <v>157</v>
      </c>
      <c r="L110" s="22" t="s">
        <v>310</v>
      </c>
      <c r="M110" s="22" t="s">
        <v>311</v>
      </c>
      <c r="N110" s="50">
        <v>44985</v>
      </c>
      <c r="O110" s="22" t="s">
        <v>37</v>
      </c>
      <c r="P110" s="105">
        <v>0</v>
      </c>
      <c r="Q110" s="114">
        <v>-1</v>
      </c>
      <c r="R110" s="117">
        <f t="shared" si="7"/>
        <v>0</v>
      </c>
      <c r="S110" s="115">
        <v>202304</v>
      </c>
      <c r="T110" s="97" t="s">
        <v>313</v>
      </c>
      <c r="U110" s="97"/>
      <c r="V110" s="97"/>
      <c r="W110" s="97"/>
      <c r="X110" s="116">
        <v>44805</v>
      </c>
      <c r="Y110" s="116">
        <v>45016</v>
      </c>
    </row>
    <row r="111" s="85" customFormat="1" customHeight="1" spans="1:25">
      <c r="A111" s="24" t="s">
        <v>152</v>
      </c>
      <c r="B111" s="96" t="s">
        <v>26</v>
      </c>
      <c r="C111" s="22" t="s">
        <v>153</v>
      </c>
      <c r="D111" s="96" t="s">
        <v>28</v>
      </c>
      <c r="E111" s="97" t="s">
        <v>154</v>
      </c>
      <c r="F111" s="22" t="s">
        <v>155</v>
      </c>
      <c r="G111" s="24" t="s">
        <v>31</v>
      </c>
      <c r="H111" s="97" t="s">
        <v>309</v>
      </c>
      <c r="I111" s="46" t="e">
        <f>VLOOKUP(H111,'合同高级查询数据-4月返'!A:A,1,FALSE)</f>
        <v>#N/A</v>
      </c>
      <c r="J111" s="47" t="s">
        <v>33</v>
      </c>
      <c r="K111" s="22" t="s">
        <v>157</v>
      </c>
      <c r="L111" s="22" t="s">
        <v>314</v>
      </c>
      <c r="M111" s="22" t="s">
        <v>311</v>
      </c>
      <c r="N111" s="50">
        <v>44805</v>
      </c>
      <c r="O111" s="22" t="s">
        <v>37</v>
      </c>
      <c r="P111" s="105">
        <v>0</v>
      </c>
      <c r="Q111" s="114">
        <v>1</v>
      </c>
      <c r="R111" s="117">
        <f t="shared" si="7"/>
        <v>0</v>
      </c>
      <c r="S111" s="115">
        <v>202304</v>
      </c>
      <c r="T111" s="97" t="s">
        <v>315</v>
      </c>
      <c r="U111" s="97"/>
      <c r="V111" s="97"/>
      <c r="W111" s="97"/>
      <c r="X111" s="116">
        <v>44805</v>
      </c>
      <c r="Y111" s="116">
        <v>45016</v>
      </c>
    </row>
    <row r="112" s="85" customFormat="1" customHeight="1" spans="1:25">
      <c r="A112" s="24" t="s">
        <v>152</v>
      </c>
      <c r="B112" s="96" t="s">
        <v>26</v>
      </c>
      <c r="C112" s="22" t="s">
        <v>153</v>
      </c>
      <c r="D112" s="96" t="s">
        <v>28</v>
      </c>
      <c r="E112" s="97" t="s">
        <v>154</v>
      </c>
      <c r="F112" s="22" t="s">
        <v>155</v>
      </c>
      <c r="G112" s="24" t="s">
        <v>31</v>
      </c>
      <c r="H112" s="97" t="s">
        <v>309</v>
      </c>
      <c r="I112" s="46" t="e">
        <f>VLOOKUP(H112,'合同高级查询数据-4月返'!A:A,1,FALSE)</f>
        <v>#N/A</v>
      </c>
      <c r="J112" s="47" t="s">
        <v>33</v>
      </c>
      <c r="K112" s="22" t="s">
        <v>157</v>
      </c>
      <c r="L112" s="22" t="s">
        <v>314</v>
      </c>
      <c r="M112" s="22" t="s">
        <v>311</v>
      </c>
      <c r="N112" s="50">
        <v>44985</v>
      </c>
      <c r="O112" s="22" t="s">
        <v>37</v>
      </c>
      <c r="P112" s="105">
        <v>0</v>
      </c>
      <c r="Q112" s="114">
        <v>-1</v>
      </c>
      <c r="R112" s="117">
        <f t="shared" si="7"/>
        <v>0</v>
      </c>
      <c r="S112" s="115">
        <v>202304</v>
      </c>
      <c r="T112" s="97" t="s">
        <v>316</v>
      </c>
      <c r="U112" s="97"/>
      <c r="V112" s="97"/>
      <c r="W112" s="97"/>
      <c r="X112" s="116">
        <v>44805</v>
      </c>
      <c r="Y112" s="116">
        <v>45016</v>
      </c>
    </row>
    <row r="113" s="86" customFormat="1" customHeight="1" spans="1:25">
      <c r="A113" s="11" t="s">
        <v>152</v>
      </c>
      <c r="B113" s="102" t="s">
        <v>26</v>
      </c>
      <c r="C113" s="35" t="s">
        <v>153</v>
      </c>
      <c r="D113" s="102" t="s">
        <v>28</v>
      </c>
      <c r="E113" s="104" t="s">
        <v>154</v>
      </c>
      <c r="F113" s="35" t="s">
        <v>155</v>
      </c>
      <c r="G113" s="11" t="s">
        <v>31</v>
      </c>
      <c r="H113" s="103" t="s">
        <v>317</v>
      </c>
      <c r="I113" s="30" t="e">
        <f>VLOOKUP(H113,'合同高级查询数据-4月返'!A:A,1,FALSE)</f>
        <v>#N/A</v>
      </c>
      <c r="J113" s="31" t="s">
        <v>33</v>
      </c>
      <c r="K113" s="35" t="s">
        <v>157</v>
      </c>
      <c r="L113" s="35" t="s">
        <v>318</v>
      </c>
      <c r="M113" s="35" t="s">
        <v>319</v>
      </c>
      <c r="N113" s="34">
        <v>44987</v>
      </c>
      <c r="O113" s="35" t="s">
        <v>37</v>
      </c>
      <c r="P113" s="112">
        <v>0</v>
      </c>
      <c r="Q113" s="125">
        <v>1</v>
      </c>
      <c r="R113" s="126">
        <f t="shared" si="7"/>
        <v>0</v>
      </c>
      <c r="S113" s="127">
        <v>202304</v>
      </c>
      <c r="T113" s="104" t="s">
        <v>320</v>
      </c>
      <c r="U113" s="104"/>
      <c r="V113" s="104"/>
      <c r="W113" s="104"/>
      <c r="X113" s="131"/>
      <c r="Y113" s="131"/>
    </row>
    <row r="114" s="86" customFormat="1" customHeight="1" spans="1:25">
      <c r="A114" s="11" t="s">
        <v>152</v>
      </c>
      <c r="B114" s="102" t="s">
        <v>26</v>
      </c>
      <c r="C114" s="35" t="s">
        <v>153</v>
      </c>
      <c r="D114" s="102" t="s">
        <v>28</v>
      </c>
      <c r="E114" s="104" t="s">
        <v>154</v>
      </c>
      <c r="F114" s="35" t="s">
        <v>155</v>
      </c>
      <c r="G114" s="11" t="s">
        <v>31</v>
      </c>
      <c r="H114" s="103" t="s">
        <v>317</v>
      </c>
      <c r="I114" s="30" t="e">
        <f>VLOOKUP(H114,'合同高级查询数据-4月返'!A:A,1,FALSE)</f>
        <v>#N/A</v>
      </c>
      <c r="J114" s="31" t="s">
        <v>33</v>
      </c>
      <c r="K114" s="35" t="s">
        <v>157</v>
      </c>
      <c r="L114" s="35" t="s">
        <v>321</v>
      </c>
      <c r="M114" s="35" t="s">
        <v>319</v>
      </c>
      <c r="N114" s="34">
        <v>44987</v>
      </c>
      <c r="O114" s="35" t="s">
        <v>37</v>
      </c>
      <c r="P114" s="112">
        <v>0</v>
      </c>
      <c r="Q114" s="125">
        <v>1</v>
      </c>
      <c r="R114" s="126">
        <f t="shared" si="7"/>
        <v>0</v>
      </c>
      <c r="S114" s="127">
        <v>202304</v>
      </c>
      <c r="T114" s="104" t="s">
        <v>322</v>
      </c>
      <c r="U114" s="104"/>
      <c r="V114" s="104"/>
      <c r="W114" s="104"/>
      <c r="X114" s="131"/>
      <c r="Y114" s="131"/>
    </row>
    <row r="115" s="85" customFormat="1" customHeight="1" spans="1:25">
      <c r="A115" s="24" t="s">
        <v>152</v>
      </c>
      <c r="B115" s="96" t="s">
        <v>26</v>
      </c>
      <c r="C115" s="22" t="s">
        <v>153</v>
      </c>
      <c r="D115" s="96" t="s">
        <v>28</v>
      </c>
      <c r="E115" s="97" t="s">
        <v>154</v>
      </c>
      <c r="F115" s="22" t="s">
        <v>155</v>
      </c>
      <c r="G115" s="24" t="s">
        <v>31</v>
      </c>
      <c r="H115" s="46" t="s">
        <v>323</v>
      </c>
      <c r="I115" s="46" t="e">
        <f>VLOOKUP(H115,'合同高级查询数据-4月返'!A:A,1,FALSE)</f>
        <v>#N/A</v>
      </c>
      <c r="J115" s="47" t="s">
        <v>33</v>
      </c>
      <c r="K115" s="22" t="s">
        <v>157</v>
      </c>
      <c r="L115" s="22" t="s">
        <v>324</v>
      </c>
      <c r="M115" s="22" t="s">
        <v>311</v>
      </c>
      <c r="N115" s="50">
        <v>44826</v>
      </c>
      <c r="O115" s="22" t="s">
        <v>37</v>
      </c>
      <c r="P115" s="105">
        <v>0</v>
      </c>
      <c r="Q115" s="114">
        <v>1</v>
      </c>
      <c r="R115" s="117">
        <f t="shared" si="7"/>
        <v>0</v>
      </c>
      <c r="S115" s="115">
        <v>202304</v>
      </c>
      <c r="T115" s="97" t="s">
        <v>325</v>
      </c>
      <c r="U115" s="97"/>
      <c r="V115" s="97"/>
      <c r="W115" s="97"/>
      <c r="X115" s="116">
        <v>44835</v>
      </c>
      <c r="Y115" s="116">
        <v>45016</v>
      </c>
    </row>
    <row r="116" s="85" customFormat="1" customHeight="1" spans="1:25">
      <c r="A116" s="24" t="s">
        <v>152</v>
      </c>
      <c r="B116" s="96" t="s">
        <v>26</v>
      </c>
      <c r="C116" s="22" t="s">
        <v>153</v>
      </c>
      <c r="D116" s="96" t="s">
        <v>28</v>
      </c>
      <c r="E116" s="97" t="s">
        <v>154</v>
      </c>
      <c r="F116" s="22" t="s">
        <v>155</v>
      </c>
      <c r="G116" s="24" t="s">
        <v>31</v>
      </c>
      <c r="H116" s="46" t="s">
        <v>323</v>
      </c>
      <c r="I116" s="46" t="e">
        <f>VLOOKUP(H116,'合同高级查询数据-4月返'!A:A,1,FALSE)</f>
        <v>#N/A</v>
      </c>
      <c r="J116" s="47" t="s">
        <v>33</v>
      </c>
      <c r="K116" s="22" t="s">
        <v>157</v>
      </c>
      <c r="L116" s="22" t="s">
        <v>324</v>
      </c>
      <c r="M116" s="22" t="s">
        <v>311</v>
      </c>
      <c r="N116" s="50">
        <v>44985</v>
      </c>
      <c r="O116" s="22" t="s">
        <v>37</v>
      </c>
      <c r="P116" s="105">
        <v>0</v>
      </c>
      <c r="Q116" s="114">
        <v>-1</v>
      </c>
      <c r="R116" s="117">
        <f t="shared" si="7"/>
        <v>0</v>
      </c>
      <c r="S116" s="115">
        <v>202304</v>
      </c>
      <c r="T116" s="97" t="s">
        <v>326</v>
      </c>
      <c r="U116" s="97"/>
      <c r="V116" s="97"/>
      <c r="W116" s="97"/>
      <c r="X116" s="116">
        <v>44835</v>
      </c>
      <c r="Y116" s="116">
        <v>45016</v>
      </c>
    </row>
    <row r="117" s="86" customFormat="1" customHeight="1" spans="1:25">
      <c r="A117" s="11" t="s">
        <v>152</v>
      </c>
      <c r="B117" s="102" t="s">
        <v>26</v>
      </c>
      <c r="C117" s="35" t="s">
        <v>153</v>
      </c>
      <c r="D117" s="102" t="s">
        <v>28</v>
      </c>
      <c r="E117" s="104" t="s">
        <v>154</v>
      </c>
      <c r="F117" s="35" t="s">
        <v>155</v>
      </c>
      <c r="G117" s="11" t="s">
        <v>31</v>
      </c>
      <c r="H117" s="30" t="s">
        <v>327</v>
      </c>
      <c r="I117" s="30" t="e">
        <f>VLOOKUP(H117,'合同高级查询数据-4月返'!A:A,1,FALSE)</f>
        <v>#N/A</v>
      </c>
      <c r="J117" s="31" t="s">
        <v>33</v>
      </c>
      <c r="K117" s="35" t="s">
        <v>157</v>
      </c>
      <c r="L117" s="35" t="s">
        <v>328</v>
      </c>
      <c r="M117" s="35" t="s">
        <v>319</v>
      </c>
      <c r="N117" s="34">
        <v>44987</v>
      </c>
      <c r="O117" s="35" t="s">
        <v>37</v>
      </c>
      <c r="P117" s="112">
        <v>0</v>
      </c>
      <c r="Q117" s="125">
        <v>1</v>
      </c>
      <c r="R117" s="126">
        <f t="shared" si="7"/>
        <v>0</v>
      </c>
      <c r="S117" s="127">
        <v>202304</v>
      </c>
      <c r="T117" s="104" t="s">
        <v>329</v>
      </c>
      <c r="U117" s="104"/>
      <c r="V117" s="104"/>
      <c r="W117" s="104"/>
      <c r="X117" s="131"/>
      <c r="Y117" s="131"/>
    </row>
    <row r="118" s="86" customFormat="1" customHeight="1" spans="1:25">
      <c r="A118" s="11" t="s">
        <v>152</v>
      </c>
      <c r="B118" s="102" t="s">
        <v>26</v>
      </c>
      <c r="C118" s="35" t="s">
        <v>330</v>
      </c>
      <c r="D118" s="102" t="s">
        <v>28</v>
      </c>
      <c r="E118" s="104" t="s">
        <v>154</v>
      </c>
      <c r="F118" s="35" t="s">
        <v>155</v>
      </c>
      <c r="G118" s="11" t="s">
        <v>31</v>
      </c>
      <c r="H118" s="30" t="s">
        <v>331</v>
      </c>
      <c r="I118" s="30" t="e">
        <f>VLOOKUP(H118,'合同高级查询数据-4月返'!A:A,1,FALSE)</f>
        <v>#N/A</v>
      </c>
      <c r="J118" s="31" t="s">
        <v>33</v>
      </c>
      <c r="K118" s="35" t="s">
        <v>332</v>
      </c>
      <c r="L118" s="35" t="s">
        <v>333</v>
      </c>
      <c r="M118" s="35" t="s">
        <v>334</v>
      </c>
      <c r="N118" s="34">
        <v>44807</v>
      </c>
      <c r="O118" s="35" t="s">
        <v>37</v>
      </c>
      <c r="P118" s="112">
        <v>0</v>
      </c>
      <c r="Q118" s="125">
        <v>32</v>
      </c>
      <c r="R118" s="126">
        <f t="shared" si="7"/>
        <v>0</v>
      </c>
      <c r="S118" s="127">
        <v>202304</v>
      </c>
      <c r="T118" s="104" t="s">
        <v>335</v>
      </c>
      <c r="U118" s="104"/>
      <c r="V118" s="104"/>
      <c r="W118" s="104"/>
      <c r="X118" s="131"/>
      <c r="Y118" s="131"/>
    </row>
    <row r="119" s="86" customFormat="1" customHeight="1" spans="1:25">
      <c r="A119" s="11" t="s">
        <v>152</v>
      </c>
      <c r="B119" s="102" t="s">
        <v>26</v>
      </c>
      <c r="C119" s="35" t="s">
        <v>330</v>
      </c>
      <c r="D119" s="102" t="s">
        <v>28</v>
      </c>
      <c r="E119" s="104" t="s">
        <v>154</v>
      </c>
      <c r="F119" s="35" t="s">
        <v>155</v>
      </c>
      <c r="G119" s="11" t="s">
        <v>31</v>
      </c>
      <c r="H119" s="30" t="s">
        <v>331</v>
      </c>
      <c r="I119" s="30" t="e">
        <f>VLOOKUP(H119,'合同高级查询数据-4月返'!A:A,1,FALSE)</f>
        <v>#N/A</v>
      </c>
      <c r="J119" s="31" t="s">
        <v>33</v>
      </c>
      <c r="K119" s="35" t="s">
        <v>332</v>
      </c>
      <c r="L119" s="35" t="s">
        <v>333</v>
      </c>
      <c r="M119" s="35" t="s">
        <v>334</v>
      </c>
      <c r="N119" s="34">
        <v>44817</v>
      </c>
      <c r="O119" s="35" t="s">
        <v>37</v>
      </c>
      <c r="P119" s="112">
        <v>0</v>
      </c>
      <c r="Q119" s="125">
        <v>-32</v>
      </c>
      <c r="R119" s="126">
        <f t="shared" si="7"/>
        <v>0</v>
      </c>
      <c r="S119" s="127">
        <v>202304</v>
      </c>
      <c r="T119" s="104" t="s">
        <v>336</v>
      </c>
      <c r="U119" s="104"/>
      <c r="V119" s="104"/>
      <c r="W119" s="104"/>
      <c r="X119" s="131"/>
      <c r="Y119" s="131"/>
    </row>
    <row r="120" s="86" customFormat="1" customHeight="1" spans="1:25">
      <c r="A120" s="101" t="s">
        <v>109</v>
      </c>
      <c r="B120" s="102" t="s">
        <v>26</v>
      </c>
      <c r="C120" s="35" t="s">
        <v>337</v>
      </c>
      <c r="D120" s="102" t="s">
        <v>28</v>
      </c>
      <c r="E120" s="13" t="s">
        <v>154</v>
      </c>
      <c r="F120" s="11" t="s">
        <v>155</v>
      </c>
      <c r="G120" s="11" t="s">
        <v>31</v>
      </c>
      <c r="H120" s="103" t="s">
        <v>338</v>
      </c>
      <c r="I120" s="30" t="e">
        <f>VLOOKUP(H120,'合同高级查询数据-4月返'!A:A,1,FALSE)</f>
        <v>#N/A</v>
      </c>
      <c r="J120" s="31" t="s">
        <v>33</v>
      </c>
      <c r="K120" s="11" t="s">
        <v>339</v>
      </c>
      <c r="L120" s="32" t="s">
        <v>340</v>
      </c>
      <c r="M120" s="113" t="s">
        <v>341</v>
      </c>
      <c r="N120" s="34">
        <v>44622</v>
      </c>
      <c r="O120" s="34" t="s">
        <v>37</v>
      </c>
      <c r="P120" s="112">
        <v>0</v>
      </c>
      <c r="Q120" s="125">
        <v>40</v>
      </c>
      <c r="R120" s="126">
        <f t="shared" si="7"/>
        <v>0</v>
      </c>
      <c r="S120" s="127">
        <v>202304</v>
      </c>
      <c r="T120" s="60" t="s">
        <v>342</v>
      </c>
      <c r="U120" s="104"/>
      <c r="V120" s="133"/>
      <c r="W120" s="133"/>
      <c r="X120" s="131"/>
      <c r="Y120" s="131"/>
    </row>
    <row r="121" s="86" customFormat="1" customHeight="1" spans="1:25">
      <c r="A121" s="101" t="s">
        <v>109</v>
      </c>
      <c r="B121" s="102" t="s">
        <v>26</v>
      </c>
      <c r="C121" s="35" t="s">
        <v>337</v>
      </c>
      <c r="D121" s="102" t="s">
        <v>28</v>
      </c>
      <c r="E121" s="13" t="s">
        <v>154</v>
      </c>
      <c r="F121" s="11" t="s">
        <v>155</v>
      </c>
      <c r="G121" s="11" t="s">
        <v>78</v>
      </c>
      <c r="H121" s="103" t="s">
        <v>338</v>
      </c>
      <c r="I121" s="30" t="e">
        <f>VLOOKUP(H121,'合同高级查询数据-4月返'!A:A,1,FALSE)</f>
        <v>#N/A</v>
      </c>
      <c r="J121" s="31" t="s">
        <v>162</v>
      </c>
      <c r="K121" s="11" t="s">
        <v>339</v>
      </c>
      <c r="L121" s="32" t="s">
        <v>340</v>
      </c>
      <c r="M121" s="113" t="s">
        <v>341</v>
      </c>
      <c r="N121" s="34">
        <v>44622</v>
      </c>
      <c r="O121" s="34" t="s">
        <v>163</v>
      </c>
      <c r="P121" s="112">
        <v>0</v>
      </c>
      <c r="Q121" s="125">
        <v>2</v>
      </c>
      <c r="R121" s="126">
        <f t="shared" si="7"/>
        <v>0</v>
      </c>
      <c r="S121" s="127">
        <v>202304</v>
      </c>
      <c r="T121" s="60" t="s">
        <v>343</v>
      </c>
      <c r="U121" s="104"/>
      <c r="V121" s="133"/>
      <c r="W121" s="133"/>
      <c r="X121" s="131"/>
      <c r="Y121" s="131"/>
    </row>
    <row r="122" s="86" customFormat="1" customHeight="1" spans="1:25">
      <c r="A122" s="134" t="s">
        <v>61</v>
      </c>
      <c r="B122" s="11" t="s">
        <v>83</v>
      </c>
      <c r="C122" s="135" t="s">
        <v>238</v>
      </c>
      <c r="D122" s="11" t="s">
        <v>85</v>
      </c>
      <c r="E122" s="136" t="s">
        <v>344</v>
      </c>
      <c r="F122" s="134" t="s">
        <v>345</v>
      </c>
      <c r="G122" s="110" t="s">
        <v>346</v>
      </c>
      <c r="H122" s="137" t="s">
        <v>347</v>
      </c>
      <c r="I122" s="30" t="e">
        <f>VLOOKUP(H122,'合同高级查询数据-4月返'!A:A,1,FALSE)</f>
        <v>#N/A</v>
      </c>
      <c r="J122" s="140" t="s">
        <v>348</v>
      </c>
      <c r="K122" s="141" t="s">
        <v>63</v>
      </c>
      <c r="L122" s="142"/>
      <c r="M122" s="113"/>
      <c r="N122" s="143" t="s">
        <v>349</v>
      </c>
      <c r="O122" s="144" t="s">
        <v>350</v>
      </c>
      <c r="P122" s="145">
        <f>36080+10*167.2</f>
        <v>37752</v>
      </c>
      <c r="Q122" s="130">
        <v>1</v>
      </c>
      <c r="R122" s="130">
        <f t="shared" si="7"/>
        <v>37752</v>
      </c>
      <c r="S122" s="127">
        <v>202304</v>
      </c>
      <c r="T122" s="147" t="s">
        <v>351</v>
      </c>
      <c r="U122" s="148"/>
      <c r="V122" s="149"/>
      <c r="W122" s="149"/>
      <c r="X122" s="131"/>
      <c r="Y122" s="131"/>
    </row>
    <row r="123" s="86" customFormat="1" customHeight="1" spans="1:25">
      <c r="A123" s="134" t="s">
        <v>61</v>
      </c>
      <c r="B123" s="11" t="s">
        <v>83</v>
      </c>
      <c r="C123" s="135" t="s">
        <v>63</v>
      </c>
      <c r="D123" s="11" t="s">
        <v>85</v>
      </c>
      <c r="E123" s="136" t="s">
        <v>344</v>
      </c>
      <c r="F123" s="134" t="s">
        <v>345</v>
      </c>
      <c r="G123" s="110" t="s">
        <v>346</v>
      </c>
      <c r="H123" s="137" t="s">
        <v>347</v>
      </c>
      <c r="I123" s="30" t="e">
        <f>VLOOKUP(H123,'合同高级查询数据-4月返'!A:A,1,FALSE)</f>
        <v>#N/A</v>
      </c>
      <c r="J123" s="110" t="s">
        <v>352</v>
      </c>
      <c r="K123" s="141" t="s">
        <v>63</v>
      </c>
      <c r="L123" s="142"/>
      <c r="M123" s="113"/>
      <c r="N123" s="146">
        <v>43112</v>
      </c>
      <c r="O123" s="142" t="s">
        <v>353</v>
      </c>
      <c r="P123" s="145">
        <v>1300</v>
      </c>
      <c r="Q123" s="130">
        <v>1</v>
      </c>
      <c r="R123" s="130">
        <v>0</v>
      </c>
      <c r="S123" s="127">
        <v>202304</v>
      </c>
      <c r="T123" s="150" t="s">
        <v>354</v>
      </c>
      <c r="U123" s="148"/>
      <c r="V123" s="149"/>
      <c r="W123" s="149"/>
      <c r="X123" s="131"/>
      <c r="Y123" s="131"/>
    </row>
    <row r="124" s="86" customFormat="1" customHeight="1" spans="1:25">
      <c r="A124" s="134" t="s">
        <v>61</v>
      </c>
      <c r="B124" s="11" t="s">
        <v>83</v>
      </c>
      <c r="C124" s="135" t="s">
        <v>63</v>
      </c>
      <c r="D124" s="11" t="s">
        <v>85</v>
      </c>
      <c r="E124" s="136" t="s">
        <v>344</v>
      </c>
      <c r="F124" s="134" t="s">
        <v>345</v>
      </c>
      <c r="G124" s="110" t="s">
        <v>346</v>
      </c>
      <c r="H124" s="137" t="s">
        <v>347</v>
      </c>
      <c r="I124" s="30" t="e">
        <f>VLOOKUP(H124,'合同高级查询数据-4月返'!A:A,1,FALSE)</f>
        <v>#N/A</v>
      </c>
      <c r="J124" s="110" t="s">
        <v>355</v>
      </c>
      <c r="K124" s="141" t="s">
        <v>63</v>
      </c>
      <c r="L124" s="142"/>
      <c r="M124" s="113"/>
      <c r="N124" s="146">
        <v>43238</v>
      </c>
      <c r="O124" s="142" t="s">
        <v>356</v>
      </c>
      <c r="P124" s="145">
        <v>2730</v>
      </c>
      <c r="Q124" s="130">
        <v>1</v>
      </c>
      <c r="R124" s="130">
        <v>0</v>
      </c>
      <c r="S124" s="127">
        <v>202304</v>
      </c>
      <c r="T124" s="150" t="s">
        <v>354</v>
      </c>
      <c r="U124" s="148"/>
      <c r="V124" s="149"/>
      <c r="W124" s="149"/>
      <c r="X124" s="131"/>
      <c r="Y124" s="131"/>
    </row>
    <row r="125" s="86" customFormat="1" customHeight="1" spans="1:25">
      <c r="A125" s="134" t="s">
        <v>61</v>
      </c>
      <c r="B125" s="11" t="s">
        <v>83</v>
      </c>
      <c r="C125" s="135" t="s">
        <v>63</v>
      </c>
      <c r="D125" s="11" t="s">
        <v>85</v>
      </c>
      <c r="E125" s="136" t="s">
        <v>344</v>
      </c>
      <c r="F125" s="134" t="s">
        <v>345</v>
      </c>
      <c r="G125" s="110" t="s">
        <v>88</v>
      </c>
      <c r="H125" s="137" t="s">
        <v>347</v>
      </c>
      <c r="I125" s="30" t="e">
        <f>VLOOKUP(H125,'合同高级查询数据-4月返'!A:A,1,FALSE)</f>
        <v>#N/A</v>
      </c>
      <c r="J125" s="110" t="s">
        <v>357</v>
      </c>
      <c r="K125" s="141" t="s">
        <v>63</v>
      </c>
      <c r="L125" s="142"/>
      <c r="M125" s="113" t="s">
        <v>358</v>
      </c>
      <c r="N125" s="146">
        <v>43893</v>
      </c>
      <c r="O125" s="142" t="s">
        <v>359</v>
      </c>
      <c r="P125" s="145">
        <f>0.848352*1.55</f>
        <v>1.3149456</v>
      </c>
      <c r="Q125" s="145">
        <v>240000</v>
      </c>
      <c r="R125" s="130">
        <f t="shared" ref="R125:R188" si="8">ROUND(P125*Q125,2)</f>
        <v>315586.94</v>
      </c>
      <c r="S125" s="127">
        <v>202304</v>
      </c>
      <c r="T125" s="147" t="s">
        <v>360</v>
      </c>
      <c r="U125" s="148"/>
      <c r="V125" s="149"/>
      <c r="W125" s="149"/>
      <c r="X125" s="131"/>
      <c r="Y125" s="131"/>
    </row>
    <row r="126" s="86" customFormat="1" customHeight="1" spans="1:25">
      <c r="A126" s="134" t="s">
        <v>61</v>
      </c>
      <c r="B126" s="11" t="s">
        <v>83</v>
      </c>
      <c r="C126" s="135" t="s">
        <v>63</v>
      </c>
      <c r="D126" s="11" t="s">
        <v>85</v>
      </c>
      <c r="E126" s="136" t="s">
        <v>344</v>
      </c>
      <c r="F126" s="134" t="s">
        <v>345</v>
      </c>
      <c r="G126" s="110" t="s">
        <v>67</v>
      </c>
      <c r="H126" s="137" t="s">
        <v>347</v>
      </c>
      <c r="I126" s="30" t="e">
        <f>VLOOKUP(H126,'合同高级查询数据-4月返'!A:A,1,FALSE)</f>
        <v>#N/A</v>
      </c>
      <c r="J126" s="110" t="s">
        <v>69</v>
      </c>
      <c r="K126" s="141" t="s">
        <v>63</v>
      </c>
      <c r="L126" s="142"/>
      <c r="M126" s="113"/>
      <c r="N126" s="146">
        <v>42994</v>
      </c>
      <c r="O126" s="142" t="s">
        <v>71</v>
      </c>
      <c r="P126" s="145">
        <v>600</v>
      </c>
      <c r="Q126" s="130">
        <v>1</v>
      </c>
      <c r="R126" s="130">
        <f t="shared" si="8"/>
        <v>600</v>
      </c>
      <c r="S126" s="127">
        <v>202304</v>
      </c>
      <c r="T126" s="150" t="s">
        <v>361</v>
      </c>
      <c r="U126" s="148"/>
      <c r="V126" s="149"/>
      <c r="W126" s="149"/>
      <c r="X126" s="131"/>
      <c r="Y126" s="131"/>
    </row>
    <row r="127" s="86" customFormat="1" customHeight="1" spans="1:25">
      <c r="A127" s="134" t="s">
        <v>61</v>
      </c>
      <c r="B127" s="11" t="s">
        <v>83</v>
      </c>
      <c r="C127" s="135" t="s">
        <v>63</v>
      </c>
      <c r="D127" s="11" t="s">
        <v>85</v>
      </c>
      <c r="E127" s="136" t="s">
        <v>344</v>
      </c>
      <c r="F127" s="134" t="s">
        <v>345</v>
      </c>
      <c r="G127" s="110" t="s">
        <v>67</v>
      </c>
      <c r="H127" s="137" t="s">
        <v>347</v>
      </c>
      <c r="I127" s="30" t="e">
        <f>VLOOKUP(H127,'合同高级查询数据-4月返'!A:A,1,FALSE)</f>
        <v>#N/A</v>
      </c>
      <c r="J127" s="110" t="s">
        <v>69</v>
      </c>
      <c r="K127" s="141" t="s">
        <v>63</v>
      </c>
      <c r="L127" s="142"/>
      <c r="M127" s="113"/>
      <c r="N127" s="146">
        <v>43006</v>
      </c>
      <c r="O127" s="142" t="s">
        <v>71</v>
      </c>
      <c r="P127" s="145">
        <v>600</v>
      </c>
      <c r="Q127" s="130">
        <v>1</v>
      </c>
      <c r="R127" s="130">
        <f t="shared" si="8"/>
        <v>600</v>
      </c>
      <c r="S127" s="127">
        <v>202304</v>
      </c>
      <c r="T127" s="150" t="s">
        <v>362</v>
      </c>
      <c r="U127" s="148"/>
      <c r="V127" s="149"/>
      <c r="W127" s="149"/>
      <c r="X127" s="131"/>
      <c r="Y127" s="131"/>
    </row>
    <row r="128" s="86" customFormat="1" customHeight="1" spans="1:25">
      <c r="A128" s="134" t="s">
        <v>61</v>
      </c>
      <c r="B128" s="11" t="s">
        <v>83</v>
      </c>
      <c r="C128" s="135" t="s">
        <v>63</v>
      </c>
      <c r="D128" s="11" t="s">
        <v>85</v>
      </c>
      <c r="E128" s="136" t="s">
        <v>344</v>
      </c>
      <c r="F128" s="134" t="s">
        <v>345</v>
      </c>
      <c r="G128" s="110" t="s">
        <v>67</v>
      </c>
      <c r="H128" s="137" t="s">
        <v>347</v>
      </c>
      <c r="I128" s="30" t="e">
        <f>VLOOKUP(H128,'合同高级查询数据-4月返'!A:A,1,FALSE)</f>
        <v>#N/A</v>
      </c>
      <c r="J128" s="110" t="s">
        <v>69</v>
      </c>
      <c r="K128" s="141" t="s">
        <v>63</v>
      </c>
      <c r="L128" s="142"/>
      <c r="M128" s="113"/>
      <c r="N128" s="146">
        <v>43076</v>
      </c>
      <c r="O128" s="142" t="s">
        <v>71</v>
      </c>
      <c r="P128" s="145">
        <v>600</v>
      </c>
      <c r="Q128" s="130">
        <v>1</v>
      </c>
      <c r="R128" s="130">
        <f t="shared" si="8"/>
        <v>600</v>
      </c>
      <c r="S128" s="127">
        <v>202304</v>
      </c>
      <c r="T128" s="150" t="s">
        <v>363</v>
      </c>
      <c r="U128" s="148"/>
      <c r="V128" s="149"/>
      <c r="W128" s="149"/>
      <c r="X128" s="131"/>
      <c r="Y128" s="131"/>
    </row>
    <row r="129" s="86" customFormat="1" customHeight="1" spans="1:25">
      <c r="A129" s="134" t="s">
        <v>61</v>
      </c>
      <c r="B129" s="11" t="s">
        <v>83</v>
      </c>
      <c r="C129" s="135" t="s">
        <v>63</v>
      </c>
      <c r="D129" s="11" t="s">
        <v>85</v>
      </c>
      <c r="E129" s="136" t="s">
        <v>344</v>
      </c>
      <c r="F129" s="134" t="s">
        <v>345</v>
      </c>
      <c r="G129" s="110" t="s">
        <v>67</v>
      </c>
      <c r="H129" s="137" t="s">
        <v>347</v>
      </c>
      <c r="I129" s="30" t="e">
        <f>VLOOKUP(H129,'合同高级查询数据-4月返'!A:A,1,FALSE)</f>
        <v>#N/A</v>
      </c>
      <c r="J129" s="110" t="s">
        <v>69</v>
      </c>
      <c r="K129" s="141" t="s">
        <v>63</v>
      </c>
      <c r="L129" s="142"/>
      <c r="M129" s="113"/>
      <c r="N129" s="146">
        <v>43077</v>
      </c>
      <c r="O129" s="142" t="s">
        <v>71</v>
      </c>
      <c r="P129" s="145">
        <v>600</v>
      </c>
      <c r="Q129" s="130">
        <v>1</v>
      </c>
      <c r="R129" s="130">
        <f t="shared" si="8"/>
        <v>600</v>
      </c>
      <c r="S129" s="127">
        <v>202304</v>
      </c>
      <c r="T129" s="150" t="s">
        <v>364</v>
      </c>
      <c r="U129" s="148"/>
      <c r="V129" s="149"/>
      <c r="W129" s="149"/>
      <c r="X129" s="131"/>
      <c r="Y129" s="131"/>
    </row>
    <row r="130" s="86" customFormat="1" customHeight="1" spans="1:25">
      <c r="A130" s="134" t="s">
        <v>61</v>
      </c>
      <c r="B130" s="11" t="s">
        <v>83</v>
      </c>
      <c r="C130" s="135" t="s">
        <v>63</v>
      </c>
      <c r="D130" s="11" t="s">
        <v>85</v>
      </c>
      <c r="E130" s="136" t="s">
        <v>344</v>
      </c>
      <c r="F130" s="134" t="s">
        <v>345</v>
      </c>
      <c r="G130" s="110" t="s">
        <v>67</v>
      </c>
      <c r="H130" s="137" t="s">
        <v>347</v>
      </c>
      <c r="I130" s="30" t="e">
        <f>VLOOKUP(H130,'合同高级查询数据-4月返'!A:A,1,FALSE)</f>
        <v>#N/A</v>
      </c>
      <c r="J130" s="110" t="s">
        <v>69</v>
      </c>
      <c r="K130" s="141" t="s">
        <v>63</v>
      </c>
      <c r="L130" s="142"/>
      <c r="M130" s="113"/>
      <c r="N130" s="146">
        <v>43103</v>
      </c>
      <c r="O130" s="142" t="s">
        <v>71</v>
      </c>
      <c r="P130" s="145">
        <v>600</v>
      </c>
      <c r="Q130" s="130">
        <v>1</v>
      </c>
      <c r="R130" s="130">
        <f t="shared" si="8"/>
        <v>600</v>
      </c>
      <c r="S130" s="127">
        <v>202304</v>
      </c>
      <c r="T130" s="150" t="s">
        <v>365</v>
      </c>
      <c r="U130" s="148"/>
      <c r="V130" s="149"/>
      <c r="W130" s="149"/>
      <c r="X130" s="131"/>
      <c r="Y130" s="131"/>
    </row>
    <row r="131" s="86" customFormat="1" customHeight="1" spans="1:25">
      <c r="A131" s="134" t="s">
        <v>61</v>
      </c>
      <c r="B131" s="11" t="s">
        <v>83</v>
      </c>
      <c r="C131" s="135" t="s">
        <v>63</v>
      </c>
      <c r="D131" s="11" t="s">
        <v>85</v>
      </c>
      <c r="E131" s="136" t="s">
        <v>344</v>
      </c>
      <c r="F131" s="134" t="s">
        <v>345</v>
      </c>
      <c r="G131" s="110" t="s">
        <v>67</v>
      </c>
      <c r="H131" s="137" t="s">
        <v>347</v>
      </c>
      <c r="I131" s="30" t="e">
        <f>VLOOKUP(H131,'合同高级查询数据-4月返'!A:A,1,FALSE)</f>
        <v>#N/A</v>
      </c>
      <c r="J131" s="110" t="s">
        <v>69</v>
      </c>
      <c r="K131" s="141" t="s">
        <v>63</v>
      </c>
      <c r="L131" s="142"/>
      <c r="M131" s="113"/>
      <c r="N131" s="146">
        <v>43008</v>
      </c>
      <c r="O131" s="142" t="s">
        <v>71</v>
      </c>
      <c r="P131" s="145">
        <v>600</v>
      </c>
      <c r="Q131" s="130">
        <v>1</v>
      </c>
      <c r="R131" s="130">
        <f t="shared" si="8"/>
        <v>600</v>
      </c>
      <c r="S131" s="127">
        <v>202304</v>
      </c>
      <c r="T131" s="150" t="s">
        <v>366</v>
      </c>
      <c r="U131" s="148"/>
      <c r="V131" s="149"/>
      <c r="W131" s="149"/>
      <c r="X131" s="131"/>
      <c r="Y131" s="131"/>
    </row>
    <row r="132" s="86" customFormat="1" customHeight="1" spans="1:25">
      <c r="A132" s="134" t="s">
        <v>61</v>
      </c>
      <c r="B132" s="11" t="s">
        <v>83</v>
      </c>
      <c r="C132" s="135" t="s">
        <v>63</v>
      </c>
      <c r="D132" s="11" t="s">
        <v>85</v>
      </c>
      <c r="E132" s="136" t="s">
        <v>344</v>
      </c>
      <c r="F132" s="134" t="s">
        <v>345</v>
      </c>
      <c r="G132" s="110" t="s">
        <v>67</v>
      </c>
      <c r="H132" s="137" t="s">
        <v>347</v>
      </c>
      <c r="I132" s="30" t="e">
        <f>VLOOKUP(H132,'合同高级查询数据-4月返'!A:A,1,FALSE)</f>
        <v>#N/A</v>
      </c>
      <c r="J132" s="110" t="s">
        <v>69</v>
      </c>
      <c r="K132" s="141" t="s">
        <v>63</v>
      </c>
      <c r="L132" s="142"/>
      <c r="M132" s="113"/>
      <c r="N132" s="146">
        <v>43229</v>
      </c>
      <c r="O132" s="142" t="s">
        <v>71</v>
      </c>
      <c r="P132" s="145">
        <v>600</v>
      </c>
      <c r="Q132" s="130">
        <v>1</v>
      </c>
      <c r="R132" s="130">
        <f t="shared" si="8"/>
        <v>600</v>
      </c>
      <c r="S132" s="127">
        <v>202304</v>
      </c>
      <c r="T132" s="150" t="s">
        <v>367</v>
      </c>
      <c r="U132" s="148"/>
      <c r="V132" s="149"/>
      <c r="W132" s="149"/>
      <c r="X132" s="131"/>
      <c r="Y132" s="131"/>
    </row>
    <row r="133" s="86" customFormat="1" customHeight="1" spans="1:25">
      <c r="A133" s="134" t="s">
        <v>61</v>
      </c>
      <c r="B133" s="11" t="s">
        <v>83</v>
      </c>
      <c r="C133" s="135" t="s">
        <v>63</v>
      </c>
      <c r="D133" s="11" t="s">
        <v>85</v>
      </c>
      <c r="E133" s="136" t="s">
        <v>344</v>
      </c>
      <c r="F133" s="134" t="s">
        <v>345</v>
      </c>
      <c r="G133" s="110" t="s">
        <v>67</v>
      </c>
      <c r="H133" s="137" t="s">
        <v>347</v>
      </c>
      <c r="I133" s="30" t="e">
        <f>VLOOKUP(H133,'合同高级查询数据-4月返'!A:A,1,FALSE)</f>
        <v>#N/A</v>
      </c>
      <c r="J133" s="110" t="s">
        <v>69</v>
      </c>
      <c r="K133" s="141" t="s">
        <v>63</v>
      </c>
      <c r="L133" s="142"/>
      <c r="M133" s="113"/>
      <c r="N133" s="146">
        <v>43236</v>
      </c>
      <c r="O133" s="142" t="s">
        <v>71</v>
      </c>
      <c r="P133" s="145">
        <v>600</v>
      </c>
      <c r="Q133" s="130">
        <v>1</v>
      </c>
      <c r="R133" s="130">
        <f t="shared" si="8"/>
        <v>600</v>
      </c>
      <c r="S133" s="127">
        <v>202304</v>
      </c>
      <c r="T133" s="150" t="s">
        <v>368</v>
      </c>
      <c r="U133" s="148"/>
      <c r="V133" s="149"/>
      <c r="W133" s="149"/>
      <c r="X133" s="131"/>
      <c r="Y133" s="131"/>
    </row>
    <row r="134" s="86" customFormat="1" customHeight="1" spans="1:25">
      <c r="A134" s="134" t="s">
        <v>61</v>
      </c>
      <c r="B134" s="11" t="s">
        <v>83</v>
      </c>
      <c r="C134" s="135" t="s">
        <v>63</v>
      </c>
      <c r="D134" s="11" t="s">
        <v>85</v>
      </c>
      <c r="E134" s="136" t="s">
        <v>344</v>
      </c>
      <c r="F134" s="134" t="s">
        <v>345</v>
      </c>
      <c r="G134" s="110" t="s">
        <v>67</v>
      </c>
      <c r="H134" s="137" t="s">
        <v>347</v>
      </c>
      <c r="I134" s="30" t="e">
        <f>VLOOKUP(H134,'合同高级查询数据-4月返'!A:A,1,FALSE)</f>
        <v>#N/A</v>
      </c>
      <c r="J134" s="110" t="s">
        <v>69</v>
      </c>
      <c r="K134" s="141" t="s">
        <v>63</v>
      </c>
      <c r="L134" s="142"/>
      <c r="M134" s="113"/>
      <c r="N134" s="146">
        <v>43242</v>
      </c>
      <c r="O134" s="142" t="s">
        <v>71</v>
      </c>
      <c r="P134" s="145">
        <v>600</v>
      </c>
      <c r="Q134" s="130">
        <v>1</v>
      </c>
      <c r="R134" s="130">
        <f t="shared" si="8"/>
        <v>600</v>
      </c>
      <c r="S134" s="127">
        <v>202304</v>
      </c>
      <c r="T134" s="150" t="s">
        <v>369</v>
      </c>
      <c r="U134" s="148"/>
      <c r="V134" s="149"/>
      <c r="W134" s="149"/>
      <c r="X134" s="131"/>
      <c r="Y134" s="131"/>
    </row>
    <row r="135" s="86" customFormat="1" customHeight="1" spans="1:25">
      <c r="A135" s="134" t="s">
        <v>61</v>
      </c>
      <c r="B135" s="11" t="s">
        <v>83</v>
      </c>
      <c r="C135" s="135" t="s">
        <v>63</v>
      </c>
      <c r="D135" s="11" t="s">
        <v>85</v>
      </c>
      <c r="E135" s="136" t="s">
        <v>344</v>
      </c>
      <c r="F135" s="134" t="s">
        <v>345</v>
      </c>
      <c r="G135" s="110" t="s">
        <v>67</v>
      </c>
      <c r="H135" s="137" t="s">
        <v>347</v>
      </c>
      <c r="I135" s="30" t="e">
        <f>VLOOKUP(H135,'合同高级查询数据-4月返'!A:A,1,FALSE)</f>
        <v>#N/A</v>
      </c>
      <c r="J135" s="110" t="s">
        <v>69</v>
      </c>
      <c r="K135" s="141" t="s">
        <v>63</v>
      </c>
      <c r="L135" s="142"/>
      <c r="M135" s="113"/>
      <c r="N135" s="146">
        <v>43351</v>
      </c>
      <c r="O135" s="142" t="s">
        <v>71</v>
      </c>
      <c r="P135" s="145">
        <v>600</v>
      </c>
      <c r="Q135" s="130">
        <v>1</v>
      </c>
      <c r="R135" s="130">
        <f t="shared" si="8"/>
        <v>600</v>
      </c>
      <c r="S135" s="127">
        <v>202304</v>
      </c>
      <c r="T135" s="150" t="s">
        <v>370</v>
      </c>
      <c r="U135" s="148"/>
      <c r="V135" s="149"/>
      <c r="W135" s="149"/>
      <c r="X135" s="131"/>
      <c r="Y135" s="131"/>
    </row>
    <row r="136" s="86" customFormat="1" customHeight="1" spans="1:25">
      <c r="A136" s="134" t="s">
        <v>61</v>
      </c>
      <c r="B136" s="11" t="s">
        <v>83</v>
      </c>
      <c r="C136" s="135" t="s">
        <v>63</v>
      </c>
      <c r="D136" s="11" t="s">
        <v>85</v>
      </c>
      <c r="E136" s="136" t="s">
        <v>344</v>
      </c>
      <c r="F136" s="134" t="s">
        <v>345</v>
      </c>
      <c r="G136" s="110" t="s">
        <v>67</v>
      </c>
      <c r="H136" s="137" t="s">
        <v>347</v>
      </c>
      <c r="I136" s="30" t="e">
        <f>VLOOKUP(H136,'合同高级查询数据-4月返'!A:A,1,FALSE)</f>
        <v>#N/A</v>
      </c>
      <c r="J136" s="110" t="s">
        <v>69</v>
      </c>
      <c r="K136" s="141" t="s">
        <v>63</v>
      </c>
      <c r="L136" s="142"/>
      <c r="M136" s="113"/>
      <c r="N136" s="146">
        <v>43351</v>
      </c>
      <c r="O136" s="142" t="s">
        <v>71</v>
      </c>
      <c r="P136" s="145">
        <v>600</v>
      </c>
      <c r="Q136" s="130">
        <v>1</v>
      </c>
      <c r="R136" s="130">
        <f t="shared" si="8"/>
        <v>600</v>
      </c>
      <c r="S136" s="127">
        <v>202304</v>
      </c>
      <c r="T136" s="150" t="s">
        <v>371</v>
      </c>
      <c r="U136" s="148"/>
      <c r="V136" s="149"/>
      <c r="W136" s="149"/>
      <c r="X136" s="131"/>
      <c r="Y136" s="131"/>
    </row>
    <row r="137" s="86" customFormat="1" customHeight="1" spans="1:25">
      <c r="A137" s="134" t="s">
        <v>61</v>
      </c>
      <c r="B137" s="11" t="s">
        <v>83</v>
      </c>
      <c r="C137" s="135" t="s">
        <v>63</v>
      </c>
      <c r="D137" s="11" t="s">
        <v>85</v>
      </c>
      <c r="E137" s="136" t="s">
        <v>344</v>
      </c>
      <c r="F137" s="134" t="s">
        <v>345</v>
      </c>
      <c r="G137" s="110" t="s">
        <v>67</v>
      </c>
      <c r="H137" s="137" t="s">
        <v>347</v>
      </c>
      <c r="I137" s="30" t="e">
        <f>VLOOKUP(H137,'合同高级查询数据-4月返'!A:A,1,FALSE)</f>
        <v>#N/A</v>
      </c>
      <c r="J137" s="110" t="s">
        <v>69</v>
      </c>
      <c r="K137" s="141" t="s">
        <v>63</v>
      </c>
      <c r="L137" s="142"/>
      <c r="M137" s="113"/>
      <c r="N137" s="146">
        <v>43351</v>
      </c>
      <c r="O137" s="142" t="s">
        <v>71</v>
      </c>
      <c r="P137" s="145">
        <v>600</v>
      </c>
      <c r="Q137" s="130">
        <v>1</v>
      </c>
      <c r="R137" s="130">
        <f t="shared" si="8"/>
        <v>600</v>
      </c>
      <c r="S137" s="127">
        <v>202304</v>
      </c>
      <c r="T137" s="150" t="s">
        <v>372</v>
      </c>
      <c r="U137" s="148"/>
      <c r="V137" s="149"/>
      <c r="W137" s="149"/>
      <c r="X137" s="131"/>
      <c r="Y137" s="131"/>
    </row>
    <row r="138" s="86" customFormat="1" customHeight="1" spans="1:25">
      <c r="A138" s="134" t="s">
        <v>61</v>
      </c>
      <c r="B138" s="11" t="s">
        <v>83</v>
      </c>
      <c r="C138" s="135" t="s">
        <v>63</v>
      </c>
      <c r="D138" s="11" t="s">
        <v>85</v>
      </c>
      <c r="E138" s="136" t="s">
        <v>344</v>
      </c>
      <c r="F138" s="134" t="s">
        <v>345</v>
      </c>
      <c r="G138" s="110" t="s">
        <v>67</v>
      </c>
      <c r="H138" s="137" t="s">
        <v>347</v>
      </c>
      <c r="I138" s="30" t="e">
        <f>VLOOKUP(H138,'合同高级查询数据-4月返'!A:A,1,FALSE)</f>
        <v>#N/A</v>
      </c>
      <c r="J138" s="110" t="s">
        <v>69</v>
      </c>
      <c r="K138" s="141" t="s">
        <v>63</v>
      </c>
      <c r="L138" s="142"/>
      <c r="M138" s="113"/>
      <c r="N138" s="146">
        <v>43351</v>
      </c>
      <c r="O138" s="142" t="s">
        <v>71</v>
      </c>
      <c r="P138" s="145">
        <v>600</v>
      </c>
      <c r="Q138" s="130">
        <v>1</v>
      </c>
      <c r="R138" s="130">
        <f t="shared" si="8"/>
        <v>600</v>
      </c>
      <c r="S138" s="127">
        <v>202304</v>
      </c>
      <c r="T138" s="150" t="s">
        <v>373</v>
      </c>
      <c r="U138" s="148"/>
      <c r="V138" s="149"/>
      <c r="W138" s="149"/>
      <c r="X138" s="131"/>
      <c r="Y138" s="131"/>
    </row>
    <row r="139" s="86" customFormat="1" customHeight="1" spans="1:25">
      <c r="A139" s="134" t="s">
        <v>61</v>
      </c>
      <c r="B139" s="11" t="s">
        <v>83</v>
      </c>
      <c r="C139" s="135" t="s">
        <v>63</v>
      </c>
      <c r="D139" s="11" t="s">
        <v>85</v>
      </c>
      <c r="E139" s="136" t="s">
        <v>344</v>
      </c>
      <c r="F139" s="134" t="s">
        <v>345</v>
      </c>
      <c r="G139" s="110" t="s">
        <v>67</v>
      </c>
      <c r="H139" s="137" t="s">
        <v>347</v>
      </c>
      <c r="I139" s="30" t="e">
        <f>VLOOKUP(H139,'合同高级查询数据-4月返'!A:A,1,FALSE)</f>
        <v>#N/A</v>
      </c>
      <c r="J139" s="110" t="s">
        <v>69</v>
      </c>
      <c r="K139" s="141" t="s">
        <v>63</v>
      </c>
      <c r="L139" s="142"/>
      <c r="M139" s="113"/>
      <c r="N139" s="146">
        <v>43392</v>
      </c>
      <c r="O139" s="142" t="s">
        <v>71</v>
      </c>
      <c r="P139" s="145">
        <v>600</v>
      </c>
      <c r="Q139" s="130">
        <v>1</v>
      </c>
      <c r="R139" s="130">
        <f t="shared" si="8"/>
        <v>600</v>
      </c>
      <c r="S139" s="127">
        <v>202304</v>
      </c>
      <c r="T139" s="150" t="s">
        <v>374</v>
      </c>
      <c r="U139" s="148"/>
      <c r="V139" s="149"/>
      <c r="W139" s="149"/>
      <c r="X139" s="131"/>
      <c r="Y139" s="131"/>
    </row>
    <row r="140" s="86" customFormat="1" customHeight="1" spans="1:25">
      <c r="A140" s="134" t="s">
        <v>61</v>
      </c>
      <c r="B140" s="11" t="s">
        <v>83</v>
      </c>
      <c r="C140" s="135" t="s">
        <v>63</v>
      </c>
      <c r="D140" s="11" t="s">
        <v>85</v>
      </c>
      <c r="E140" s="136" t="s">
        <v>344</v>
      </c>
      <c r="F140" s="134" t="s">
        <v>345</v>
      </c>
      <c r="G140" s="110" t="s">
        <v>67</v>
      </c>
      <c r="H140" s="137" t="s">
        <v>347</v>
      </c>
      <c r="I140" s="30" t="e">
        <f>VLOOKUP(H140,'合同高级查询数据-4月返'!A:A,1,FALSE)</f>
        <v>#N/A</v>
      </c>
      <c r="J140" s="110" t="s">
        <v>69</v>
      </c>
      <c r="K140" s="141" t="s">
        <v>63</v>
      </c>
      <c r="L140" s="142"/>
      <c r="M140" s="113"/>
      <c r="N140" s="146">
        <v>44868</v>
      </c>
      <c r="O140" s="142" t="s">
        <v>71</v>
      </c>
      <c r="P140" s="145">
        <v>600</v>
      </c>
      <c r="Q140" s="130">
        <v>-1</v>
      </c>
      <c r="R140" s="130">
        <f t="shared" si="8"/>
        <v>-600</v>
      </c>
      <c r="S140" s="127">
        <v>202304</v>
      </c>
      <c r="T140" s="150" t="s">
        <v>375</v>
      </c>
      <c r="U140" s="148"/>
      <c r="V140" s="149"/>
      <c r="W140" s="149"/>
      <c r="X140" s="131"/>
      <c r="Y140" s="131"/>
    </row>
    <row r="141" s="86" customFormat="1" customHeight="1" spans="1:25">
      <c r="A141" s="134" t="s">
        <v>61</v>
      </c>
      <c r="B141" s="11" t="s">
        <v>83</v>
      </c>
      <c r="C141" s="135" t="s">
        <v>63</v>
      </c>
      <c r="D141" s="11" t="s">
        <v>85</v>
      </c>
      <c r="E141" s="136" t="s">
        <v>344</v>
      </c>
      <c r="F141" s="134" t="s">
        <v>345</v>
      </c>
      <c r="G141" s="110" t="s">
        <v>67</v>
      </c>
      <c r="H141" s="137" t="s">
        <v>347</v>
      </c>
      <c r="I141" s="30" t="e">
        <f>VLOOKUP(H141,'合同高级查询数据-4月返'!A:A,1,FALSE)</f>
        <v>#N/A</v>
      </c>
      <c r="J141" s="110" t="s">
        <v>69</v>
      </c>
      <c r="K141" s="141" t="s">
        <v>63</v>
      </c>
      <c r="L141" s="142"/>
      <c r="M141" s="113"/>
      <c r="N141" s="146">
        <v>43615</v>
      </c>
      <c r="O141" s="142" t="s">
        <v>71</v>
      </c>
      <c r="P141" s="145">
        <v>600</v>
      </c>
      <c r="Q141" s="130">
        <v>1</v>
      </c>
      <c r="R141" s="130">
        <f t="shared" si="8"/>
        <v>600</v>
      </c>
      <c r="S141" s="127">
        <v>202304</v>
      </c>
      <c r="T141" s="150" t="s">
        <v>376</v>
      </c>
      <c r="U141" s="148"/>
      <c r="V141" s="149"/>
      <c r="W141" s="149"/>
      <c r="X141" s="131"/>
      <c r="Y141" s="131"/>
    </row>
    <row r="142" s="86" customFormat="1" customHeight="1" spans="1:25">
      <c r="A142" s="134" t="s">
        <v>61</v>
      </c>
      <c r="B142" s="11" t="s">
        <v>83</v>
      </c>
      <c r="C142" s="135" t="s">
        <v>63</v>
      </c>
      <c r="D142" s="11" t="s">
        <v>85</v>
      </c>
      <c r="E142" s="136" t="s">
        <v>344</v>
      </c>
      <c r="F142" s="134" t="s">
        <v>345</v>
      </c>
      <c r="G142" s="110" t="s">
        <v>67</v>
      </c>
      <c r="H142" s="137" t="s">
        <v>347</v>
      </c>
      <c r="I142" s="30" t="e">
        <f>VLOOKUP(H142,'合同高级查询数据-4月返'!A:A,1,FALSE)</f>
        <v>#N/A</v>
      </c>
      <c r="J142" s="110" t="s">
        <v>69</v>
      </c>
      <c r="K142" s="141" t="s">
        <v>63</v>
      </c>
      <c r="L142" s="142"/>
      <c r="M142" s="113"/>
      <c r="N142" s="146">
        <v>43706</v>
      </c>
      <c r="O142" s="142" t="s">
        <v>71</v>
      </c>
      <c r="P142" s="145">
        <v>600</v>
      </c>
      <c r="Q142" s="130">
        <v>1</v>
      </c>
      <c r="R142" s="130">
        <f t="shared" si="8"/>
        <v>600</v>
      </c>
      <c r="S142" s="127">
        <v>202304</v>
      </c>
      <c r="T142" s="150" t="s">
        <v>377</v>
      </c>
      <c r="U142" s="148"/>
      <c r="V142" s="149"/>
      <c r="W142" s="149"/>
      <c r="X142" s="131"/>
      <c r="Y142" s="131"/>
    </row>
    <row r="143" s="86" customFormat="1" customHeight="1" spans="1:25">
      <c r="A143" s="134" t="s">
        <v>61</v>
      </c>
      <c r="B143" s="11" t="s">
        <v>83</v>
      </c>
      <c r="C143" s="135" t="s">
        <v>63</v>
      </c>
      <c r="D143" s="11" t="s">
        <v>85</v>
      </c>
      <c r="E143" s="136" t="s">
        <v>344</v>
      </c>
      <c r="F143" s="134" t="s">
        <v>345</v>
      </c>
      <c r="G143" s="110" t="s">
        <v>67</v>
      </c>
      <c r="H143" s="137" t="s">
        <v>347</v>
      </c>
      <c r="I143" s="30" t="e">
        <f>VLOOKUP(H143,'合同高级查询数据-4月返'!A:A,1,FALSE)</f>
        <v>#N/A</v>
      </c>
      <c r="J143" s="110" t="s">
        <v>69</v>
      </c>
      <c r="K143" s="141" t="s">
        <v>63</v>
      </c>
      <c r="L143" s="142"/>
      <c r="M143" s="113"/>
      <c r="N143" s="146" t="s">
        <v>378</v>
      </c>
      <c r="O143" s="142" t="s">
        <v>71</v>
      </c>
      <c r="P143" s="145">
        <v>600</v>
      </c>
      <c r="Q143" s="130">
        <v>0</v>
      </c>
      <c r="R143" s="130">
        <f t="shared" si="8"/>
        <v>0</v>
      </c>
      <c r="S143" s="127">
        <v>202304</v>
      </c>
      <c r="T143" s="150" t="s">
        <v>379</v>
      </c>
      <c r="U143" s="148"/>
      <c r="V143" s="149"/>
      <c r="W143" s="149"/>
      <c r="X143" s="131"/>
      <c r="Y143" s="131"/>
    </row>
    <row r="144" s="86" customFormat="1" customHeight="1" spans="1:25">
      <c r="A144" s="134" t="s">
        <v>61</v>
      </c>
      <c r="B144" s="11" t="s">
        <v>83</v>
      </c>
      <c r="C144" s="135" t="s">
        <v>63</v>
      </c>
      <c r="D144" s="11" t="s">
        <v>85</v>
      </c>
      <c r="E144" s="136" t="s">
        <v>344</v>
      </c>
      <c r="F144" s="134" t="s">
        <v>345</v>
      </c>
      <c r="G144" s="110" t="s">
        <v>67</v>
      </c>
      <c r="H144" s="137" t="s">
        <v>347</v>
      </c>
      <c r="I144" s="30" t="e">
        <f>VLOOKUP(H144,'合同高级查询数据-4月返'!A:A,1,FALSE)</f>
        <v>#N/A</v>
      </c>
      <c r="J144" s="110" t="s">
        <v>69</v>
      </c>
      <c r="K144" s="141" t="s">
        <v>63</v>
      </c>
      <c r="L144" s="142"/>
      <c r="M144" s="113"/>
      <c r="N144" s="146" t="s">
        <v>378</v>
      </c>
      <c r="O144" s="142" t="s">
        <v>71</v>
      </c>
      <c r="P144" s="145">
        <v>600</v>
      </c>
      <c r="Q144" s="130">
        <v>0</v>
      </c>
      <c r="R144" s="130">
        <f t="shared" si="8"/>
        <v>0</v>
      </c>
      <c r="S144" s="127">
        <v>202304</v>
      </c>
      <c r="T144" s="150" t="s">
        <v>380</v>
      </c>
      <c r="U144" s="148"/>
      <c r="V144" s="149"/>
      <c r="W144" s="149"/>
      <c r="X144" s="131"/>
      <c r="Y144" s="131"/>
    </row>
    <row r="145" s="86" customFormat="1" customHeight="1" spans="1:25">
      <c r="A145" s="134" t="s">
        <v>61</v>
      </c>
      <c r="B145" s="11" t="s">
        <v>83</v>
      </c>
      <c r="C145" s="135" t="s">
        <v>63</v>
      </c>
      <c r="D145" s="11" t="s">
        <v>85</v>
      </c>
      <c r="E145" s="136" t="s">
        <v>344</v>
      </c>
      <c r="F145" s="134" t="s">
        <v>345</v>
      </c>
      <c r="G145" s="110" t="s">
        <v>67</v>
      </c>
      <c r="H145" s="137" t="s">
        <v>347</v>
      </c>
      <c r="I145" s="30" t="e">
        <f>VLOOKUP(H145,'合同高级查询数据-4月返'!A:A,1,FALSE)</f>
        <v>#N/A</v>
      </c>
      <c r="J145" s="110" t="s">
        <v>69</v>
      </c>
      <c r="K145" s="141" t="s">
        <v>63</v>
      </c>
      <c r="L145" s="142"/>
      <c r="M145" s="113"/>
      <c r="N145" s="146" t="s">
        <v>378</v>
      </c>
      <c r="O145" s="142" t="s">
        <v>71</v>
      </c>
      <c r="P145" s="145">
        <v>600</v>
      </c>
      <c r="Q145" s="130">
        <v>0</v>
      </c>
      <c r="R145" s="130">
        <f t="shared" si="8"/>
        <v>0</v>
      </c>
      <c r="S145" s="127">
        <v>202304</v>
      </c>
      <c r="T145" s="150" t="s">
        <v>381</v>
      </c>
      <c r="U145" s="148"/>
      <c r="V145" s="149"/>
      <c r="W145" s="149"/>
      <c r="X145" s="131"/>
      <c r="Y145" s="131"/>
    </row>
    <row r="146" s="86" customFormat="1" customHeight="1" spans="1:25">
      <c r="A146" s="134" t="s">
        <v>61</v>
      </c>
      <c r="B146" s="11" t="s">
        <v>83</v>
      </c>
      <c r="C146" s="135" t="s">
        <v>63</v>
      </c>
      <c r="D146" s="11" t="s">
        <v>85</v>
      </c>
      <c r="E146" s="136" t="s">
        <v>344</v>
      </c>
      <c r="F146" s="134" t="s">
        <v>345</v>
      </c>
      <c r="G146" s="110" t="s">
        <v>67</v>
      </c>
      <c r="H146" s="137" t="s">
        <v>347</v>
      </c>
      <c r="I146" s="30" t="e">
        <f>VLOOKUP(H146,'合同高级查询数据-4月返'!A:A,1,FALSE)</f>
        <v>#N/A</v>
      </c>
      <c r="J146" s="110" t="s">
        <v>69</v>
      </c>
      <c r="K146" s="141" t="s">
        <v>63</v>
      </c>
      <c r="L146" s="142"/>
      <c r="M146" s="113"/>
      <c r="N146" s="146" t="s">
        <v>378</v>
      </c>
      <c r="O146" s="142" t="s">
        <v>71</v>
      </c>
      <c r="P146" s="145">
        <v>600</v>
      </c>
      <c r="Q146" s="130">
        <v>0</v>
      </c>
      <c r="R146" s="130">
        <f t="shared" si="8"/>
        <v>0</v>
      </c>
      <c r="S146" s="127">
        <v>202304</v>
      </c>
      <c r="T146" s="150" t="s">
        <v>382</v>
      </c>
      <c r="U146" s="148"/>
      <c r="V146" s="149"/>
      <c r="W146" s="149"/>
      <c r="X146" s="131"/>
      <c r="Y146" s="131"/>
    </row>
    <row r="147" s="86" customFormat="1" customHeight="1" spans="1:25">
      <c r="A147" s="134" t="s">
        <v>61</v>
      </c>
      <c r="B147" s="11" t="s">
        <v>83</v>
      </c>
      <c r="C147" s="135" t="s">
        <v>63</v>
      </c>
      <c r="D147" s="11" t="s">
        <v>85</v>
      </c>
      <c r="E147" s="136" t="s">
        <v>344</v>
      </c>
      <c r="F147" s="134" t="s">
        <v>345</v>
      </c>
      <c r="G147" s="110" t="s">
        <v>67</v>
      </c>
      <c r="H147" s="137" t="s">
        <v>347</v>
      </c>
      <c r="I147" s="30" t="e">
        <f>VLOOKUP(H147,'合同高级查询数据-4月返'!A:A,1,FALSE)</f>
        <v>#N/A</v>
      </c>
      <c r="J147" s="110" t="s">
        <v>69</v>
      </c>
      <c r="K147" s="141" t="s">
        <v>63</v>
      </c>
      <c r="L147" s="142"/>
      <c r="M147" s="113"/>
      <c r="N147" s="146">
        <v>43711</v>
      </c>
      <c r="O147" s="142" t="s">
        <v>71</v>
      </c>
      <c r="P147" s="145">
        <v>600</v>
      </c>
      <c r="Q147" s="130">
        <v>1</v>
      </c>
      <c r="R147" s="130">
        <f t="shared" si="8"/>
        <v>600</v>
      </c>
      <c r="S147" s="127">
        <v>202304</v>
      </c>
      <c r="T147" s="150" t="s">
        <v>383</v>
      </c>
      <c r="U147" s="148"/>
      <c r="V147" s="149"/>
      <c r="W147" s="149"/>
      <c r="X147" s="131"/>
      <c r="Y147" s="131"/>
    </row>
    <row r="148" s="86" customFormat="1" customHeight="1" spans="1:25">
      <c r="A148" s="134" t="s">
        <v>61</v>
      </c>
      <c r="B148" s="11" t="s">
        <v>83</v>
      </c>
      <c r="C148" s="135" t="s">
        <v>63</v>
      </c>
      <c r="D148" s="11" t="s">
        <v>85</v>
      </c>
      <c r="E148" s="136" t="s">
        <v>344</v>
      </c>
      <c r="F148" s="134" t="s">
        <v>345</v>
      </c>
      <c r="G148" s="110" t="s">
        <v>67</v>
      </c>
      <c r="H148" s="137" t="s">
        <v>347</v>
      </c>
      <c r="I148" s="30" t="e">
        <f>VLOOKUP(H148,'合同高级查询数据-4月返'!A:A,1,FALSE)</f>
        <v>#N/A</v>
      </c>
      <c r="J148" s="110" t="s">
        <v>69</v>
      </c>
      <c r="K148" s="141" t="s">
        <v>63</v>
      </c>
      <c r="L148" s="142"/>
      <c r="M148" s="113"/>
      <c r="N148" s="146">
        <v>43784</v>
      </c>
      <c r="O148" s="142" t="s">
        <v>71</v>
      </c>
      <c r="P148" s="145">
        <v>600</v>
      </c>
      <c r="Q148" s="130">
        <v>1</v>
      </c>
      <c r="R148" s="130">
        <f t="shared" si="8"/>
        <v>600</v>
      </c>
      <c r="S148" s="127">
        <v>202304</v>
      </c>
      <c r="T148" s="150" t="s">
        <v>384</v>
      </c>
      <c r="U148" s="148"/>
      <c r="V148" s="149"/>
      <c r="W148" s="149"/>
      <c r="X148" s="131"/>
      <c r="Y148" s="131"/>
    </row>
    <row r="149" s="86" customFormat="1" customHeight="1" spans="1:25">
      <c r="A149" s="134" t="s">
        <v>61</v>
      </c>
      <c r="B149" s="11" t="s">
        <v>83</v>
      </c>
      <c r="C149" s="135" t="s">
        <v>63</v>
      </c>
      <c r="D149" s="11" t="s">
        <v>85</v>
      </c>
      <c r="E149" s="136" t="s">
        <v>344</v>
      </c>
      <c r="F149" s="134" t="s">
        <v>345</v>
      </c>
      <c r="G149" s="110" t="s">
        <v>67</v>
      </c>
      <c r="H149" s="137" t="s">
        <v>347</v>
      </c>
      <c r="I149" s="30" t="e">
        <f>VLOOKUP(H149,'合同高级查询数据-4月返'!A:A,1,FALSE)</f>
        <v>#N/A</v>
      </c>
      <c r="J149" s="110" t="s">
        <v>69</v>
      </c>
      <c r="K149" s="141" t="s">
        <v>63</v>
      </c>
      <c r="L149" s="142"/>
      <c r="M149" s="113"/>
      <c r="N149" s="146">
        <v>43784</v>
      </c>
      <c r="O149" s="142" t="s">
        <v>71</v>
      </c>
      <c r="P149" s="145">
        <v>600</v>
      </c>
      <c r="Q149" s="130">
        <v>1</v>
      </c>
      <c r="R149" s="130">
        <f t="shared" si="8"/>
        <v>600</v>
      </c>
      <c r="S149" s="127">
        <v>202304</v>
      </c>
      <c r="T149" s="150" t="s">
        <v>385</v>
      </c>
      <c r="U149" s="148"/>
      <c r="V149" s="149"/>
      <c r="W149" s="149"/>
      <c r="X149" s="131"/>
      <c r="Y149" s="131"/>
    </row>
    <row r="150" s="86" customFormat="1" customHeight="1" spans="1:25">
      <c r="A150" s="134" t="s">
        <v>61</v>
      </c>
      <c r="B150" s="11" t="s">
        <v>83</v>
      </c>
      <c r="C150" s="135" t="s">
        <v>63</v>
      </c>
      <c r="D150" s="11" t="s">
        <v>85</v>
      </c>
      <c r="E150" s="136" t="s">
        <v>344</v>
      </c>
      <c r="F150" s="134" t="s">
        <v>345</v>
      </c>
      <c r="G150" s="110" t="s">
        <v>67</v>
      </c>
      <c r="H150" s="137" t="s">
        <v>347</v>
      </c>
      <c r="I150" s="30" t="e">
        <f>VLOOKUP(H150,'合同高级查询数据-4月返'!A:A,1,FALSE)</f>
        <v>#N/A</v>
      </c>
      <c r="J150" s="110" t="s">
        <v>69</v>
      </c>
      <c r="K150" s="141" t="s">
        <v>63</v>
      </c>
      <c r="L150" s="142"/>
      <c r="M150" s="113"/>
      <c r="N150" s="146">
        <v>43825</v>
      </c>
      <c r="O150" s="142" t="s">
        <v>71</v>
      </c>
      <c r="P150" s="145">
        <v>600</v>
      </c>
      <c r="Q150" s="130">
        <v>1</v>
      </c>
      <c r="R150" s="130">
        <f t="shared" si="8"/>
        <v>600</v>
      </c>
      <c r="S150" s="127">
        <v>202304</v>
      </c>
      <c r="T150" s="150" t="s">
        <v>386</v>
      </c>
      <c r="U150" s="148"/>
      <c r="V150" s="149"/>
      <c r="W150" s="149"/>
      <c r="X150" s="131"/>
      <c r="Y150" s="131"/>
    </row>
    <row r="151" s="86" customFormat="1" customHeight="1" spans="1:25">
      <c r="A151" s="134" t="s">
        <v>61</v>
      </c>
      <c r="B151" s="11" t="s">
        <v>83</v>
      </c>
      <c r="C151" s="135" t="s">
        <v>63</v>
      </c>
      <c r="D151" s="11" t="s">
        <v>85</v>
      </c>
      <c r="E151" s="136" t="s">
        <v>344</v>
      </c>
      <c r="F151" s="134" t="s">
        <v>345</v>
      </c>
      <c r="G151" s="110" t="s">
        <v>67</v>
      </c>
      <c r="H151" s="137" t="s">
        <v>347</v>
      </c>
      <c r="I151" s="30" t="e">
        <f>VLOOKUP(H151,'合同高级查询数据-4月返'!A:A,1,FALSE)</f>
        <v>#N/A</v>
      </c>
      <c r="J151" s="110" t="s">
        <v>69</v>
      </c>
      <c r="K151" s="141" t="s">
        <v>63</v>
      </c>
      <c r="L151" s="142"/>
      <c r="M151" s="113"/>
      <c r="N151" s="146">
        <v>43825</v>
      </c>
      <c r="O151" s="142" t="s">
        <v>71</v>
      </c>
      <c r="P151" s="145">
        <v>600</v>
      </c>
      <c r="Q151" s="130">
        <v>1</v>
      </c>
      <c r="R151" s="130">
        <f t="shared" si="8"/>
        <v>600</v>
      </c>
      <c r="S151" s="127">
        <v>202304</v>
      </c>
      <c r="T151" s="150" t="s">
        <v>387</v>
      </c>
      <c r="U151" s="148"/>
      <c r="V151" s="149"/>
      <c r="W151" s="149"/>
      <c r="X151" s="131"/>
      <c r="Y151" s="131"/>
    </row>
    <row r="152" s="86" customFormat="1" customHeight="1" spans="1:25">
      <c r="A152" s="134" t="s">
        <v>61</v>
      </c>
      <c r="B152" s="11" t="s">
        <v>83</v>
      </c>
      <c r="C152" s="135" t="s">
        <v>63</v>
      </c>
      <c r="D152" s="11" t="s">
        <v>85</v>
      </c>
      <c r="E152" s="136" t="s">
        <v>344</v>
      </c>
      <c r="F152" s="134" t="s">
        <v>345</v>
      </c>
      <c r="G152" s="110" t="s">
        <v>67</v>
      </c>
      <c r="H152" s="137" t="s">
        <v>347</v>
      </c>
      <c r="I152" s="30" t="e">
        <f>VLOOKUP(H152,'合同高级查询数据-4月返'!A:A,1,FALSE)</f>
        <v>#N/A</v>
      </c>
      <c r="J152" s="110" t="s">
        <v>69</v>
      </c>
      <c r="K152" s="141" t="s">
        <v>63</v>
      </c>
      <c r="L152" s="142"/>
      <c r="M152" s="113"/>
      <c r="N152" s="146" t="s">
        <v>388</v>
      </c>
      <c r="O152" s="142" t="s">
        <v>71</v>
      </c>
      <c r="P152" s="145">
        <v>600</v>
      </c>
      <c r="Q152" s="130">
        <v>0</v>
      </c>
      <c r="R152" s="130">
        <f t="shared" si="8"/>
        <v>0</v>
      </c>
      <c r="S152" s="127">
        <v>202304</v>
      </c>
      <c r="T152" s="150" t="s">
        <v>389</v>
      </c>
      <c r="U152" s="148"/>
      <c r="V152" s="149"/>
      <c r="W152" s="149"/>
      <c r="X152" s="131"/>
      <c r="Y152" s="131"/>
    </row>
    <row r="153" s="86" customFormat="1" customHeight="1" spans="1:25">
      <c r="A153" s="134" t="s">
        <v>61</v>
      </c>
      <c r="B153" s="11" t="s">
        <v>83</v>
      </c>
      <c r="C153" s="135" t="s">
        <v>63</v>
      </c>
      <c r="D153" s="11" t="s">
        <v>85</v>
      </c>
      <c r="E153" s="136" t="s">
        <v>344</v>
      </c>
      <c r="F153" s="134" t="s">
        <v>345</v>
      </c>
      <c r="G153" s="110" t="s">
        <v>67</v>
      </c>
      <c r="H153" s="137" t="s">
        <v>347</v>
      </c>
      <c r="I153" s="30" t="e">
        <f>VLOOKUP(H153,'合同高级查询数据-4月返'!A:A,1,FALSE)</f>
        <v>#N/A</v>
      </c>
      <c r="J153" s="110" t="s">
        <v>69</v>
      </c>
      <c r="K153" s="141" t="s">
        <v>63</v>
      </c>
      <c r="L153" s="142"/>
      <c r="M153" s="113"/>
      <c r="N153" s="146" t="s">
        <v>388</v>
      </c>
      <c r="O153" s="142" t="s">
        <v>71</v>
      </c>
      <c r="P153" s="145">
        <v>600</v>
      </c>
      <c r="Q153" s="130">
        <v>0</v>
      </c>
      <c r="R153" s="130">
        <f t="shared" si="8"/>
        <v>0</v>
      </c>
      <c r="S153" s="127">
        <v>202304</v>
      </c>
      <c r="T153" s="150" t="s">
        <v>390</v>
      </c>
      <c r="U153" s="148"/>
      <c r="V153" s="149"/>
      <c r="W153" s="149"/>
      <c r="X153" s="131"/>
      <c r="Y153" s="131"/>
    </row>
    <row r="154" s="86" customFormat="1" customHeight="1" spans="1:25">
      <c r="A154" s="134" t="s">
        <v>61</v>
      </c>
      <c r="B154" s="11" t="s">
        <v>83</v>
      </c>
      <c r="C154" s="135" t="s">
        <v>63</v>
      </c>
      <c r="D154" s="11" t="s">
        <v>85</v>
      </c>
      <c r="E154" s="136" t="s">
        <v>344</v>
      </c>
      <c r="F154" s="134" t="s">
        <v>345</v>
      </c>
      <c r="G154" s="110" t="s">
        <v>67</v>
      </c>
      <c r="H154" s="137" t="s">
        <v>347</v>
      </c>
      <c r="I154" s="30" t="e">
        <f>VLOOKUP(H154,'合同高级查询数据-4月返'!A:A,1,FALSE)</f>
        <v>#N/A</v>
      </c>
      <c r="J154" s="110" t="s">
        <v>69</v>
      </c>
      <c r="K154" s="141" t="s">
        <v>63</v>
      </c>
      <c r="L154" s="142"/>
      <c r="M154" s="113"/>
      <c r="N154" s="146">
        <v>43894</v>
      </c>
      <c r="O154" s="142" t="s">
        <v>71</v>
      </c>
      <c r="P154" s="145">
        <v>600</v>
      </c>
      <c r="Q154" s="130">
        <v>1</v>
      </c>
      <c r="R154" s="130">
        <f t="shared" si="8"/>
        <v>600</v>
      </c>
      <c r="S154" s="127">
        <v>202304</v>
      </c>
      <c r="T154" s="150" t="s">
        <v>391</v>
      </c>
      <c r="U154" s="148"/>
      <c r="V154" s="149"/>
      <c r="W154" s="149"/>
      <c r="X154" s="131"/>
      <c r="Y154" s="131"/>
    </row>
    <row r="155" s="86" customFormat="1" customHeight="1" spans="1:25">
      <c r="A155" s="134" t="s">
        <v>61</v>
      </c>
      <c r="B155" s="11" t="s">
        <v>83</v>
      </c>
      <c r="C155" s="135" t="s">
        <v>63</v>
      </c>
      <c r="D155" s="11" t="s">
        <v>85</v>
      </c>
      <c r="E155" s="136" t="s">
        <v>344</v>
      </c>
      <c r="F155" s="134" t="s">
        <v>345</v>
      </c>
      <c r="G155" s="110" t="s">
        <v>67</v>
      </c>
      <c r="H155" s="137" t="s">
        <v>347</v>
      </c>
      <c r="I155" s="30" t="e">
        <f>VLOOKUP(H155,'合同高级查询数据-4月返'!A:A,1,FALSE)</f>
        <v>#N/A</v>
      </c>
      <c r="J155" s="110" t="s">
        <v>69</v>
      </c>
      <c r="K155" s="141" t="s">
        <v>63</v>
      </c>
      <c r="L155" s="142"/>
      <c r="M155" s="113"/>
      <c r="N155" s="146">
        <v>44368</v>
      </c>
      <c r="O155" s="142" t="s">
        <v>71</v>
      </c>
      <c r="P155" s="145">
        <v>600</v>
      </c>
      <c r="Q155" s="130">
        <v>-1</v>
      </c>
      <c r="R155" s="130">
        <f t="shared" si="8"/>
        <v>-600</v>
      </c>
      <c r="S155" s="127">
        <v>202304</v>
      </c>
      <c r="T155" s="148" t="s">
        <v>392</v>
      </c>
      <c r="U155" s="148"/>
      <c r="V155" s="149"/>
      <c r="W155" s="149"/>
      <c r="X155" s="131"/>
      <c r="Y155" s="131"/>
    </row>
    <row r="156" s="86" customFormat="1" customHeight="1" spans="1:25">
      <c r="A156" s="134" t="s">
        <v>61</v>
      </c>
      <c r="B156" s="11" t="s">
        <v>83</v>
      </c>
      <c r="C156" s="135" t="s">
        <v>63</v>
      </c>
      <c r="D156" s="11" t="s">
        <v>85</v>
      </c>
      <c r="E156" s="136" t="s">
        <v>344</v>
      </c>
      <c r="F156" s="134" t="s">
        <v>345</v>
      </c>
      <c r="G156" s="110" t="s">
        <v>67</v>
      </c>
      <c r="H156" s="137" t="s">
        <v>347</v>
      </c>
      <c r="I156" s="30" t="e">
        <f>VLOOKUP(H156,'合同高级查询数据-4月返'!A:A,1,FALSE)</f>
        <v>#N/A</v>
      </c>
      <c r="J156" s="110" t="s">
        <v>69</v>
      </c>
      <c r="K156" s="141" t="s">
        <v>393</v>
      </c>
      <c r="L156" s="142"/>
      <c r="M156" s="113"/>
      <c r="N156" s="146">
        <v>43935</v>
      </c>
      <c r="O156" s="142" t="s">
        <v>71</v>
      </c>
      <c r="P156" s="145">
        <v>600</v>
      </c>
      <c r="Q156" s="130">
        <v>1</v>
      </c>
      <c r="R156" s="130">
        <f t="shared" si="8"/>
        <v>600</v>
      </c>
      <c r="S156" s="127">
        <v>202304</v>
      </c>
      <c r="T156" s="150" t="s">
        <v>394</v>
      </c>
      <c r="U156" s="148"/>
      <c r="V156" s="149"/>
      <c r="W156" s="149"/>
      <c r="X156" s="131"/>
      <c r="Y156" s="131"/>
    </row>
    <row r="157" s="86" customFormat="1" customHeight="1" spans="1:25">
      <c r="A157" s="134" t="s">
        <v>61</v>
      </c>
      <c r="B157" s="11" t="s">
        <v>83</v>
      </c>
      <c r="C157" s="135" t="s">
        <v>63</v>
      </c>
      <c r="D157" s="11" t="s">
        <v>85</v>
      </c>
      <c r="E157" s="136" t="s">
        <v>344</v>
      </c>
      <c r="F157" s="134" t="s">
        <v>345</v>
      </c>
      <c r="G157" s="110" t="s">
        <v>67</v>
      </c>
      <c r="H157" s="137" t="s">
        <v>347</v>
      </c>
      <c r="I157" s="30" t="e">
        <f>VLOOKUP(H157,'合同高级查询数据-4月返'!A:A,1,FALSE)</f>
        <v>#N/A</v>
      </c>
      <c r="J157" s="110" t="s">
        <v>69</v>
      </c>
      <c r="K157" s="141" t="s">
        <v>395</v>
      </c>
      <c r="L157" s="142"/>
      <c r="M157" s="113"/>
      <c r="N157" s="146">
        <v>43952</v>
      </c>
      <c r="O157" s="142" t="s">
        <v>71</v>
      </c>
      <c r="P157" s="145">
        <v>600</v>
      </c>
      <c r="Q157" s="130">
        <v>1</v>
      </c>
      <c r="R157" s="130">
        <f t="shared" si="8"/>
        <v>600</v>
      </c>
      <c r="S157" s="127">
        <v>202304</v>
      </c>
      <c r="T157" s="150" t="s">
        <v>396</v>
      </c>
      <c r="U157" s="148"/>
      <c r="V157" s="149"/>
      <c r="W157" s="149"/>
      <c r="X157" s="131"/>
      <c r="Y157" s="131"/>
    </row>
    <row r="158" s="86" customFormat="1" customHeight="1" spans="1:25">
      <c r="A158" s="134" t="s">
        <v>61</v>
      </c>
      <c r="B158" s="11" t="s">
        <v>83</v>
      </c>
      <c r="C158" s="135" t="s">
        <v>63</v>
      </c>
      <c r="D158" s="11" t="s">
        <v>85</v>
      </c>
      <c r="E158" s="136" t="s">
        <v>344</v>
      </c>
      <c r="F158" s="134" t="s">
        <v>345</v>
      </c>
      <c r="G158" s="110" t="s">
        <v>67</v>
      </c>
      <c r="H158" s="137" t="s">
        <v>347</v>
      </c>
      <c r="I158" s="30" t="e">
        <f>VLOOKUP(H158,'合同高级查询数据-4月返'!A:A,1,FALSE)</f>
        <v>#N/A</v>
      </c>
      <c r="J158" s="110" t="s">
        <v>69</v>
      </c>
      <c r="K158" s="141" t="s">
        <v>397</v>
      </c>
      <c r="L158" s="142"/>
      <c r="M158" s="113"/>
      <c r="N158" s="146">
        <v>43952</v>
      </c>
      <c r="O158" s="142" t="s">
        <v>71</v>
      </c>
      <c r="P158" s="145">
        <v>600</v>
      </c>
      <c r="Q158" s="130">
        <v>1</v>
      </c>
      <c r="R158" s="130">
        <f t="shared" si="8"/>
        <v>600</v>
      </c>
      <c r="S158" s="127">
        <v>202304</v>
      </c>
      <c r="T158" s="150" t="s">
        <v>398</v>
      </c>
      <c r="U158" s="148"/>
      <c r="V158" s="149"/>
      <c r="W158" s="149"/>
      <c r="X158" s="131"/>
      <c r="Y158" s="131"/>
    </row>
    <row r="159" s="86" customFormat="1" customHeight="1" spans="1:25">
      <c r="A159" s="134" t="s">
        <v>61</v>
      </c>
      <c r="B159" s="11" t="s">
        <v>83</v>
      </c>
      <c r="C159" s="135" t="s">
        <v>63</v>
      </c>
      <c r="D159" s="11" t="s">
        <v>85</v>
      </c>
      <c r="E159" s="136" t="s">
        <v>344</v>
      </c>
      <c r="F159" s="134" t="s">
        <v>345</v>
      </c>
      <c r="G159" s="110" t="s">
        <v>67</v>
      </c>
      <c r="H159" s="137" t="s">
        <v>347</v>
      </c>
      <c r="I159" s="30" t="e">
        <f>VLOOKUP(H159,'合同高级查询数据-4月返'!A:A,1,FALSE)</f>
        <v>#N/A</v>
      </c>
      <c r="J159" s="110" t="s">
        <v>69</v>
      </c>
      <c r="K159" s="141" t="s">
        <v>393</v>
      </c>
      <c r="L159" s="142"/>
      <c r="M159" s="113"/>
      <c r="N159" s="146">
        <v>43935</v>
      </c>
      <c r="O159" s="142" t="s">
        <v>71</v>
      </c>
      <c r="P159" s="145">
        <v>600</v>
      </c>
      <c r="Q159" s="130">
        <v>1</v>
      </c>
      <c r="R159" s="130">
        <f t="shared" si="8"/>
        <v>600</v>
      </c>
      <c r="S159" s="127">
        <v>202304</v>
      </c>
      <c r="T159" s="150" t="s">
        <v>399</v>
      </c>
      <c r="U159" s="148"/>
      <c r="V159" s="149"/>
      <c r="W159" s="149"/>
      <c r="X159" s="131"/>
      <c r="Y159" s="131"/>
    </row>
    <row r="160" s="86" customFormat="1" customHeight="1" spans="1:25">
      <c r="A160" s="134" t="s">
        <v>61</v>
      </c>
      <c r="B160" s="11" t="s">
        <v>83</v>
      </c>
      <c r="C160" s="135" t="s">
        <v>63</v>
      </c>
      <c r="D160" s="11" t="s">
        <v>85</v>
      </c>
      <c r="E160" s="136" t="s">
        <v>344</v>
      </c>
      <c r="F160" s="134" t="s">
        <v>345</v>
      </c>
      <c r="G160" s="110" t="s">
        <v>67</v>
      </c>
      <c r="H160" s="137" t="s">
        <v>347</v>
      </c>
      <c r="I160" s="30" t="e">
        <f>VLOOKUP(H160,'合同高级查询数据-4月返'!A:A,1,FALSE)</f>
        <v>#N/A</v>
      </c>
      <c r="J160" s="110" t="s">
        <v>69</v>
      </c>
      <c r="K160" s="141" t="s">
        <v>393</v>
      </c>
      <c r="L160" s="142"/>
      <c r="M160" s="113"/>
      <c r="N160" s="146">
        <v>43935</v>
      </c>
      <c r="O160" s="142" t="s">
        <v>71</v>
      </c>
      <c r="P160" s="145">
        <v>600</v>
      </c>
      <c r="Q160" s="130">
        <v>1</v>
      </c>
      <c r="R160" s="130">
        <f t="shared" si="8"/>
        <v>600</v>
      </c>
      <c r="S160" s="127">
        <v>202304</v>
      </c>
      <c r="T160" s="150" t="s">
        <v>400</v>
      </c>
      <c r="U160" s="148"/>
      <c r="V160" s="149"/>
      <c r="W160" s="149"/>
      <c r="X160" s="131"/>
      <c r="Y160" s="131"/>
    </row>
    <row r="161" s="86" customFormat="1" customHeight="1" spans="1:25">
      <c r="A161" s="134" t="s">
        <v>61</v>
      </c>
      <c r="B161" s="11" t="s">
        <v>83</v>
      </c>
      <c r="C161" s="135" t="s">
        <v>63</v>
      </c>
      <c r="D161" s="11" t="s">
        <v>85</v>
      </c>
      <c r="E161" s="136" t="s">
        <v>344</v>
      </c>
      <c r="F161" s="134" t="s">
        <v>345</v>
      </c>
      <c r="G161" s="110" t="s">
        <v>67</v>
      </c>
      <c r="H161" s="137" t="s">
        <v>347</v>
      </c>
      <c r="I161" s="30" t="e">
        <f>VLOOKUP(H161,'合同高级查询数据-4月返'!A:A,1,FALSE)</f>
        <v>#N/A</v>
      </c>
      <c r="J161" s="110" t="s">
        <v>69</v>
      </c>
      <c r="K161" s="141" t="s">
        <v>395</v>
      </c>
      <c r="L161" s="142"/>
      <c r="M161" s="113"/>
      <c r="N161" s="146">
        <v>43952</v>
      </c>
      <c r="O161" s="142" t="s">
        <v>71</v>
      </c>
      <c r="P161" s="145">
        <v>600</v>
      </c>
      <c r="Q161" s="130">
        <v>1</v>
      </c>
      <c r="R161" s="130">
        <f t="shared" si="8"/>
        <v>600</v>
      </c>
      <c r="S161" s="127">
        <v>202304</v>
      </c>
      <c r="T161" s="150" t="s">
        <v>401</v>
      </c>
      <c r="U161" s="148"/>
      <c r="V161" s="149"/>
      <c r="W161" s="149"/>
      <c r="X161" s="131"/>
      <c r="Y161" s="131"/>
    </row>
    <row r="162" s="86" customFormat="1" customHeight="1" spans="1:25">
      <c r="A162" s="134" t="s">
        <v>61</v>
      </c>
      <c r="B162" s="11" t="s">
        <v>83</v>
      </c>
      <c r="C162" s="135" t="s">
        <v>63</v>
      </c>
      <c r="D162" s="11" t="s">
        <v>85</v>
      </c>
      <c r="E162" s="136" t="s">
        <v>344</v>
      </c>
      <c r="F162" s="134" t="s">
        <v>345</v>
      </c>
      <c r="G162" s="110" t="s">
        <v>67</v>
      </c>
      <c r="H162" s="137" t="s">
        <v>347</v>
      </c>
      <c r="I162" s="30" t="e">
        <f>VLOOKUP(H162,'合同高级查询数据-4月返'!A:A,1,FALSE)</f>
        <v>#N/A</v>
      </c>
      <c r="J162" s="110" t="s">
        <v>69</v>
      </c>
      <c r="K162" s="141" t="s">
        <v>395</v>
      </c>
      <c r="L162" s="142"/>
      <c r="M162" s="113"/>
      <c r="N162" s="146">
        <v>44127</v>
      </c>
      <c r="O162" s="142" t="s">
        <v>71</v>
      </c>
      <c r="P162" s="145">
        <v>600</v>
      </c>
      <c r="Q162" s="130">
        <v>-1</v>
      </c>
      <c r="R162" s="130">
        <f t="shared" si="8"/>
        <v>-600</v>
      </c>
      <c r="S162" s="127">
        <v>202304</v>
      </c>
      <c r="T162" s="148" t="s">
        <v>402</v>
      </c>
      <c r="U162" s="148"/>
      <c r="V162" s="149"/>
      <c r="W162" s="149"/>
      <c r="X162" s="131"/>
      <c r="Y162" s="131"/>
    </row>
    <row r="163" s="86" customFormat="1" customHeight="1" spans="1:25">
      <c r="A163" s="134" t="s">
        <v>61</v>
      </c>
      <c r="B163" s="11" t="s">
        <v>83</v>
      </c>
      <c r="C163" s="135" t="s">
        <v>63</v>
      </c>
      <c r="D163" s="11" t="s">
        <v>85</v>
      </c>
      <c r="E163" s="136" t="s">
        <v>344</v>
      </c>
      <c r="F163" s="134" t="s">
        <v>345</v>
      </c>
      <c r="G163" s="110" t="s">
        <v>67</v>
      </c>
      <c r="H163" s="137" t="s">
        <v>347</v>
      </c>
      <c r="I163" s="30" t="e">
        <f>VLOOKUP(H163,'合同高级查询数据-4月返'!A:A,1,FALSE)</f>
        <v>#N/A</v>
      </c>
      <c r="J163" s="110" t="s">
        <v>69</v>
      </c>
      <c r="K163" s="141" t="s">
        <v>395</v>
      </c>
      <c r="L163" s="142"/>
      <c r="M163" s="113"/>
      <c r="N163" s="146">
        <v>43952</v>
      </c>
      <c r="O163" s="142" t="s">
        <v>71</v>
      </c>
      <c r="P163" s="145">
        <v>600</v>
      </c>
      <c r="Q163" s="130">
        <v>1</v>
      </c>
      <c r="R163" s="130">
        <f t="shared" si="8"/>
        <v>600</v>
      </c>
      <c r="S163" s="127">
        <v>202304</v>
      </c>
      <c r="T163" s="150" t="s">
        <v>403</v>
      </c>
      <c r="U163" s="148"/>
      <c r="V163" s="149"/>
      <c r="W163" s="149"/>
      <c r="X163" s="131"/>
      <c r="Y163" s="131"/>
    </row>
    <row r="164" s="86" customFormat="1" customHeight="1" spans="1:25">
      <c r="A164" s="134" t="s">
        <v>61</v>
      </c>
      <c r="B164" s="11" t="s">
        <v>83</v>
      </c>
      <c r="C164" s="135" t="s">
        <v>63</v>
      </c>
      <c r="D164" s="11" t="s">
        <v>85</v>
      </c>
      <c r="E164" s="136" t="s">
        <v>344</v>
      </c>
      <c r="F164" s="134" t="s">
        <v>345</v>
      </c>
      <c r="G164" s="110" t="s">
        <v>67</v>
      </c>
      <c r="H164" s="137" t="s">
        <v>347</v>
      </c>
      <c r="I164" s="30" t="e">
        <f>VLOOKUP(H164,'合同高级查询数据-4月返'!A:A,1,FALSE)</f>
        <v>#N/A</v>
      </c>
      <c r="J164" s="110" t="s">
        <v>69</v>
      </c>
      <c r="K164" s="141" t="s">
        <v>393</v>
      </c>
      <c r="L164" s="142"/>
      <c r="M164" s="113"/>
      <c r="N164" s="146">
        <v>43935</v>
      </c>
      <c r="O164" s="142" t="s">
        <v>71</v>
      </c>
      <c r="P164" s="145">
        <v>600</v>
      </c>
      <c r="Q164" s="130">
        <v>1</v>
      </c>
      <c r="R164" s="130">
        <f t="shared" si="8"/>
        <v>600</v>
      </c>
      <c r="S164" s="127">
        <v>202304</v>
      </c>
      <c r="T164" s="150" t="s">
        <v>404</v>
      </c>
      <c r="U164" s="148"/>
      <c r="V164" s="149"/>
      <c r="W164" s="149"/>
      <c r="X164" s="131"/>
      <c r="Y164" s="131"/>
    </row>
    <row r="165" s="86" customFormat="1" customHeight="1" spans="1:25">
      <c r="A165" s="134" t="s">
        <v>61</v>
      </c>
      <c r="B165" s="11" t="s">
        <v>83</v>
      </c>
      <c r="C165" s="135" t="s">
        <v>63</v>
      </c>
      <c r="D165" s="11" t="s">
        <v>85</v>
      </c>
      <c r="E165" s="136" t="s">
        <v>344</v>
      </c>
      <c r="F165" s="134" t="s">
        <v>345</v>
      </c>
      <c r="G165" s="110" t="s">
        <v>67</v>
      </c>
      <c r="H165" s="137" t="s">
        <v>347</v>
      </c>
      <c r="I165" s="30" t="e">
        <f>VLOOKUP(H165,'合同高级查询数据-4月返'!A:A,1,FALSE)</f>
        <v>#N/A</v>
      </c>
      <c r="J165" s="110" t="s">
        <v>69</v>
      </c>
      <c r="K165" s="141" t="s">
        <v>405</v>
      </c>
      <c r="L165" s="142"/>
      <c r="M165" s="113"/>
      <c r="N165" s="146">
        <v>43935</v>
      </c>
      <c r="O165" s="142" t="s">
        <v>71</v>
      </c>
      <c r="P165" s="145">
        <v>600</v>
      </c>
      <c r="Q165" s="130">
        <v>1</v>
      </c>
      <c r="R165" s="130">
        <f t="shared" si="8"/>
        <v>600</v>
      </c>
      <c r="S165" s="127">
        <v>202304</v>
      </c>
      <c r="T165" s="150" t="s">
        <v>406</v>
      </c>
      <c r="U165" s="148"/>
      <c r="V165" s="149"/>
      <c r="W165" s="149"/>
      <c r="X165" s="131"/>
      <c r="Y165" s="131"/>
    </row>
    <row r="166" s="86" customFormat="1" customHeight="1" spans="1:25">
      <c r="A166" s="134" t="s">
        <v>61</v>
      </c>
      <c r="B166" s="11" t="s">
        <v>83</v>
      </c>
      <c r="C166" s="135" t="s">
        <v>63</v>
      </c>
      <c r="D166" s="11" t="s">
        <v>85</v>
      </c>
      <c r="E166" s="136" t="s">
        <v>344</v>
      </c>
      <c r="F166" s="134" t="s">
        <v>345</v>
      </c>
      <c r="G166" s="110" t="s">
        <v>67</v>
      </c>
      <c r="H166" s="137" t="s">
        <v>347</v>
      </c>
      <c r="I166" s="30" t="e">
        <f>VLOOKUP(H166,'合同高级查询数据-4月返'!A:A,1,FALSE)</f>
        <v>#N/A</v>
      </c>
      <c r="J166" s="110" t="s">
        <v>69</v>
      </c>
      <c r="K166" s="141" t="s">
        <v>405</v>
      </c>
      <c r="L166" s="142"/>
      <c r="M166" s="113"/>
      <c r="N166" s="146">
        <v>44102</v>
      </c>
      <c r="O166" s="142" t="s">
        <v>71</v>
      </c>
      <c r="P166" s="145">
        <v>600</v>
      </c>
      <c r="Q166" s="130">
        <v>-1</v>
      </c>
      <c r="R166" s="130">
        <f t="shared" si="8"/>
        <v>-600</v>
      </c>
      <c r="S166" s="127">
        <v>202304</v>
      </c>
      <c r="T166" s="148" t="s">
        <v>407</v>
      </c>
      <c r="U166" s="148"/>
      <c r="V166" s="149"/>
      <c r="W166" s="149"/>
      <c r="X166" s="131"/>
      <c r="Y166" s="131"/>
    </row>
    <row r="167" s="86" customFormat="1" customHeight="1" spans="1:25">
      <c r="A167" s="134" t="s">
        <v>61</v>
      </c>
      <c r="B167" s="11" t="s">
        <v>83</v>
      </c>
      <c r="C167" s="135" t="s">
        <v>63</v>
      </c>
      <c r="D167" s="11" t="s">
        <v>85</v>
      </c>
      <c r="E167" s="136" t="s">
        <v>344</v>
      </c>
      <c r="F167" s="134" t="s">
        <v>345</v>
      </c>
      <c r="G167" s="110" t="s">
        <v>67</v>
      </c>
      <c r="H167" s="137" t="s">
        <v>347</v>
      </c>
      <c r="I167" s="30" t="e">
        <f>VLOOKUP(H167,'合同高级查询数据-4月返'!A:A,1,FALSE)</f>
        <v>#N/A</v>
      </c>
      <c r="J167" s="110" t="s">
        <v>69</v>
      </c>
      <c r="K167" s="141" t="s">
        <v>408</v>
      </c>
      <c r="L167" s="142"/>
      <c r="M167" s="113"/>
      <c r="N167" s="146">
        <v>43935</v>
      </c>
      <c r="O167" s="142" t="s">
        <v>71</v>
      </c>
      <c r="P167" s="145">
        <v>600</v>
      </c>
      <c r="Q167" s="130">
        <v>1</v>
      </c>
      <c r="R167" s="130">
        <f t="shared" si="8"/>
        <v>600</v>
      </c>
      <c r="S167" s="127">
        <v>202304</v>
      </c>
      <c r="T167" s="150" t="s">
        <v>409</v>
      </c>
      <c r="U167" s="148"/>
      <c r="V167" s="149"/>
      <c r="W167" s="149"/>
      <c r="X167" s="131"/>
      <c r="Y167" s="131"/>
    </row>
    <row r="168" s="86" customFormat="1" customHeight="1" spans="1:25">
      <c r="A168" s="134" t="s">
        <v>61</v>
      </c>
      <c r="B168" s="11" t="s">
        <v>83</v>
      </c>
      <c r="C168" s="135" t="s">
        <v>63</v>
      </c>
      <c r="D168" s="11" t="s">
        <v>85</v>
      </c>
      <c r="E168" s="136" t="s">
        <v>344</v>
      </c>
      <c r="F168" s="134" t="s">
        <v>345</v>
      </c>
      <c r="G168" s="110" t="s">
        <v>67</v>
      </c>
      <c r="H168" s="137" t="s">
        <v>347</v>
      </c>
      <c r="I168" s="30" t="e">
        <f>VLOOKUP(H168,'合同高级查询数据-4月返'!A:A,1,FALSE)</f>
        <v>#N/A</v>
      </c>
      <c r="J168" s="110" t="s">
        <v>69</v>
      </c>
      <c r="K168" s="141" t="s">
        <v>408</v>
      </c>
      <c r="L168" s="142"/>
      <c r="M168" s="113"/>
      <c r="N168" s="146">
        <v>44664</v>
      </c>
      <c r="O168" s="142" t="s">
        <v>71</v>
      </c>
      <c r="P168" s="145">
        <v>600</v>
      </c>
      <c r="Q168" s="130">
        <v>-1</v>
      </c>
      <c r="R168" s="130">
        <f t="shared" si="8"/>
        <v>-600</v>
      </c>
      <c r="S168" s="127">
        <v>202304</v>
      </c>
      <c r="T168" s="148" t="s">
        <v>410</v>
      </c>
      <c r="U168" s="148"/>
      <c r="V168" s="149"/>
      <c r="W168" s="149"/>
      <c r="X168" s="131"/>
      <c r="Y168" s="131"/>
    </row>
    <row r="169" s="86" customFormat="1" customHeight="1" spans="1:25">
      <c r="A169" s="134" t="s">
        <v>61</v>
      </c>
      <c r="B169" s="11" t="s">
        <v>83</v>
      </c>
      <c r="C169" s="135" t="s">
        <v>63</v>
      </c>
      <c r="D169" s="11" t="s">
        <v>85</v>
      </c>
      <c r="E169" s="136" t="s">
        <v>344</v>
      </c>
      <c r="F169" s="134" t="s">
        <v>345</v>
      </c>
      <c r="G169" s="110" t="s">
        <v>67</v>
      </c>
      <c r="H169" s="137" t="s">
        <v>347</v>
      </c>
      <c r="I169" s="30" t="e">
        <f>VLOOKUP(H169,'合同高级查询数据-4月返'!A:A,1,FALSE)</f>
        <v>#N/A</v>
      </c>
      <c r="J169" s="110" t="s">
        <v>69</v>
      </c>
      <c r="K169" s="141" t="s">
        <v>408</v>
      </c>
      <c r="L169" s="142"/>
      <c r="M169" s="113"/>
      <c r="N169" s="146">
        <v>43935</v>
      </c>
      <c r="O169" s="142" t="s">
        <v>71</v>
      </c>
      <c r="P169" s="145">
        <v>600</v>
      </c>
      <c r="Q169" s="130">
        <v>1</v>
      </c>
      <c r="R169" s="130">
        <f t="shared" si="8"/>
        <v>600</v>
      </c>
      <c r="S169" s="127">
        <v>202304</v>
      </c>
      <c r="T169" s="148" t="s">
        <v>411</v>
      </c>
      <c r="U169" s="148"/>
      <c r="V169" s="149"/>
      <c r="W169" s="149"/>
      <c r="X169" s="131"/>
      <c r="Y169" s="131"/>
    </row>
    <row r="170" s="86" customFormat="1" customHeight="1" spans="1:25">
      <c r="A170" s="134" t="s">
        <v>61</v>
      </c>
      <c r="B170" s="11" t="s">
        <v>83</v>
      </c>
      <c r="C170" s="135" t="s">
        <v>63</v>
      </c>
      <c r="D170" s="11" t="s">
        <v>85</v>
      </c>
      <c r="E170" s="136" t="s">
        <v>344</v>
      </c>
      <c r="F170" s="134" t="s">
        <v>345</v>
      </c>
      <c r="G170" s="110" t="s">
        <v>67</v>
      </c>
      <c r="H170" s="137" t="s">
        <v>347</v>
      </c>
      <c r="I170" s="30" t="e">
        <f>VLOOKUP(H170,'合同高级查询数据-4月返'!A:A,1,FALSE)</f>
        <v>#N/A</v>
      </c>
      <c r="J170" s="110" t="s">
        <v>69</v>
      </c>
      <c r="K170" s="141" t="s">
        <v>408</v>
      </c>
      <c r="L170" s="142"/>
      <c r="M170" s="113"/>
      <c r="N170" s="146">
        <v>44798</v>
      </c>
      <c r="O170" s="142" t="s">
        <v>71</v>
      </c>
      <c r="P170" s="145">
        <v>600</v>
      </c>
      <c r="Q170" s="130">
        <v>-1</v>
      </c>
      <c r="R170" s="130">
        <f t="shared" si="8"/>
        <v>-600</v>
      </c>
      <c r="S170" s="127">
        <v>202304</v>
      </c>
      <c r="T170" s="151" t="s">
        <v>412</v>
      </c>
      <c r="U170" s="148"/>
      <c r="V170" s="149"/>
      <c r="W170" s="149"/>
      <c r="X170" s="131"/>
      <c r="Y170" s="131"/>
    </row>
    <row r="171" s="86" customFormat="1" customHeight="1" spans="1:25">
      <c r="A171" s="134" t="s">
        <v>61</v>
      </c>
      <c r="B171" s="11" t="s">
        <v>83</v>
      </c>
      <c r="C171" s="135" t="s">
        <v>63</v>
      </c>
      <c r="D171" s="11" t="s">
        <v>85</v>
      </c>
      <c r="E171" s="136" t="s">
        <v>344</v>
      </c>
      <c r="F171" s="134" t="s">
        <v>345</v>
      </c>
      <c r="G171" s="110" t="s">
        <v>67</v>
      </c>
      <c r="H171" s="137" t="s">
        <v>347</v>
      </c>
      <c r="I171" s="30" t="e">
        <f>VLOOKUP(H171,'合同高级查询数据-4月返'!A:A,1,FALSE)</f>
        <v>#N/A</v>
      </c>
      <c r="J171" s="110" t="s">
        <v>69</v>
      </c>
      <c r="K171" s="141" t="s">
        <v>397</v>
      </c>
      <c r="L171" s="142"/>
      <c r="M171" s="113"/>
      <c r="N171" s="146">
        <v>44116</v>
      </c>
      <c r="O171" s="142" t="s">
        <v>71</v>
      </c>
      <c r="P171" s="145">
        <v>600</v>
      </c>
      <c r="Q171" s="130">
        <v>1</v>
      </c>
      <c r="R171" s="130">
        <f t="shared" si="8"/>
        <v>600</v>
      </c>
      <c r="S171" s="127">
        <v>202304</v>
      </c>
      <c r="T171" s="150" t="s">
        <v>413</v>
      </c>
      <c r="U171" s="148"/>
      <c r="V171" s="149"/>
      <c r="W171" s="149"/>
      <c r="X171" s="131"/>
      <c r="Y171" s="131"/>
    </row>
    <row r="172" s="86" customFormat="1" customHeight="1" spans="1:25">
      <c r="A172" s="134" t="s">
        <v>61</v>
      </c>
      <c r="B172" s="11" t="s">
        <v>83</v>
      </c>
      <c r="C172" s="135" t="s">
        <v>63</v>
      </c>
      <c r="D172" s="11" t="s">
        <v>85</v>
      </c>
      <c r="E172" s="136" t="s">
        <v>344</v>
      </c>
      <c r="F172" s="134" t="s">
        <v>345</v>
      </c>
      <c r="G172" s="110" t="s">
        <v>67</v>
      </c>
      <c r="H172" s="137" t="s">
        <v>347</v>
      </c>
      <c r="I172" s="30" t="e">
        <f>VLOOKUP(H172,'合同高级查询数据-4月返'!A:A,1,FALSE)</f>
        <v>#N/A</v>
      </c>
      <c r="J172" s="110" t="s">
        <v>69</v>
      </c>
      <c r="K172" s="141" t="s">
        <v>397</v>
      </c>
      <c r="L172" s="142"/>
      <c r="M172" s="113"/>
      <c r="N172" s="146">
        <v>44116</v>
      </c>
      <c r="O172" s="142" t="s">
        <v>71</v>
      </c>
      <c r="P172" s="145">
        <v>600</v>
      </c>
      <c r="Q172" s="130">
        <v>-1</v>
      </c>
      <c r="R172" s="130">
        <f t="shared" si="8"/>
        <v>-600</v>
      </c>
      <c r="S172" s="127">
        <v>202304</v>
      </c>
      <c r="T172" s="148" t="s">
        <v>414</v>
      </c>
      <c r="U172" s="148"/>
      <c r="V172" s="149"/>
      <c r="W172" s="149"/>
      <c r="X172" s="131"/>
      <c r="Y172" s="131"/>
    </row>
    <row r="173" s="86" customFormat="1" customHeight="1" spans="1:25">
      <c r="A173" s="134" t="s">
        <v>61</v>
      </c>
      <c r="B173" s="11" t="s">
        <v>83</v>
      </c>
      <c r="C173" s="135" t="s">
        <v>63</v>
      </c>
      <c r="D173" s="11" t="s">
        <v>85</v>
      </c>
      <c r="E173" s="136" t="s">
        <v>344</v>
      </c>
      <c r="F173" s="134" t="s">
        <v>345</v>
      </c>
      <c r="G173" s="110" t="s">
        <v>67</v>
      </c>
      <c r="H173" s="137" t="s">
        <v>347</v>
      </c>
      <c r="I173" s="30" t="e">
        <f>VLOOKUP(H173,'合同高级查询数据-4月返'!A:A,1,FALSE)</f>
        <v>#N/A</v>
      </c>
      <c r="J173" s="110" t="s">
        <v>69</v>
      </c>
      <c r="K173" s="141" t="s">
        <v>415</v>
      </c>
      <c r="L173" s="142"/>
      <c r="M173" s="113"/>
      <c r="N173" s="146">
        <v>43935</v>
      </c>
      <c r="O173" s="142" t="s">
        <v>71</v>
      </c>
      <c r="P173" s="145">
        <v>600</v>
      </c>
      <c r="Q173" s="130">
        <v>1</v>
      </c>
      <c r="R173" s="130">
        <f t="shared" si="8"/>
        <v>600</v>
      </c>
      <c r="S173" s="127">
        <v>202304</v>
      </c>
      <c r="T173" s="150" t="s">
        <v>416</v>
      </c>
      <c r="U173" s="148"/>
      <c r="V173" s="149"/>
      <c r="W173" s="149"/>
      <c r="X173" s="131"/>
      <c r="Y173" s="131"/>
    </row>
    <row r="174" s="86" customFormat="1" customHeight="1" spans="1:25">
      <c r="A174" s="134" t="s">
        <v>61</v>
      </c>
      <c r="B174" s="11" t="s">
        <v>83</v>
      </c>
      <c r="C174" s="135" t="s">
        <v>63</v>
      </c>
      <c r="D174" s="11" t="s">
        <v>85</v>
      </c>
      <c r="E174" s="136" t="s">
        <v>344</v>
      </c>
      <c r="F174" s="134" t="s">
        <v>345</v>
      </c>
      <c r="G174" s="110" t="s">
        <v>67</v>
      </c>
      <c r="H174" s="137" t="s">
        <v>347</v>
      </c>
      <c r="I174" s="30" t="e">
        <f>VLOOKUP(H174,'合同高级查询数据-4月返'!A:A,1,FALSE)</f>
        <v>#N/A</v>
      </c>
      <c r="J174" s="110" t="s">
        <v>69</v>
      </c>
      <c r="K174" s="141" t="s">
        <v>417</v>
      </c>
      <c r="L174" s="142"/>
      <c r="M174" s="113"/>
      <c r="N174" s="146">
        <v>43952</v>
      </c>
      <c r="O174" s="142" t="s">
        <v>71</v>
      </c>
      <c r="P174" s="145">
        <v>600</v>
      </c>
      <c r="Q174" s="130">
        <v>1</v>
      </c>
      <c r="R174" s="130">
        <f t="shared" si="8"/>
        <v>600</v>
      </c>
      <c r="S174" s="127">
        <v>202304</v>
      </c>
      <c r="T174" s="150" t="s">
        <v>418</v>
      </c>
      <c r="U174" s="148"/>
      <c r="V174" s="149"/>
      <c r="W174" s="149"/>
      <c r="X174" s="131"/>
      <c r="Y174" s="131"/>
    </row>
    <row r="175" s="86" customFormat="1" customHeight="1" spans="1:25">
      <c r="A175" s="134" t="s">
        <v>61</v>
      </c>
      <c r="B175" s="11" t="s">
        <v>83</v>
      </c>
      <c r="C175" s="135" t="s">
        <v>63</v>
      </c>
      <c r="D175" s="11" t="s">
        <v>85</v>
      </c>
      <c r="E175" s="136" t="s">
        <v>344</v>
      </c>
      <c r="F175" s="134" t="s">
        <v>345</v>
      </c>
      <c r="G175" s="110" t="s">
        <v>67</v>
      </c>
      <c r="H175" s="137" t="s">
        <v>347</v>
      </c>
      <c r="I175" s="30" t="e">
        <f>VLOOKUP(H175,'合同高级查询数据-4月返'!A:A,1,FALSE)</f>
        <v>#N/A</v>
      </c>
      <c r="J175" s="110" t="s">
        <v>69</v>
      </c>
      <c r="K175" s="141" t="s">
        <v>417</v>
      </c>
      <c r="L175" s="142"/>
      <c r="M175" s="113"/>
      <c r="N175" s="146">
        <v>44127</v>
      </c>
      <c r="O175" s="142" t="s">
        <v>71</v>
      </c>
      <c r="P175" s="145">
        <v>600</v>
      </c>
      <c r="Q175" s="130">
        <v>-1</v>
      </c>
      <c r="R175" s="130">
        <f t="shared" si="8"/>
        <v>-600</v>
      </c>
      <c r="S175" s="127">
        <v>202304</v>
      </c>
      <c r="T175" s="148" t="s">
        <v>419</v>
      </c>
      <c r="U175" s="148"/>
      <c r="V175" s="149"/>
      <c r="W175" s="149"/>
      <c r="X175" s="131"/>
      <c r="Y175" s="131"/>
    </row>
    <row r="176" s="86" customFormat="1" customHeight="1" spans="1:25">
      <c r="A176" s="134" t="s">
        <v>61</v>
      </c>
      <c r="B176" s="11" t="s">
        <v>83</v>
      </c>
      <c r="C176" s="135" t="s">
        <v>63</v>
      </c>
      <c r="D176" s="11" t="s">
        <v>85</v>
      </c>
      <c r="E176" s="136" t="s">
        <v>344</v>
      </c>
      <c r="F176" s="134" t="s">
        <v>345</v>
      </c>
      <c r="G176" s="110" t="s">
        <v>67</v>
      </c>
      <c r="H176" s="137" t="s">
        <v>347</v>
      </c>
      <c r="I176" s="30" t="e">
        <f>VLOOKUP(H176,'合同高级查询数据-4月返'!A:A,1,FALSE)</f>
        <v>#N/A</v>
      </c>
      <c r="J176" s="110" t="s">
        <v>69</v>
      </c>
      <c r="K176" s="141" t="s">
        <v>420</v>
      </c>
      <c r="L176" s="142"/>
      <c r="M176" s="113"/>
      <c r="N176" s="146">
        <v>43952</v>
      </c>
      <c r="O176" s="142" t="s">
        <v>71</v>
      </c>
      <c r="P176" s="145">
        <v>600</v>
      </c>
      <c r="Q176" s="130">
        <v>0</v>
      </c>
      <c r="R176" s="130">
        <f t="shared" si="8"/>
        <v>0</v>
      </c>
      <c r="S176" s="127">
        <v>202304</v>
      </c>
      <c r="T176" s="150" t="s">
        <v>421</v>
      </c>
      <c r="U176" s="148"/>
      <c r="V176" s="149"/>
      <c r="W176" s="149"/>
      <c r="X176" s="131"/>
      <c r="Y176" s="131"/>
    </row>
    <row r="177" s="86" customFormat="1" customHeight="1" spans="1:25">
      <c r="A177" s="134" t="s">
        <v>61</v>
      </c>
      <c r="B177" s="11" t="s">
        <v>83</v>
      </c>
      <c r="C177" s="135" t="s">
        <v>63</v>
      </c>
      <c r="D177" s="11" t="s">
        <v>85</v>
      </c>
      <c r="E177" s="136" t="s">
        <v>344</v>
      </c>
      <c r="F177" s="134" t="s">
        <v>345</v>
      </c>
      <c r="G177" s="110" t="s">
        <v>67</v>
      </c>
      <c r="H177" s="137" t="s">
        <v>347</v>
      </c>
      <c r="I177" s="30" t="e">
        <f>VLOOKUP(H177,'合同高级查询数据-4月返'!A:A,1,FALSE)</f>
        <v>#N/A</v>
      </c>
      <c r="J177" s="110" t="s">
        <v>69</v>
      </c>
      <c r="K177" s="141" t="s">
        <v>422</v>
      </c>
      <c r="L177" s="142"/>
      <c r="M177" s="113"/>
      <c r="N177" s="146">
        <v>43952</v>
      </c>
      <c r="O177" s="142" t="s">
        <v>71</v>
      </c>
      <c r="P177" s="145">
        <v>600</v>
      </c>
      <c r="Q177" s="130">
        <v>1</v>
      </c>
      <c r="R177" s="130">
        <f t="shared" si="8"/>
        <v>600</v>
      </c>
      <c r="S177" s="127">
        <v>202304</v>
      </c>
      <c r="T177" s="150" t="s">
        <v>423</v>
      </c>
      <c r="U177" s="148"/>
      <c r="V177" s="149"/>
      <c r="W177" s="149"/>
      <c r="X177" s="131"/>
      <c r="Y177" s="131"/>
    </row>
    <row r="178" s="86" customFormat="1" customHeight="1" spans="1:25">
      <c r="A178" s="134" t="s">
        <v>61</v>
      </c>
      <c r="B178" s="11" t="s">
        <v>83</v>
      </c>
      <c r="C178" s="135" t="s">
        <v>63</v>
      </c>
      <c r="D178" s="11" t="s">
        <v>85</v>
      </c>
      <c r="E178" s="136" t="s">
        <v>344</v>
      </c>
      <c r="F178" s="134" t="s">
        <v>345</v>
      </c>
      <c r="G178" s="110" t="s">
        <v>67</v>
      </c>
      <c r="H178" s="137" t="s">
        <v>347</v>
      </c>
      <c r="I178" s="30" t="e">
        <f>VLOOKUP(H178,'合同高级查询数据-4月返'!A:A,1,FALSE)</f>
        <v>#N/A</v>
      </c>
      <c r="J178" s="110" t="s">
        <v>69</v>
      </c>
      <c r="K178" s="141" t="s">
        <v>408</v>
      </c>
      <c r="L178" s="142"/>
      <c r="M178" s="113"/>
      <c r="N178" s="146">
        <v>43958</v>
      </c>
      <c r="O178" s="142" t="s">
        <v>71</v>
      </c>
      <c r="P178" s="145">
        <v>600</v>
      </c>
      <c r="Q178" s="130">
        <v>1</v>
      </c>
      <c r="R178" s="130">
        <f t="shared" si="8"/>
        <v>600</v>
      </c>
      <c r="S178" s="127">
        <v>202304</v>
      </c>
      <c r="T178" s="150" t="s">
        <v>424</v>
      </c>
      <c r="U178" s="148"/>
      <c r="V178" s="149"/>
      <c r="W178" s="149"/>
      <c r="X178" s="131"/>
      <c r="Y178" s="131"/>
    </row>
    <row r="179" s="86" customFormat="1" customHeight="1" spans="1:25">
      <c r="A179" s="134" t="s">
        <v>61</v>
      </c>
      <c r="B179" s="11" t="s">
        <v>83</v>
      </c>
      <c r="C179" s="135" t="s">
        <v>63</v>
      </c>
      <c r="D179" s="11" t="s">
        <v>85</v>
      </c>
      <c r="E179" s="136" t="s">
        <v>344</v>
      </c>
      <c r="F179" s="134" t="s">
        <v>345</v>
      </c>
      <c r="G179" s="110" t="s">
        <v>67</v>
      </c>
      <c r="H179" s="137" t="s">
        <v>347</v>
      </c>
      <c r="I179" s="30" t="e">
        <f>VLOOKUP(H179,'合同高级查询数据-4月返'!A:A,1,FALSE)</f>
        <v>#N/A</v>
      </c>
      <c r="J179" s="110" t="s">
        <v>69</v>
      </c>
      <c r="K179" s="141" t="s">
        <v>408</v>
      </c>
      <c r="L179" s="142"/>
      <c r="M179" s="113"/>
      <c r="N179" s="146">
        <v>44644</v>
      </c>
      <c r="O179" s="142" t="s">
        <v>71</v>
      </c>
      <c r="P179" s="145">
        <v>600</v>
      </c>
      <c r="Q179" s="130">
        <v>-1</v>
      </c>
      <c r="R179" s="130">
        <f t="shared" si="8"/>
        <v>-600</v>
      </c>
      <c r="S179" s="127">
        <v>202304</v>
      </c>
      <c r="T179" s="148" t="s">
        <v>425</v>
      </c>
      <c r="U179" s="148"/>
      <c r="V179" s="149"/>
      <c r="W179" s="149"/>
      <c r="X179" s="131"/>
      <c r="Y179" s="131"/>
    </row>
    <row r="180" s="86" customFormat="1" customHeight="1" spans="1:25">
      <c r="A180" s="134" t="s">
        <v>61</v>
      </c>
      <c r="B180" s="11" t="s">
        <v>83</v>
      </c>
      <c r="C180" s="135" t="s">
        <v>63</v>
      </c>
      <c r="D180" s="11" t="s">
        <v>85</v>
      </c>
      <c r="E180" s="136" t="s">
        <v>344</v>
      </c>
      <c r="F180" s="134" t="s">
        <v>345</v>
      </c>
      <c r="G180" s="110" t="s">
        <v>67</v>
      </c>
      <c r="H180" s="137" t="s">
        <v>347</v>
      </c>
      <c r="I180" s="30" t="e">
        <f>VLOOKUP(H180,'合同高级查询数据-4月返'!A:A,1,FALSE)</f>
        <v>#N/A</v>
      </c>
      <c r="J180" s="110" t="s">
        <v>69</v>
      </c>
      <c r="K180" s="141" t="s">
        <v>417</v>
      </c>
      <c r="L180" s="142"/>
      <c r="M180" s="113"/>
      <c r="N180" s="146">
        <v>43952</v>
      </c>
      <c r="O180" s="142" t="s">
        <v>71</v>
      </c>
      <c r="P180" s="145">
        <v>600</v>
      </c>
      <c r="Q180" s="130">
        <v>1</v>
      </c>
      <c r="R180" s="130">
        <f t="shared" si="8"/>
        <v>600</v>
      </c>
      <c r="S180" s="127">
        <v>202304</v>
      </c>
      <c r="T180" s="150" t="s">
        <v>426</v>
      </c>
      <c r="U180" s="148"/>
      <c r="V180" s="149"/>
      <c r="W180" s="149"/>
      <c r="X180" s="131"/>
      <c r="Y180" s="131"/>
    </row>
    <row r="181" s="86" customFormat="1" customHeight="1" spans="1:25">
      <c r="A181" s="134" t="s">
        <v>61</v>
      </c>
      <c r="B181" s="11" t="s">
        <v>83</v>
      </c>
      <c r="C181" s="135" t="s">
        <v>63</v>
      </c>
      <c r="D181" s="11" t="s">
        <v>85</v>
      </c>
      <c r="E181" s="136" t="s">
        <v>344</v>
      </c>
      <c r="F181" s="134" t="s">
        <v>345</v>
      </c>
      <c r="G181" s="110" t="s">
        <v>67</v>
      </c>
      <c r="H181" s="137" t="s">
        <v>347</v>
      </c>
      <c r="I181" s="30" t="e">
        <f>VLOOKUP(H181,'合同高级查询数据-4月返'!A:A,1,FALSE)</f>
        <v>#N/A</v>
      </c>
      <c r="J181" s="110" t="s">
        <v>69</v>
      </c>
      <c r="K181" s="141" t="s">
        <v>427</v>
      </c>
      <c r="L181" s="142"/>
      <c r="M181" s="113"/>
      <c r="N181" s="146">
        <v>43952</v>
      </c>
      <c r="O181" s="142" t="s">
        <v>71</v>
      </c>
      <c r="P181" s="145">
        <v>600</v>
      </c>
      <c r="Q181" s="130">
        <v>0</v>
      </c>
      <c r="R181" s="130">
        <f t="shared" si="8"/>
        <v>0</v>
      </c>
      <c r="S181" s="127">
        <v>202304</v>
      </c>
      <c r="T181" s="150" t="s">
        <v>428</v>
      </c>
      <c r="U181" s="148"/>
      <c r="V181" s="149"/>
      <c r="W181" s="149"/>
      <c r="X181" s="131"/>
      <c r="Y181" s="131"/>
    </row>
    <row r="182" s="86" customFormat="1" customHeight="1" spans="1:25">
      <c r="A182" s="134" t="s">
        <v>61</v>
      </c>
      <c r="B182" s="11" t="s">
        <v>83</v>
      </c>
      <c r="C182" s="135" t="s">
        <v>63</v>
      </c>
      <c r="D182" s="11" t="s">
        <v>85</v>
      </c>
      <c r="E182" s="136" t="s">
        <v>344</v>
      </c>
      <c r="F182" s="134" t="s">
        <v>345</v>
      </c>
      <c r="G182" s="110" t="s">
        <v>67</v>
      </c>
      <c r="H182" s="137" t="s">
        <v>347</v>
      </c>
      <c r="I182" s="30" t="e">
        <f>VLOOKUP(H182,'合同高级查询数据-4月返'!A:A,1,FALSE)</f>
        <v>#N/A</v>
      </c>
      <c r="J182" s="110" t="s">
        <v>69</v>
      </c>
      <c r="K182" s="141" t="s">
        <v>393</v>
      </c>
      <c r="L182" s="142"/>
      <c r="M182" s="113"/>
      <c r="N182" s="146">
        <v>43958</v>
      </c>
      <c r="O182" s="142" t="s">
        <v>71</v>
      </c>
      <c r="P182" s="145">
        <v>600</v>
      </c>
      <c r="Q182" s="130">
        <v>1</v>
      </c>
      <c r="R182" s="130">
        <f t="shared" si="8"/>
        <v>600</v>
      </c>
      <c r="S182" s="127">
        <v>202304</v>
      </c>
      <c r="T182" s="150" t="s">
        <v>429</v>
      </c>
      <c r="U182" s="148"/>
      <c r="V182" s="149"/>
      <c r="W182" s="149"/>
      <c r="X182" s="131"/>
      <c r="Y182" s="131"/>
    </row>
    <row r="183" s="86" customFormat="1" customHeight="1" spans="1:25">
      <c r="A183" s="134" t="s">
        <v>61</v>
      </c>
      <c r="B183" s="11" t="s">
        <v>83</v>
      </c>
      <c r="C183" s="135" t="s">
        <v>63</v>
      </c>
      <c r="D183" s="11" t="s">
        <v>85</v>
      </c>
      <c r="E183" s="136" t="s">
        <v>344</v>
      </c>
      <c r="F183" s="134" t="s">
        <v>345</v>
      </c>
      <c r="G183" s="110" t="s">
        <v>67</v>
      </c>
      <c r="H183" s="137" t="s">
        <v>347</v>
      </c>
      <c r="I183" s="30" t="e">
        <f>VLOOKUP(H183,'合同高级查询数据-4月返'!A:A,1,FALSE)</f>
        <v>#N/A</v>
      </c>
      <c r="J183" s="110" t="s">
        <v>69</v>
      </c>
      <c r="K183" s="141" t="s">
        <v>393</v>
      </c>
      <c r="L183" s="142"/>
      <c r="M183" s="113"/>
      <c r="N183" s="146">
        <v>44127</v>
      </c>
      <c r="O183" s="142" t="s">
        <v>71</v>
      </c>
      <c r="P183" s="145">
        <v>600</v>
      </c>
      <c r="Q183" s="130">
        <v>-1</v>
      </c>
      <c r="R183" s="130">
        <f t="shared" si="8"/>
        <v>-600</v>
      </c>
      <c r="S183" s="127">
        <v>202304</v>
      </c>
      <c r="T183" s="148" t="s">
        <v>430</v>
      </c>
      <c r="U183" s="148"/>
      <c r="V183" s="149"/>
      <c r="W183" s="149"/>
      <c r="X183" s="131"/>
      <c r="Y183" s="131"/>
    </row>
    <row r="184" s="86" customFormat="1" customHeight="1" spans="1:25">
      <c r="A184" s="134" t="s">
        <v>61</v>
      </c>
      <c r="B184" s="11" t="s">
        <v>83</v>
      </c>
      <c r="C184" s="135" t="s">
        <v>63</v>
      </c>
      <c r="D184" s="11" t="s">
        <v>85</v>
      </c>
      <c r="E184" s="136" t="s">
        <v>344</v>
      </c>
      <c r="F184" s="134" t="s">
        <v>345</v>
      </c>
      <c r="G184" s="110" t="s">
        <v>67</v>
      </c>
      <c r="H184" s="137" t="s">
        <v>347</v>
      </c>
      <c r="I184" s="30" t="e">
        <f>VLOOKUP(H184,'合同高级查询数据-4月返'!A:A,1,FALSE)</f>
        <v>#N/A</v>
      </c>
      <c r="J184" s="110" t="s">
        <v>69</v>
      </c>
      <c r="K184" s="141" t="s">
        <v>417</v>
      </c>
      <c r="L184" s="142"/>
      <c r="M184" s="113"/>
      <c r="N184" s="146">
        <v>43952</v>
      </c>
      <c r="O184" s="142" t="s">
        <v>71</v>
      </c>
      <c r="P184" s="145">
        <v>600</v>
      </c>
      <c r="Q184" s="130">
        <v>1</v>
      </c>
      <c r="R184" s="130">
        <f t="shared" si="8"/>
        <v>600</v>
      </c>
      <c r="S184" s="127">
        <v>202304</v>
      </c>
      <c r="T184" s="150" t="s">
        <v>431</v>
      </c>
      <c r="U184" s="148"/>
      <c r="V184" s="149"/>
      <c r="W184" s="149"/>
      <c r="X184" s="131"/>
      <c r="Y184" s="131"/>
    </row>
    <row r="185" s="86" customFormat="1" customHeight="1" spans="1:25">
      <c r="A185" s="134" t="s">
        <v>61</v>
      </c>
      <c r="B185" s="11" t="s">
        <v>83</v>
      </c>
      <c r="C185" s="135" t="s">
        <v>63</v>
      </c>
      <c r="D185" s="11" t="s">
        <v>85</v>
      </c>
      <c r="E185" s="136" t="s">
        <v>344</v>
      </c>
      <c r="F185" s="134" t="s">
        <v>345</v>
      </c>
      <c r="G185" s="110" t="s">
        <v>67</v>
      </c>
      <c r="H185" s="137" t="s">
        <v>347</v>
      </c>
      <c r="I185" s="30" t="e">
        <f>VLOOKUP(H185,'合同高级查询数据-4月返'!A:A,1,FALSE)</f>
        <v>#N/A</v>
      </c>
      <c r="J185" s="110" t="s">
        <v>69</v>
      </c>
      <c r="K185" s="141" t="s">
        <v>408</v>
      </c>
      <c r="L185" s="142"/>
      <c r="M185" s="113"/>
      <c r="N185" s="146">
        <v>43958</v>
      </c>
      <c r="O185" s="142" t="s">
        <v>71</v>
      </c>
      <c r="P185" s="145">
        <v>600</v>
      </c>
      <c r="Q185" s="130">
        <v>1</v>
      </c>
      <c r="R185" s="130">
        <f t="shared" si="8"/>
        <v>600</v>
      </c>
      <c r="S185" s="127">
        <v>202304</v>
      </c>
      <c r="T185" s="150" t="s">
        <v>432</v>
      </c>
      <c r="U185" s="148"/>
      <c r="V185" s="149"/>
      <c r="W185" s="149"/>
      <c r="X185" s="131"/>
      <c r="Y185" s="131"/>
    </row>
    <row r="186" s="86" customFormat="1" customHeight="1" spans="1:25">
      <c r="A186" s="134" t="s">
        <v>61</v>
      </c>
      <c r="B186" s="11" t="s">
        <v>83</v>
      </c>
      <c r="C186" s="135" t="s">
        <v>63</v>
      </c>
      <c r="D186" s="11" t="s">
        <v>85</v>
      </c>
      <c r="E186" s="136" t="s">
        <v>344</v>
      </c>
      <c r="F186" s="134" t="s">
        <v>345</v>
      </c>
      <c r="G186" s="110" t="s">
        <v>67</v>
      </c>
      <c r="H186" s="137" t="s">
        <v>347</v>
      </c>
      <c r="I186" s="30" t="e">
        <f>VLOOKUP(H186,'合同高级查询数据-4月返'!A:A,1,FALSE)</f>
        <v>#N/A</v>
      </c>
      <c r="J186" s="110" t="s">
        <v>69</v>
      </c>
      <c r="K186" s="141" t="s">
        <v>405</v>
      </c>
      <c r="L186" s="142"/>
      <c r="M186" s="113"/>
      <c r="N186" s="146">
        <v>43958</v>
      </c>
      <c r="O186" s="142" t="s">
        <v>71</v>
      </c>
      <c r="P186" s="145">
        <v>600</v>
      </c>
      <c r="Q186" s="130">
        <v>1</v>
      </c>
      <c r="R186" s="130">
        <f t="shared" si="8"/>
        <v>600</v>
      </c>
      <c r="S186" s="127">
        <v>202304</v>
      </c>
      <c r="T186" s="150" t="s">
        <v>433</v>
      </c>
      <c r="U186" s="148"/>
      <c r="V186" s="149"/>
      <c r="W186" s="149"/>
      <c r="X186" s="131"/>
      <c r="Y186" s="131"/>
    </row>
    <row r="187" s="86" customFormat="1" customHeight="1" spans="1:25">
      <c r="A187" s="134" t="s">
        <v>61</v>
      </c>
      <c r="B187" s="11" t="s">
        <v>83</v>
      </c>
      <c r="C187" s="135" t="s">
        <v>63</v>
      </c>
      <c r="D187" s="11" t="s">
        <v>85</v>
      </c>
      <c r="E187" s="136" t="s">
        <v>344</v>
      </c>
      <c r="F187" s="134" t="s">
        <v>345</v>
      </c>
      <c r="G187" s="110" t="s">
        <v>67</v>
      </c>
      <c r="H187" s="137" t="s">
        <v>347</v>
      </c>
      <c r="I187" s="30" t="e">
        <f>VLOOKUP(H187,'合同高级查询数据-4月返'!A:A,1,FALSE)</f>
        <v>#N/A</v>
      </c>
      <c r="J187" s="110" t="s">
        <v>69</v>
      </c>
      <c r="K187" s="141" t="s">
        <v>408</v>
      </c>
      <c r="L187" s="142"/>
      <c r="M187" s="113"/>
      <c r="N187" s="146">
        <v>43958</v>
      </c>
      <c r="O187" s="142" t="s">
        <v>71</v>
      </c>
      <c r="P187" s="145">
        <v>600</v>
      </c>
      <c r="Q187" s="130">
        <v>1</v>
      </c>
      <c r="R187" s="130">
        <f t="shared" si="8"/>
        <v>600</v>
      </c>
      <c r="S187" s="127">
        <v>202304</v>
      </c>
      <c r="T187" s="150" t="s">
        <v>434</v>
      </c>
      <c r="U187" s="148"/>
      <c r="V187" s="149"/>
      <c r="W187" s="149"/>
      <c r="X187" s="131"/>
      <c r="Y187" s="131"/>
    </row>
    <row r="188" s="86" customFormat="1" customHeight="1" spans="1:25">
      <c r="A188" s="134" t="s">
        <v>61</v>
      </c>
      <c r="B188" s="11" t="s">
        <v>83</v>
      </c>
      <c r="C188" s="135" t="s">
        <v>63</v>
      </c>
      <c r="D188" s="11" t="s">
        <v>85</v>
      </c>
      <c r="E188" s="136" t="s">
        <v>344</v>
      </c>
      <c r="F188" s="134" t="s">
        <v>345</v>
      </c>
      <c r="G188" s="110" t="s">
        <v>67</v>
      </c>
      <c r="H188" s="137" t="s">
        <v>347</v>
      </c>
      <c r="I188" s="30" t="e">
        <f>VLOOKUP(H188,'合同高级查询数据-4月返'!A:A,1,FALSE)</f>
        <v>#N/A</v>
      </c>
      <c r="J188" s="110" t="s">
        <v>69</v>
      </c>
      <c r="K188" s="141" t="s">
        <v>435</v>
      </c>
      <c r="L188" s="142"/>
      <c r="M188" s="113"/>
      <c r="N188" s="146">
        <v>43958</v>
      </c>
      <c r="O188" s="142" t="s">
        <v>71</v>
      </c>
      <c r="P188" s="145">
        <v>600</v>
      </c>
      <c r="Q188" s="130">
        <v>1</v>
      </c>
      <c r="R188" s="130">
        <f t="shared" si="8"/>
        <v>600</v>
      </c>
      <c r="S188" s="127">
        <v>202304</v>
      </c>
      <c r="T188" s="150" t="s">
        <v>436</v>
      </c>
      <c r="U188" s="148"/>
      <c r="V188" s="149"/>
      <c r="W188" s="149"/>
      <c r="X188" s="131"/>
      <c r="Y188" s="131"/>
    </row>
    <row r="189" s="86" customFormat="1" customHeight="1" spans="1:25">
      <c r="A189" s="134" t="s">
        <v>61</v>
      </c>
      <c r="B189" s="11" t="s">
        <v>83</v>
      </c>
      <c r="C189" s="135" t="s">
        <v>63</v>
      </c>
      <c r="D189" s="11" t="s">
        <v>85</v>
      </c>
      <c r="E189" s="136" t="s">
        <v>344</v>
      </c>
      <c r="F189" s="134" t="s">
        <v>345</v>
      </c>
      <c r="G189" s="110" t="s">
        <v>67</v>
      </c>
      <c r="H189" s="137" t="s">
        <v>347</v>
      </c>
      <c r="I189" s="30" t="e">
        <f>VLOOKUP(H189,'合同高级查询数据-4月返'!A:A,1,FALSE)</f>
        <v>#N/A</v>
      </c>
      <c r="J189" s="110" t="s">
        <v>69</v>
      </c>
      <c r="K189" s="141" t="s">
        <v>393</v>
      </c>
      <c r="L189" s="142"/>
      <c r="M189" s="113"/>
      <c r="N189" s="146">
        <v>43958</v>
      </c>
      <c r="O189" s="142" t="s">
        <v>71</v>
      </c>
      <c r="P189" s="145">
        <v>600</v>
      </c>
      <c r="Q189" s="130">
        <v>1</v>
      </c>
      <c r="R189" s="130">
        <f t="shared" ref="R189:R213" si="9">ROUND(P189*Q189,2)</f>
        <v>600</v>
      </c>
      <c r="S189" s="127">
        <v>202304</v>
      </c>
      <c r="T189" s="150" t="s">
        <v>437</v>
      </c>
      <c r="U189" s="148"/>
      <c r="V189" s="149"/>
      <c r="W189" s="149"/>
      <c r="X189" s="131"/>
      <c r="Y189" s="131"/>
    </row>
    <row r="190" s="86" customFormat="1" customHeight="1" spans="1:25">
      <c r="A190" s="134" t="s">
        <v>61</v>
      </c>
      <c r="B190" s="11" t="s">
        <v>83</v>
      </c>
      <c r="C190" s="135" t="s">
        <v>63</v>
      </c>
      <c r="D190" s="11" t="s">
        <v>85</v>
      </c>
      <c r="E190" s="136" t="s">
        <v>344</v>
      </c>
      <c r="F190" s="134" t="s">
        <v>345</v>
      </c>
      <c r="G190" s="110" t="s">
        <v>67</v>
      </c>
      <c r="H190" s="137" t="s">
        <v>347</v>
      </c>
      <c r="I190" s="30" t="e">
        <f>VLOOKUP(H190,'合同高级查询数据-4月返'!A:A,1,FALSE)</f>
        <v>#N/A</v>
      </c>
      <c r="J190" s="110" t="s">
        <v>69</v>
      </c>
      <c r="K190" s="141" t="s">
        <v>435</v>
      </c>
      <c r="L190" s="142"/>
      <c r="M190" s="113"/>
      <c r="N190" s="146">
        <v>43958</v>
      </c>
      <c r="O190" s="142" t="s">
        <v>71</v>
      </c>
      <c r="P190" s="145">
        <v>600</v>
      </c>
      <c r="Q190" s="130">
        <v>1</v>
      </c>
      <c r="R190" s="130">
        <f t="shared" si="9"/>
        <v>600</v>
      </c>
      <c r="S190" s="127">
        <v>202304</v>
      </c>
      <c r="T190" s="150" t="s">
        <v>438</v>
      </c>
      <c r="U190" s="148"/>
      <c r="V190" s="149"/>
      <c r="W190" s="149"/>
      <c r="X190" s="131"/>
      <c r="Y190" s="131"/>
    </row>
    <row r="191" s="86" customFormat="1" customHeight="1" spans="1:25">
      <c r="A191" s="134" t="s">
        <v>61</v>
      </c>
      <c r="B191" s="11" t="s">
        <v>83</v>
      </c>
      <c r="C191" s="135" t="s">
        <v>63</v>
      </c>
      <c r="D191" s="11" t="s">
        <v>85</v>
      </c>
      <c r="E191" s="136" t="s">
        <v>344</v>
      </c>
      <c r="F191" s="134" t="s">
        <v>345</v>
      </c>
      <c r="G191" s="110" t="s">
        <v>67</v>
      </c>
      <c r="H191" s="137" t="s">
        <v>347</v>
      </c>
      <c r="I191" s="30" t="e">
        <f>VLOOKUP(H191,'合同高级查询数据-4月返'!A:A,1,FALSE)</f>
        <v>#N/A</v>
      </c>
      <c r="J191" s="110" t="s">
        <v>69</v>
      </c>
      <c r="K191" s="141" t="s">
        <v>439</v>
      </c>
      <c r="L191" s="142"/>
      <c r="M191" s="113"/>
      <c r="N191" s="146">
        <v>43952</v>
      </c>
      <c r="O191" s="142" t="s">
        <v>71</v>
      </c>
      <c r="P191" s="145">
        <v>600</v>
      </c>
      <c r="Q191" s="130">
        <v>1</v>
      </c>
      <c r="R191" s="130">
        <f t="shared" si="9"/>
        <v>600</v>
      </c>
      <c r="S191" s="127">
        <v>202304</v>
      </c>
      <c r="T191" s="147" t="s">
        <v>440</v>
      </c>
      <c r="U191" s="148"/>
      <c r="V191" s="149"/>
      <c r="W191" s="149"/>
      <c r="X191" s="131"/>
      <c r="Y191" s="131"/>
    </row>
    <row r="192" s="86" customFormat="1" customHeight="1" spans="1:25">
      <c r="A192" s="134" t="s">
        <v>61</v>
      </c>
      <c r="B192" s="11" t="s">
        <v>83</v>
      </c>
      <c r="C192" s="135" t="s">
        <v>63</v>
      </c>
      <c r="D192" s="11" t="s">
        <v>85</v>
      </c>
      <c r="E192" s="136" t="s">
        <v>344</v>
      </c>
      <c r="F192" s="134" t="s">
        <v>345</v>
      </c>
      <c r="G192" s="110" t="s">
        <v>67</v>
      </c>
      <c r="H192" s="137" t="s">
        <v>347</v>
      </c>
      <c r="I192" s="30" t="e">
        <f>VLOOKUP(H192,'合同高级查询数据-4月返'!A:A,1,FALSE)</f>
        <v>#N/A</v>
      </c>
      <c r="J192" s="110" t="s">
        <v>69</v>
      </c>
      <c r="K192" s="141" t="s">
        <v>439</v>
      </c>
      <c r="L192" s="142"/>
      <c r="M192" s="113"/>
      <c r="N192" s="146">
        <v>44868</v>
      </c>
      <c r="O192" s="142" t="s">
        <v>71</v>
      </c>
      <c r="P192" s="145">
        <v>600</v>
      </c>
      <c r="Q192" s="130">
        <v>-1</v>
      </c>
      <c r="R192" s="130">
        <f t="shared" si="9"/>
        <v>-600</v>
      </c>
      <c r="S192" s="127">
        <v>202304</v>
      </c>
      <c r="T192" s="147" t="s">
        <v>441</v>
      </c>
      <c r="U192" s="148"/>
      <c r="V192" s="149"/>
      <c r="W192" s="149"/>
      <c r="X192" s="131"/>
      <c r="Y192" s="131"/>
    </row>
    <row r="193" s="86" customFormat="1" customHeight="1" spans="1:25">
      <c r="A193" s="134" t="s">
        <v>61</v>
      </c>
      <c r="B193" s="11" t="s">
        <v>83</v>
      </c>
      <c r="C193" s="135" t="s">
        <v>63</v>
      </c>
      <c r="D193" s="11" t="s">
        <v>85</v>
      </c>
      <c r="E193" s="136" t="s">
        <v>344</v>
      </c>
      <c r="F193" s="134" t="s">
        <v>345</v>
      </c>
      <c r="G193" s="110" t="s">
        <v>67</v>
      </c>
      <c r="H193" s="137" t="s">
        <v>347</v>
      </c>
      <c r="I193" s="30" t="e">
        <f>VLOOKUP(H193,'合同高级查询数据-4月返'!A:A,1,FALSE)</f>
        <v>#N/A</v>
      </c>
      <c r="J193" s="110" t="s">
        <v>69</v>
      </c>
      <c r="K193" s="141" t="s">
        <v>417</v>
      </c>
      <c r="L193" s="142"/>
      <c r="M193" s="113"/>
      <c r="N193" s="146">
        <v>43952</v>
      </c>
      <c r="O193" s="142" t="s">
        <v>71</v>
      </c>
      <c r="P193" s="145">
        <v>600</v>
      </c>
      <c r="Q193" s="130">
        <v>1</v>
      </c>
      <c r="R193" s="130">
        <f t="shared" si="9"/>
        <v>600</v>
      </c>
      <c r="S193" s="127">
        <v>202304</v>
      </c>
      <c r="T193" s="147" t="s">
        <v>442</v>
      </c>
      <c r="U193" s="148"/>
      <c r="V193" s="149"/>
      <c r="W193" s="149"/>
      <c r="X193" s="131"/>
      <c r="Y193" s="131"/>
    </row>
    <row r="194" s="86" customFormat="1" customHeight="1" spans="1:25">
      <c r="A194" s="134" t="s">
        <v>61</v>
      </c>
      <c r="B194" s="11" t="s">
        <v>83</v>
      </c>
      <c r="C194" s="135" t="s">
        <v>63</v>
      </c>
      <c r="D194" s="11" t="s">
        <v>85</v>
      </c>
      <c r="E194" s="136" t="s">
        <v>344</v>
      </c>
      <c r="F194" s="134" t="s">
        <v>345</v>
      </c>
      <c r="G194" s="110" t="s">
        <v>67</v>
      </c>
      <c r="H194" s="137" t="s">
        <v>347</v>
      </c>
      <c r="I194" s="30" t="e">
        <f>VLOOKUP(H194,'合同高级查询数据-4月返'!A:A,1,FALSE)</f>
        <v>#N/A</v>
      </c>
      <c r="J194" s="110" t="s">
        <v>69</v>
      </c>
      <c r="K194" s="141" t="s">
        <v>417</v>
      </c>
      <c r="L194" s="142"/>
      <c r="M194" s="113"/>
      <c r="N194" s="146">
        <v>44798</v>
      </c>
      <c r="O194" s="142" t="s">
        <v>71</v>
      </c>
      <c r="P194" s="145">
        <v>600</v>
      </c>
      <c r="Q194" s="130">
        <v>-1</v>
      </c>
      <c r="R194" s="130">
        <f t="shared" si="9"/>
        <v>-600</v>
      </c>
      <c r="S194" s="127">
        <v>202304</v>
      </c>
      <c r="T194" s="151" t="s">
        <v>443</v>
      </c>
      <c r="U194" s="148"/>
      <c r="V194" s="149"/>
      <c r="W194" s="149"/>
      <c r="X194" s="131"/>
      <c r="Y194" s="131"/>
    </row>
    <row r="195" s="86" customFormat="1" customHeight="1" spans="1:25">
      <c r="A195" s="134" t="s">
        <v>61</v>
      </c>
      <c r="B195" s="11" t="s">
        <v>83</v>
      </c>
      <c r="C195" s="135" t="s">
        <v>63</v>
      </c>
      <c r="D195" s="11" t="s">
        <v>85</v>
      </c>
      <c r="E195" s="136" t="s">
        <v>344</v>
      </c>
      <c r="F195" s="134" t="s">
        <v>345</v>
      </c>
      <c r="G195" s="110" t="s">
        <v>67</v>
      </c>
      <c r="H195" s="137" t="s">
        <v>347</v>
      </c>
      <c r="I195" s="30" t="e">
        <f>VLOOKUP(H195,'合同高级查询数据-4月返'!A:A,1,FALSE)</f>
        <v>#N/A</v>
      </c>
      <c r="J195" s="110" t="s">
        <v>69</v>
      </c>
      <c r="K195" s="141" t="s">
        <v>444</v>
      </c>
      <c r="L195" s="142"/>
      <c r="M195" s="113"/>
      <c r="N195" s="146">
        <v>44015</v>
      </c>
      <c r="O195" s="142" t="s">
        <v>71</v>
      </c>
      <c r="P195" s="145">
        <v>600</v>
      </c>
      <c r="Q195" s="130">
        <v>2</v>
      </c>
      <c r="R195" s="130">
        <f t="shared" si="9"/>
        <v>1200</v>
      </c>
      <c r="S195" s="127">
        <v>202304</v>
      </c>
      <c r="T195" s="150" t="s">
        <v>445</v>
      </c>
      <c r="U195" s="148"/>
      <c r="V195" s="149"/>
      <c r="W195" s="149"/>
      <c r="X195" s="131"/>
      <c r="Y195" s="131"/>
    </row>
    <row r="196" s="86" customFormat="1" customHeight="1" spans="1:25">
      <c r="A196" s="134" t="s">
        <v>61</v>
      </c>
      <c r="B196" s="11" t="s">
        <v>83</v>
      </c>
      <c r="C196" s="135" t="s">
        <v>63</v>
      </c>
      <c r="D196" s="11" t="s">
        <v>85</v>
      </c>
      <c r="E196" s="136" t="s">
        <v>344</v>
      </c>
      <c r="F196" s="134" t="s">
        <v>345</v>
      </c>
      <c r="G196" s="110" t="s">
        <v>67</v>
      </c>
      <c r="H196" s="137" t="s">
        <v>347</v>
      </c>
      <c r="I196" s="30" t="e">
        <f>VLOOKUP(H196,'合同高级查询数据-4月返'!A:A,1,FALSE)</f>
        <v>#N/A</v>
      </c>
      <c r="J196" s="110" t="s">
        <v>69</v>
      </c>
      <c r="K196" s="141" t="s">
        <v>446</v>
      </c>
      <c r="L196" s="142"/>
      <c r="M196" s="113"/>
      <c r="N196" s="146">
        <v>43948</v>
      </c>
      <c r="O196" s="142" t="s">
        <v>71</v>
      </c>
      <c r="P196" s="145">
        <v>600</v>
      </c>
      <c r="Q196" s="130">
        <v>1</v>
      </c>
      <c r="R196" s="130">
        <f t="shared" si="9"/>
        <v>600</v>
      </c>
      <c r="S196" s="127">
        <v>202304</v>
      </c>
      <c r="T196" s="150" t="s">
        <v>447</v>
      </c>
      <c r="U196" s="148"/>
      <c r="V196" s="149"/>
      <c r="W196" s="149"/>
      <c r="X196" s="131"/>
      <c r="Y196" s="131"/>
    </row>
    <row r="197" s="86" customFormat="1" customHeight="1" spans="1:25">
      <c r="A197" s="134" t="s">
        <v>61</v>
      </c>
      <c r="B197" s="11" t="s">
        <v>83</v>
      </c>
      <c r="C197" s="135" t="s">
        <v>63</v>
      </c>
      <c r="D197" s="11" t="s">
        <v>85</v>
      </c>
      <c r="E197" s="136" t="s">
        <v>344</v>
      </c>
      <c r="F197" s="134" t="s">
        <v>345</v>
      </c>
      <c r="G197" s="110" t="s">
        <v>67</v>
      </c>
      <c r="H197" s="137" t="s">
        <v>347</v>
      </c>
      <c r="I197" s="30" t="e">
        <f>VLOOKUP(H197,'合同高级查询数据-4月返'!A:A,1,FALSE)</f>
        <v>#N/A</v>
      </c>
      <c r="J197" s="110" t="s">
        <v>69</v>
      </c>
      <c r="K197" s="141" t="s">
        <v>448</v>
      </c>
      <c r="L197" s="142"/>
      <c r="M197" s="113"/>
      <c r="N197" s="146">
        <v>43966</v>
      </c>
      <c r="O197" s="142" t="s">
        <v>71</v>
      </c>
      <c r="P197" s="145">
        <v>600</v>
      </c>
      <c r="Q197" s="130">
        <v>1</v>
      </c>
      <c r="R197" s="130">
        <f t="shared" si="9"/>
        <v>600</v>
      </c>
      <c r="S197" s="127">
        <v>202304</v>
      </c>
      <c r="T197" s="150" t="s">
        <v>449</v>
      </c>
      <c r="U197" s="148"/>
      <c r="V197" s="149"/>
      <c r="W197" s="149"/>
      <c r="X197" s="131"/>
      <c r="Y197" s="131"/>
    </row>
    <row r="198" s="86" customFormat="1" customHeight="1" spans="1:25">
      <c r="A198" s="134" t="s">
        <v>61</v>
      </c>
      <c r="B198" s="11" t="s">
        <v>83</v>
      </c>
      <c r="C198" s="135" t="s">
        <v>63</v>
      </c>
      <c r="D198" s="11" t="s">
        <v>85</v>
      </c>
      <c r="E198" s="136" t="s">
        <v>344</v>
      </c>
      <c r="F198" s="134" t="s">
        <v>345</v>
      </c>
      <c r="G198" s="110" t="s">
        <v>67</v>
      </c>
      <c r="H198" s="137" t="s">
        <v>347</v>
      </c>
      <c r="I198" s="30" t="e">
        <f>VLOOKUP(H198,'合同高级查询数据-4月返'!A:A,1,FALSE)</f>
        <v>#N/A</v>
      </c>
      <c r="J198" s="110" t="s">
        <v>69</v>
      </c>
      <c r="K198" s="141" t="s">
        <v>450</v>
      </c>
      <c r="L198" s="142"/>
      <c r="M198" s="113"/>
      <c r="N198" s="146">
        <v>43991</v>
      </c>
      <c r="O198" s="142" t="s">
        <v>71</v>
      </c>
      <c r="P198" s="145">
        <v>600</v>
      </c>
      <c r="Q198" s="130">
        <v>1</v>
      </c>
      <c r="R198" s="130">
        <f t="shared" si="9"/>
        <v>600</v>
      </c>
      <c r="S198" s="127">
        <v>202304</v>
      </c>
      <c r="T198" s="150" t="s">
        <v>451</v>
      </c>
      <c r="U198" s="148"/>
      <c r="V198" s="149"/>
      <c r="W198" s="149"/>
      <c r="X198" s="131"/>
      <c r="Y198" s="131"/>
    </row>
    <row r="199" s="86" customFormat="1" customHeight="1" spans="1:25">
      <c r="A199" s="134" t="s">
        <v>61</v>
      </c>
      <c r="B199" s="11" t="s">
        <v>83</v>
      </c>
      <c r="C199" s="135" t="s">
        <v>63</v>
      </c>
      <c r="D199" s="11" t="s">
        <v>85</v>
      </c>
      <c r="E199" s="136" t="s">
        <v>344</v>
      </c>
      <c r="F199" s="134" t="s">
        <v>345</v>
      </c>
      <c r="G199" s="110" t="s">
        <v>67</v>
      </c>
      <c r="H199" s="137" t="s">
        <v>347</v>
      </c>
      <c r="I199" s="30" t="e">
        <f>VLOOKUP(H199,'合同高级查询数据-4月返'!A:A,1,FALSE)</f>
        <v>#N/A</v>
      </c>
      <c r="J199" s="110" t="s">
        <v>69</v>
      </c>
      <c r="K199" s="141" t="s">
        <v>427</v>
      </c>
      <c r="L199" s="142"/>
      <c r="M199" s="113"/>
      <c r="N199" s="146">
        <v>44075</v>
      </c>
      <c r="O199" s="142" t="s">
        <v>71</v>
      </c>
      <c r="P199" s="145">
        <v>600</v>
      </c>
      <c r="Q199" s="130">
        <v>1</v>
      </c>
      <c r="R199" s="130">
        <f t="shared" si="9"/>
        <v>600</v>
      </c>
      <c r="S199" s="127">
        <v>202304</v>
      </c>
      <c r="T199" s="150" t="s">
        <v>452</v>
      </c>
      <c r="U199" s="148"/>
      <c r="V199" s="149"/>
      <c r="W199" s="149"/>
      <c r="X199" s="131"/>
      <c r="Y199" s="131"/>
    </row>
    <row r="200" s="86" customFormat="1" customHeight="1" spans="1:25">
      <c r="A200" s="134" t="s">
        <v>61</v>
      </c>
      <c r="B200" s="11" t="s">
        <v>83</v>
      </c>
      <c r="C200" s="135" t="s">
        <v>63</v>
      </c>
      <c r="D200" s="11" t="s">
        <v>85</v>
      </c>
      <c r="E200" s="136" t="s">
        <v>344</v>
      </c>
      <c r="F200" s="134" t="s">
        <v>345</v>
      </c>
      <c r="G200" s="110" t="s">
        <v>67</v>
      </c>
      <c r="H200" s="137" t="s">
        <v>347</v>
      </c>
      <c r="I200" s="30" t="e">
        <f>VLOOKUP(H200,'合同高级查询数据-4月返'!A:A,1,FALSE)</f>
        <v>#N/A</v>
      </c>
      <c r="J200" s="110" t="s">
        <v>69</v>
      </c>
      <c r="K200" s="141" t="s">
        <v>420</v>
      </c>
      <c r="L200" s="142"/>
      <c r="M200" s="113"/>
      <c r="N200" s="146">
        <v>44075</v>
      </c>
      <c r="O200" s="142" t="s">
        <v>71</v>
      </c>
      <c r="P200" s="145">
        <v>600</v>
      </c>
      <c r="Q200" s="130">
        <v>1</v>
      </c>
      <c r="R200" s="130">
        <f t="shared" si="9"/>
        <v>600</v>
      </c>
      <c r="S200" s="127">
        <v>202304</v>
      </c>
      <c r="T200" s="150" t="s">
        <v>453</v>
      </c>
      <c r="U200" s="148"/>
      <c r="V200" s="149"/>
      <c r="W200" s="149"/>
      <c r="X200" s="131"/>
      <c r="Y200" s="131"/>
    </row>
    <row r="201" s="86" customFormat="1" customHeight="1" spans="1:25">
      <c r="A201" s="134" t="s">
        <v>61</v>
      </c>
      <c r="B201" s="11" t="s">
        <v>83</v>
      </c>
      <c r="C201" s="135" t="s">
        <v>63</v>
      </c>
      <c r="D201" s="11" t="s">
        <v>85</v>
      </c>
      <c r="E201" s="136" t="s">
        <v>344</v>
      </c>
      <c r="F201" s="134" t="s">
        <v>345</v>
      </c>
      <c r="G201" s="110" t="s">
        <v>67</v>
      </c>
      <c r="H201" s="137" t="s">
        <v>347</v>
      </c>
      <c r="I201" s="30" t="e">
        <f>VLOOKUP(H201,'合同高级查询数据-4月返'!A:A,1,FALSE)</f>
        <v>#N/A</v>
      </c>
      <c r="J201" s="110" t="s">
        <v>69</v>
      </c>
      <c r="K201" s="141" t="s">
        <v>420</v>
      </c>
      <c r="L201" s="142"/>
      <c r="M201" s="113"/>
      <c r="N201" s="146">
        <v>44127</v>
      </c>
      <c r="O201" s="142" t="s">
        <v>71</v>
      </c>
      <c r="P201" s="145">
        <v>600</v>
      </c>
      <c r="Q201" s="130">
        <v>-1</v>
      </c>
      <c r="R201" s="130">
        <f t="shared" si="9"/>
        <v>-600</v>
      </c>
      <c r="S201" s="127">
        <v>202304</v>
      </c>
      <c r="T201" s="148" t="s">
        <v>454</v>
      </c>
      <c r="U201" s="148"/>
      <c r="V201" s="149"/>
      <c r="W201" s="149"/>
      <c r="X201" s="131"/>
      <c r="Y201" s="131"/>
    </row>
    <row r="202" s="86" customFormat="1" customHeight="1" spans="1:25">
      <c r="A202" s="134" t="s">
        <v>61</v>
      </c>
      <c r="B202" s="11" t="s">
        <v>83</v>
      </c>
      <c r="C202" s="135" t="s">
        <v>63</v>
      </c>
      <c r="D202" s="11" t="s">
        <v>85</v>
      </c>
      <c r="E202" s="136" t="s">
        <v>344</v>
      </c>
      <c r="F202" s="134" t="s">
        <v>345</v>
      </c>
      <c r="G202" s="110" t="s">
        <v>67</v>
      </c>
      <c r="H202" s="137" t="s">
        <v>347</v>
      </c>
      <c r="I202" s="30" t="e">
        <f>VLOOKUP(H202,'合同高级查询数据-4月返'!A:A,1,FALSE)</f>
        <v>#N/A</v>
      </c>
      <c r="J202" s="110" t="s">
        <v>69</v>
      </c>
      <c r="K202" s="141" t="s">
        <v>446</v>
      </c>
      <c r="L202" s="142"/>
      <c r="M202" s="113"/>
      <c r="N202" s="146">
        <v>44127</v>
      </c>
      <c r="O202" s="142" t="s">
        <v>71</v>
      </c>
      <c r="P202" s="145">
        <v>600</v>
      </c>
      <c r="Q202" s="130">
        <v>1</v>
      </c>
      <c r="R202" s="130">
        <f t="shared" si="9"/>
        <v>600</v>
      </c>
      <c r="S202" s="127">
        <v>202304</v>
      </c>
      <c r="T202" s="150" t="s">
        <v>455</v>
      </c>
      <c r="U202" s="148"/>
      <c r="V202" s="149"/>
      <c r="W202" s="149"/>
      <c r="X202" s="131"/>
      <c r="Y202" s="131"/>
    </row>
    <row r="203" s="86" customFormat="1" customHeight="1" spans="1:25">
      <c r="A203" s="134" t="s">
        <v>61</v>
      </c>
      <c r="B203" s="11" t="s">
        <v>83</v>
      </c>
      <c r="C203" s="135" t="s">
        <v>63</v>
      </c>
      <c r="D203" s="11" t="s">
        <v>85</v>
      </c>
      <c r="E203" s="136" t="s">
        <v>344</v>
      </c>
      <c r="F203" s="134" t="s">
        <v>345</v>
      </c>
      <c r="G203" s="110" t="s">
        <v>67</v>
      </c>
      <c r="H203" s="137" t="s">
        <v>347</v>
      </c>
      <c r="I203" s="30" t="e">
        <f>VLOOKUP(H203,'合同高级查询数据-4月返'!A:A,1,FALSE)</f>
        <v>#N/A</v>
      </c>
      <c r="J203" s="110" t="s">
        <v>69</v>
      </c>
      <c r="K203" s="141" t="s">
        <v>448</v>
      </c>
      <c r="L203" s="142"/>
      <c r="M203" s="113"/>
      <c r="N203" s="146">
        <v>44253</v>
      </c>
      <c r="O203" s="142" t="s">
        <v>71</v>
      </c>
      <c r="P203" s="145">
        <v>600</v>
      </c>
      <c r="Q203" s="130">
        <v>1</v>
      </c>
      <c r="R203" s="130">
        <f t="shared" si="9"/>
        <v>600</v>
      </c>
      <c r="S203" s="127">
        <v>202304</v>
      </c>
      <c r="T203" s="150" t="s">
        <v>456</v>
      </c>
      <c r="U203" s="148"/>
      <c r="V203" s="149"/>
      <c r="W203" s="149"/>
      <c r="X203" s="131"/>
      <c r="Y203" s="131"/>
    </row>
    <row r="204" s="86" customFormat="1" customHeight="1" spans="1:25">
      <c r="A204" s="134" t="s">
        <v>61</v>
      </c>
      <c r="B204" s="11" t="s">
        <v>83</v>
      </c>
      <c r="C204" s="135" t="s">
        <v>63</v>
      </c>
      <c r="D204" s="11" t="s">
        <v>85</v>
      </c>
      <c r="E204" s="136" t="s">
        <v>344</v>
      </c>
      <c r="F204" s="134" t="s">
        <v>345</v>
      </c>
      <c r="G204" s="110" t="s">
        <v>67</v>
      </c>
      <c r="H204" s="137" t="s">
        <v>347</v>
      </c>
      <c r="I204" s="30" t="e">
        <f>VLOOKUP(H204,'合同高级查询数据-4月返'!A:A,1,FALSE)</f>
        <v>#N/A</v>
      </c>
      <c r="J204" s="110" t="s">
        <v>69</v>
      </c>
      <c r="K204" s="141" t="s">
        <v>446</v>
      </c>
      <c r="L204" s="142"/>
      <c r="M204" s="113"/>
      <c r="N204" s="146">
        <v>44439</v>
      </c>
      <c r="O204" s="142" t="s">
        <v>71</v>
      </c>
      <c r="P204" s="145">
        <v>600</v>
      </c>
      <c r="Q204" s="130">
        <v>1</v>
      </c>
      <c r="R204" s="130">
        <f t="shared" si="9"/>
        <v>600</v>
      </c>
      <c r="S204" s="127">
        <v>202304</v>
      </c>
      <c r="T204" s="150" t="s">
        <v>457</v>
      </c>
      <c r="U204" s="148"/>
      <c r="V204" s="149"/>
      <c r="W204" s="149"/>
      <c r="X204" s="131"/>
      <c r="Y204" s="131"/>
    </row>
    <row r="205" s="86" customFormat="1" customHeight="1" spans="1:25">
      <c r="A205" s="134" t="s">
        <v>61</v>
      </c>
      <c r="B205" s="11" t="s">
        <v>83</v>
      </c>
      <c r="C205" s="135" t="s">
        <v>63</v>
      </c>
      <c r="D205" s="11" t="s">
        <v>85</v>
      </c>
      <c r="E205" s="136" t="s">
        <v>344</v>
      </c>
      <c r="F205" s="134" t="s">
        <v>345</v>
      </c>
      <c r="G205" s="110" t="s">
        <v>67</v>
      </c>
      <c r="H205" s="137" t="s">
        <v>347</v>
      </c>
      <c r="I205" s="30" t="e">
        <f>VLOOKUP(H205,'合同高级查询数据-4月返'!A:A,1,FALSE)</f>
        <v>#N/A</v>
      </c>
      <c r="J205" s="110" t="s">
        <v>69</v>
      </c>
      <c r="K205" s="141" t="s">
        <v>446</v>
      </c>
      <c r="L205" s="142"/>
      <c r="M205" s="113"/>
      <c r="N205" s="146">
        <v>44487</v>
      </c>
      <c r="O205" s="142" t="s">
        <v>71</v>
      </c>
      <c r="P205" s="145">
        <v>600</v>
      </c>
      <c r="Q205" s="130">
        <v>1</v>
      </c>
      <c r="R205" s="130">
        <f t="shared" si="9"/>
        <v>600</v>
      </c>
      <c r="S205" s="127">
        <v>202304</v>
      </c>
      <c r="T205" s="150" t="s">
        <v>458</v>
      </c>
      <c r="U205" s="148"/>
      <c r="V205" s="149"/>
      <c r="W205" s="149"/>
      <c r="X205" s="131"/>
      <c r="Y205" s="131"/>
    </row>
    <row r="206" s="86" customFormat="1" customHeight="1" spans="1:25">
      <c r="A206" s="134" t="s">
        <v>61</v>
      </c>
      <c r="B206" s="11" t="s">
        <v>83</v>
      </c>
      <c r="C206" s="135" t="s">
        <v>63</v>
      </c>
      <c r="D206" s="11" t="s">
        <v>85</v>
      </c>
      <c r="E206" s="136" t="s">
        <v>344</v>
      </c>
      <c r="F206" s="134" t="s">
        <v>345</v>
      </c>
      <c r="G206" s="110" t="s">
        <v>67</v>
      </c>
      <c r="H206" s="137" t="s">
        <v>347</v>
      </c>
      <c r="I206" s="30" t="e">
        <f>VLOOKUP(H206,'合同高级查询数据-4月返'!A:A,1,FALSE)</f>
        <v>#N/A</v>
      </c>
      <c r="J206" s="110" t="s">
        <v>69</v>
      </c>
      <c r="K206" s="141" t="s">
        <v>446</v>
      </c>
      <c r="L206" s="142"/>
      <c r="M206" s="113"/>
      <c r="N206" s="146">
        <v>44487</v>
      </c>
      <c r="O206" s="142" t="s">
        <v>71</v>
      </c>
      <c r="P206" s="145">
        <v>600</v>
      </c>
      <c r="Q206" s="130">
        <v>1</v>
      </c>
      <c r="R206" s="130">
        <f t="shared" si="9"/>
        <v>600</v>
      </c>
      <c r="S206" s="127">
        <v>202304</v>
      </c>
      <c r="T206" s="150" t="s">
        <v>459</v>
      </c>
      <c r="U206" s="148"/>
      <c r="V206" s="149"/>
      <c r="W206" s="149"/>
      <c r="X206" s="131"/>
      <c r="Y206" s="131"/>
    </row>
    <row r="207" s="86" customFormat="1" customHeight="1" spans="1:25">
      <c r="A207" s="134" t="s">
        <v>61</v>
      </c>
      <c r="B207" s="11" t="s">
        <v>83</v>
      </c>
      <c r="C207" s="135" t="s">
        <v>63</v>
      </c>
      <c r="D207" s="11" t="s">
        <v>85</v>
      </c>
      <c r="E207" s="136" t="s">
        <v>344</v>
      </c>
      <c r="F207" s="134" t="s">
        <v>345</v>
      </c>
      <c r="G207" s="110" t="s">
        <v>67</v>
      </c>
      <c r="H207" s="137" t="s">
        <v>347</v>
      </c>
      <c r="I207" s="30" t="e">
        <f>VLOOKUP(H207,'合同高级查询数据-4月返'!A:A,1,FALSE)</f>
        <v>#N/A</v>
      </c>
      <c r="J207" s="110" t="s">
        <v>69</v>
      </c>
      <c r="K207" s="141" t="s">
        <v>446</v>
      </c>
      <c r="L207" s="142"/>
      <c r="M207" s="113"/>
      <c r="N207" s="146">
        <v>44648</v>
      </c>
      <c r="O207" s="142" t="s">
        <v>71</v>
      </c>
      <c r="P207" s="145">
        <v>600</v>
      </c>
      <c r="Q207" s="130">
        <v>1</v>
      </c>
      <c r="R207" s="130">
        <f t="shared" si="9"/>
        <v>600</v>
      </c>
      <c r="S207" s="127">
        <v>202304</v>
      </c>
      <c r="T207" s="150" t="s">
        <v>460</v>
      </c>
      <c r="U207" s="148"/>
      <c r="V207" s="149"/>
      <c r="W207" s="149"/>
      <c r="X207" s="131"/>
      <c r="Y207" s="131"/>
    </row>
    <row r="208" s="86" customFormat="1" customHeight="1" spans="1:25">
      <c r="A208" s="134" t="s">
        <v>61</v>
      </c>
      <c r="B208" s="11" t="s">
        <v>83</v>
      </c>
      <c r="C208" s="135" t="s">
        <v>63</v>
      </c>
      <c r="D208" s="11" t="s">
        <v>85</v>
      </c>
      <c r="E208" s="136" t="s">
        <v>344</v>
      </c>
      <c r="F208" s="134" t="s">
        <v>345</v>
      </c>
      <c r="G208" s="110" t="s">
        <v>67</v>
      </c>
      <c r="H208" s="137" t="s">
        <v>347</v>
      </c>
      <c r="I208" s="30" t="e">
        <f>VLOOKUP(H208,'合同高级查询数据-4月返'!A:A,1,FALSE)</f>
        <v>#N/A</v>
      </c>
      <c r="J208" s="110" t="s">
        <v>69</v>
      </c>
      <c r="K208" s="141" t="s">
        <v>446</v>
      </c>
      <c r="L208" s="142"/>
      <c r="M208" s="113"/>
      <c r="N208" s="146">
        <v>44658</v>
      </c>
      <c r="O208" s="142" t="s">
        <v>71</v>
      </c>
      <c r="P208" s="145">
        <v>600</v>
      </c>
      <c r="Q208" s="130">
        <v>1</v>
      </c>
      <c r="R208" s="130">
        <f t="shared" si="9"/>
        <v>600</v>
      </c>
      <c r="S208" s="127">
        <v>202304</v>
      </c>
      <c r="T208" s="150" t="s">
        <v>461</v>
      </c>
      <c r="U208" s="148"/>
      <c r="V208" s="149"/>
      <c r="W208" s="149"/>
      <c r="X208" s="131"/>
      <c r="Y208" s="131"/>
    </row>
    <row r="209" s="86" customFormat="1" customHeight="1" spans="1:25">
      <c r="A209" s="134" t="s">
        <v>61</v>
      </c>
      <c r="B209" s="11" t="s">
        <v>83</v>
      </c>
      <c r="C209" s="135" t="s">
        <v>63</v>
      </c>
      <c r="D209" s="11" t="s">
        <v>85</v>
      </c>
      <c r="E209" s="136" t="s">
        <v>344</v>
      </c>
      <c r="F209" s="134" t="s">
        <v>345</v>
      </c>
      <c r="G209" s="110" t="s">
        <v>67</v>
      </c>
      <c r="H209" s="137" t="s">
        <v>347</v>
      </c>
      <c r="I209" s="30" t="e">
        <f>VLOOKUP(H209,'合同高级查询数据-4月返'!A:A,1,FALSE)</f>
        <v>#N/A</v>
      </c>
      <c r="J209" s="110" t="s">
        <v>69</v>
      </c>
      <c r="K209" s="141" t="s">
        <v>446</v>
      </c>
      <c r="L209" s="142"/>
      <c r="M209" s="113"/>
      <c r="N209" s="146">
        <v>44677</v>
      </c>
      <c r="O209" s="142" t="s">
        <v>71</v>
      </c>
      <c r="P209" s="145">
        <v>600</v>
      </c>
      <c r="Q209" s="130">
        <v>1</v>
      </c>
      <c r="R209" s="130">
        <f t="shared" si="9"/>
        <v>600</v>
      </c>
      <c r="S209" s="127">
        <v>202304</v>
      </c>
      <c r="T209" s="150" t="s">
        <v>462</v>
      </c>
      <c r="U209" s="148"/>
      <c r="V209" s="149"/>
      <c r="W209" s="149"/>
      <c r="X209" s="131"/>
      <c r="Y209" s="131"/>
    </row>
    <row r="210" s="86" customFormat="1" customHeight="1" spans="1:25">
      <c r="A210" s="134" t="s">
        <v>61</v>
      </c>
      <c r="B210" s="11" t="s">
        <v>83</v>
      </c>
      <c r="C210" s="135" t="s">
        <v>63</v>
      </c>
      <c r="D210" s="11" t="s">
        <v>85</v>
      </c>
      <c r="E210" s="136" t="s">
        <v>344</v>
      </c>
      <c r="F210" s="134" t="s">
        <v>345</v>
      </c>
      <c r="G210" s="110" t="s">
        <v>67</v>
      </c>
      <c r="H210" s="137" t="s">
        <v>347</v>
      </c>
      <c r="I210" s="30" t="e">
        <f>VLOOKUP(H210,'合同高级查询数据-4月返'!A:A,1,FALSE)</f>
        <v>#N/A</v>
      </c>
      <c r="J210" s="110" t="s">
        <v>69</v>
      </c>
      <c r="K210" s="141" t="s">
        <v>446</v>
      </c>
      <c r="L210" s="142"/>
      <c r="M210" s="113"/>
      <c r="N210" s="146">
        <v>44676</v>
      </c>
      <c r="O210" s="142" t="s">
        <v>71</v>
      </c>
      <c r="P210" s="145">
        <v>600</v>
      </c>
      <c r="Q210" s="130">
        <v>1</v>
      </c>
      <c r="R210" s="130">
        <f t="shared" si="9"/>
        <v>600</v>
      </c>
      <c r="S210" s="127">
        <v>202304</v>
      </c>
      <c r="T210" s="150" t="s">
        <v>463</v>
      </c>
      <c r="U210" s="148"/>
      <c r="V210" s="149"/>
      <c r="W210" s="149"/>
      <c r="X210" s="131"/>
      <c r="Y210" s="131"/>
    </row>
    <row r="211" s="86" customFormat="1" customHeight="1" spans="1:25">
      <c r="A211" s="134" t="s">
        <v>61</v>
      </c>
      <c r="B211" s="11" t="s">
        <v>83</v>
      </c>
      <c r="C211" s="135" t="s">
        <v>63</v>
      </c>
      <c r="D211" s="11" t="s">
        <v>85</v>
      </c>
      <c r="E211" s="136" t="s">
        <v>344</v>
      </c>
      <c r="F211" s="134" t="s">
        <v>345</v>
      </c>
      <c r="G211" s="110" t="s">
        <v>67</v>
      </c>
      <c r="H211" s="137" t="s">
        <v>347</v>
      </c>
      <c r="I211" s="30" t="e">
        <f>VLOOKUP(H211,'合同高级查询数据-4月返'!A:A,1,FALSE)</f>
        <v>#N/A</v>
      </c>
      <c r="J211" s="110" t="s">
        <v>69</v>
      </c>
      <c r="K211" s="141" t="s">
        <v>448</v>
      </c>
      <c r="L211" s="142"/>
      <c r="M211" s="113"/>
      <c r="N211" s="146">
        <v>44764</v>
      </c>
      <c r="O211" s="142" t="s">
        <v>71</v>
      </c>
      <c r="P211" s="145">
        <v>600</v>
      </c>
      <c r="Q211" s="130">
        <v>1</v>
      </c>
      <c r="R211" s="130">
        <f t="shared" si="9"/>
        <v>600</v>
      </c>
      <c r="S211" s="127">
        <v>202304</v>
      </c>
      <c r="T211" s="150" t="s">
        <v>464</v>
      </c>
      <c r="U211" s="148"/>
      <c r="V211" s="149"/>
      <c r="W211" s="149"/>
      <c r="X211" s="131"/>
      <c r="Y211" s="131"/>
    </row>
    <row r="212" s="86" customFormat="1" customHeight="1" spans="1:25">
      <c r="A212" s="134" t="s">
        <v>61</v>
      </c>
      <c r="B212" s="11" t="s">
        <v>83</v>
      </c>
      <c r="C212" s="135" t="s">
        <v>63</v>
      </c>
      <c r="D212" s="11" t="s">
        <v>85</v>
      </c>
      <c r="E212" s="136" t="s">
        <v>344</v>
      </c>
      <c r="F212" s="134" t="s">
        <v>345</v>
      </c>
      <c r="G212" s="110" t="s">
        <v>67</v>
      </c>
      <c r="H212" s="137" t="s">
        <v>347</v>
      </c>
      <c r="I212" s="30" t="e">
        <f>VLOOKUP(H212,'合同高级查询数据-4月返'!A:A,1,FALSE)</f>
        <v>#N/A</v>
      </c>
      <c r="J212" s="110" t="s">
        <v>69</v>
      </c>
      <c r="K212" s="141" t="s">
        <v>446</v>
      </c>
      <c r="L212" s="142"/>
      <c r="M212" s="113"/>
      <c r="N212" s="146">
        <v>44775</v>
      </c>
      <c r="O212" s="142" t="s">
        <v>71</v>
      </c>
      <c r="P212" s="145">
        <v>600</v>
      </c>
      <c r="Q212" s="130">
        <v>1</v>
      </c>
      <c r="R212" s="130">
        <f t="shared" si="9"/>
        <v>600</v>
      </c>
      <c r="S212" s="127">
        <v>202304</v>
      </c>
      <c r="T212" s="150" t="s">
        <v>465</v>
      </c>
      <c r="U212" s="148"/>
      <c r="V212" s="149"/>
      <c r="W212" s="149"/>
      <c r="X212" s="131"/>
      <c r="Y212" s="131"/>
    </row>
    <row r="213" s="86" customFormat="1" customHeight="1" spans="1:25">
      <c r="A213" s="134" t="s">
        <v>61</v>
      </c>
      <c r="B213" s="11" t="s">
        <v>83</v>
      </c>
      <c r="C213" s="135" t="s">
        <v>63</v>
      </c>
      <c r="D213" s="11" t="s">
        <v>85</v>
      </c>
      <c r="E213" s="136" t="s">
        <v>344</v>
      </c>
      <c r="F213" s="134" t="s">
        <v>345</v>
      </c>
      <c r="G213" s="110" t="s">
        <v>78</v>
      </c>
      <c r="H213" s="137" t="s">
        <v>347</v>
      </c>
      <c r="I213" s="30" t="e">
        <f>VLOOKUP(H213,'合同高级查询数据-4月返'!A:A,1,FALSE)</f>
        <v>#N/A</v>
      </c>
      <c r="J213" s="110" t="s">
        <v>466</v>
      </c>
      <c r="K213" s="141" t="s">
        <v>63</v>
      </c>
      <c r="L213" s="142"/>
      <c r="M213" s="113"/>
      <c r="N213" s="146">
        <v>42819</v>
      </c>
      <c r="O213" s="142" t="s">
        <v>467</v>
      </c>
      <c r="P213" s="145">
        <v>1925</v>
      </c>
      <c r="Q213" s="145">
        <v>384</v>
      </c>
      <c r="R213" s="130">
        <f t="shared" si="9"/>
        <v>739200</v>
      </c>
      <c r="S213" s="127">
        <v>202304</v>
      </c>
      <c r="T213" s="150" t="s">
        <v>468</v>
      </c>
      <c r="U213" s="148"/>
      <c r="V213" s="149"/>
      <c r="W213" s="149"/>
      <c r="X213" s="131"/>
      <c r="Y213" s="131"/>
    </row>
    <row r="214" s="86" customFormat="1" customHeight="1" spans="1:25">
      <c r="A214" s="134" t="s">
        <v>61</v>
      </c>
      <c r="B214" s="11" t="s">
        <v>83</v>
      </c>
      <c r="C214" s="135" t="s">
        <v>63</v>
      </c>
      <c r="D214" s="11" t="s">
        <v>85</v>
      </c>
      <c r="E214" s="136" t="s">
        <v>344</v>
      </c>
      <c r="F214" s="134" t="s">
        <v>345</v>
      </c>
      <c r="G214" s="110" t="s">
        <v>78</v>
      </c>
      <c r="H214" s="137" t="s">
        <v>347</v>
      </c>
      <c r="I214" s="30" t="e">
        <f>VLOOKUP(H214,'合同高级查询数据-4月返'!A:A,1,FALSE)</f>
        <v>#N/A</v>
      </c>
      <c r="J214" s="110" t="s">
        <v>469</v>
      </c>
      <c r="K214" s="141" t="s">
        <v>63</v>
      </c>
      <c r="L214" s="142"/>
      <c r="M214" s="113"/>
      <c r="N214" s="146">
        <v>42819</v>
      </c>
      <c r="O214" s="142" t="s">
        <v>469</v>
      </c>
      <c r="P214" s="145">
        <v>10</v>
      </c>
      <c r="Q214" s="145">
        <v>75</v>
      </c>
      <c r="R214" s="130">
        <v>22812.5</v>
      </c>
      <c r="S214" s="127">
        <v>202304</v>
      </c>
      <c r="T214" s="150" t="s">
        <v>470</v>
      </c>
      <c r="U214" s="148"/>
      <c r="V214" s="149"/>
      <c r="W214" s="149"/>
      <c r="X214" s="131"/>
      <c r="Y214" s="131"/>
    </row>
    <row r="215" s="86" customFormat="1" customHeight="1" spans="1:25">
      <c r="A215" s="134" t="s">
        <v>61</v>
      </c>
      <c r="B215" s="11" t="s">
        <v>83</v>
      </c>
      <c r="C215" s="135" t="s">
        <v>63</v>
      </c>
      <c r="D215" s="11" t="s">
        <v>85</v>
      </c>
      <c r="E215" s="136" t="s">
        <v>344</v>
      </c>
      <c r="F215" s="134" t="s">
        <v>345</v>
      </c>
      <c r="G215" s="110" t="s">
        <v>346</v>
      </c>
      <c r="H215" s="152" t="s">
        <v>471</v>
      </c>
      <c r="I215" s="30" t="e">
        <f>VLOOKUP(H215,'合同高级查询数据-4月返'!A:A,1,FALSE)</f>
        <v>#N/A</v>
      </c>
      <c r="J215" s="110" t="s">
        <v>472</v>
      </c>
      <c r="K215" s="141" t="s">
        <v>63</v>
      </c>
      <c r="L215" s="142" t="s">
        <v>473</v>
      </c>
      <c r="M215" s="113"/>
      <c r="N215" s="146">
        <v>42817</v>
      </c>
      <c r="O215" s="142" t="s">
        <v>474</v>
      </c>
      <c r="P215" s="145">
        <v>68200</v>
      </c>
      <c r="Q215" s="130">
        <v>0</v>
      </c>
      <c r="R215" s="130">
        <f>ROUND(P215*Q215,2)</f>
        <v>0</v>
      </c>
      <c r="S215" s="127">
        <v>202304</v>
      </c>
      <c r="T215" s="150" t="s">
        <v>475</v>
      </c>
      <c r="U215" s="148"/>
      <c r="V215" s="149"/>
      <c r="W215" s="149"/>
      <c r="X215" s="131"/>
      <c r="Y215" s="131"/>
    </row>
    <row r="216" s="86" customFormat="1" customHeight="1" spans="1:25">
      <c r="A216" s="134" t="s">
        <v>61</v>
      </c>
      <c r="B216" s="11" t="s">
        <v>83</v>
      </c>
      <c r="C216" s="135" t="s">
        <v>63</v>
      </c>
      <c r="D216" s="11" t="s">
        <v>85</v>
      </c>
      <c r="E216" s="136" t="s">
        <v>344</v>
      </c>
      <c r="F216" s="134" t="s">
        <v>345</v>
      </c>
      <c r="G216" s="110" t="s">
        <v>346</v>
      </c>
      <c r="H216" s="152" t="s">
        <v>471</v>
      </c>
      <c r="I216" s="30" t="e">
        <f>VLOOKUP(H216,'合同高级查询数据-4月返'!A:A,1,FALSE)</f>
        <v>#N/A</v>
      </c>
      <c r="J216" s="110" t="s">
        <v>476</v>
      </c>
      <c r="K216" s="141" t="s">
        <v>63</v>
      </c>
      <c r="L216" s="142"/>
      <c r="M216" s="113"/>
      <c r="N216" s="146" t="s">
        <v>477</v>
      </c>
      <c r="O216" s="142" t="s">
        <v>478</v>
      </c>
      <c r="P216" s="145">
        <v>2392</v>
      </c>
      <c r="Q216" s="130">
        <v>1</v>
      </c>
      <c r="R216" s="130">
        <v>0</v>
      </c>
      <c r="S216" s="127">
        <v>202304</v>
      </c>
      <c r="T216" s="150" t="s">
        <v>394</v>
      </c>
      <c r="U216" s="148"/>
      <c r="V216" s="149"/>
      <c r="W216" s="149"/>
      <c r="X216" s="131"/>
      <c r="Y216" s="131"/>
    </row>
    <row r="217" s="86" customFormat="1" customHeight="1" spans="1:25">
      <c r="A217" s="134" t="s">
        <v>61</v>
      </c>
      <c r="B217" s="11" t="s">
        <v>83</v>
      </c>
      <c r="C217" s="135" t="s">
        <v>63</v>
      </c>
      <c r="D217" s="11" t="s">
        <v>85</v>
      </c>
      <c r="E217" s="136" t="s">
        <v>344</v>
      </c>
      <c r="F217" s="134" t="s">
        <v>345</v>
      </c>
      <c r="G217" s="110" t="s">
        <v>346</v>
      </c>
      <c r="H217" s="152" t="s">
        <v>471</v>
      </c>
      <c r="I217" s="30" t="e">
        <f>VLOOKUP(H217,'合同高级查询数据-4月返'!A:A,1,FALSE)</f>
        <v>#N/A</v>
      </c>
      <c r="J217" s="110" t="s">
        <v>479</v>
      </c>
      <c r="K217" s="141" t="s">
        <v>63</v>
      </c>
      <c r="L217" s="142"/>
      <c r="M217" s="113"/>
      <c r="N217" s="146" t="s">
        <v>480</v>
      </c>
      <c r="O217" s="142" t="s">
        <v>478</v>
      </c>
      <c r="P217" s="145">
        <v>2427</v>
      </c>
      <c r="Q217" s="130">
        <v>1</v>
      </c>
      <c r="R217" s="130">
        <v>0</v>
      </c>
      <c r="S217" s="127">
        <v>202304</v>
      </c>
      <c r="T217" s="150" t="s">
        <v>396</v>
      </c>
      <c r="U217" s="148"/>
      <c r="V217" s="149"/>
      <c r="W217" s="149"/>
      <c r="X217" s="131"/>
      <c r="Y217" s="131"/>
    </row>
    <row r="218" s="86" customFormat="1" customHeight="1" spans="1:25">
      <c r="A218" s="134" t="s">
        <v>61</v>
      </c>
      <c r="B218" s="11" t="s">
        <v>83</v>
      </c>
      <c r="C218" s="135" t="s">
        <v>63</v>
      </c>
      <c r="D218" s="11" t="s">
        <v>85</v>
      </c>
      <c r="E218" s="136" t="s">
        <v>344</v>
      </c>
      <c r="F218" s="134" t="s">
        <v>345</v>
      </c>
      <c r="G218" s="110" t="s">
        <v>346</v>
      </c>
      <c r="H218" s="152" t="s">
        <v>471</v>
      </c>
      <c r="I218" s="30" t="e">
        <f>VLOOKUP(H218,'合同高级查询数据-4月返'!A:A,1,FALSE)</f>
        <v>#N/A</v>
      </c>
      <c r="J218" s="110" t="s">
        <v>481</v>
      </c>
      <c r="K218" s="141" t="s">
        <v>63</v>
      </c>
      <c r="L218" s="142"/>
      <c r="M218" s="113"/>
      <c r="N218" s="146">
        <v>42965</v>
      </c>
      <c r="O218" s="142" t="s">
        <v>353</v>
      </c>
      <c r="P218" s="145">
        <v>5850</v>
      </c>
      <c r="Q218" s="130">
        <v>1</v>
      </c>
      <c r="R218" s="130">
        <v>0</v>
      </c>
      <c r="S218" s="127">
        <v>202304</v>
      </c>
      <c r="T218" s="150" t="s">
        <v>398</v>
      </c>
      <c r="U218" s="148"/>
      <c r="V218" s="149"/>
      <c r="W218" s="149"/>
      <c r="X218" s="131"/>
      <c r="Y218" s="131"/>
    </row>
    <row r="219" s="86" customFormat="1" customHeight="1" spans="1:25">
      <c r="A219" s="134" t="s">
        <v>61</v>
      </c>
      <c r="B219" s="11" t="s">
        <v>83</v>
      </c>
      <c r="C219" s="135" t="s">
        <v>63</v>
      </c>
      <c r="D219" s="11" t="s">
        <v>85</v>
      </c>
      <c r="E219" s="136" t="s">
        <v>344</v>
      </c>
      <c r="F219" s="134" t="s">
        <v>345</v>
      </c>
      <c r="G219" s="110" t="s">
        <v>346</v>
      </c>
      <c r="H219" s="152" t="s">
        <v>471</v>
      </c>
      <c r="I219" s="30" t="e">
        <f>VLOOKUP(H219,'合同高级查询数据-4月返'!A:A,1,FALSE)</f>
        <v>#N/A</v>
      </c>
      <c r="J219" s="110" t="s">
        <v>476</v>
      </c>
      <c r="K219" s="141" t="s">
        <v>63</v>
      </c>
      <c r="L219" s="142"/>
      <c r="M219" s="113"/>
      <c r="N219" s="146">
        <v>42934</v>
      </c>
      <c r="O219" s="142" t="s">
        <v>356</v>
      </c>
      <c r="P219" s="145">
        <v>3484</v>
      </c>
      <c r="Q219" s="130">
        <v>1</v>
      </c>
      <c r="R219" s="130">
        <v>0</v>
      </c>
      <c r="S219" s="127">
        <v>202304</v>
      </c>
      <c r="T219" s="150" t="s">
        <v>399</v>
      </c>
      <c r="U219" s="148"/>
      <c r="V219" s="149"/>
      <c r="W219" s="149"/>
      <c r="X219" s="131"/>
      <c r="Y219" s="131"/>
    </row>
    <row r="220" s="86" customFormat="1" customHeight="1" spans="1:25">
      <c r="A220" s="134" t="s">
        <v>61</v>
      </c>
      <c r="B220" s="11" t="s">
        <v>83</v>
      </c>
      <c r="C220" s="135" t="s">
        <v>63</v>
      </c>
      <c r="D220" s="11" t="s">
        <v>85</v>
      </c>
      <c r="E220" s="136" t="s">
        <v>344</v>
      </c>
      <c r="F220" s="134" t="s">
        <v>345</v>
      </c>
      <c r="G220" s="110" t="s">
        <v>346</v>
      </c>
      <c r="H220" s="152" t="s">
        <v>471</v>
      </c>
      <c r="I220" s="30" t="e">
        <f>VLOOKUP(H220,'合同高级查询数据-4月返'!A:A,1,FALSE)</f>
        <v>#N/A</v>
      </c>
      <c r="J220" s="110" t="s">
        <v>476</v>
      </c>
      <c r="K220" s="141" t="s">
        <v>63</v>
      </c>
      <c r="L220" s="142"/>
      <c r="M220" s="113"/>
      <c r="N220" s="146">
        <v>42937</v>
      </c>
      <c r="O220" s="142" t="s">
        <v>356</v>
      </c>
      <c r="P220" s="145">
        <v>3484</v>
      </c>
      <c r="Q220" s="130">
        <v>1</v>
      </c>
      <c r="R220" s="130">
        <v>0</v>
      </c>
      <c r="S220" s="127">
        <v>202304</v>
      </c>
      <c r="T220" s="150" t="s">
        <v>400</v>
      </c>
      <c r="U220" s="148"/>
      <c r="V220" s="149"/>
      <c r="W220" s="149"/>
      <c r="X220" s="131"/>
      <c r="Y220" s="131"/>
    </row>
    <row r="221" s="86" customFormat="1" customHeight="1" spans="1:25">
      <c r="A221" s="134" t="s">
        <v>61</v>
      </c>
      <c r="B221" s="11" t="s">
        <v>83</v>
      </c>
      <c r="C221" s="135" t="s">
        <v>63</v>
      </c>
      <c r="D221" s="11" t="s">
        <v>85</v>
      </c>
      <c r="E221" s="136" t="s">
        <v>344</v>
      </c>
      <c r="F221" s="134" t="s">
        <v>345</v>
      </c>
      <c r="G221" s="110" t="s">
        <v>346</v>
      </c>
      <c r="H221" s="152" t="s">
        <v>471</v>
      </c>
      <c r="I221" s="30" t="e">
        <f>VLOOKUP(H221,'合同高级查询数据-4月返'!A:A,1,FALSE)</f>
        <v>#N/A</v>
      </c>
      <c r="J221" s="110" t="s">
        <v>479</v>
      </c>
      <c r="K221" s="141" t="s">
        <v>63</v>
      </c>
      <c r="L221" s="142"/>
      <c r="M221" s="113"/>
      <c r="N221" s="146">
        <v>42937</v>
      </c>
      <c r="O221" s="142" t="s">
        <v>356</v>
      </c>
      <c r="P221" s="145">
        <v>3520</v>
      </c>
      <c r="Q221" s="130">
        <v>1</v>
      </c>
      <c r="R221" s="130">
        <v>0</v>
      </c>
      <c r="S221" s="127">
        <v>202304</v>
      </c>
      <c r="T221" s="150" t="s">
        <v>401</v>
      </c>
      <c r="U221" s="148"/>
      <c r="V221" s="149"/>
      <c r="W221" s="149"/>
      <c r="X221" s="131"/>
      <c r="Y221" s="131"/>
    </row>
    <row r="222" s="86" customFormat="1" customHeight="1" spans="1:25">
      <c r="A222" s="134" t="s">
        <v>61</v>
      </c>
      <c r="B222" s="11" t="s">
        <v>83</v>
      </c>
      <c r="C222" s="135" t="s">
        <v>63</v>
      </c>
      <c r="D222" s="11" t="s">
        <v>85</v>
      </c>
      <c r="E222" s="136" t="s">
        <v>344</v>
      </c>
      <c r="F222" s="134" t="s">
        <v>345</v>
      </c>
      <c r="G222" s="110" t="s">
        <v>346</v>
      </c>
      <c r="H222" s="152" t="s">
        <v>471</v>
      </c>
      <c r="I222" s="30" t="e">
        <f>VLOOKUP(H222,'合同高级查询数据-4月返'!A:A,1,FALSE)</f>
        <v>#N/A</v>
      </c>
      <c r="J222" s="110" t="s">
        <v>476</v>
      </c>
      <c r="K222" s="141" t="s">
        <v>63</v>
      </c>
      <c r="L222" s="142"/>
      <c r="M222" s="113"/>
      <c r="N222" s="146">
        <v>43545</v>
      </c>
      <c r="O222" s="142" t="s">
        <v>356</v>
      </c>
      <c r="P222" s="145">
        <v>3484</v>
      </c>
      <c r="Q222" s="130">
        <v>1</v>
      </c>
      <c r="R222" s="130">
        <v>0</v>
      </c>
      <c r="S222" s="127">
        <v>202304</v>
      </c>
      <c r="T222" s="150" t="s">
        <v>404</v>
      </c>
      <c r="U222" s="148"/>
      <c r="V222" s="149"/>
      <c r="W222" s="149"/>
      <c r="X222" s="131"/>
      <c r="Y222" s="131"/>
    </row>
    <row r="223" s="86" customFormat="1" customHeight="1" spans="1:25">
      <c r="A223" s="134" t="s">
        <v>61</v>
      </c>
      <c r="B223" s="11" t="s">
        <v>83</v>
      </c>
      <c r="C223" s="135" t="s">
        <v>63</v>
      </c>
      <c r="D223" s="11" t="s">
        <v>85</v>
      </c>
      <c r="E223" s="136" t="s">
        <v>344</v>
      </c>
      <c r="F223" s="134" t="s">
        <v>345</v>
      </c>
      <c r="G223" s="110" t="s">
        <v>346</v>
      </c>
      <c r="H223" s="152" t="s">
        <v>471</v>
      </c>
      <c r="I223" s="30" t="e">
        <f>VLOOKUP(H223,'合同高级查询数据-4月返'!A:A,1,FALSE)</f>
        <v>#N/A</v>
      </c>
      <c r="J223" s="110" t="s">
        <v>482</v>
      </c>
      <c r="K223" s="141" t="s">
        <v>63</v>
      </c>
      <c r="L223" s="142"/>
      <c r="M223" s="113"/>
      <c r="N223" s="146">
        <v>43006</v>
      </c>
      <c r="O223" s="142" t="s">
        <v>353</v>
      </c>
      <c r="P223" s="145">
        <v>5200</v>
      </c>
      <c r="Q223" s="130">
        <v>1</v>
      </c>
      <c r="R223" s="130">
        <v>0</v>
      </c>
      <c r="S223" s="127">
        <v>202304</v>
      </c>
      <c r="T223" s="150" t="s">
        <v>406</v>
      </c>
      <c r="U223" s="148"/>
      <c r="V223" s="149"/>
      <c r="W223" s="149"/>
      <c r="X223" s="131"/>
      <c r="Y223" s="131"/>
    </row>
    <row r="224" s="86" customFormat="1" customHeight="1" spans="1:25">
      <c r="A224" s="134" t="s">
        <v>61</v>
      </c>
      <c r="B224" s="11" t="s">
        <v>83</v>
      </c>
      <c r="C224" s="135" t="s">
        <v>63</v>
      </c>
      <c r="D224" s="11" t="s">
        <v>85</v>
      </c>
      <c r="E224" s="136" t="s">
        <v>344</v>
      </c>
      <c r="F224" s="134" t="s">
        <v>345</v>
      </c>
      <c r="G224" s="110" t="s">
        <v>346</v>
      </c>
      <c r="H224" s="152" t="s">
        <v>471</v>
      </c>
      <c r="I224" s="30" t="e">
        <f>VLOOKUP(H224,'合同高级查询数据-4月返'!A:A,1,FALSE)</f>
        <v>#N/A</v>
      </c>
      <c r="J224" s="110" t="s">
        <v>483</v>
      </c>
      <c r="K224" s="141" t="s">
        <v>63</v>
      </c>
      <c r="L224" s="142"/>
      <c r="M224" s="113"/>
      <c r="N224" s="146">
        <v>43027</v>
      </c>
      <c r="O224" s="142" t="s">
        <v>353</v>
      </c>
      <c r="P224" s="145">
        <v>1040</v>
      </c>
      <c r="Q224" s="130">
        <v>1</v>
      </c>
      <c r="R224" s="130">
        <v>0</v>
      </c>
      <c r="S224" s="127">
        <v>202304</v>
      </c>
      <c r="T224" s="150" t="s">
        <v>484</v>
      </c>
      <c r="U224" s="148"/>
      <c r="V224" s="149"/>
      <c r="W224" s="149"/>
      <c r="X224" s="131"/>
      <c r="Y224" s="131"/>
    </row>
    <row r="225" s="86" customFormat="1" customHeight="1" spans="1:25">
      <c r="A225" s="134" t="s">
        <v>61</v>
      </c>
      <c r="B225" s="11" t="s">
        <v>83</v>
      </c>
      <c r="C225" s="135" t="s">
        <v>63</v>
      </c>
      <c r="D225" s="11" t="s">
        <v>85</v>
      </c>
      <c r="E225" s="136" t="s">
        <v>344</v>
      </c>
      <c r="F225" s="134" t="s">
        <v>345</v>
      </c>
      <c r="G225" s="110" t="s">
        <v>346</v>
      </c>
      <c r="H225" s="152" t="s">
        <v>471</v>
      </c>
      <c r="I225" s="30" t="e">
        <f>VLOOKUP(H225,'合同高级查询数据-4月返'!A:A,1,FALSE)</f>
        <v>#N/A</v>
      </c>
      <c r="J225" s="110" t="s">
        <v>483</v>
      </c>
      <c r="K225" s="141" t="s">
        <v>63</v>
      </c>
      <c r="L225" s="142"/>
      <c r="M225" s="113"/>
      <c r="N225" s="146">
        <v>43027</v>
      </c>
      <c r="O225" s="142" t="s">
        <v>353</v>
      </c>
      <c r="P225" s="145">
        <v>1040</v>
      </c>
      <c r="Q225" s="130">
        <v>1</v>
      </c>
      <c r="R225" s="130">
        <v>0</v>
      </c>
      <c r="S225" s="127">
        <v>202304</v>
      </c>
      <c r="T225" s="150" t="s">
        <v>411</v>
      </c>
      <c r="U225" s="148"/>
      <c r="V225" s="149"/>
      <c r="W225" s="149"/>
      <c r="X225" s="131"/>
      <c r="Y225" s="131"/>
    </row>
    <row r="226" s="86" customFormat="1" customHeight="1" spans="1:25">
      <c r="A226" s="134" t="s">
        <v>61</v>
      </c>
      <c r="B226" s="11" t="s">
        <v>83</v>
      </c>
      <c r="C226" s="135" t="s">
        <v>63</v>
      </c>
      <c r="D226" s="11" t="s">
        <v>85</v>
      </c>
      <c r="E226" s="136" t="s">
        <v>344</v>
      </c>
      <c r="F226" s="134" t="s">
        <v>345</v>
      </c>
      <c r="G226" s="110" t="s">
        <v>346</v>
      </c>
      <c r="H226" s="152" t="s">
        <v>471</v>
      </c>
      <c r="I226" s="30" t="e">
        <f>VLOOKUP(H226,'合同高级查询数据-4月返'!A:A,1,FALSE)</f>
        <v>#N/A</v>
      </c>
      <c r="J226" s="110" t="s">
        <v>481</v>
      </c>
      <c r="K226" s="141" t="s">
        <v>63</v>
      </c>
      <c r="L226" s="142"/>
      <c r="M226" s="113"/>
      <c r="N226" s="146">
        <v>43073</v>
      </c>
      <c r="O226" s="142" t="s">
        <v>353</v>
      </c>
      <c r="P226" s="145">
        <v>5850</v>
      </c>
      <c r="Q226" s="130">
        <v>1</v>
      </c>
      <c r="R226" s="130">
        <v>0</v>
      </c>
      <c r="S226" s="127">
        <v>202304</v>
      </c>
      <c r="T226" s="150" t="s">
        <v>413</v>
      </c>
      <c r="U226" s="148"/>
      <c r="V226" s="149"/>
      <c r="W226" s="149"/>
      <c r="X226" s="131"/>
      <c r="Y226" s="131"/>
    </row>
    <row r="227" s="86" customFormat="1" customHeight="1" spans="1:25">
      <c r="A227" s="134" t="s">
        <v>61</v>
      </c>
      <c r="B227" s="11" t="s">
        <v>83</v>
      </c>
      <c r="C227" s="135" t="s">
        <v>63</v>
      </c>
      <c r="D227" s="11" t="s">
        <v>85</v>
      </c>
      <c r="E227" s="136" t="s">
        <v>344</v>
      </c>
      <c r="F227" s="134" t="s">
        <v>345</v>
      </c>
      <c r="G227" s="110" t="s">
        <v>346</v>
      </c>
      <c r="H227" s="152" t="s">
        <v>471</v>
      </c>
      <c r="I227" s="30" t="e">
        <f>VLOOKUP(H227,'合同高级查询数据-4月返'!A:A,1,FALSE)</f>
        <v>#N/A</v>
      </c>
      <c r="J227" s="110" t="s">
        <v>485</v>
      </c>
      <c r="K227" s="141" t="s">
        <v>63</v>
      </c>
      <c r="L227" s="142"/>
      <c r="M227" s="113"/>
      <c r="N227" s="146">
        <v>43075</v>
      </c>
      <c r="O227" s="142" t="s">
        <v>486</v>
      </c>
      <c r="P227" s="145">
        <v>3120</v>
      </c>
      <c r="Q227" s="130">
        <v>1</v>
      </c>
      <c r="R227" s="130">
        <v>0</v>
      </c>
      <c r="S227" s="127">
        <v>202304</v>
      </c>
      <c r="T227" s="150" t="s">
        <v>416</v>
      </c>
      <c r="U227" s="148"/>
      <c r="V227" s="149"/>
      <c r="W227" s="149"/>
      <c r="X227" s="131"/>
      <c r="Y227" s="131"/>
    </row>
    <row r="228" s="86" customFormat="1" customHeight="1" spans="1:25">
      <c r="A228" s="134" t="s">
        <v>61</v>
      </c>
      <c r="B228" s="11" t="s">
        <v>83</v>
      </c>
      <c r="C228" s="135" t="s">
        <v>63</v>
      </c>
      <c r="D228" s="11" t="s">
        <v>85</v>
      </c>
      <c r="E228" s="136" t="s">
        <v>344</v>
      </c>
      <c r="F228" s="134" t="s">
        <v>345</v>
      </c>
      <c r="G228" s="110" t="s">
        <v>346</v>
      </c>
      <c r="H228" s="152" t="s">
        <v>471</v>
      </c>
      <c r="I228" s="30" t="e">
        <f>VLOOKUP(H228,'合同高级查询数据-4月返'!A:A,1,FALSE)</f>
        <v>#N/A</v>
      </c>
      <c r="J228" s="110" t="s">
        <v>487</v>
      </c>
      <c r="K228" s="141" t="s">
        <v>63</v>
      </c>
      <c r="L228" s="142"/>
      <c r="M228" s="113"/>
      <c r="N228" s="146">
        <v>43117</v>
      </c>
      <c r="O228" s="142" t="s">
        <v>353</v>
      </c>
      <c r="P228" s="145">
        <v>1040</v>
      </c>
      <c r="Q228" s="130">
        <v>1</v>
      </c>
      <c r="R228" s="130">
        <v>0</v>
      </c>
      <c r="S228" s="127">
        <v>202304</v>
      </c>
      <c r="T228" s="150" t="s">
        <v>418</v>
      </c>
      <c r="U228" s="148"/>
      <c r="V228" s="149"/>
      <c r="W228" s="149"/>
      <c r="X228" s="131"/>
      <c r="Y228" s="131"/>
    </row>
    <row r="229" s="86" customFormat="1" customHeight="1" spans="1:25">
      <c r="A229" s="134" t="s">
        <v>61</v>
      </c>
      <c r="B229" s="11" t="s">
        <v>83</v>
      </c>
      <c r="C229" s="135" t="s">
        <v>63</v>
      </c>
      <c r="D229" s="11" t="s">
        <v>85</v>
      </c>
      <c r="E229" s="136" t="s">
        <v>344</v>
      </c>
      <c r="F229" s="134" t="s">
        <v>345</v>
      </c>
      <c r="G229" s="110" t="s">
        <v>346</v>
      </c>
      <c r="H229" s="152" t="s">
        <v>471</v>
      </c>
      <c r="I229" s="30" t="e">
        <f>VLOOKUP(H229,'合同高级查询数据-4月返'!A:A,1,FALSE)</f>
        <v>#N/A</v>
      </c>
      <c r="J229" s="110" t="s">
        <v>488</v>
      </c>
      <c r="K229" s="141" t="s">
        <v>63</v>
      </c>
      <c r="L229" s="142"/>
      <c r="M229" s="113"/>
      <c r="N229" s="146">
        <v>43593</v>
      </c>
      <c r="O229" s="142" t="s">
        <v>486</v>
      </c>
      <c r="P229" s="145">
        <v>16965</v>
      </c>
      <c r="Q229" s="130">
        <v>1</v>
      </c>
      <c r="R229" s="130">
        <v>0</v>
      </c>
      <c r="S229" s="127">
        <v>202304</v>
      </c>
      <c r="T229" s="150" t="s">
        <v>423</v>
      </c>
      <c r="U229" s="148"/>
      <c r="V229" s="149"/>
      <c r="W229" s="149"/>
      <c r="X229" s="131"/>
      <c r="Y229" s="131"/>
    </row>
    <row r="230" s="86" customFormat="1" customHeight="1" spans="1:25">
      <c r="A230" s="134" t="s">
        <v>61</v>
      </c>
      <c r="B230" s="11" t="s">
        <v>83</v>
      </c>
      <c r="C230" s="135" t="s">
        <v>63</v>
      </c>
      <c r="D230" s="11" t="s">
        <v>85</v>
      </c>
      <c r="E230" s="136" t="s">
        <v>344</v>
      </c>
      <c r="F230" s="134" t="s">
        <v>345</v>
      </c>
      <c r="G230" s="110" t="s">
        <v>346</v>
      </c>
      <c r="H230" s="152" t="s">
        <v>471</v>
      </c>
      <c r="I230" s="30" t="e">
        <f>VLOOKUP(H230,'合同高级查询数据-4月返'!A:A,1,FALSE)</f>
        <v>#N/A</v>
      </c>
      <c r="J230" s="110" t="s">
        <v>483</v>
      </c>
      <c r="K230" s="141" t="s">
        <v>63</v>
      </c>
      <c r="L230" s="142"/>
      <c r="M230" s="113"/>
      <c r="N230" s="146">
        <v>43200</v>
      </c>
      <c r="O230" s="142" t="s">
        <v>353</v>
      </c>
      <c r="P230" s="145">
        <v>1040</v>
      </c>
      <c r="Q230" s="130">
        <v>1</v>
      </c>
      <c r="R230" s="130">
        <v>0</v>
      </c>
      <c r="S230" s="127">
        <v>202304</v>
      </c>
      <c r="T230" s="150" t="s">
        <v>424</v>
      </c>
      <c r="U230" s="148"/>
      <c r="V230" s="149"/>
      <c r="W230" s="149"/>
      <c r="X230" s="131"/>
      <c r="Y230" s="131"/>
    </row>
    <row r="231" s="86" customFormat="1" customHeight="1" spans="1:25">
      <c r="A231" s="134" t="s">
        <v>61</v>
      </c>
      <c r="B231" s="11" t="s">
        <v>83</v>
      </c>
      <c r="C231" s="135" t="s">
        <v>63</v>
      </c>
      <c r="D231" s="11" t="s">
        <v>85</v>
      </c>
      <c r="E231" s="136" t="s">
        <v>344</v>
      </c>
      <c r="F231" s="134" t="s">
        <v>345</v>
      </c>
      <c r="G231" s="110" t="s">
        <v>346</v>
      </c>
      <c r="H231" s="152" t="s">
        <v>471</v>
      </c>
      <c r="I231" s="30" t="e">
        <f>VLOOKUP(H231,'合同高级查询数据-4月返'!A:A,1,FALSE)</f>
        <v>#N/A</v>
      </c>
      <c r="J231" s="110" t="s">
        <v>487</v>
      </c>
      <c r="K231" s="141" t="s">
        <v>63</v>
      </c>
      <c r="L231" s="142"/>
      <c r="M231" s="113"/>
      <c r="N231" s="146">
        <v>43206</v>
      </c>
      <c r="O231" s="142" t="s">
        <v>353</v>
      </c>
      <c r="P231" s="145">
        <v>1040</v>
      </c>
      <c r="Q231" s="130">
        <v>1</v>
      </c>
      <c r="R231" s="130">
        <v>0</v>
      </c>
      <c r="S231" s="127">
        <v>202304</v>
      </c>
      <c r="T231" s="150" t="s">
        <v>426</v>
      </c>
      <c r="U231" s="148"/>
      <c r="V231" s="149"/>
      <c r="W231" s="149"/>
      <c r="X231" s="131"/>
      <c r="Y231" s="131"/>
    </row>
    <row r="232" s="86" customFormat="1" customHeight="1" spans="1:25">
      <c r="A232" s="134" t="s">
        <v>61</v>
      </c>
      <c r="B232" s="11" t="s">
        <v>83</v>
      </c>
      <c r="C232" s="135" t="s">
        <v>63</v>
      </c>
      <c r="D232" s="11" t="s">
        <v>85</v>
      </c>
      <c r="E232" s="136" t="s">
        <v>344</v>
      </c>
      <c r="F232" s="134" t="s">
        <v>345</v>
      </c>
      <c r="G232" s="110" t="s">
        <v>346</v>
      </c>
      <c r="H232" s="152" t="s">
        <v>471</v>
      </c>
      <c r="I232" s="30" t="e">
        <f>VLOOKUP(H232,'合同高级查询数据-4月返'!A:A,1,FALSE)</f>
        <v>#N/A</v>
      </c>
      <c r="J232" s="110" t="s">
        <v>476</v>
      </c>
      <c r="K232" s="141" t="s">
        <v>63</v>
      </c>
      <c r="L232" s="142"/>
      <c r="M232" s="113"/>
      <c r="N232" s="146">
        <v>43238</v>
      </c>
      <c r="O232" s="142" t="s">
        <v>356</v>
      </c>
      <c r="P232" s="145">
        <v>3484</v>
      </c>
      <c r="Q232" s="130">
        <v>1</v>
      </c>
      <c r="R232" s="130">
        <v>0</v>
      </c>
      <c r="S232" s="127">
        <v>202304</v>
      </c>
      <c r="T232" s="150" t="s">
        <v>429</v>
      </c>
      <c r="U232" s="148"/>
      <c r="V232" s="149"/>
      <c r="W232" s="149"/>
      <c r="X232" s="131"/>
      <c r="Y232" s="131"/>
    </row>
    <row r="233" s="86" customFormat="1" customHeight="1" spans="1:25">
      <c r="A233" s="134" t="s">
        <v>61</v>
      </c>
      <c r="B233" s="11" t="s">
        <v>83</v>
      </c>
      <c r="C233" s="135" t="s">
        <v>63</v>
      </c>
      <c r="D233" s="11" t="s">
        <v>85</v>
      </c>
      <c r="E233" s="136" t="s">
        <v>344</v>
      </c>
      <c r="F233" s="134" t="s">
        <v>345</v>
      </c>
      <c r="G233" s="110" t="s">
        <v>346</v>
      </c>
      <c r="H233" s="152" t="s">
        <v>471</v>
      </c>
      <c r="I233" s="30" t="e">
        <f>VLOOKUP(H233,'合同高级查询数据-4月返'!A:A,1,FALSE)</f>
        <v>#N/A</v>
      </c>
      <c r="J233" s="110" t="s">
        <v>487</v>
      </c>
      <c r="K233" s="141" t="s">
        <v>63</v>
      </c>
      <c r="L233" s="142"/>
      <c r="M233" s="113"/>
      <c r="N233" s="146">
        <v>43294</v>
      </c>
      <c r="O233" s="142" t="s">
        <v>353</v>
      </c>
      <c r="P233" s="145">
        <v>1040</v>
      </c>
      <c r="Q233" s="130">
        <v>1</v>
      </c>
      <c r="R233" s="130">
        <v>0</v>
      </c>
      <c r="S233" s="127">
        <v>202304</v>
      </c>
      <c r="T233" s="150" t="s">
        <v>431</v>
      </c>
      <c r="U233" s="148"/>
      <c r="V233" s="149"/>
      <c r="W233" s="149"/>
      <c r="X233" s="131"/>
      <c r="Y233" s="131"/>
    </row>
    <row r="234" s="86" customFormat="1" customHeight="1" spans="1:25">
      <c r="A234" s="134" t="s">
        <v>61</v>
      </c>
      <c r="B234" s="11" t="s">
        <v>83</v>
      </c>
      <c r="C234" s="135" t="s">
        <v>63</v>
      </c>
      <c r="D234" s="11" t="s">
        <v>85</v>
      </c>
      <c r="E234" s="136" t="s">
        <v>344</v>
      </c>
      <c r="F234" s="134" t="s">
        <v>345</v>
      </c>
      <c r="G234" s="110" t="s">
        <v>346</v>
      </c>
      <c r="H234" s="152" t="s">
        <v>471</v>
      </c>
      <c r="I234" s="30" t="e">
        <f>VLOOKUP(H234,'合同高级查询数据-4月返'!A:A,1,FALSE)</f>
        <v>#N/A</v>
      </c>
      <c r="J234" s="110" t="s">
        <v>481</v>
      </c>
      <c r="K234" s="141" t="s">
        <v>63</v>
      </c>
      <c r="L234" s="142"/>
      <c r="M234" s="113"/>
      <c r="N234" s="146">
        <v>43150</v>
      </c>
      <c r="O234" s="142" t="s">
        <v>353</v>
      </c>
      <c r="P234" s="145">
        <v>5850</v>
      </c>
      <c r="Q234" s="130">
        <v>0</v>
      </c>
      <c r="R234" s="130">
        <f>ROUND(P234*Q234,2)</f>
        <v>0</v>
      </c>
      <c r="S234" s="127">
        <v>202304</v>
      </c>
      <c r="T234" s="150" t="s">
        <v>489</v>
      </c>
      <c r="U234" s="148"/>
      <c r="V234" s="149"/>
      <c r="W234" s="149"/>
      <c r="X234" s="131"/>
      <c r="Y234" s="131"/>
    </row>
    <row r="235" s="86" customFormat="1" customHeight="1" spans="1:25">
      <c r="A235" s="134" t="s">
        <v>61</v>
      </c>
      <c r="B235" s="11" t="s">
        <v>83</v>
      </c>
      <c r="C235" s="135" t="s">
        <v>63</v>
      </c>
      <c r="D235" s="11" t="s">
        <v>85</v>
      </c>
      <c r="E235" s="136" t="s">
        <v>344</v>
      </c>
      <c r="F235" s="134" t="s">
        <v>345</v>
      </c>
      <c r="G235" s="110" t="s">
        <v>346</v>
      </c>
      <c r="H235" s="152" t="s">
        <v>471</v>
      </c>
      <c r="I235" s="30" t="e">
        <f>VLOOKUP(H235,'合同高级查询数据-4月返'!A:A,1,FALSE)</f>
        <v>#N/A</v>
      </c>
      <c r="J235" s="110" t="s">
        <v>483</v>
      </c>
      <c r="K235" s="141" t="s">
        <v>63</v>
      </c>
      <c r="L235" s="142"/>
      <c r="M235" s="113"/>
      <c r="N235" s="146">
        <v>43353</v>
      </c>
      <c r="O235" s="142" t="s">
        <v>353</v>
      </c>
      <c r="P235" s="145">
        <v>1040</v>
      </c>
      <c r="Q235" s="130">
        <v>1</v>
      </c>
      <c r="R235" s="130">
        <v>0</v>
      </c>
      <c r="S235" s="127">
        <v>202304</v>
      </c>
      <c r="T235" s="150" t="s">
        <v>432</v>
      </c>
      <c r="U235" s="148"/>
      <c r="V235" s="149"/>
      <c r="W235" s="149"/>
      <c r="X235" s="131"/>
      <c r="Y235" s="131"/>
    </row>
    <row r="236" s="86" customFormat="1" customHeight="1" spans="1:25">
      <c r="A236" s="134" t="s">
        <v>61</v>
      </c>
      <c r="B236" s="11" t="s">
        <v>83</v>
      </c>
      <c r="C236" s="135" t="s">
        <v>63</v>
      </c>
      <c r="D236" s="11" t="s">
        <v>85</v>
      </c>
      <c r="E236" s="136" t="s">
        <v>344</v>
      </c>
      <c r="F236" s="134" t="s">
        <v>345</v>
      </c>
      <c r="G236" s="110" t="s">
        <v>346</v>
      </c>
      <c r="H236" s="152" t="s">
        <v>471</v>
      </c>
      <c r="I236" s="30" t="e">
        <f>VLOOKUP(H236,'合同高级查询数据-4月返'!A:A,1,FALSE)</f>
        <v>#N/A</v>
      </c>
      <c r="J236" s="110" t="s">
        <v>482</v>
      </c>
      <c r="K236" s="141" t="s">
        <v>63</v>
      </c>
      <c r="L236" s="142"/>
      <c r="M236" s="113"/>
      <c r="N236" s="146">
        <v>43397</v>
      </c>
      <c r="O236" s="142" t="s">
        <v>353</v>
      </c>
      <c r="P236" s="145">
        <v>5200</v>
      </c>
      <c r="Q236" s="130">
        <v>1</v>
      </c>
      <c r="R236" s="130">
        <v>0</v>
      </c>
      <c r="S236" s="127">
        <v>202304</v>
      </c>
      <c r="T236" s="150" t="s">
        <v>490</v>
      </c>
      <c r="U236" s="148"/>
      <c r="V236" s="149"/>
      <c r="W236" s="149"/>
      <c r="X236" s="131"/>
      <c r="Y236" s="131"/>
    </row>
    <row r="237" s="86" customFormat="1" customHeight="1" spans="1:25">
      <c r="A237" s="134" t="s">
        <v>61</v>
      </c>
      <c r="B237" s="11" t="s">
        <v>83</v>
      </c>
      <c r="C237" s="135" t="s">
        <v>63</v>
      </c>
      <c r="D237" s="11" t="s">
        <v>85</v>
      </c>
      <c r="E237" s="136" t="s">
        <v>344</v>
      </c>
      <c r="F237" s="134" t="s">
        <v>345</v>
      </c>
      <c r="G237" s="110" t="s">
        <v>346</v>
      </c>
      <c r="H237" s="152" t="s">
        <v>471</v>
      </c>
      <c r="I237" s="30" t="e">
        <f>VLOOKUP(H237,'合同高级查询数据-4月返'!A:A,1,FALSE)</f>
        <v>#N/A</v>
      </c>
      <c r="J237" s="110" t="s">
        <v>482</v>
      </c>
      <c r="K237" s="141" t="s">
        <v>63</v>
      </c>
      <c r="L237" s="142"/>
      <c r="M237" s="113"/>
      <c r="N237" s="146">
        <v>43384</v>
      </c>
      <c r="O237" s="142" t="s">
        <v>353</v>
      </c>
      <c r="P237" s="145">
        <v>5200</v>
      </c>
      <c r="Q237" s="130">
        <v>1</v>
      </c>
      <c r="R237" s="130">
        <v>0</v>
      </c>
      <c r="S237" s="127">
        <v>202304</v>
      </c>
      <c r="T237" s="150" t="s">
        <v>433</v>
      </c>
      <c r="U237" s="148"/>
      <c r="V237" s="149"/>
      <c r="W237" s="149"/>
      <c r="X237" s="131"/>
      <c r="Y237" s="131"/>
    </row>
    <row r="238" s="86" customFormat="1" customHeight="1" spans="1:25">
      <c r="A238" s="134" t="s">
        <v>61</v>
      </c>
      <c r="B238" s="11" t="s">
        <v>83</v>
      </c>
      <c r="C238" s="135" t="s">
        <v>63</v>
      </c>
      <c r="D238" s="11" t="s">
        <v>85</v>
      </c>
      <c r="E238" s="136" t="s">
        <v>344</v>
      </c>
      <c r="F238" s="134" t="s">
        <v>345</v>
      </c>
      <c r="G238" s="110" t="s">
        <v>346</v>
      </c>
      <c r="H238" s="152" t="s">
        <v>471</v>
      </c>
      <c r="I238" s="30" t="e">
        <f>VLOOKUP(H238,'合同高级查询数据-4月返'!A:A,1,FALSE)</f>
        <v>#N/A</v>
      </c>
      <c r="J238" s="110" t="s">
        <v>483</v>
      </c>
      <c r="K238" s="141" t="s">
        <v>63</v>
      </c>
      <c r="L238" s="142"/>
      <c r="M238" s="113"/>
      <c r="N238" s="146">
        <v>43371</v>
      </c>
      <c r="O238" s="142" t="s">
        <v>353</v>
      </c>
      <c r="P238" s="145">
        <v>1040</v>
      </c>
      <c r="Q238" s="130">
        <v>1</v>
      </c>
      <c r="R238" s="130">
        <v>0</v>
      </c>
      <c r="S238" s="127">
        <v>202304</v>
      </c>
      <c r="T238" s="150" t="s">
        <v>434</v>
      </c>
      <c r="U238" s="148"/>
      <c r="V238" s="149"/>
      <c r="W238" s="149"/>
      <c r="X238" s="131"/>
      <c r="Y238" s="131"/>
    </row>
    <row r="239" s="86" customFormat="1" customHeight="1" spans="1:25">
      <c r="A239" s="134" t="s">
        <v>61</v>
      </c>
      <c r="B239" s="11" t="s">
        <v>83</v>
      </c>
      <c r="C239" s="135" t="s">
        <v>63</v>
      </c>
      <c r="D239" s="11" t="s">
        <v>85</v>
      </c>
      <c r="E239" s="136" t="s">
        <v>344</v>
      </c>
      <c r="F239" s="134" t="s">
        <v>345</v>
      </c>
      <c r="G239" s="110" t="s">
        <v>346</v>
      </c>
      <c r="H239" s="152" t="s">
        <v>471</v>
      </c>
      <c r="I239" s="30" t="e">
        <f>VLOOKUP(H239,'合同高级查询数据-4月返'!A:A,1,FALSE)</f>
        <v>#N/A</v>
      </c>
      <c r="J239" s="110" t="s">
        <v>491</v>
      </c>
      <c r="K239" s="141" t="s">
        <v>63</v>
      </c>
      <c r="L239" s="142"/>
      <c r="M239" s="113"/>
      <c r="N239" s="146">
        <v>43373</v>
      </c>
      <c r="O239" s="142" t="s">
        <v>492</v>
      </c>
      <c r="P239" s="145">
        <v>8424</v>
      </c>
      <c r="Q239" s="130">
        <v>1</v>
      </c>
      <c r="R239" s="130">
        <v>0</v>
      </c>
      <c r="S239" s="127">
        <v>202304</v>
      </c>
      <c r="T239" s="150" t="s">
        <v>436</v>
      </c>
      <c r="U239" s="148"/>
      <c r="V239" s="149"/>
      <c r="W239" s="149"/>
      <c r="X239" s="131"/>
      <c r="Y239" s="131"/>
    </row>
    <row r="240" s="86" customFormat="1" customHeight="1" spans="1:25">
      <c r="A240" s="134" t="s">
        <v>61</v>
      </c>
      <c r="B240" s="11" t="s">
        <v>83</v>
      </c>
      <c r="C240" s="135" t="s">
        <v>63</v>
      </c>
      <c r="D240" s="11" t="s">
        <v>85</v>
      </c>
      <c r="E240" s="136" t="s">
        <v>344</v>
      </c>
      <c r="F240" s="134" t="s">
        <v>345</v>
      </c>
      <c r="G240" s="110" t="s">
        <v>346</v>
      </c>
      <c r="H240" s="152" t="s">
        <v>471</v>
      </c>
      <c r="I240" s="30" t="e">
        <f>VLOOKUP(H240,'合同高级查询数据-4月返'!A:A,1,FALSE)</f>
        <v>#N/A</v>
      </c>
      <c r="J240" s="110" t="s">
        <v>476</v>
      </c>
      <c r="K240" s="141" t="s">
        <v>63</v>
      </c>
      <c r="L240" s="142"/>
      <c r="M240" s="113"/>
      <c r="N240" s="146">
        <v>43511</v>
      </c>
      <c r="O240" s="142" t="s">
        <v>356</v>
      </c>
      <c r="P240" s="145">
        <v>3484</v>
      </c>
      <c r="Q240" s="130">
        <v>1</v>
      </c>
      <c r="R240" s="130">
        <v>0</v>
      </c>
      <c r="S240" s="127">
        <v>202304</v>
      </c>
      <c r="T240" s="150" t="s">
        <v>437</v>
      </c>
      <c r="U240" s="148"/>
      <c r="V240" s="149"/>
      <c r="W240" s="149"/>
      <c r="X240" s="131"/>
      <c r="Y240" s="131"/>
    </row>
    <row r="241" s="86" customFormat="1" customHeight="1" spans="1:25">
      <c r="A241" s="134" t="s">
        <v>61</v>
      </c>
      <c r="B241" s="11" t="s">
        <v>83</v>
      </c>
      <c r="C241" s="135" t="s">
        <v>63</v>
      </c>
      <c r="D241" s="11" t="s">
        <v>85</v>
      </c>
      <c r="E241" s="136" t="s">
        <v>344</v>
      </c>
      <c r="F241" s="134" t="s">
        <v>345</v>
      </c>
      <c r="G241" s="110" t="s">
        <v>346</v>
      </c>
      <c r="H241" s="152" t="s">
        <v>471</v>
      </c>
      <c r="I241" s="30" t="e">
        <f>VLOOKUP(H241,'合同高级查询数据-4月返'!A:A,1,FALSE)</f>
        <v>#N/A</v>
      </c>
      <c r="J241" s="110" t="s">
        <v>491</v>
      </c>
      <c r="K241" s="141" t="s">
        <v>63</v>
      </c>
      <c r="L241" s="142"/>
      <c r="M241" s="113"/>
      <c r="N241" s="146">
        <v>43593</v>
      </c>
      <c r="O241" s="142" t="s">
        <v>492</v>
      </c>
      <c r="P241" s="145">
        <v>9555</v>
      </c>
      <c r="Q241" s="130">
        <v>1</v>
      </c>
      <c r="R241" s="130">
        <v>0</v>
      </c>
      <c r="S241" s="127">
        <v>202304</v>
      </c>
      <c r="T241" s="150" t="s">
        <v>438</v>
      </c>
      <c r="U241" s="148"/>
      <c r="V241" s="149"/>
      <c r="W241" s="149"/>
      <c r="X241" s="131"/>
      <c r="Y241" s="131"/>
    </row>
    <row r="242" s="86" customFormat="1" customHeight="1" spans="1:25">
      <c r="A242" s="134" t="s">
        <v>61</v>
      </c>
      <c r="B242" s="11" t="s">
        <v>83</v>
      </c>
      <c r="C242" s="135" t="s">
        <v>63</v>
      </c>
      <c r="D242" s="11" t="s">
        <v>85</v>
      </c>
      <c r="E242" s="136" t="s">
        <v>344</v>
      </c>
      <c r="F242" s="134" t="s">
        <v>345</v>
      </c>
      <c r="G242" s="110" t="s">
        <v>346</v>
      </c>
      <c r="H242" s="152" t="s">
        <v>471</v>
      </c>
      <c r="I242" s="30" t="e">
        <f>VLOOKUP(H242,'合同高级查询数据-4月返'!A:A,1,FALSE)</f>
        <v>#N/A</v>
      </c>
      <c r="J242" s="110" t="s">
        <v>493</v>
      </c>
      <c r="K242" s="141" t="s">
        <v>63</v>
      </c>
      <c r="L242" s="142"/>
      <c r="M242" s="113"/>
      <c r="N242" s="146">
        <v>43608</v>
      </c>
      <c r="O242" s="142" t="s">
        <v>492</v>
      </c>
      <c r="P242" s="145">
        <v>8424</v>
      </c>
      <c r="Q242" s="130">
        <v>1</v>
      </c>
      <c r="R242" s="130">
        <v>0</v>
      </c>
      <c r="S242" s="127">
        <v>202304</v>
      </c>
      <c r="T242" s="150" t="s">
        <v>494</v>
      </c>
      <c r="U242" s="148"/>
      <c r="V242" s="149"/>
      <c r="W242" s="149"/>
      <c r="X242" s="131"/>
      <c r="Y242" s="131"/>
    </row>
    <row r="243" s="86" customFormat="1" customHeight="1" spans="1:25">
      <c r="A243" s="134" t="s">
        <v>61</v>
      </c>
      <c r="B243" s="11" t="s">
        <v>83</v>
      </c>
      <c r="C243" s="135" t="s">
        <v>63</v>
      </c>
      <c r="D243" s="11" t="s">
        <v>85</v>
      </c>
      <c r="E243" s="136" t="s">
        <v>344</v>
      </c>
      <c r="F243" s="134" t="s">
        <v>345</v>
      </c>
      <c r="G243" s="110" t="s">
        <v>346</v>
      </c>
      <c r="H243" s="152" t="s">
        <v>471</v>
      </c>
      <c r="I243" s="30" t="e">
        <f>VLOOKUP(H243,'合同高级查询数据-4月返'!A:A,1,FALSE)</f>
        <v>#N/A</v>
      </c>
      <c r="J243" s="110" t="s">
        <v>487</v>
      </c>
      <c r="K243" s="141" t="s">
        <v>63</v>
      </c>
      <c r="L243" s="142"/>
      <c r="M243" s="113"/>
      <c r="N243" s="146">
        <v>43073</v>
      </c>
      <c r="O243" s="142" t="s">
        <v>353</v>
      </c>
      <c r="P243" s="145">
        <v>1040</v>
      </c>
      <c r="Q243" s="130">
        <v>1</v>
      </c>
      <c r="R243" s="130">
        <v>0</v>
      </c>
      <c r="S243" s="127">
        <v>202304</v>
      </c>
      <c r="T243" s="150" t="s">
        <v>495</v>
      </c>
      <c r="U243" s="148"/>
      <c r="V243" s="149"/>
      <c r="W243" s="149"/>
      <c r="X243" s="131"/>
      <c r="Y243" s="131"/>
    </row>
    <row r="244" s="86" customFormat="1" customHeight="1" spans="1:25">
      <c r="A244" s="134" t="s">
        <v>61</v>
      </c>
      <c r="B244" s="11" t="s">
        <v>83</v>
      </c>
      <c r="C244" s="135" t="s">
        <v>63</v>
      </c>
      <c r="D244" s="11" t="s">
        <v>85</v>
      </c>
      <c r="E244" s="136" t="s">
        <v>344</v>
      </c>
      <c r="F244" s="134" t="s">
        <v>345</v>
      </c>
      <c r="G244" s="110" t="s">
        <v>31</v>
      </c>
      <c r="H244" s="152" t="s">
        <v>496</v>
      </c>
      <c r="I244" s="30" t="e">
        <f>VLOOKUP(H244,'合同高级查询数据-4月返'!A:A,1,FALSE)</f>
        <v>#N/A</v>
      </c>
      <c r="J244" s="110" t="s">
        <v>497</v>
      </c>
      <c r="K244" s="141" t="s">
        <v>63</v>
      </c>
      <c r="L244" s="142"/>
      <c r="M244" s="113"/>
      <c r="N244" s="146">
        <v>42817</v>
      </c>
      <c r="O244" s="142" t="s">
        <v>37</v>
      </c>
      <c r="P244" s="145">
        <v>40</v>
      </c>
      <c r="Q244" s="157">
        <v>0</v>
      </c>
      <c r="R244" s="130">
        <f>ROUND(P244*Q244,2)</f>
        <v>0</v>
      </c>
      <c r="S244" s="127">
        <v>202304</v>
      </c>
      <c r="T244" s="150"/>
      <c r="U244" s="148"/>
      <c r="V244" s="149"/>
      <c r="W244" s="149"/>
      <c r="X244" s="131"/>
      <c r="Y244" s="131"/>
    </row>
    <row r="245" s="86" customFormat="1" customHeight="1" spans="1:25">
      <c r="A245" s="134" t="s">
        <v>61</v>
      </c>
      <c r="B245" s="11" t="s">
        <v>83</v>
      </c>
      <c r="C245" s="135" t="s">
        <v>63</v>
      </c>
      <c r="D245" s="11" t="s">
        <v>85</v>
      </c>
      <c r="E245" s="136" t="s">
        <v>344</v>
      </c>
      <c r="F245" s="134" t="s">
        <v>345</v>
      </c>
      <c r="G245" s="110" t="s">
        <v>346</v>
      </c>
      <c r="H245" s="152" t="s">
        <v>496</v>
      </c>
      <c r="I245" s="30" t="e">
        <f>VLOOKUP(H245,'合同高级查询数据-4月返'!A:A,1,FALSE)</f>
        <v>#N/A</v>
      </c>
      <c r="J245" s="110" t="s">
        <v>498</v>
      </c>
      <c r="K245" s="141" t="s">
        <v>63</v>
      </c>
      <c r="L245" s="142"/>
      <c r="M245" s="113"/>
      <c r="N245" s="146">
        <v>43034</v>
      </c>
      <c r="O245" s="142" t="s">
        <v>499</v>
      </c>
      <c r="P245" s="145">
        <v>18480</v>
      </c>
      <c r="Q245" s="130">
        <v>0</v>
      </c>
      <c r="R245" s="130">
        <f>ROUND(P245*Q245,2)</f>
        <v>0</v>
      </c>
      <c r="S245" s="127">
        <v>202304</v>
      </c>
      <c r="T245" s="150" t="s">
        <v>500</v>
      </c>
      <c r="U245" s="148"/>
      <c r="V245" s="149"/>
      <c r="W245" s="149"/>
      <c r="X245" s="131"/>
      <c r="Y245" s="131"/>
    </row>
    <row r="246" s="86" customFormat="1" customHeight="1" spans="1:25">
      <c r="A246" s="134" t="s">
        <v>61</v>
      </c>
      <c r="B246" s="11" t="s">
        <v>83</v>
      </c>
      <c r="C246" s="135" t="s">
        <v>63</v>
      </c>
      <c r="D246" s="11" t="s">
        <v>85</v>
      </c>
      <c r="E246" s="136" t="s">
        <v>344</v>
      </c>
      <c r="F246" s="134" t="s">
        <v>345</v>
      </c>
      <c r="G246" s="110" t="s">
        <v>346</v>
      </c>
      <c r="H246" s="152" t="s">
        <v>496</v>
      </c>
      <c r="I246" s="30" t="e">
        <f>VLOOKUP(H246,'合同高级查询数据-4月返'!A:A,1,FALSE)</f>
        <v>#N/A</v>
      </c>
      <c r="J246" s="110" t="s">
        <v>479</v>
      </c>
      <c r="K246" s="141" t="s">
        <v>63</v>
      </c>
      <c r="L246" s="142"/>
      <c r="M246" s="113"/>
      <c r="N246" s="146">
        <v>42978</v>
      </c>
      <c r="O246" s="142" t="s">
        <v>356</v>
      </c>
      <c r="P246" s="145">
        <v>3520</v>
      </c>
      <c r="Q246" s="130">
        <v>1</v>
      </c>
      <c r="R246" s="130">
        <v>0</v>
      </c>
      <c r="S246" s="127">
        <v>202304</v>
      </c>
      <c r="T246" s="150" t="s">
        <v>403</v>
      </c>
      <c r="U246" s="148"/>
      <c r="V246" s="149"/>
      <c r="W246" s="149"/>
      <c r="X246" s="131"/>
      <c r="Y246" s="131"/>
    </row>
    <row r="247" s="86" customFormat="1" customHeight="1" spans="1:25">
      <c r="A247" s="35" t="s">
        <v>61</v>
      </c>
      <c r="B247" s="135" t="s">
        <v>83</v>
      </c>
      <c r="C247" s="35" t="s">
        <v>63</v>
      </c>
      <c r="D247" s="11" t="s">
        <v>85</v>
      </c>
      <c r="E247" s="153" t="s">
        <v>344</v>
      </c>
      <c r="F247" s="154" t="s">
        <v>345</v>
      </c>
      <c r="G247" s="142" t="s">
        <v>88</v>
      </c>
      <c r="H247" s="152" t="s">
        <v>501</v>
      </c>
      <c r="I247" s="30" t="e">
        <f>VLOOKUP(H247,'合同高级查询数据-4月返'!A:A,1,FALSE)</f>
        <v>#N/A</v>
      </c>
      <c r="J247" s="155" t="s">
        <v>502</v>
      </c>
      <c r="K247" s="142" t="s">
        <v>63</v>
      </c>
      <c r="L247" s="142"/>
      <c r="M247" s="113" t="s">
        <v>358</v>
      </c>
      <c r="N247" s="146">
        <v>44774</v>
      </c>
      <c r="O247" s="142" t="s">
        <v>503</v>
      </c>
      <c r="P247" s="156">
        <v>6900</v>
      </c>
      <c r="Q247" s="156">
        <v>15</v>
      </c>
      <c r="R247" s="130">
        <f t="shared" ref="R247:R252" si="10">ROUND(P247*Q247,2)</f>
        <v>103500</v>
      </c>
      <c r="S247" s="158">
        <v>202304</v>
      </c>
      <c r="T247" s="150" t="s">
        <v>504</v>
      </c>
      <c r="U247" s="141"/>
      <c r="V247" s="159"/>
      <c r="W247" s="159"/>
      <c r="X247" s="131"/>
      <c r="Y247" s="131"/>
    </row>
    <row r="248" s="86" customFormat="1" customHeight="1" spans="1:25">
      <c r="A248" s="35" t="s">
        <v>61</v>
      </c>
      <c r="B248" s="135" t="s">
        <v>83</v>
      </c>
      <c r="C248" s="35" t="s">
        <v>63</v>
      </c>
      <c r="D248" s="11" t="s">
        <v>85</v>
      </c>
      <c r="E248" s="153" t="s">
        <v>344</v>
      </c>
      <c r="F248" s="154" t="s">
        <v>345</v>
      </c>
      <c r="G248" s="142" t="s">
        <v>88</v>
      </c>
      <c r="H248" s="152" t="s">
        <v>501</v>
      </c>
      <c r="I248" s="30" t="e">
        <f>VLOOKUP(H248,'合同高级查询数据-4月返'!A:A,1,FALSE)</f>
        <v>#N/A</v>
      </c>
      <c r="J248" s="155" t="s">
        <v>502</v>
      </c>
      <c r="K248" s="142" t="s">
        <v>63</v>
      </c>
      <c r="L248" s="142"/>
      <c r="M248" s="113" t="s">
        <v>505</v>
      </c>
      <c r="N248" s="146">
        <v>44774</v>
      </c>
      <c r="O248" s="142" t="s">
        <v>503</v>
      </c>
      <c r="P248" s="156">
        <v>6900</v>
      </c>
      <c r="Q248" s="156">
        <v>4</v>
      </c>
      <c r="R248" s="130">
        <f t="shared" si="10"/>
        <v>27600</v>
      </c>
      <c r="S248" s="158">
        <v>202304</v>
      </c>
      <c r="T248" s="150" t="s">
        <v>506</v>
      </c>
      <c r="U248" s="141"/>
      <c r="V248" s="159"/>
      <c r="W248" s="159"/>
      <c r="X248" s="131"/>
      <c r="Y248" s="131"/>
    </row>
    <row r="249" s="86" customFormat="1" customHeight="1" spans="1:25">
      <c r="A249" s="35" t="s">
        <v>61</v>
      </c>
      <c r="B249" s="135" t="s">
        <v>83</v>
      </c>
      <c r="C249" s="35" t="s">
        <v>63</v>
      </c>
      <c r="D249" s="11" t="s">
        <v>85</v>
      </c>
      <c r="E249" s="153" t="s">
        <v>344</v>
      </c>
      <c r="F249" s="154" t="s">
        <v>345</v>
      </c>
      <c r="G249" s="142" t="s">
        <v>88</v>
      </c>
      <c r="H249" s="152" t="s">
        <v>501</v>
      </c>
      <c r="I249" s="30" t="e">
        <f>VLOOKUP(H249,'合同高级查询数据-4月返'!A:A,1,FALSE)</f>
        <v>#N/A</v>
      </c>
      <c r="J249" s="155" t="s">
        <v>502</v>
      </c>
      <c r="K249" s="142" t="s">
        <v>63</v>
      </c>
      <c r="L249" s="142"/>
      <c r="M249" s="113" t="s">
        <v>358</v>
      </c>
      <c r="N249" s="146">
        <v>44774</v>
      </c>
      <c r="O249" s="142" t="s">
        <v>507</v>
      </c>
      <c r="P249" s="156">
        <v>13000</v>
      </c>
      <c r="Q249" s="156">
        <v>6</v>
      </c>
      <c r="R249" s="130">
        <f t="shared" si="10"/>
        <v>78000</v>
      </c>
      <c r="S249" s="158">
        <v>202304</v>
      </c>
      <c r="T249" s="150" t="s">
        <v>508</v>
      </c>
      <c r="U249" s="141"/>
      <c r="V249" s="159"/>
      <c r="W249" s="159"/>
      <c r="X249" s="131"/>
      <c r="Y249" s="131"/>
    </row>
    <row r="250" s="86" customFormat="1" customHeight="1" spans="1:25">
      <c r="A250" s="35" t="s">
        <v>61</v>
      </c>
      <c r="B250" s="135" t="s">
        <v>83</v>
      </c>
      <c r="C250" s="35" t="s">
        <v>63</v>
      </c>
      <c r="D250" s="11" t="s">
        <v>85</v>
      </c>
      <c r="E250" s="153" t="s">
        <v>344</v>
      </c>
      <c r="F250" s="154" t="s">
        <v>345</v>
      </c>
      <c r="G250" s="142" t="s">
        <v>88</v>
      </c>
      <c r="H250" s="152" t="s">
        <v>501</v>
      </c>
      <c r="I250" s="30" t="e">
        <f>VLOOKUP(H250,'合同高级查询数据-4月返'!A:A,1,FALSE)</f>
        <v>#N/A</v>
      </c>
      <c r="J250" s="155" t="s">
        <v>502</v>
      </c>
      <c r="K250" s="142" t="s">
        <v>63</v>
      </c>
      <c r="L250" s="142"/>
      <c r="M250" s="113" t="s">
        <v>505</v>
      </c>
      <c r="N250" s="146">
        <v>44774</v>
      </c>
      <c r="O250" s="142" t="s">
        <v>507</v>
      </c>
      <c r="P250" s="156">
        <v>13000</v>
      </c>
      <c r="Q250" s="156">
        <v>2</v>
      </c>
      <c r="R250" s="130">
        <f t="shared" si="10"/>
        <v>26000</v>
      </c>
      <c r="S250" s="158">
        <v>202304</v>
      </c>
      <c r="T250" s="150" t="s">
        <v>509</v>
      </c>
      <c r="U250" s="141"/>
      <c r="V250" s="159"/>
      <c r="W250" s="159"/>
      <c r="X250" s="131"/>
      <c r="Y250" s="131"/>
    </row>
    <row r="251" s="86" customFormat="1" customHeight="1" spans="1:25">
      <c r="A251" s="35" t="s">
        <v>61</v>
      </c>
      <c r="B251" s="135" t="s">
        <v>83</v>
      </c>
      <c r="C251" s="35" t="s">
        <v>63</v>
      </c>
      <c r="D251" s="11" t="s">
        <v>85</v>
      </c>
      <c r="E251" s="153" t="s">
        <v>344</v>
      </c>
      <c r="F251" s="154" t="s">
        <v>345</v>
      </c>
      <c r="G251" s="142" t="s">
        <v>88</v>
      </c>
      <c r="H251" s="152" t="s">
        <v>501</v>
      </c>
      <c r="I251" s="30" t="e">
        <f>VLOOKUP(H251,'合同高级查询数据-4月返'!A:A,1,FALSE)</f>
        <v>#N/A</v>
      </c>
      <c r="J251" s="155" t="s">
        <v>502</v>
      </c>
      <c r="K251" s="142" t="s">
        <v>63</v>
      </c>
      <c r="L251" s="142"/>
      <c r="M251" s="113" t="s">
        <v>358</v>
      </c>
      <c r="N251" s="146">
        <v>44789</v>
      </c>
      <c r="O251" s="142" t="s">
        <v>503</v>
      </c>
      <c r="P251" s="156">
        <v>6900</v>
      </c>
      <c r="Q251" s="156">
        <v>-2</v>
      </c>
      <c r="R251" s="130">
        <f t="shared" si="10"/>
        <v>-13800</v>
      </c>
      <c r="S251" s="158">
        <v>202304</v>
      </c>
      <c r="T251" s="150" t="s">
        <v>510</v>
      </c>
      <c r="U251" s="141"/>
      <c r="V251" s="159"/>
      <c r="W251" s="159"/>
      <c r="X251" s="131"/>
      <c r="Y251" s="131"/>
    </row>
    <row r="252" s="86" customFormat="1" customHeight="1" spans="1:25">
      <c r="A252" s="35" t="s">
        <v>61</v>
      </c>
      <c r="B252" s="11" t="s">
        <v>511</v>
      </c>
      <c r="C252" s="11" t="s">
        <v>512</v>
      </c>
      <c r="D252" s="11" t="s">
        <v>85</v>
      </c>
      <c r="E252" s="30" t="s">
        <v>513</v>
      </c>
      <c r="F252" s="35" t="s">
        <v>514</v>
      </c>
      <c r="G252" s="110" t="s">
        <v>88</v>
      </c>
      <c r="H252" s="152" t="s">
        <v>515</v>
      </c>
      <c r="I252" s="30" t="e">
        <f>VLOOKUP(H252,'合同高级查询数据-4月返'!A:A,1,FALSE)</f>
        <v>#N/A</v>
      </c>
      <c r="J252" s="110" t="s">
        <v>90</v>
      </c>
      <c r="K252" s="141" t="s">
        <v>516</v>
      </c>
      <c r="L252" s="142" t="s">
        <v>517</v>
      </c>
      <c r="M252" s="113" t="s">
        <v>518</v>
      </c>
      <c r="N252" s="111">
        <v>45010</v>
      </c>
      <c r="O252" s="142" t="s">
        <v>507</v>
      </c>
      <c r="P252" s="156">
        <v>6500</v>
      </c>
      <c r="Q252" s="130">
        <v>4</v>
      </c>
      <c r="R252" s="130">
        <f t="shared" si="10"/>
        <v>26000</v>
      </c>
      <c r="S252" s="127">
        <v>202304</v>
      </c>
      <c r="T252" s="150" t="s">
        <v>519</v>
      </c>
      <c r="U252" s="150"/>
      <c r="V252" s="128"/>
      <c r="W252" s="128"/>
      <c r="X252" s="131"/>
      <c r="Y252" s="131"/>
    </row>
    <row r="253" s="85" customFormat="1" customHeight="1" spans="1:25">
      <c r="A253" s="22" t="s">
        <v>61</v>
      </c>
      <c r="B253" s="24" t="s">
        <v>83</v>
      </c>
      <c r="C253" s="24" t="s">
        <v>63</v>
      </c>
      <c r="D253" s="24" t="s">
        <v>85</v>
      </c>
      <c r="E253" s="46" t="s">
        <v>520</v>
      </c>
      <c r="F253" s="22" t="s">
        <v>521</v>
      </c>
      <c r="G253" s="25" t="s">
        <v>88</v>
      </c>
      <c r="H253" s="99" t="s">
        <v>522</v>
      </c>
      <c r="I253" s="46" t="e">
        <f>VLOOKUP(H253,'合同高级查询数据-4月返'!A:A,1,FALSE)</f>
        <v>#N/A</v>
      </c>
      <c r="J253" s="25" t="s">
        <v>90</v>
      </c>
      <c r="K253" s="106" t="s">
        <v>63</v>
      </c>
      <c r="L253" s="107"/>
      <c r="M253" s="49" t="s">
        <v>523</v>
      </c>
      <c r="N253" s="73">
        <v>43346</v>
      </c>
      <c r="O253" s="107" t="s">
        <v>524</v>
      </c>
      <c r="P253" s="108">
        <v>5195</v>
      </c>
      <c r="Q253" s="118">
        <v>24</v>
      </c>
      <c r="R253" s="118">
        <f t="shared" ref="R253:R259" si="11">P253*Q253</f>
        <v>124680</v>
      </c>
      <c r="S253" s="115">
        <v>202304</v>
      </c>
      <c r="T253" s="119"/>
      <c r="U253" s="119"/>
      <c r="V253" s="121"/>
      <c r="W253" s="121"/>
      <c r="X253" s="116">
        <v>43344</v>
      </c>
      <c r="Y253" s="116">
        <v>45169</v>
      </c>
    </row>
    <row r="254" s="85" customFormat="1" customHeight="1" spans="1:25">
      <c r="A254" s="22" t="s">
        <v>61</v>
      </c>
      <c r="B254" s="24" t="s">
        <v>83</v>
      </c>
      <c r="C254" s="24" t="s">
        <v>63</v>
      </c>
      <c r="D254" s="24" t="s">
        <v>85</v>
      </c>
      <c r="E254" s="46" t="s">
        <v>520</v>
      </c>
      <c r="F254" s="22" t="s">
        <v>521</v>
      </c>
      <c r="G254" s="25" t="s">
        <v>88</v>
      </c>
      <c r="H254" s="99" t="s">
        <v>522</v>
      </c>
      <c r="I254" s="46" t="e">
        <f>VLOOKUP(H254,'合同高级查询数据-4月返'!A:A,1,FALSE)</f>
        <v>#N/A</v>
      </c>
      <c r="J254" s="25" t="s">
        <v>90</v>
      </c>
      <c r="K254" s="106" t="s">
        <v>63</v>
      </c>
      <c r="L254" s="107"/>
      <c r="M254" s="49" t="s">
        <v>523</v>
      </c>
      <c r="N254" s="73">
        <v>43346</v>
      </c>
      <c r="O254" s="107" t="s">
        <v>503</v>
      </c>
      <c r="P254" s="108">
        <v>7422</v>
      </c>
      <c r="Q254" s="118">
        <v>6</v>
      </c>
      <c r="R254" s="118">
        <f t="shared" si="11"/>
        <v>44532</v>
      </c>
      <c r="S254" s="115">
        <v>202304</v>
      </c>
      <c r="T254" s="119"/>
      <c r="U254" s="119"/>
      <c r="V254" s="121"/>
      <c r="W254" s="121"/>
      <c r="X254" s="116">
        <v>43344</v>
      </c>
      <c r="Y254" s="116">
        <v>45169</v>
      </c>
    </row>
    <row r="255" s="85" customFormat="1" customHeight="1" spans="1:25">
      <c r="A255" s="22" t="s">
        <v>61</v>
      </c>
      <c r="B255" s="24" t="s">
        <v>83</v>
      </c>
      <c r="C255" s="24" t="s">
        <v>63</v>
      </c>
      <c r="D255" s="24" t="s">
        <v>85</v>
      </c>
      <c r="E255" s="46" t="s">
        <v>520</v>
      </c>
      <c r="F255" s="22" t="s">
        <v>521</v>
      </c>
      <c r="G255" s="25" t="s">
        <v>88</v>
      </c>
      <c r="H255" s="99" t="s">
        <v>522</v>
      </c>
      <c r="I255" s="46" t="e">
        <f>VLOOKUP(H255,'合同高级查询数据-4月返'!A:A,1,FALSE)</f>
        <v>#N/A</v>
      </c>
      <c r="J255" s="25" t="s">
        <v>90</v>
      </c>
      <c r="K255" s="106" t="s">
        <v>63</v>
      </c>
      <c r="L255" s="107"/>
      <c r="M255" s="49" t="s">
        <v>523</v>
      </c>
      <c r="N255" s="73">
        <v>43346</v>
      </c>
      <c r="O255" s="107" t="s">
        <v>525</v>
      </c>
      <c r="P255" s="108">
        <v>11132</v>
      </c>
      <c r="Q255" s="118">
        <v>6</v>
      </c>
      <c r="R255" s="118">
        <f t="shared" si="11"/>
        <v>66792</v>
      </c>
      <c r="S255" s="115">
        <v>202304</v>
      </c>
      <c r="T255" s="119"/>
      <c r="U255" s="119"/>
      <c r="V255" s="121"/>
      <c r="W255" s="121"/>
      <c r="X255" s="116">
        <v>43344</v>
      </c>
      <c r="Y255" s="116">
        <v>45169</v>
      </c>
    </row>
    <row r="256" s="85" customFormat="1" customHeight="1" spans="1:25">
      <c r="A256" s="22" t="s">
        <v>61</v>
      </c>
      <c r="B256" s="24" t="s">
        <v>83</v>
      </c>
      <c r="C256" s="24" t="s">
        <v>63</v>
      </c>
      <c r="D256" s="24" t="s">
        <v>85</v>
      </c>
      <c r="E256" s="46" t="s">
        <v>520</v>
      </c>
      <c r="F256" s="22" t="s">
        <v>521</v>
      </c>
      <c r="G256" s="25" t="s">
        <v>88</v>
      </c>
      <c r="H256" s="99" t="s">
        <v>522</v>
      </c>
      <c r="I256" s="46" t="e">
        <f>VLOOKUP(H256,'合同高级查询数据-4月返'!A:A,1,FALSE)</f>
        <v>#N/A</v>
      </c>
      <c r="J256" s="25" t="s">
        <v>90</v>
      </c>
      <c r="K256" s="106" t="s">
        <v>63</v>
      </c>
      <c r="L256" s="107"/>
      <c r="M256" s="49" t="s">
        <v>523</v>
      </c>
      <c r="N256" s="73">
        <v>43346</v>
      </c>
      <c r="O256" s="107" t="s">
        <v>507</v>
      </c>
      <c r="P256" s="108">
        <v>14842</v>
      </c>
      <c r="Q256" s="118">
        <v>2</v>
      </c>
      <c r="R256" s="118">
        <f t="shared" si="11"/>
        <v>29684</v>
      </c>
      <c r="S256" s="115">
        <v>202304</v>
      </c>
      <c r="T256" s="119"/>
      <c r="U256" s="119"/>
      <c r="V256" s="121"/>
      <c r="W256" s="121"/>
      <c r="X256" s="116">
        <v>43344</v>
      </c>
      <c r="Y256" s="116">
        <v>45169</v>
      </c>
    </row>
    <row r="257" s="85" customFormat="1" customHeight="1" spans="1:25">
      <c r="A257" s="22" t="s">
        <v>61</v>
      </c>
      <c r="B257" s="24" t="s">
        <v>83</v>
      </c>
      <c r="C257" s="24" t="s">
        <v>63</v>
      </c>
      <c r="D257" s="24" t="s">
        <v>85</v>
      </c>
      <c r="E257" s="46" t="s">
        <v>520</v>
      </c>
      <c r="F257" s="22" t="s">
        <v>521</v>
      </c>
      <c r="G257" s="25" t="s">
        <v>88</v>
      </c>
      <c r="H257" s="99" t="s">
        <v>522</v>
      </c>
      <c r="I257" s="46" t="e">
        <f>VLOOKUP(H257,'合同高级查询数据-4月返'!A:A,1,FALSE)</f>
        <v>#N/A</v>
      </c>
      <c r="J257" s="25" t="s">
        <v>90</v>
      </c>
      <c r="K257" s="106" t="s">
        <v>63</v>
      </c>
      <c r="L257" s="107"/>
      <c r="M257" s="49" t="s">
        <v>523</v>
      </c>
      <c r="N257" s="73">
        <v>43689</v>
      </c>
      <c r="O257" s="107" t="s">
        <v>524</v>
      </c>
      <c r="P257" s="108">
        <v>5195</v>
      </c>
      <c r="Q257" s="118">
        <v>5</v>
      </c>
      <c r="R257" s="118">
        <f t="shared" si="11"/>
        <v>25975</v>
      </c>
      <c r="S257" s="115">
        <v>202304</v>
      </c>
      <c r="T257" s="119"/>
      <c r="U257" s="119"/>
      <c r="V257" s="121"/>
      <c r="W257" s="121"/>
      <c r="X257" s="116">
        <v>43344</v>
      </c>
      <c r="Y257" s="116">
        <v>45169</v>
      </c>
    </row>
    <row r="258" s="85" customFormat="1" customHeight="1" spans="1:25">
      <c r="A258" s="22" t="s">
        <v>61</v>
      </c>
      <c r="B258" s="24" t="s">
        <v>83</v>
      </c>
      <c r="C258" s="24" t="s">
        <v>63</v>
      </c>
      <c r="D258" s="24" t="s">
        <v>85</v>
      </c>
      <c r="E258" s="46" t="s">
        <v>520</v>
      </c>
      <c r="F258" s="22" t="s">
        <v>521</v>
      </c>
      <c r="G258" s="25" t="s">
        <v>88</v>
      </c>
      <c r="H258" s="99" t="s">
        <v>522</v>
      </c>
      <c r="I258" s="46" t="e">
        <f>VLOOKUP(H258,'合同高级查询数据-4月返'!A:A,1,FALSE)</f>
        <v>#N/A</v>
      </c>
      <c r="J258" s="25" t="s">
        <v>90</v>
      </c>
      <c r="K258" s="106" t="s">
        <v>63</v>
      </c>
      <c r="L258" s="107"/>
      <c r="M258" s="49" t="s">
        <v>523</v>
      </c>
      <c r="N258" s="73">
        <v>43914</v>
      </c>
      <c r="O258" s="107" t="s">
        <v>524</v>
      </c>
      <c r="P258" s="108">
        <v>5195</v>
      </c>
      <c r="Q258" s="118">
        <v>10</v>
      </c>
      <c r="R258" s="118">
        <f t="shared" si="11"/>
        <v>51950</v>
      </c>
      <c r="S258" s="115">
        <v>202304</v>
      </c>
      <c r="T258" s="119"/>
      <c r="U258" s="119"/>
      <c r="V258" s="121"/>
      <c r="W258" s="121"/>
      <c r="X258" s="116">
        <v>43344</v>
      </c>
      <c r="Y258" s="116">
        <v>45169</v>
      </c>
    </row>
    <row r="259" s="85" customFormat="1" customHeight="1" spans="1:25">
      <c r="A259" s="22" t="s">
        <v>61</v>
      </c>
      <c r="B259" s="24" t="s">
        <v>83</v>
      </c>
      <c r="C259" s="24" t="s">
        <v>63</v>
      </c>
      <c r="D259" s="24" t="s">
        <v>85</v>
      </c>
      <c r="E259" s="46" t="s">
        <v>520</v>
      </c>
      <c r="F259" s="22" t="s">
        <v>521</v>
      </c>
      <c r="G259" s="25" t="s">
        <v>88</v>
      </c>
      <c r="H259" s="99" t="s">
        <v>522</v>
      </c>
      <c r="I259" s="46" t="e">
        <f>VLOOKUP(H259,'合同高级查询数据-4月返'!A:A,1,FALSE)</f>
        <v>#N/A</v>
      </c>
      <c r="J259" s="25" t="s">
        <v>90</v>
      </c>
      <c r="K259" s="106" t="s">
        <v>63</v>
      </c>
      <c r="L259" s="107"/>
      <c r="M259" s="49" t="s">
        <v>523</v>
      </c>
      <c r="N259" s="73">
        <v>43938</v>
      </c>
      <c r="O259" s="107" t="s">
        <v>524</v>
      </c>
      <c r="P259" s="108">
        <v>5195</v>
      </c>
      <c r="Q259" s="118">
        <v>1</v>
      </c>
      <c r="R259" s="118">
        <f t="shared" si="11"/>
        <v>5195</v>
      </c>
      <c r="S259" s="115">
        <v>202304</v>
      </c>
      <c r="T259" s="119"/>
      <c r="U259" s="119"/>
      <c r="V259" s="121"/>
      <c r="W259" s="121"/>
      <c r="X259" s="116">
        <v>43344</v>
      </c>
      <c r="Y259" s="116">
        <v>45169</v>
      </c>
    </row>
    <row r="260" s="85" customFormat="1" customHeight="1" spans="1:25">
      <c r="A260" s="22" t="s">
        <v>61</v>
      </c>
      <c r="B260" s="24" t="s">
        <v>83</v>
      </c>
      <c r="C260" s="24" t="s">
        <v>63</v>
      </c>
      <c r="D260" s="24" t="s">
        <v>85</v>
      </c>
      <c r="E260" s="46" t="s">
        <v>520</v>
      </c>
      <c r="F260" s="22" t="s">
        <v>521</v>
      </c>
      <c r="G260" s="25" t="s">
        <v>88</v>
      </c>
      <c r="H260" s="99" t="s">
        <v>522</v>
      </c>
      <c r="I260" s="46" t="e">
        <f>VLOOKUP(H260,'合同高级查询数据-4月返'!A:A,1,FALSE)</f>
        <v>#N/A</v>
      </c>
      <c r="J260" s="25" t="s">
        <v>90</v>
      </c>
      <c r="K260" s="106" t="s">
        <v>63</v>
      </c>
      <c r="L260" s="107"/>
      <c r="M260" s="49" t="s">
        <v>523</v>
      </c>
      <c r="N260" s="73">
        <v>44410</v>
      </c>
      <c r="O260" s="107" t="s">
        <v>524</v>
      </c>
      <c r="P260" s="108">
        <v>5195</v>
      </c>
      <c r="Q260" s="118">
        <v>3</v>
      </c>
      <c r="R260" s="118">
        <f>ROUND(P260*Q260,2)</f>
        <v>15585</v>
      </c>
      <c r="S260" s="115">
        <v>202304</v>
      </c>
      <c r="T260" s="119" t="s">
        <v>526</v>
      </c>
      <c r="U260" s="119"/>
      <c r="V260" s="121"/>
      <c r="W260" s="121"/>
      <c r="X260" s="116">
        <v>43344</v>
      </c>
      <c r="Y260" s="116">
        <v>45169</v>
      </c>
    </row>
    <row r="261" s="85" customFormat="1" customHeight="1" spans="1:25">
      <c r="A261" s="22" t="s">
        <v>61</v>
      </c>
      <c r="B261" s="24" t="s">
        <v>83</v>
      </c>
      <c r="C261" s="24" t="s">
        <v>63</v>
      </c>
      <c r="D261" s="24" t="s">
        <v>85</v>
      </c>
      <c r="E261" s="46" t="s">
        <v>520</v>
      </c>
      <c r="F261" s="22" t="s">
        <v>521</v>
      </c>
      <c r="G261" s="25" t="s">
        <v>88</v>
      </c>
      <c r="H261" s="99" t="s">
        <v>522</v>
      </c>
      <c r="I261" s="46" t="e">
        <f>VLOOKUP(H261,'合同高级查询数据-4月返'!A:A,1,FALSE)</f>
        <v>#N/A</v>
      </c>
      <c r="J261" s="25" t="s">
        <v>90</v>
      </c>
      <c r="K261" s="106" t="s">
        <v>63</v>
      </c>
      <c r="L261" s="107"/>
      <c r="M261" s="49" t="s">
        <v>523</v>
      </c>
      <c r="N261" s="73">
        <v>44494</v>
      </c>
      <c r="O261" s="107" t="s">
        <v>524</v>
      </c>
      <c r="P261" s="108">
        <v>5195</v>
      </c>
      <c r="Q261" s="118">
        <v>3</v>
      </c>
      <c r="R261" s="118">
        <f>ROUND(P261*Q261,2)</f>
        <v>15585</v>
      </c>
      <c r="S261" s="115">
        <v>202304</v>
      </c>
      <c r="T261" s="119" t="s">
        <v>527</v>
      </c>
      <c r="U261" s="119"/>
      <c r="V261" s="121"/>
      <c r="W261" s="121"/>
      <c r="X261" s="116">
        <v>43344</v>
      </c>
      <c r="Y261" s="116">
        <v>45169</v>
      </c>
    </row>
    <row r="262" s="85" customFormat="1" customHeight="1" spans="1:25">
      <c r="A262" s="22" t="s">
        <v>61</v>
      </c>
      <c r="B262" s="24" t="s">
        <v>83</v>
      </c>
      <c r="C262" s="24" t="s">
        <v>63</v>
      </c>
      <c r="D262" s="24" t="s">
        <v>85</v>
      </c>
      <c r="E262" s="46" t="s">
        <v>520</v>
      </c>
      <c r="F262" s="22" t="s">
        <v>521</v>
      </c>
      <c r="G262" s="25" t="s">
        <v>88</v>
      </c>
      <c r="H262" s="99" t="s">
        <v>522</v>
      </c>
      <c r="I262" s="46" t="e">
        <f>VLOOKUP(H262,'合同高级查询数据-4月返'!A:A,1,FALSE)</f>
        <v>#N/A</v>
      </c>
      <c r="J262" s="25" t="s">
        <v>90</v>
      </c>
      <c r="K262" s="106" t="s">
        <v>63</v>
      </c>
      <c r="L262" s="107"/>
      <c r="M262" s="49" t="s">
        <v>523</v>
      </c>
      <c r="N262" s="73">
        <v>44537</v>
      </c>
      <c r="O262" s="107" t="s">
        <v>524</v>
      </c>
      <c r="P262" s="108">
        <v>5195</v>
      </c>
      <c r="Q262" s="118">
        <v>3</v>
      </c>
      <c r="R262" s="118">
        <f>ROUND(P262*Q262,2)</f>
        <v>15585</v>
      </c>
      <c r="S262" s="115">
        <v>202304</v>
      </c>
      <c r="T262" s="119" t="s">
        <v>528</v>
      </c>
      <c r="U262" s="119"/>
      <c r="V262" s="121"/>
      <c r="W262" s="121"/>
      <c r="X262" s="116">
        <v>43344</v>
      </c>
      <c r="Y262" s="116">
        <v>45169</v>
      </c>
    </row>
    <row r="263" s="85" customFormat="1" customHeight="1" spans="1:25">
      <c r="A263" s="22" t="s">
        <v>61</v>
      </c>
      <c r="B263" s="24" t="s">
        <v>83</v>
      </c>
      <c r="C263" s="24" t="s">
        <v>63</v>
      </c>
      <c r="D263" s="24" t="s">
        <v>85</v>
      </c>
      <c r="E263" s="46" t="s">
        <v>520</v>
      </c>
      <c r="F263" s="22" t="s">
        <v>521</v>
      </c>
      <c r="G263" s="25" t="s">
        <v>88</v>
      </c>
      <c r="H263" s="99" t="s">
        <v>522</v>
      </c>
      <c r="I263" s="46" t="e">
        <f>VLOOKUP(H263,'合同高级查询数据-4月返'!A:A,1,FALSE)</f>
        <v>#N/A</v>
      </c>
      <c r="J263" s="25" t="s">
        <v>90</v>
      </c>
      <c r="K263" s="106" t="s">
        <v>63</v>
      </c>
      <c r="L263" s="107"/>
      <c r="M263" s="49" t="s">
        <v>523</v>
      </c>
      <c r="N263" s="73">
        <v>44861</v>
      </c>
      <c r="O263" s="107" t="s">
        <v>524</v>
      </c>
      <c r="P263" s="108">
        <v>5195</v>
      </c>
      <c r="Q263" s="118">
        <v>3</v>
      </c>
      <c r="R263" s="118">
        <f>ROUND(P263*Q263,2)</f>
        <v>15585</v>
      </c>
      <c r="S263" s="115">
        <v>202304</v>
      </c>
      <c r="T263" s="119" t="s">
        <v>529</v>
      </c>
      <c r="U263" s="119"/>
      <c r="V263" s="121"/>
      <c r="W263" s="121"/>
      <c r="X263" s="116">
        <v>43344</v>
      </c>
      <c r="Y263" s="116">
        <v>45169</v>
      </c>
    </row>
    <row r="264" s="85" customFormat="1" customHeight="1" spans="1:25">
      <c r="A264" s="22" t="s">
        <v>61</v>
      </c>
      <c r="B264" s="24" t="s">
        <v>83</v>
      </c>
      <c r="C264" s="24" t="s">
        <v>63</v>
      </c>
      <c r="D264" s="24" t="s">
        <v>85</v>
      </c>
      <c r="E264" s="46" t="s">
        <v>520</v>
      </c>
      <c r="F264" s="22" t="s">
        <v>521</v>
      </c>
      <c r="G264" s="25" t="s">
        <v>78</v>
      </c>
      <c r="H264" s="99" t="s">
        <v>522</v>
      </c>
      <c r="I264" s="46" t="e">
        <f>VLOOKUP(H264,'合同高级查询数据-4月返'!A:A,1,FALSE)</f>
        <v>#N/A</v>
      </c>
      <c r="J264" s="25" t="s">
        <v>530</v>
      </c>
      <c r="K264" s="106" t="s">
        <v>63</v>
      </c>
      <c r="L264" s="107"/>
      <c r="M264" s="49"/>
      <c r="N264" s="73">
        <v>43556</v>
      </c>
      <c r="O264" s="107" t="s">
        <v>530</v>
      </c>
      <c r="P264" s="108">
        <v>1984</v>
      </c>
      <c r="Q264" s="118">
        <f>72-66</f>
        <v>6</v>
      </c>
      <c r="R264" s="118">
        <f>ROUND(P264*Q264,2)</f>
        <v>11904</v>
      </c>
      <c r="S264" s="115">
        <v>202304</v>
      </c>
      <c r="T264" s="119" t="s">
        <v>531</v>
      </c>
      <c r="U264" s="119"/>
      <c r="V264" s="121"/>
      <c r="W264" s="121"/>
      <c r="X264" s="116">
        <v>43344</v>
      </c>
      <c r="Y264" s="116">
        <v>45169</v>
      </c>
    </row>
    <row r="265" s="85" customFormat="1" customHeight="1" spans="1:25">
      <c r="A265" s="22" t="s">
        <v>61</v>
      </c>
      <c r="B265" s="24" t="s">
        <v>83</v>
      </c>
      <c r="C265" s="24" t="s">
        <v>63</v>
      </c>
      <c r="D265" s="24" t="s">
        <v>85</v>
      </c>
      <c r="E265" s="46" t="s">
        <v>520</v>
      </c>
      <c r="F265" s="22" t="s">
        <v>521</v>
      </c>
      <c r="G265" s="25" t="s">
        <v>78</v>
      </c>
      <c r="H265" s="99" t="s">
        <v>532</v>
      </c>
      <c r="I265" s="46" t="e">
        <f>VLOOKUP(H265,'合同高级查询数据-4月返'!A:A,1,FALSE)</f>
        <v>#N/A</v>
      </c>
      <c r="J265" s="25" t="s">
        <v>533</v>
      </c>
      <c r="K265" s="106" t="s">
        <v>63</v>
      </c>
      <c r="L265" s="107"/>
      <c r="M265" s="49"/>
      <c r="N265" s="73">
        <v>43539</v>
      </c>
      <c r="O265" s="107"/>
      <c r="P265" s="108">
        <v>416</v>
      </c>
      <c r="Q265" s="118">
        <v>1</v>
      </c>
      <c r="R265" s="118">
        <f>P265*Q265</f>
        <v>416</v>
      </c>
      <c r="S265" s="115">
        <v>202304</v>
      </c>
      <c r="T265" s="119" t="s">
        <v>534</v>
      </c>
      <c r="U265" s="119"/>
      <c r="V265" s="121"/>
      <c r="W265" s="121"/>
      <c r="X265" s="116">
        <v>43539</v>
      </c>
      <c r="Y265" s="116">
        <v>45169</v>
      </c>
    </row>
    <row r="266" s="85" customFormat="1" customHeight="1" spans="1:25">
      <c r="A266" s="22" t="s">
        <v>61</v>
      </c>
      <c r="B266" s="24" t="s">
        <v>83</v>
      </c>
      <c r="C266" s="24" t="s">
        <v>63</v>
      </c>
      <c r="D266" s="24" t="s">
        <v>85</v>
      </c>
      <c r="E266" s="46" t="s">
        <v>520</v>
      </c>
      <c r="F266" s="22" t="s">
        <v>521</v>
      </c>
      <c r="G266" s="25" t="s">
        <v>78</v>
      </c>
      <c r="H266" s="99" t="s">
        <v>532</v>
      </c>
      <c r="I266" s="46" t="e">
        <f>VLOOKUP(H266,'合同高级查询数据-4月返'!A:A,1,FALSE)</f>
        <v>#N/A</v>
      </c>
      <c r="J266" s="25" t="s">
        <v>533</v>
      </c>
      <c r="K266" s="106" t="s">
        <v>63</v>
      </c>
      <c r="L266" s="107"/>
      <c r="M266" s="49"/>
      <c r="N266" s="73">
        <v>43600</v>
      </c>
      <c r="O266" s="107"/>
      <c r="P266" s="108">
        <v>416</v>
      </c>
      <c r="Q266" s="118">
        <v>2</v>
      </c>
      <c r="R266" s="118">
        <f>P266*Q266</f>
        <v>832</v>
      </c>
      <c r="S266" s="115">
        <v>202304</v>
      </c>
      <c r="T266" s="119" t="s">
        <v>535</v>
      </c>
      <c r="U266" s="119"/>
      <c r="V266" s="121"/>
      <c r="W266" s="121"/>
      <c r="X266" s="116">
        <v>43539</v>
      </c>
      <c r="Y266" s="116">
        <v>45169</v>
      </c>
    </row>
    <row r="267" s="85" customFormat="1" customHeight="1" spans="1:25">
      <c r="A267" s="22" t="s">
        <v>61</v>
      </c>
      <c r="B267" s="24" t="s">
        <v>83</v>
      </c>
      <c r="C267" s="24" t="s">
        <v>63</v>
      </c>
      <c r="D267" s="24" t="s">
        <v>85</v>
      </c>
      <c r="E267" s="46" t="s">
        <v>520</v>
      </c>
      <c r="F267" s="22" t="s">
        <v>521</v>
      </c>
      <c r="G267" s="25" t="s">
        <v>78</v>
      </c>
      <c r="H267" s="99" t="s">
        <v>532</v>
      </c>
      <c r="I267" s="46" t="e">
        <f>VLOOKUP(H267,'合同高级查询数据-4月返'!A:A,1,FALSE)</f>
        <v>#N/A</v>
      </c>
      <c r="J267" s="25" t="s">
        <v>533</v>
      </c>
      <c r="K267" s="106" t="s">
        <v>63</v>
      </c>
      <c r="L267" s="107"/>
      <c r="M267" s="49"/>
      <c r="N267" s="73">
        <v>43663</v>
      </c>
      <c r="O267" s="107"/>
      <c r="P267" s="108">
        <v>416</v>
      </c>
      <c r="Q267" s="118">
        <v>1</v>
      </c>
      <c r="R267" s="118">
        <f t="shared" ref="R267:R272" si="12">ROUND(P267*Q267,2)</f>
        <v>416</v>
      </c>
      <c r="S267" s="115">
        <v>202304</v>
      </c>
      <c r="T267" s="119" t="s">
        <v>536</v>
      </c>
      <c r="U267" s="119"/>
      <c r="V267" s="121"/>
      <c r="W267" s="121"/>
      <c r="X267" s="116">
        <v>43539</v>
      </c>
      <c r="Y267" s="116">
        <v>45169</v>
      </c>
    </row>
    <row r="268" s="85" customFormat="1" customHeight="1" spans="1:25">
      <c r="A268" s="22" t="s">
        <v>61</v>
      </c>
      <c r="B268" s="24" t="s">
        <v>83</v>
      </c>
      <c r="C268" s="24" t="s">
        <v>63</v>
      </c>
      <c r="D268" s="24" t="s">
        <v>85</v>
      </c>
      <c r="E268" s="46" t="s">
        <v>520</v>
      </c>
      <c r="F268" s="22" t="s">
        <v>521</v>
      </c>
      <c r="G268" s="25" t="s">
        <v>78</v>
      </c>
      <c r="H268" s="99" t="s">
        <v>532</v>
      </c>
      <c r="I268" s="46" t="e">
        <f>VLOOKUP(H268,'合同高级查询数据-4月返'!A:A,1,FALSE)</f>
        <v>#N/A</v>
      </c>
      <c r="J268" s="25" t="s">
        <v>533</v>
      </c>
      <c r="K268" s="106" t="s">
        <v>63</v>
      </c>
      <c r="L268" s="107"/>
      <c r="M268" s="49"/>
      <c r="N268" s="73">
        <v>43704</v>
      </c>
      <c r="O268" s="107"/>
      <c r="P268" s="108">
        <v>416</v>
      </c>
      <c r="Q268" s="118">
        <v>4</v>
      </c>
      <c r="R268" s="118">
        <f t="shared" si="12"/>
        <v>1664</v>
      </c>
      <c r="S268" s="115">
        <v>202304</v>
      </c>
      <c r="T268" s="119" t="s">
        <v>537</v>
      </c>
      <c r="U268" s="119"/>
      <c r="V268" s="121"/>
      <c r="W268" s="121"/>
      <c r="X268" s="116">
        <v>43539</v>
      </c>
      <c r="Y268" s="116">
        <v>45169</v>
      </c>
    </row>
    <row r="269" s="85" customFormat="1" customHeight="1" spans="1:25">
      <c r="A269" s="22" t="s">
        <v>61</v>
      </c>
      <c r="B269" s="24" t="s">
        <v>83</v>
      </c>
      <c r="C269" s="24" t="s">
        <v>63</v>
      </c>
      <c r="D269" s="24" t="s">
        <v>85</v>
      </c>
      <c r="E269" s="46" t="s">
        <v>520</v>
      </c>
      <c r="F269" s="22" t="s">
        <v>521</v>
      </c>
      <c r="G269" s="25" t="s">
        <v>78</v>
      </c>
      <c r="H269" s="99" t="s">
        <v>532</v>
      </c>
      <c r="I269" s="46" t="e">
        <f>VLOOKUP(H269,'合同高级查询数据-4月返'!A:A,1,FALSE)</f>
        <v>#N/A</v>
      </c>
      <c r="J269" s="25" t="s">
        <v>533</v>
      </c>
      <c r="K269" s="106" t="s">
        <v>63</v>
      </c>
      <c r="L269" s="107"/>
      <c r="M269" s="49"/>
      <c r="N269" s="73">
        <v>44651</v>
      </c>
      <c r="O269" s="107"/>
      <c r="P269" s="108">
        <v>416</v>
      </c>
      <c r="Q269" s="118">
        <v>-1</v>
      </c>
      <c r="R269" s="118">
        <f t="shared" si="12"/>
        <v>-416</v>
      </c>
      <c r="S269" s="115">
        <v>202304</v>
      </c>
      <c r="T269" s="119" t="s">
        <v>538</v>
      </c>
      <c r="U269" s="119"/>
      <c r="V269" s="121"/>
      <c r="W269" s="121"/>
      <c r="X269" s="116">
        <v>43539</v>
      </c>
      <c r="Y269" s="116">
        <v>45169</v>
      </c>
    </row>
    <row r="270" s="85" customFormat="1" customHeight="1" spans="1:25">
      <c r="A270" s="22" t="s">
        <v>61</v>
      </c>
      <c r="B270" s="24" t="s">
        <v>83</v>
      </c>
      <c r="C270" s="24" t="s">
        <v>63</v>
      </c>
      <c r="D270" s="24" t="s">
        <v>85</v>
      </c>
      <c r="E270" s="46" t="s">
        <v>520</v>
      </c>
      <c r="F270" s="22" t="s">
        <v>521</v>
      </c>
      <c r="G270" s="25" t="s">
        <v>78</v>
      </c>
      <c r="H270" s="99" t="s">
        <v>532</v>
      </c>
      <c r="I270" s="46" t="e">
        <f>VLOOKUP(H270,'合同高级查询数据-4月返'!A:A,1,FALSE)</f>
        <v>#N/A</v>
      </c>
      <c r="J270" s="25" t="s">
        <v>533</v>
      </c>
      <c r="K270" s="106" t="s">
        <v>63</v>
      </c>
      <c r="L270" s="107"/>
      <c r="M270" s="49"/>
      <c r="N270" s="73">
        <v>43704</v>
      </c>
      <c r="O270" s="107"/>
      <c r="P270" s="108">
        <v>416</v>
      </c>
      <c r="Q270" s="118">
        <v>1</v>
      </c>
      <c r="R270" s="118">
        <f t="shared" si="12"/>
        <v>416</v>
      </c>
      <c r="S270" s="115">
        <v>202304</v>
      </c>
      <c r="T270" s="119" t="s">
        <v>539</v>
      </c>
      <c r="U270" s="119"/>
      <c r="V270" s="121"/>
      <c r="W270" s="121"/>
      <c r="X270" s="116">
        <v>43539</v>
      </c>
      <c r="Y270" s="116">
        <v>45169</v>
      </c>
    </row>
    <row r="271" s="85" customFormat="1" customHeight="1" spans="1:25">
      <c r="A271" s="22" t="s">
        <v>61</v>
      </c>
      <c r="B271" s="24" t="s">
        <v>83</v>
      </c>
      <c r="C271" s="24" t="s">
        <v>63</v>
      </c>
      <c r="D271" s="24" t="s">
        <v>85</v>
      </c>
      <c r="E271" s="46" t="s">
        <v>520</v>
      </c>
      <c r="F271" s="22" t="s">
        <v>521</v>
      </c>
      <c r="G271" s="25" t="s">
        <v>78</v>
      </c>
      <c r="H271" s="99" t="s">
        <v>532</v>
      </c>
      <c r="I271" s="46" t="e">
        <f>VLOOKUP(H271,'合同高级查询数据-4月返'!A:A,1,FALSE)</f>
        <v>#N/A</v>
      </c>
      <c r="J271" s="25" t="s">
        <v>533</v>
      </c>
      <c r="K271" s="106" t="s">
        <v>63</v>
      </c>
      <c r="L271" s="107"/>
      <c r="M271" s="49"/>
      <c r="N271" s="73">
        <v>44135</v>
      </c>
      <c r="O271" s="107"/>
      <c r="P271" s="108">
        <v>416</v>
      </c>
      <c r="Q271" s="118">
        <v>-1</v>
      </c>
      <c r="R271" s="118">
        <f t="shared" si="12"/>
        <v>-416</v>
      </c>
      <c r="S271" s="115">
        <v>202304</v>
      </c>
      <c r="T271" s="119" t="s">
        <v>540</v>
      </c>
      <c r="U271" s="119"/>
      <c r="V271" s="121"/>
      <c r="W271" s="121"/>
      <c r="X271" s="116">
        <v>43539</v>
      </c>
      <c r="Y271" s="116">
        <v>45169</v>
      </c>
    </row>
    <row r="272" s="85" customFormat="1" customHeight="1" spans="1:25">
      <c r="A272" s="22" t="s">
        <v>61</v>
      </c>
      <c r="B272" s="24" t="s">
        <v>83</v>
      </c>
      <c r="C272" s="24" t="s">
        <v>63</v>
      </c>
      <c r="D272" s="24" t="s">
        <v>85</v>
      </c>
      <c r="E272" s="46" t="s">
        <v>520</v>
      </c>
      <c r="F272" s="22" t="s">
        <v>521</v>
      </c>
      <c r="G272" s="25" t="s">
        <v>78</v>
      </c>
      <c r="H272" s="99" t="s">
        <v>532</v>
      </c>
      <c r="I272" s="46" t="e">
        <f>VLOOKUP(H272,'合同高级查询数据-4月返'!A:A,1,FALSE)</f>
        <v>#N/A</v>
      </c>
      <c r="J272" s="25" t="s">
        <v>533</v>
      </c>
      <c r="K272" s="106" t="s">
        <v>63</v>
      </c>
      <c r="L272" s="107"/>
      <c r="M272" s="49"/>
      <c r="N272" s="73">
        <v>43704</v>
      </c>
      <c r="O272" s="107"/>
      <c r="P272" s="108">
        <v>416</v>
      </c>
      <c r="Q272" s="118">
        <v>1</v>
      </c>
      <c r="R272" s="118">
        <f t="shared" si="12"/>
        <v>416</v>
      </c>
      <c r="S272" s="115">
        <v>202304</v>
      </c>
      <c r="T272" s="119" t="s">
        <v>541</v>
      </c>
      <c r="U272" s="119"/>
      <c r="V272" s="121"/>
      <c r="W272" s="121"/>
      <c r="X272" s="116">
        <v>43539</v>
      </c>
      <c r="Y272" s="116">
        <v>45169</v>
      </c>
    </row>
    <row r="273" s="85" customFormat="1" customHeight="1" spans="1:25">
      <c r="A273" s="22" t="s">
        <v>61</v>
      </c>
      <c r="B273" s="24" t="s">
        <v>83</v>
      </c>
      <c r="C273" s="24" t="s">
        <v>63</v>
      </c>
      <c r="D273" s="24" t="s">
        <v>85</v>
      </c>
      <c r="E273" s="46" t="s">
        <v>520</v>
      </c>
      <c r="F273" s="22" t="s">
        <v>521</v>
      </c>
      <c r="G273" s="25" t="s">
        <v>78</v>
      </c>
      <c r="H273" s="99" t="s">
        <v>532</v>
      </c>
      <c r="I273" s="46" t="e">
        <f>VLOOKUP(H273,'合同高级查询数据-4月返'!A:A,1,FALSE)</f>
        <v>#N/A</v>
      </c>
      <c r="J273" s="25" t="s">
        <v>533</v>
      </c>
      <c r="K273" s="106" t="s">
        <v>63</v>
      </c>
      <c r="L273" s="107"/>
      <c r="M273" s="49"/>
      <c r="N273" s="73">
        <v>43726</v>
      </c>
      <c r="O273" s="107"/>
      <c r="P273" s="108">
        <v>416</v>
      </c>
      <c r="Q273" s="118">
        <v>1</v>
      </c>
      <c r="R273" s="118">
        <f t="shared" ref="R273:R280" si="13">P273*Q273</f>
        <v>416</v>
      </c>
      <c r="S273" s="115">
        <v>202304</v>
      </c>
      <c r="T273" s="119" t="s">
        <v>542</v>
      </c>
      <c r="U273" s="119"/>
      <c r="V273" s="121"/>
      <c r="W273" s="121"/>
      <c r="X273" s="116">
        <v>43539</v>
      </c>
      <c r="Y273" s="116">
        <v>45169</v>
      </c>
    </row>
    <row r="274" s="85" customFormat="1" customHeight="1" spans="1:25">
      <c r="A274" s="22" t="s">
        <v>61</v>
      </c>
      <c r="B274" s="24" t="s">
        <v>83</v>
      </c>
      <c r="C274" s="24" t="s">
        <v>63</v>
      </c>
      <c r="D274" s="24" t="s">
        <v>85</v>
      </c>
      <c r="E274" s="46" t="s">
        <v>520</v>
      </c>
      <c r="F274" s="22" t="s">
        <v>521</v>
      </c>
      <c r="G274" s="25" t="s">
        <v>78</v>
      </c>
      <c r="H274" s="99" t="s">
        <v>532</v>
      </c>
      <c r="I274" s="46" t="e">
        <f>VLOOKUP(H274,'合同高级查询数据-4月返'!A:A,1,FALSE)</f>
        <v>#N/A</v>
      </c>
      <c r="J274" s="25" t="s">
        <v>533</v>
      </c>
      <c r="K274" s="106" t="s">
        <v>63</v>
      </c>
      <c r="L274" s="107"/>
      <c r="M274" s="49"/>
      <c r="N274" s="73">
        <v>43747</v>
      </c>
      <c r="O274" s="107"/>
      <c r="P274" s="108">
        <v>416</v>
      </c>
      <c r="Q274" s="118">
        <v>1</v>
      </c>
      <c r="R274" s="118">
        <f t="shared" si="13"/>
        <v>416</v>
      </c>
      <c r="S274" s="115">
        <v>202304</v>
      </c>
      <c r="T274" s="119" t="s">
        <v>543</v>
      </c>
      <c r="U274" s="119"/>
      <c r="V274" s="121"/>
      <c r="W274" s="121"/>
      <c r="X274" s="116">
        <v>43539</v>
      </c>
      <c r="Y274" s="116">
        <v>45169</v>
      </c>
    </row>
    <row r="275" s="85" customFormat="1" customHeight="1" spans="1:25">
      <c r="A275" s="22" t="s">
        <v>61</v>
      </c>
      <c r="B275" s="24" t="s">
        <v>83</v>
      </c>
      <c r="C275" s="24" t="s">
        <v>63</v>
      </c>
      <c r="D275" s="24" t="s">
        <v>85</v>
      </c>
      <c r="E275" s="46" t="s">
        <v>520</v>
      </c>
      <c r="F275" s="22" t="s">
        <v>521</v>
      </c>
      <c r="G275" s="25" t="s">
        <v>78</v>
      </c>
      <c r="H275" s="99" t="s">
        <v>532</v>
      </c>
      <c r="I275" s="46" t="e">
        <f>VLOOKUP(H275,'合同高级查询数据-4月返'!A:A,1,FALSE)</f>
        <v>#N/A</v>
      </c>
      <c r="J275" s="25" t="s">
        <v>533</v>
      </c>
      <c r="K275" s="106" t="s">
        <v>63</v>
      </c>
      <c r="L275" s="107"/>
      <c r="M275" s="49"/>
      <c r="N275" s="73">
        <v>43748</v>
      </c>
      <c r="O275" s="107"/>
      <c r="P275" s="108">
        <v>416</v>
      </c>
      <c r="Q275" s="118">
        <v>1</v>
      </c>
      <c r="R275" s="118">
        <f t="shared" si="13"/>
        <v>416</v>
      </c>
      <c r="S275" s="115">
        <v>202304</v>
      </c>
      <c r="T275" s="119" t="s">
        <v>544</v>
      </c>
      <c r="U275" s="119"/>
      <c r="V275" s="121"/>
      <c r="W275" s="121"/>
      <c r="X275" s="116">
        <v>43539</v>
      </c>
      <c r="Y275" s="116">
        <v>45169</v>
      </c>
    </row>
    <row r="276" s="85" customFormat="1" customHeight="1" spans="1:25">
      <c r="A276" s="22" t="s">
        <v>61</v>
      </c>
      <c r="B276" s="24" t="s">
        <v>83</v>
      </c>
      <c r="C276" s="24" t="s">
        <v>63</v>
      </c>
      <c r="D276" s="24" t="s">
        <v>85</v>
      </c>
      <c r="E276" s="46" t="s">
        <v>520</v>
      </c>
      <c r="F276" s="22" t="s">
        <v>521</v>
      </c>
      <c r="G276" s="25" t="s">
        <v>78</v>
      </c>
      <c r="H276" s="99" t="s">
        <v>532</v>
      </c>
      <c r="I276" s="46" t="e">
        <f>VLOOKUP(H276,'合同高级查询数据-4月返'!A:A,1,FALSE)</f>
        <v>#N/A</v>
      </c>
      <c r="J276" s="25" t="s">
        <v>533</v>
      </c>
      <c r="K276" s="106" t="s">
        <v>63</v>
      </c>
      <c r="L276" s="107"/>
      <c r="M276" s="49"/>
      <c r="N276" s="73">
        <v>43770</v>
      </c>
      <c r="O276" s="107"/>
      <c r="P276" s="108">
        <v>416</v>
      </c>
      <c r="Q276" s="118">
        <v>4</v>
      </c>
      <c r="R276" s="118">
        <f t="shared" si="13"/>
        <v>1664</v>
      </c>
      <c r="S276" s="115">
        <v>202304</v>
      </c>
      <c r="T276" s="119" t="s">
        <v>545</v>
      </c>
      <c r="U276" s="119"/>
      <c r="V276" s="121"/>
      <c r="W276" s="121"/>
      <c r="X276" s="116">
        <v>43539</v>
      </c>
      <c r="Y276" s="116">
        <v>45169</v>
      </c>
    </row>
    <row r="277" s="85" customFormat="1" customHeight="1" spans="1:25">
      <c r="A277" s="22" t="s">
        <v>61</v>
      </c>
      <c r="B277" s="24" t="s">
        <v>83</v>
      </c>
      <c r="C277" s="24" t="s">
        <v>63</v>
      </c>
      <c r="D277" s="24" t="s">
        <v>85</v>
      </c>
      <c r="E277" s="46" t="s">
        <v>520</v>
      </c>
      <c r="F277" s="22" t="s">
        <v>521</v>
      </c>
      <c r="G277" s="25" t="s">
        <v>78</v>
      </c>
      <c r="H277" s="99" t="s">
        <v>532</v>
      </c>
      <c r="I277" s="46" t="e">
        <f>VLOOKUP(H277,'合同高级查询数据-4月返'!A:A,1,FALSE)</f>
        <v>#N/A</v>
      </c>
      <c r="J277" s="25" t="s">
        <v>533</v>
      </c>
      <c r="K277" s="106" t="s">
        <v>63</v>
      </c>
      <c r="L277" s="107"/>
      <c r="M277" s="49"/>
      <c r="N277" s="73">
        <v>44001</v>
      </c>
      <c r="O277" s="107"/>
      <c r="P277" s="108">
        <v>416</v>
      </c>
      <c r="Q277" s="118">
        <v>1</v>
      </c>
      <c r="R277" s="118">
        <f t="shared" si="13"/>
        <v>416</v>
      </c>
      <c r="S277" s="115">
        <v>202304</v>
      </c>
      <c r="T277" s="119" t="s">
        <v>546</v>
      </c>
      <c r="U277" s="119"/>
      <c r="V277" s="121"/>
      <c r="W277" s="121"/>
      <c r="X277" s="116">
        <v>43539</v>
      </c>
      <c r="Y277" s="116">
        <v>45169</v>
      </c>
    </row>
    <row r="278" s="85" customFormat="1" customHeight="1" spans="1:25">
      <c r="A278" s="22" t="s">
        <v>61</v>
      </c>
      <c r="B278" s="24" t="s">
        <v>83</v>
      </c>
      <c r="C278" s="24" t="s">
        <v>63</v>
      </c>
      <c r="D278" s="24" t="s">
        <v>85</v>
      </c>
      <c r="E278" s="46" t="s">
        <v>520</v>
      </c>
      <c r="F278" s="22" t="s">
        <v>521</v>
      </c>
      <c r="G278" s="25" t="s">
        <v>78</v>
      </c>
      <c r="H278" s="99" t="s">
        <v>532</v>
      </c>
      <c r="I278" s="46" t="e">
        <f>VLOOKUP(H278,'合同高级查询数据-4月返'!A:A,1,FALSE)</f>
        <v>#N/A</v>
      </c>
      <c r="J278" s="25" t="s">
        <v>533</v>
      </c>
      <c r="K278" s="106" t="s">
        <v>63</v>
      </c>
      <c r="L278" s="107"/>
      <c r="M278" s="49"/>
      <c r="N278" s="73">
        <v>44069</v>
      </c>
      <c r="O278" s="107"/>
      <c r="P278" s="108">
        <v>416</v>
      </c>
      <c r="Q278" s="118">
        <v>2</v>
      </c>
      <c r="R278" s="118">
        <f t="shared" si="13"/>
        <v>832</v>
      </c>
      <c r="S278" s="115">
        <v>202304</v>
      </c>
      <c r="T278" s="119" t="s">
        <v>547</v>
      </c>
      <c r="U278" s="119"/>
      <c r="V278" s="121"/>
      <c r="W278" s="121"/>
      <c r="X278" s="116">
        <v>43539</v>
      </c>
      <c r="Y278" s="116">
        <v>45169</v>
      </c>
    </row>
    <row r="279" s="85" customFormat="1" customHeight="1" spans="1:25">
      <c r="A279" s="22" t="s">
        <v>61</v>
      </c>
      <c r="B279" s="24" t="s">
        <v>83</v>
      </c>
      <c r="C279" s="24" t="s">
        <v>63</v>
      </c>
      <c r="D279" s="24" t="s">
        <v>85</v>
      </c>
      <c r="E279" s="46" t="s">
        <v>520</v>
      </c>
      <c r="F279" s="22" t="s">
        <v>521</v>
      </c>
      <c r="G279" s="25" t="s">
        <v>78</v>
      </c>
      <c r="H279" s="99" t="s">
        <v>532</v>
      </c>
      <c r="I279" s="46" t="e">
        <f>VLOOKUP(H279,'合同高级查询数据-4月返'!A:A,1,FALSE)</f>
        <v>#N/A</v>
      </c>
      <c r="J279" s="25" t="s">
        <v>533</v>
      </c>
      <c r="K279" s="106" t="s">
        <v>63</v>
      </c>
      <c r="L279" s="107"/>
      <c r="M279" s="49"/>
      <c r="N279" s="73">
        <v>44410</v>
      </c>
      <c r="O279" s="107"/>
      <c r="P279" s="108">
        <v>416</v>
      </c>
      <c r="Q279" s="118">
        <v>1</v>
      </c>
      <c r="R279" s="118">
        <f t="shared" si="13"/>
        <v>416</v>
      </c>
      <c r="S279" s="115">
        <v>202304</v>
      </c>
      <c r="T279" s="122" t="s">
        <v>548</v>
      </c>
      <c r="U279" s="119"/>
      <c r="V279" s="121"/>
      <c r="W279" s="121"/>
      <c r="X279" s="116">
        <v>43539</v>
      </c>
      <c r="Y279" s="116">
        <v>45169</v>
      </c>
    </row>
    <row r="280" s="85" customFormat="1" customHeight="1" spans="1:25">
      <c r="A280" s="22" t="s">
        <v>61</v>
      </c>
      <c r="B280" s="24" t="s">
        <v>83</v>
      </c>
      <c r="C280" s="24" t="s">
        <v>63</v>
      </c>
      <c r="D280" s="24" t="s">
        <v>85</v>
      </c>
      <c r="E280" s="46" t="s">
        <v>520</v>
      </c>
      <c r="F280" s="22" t="s">
        <v>521</v>
      </c>
      <c r="G280" s="25" t="s">
        <v>78</v>
      </c>
      <c r="H280" s="99" t="s">
        <v>532</v>
      </c>
      <c r="I280" s="46" t="e">
        <f>VLOOKUP(H280,'合同高级查询数据-4月返'!A:A,1,FALSE)</f>
        <v>#N/A</v>
      </c>
      <c r="J280" s="25" t="s">
        <v>533</v>
      </c>
      <c r="K280" s="106" t="s">
        <v>63</v>
      </c>
      <c r="L280" s="107"/>
      <c r="M280" s="49"/>
      <c r="N280" s="73">
        <v>44682</v>
      </c>
      <c r="O280" s="107"/>
      <c r="P280" s="108">
        <v>416</v>
      </c>
      <c r="Q280" s="118">
        <v>1</v>
      </c>
      <c r="R280" s="118">
        <f t="shared" si="13"/>
        <v>416</v>
      </c>
      <c r="S280" s="115">
        <v>202304</v>
      </c>
      <c r="T280" s="119" t="s">
        <v>549</v>
      </c>
      <c r="U280" s="119"/>
      <c r="V280" s="121"/>
      <c r="W280" s="121"/>
      <c r="X280" s="116">
        <v>43539</v>
      </c>
      <c r="Y280" s="116">
        <v>45169</v>
      </c>
    </row>
    <row r="281" s="85" customFormat="1" customHeight="1" spans="1:25">
      <c r="A281" s="22" t="s">
        <v>61</v>
      </c>
      <c r="B281" s="24" t="s">
        <v>83</v>
      </c>
      <c r="C281" s="24" t="s">
        <v>63</v>
      </c>
      <c r="D281" s="24" t="s">
        <v>85</v>
      </c>
      <c r="E281" s="46" t="s">
        <v>520</v>
      </c>
      <c r="F281" s="22" t="s">
        <v>521</v>
      </c>
      <c r="G281" s="25" t="s">
        <v>78</v>
      </c>
      <c r="H281" s="99" t="s">
        <v>532</v>
      </c>
      <c r="I281" s="46" t="e">
        <f>VLOOKUP(H281,'合同高级查询数据-4月返'!A:A,1,FALSE)</f>
        <v>#N/A</v>
      </c>
      <c r="J281" s="25" t="s">
        <v>533</v>
      </c>
      <c r="K281" s="106" t="s">
        <v>63</v>
      </c>
      <c r="L281" s="107"/>
      <c r="M281" s="49"/>
      <c r="N281" s="73">
        <v>44735</v>
      </c>
      <c r="O281" s="107"/>
      <c r="P281" s="108">
        <v>416</v>
      </c>
      <c r="Q281" s="118">
        <v>2</v>
      </c>
      <c r="R281" s="118">
        <f t="shared" ref="R281:R315" si="14">ROUND(P281*Q281,2)</f>
        <v>832</v>
      </c>
      <c r="S281" s="115">
        <v>202304</v>
      </c>
      <c r="T281" s="122" t="s">
        <v>550</v>
      </c>
      <c r="U281" s="119"/>
      <c r="V281" s="121"/>
      <c r="W281" s="121"/>
      <c r="X281" s="116">
        <v>43539</v>
      </c>
      <c r="Y281" s="116">
        <v>45169</v>
      </c>
    </row>
    <row r="282" s="85" customFormat="1" customHeight="1" spans="1:25">
      <c r="A282" s="22" t="s">
        <v>61</v>
      </c>
      <c r="B282" s="24" t="s">
        <v>83</v>
      </c>
      <c r="C282" s="24" t="s">
        <v>63</v>
      </c>
      <c r="D282" s="24" t="s">
        <v>85</v>
      </c>
      <c r="E282" s="46" t="s">
        <v>520</v>
      </c>
      <c r="F282" s="22" t="s">
        <v>521</v>
      </c>
      <c r="G282" s="25" t="s">
        <v>78</v>
      </c>
      <c r="H282" s="99" t="s">
        <v>532</v>
      </c>
      <c r="I282" s="46" t="e">
        <f>VLOOKUP(H282,'合同高级查询数据-4月返'!A:A,1,FALSE)</f>
        <v>#N/A</v>
      </c>
      <c r="J282" s="25" t="s">
        <v>533</v>
      </c>
      <c r="K282" s="106" t="s">
        <v>63</v>
      </c>
      <c r="L282" s="107"/>
      <c r="M282" s="49"/>
      <c r="N282" s="73">
        <v>44763</v>
      </c>
      <c r="O282" s="107"/>
      <c r="P282" s="108">
        <v>416</v>
      </c>
      <c r="Q282" s="118">
        <v>1</v>
      </c>
      <c r="R282" s="118">
        <f t="shared" si="14"/>
        <v>416</v>
      </c>
      <c r="S282" s="115">
        <v>202304</v>
      </c>
      <c r="T282" s="122" t="s">
        <v>551</v>
      </c>
      <c r="U282" s="119"/>
      <c r="V282" s="121"/>
      <c r="W282" s="121"/>
      <c r="X282" s="116">
        <v>43539</v>
      </c>
      <c r="Y282" s="116">
        <v>45169</v>
      </c>
    </row>
    <row r="283" s="85" customFormat="1" customHeight="1" spans="1:25">
      <c r="A283" s="98" t="s">
        <v>61</v>
      </c>
      <c r="B283" s="98" t="s">
        <v>83</v>
      </c>
      <c r="C283" s="160" t="s">
        <v>63</v>
      </c>
      <c r="D283" s="24" t="s">
        <v>85</v>
      </c>
      <c r="E283" s="161" t="s">
        <v>520</v>
      </c>
      <c r="F283" s="98" t="s">
        <v>521</v>
      </c>
      <c r="G283" s="25" t="s">
        <v>78</v>
      </c>
      <c r="H283" s="100" t="s">
        <v>532</v>
      </c>
      <c r="I283" s="46" t="e">
        <f>VLOOKUP(H283,'合同高级查询数据-4月返'!A:A,1,FALSE)</f>
        <v>#N/A</v>
      </c>
      <c r="J283" s="25" t="s">
        <v>533</v>
      </c>
      <c r="K283" s="98" t="s">
        <v>63</v>
      </c>
      <c r="L283" s="163"/>
      <c r="M283" s="49"/>
      <c r="N283" s="73">
        <v>44818</v>
      </c>
      <c r="O283" s="73"/>
      <c r="P283" s="108">
        <v>416</v>
      </c>
      <c r="Q283" s="164">
        <v>1</v>
      </c>
      <c r="R283" s="118">
        <f t="shared" si="14"/>
        <v>416</v>
      </c>
      <c r="S283" s="115">
        <v>202304</v>
      </c>
      <c r="T283" s="161" t="s">
        <v>552</v>
      </c>
      <c r="U283" s="161"/>
      <c r="V283" s="165"/>
      <c r="W283" s="165"/>
      <c r="X283" s="116">
        <v>43539</v>
      </c>
      <c r="Y283" s="116">
        <v>45169</v>
      </c>
    </row>
    <row r="284" s="85" customFormat="1" customHeight="1" spans="1:25">
      <c r="A284" s="160" t="s">
        <v>61</v>
      </c>
      <c r="B284" s="98" t="s">
        <v>62</v>
      </c>
      <c r="C284" s="98" t="s">
        <v>238</v>
      </c>
      <c r="D284" s="24" t="s">
        <v>64</v>
      </c>
      <c r="E284" s="162" t="s">
        <v>553</v>
      </c>
      <c r="F284" s="160" t="s">
        <v>554</v>
      </c>
      <c r="G284" s="25" t="s">
        <v>88</v>
      </c>
      <c r="H284" s="99" t="s">
        <v>555</v>
      </c>
      <c r="I284" s="46" t="e">
        <f>VLOOKUP(H284,'合同高级查询数据-4月返'!A:A,1,FALSE)</f>
        <v>#N/A</v>
      </c>
      <c r="J284" s="25" t="s">
        <v>90</v>
      </c>
      <c r="K284" s="106" t="s">
        <v>556</v>
      </c>
      <c r="L284" s="107"/>
      <c r="M284" s="49" t="s">
        <v>557</v>
      </c>
      <c r="N284" s="73" t="s">
        <v>558</v>
      </c>
      <c r="O284" s="107" t="s">
        <v>559</v>
      </c>
      <c r="P284" s="164">
        <v>27200</v>
      </c>
      <c r="Q284" s="164">
        <v>1</v>
      </c>
      <c r="R284" s="118">
        <f t="shared" si="14"/>
        <v>27200</v>
      </c>
      <c r="S284" s="115">
        <v>202304</v>
      </c>
      <c r="T284" s="119" t="s">
        <v>560</v>
      </c>
      <c r="U284" s="166"/>
      <c r="V284" s="165"/>
      <c r="W284" s="165"/>
      <c r="X284" s="116">
        <v>43739</v>
      </c>
      <c r="Y284" s="116">
        <v>45199</v>
      </c>
    </row>
    <row r="285" s="85" customFormat="1" customHeight="1" spans="1:25">
      <c r="A285" s="160" t="s">
        <v>61</v>
      </c>
      <c r="B285" s="98" t="s">
        <v>62</v>
      </c>
      <c r="C285" s="98" t="s">
        <v>238</v>
      </c>
      <c r="D285" s="24" t="s">
        <v>64</v>
      </c>
      <c r="E285" s="162" t="s">
        <v>553</v>
      </c>
      <c r="F285" s="160" t="s">
        <v>554</v>
      </c>
      <c r="G285" s="25" t="s">
        <v>88</v>
      </c>
      <c r="H285" s="99" t="s">
        <v>555</v>
      </c>
      <c r="I285" s="46" t="e">
        <f>VLOOKUP(H285,'合同高级查询数据-4月返'!A:A,1,FALSE)</f>
        <v>#N/A</v>
      </c>
      <c r="J285" s="25" t="s">
        <v>90</v>
      </c>
      <c r="K285" s="106" t="s">
        <v>556</v>
      </c>
      <c r="L285" s="107"/>
      <c r="M285" s="49" t="s">
        <v>557</v>
      </c>
      <c r="N285" s="73">
        <v>43258</v>
      </c>
      <c r="O285" s="107" t="s">
        <v>561</v>
      </c>
      <c r="P285" s="164">
        <v>10200</v>
      </c>
      <c r="Q285" s="164">
        <v>2</v>
      </c>
      <c r="R285" s="118">
        <f t="shared" si="14"/>
        <v>20400</v>
      </c>
      <c r="S285" s="115">
        <v>202304</v>
      </c>
      <c r="T285" s="119" t="s">
        <v>562</v>
      </c>
      <c r="U285" s="166"/>
      <c r="V285" s="165"/>
      <c r="W285" s="165"/>
      <c r="X285" s="116">
        <v>43739</v>
      </c>
      <c r="Y285" s="116">
        <v>45199</v>
      </c>
    </row>
    <row r="286" s="85" customFormat="1" customHeight="1" spans="1:25">
      <c r="A286" s="160" t="s">
        <v>61</v>
      </c>
      <c r="B286" s="98" t="s">
        <v>62</v>
      </c>
      <c r="C286" s="98" t="s">
        <v>238</v>
      </c>
      <c r="D286" s="24" t="s">
        <v>64</v>
      </c>
      <c r="E286" s="162" t="s">
        <v>553</v>
      </c>
      <c r="F286" s="160" t="s">
        <v>554</v>
      </c>
      <c r="G286" s="25" t="s">
        <v>88</v>
      </c>
      <c r="H286" s="99" t="s">
        <v>555</v>
      </c>
      <c r="I286" s="46" t="e">
        <f>VLOOKUP(H286,'合同高级查询数据-4月返'!A:A,1,FALSE)</f>
        <v>#N/A</v>
      </c>
      <c r="J286" s="25" t="s">
        <v>90</v>
      </c>
      <c r="K286" s="106" t="s">
        <v>556</v>
      </c>
      <c r="L286" s="107"/>
      <c r="M286" s="49" t="s">
        <v>557</v>
      </c>
      <c r="N286" s="73" t="s">
        <v>563</v>
      </c>
      <c r="O286" s="107" t="s">
        <v>564</v>
      </c>
      <c r="P286" s="164">
        <v>13600</v>
      </c>
      <c r="Q286" s="164">
        <v>2</v>
      </c>
      <c r="R286" s="118">
        <f t="shared" si="14"/>
        <v>27200</v>
      </c>
      <c r="S286" s="115">
        <v>202304</v>
      </c>
      <c r="T286" s="119" t="s">
        <v>565</v>
      </c>
      <c r="U286" s="166"/>
      <c r="V286" s="165"/>
      <c r="W286" s="165"/>
      <c r="X286" s="116">
        <v>43739</v>
      </c>
      <c r="Y286" s="116">
        <v>45199</v>
      </c>
    </row>
    <row r="287" s="85" customFormat="1" customHeight="1" spans="1:25">
      <c r="A287" s="160" t="s">
        <v>61</v>
      </c>
      <c r="B287" s="98" t="s">
        <v>62</v>
      </c>
      <c r="C287" s="98" t="s">
        <v>238</v>
      </c>
      <c r="D287" s="24" t="s">
        <v>64</v>
      </c>
      <c r="E287" s="162" t="s">
        <v>553</v>
      </c>
      <c r="F287" s="160" t="s">
        <v>554</v>
      </c>
      <c r="G287" s="25" t="s">
        <v>88</v>
      </c>
      <c r="H287" s="99" t="s">
        <v>555</v>
      </c>
      <c r="I287" s="46" t="e">
        <f>VLOOKUP(H287,'合同高级查询数据-4月返'!A:A,1,FALSE)</f>
        <v>#N/A</v>
      </c>
      <c r="J287" s="25" t="s">
        <v>90</v>
      </c>
      <c r="K287" s="106" t="s">
        <v>556</v>
      </c>
      <c r="L287" s="107"/>
      <c r="M287" s="49" t="s">
        <v>557</v>
      </c>
      <c r="N287" s="73" t="s">
        <v>558</v>
      </c>
      <c r="O287" s="107" t="s">
        <v>92</v>
      </c>
      <c r="P287" s="164">
        <v>5100</v>
      </c>
      <c r="Q287" s="164">
        <v>1</v>
      </c>
      <c r="R287" s="118">
        <f t="shared" si="14"/>
        <v>5100</v>
      </c>
      <c r="S287" s="115">
        <v>202304</v>
      </c>
      <c r="T287" s="119"/>
      <c r="U287" s="166"/>
      <c r="V287" s="165"/>
      <c r="W287" s="165"/>
      <c r="X287" s="116">
        <v>43739</v>
      </c>
      <c r="Y287" s="116">
        <v>45199</v>
      </c>
    </row>
    <row r="288" s="85" customFormat="1" customHeight="1" spans="1:25">
      <c r="A288" s="160" t="s">
        <v>61</v>
      </c>
      <c r="B288" s="98" t="s">
        <v>62</v>
      </c>
      <c r="C288" s="98" t="s">
        <v>238</v>
      </c>
      <c r="D288" s="24" t="s">
        <v>64</v>
      </c>
      <c r="E288" s="162" t="s">
        <v>553</v>
      </c>
      <c r="F288" s="160" t="s">
        <v>554</v>
      </c>
      <c r="G288" s="25" t="s">
        <v>88</v>
      </c>
      <c r="H288" s="99" t="s">
        <v>555</v>
      </c>
      <c r="I288" s="46" t="e">
        <f>VLOOKUP(H288,'合同高级查询数据-4月返'!A:A,1,FALSE)</f>
        <v>#N/A</v>
      </c>
      <c r="J288" s="25" t="s">
        <v>90</v>
      </c>
      <c r="K288" s="106" t="s">
        <v>556</v>
      </c>
      <c r="L288" s="107"/>
      <c r="M288" s="49" t="s">
        <v>557</v>
      </c>
      <c r="N288" s="73">
        <v>41991</v>
      </c>
      <c r="O288" s="107" t="s">
        <v>566</v>
      </c>
      <c r="P288" s="164">
        <v>15300</v>
      </c>
      <c r="Q288" s="164">
        <v>3</v>
      </c>
      <c r="R288" s="118">
        <f t="shared" si="14"/>
        <v>45900</v>
      </c>
      <c r="S288" s="115">
        <v>202304</v>
      </c>
      <c r="T288" s="119" t="s">
        <v>567</v>
      </c>
      <c r="U288" s="166"/>
      <c r="V288" s="165"/>
      <c r="W288" s="165"/>
      <c r="X288" s="116">
        <v>43739</v>
      </c>
      <c r="Y288" s="116">
        <v>45199</v>
      </c>
    </row>
    <row r="289" s="85" customFormat="1" customHeight="1" spans="1:25">
      <c r="A289" s="160" t="s">
        <v>61</v>
      </c>
      <c r="B289" s="98" t="s">
        <v>62</v>
      </c>
      <c r="C289" s="98" t="s">
        <v>238</v>
      </c>
      <c r="D289" s="24" t="s">
        <v>64</v>
      </c>
      <c r="E289" s="162" t="s">
        <v>553</v>
      </c>
      <c r="F289" s="160" t="s">
        <v>554</v>
      </c>
      <c r="G289" s="25" t="s">
        <v>88</v>
      </c>
      <c r="H289" s="99" t="s">
        <v>555</v>
      </c>
      <c r="I289" s="46" t="e">
        <f>VLOOKUP(H289,'合同高级查询数据-4月返'!A:A,1,FALSE)</f>
        <v>#N/A</v>
      </c>
      <c r="J289" s="25" t="s">
        <v>90</v>
      </c>
      <c r="K289" s="106" t="s">
        <v>556</v>
      </c>
      <c r="L289" s="107"/>
      <c r="M289" s="49" t="s">
        <v>557</v>
      </c>
      <c r="N289" s="73">
        <v>41642</v>
      </c>
      <c r="O289" s="107" t="s">
        <v>568</v>
      </c>
      <c r="P289" s="164">
        <v>35700</v>
      </c>
      <c r="Q289" s="164">
        <v>2</v>
      </c>
      <c r="R289" s="118">
        <f t="shared" si="14"/>
        <v>71400</v>
      </c>
      <c r="S289" s="115">
        <v>202304</v>
      </c>
      <c r="T289" s="119" t="s">
        <v>569</v>
      </c>
      <c r="U289" s="166"/>
      <c r="V289" s="165"/>
      <c r="W289" s="165"/>
      <c r="X289" s="116">
        <v>43739</v>
      </c>
      <c r="Y289" s="116">
        <v>45199</v>
      </c>
    </row>
    <row r="290" s="85" customFormat="1" customHeight="1" spans="1:25">
      <c r="A290" s="160" t="s">
        <v>61</v>
      </c>
      <c r="B290" s="98" t="s">
        <v>62</v>
      </c>
      <c r="C290" s="98" t="s">
        <v>238</v>
      </c>
      <c r="D290" s="24" t="s">
        <v>64</v>
      </c>
      <c r="E290" s="162" t="s">
        <v>553</v>
      </c>
      <c r="F290" s="160" t="s">
        <v>554</v>
      </c>
      <c r="G290" s="25" t="s">
        <v>88</v>
      </c>
      <c r="H290" s="99" t="s">
        <v>555</v>
      </c>
      <c r="I290" s="46" t="e">
        <f>VLOOKUP(H290,'合同高级查询数据-4月返'!A:A,1,FALSE)</f>
        <v>#N/A</v>
      </c>
      <c r="J290" s="25" t="s">
        <v>90</v>
      </c>
      <c r="K290" s="106" t="s">
        <v>556</v>
      </c>
      <c r="L290" s="107"/>
      <c r="M290" s="49" t="s">
        <v>557</v>
      </c>
      <c r="N290" s="73" t="s">
        <v>558</v>
      </c>
      <c r="O290" s="107" t="s">
        <v>561</v>
      </c>
      <c r="P290" s="164">
        <v>10200</v>
      </c>
      <c r="Q290" s="164">
        <v>8</v>
      </c>
      <c r="R290" s="118">
        <f t="shared" si="14"/>
        <v>81600</v>
      </c>
      <c r="S290" s="115">
        <v>202304</v>
      </c>
      <c r="T290" s="119" t="s">
        <v>570</v>
      </c>
      <c r="U290" s="166"/>
      <c r="V290" s="165"/>
      <c r="W290" s="165"/>
      <c r="X290" s="116">
        <v>43739</v>
      </c>
      <c r="Y290" s="116">
        <v>45199</v>
      </c>
    </row>
    <row r="291" s="85" customFormat="1" customHeight="1" spans="1:25">
      <c r="A291" s="160" t="s">
        <v>61</v>
      </c>
      <c r="B291" s="98" t="s">
        <v>62</v>
      </c>
      <c r="C291" s="98" t="s">
        <v>238</v>
      </c>
      <c r="D291" s="24" t="s">
        <v>64</v>
      </c>
      <c r="E291" s="162" t="s">
        <v>553</v>
      </c>
      <c r="F291" s="160" t="s">
        <v>554</v>
      </c>
      <c r="G291" s="25" t="s">
        <v>88</v>
      </c>
      <c r="H291" s="99" t="s">
        <v>555</v>
      </c>
      <c r="I291" s="46" t="e">
        <f>VLOOKUP(H291,'合同高级查询数据-4月返'!A:A,1,FALSE)</f>
        <v>#N/A</v>
      </c>
      <c r="J291" s="25" t="s">
        <v>90</v>
      </c>
      <c r="K291" s="106" t="s">
        <v>556</v>
      </c>
      <c r="L291" s="107"/>
      <c r="M291" s="49" t="s">
        <v>557</v>
      </c>
      <c r="N291" s="73" t="s">
        <v>558</v>
      </c>
      <c r="O291" s="107" t="s">
        <v>92</v>
      </c>
      <c r="P291" s="164">
        <v>5100</v>
      </c>
      <c r="Q291" s="164">
        <v>6</v>
      </c>
      <c r="R291" s="118">
        <f t="shared" si="14"/>
        <v>30600</v>
      </c>
      <c r="S291" s="115">
        <v>202304</v>
      </c>
      <c r="T291" s="119"/>
      <c r="U291" s="166"/>
      <c r="V291" s="165"/>
      <c r="W291" s="165"/>
      <c r="X291" s="116">
        <v>43739</v>
      </c>
      <c r="Y291" s="116">
        <v>45199</v>
      </c>
    </row>
    <row r="292" s="85" customFormat="1" customHeight="1" spans="1:25">
      <c r="A292" s="160" t="s">
        <v>61</v>
      </c>
      <c r="B292" s="98" t="s">
        <v>62</v>
      </c>
      <c r="C292" s="98" t="s">
        <v>238</v>
      </c>
      <c r="D292" s="24" t="s">
        <v>64</v>
      </c>
      <c r="E292" s="162" t="s">
        <v>553</v>
      </c>
      <c r="F292" s="160" t="s">
        <v>554</v>
      </c>
      <c r="G292" s="25" t="s">
        <v>88</v>
      </c>
      <c r="H292" s="99" t="s">
        <v>555</v>
      </c>
      <c r="I292" s="46" t="e">
        <f>VLOOKUP(H292,'合同高级查询数据-4月返'!A:A,1,FALSE)</f>
        <v>#N/A</v>
      </c>
      <c r="J292" s="25" t="s">
        <v>571</v>
      </c>
      <c r="K292" s="106" t="s">
        <v>556</v>
      </c>
      <c r="L292" s="107"/>
      <c r="M292" s="49" t="s">
        <v>557</v>
      </c>
      <c r="N292" s="73"/>
      <c r="O292" s="107" t="s">
        <v>566</v>
      </c>
      <c r="P292" s="164">
        <v>15300</v>
      </c>
      <c r="Q292" s="164">
        <v>1</v>
      </c>
      <c r="R292" s="118">
        <f t="shared" si="14"/>
        <v>15300</v>
      </c>
      <c r="S292" s="115">
        <v>202304</v>
      </c>
      <c r="T292" s="119" t="s">
        <v>572</v>
      </c>
      <c r="U292" s="166"/>
      <c r="V292" s="165"/>
      <c r="W292" s="165"/>
      <c r="X292" s="116">
        <v>43739</v>
      </c>
      <c r="Y292" s="116">
        <v>45199</v>
      </c>
    </row>
    <row r="293" s="85" customFormat="1" customHeight="1" spans="1:25">
      <c r="A293" s="160" t="s">
        <v>61</v>
      </c>
      <c r="B293" s="98" t="s">
        <v>62</v>
      </c>
      <c r="C293" s="98" t="s">
        <v>238</v>
      </c>
      <c r="D293" s="24" t="s">
        <v>64</v>
      </c>
      <c r="E293" s="162" t="s">
        <v>553</v>
      </c>
      <c r="F293" s="160" t="s">
        <v>554</v>
      </c>
      <c r="G293" s="25" t="s">
        <v>88</v>
      </c>
      <c r="H293" s="99" t="s">
        <v>555</v>
      </c>
      <c r="I293" s="46" t="e">
        <f>VLOOKUP(H293,'合同高级查询数据-4月返'!A:A,1,FALSE)</f>
        <v>#N/A</v>
      </c>
      <c r="J293" s="25" t="s">
        <v>571</v>
      </c>
      <c r="K293" s="106" t="s">
        <v>556</v>
      </c>
      <c r="L293" s="107"/>
      <c r="M293" s="49" t="s">
        <v>557</v>
      </c>
      <c r="N293" s="73">
        <v>43717</v>
      </c>
      <c r="O293" s="107" t="s">
        <v>507</v>
      </c>
      <c r="P293" s="164">
        <v>14960</v>
      </c>
      <c r="Q293" s="164">
        <v>2</v>
      </c>
      <c r="R293" s="118">
        <f t="shared" si="14"/>
        <v>29920</v>
      </c>
      <c r="S293" s="115">
        <v>202304</v>
      </c>
      <c r="T293" s="119" t="s">
        <v>573</v>
      </c>
      <c r="U293" s="166"/>
      <c r="V293" s="165"/>
      <c r="W293" s="165"/>
      <c r="X293" s="116">
        <v>43739</v>
      </c>
      <c r="Y293" s="116">
        <v>45199</v>
      </c>
    </row>
    <row r="294" s="85" customFormat="1" customHeight="1" spans="1:25">
      <c r="A294" s="160" t="s">
        <v>61</v>
      </c>
      <c r="B294" s="98" t="s">
        <v>62</v>
      </c>
      <c r="C294" s="98" t="s">
        <v>238</v>
      </c>
      <c r="D294" s="24" t="s">
        <v>64</v>
      </c>
      <c r="E294" s="162" t="s">
        <v>553</v>
      </c>
      <c r="F294" s="160" t="s">
        <v>554</v>
      </c>
      <c r="G294" s="25" t="s">
        <v>88</v>
      </c>
      <c r="H294" s="99" t="s">
        <v>555</v>
      </c>
      <c r="I294" s="46" t="e">
        <f>VLOOKUP(H294,'合同高级查询数据-4月返'!A:A,1,FALSE)</f>
        <v>#N/A</v>
      </c>
      <c r="J294" s="25" t="s">
        <v>571</v>
      </c>
      <c r="K294" s="106" t="s">
        <v>556</v>
      </c>
      <c r="L294" s="107"/>
      <c r="M294" s="49" t="s">
        <v>557</v>
      </c>
      <c r="N294" s="73">
        <v>44022</v>
      </c>
      <c r="O294" s="107" t="s">
        <v>574</v>
      </c>
      <c r="P294" s="164">
        <v>23375</v>
      </c>
      <c r="Q294" s="164">
        <v>1</v>
      </c>
      <c r="R294" s="118">
        <f t="shared" si="14"/>
        <v>23375</v>
      </c>
      <c r="S294" s="115">
        <v>202304</v>
      </c>
      <c r="T294" s="119" t="s">
        <v>575</v>
      </c>
      <c r="U294" s="166"/>
      <c r="V294" s="165"/>
      <c r="W294" s="165"/>
      <c r="X294" s="116">
        <v>43739</v>
      </c>
      <c r="Y294" s="116">
        <v>45199</v>
      </c>
    </row>
    <row r="295" s="85" customFormat="1" customHeight="1" spans="1:25">
      <c r="A295" s="160" t="s">
        <v>61</v>
      </c>
      <c r="B295" s="98" t="s">
        <v>62</v>
      </c>
      <c r="C295" s="98" t="s">
        <v>238</v>
      </c>
      <c r="D295" s="24" t="s">
        <v>64</v>
      </c>
      <c r="E295" s="162" t="s">
        <v>553</v>
      </c>
      <c r="F295" s="160" t="s">
        <v>554</v>
      </c>
      <c r="G295" s="25" t="s">
        <v>88</v>
      </c>
      <c r="H295" s="99" t="s">
        <v>555</v>
      </c>
      <c r="I295" s="46" t="e">
        <f>VLOOKUP(H295,'合同高级查询数据-4月返'!A:A,1,FALSE)</f>
        <v>#N/A</v>
      </c>
      <c r="J295" s="25" t="s">
        <v>571</v>
      </c>
      <c r="K295" s="106" t="s">
        <v>556</v>
      </c>
      <c r="L295" s="107"/>
      <c r="M295" s="49" t="s">
        <v>557</v>
      </c>
      <c r="N295" s="73">
        <v>44077</v>
      </c>
      <c r="O295" s="107" t="s">
        <v>507</v>
      </c>
      <c r="P295" s="164">
        <v>14960</v>
      </c>
      <c r="Q295" s="164">
        <v>4</v>
      </c>
      <c r="R295" s="118">
        <f t="shared" si="14"/>
        <v>59840</v>
      </c>
      <c r="S295" s="115">
        <v>202304</v>
      </c>
      <c r="T295" s="119" t="s">
        <v>576</v>
      </c>
      <c r="U295" s="166"/>
      <c r="V295" s="165"/>
      <c r="W295" s="165"/>
      <c r="X295" s="116">
        <v>43739</v>
      </c>
      <c r="Y295" s="116">
        <v>45199</v>
      </c>
    </row>
    <row r="296" s="85" customFormat="1" customHeight="1" spans="1:25">
      <c r="A296" s="160" t="s">
        <v>61</v>
      </c>
      <c r="B296" s="98" t="s">
        <v>62</v>
      </c>
      <c r="C296" s="98" t="s">
        <v>238</v>
      </c>
      <c r="D296" s="24" t="s">
        <v>64</v>
      </c>
      <c r="E296" s="162" t="s">
        <v>553</v>
      </c>
      <c r="F296" s="160" t="s">
        <v>554</v>
      </c>
      <c r="G296" s="25" t="s">
        <v>88</v>
      </c>
      <c r="H296" s="99" t="s">
        <v>555</v>
      </c>
      <c r="I296" s="46" t="e">
        <f>VLOOKUP(H296,'合同高级查询数据-4月返'!A:A,1,FALSE)</f>
        <v>#N/A</v>
      </c>
      <c r="J296" s="25" t="s">
        <v>571</v>
      </c>
      <c r="K296" s="106" t="s">
        <v>556</v>
      </c>
      <c r="L296" s="107"/>
      <c r="M296" s="49" t="s">
        <v>557</v>
      </c>
      <c r="N296" s="73">
        <v>44180</v>
      </c>
      <c r="O296" s="107" t="s">
        <v>574</v>
      </c>
      <c r="P296" s="164">
        <v>23375</v>
      </c>
      <c r="Q296" s="164">
        <v>1</v>
      </c>
      <c r="R296" s="118">
        <f t="shared" si="14"/>
        <v>23375</v>
      </c>
      <c r="S296" s="115">
        <v>202304</v>
      </c>
      <c r="T296" s="119" t="s">
        <v>577</v>
      </c>
      <c r="U296" s="166"/>
      <c r="V296" s="165"/>
      <c r="W296" s="165"/>
      <c r="X296" s="116">
        <v>43739</v>
      </c>
      <c r="Y296" s="116">
        <v>45199</v>
      </c>
    </row>
    <row r="297" s="85" customFormat="1" customHeight="1" spans="1:25">
      <c r="A297" s="160" t="s">
        <v>61</v>
      </c>
      <c r="B297" s="98" t="s">
        <v>62</v>
      </c>
      <c r="C297" s="98" t="s">
        <v>238</v>
      </c>
      <c r="D297" s="24" t="s">
        <v>64</v>
      </c>
      <c r="E297" s="162" t="s">
        <v>553</v>
      </c>
      <c r="F297" s="160" t="s">
        <v>554</v>
      </c>
      <c r="G297" s="25" t="s">
        <v>88</v>
      </c>
      <c r="H297" s="99" t="s">
        <v>555</v>
      </c>
      <c r="I297" s="46" t="e">
        <f>VLOOKUP(H297,'合同高级查询数据-4月返'!A:A,1,FALSE)</f>
        <v>#N/A</v>
      </c>
      <c r="J297" s="25" t="s">
        <v>571</v>
      </c>
      <c r="K297" s="106" t="s">
        <v>556</v>
      </c>
      <c r="L297" s="107"/>
      <c r="M297" s="49" t="s">
        <v>557</v>
      </c>
      <c r="N297" s="73">
        <v>44286</v>
      </c>
      <c r="O297" s="107" t="s">
        <v>507</v>
      </c>
      <c r="P297" s="164">
        <v>14960</v>
      </c>
      <c r="Q297" s="164">
        <v>1</v>
      </c>
      <c r="R297" s="118">
        <f t="shared" si="14"/>
        <v>14960</v>
      </c>
      <c r="S297" s="115">
        <v>202304</v>
      </c>
      <c r="T297" s="119" t="s">
        <v>578</v>
      </c>
      <c r="U297" s="166"/>
      <c r="V297" s="165"/>
      <c r="W297" s="165"/>
      <c r="X297" s="116">
        <v>43739</v>
      </c>
      <c r="Y297" s="116">
        <v>45199</v>
      </c>
    </row>
    <row r="298" s="85" customFormat="1" customHeight="1" spans="1:25">
      <c r="A298" s="160" t="s">
        <v>61</v>
      </c>
      <c r="B298" s="98" t="s">
        <v>62</v>
      </c>
      <c r="C298" s="98" t="s">
        <v>238</v>
      </c>
      <c r="D298" s="24" t="s">
        <v>64</v>
      </c>
      <c r="E298" s="162" t="s">
        <v>553</v>
      </c>
      <c r="F298" s="160" t="s">
        <v>554</v>
      </c>
      <c r="G298" s="25" t="s">
        <v>88</v>
      </c>
      <c r="H298" s="99" t="s">
        <v>555</v>
      </c>
      <c r="I298" s="46" t="e">
        <f>VLOOKUP(H298,'合同高级查询数据-4月返'!A:A,1,FALSE)</f>
        <v>#N/A</v>
      </c>
      <c r="J298" s="25" t="s">
        <v>571</v>
      </c>
      <c r="K298" s="106" t="s">
        <v>556</v>
      </c>
      <c r="L298" s="107"/>
      <c r="M298" s="49" t="s">
        <v>557</v>
      </c>
      <c r="N298" s="73">
        <v>44421</v>
      </c>
      <c r="O298" s="107" t="s">
        <v>559</v>
      </c>
      <c r="P298" s="164">
        <v>27200</v>
      </c>
      <c r="Q298" s="164">
        <v>-1</v>
      </c>
      <c r="R298" s="118">
        <f t="shared" si="14"/>
        <v>-27200</v>
      </c>
      <c r="S298" s="115">
        <v>202304</v>
      </c>
      <c r="T298" s="119" t="s">
        <v>560</v>
      </c>
      <c r="U298" s="166"/>
      <c r="V298" s="165"/>
      <c r="W298" s="165"/>
      <c r="X298" s="116">
        <v>43739</v>
      </c>
      <c r="Y298" s="116">
        <v>45199</v>
      </c>
    </row>
    <row r="299" s="85" customFormat="1" customHeight="1" spans="1:25">
      <c r="A299" s="160" t="s">
        <v>61</v>
      </c>
      <c r="B299" s="98" t="s">
        <v>62</v>
      </c>
      <c r="C299" s="98" t="s">
        <v>238</v>
      </c>
      <c r="D299" s="24" t="s">
        <v>64</v>
      </c>
      <c r="E299" s="162" t="s">
        <v>553</v>
      </c>
      <c r="F299" s="160" t="s">
        <v>554</v>
      </c>
      <c r="G299" s="25" t="s">
        <v>88</v>
      </c>
      <c r="H299" s="99" t="s">
        <v>555</v>
      </c>
      <c r="I299" s="46" t="e">
        <f>VLOOKUP(H299,'合同高级查询数据-4月返'!A:A,1,FALSE)</f>
        <v>#N/A</v>
      </c>
      <c r="J299" s="25" t="s">
        <v>90</v>
      </c>
      <c r="K299" s="106" t="s">
        <v>556</v>
      </c>
      <c r="L299" s="107"/>
      <c r="M299" s="49" t="s">
        <v>557</v>
      </c>
      <c r="N299" s="73">
        <v>44421</v>
      </c>
      <c r="O299" s="107" t="s">
        <v>561</v>
      </c>
      <c r="P299" s="164">
        <v>10200</v>
      </c>
      <c r="Q299" s="164">
        <v>-2</v>
      </c>
      <c r="R299" s="118">
        <f t="shared" si="14"/>
        <v>-20400</v>
      </c>
      <c r="S299" s="115">
        <v>202304</v>
      </c>
      <c r="T299" s="119" t="s">
        <v>579</v>
      </c>
      <c r="U299" s="166"/>
      <c r="V299" s="165"/>
      <c r="W299" s="165"/>
      <c r="X299" s="116">
        <v>43739</v>
      </c>
      <c r="Y299" s="116">
        <v>45199</v>
      </c>
    </row>
    <row r="300" s="85" customFormat="1" customHeight="1" spans="1:25">
      <c r="A300" s="160" t="s">
        <v>61</v>
      </c>
      <c r="B300" s="98" t="s">
        <v>62</v>
      </c>
      <c r="C300" s="98" t="s">
        <v>238</v>
      </c>
      <c r="D300" s="24" t="s">
        <v>64</v>
      </c>
      <c r="E300" s="162" t="s">
        <v>553</v>
      </c>
      <c r="F300" s="160" t="s">
        <v>554</v>
      </c>
      <c r="G300" s="25" t="s">
        <v>88</v>
      </c>
      <c r="H300" s="99" t="s">
        <v>555</v>
      </c>
      <c r="I300" s="46" t="e">
        <f>VLOOKUP(H300,'合同高级查询数据-4月返'!A:A,1,FALSE)</f>
        <v>#N/A</v>
      </c>
      <c r="J300" s="25" t="s">
        <v>571</v>
      </c>
      <c r="K300" s="106" t="s">
        <v>556</v>
      </c>
      <c r="L300" s="107"/>
      <c r="M300" s="49" t="s">
        <v>557</v>
      </c>
      <c r="N300" s="73">
        <v>44462</v>
      </c>
      <c r="O300" s="107" t="s">
        <v>507</v>
      </c>
      <c r="P300" s="164">
        <v>14960</v>
      </c>
      <c r="Q300" s="164">
        <v>3</v>
      </c>
      <c r="R300" s="118">
        <f t="shared" si="14"/>
        <v>44880</v>
      </c>
      <c r="S300" s="115">
        <v>202304</v>
      </c>
      <c r="T300" s="119" t="s">
        <v>580</v>
      </c>
      <c r="U300" s="166"/>
      <c r="V300" s="165"/>
      <c r="W300" s="165"/>
      <c r="X300" s="116">
        <v>43739</v>
      </c>
      <c r="Y300" s="116">
        <v>45199</v>
      </c>
    </row>
    <row r="301" s="85" customFormat="1" customHeight="1" spans="1:25">
      <c r="A301" s="160" t="s">
        <v>61</v>
      </c>
      <c r="B301" s="98" t="s">
        <v>62</v>
      </c>
      <c r="C301" s="98" t="s">
        <v>238</v>
      </c>
      <c r="D301" s="24" t="s">
        <v>64</v>
      </c>
      <c r="E301" s="162" t="s">
        <v>553</v>
      </c>
      <c r="F301" s="160" t="s">
        <v>554</v>
      </c>
      <c r="G301" s="25" t="s">
        <v>88</v>
      </c>
      <c r="H301" s="99" t="s">
        <v>581</v>
      </c>
      <c r="I301" s="46" t="e">
        <f>VLOOKUP(H301,'合同高级查询数据-4月返'!A:A,1,FALSE)</f>
        <v>#N/A</v>
      </c>
      <c r="J301" s="25" t="s">
        <v>571</v>
      </c>
      <c r="K301" s="106" t="s">
        <v>556</v>
      </c>
      <c r="L301" s="107"/>
      <c r="M301" s="49" t="s">
        <v>582</v>
      </c>
      <c r="N301" s="73" t="s">
        <v>558</v>
      </c>
      <c r="O301" s="107" t="s">
        <v>503</v>
      </c>
      <c r="P301" s="164">
        <v>6300</v>
      </c>
      <c r="Q301" s="164">
        <v>292</v>
      </c>
      <c r="R301" s="118">
        <f t="shared" si="14"/>
        <v>1839600</v>
      </c>
      <c r="S301" s="115">
        <v>202304</v>
      </c>
      <c r="T301" s="119"/>
      <c r="U301" s="166"/>
      <c r="V301" s="165"/>
      <c r="W301" s="165"/>
      <c r="X301" s="116">
        <v>44378</v>
      </c>
      <c r="Y301" s="116">
        <v>44592</v>
      </c>
    </row>
    <row r="302" s="85" customFormat="1" customHeight="1" spans="1:25">
      <c r="A302" s="160" t="s">
        <v>61</v>
      </c>
      <c r="B302" s="98" t="s">
        <v>62</v>
      </c>
      <c r="C302" s="98" t="s">
        <v>238</v>
      </c>
      <c r="D302" s="24" t="s">
        <v>64</v>
      </c>
      <c r="E302" s="162" t="s">
        <v>553</v>
      </c>
      <c r="F302" s="160" t="s">
        <v>554</v>
      </c>
      <c r="G302" s="25" t="s">
        <v>88</v>
      </c>
      <c r="H302" s="99" t="s">
        <v>581</v>
      </c>
      <c r="I302" s="46" t="e">
        <f>VLOOKUP(H302,'合同高级查询数据-4月返'!A:A,1,FALSE)</f>
        <v>#N/A</v>
      </c>
      <c r="J302" s="25" t="s">
        <v>571</v>
      </c>
      <c r="K302" s="106" t="s">
        <v>556</v>
      </c>
      <c r="L302" s="107"/>
      <c r="M302" s="49" t="s">
        <v>582</v>
      </c>
      <c r="N302" s="73">
        <v>44582</v>
      </c>
      <c r="O302" s="107" t="s">
        <v>503</v>
      </c>
      <c r="P302" s="164">
        <v>6300</v>
      </c>
      <c r="Q302" s="164">
        <v>-292</v>
      </c>
      <c r="R302" s="118">
        <f t="shared" si="14"/>
        <v>-1839600</v>
      </c>
      <c r="S302" s="115">
        <v>202304</v>
      </c>
      <c r="T302" s="119" t="s">
        <v>583</v>
      </c>
      <c r="U302" s="166"/>
      <c r="V302" s="165"/>
      <c r="W302" s="165"/>
      <c r="X302" s="116">
        <v>44378</v>
      </c>
      <c r="Y302" s="116">
        <v>44592</v>
      </c>
    </row>
    <row r="303" s="85" customFormat="1" customHeight="1" spans="1:25">
      <c r="A303" s="160" t="s">
        <v>61</v>
      </c>
      <c r="B303" s="98" t="s">
        <v>62</v>
      </c>
      <c r="C303" s="98" t="s">
        <v>238</v>
      </c>
      <c r="D303" s="24" t="s">
        <v>64</v>
      </c>
      <c r="E303" s="162" t="s">
        <v>553</v>
      </c>
      <c r="F303" s="160" t="s">
        <v>554</v>
      </c>
      <c r="G303" s="25" t="s">
        <v>88</v>
      </c>
      <c r="H303" s="99" t="s">
        <v>581</v>
      </c>
      <c r="I303" s="46" t="e">
        <f>VLOOKUP(H303,'合同高级查询数据-4月返'!A:A,1,FALSE)</f>
        <v>#N/A</v>
      </c>
      <c r="J303" s="25" t="s">
        <v>357</v>
      </c>
      <c r="K303" s="106" t="s">
        <v>556</v>
      </c>
      <c r="L303" s="107"/>
      <c r="M303" s="49" t="s">
        <v>582</v>
      </c>
      <c r="N303" s="73"/>
      <c r="O303" s="107" t="s">
        <v>584</v>
      </c>
      <c r="P303" s="164">
        <v>315</v>
      </c>
      <c r="Q303" s="164">
        <v>0</v>
      </c>
      <c r="R303" s="118">
        <f t="shared" si="14"/>
        <v>0</v>
      </c>
      <c r="S303" s="115">
        <v>202304</v>
      </c>
      <c r="T303" s="119" t="s">
        <v>585</v>
      </c>
      <c r="U303" s="166"/>
      <c r="V303" s="165"/>
      <c r="W303" s="165"/>
      <c r="X303" s="116">
        <v>44378</v>
      </c>
      <c r="Y303" s="116">
        <v>44592</v>
      </c>
    </row>
    <row r="304" s="86" customFormat="1" customHeight="1" spans="1:25">
      <c r="A304" s="134" t="s">
        <v>61</v>
      </c>
      <c r="B304" s="135" t="s">
        <v>62</v>
      </c>
      <c r="C304" s="135" t="s">
        <v>238</v>
      </c>
      <c r="D304" s="11" t="s">
        <v>64</v>
      </c>
      <c r="E304" s="136" t="s">
        <v>553</v>
      </c>
      <c r="F304" s="134" t="s">
        <v>554</v>
      </c>
      <c r="G304" s="110" t="s">
        <v>88</v>
      </c>
      <c r="H304" s="152" t="s">
        <v>586</v>
      </c>
      <c r="I304" s="30" t="e">
        <f>VLOOKUP(H304,'合同高级查询数据-4月返'!A:A,1,FALSE)</f>
        <v>#N/A</v>
      </c>
      <c r="J304" s="110" t="s">
        <v>90</v>
      </c>
      <c r="K304" s="141" t="s">
        <v>556</v>
      </c>
      <c r="L304" s="142"/>
      <c r="M304" s="113" t="s">
        <v>582</v>
      </c>
      <c r="N304" s="146">
        <v>44743</v>
      </c>
      <c r="O304" s="142" t="s">
        <v>503</v>
      </c>
      <c r="P304" s="145">
        <v>6300</v>
      </c>
      <c r="Q304" s="145">
        <v>4</v>
      </c>
      <c r="R304" s="130">
        <f t="shared" si="14"/>
        <v>25200</v>
      </c>
      <c r="S304" s="127">
        <v>202304</v>
      </c>
      <c r="T304" s="150" t="s">
        <v>587</v>
      </c>
      <c r="U304" s="148"/>
      <c r="V304" s="149"/>
      <c r="W304" s="149"/>
      <c r="X304" s="131"/>
      <c r="Y304" s="131"/>
    </row>
    <row r="305" s="86" customFormat="1" customHeight="1" spans="1:25">
      <c r="A305" s="134" t="s">
        <v>61</v>
      </c>
      <c r="B305" s="135" t="s">
        <v>62</v>
      </c>
      <c r="C305" s="135" t="s">
        <v>238</v>
      </c>
      <c r="D305" s="11" t="s">
        <v>64</v>
      </c>
      <c r="E305" s="136" t="s">
        <v>553</v>
      </c>
      <c r="F305" s="134" t="s">
        <v>554</v>
      </c>
      <c r="G305" s="110" t="s">
        <v>88</v>
      </c>
      <c r="H305" s="152" t="s">
        <v>586</v>
      </c>
      <c r="I305" s="30" t="e">
        <f>VLOOKUP(H305,'合同高级查询数据-4月返'!A:A,1,FALSE)</f>
        <v>#N/A</v>
      </c>
      <c r="J305" s="110" t="s">
        <v>90</v>
      </c>
      <c r="K305" s="141" t="s">
        <v>556</v>
      </c>
      <c r="L305" s="142"/>
      <c r="M305" s="113" t="s">
        <v>582</v>
      </c>
      <c r="N305" s="146">
        <v>44776</v>
      </c>
      <c r="O305" s="142" t="s">
        <v>503</v>
      </c>
      <c r="P305" s="145">
        <v>6300</v>
      </c>
      <c r="Q305" s="145">
        <v>1</v>
      </c>
      <c r="R305" s="130">
        <f t="shared" si="14"/>
        <v>6300</v>
      </c>
      <c r="S305" s="127">
        <v>202304</v>
      </c>
      <c r="T305" s="150" t="s">
        <v>588</v>
      </c>
      <c r="U305" s="148"/>
      <c r="V305" s="149"/>
      <c r="W305" s="149"/>
      <c r="X305" s="131"/>
      <c r="Y305" s="131"/>
    </row>
    <row r="306" s="86" customFormat="1" customHeight="1" spans="1:25">
      <c r="A306" s="134" t="s">
        <v>61</v>
      </c>
      <c r="B306" s="135" t="s">
        <v>62</v>
      </c>
      <c r="C306" s="135" t="s">
        <v>238</v>
      </c>
      <c r="D306" s="11" t="s">
        <v>64</v>
      </c>
      <c r="E306" s="136" t="s">
        <v>553</v>
      </c>
      <c r="F306" s="134" t="s">
        <v>554</v>
      </c>
      <c r="G306" s="110" t="s">
        <v>88</v>
      </c>
      <c r="H306" s="152" t="s">
        <v>586</v>
      </c>
      <c r="I306" s="30" t="e">
        <f>VLOOKUP(H306,'合同高级查询数据-4月返'!A:A,1,FALSE)</f>
        <v>#N/A</v>
      </c>
      <c r="J306" s="110" t="s">
        <v>90</v>
      </c>
      <c r="K306" s="141" t="s">
        <v>556</v>
      </c>
      <c r="L306" s="142"/>
      <c r="M306" s="113" t="s">
        <v>557</v>
      </c>
      <c r="N306" s="146">
        <v>44826</v>
      </c>
      <c r="O306" s="142" t="s">
        <v>503</v>
      </c>
      <c r="P306" s="145">
        <v>6300</v>
      </c>
      <c r="Q306" s="145">
        <v>2</v>
      </c>
      <c r="R306" s="130">
        <f t="shared" si="14"/>
        <v>12600</v>
      </c>
      <c r="S306" s="127">
        <v>202304</v>
      </c>
      <c r="T306" s="150" t="s">
        <v>589</v>
      </c>
      <c r="U306" s="148"/>
      <c r="V306" s="149"/>
      <c r="W306" s="149"/>
      <c r="X306" s="131"/>
      <c r="Y306" s="131"/>
    </row>
    <row r="307" s="85" customFormat="1" customHeight="1" spans="1:25">
      <c r="A307" s="160" t="s">
        <v>61</v>
      </c>
      <c r="B307" s="98" t="s">
        <v>62</v>
      </c>
      <c r="C307" s="98" t="s">
        <v>238</v>
      </c>
      <c r="D307" s="24" t="s">
        <v>64</v>
      </c>
      <c r="E307" s="162" t="s">
        <v>590</v>
      </c>
      <c r="F307" s="160" t="s">
        <v>591</v>
      </c>
      <c r="G307" s="25" t="s">
        <v>88</v>
      </c>
      <c r="H307" s="99" t="s">
        <v>592</v>
      </c>
      <c r="I307" s="46" t="e">
        <f>VLOOKUP(H307,'合同高级查询数据-4月返'!A:A,1,FALSE)</f>
        <v>#N/A</v>
      </c>
      <c r="J307" s="25" t="s">
        <v>90</v>
      </c>
      <c r="K307" s="106" t="s">
        <v>593</v>
      </c>
      <c r="L307" s="107"/>
      <c r="M307" s="49" t="s">
        <v>594</v>
      </c>
      <c r="N307" s="73">
        <v>44484</v>
      </c>
      <c r="O307" s="107" t="s">
        <v>595</v>
      </c>
      <c r="P307" s="164">
        <v>39570</v>
      </c>
      <c r="Q307" s="164">
        <v>2</v>
      </c>
      <c r="R307" s="118">
        <f t="shared" si="14"/>
        <v>79140</v>
      </c>
      <c r="S307" s="115">
        <v>202304</v>
      </c>
      <c r="T307" s="119" t="s">
        <v>596</v>
      </c>
      <c r="U307" s="166"/>
      <c r="V307" s="165"/>
      <c r="W307" s="165"/>
      <c r="X307" s="116">
        <v>44454</v>
      </c>
      <c r="Y307" s="116">
        <v>46279</v>
      </c>
    </row>
    <row r="308" s="85" customFormat="1" customHeight="1" spans="1:25">
      <c r="A308" s="160" t="s">
        <v>61</v>
      </c>
      <c r="B308" s="98" t="s">
        <v>62</v>
      </c>
      <c r="C308" s="98" t="s">
        <v>238</v>
      </c>
      <c r="D308" s="24" t="s">
        <v>64</v>
      </c>
      <c r="E308" s="162" t="s">
        <v>590</v>
      </c>
      <c r="F308" s="160" t="s">
        <v>591</v>
      </c>
      <c r="G308" s="25" t="s">
        <v>88</v>
      </c>
      <c r="H308" s="99" t="s">
        <v>592</v>
      </c>
      <c r="I308" s="46" t="e">
        <f>VLOOKUP(H308,'合同高级查询数据-4月返'!A:A,1,FALSE)</f>
        <v>#N/A</v>
      </c>
      <c r="J308" s="25" t="s">
        <v>90</v>
      </c>
      <c r="K308" s="106" t="s">
        <v>593</v>
      </c>
      <c r="L308" s="107"/>
      <c r="M308" s="49" t="s">
        <v>594</v>
      </c>
      <c r="N308" s="73">
        <v>44484</v>
      </c>
      <c r="O308" s="107" t="s">
        <v>503</v>
      </c>
      <c r="P308" s="164">
        <v>5803.6</v>
      </c>
      <c r="Q308" s="164">
        <v>2</v>
      </c>
      <c r="R308" s="118">
        <f t="shared" si="14"/>
        <v>11607.2</v>
      </c>
      <c r="S308" s="115">
        <v>202304</v>
      </c>
      <c r="T308" s="119" t="s">
        <v>597</v>
      </c>
      <c r="U308" s="166"/>
      <c r="V308" s="165"/>
      <c r="W308" s="165"/>
      <c r="X308" s="116">
        <v>44454</v>
      </c>
      <c r="Y308" s="116">
        <v>46279</v>
      </c>
    </row>
    <row r="309" s="85" customFormat="1" customHeight="1" spans="1:25">
      <c r="A309" s="160" t="s">
        <v>61</v>
      </c>
      <c r="B309" s="98" t="s">
        <v>62</v>
      </c>
      <c r="C309" s="98" t="s">
        <v>238</v>
      </c>
      <c r="D309" s="24" t="s">
        <v>64</v>
      </c>
      <c r="E309" s="162" t="s">
        <v>590</v>
      </c>
      <c r="F309" s="160" t="s">
        <v>591</v>
      </c>
      <c r="G309" s="25" t="s">
        <v>88</v>
      </c>
      <c r="H309" s="99" t="s">
        <v>592</v>
      </c>
      <c r="I309" s="46" t="e">
        <f>VLOOKUP(H309,'合同高级查询数据-4月返'!A:A,1,FALSE)</f>
        <v>#N/A</v>
      </c>
      <c r="J309" s="25" t="s">
        <v>90</v>
      </c>
      <c r="K309" s="106" t="s">
        <v>593</v>
      </c>
      <c r="L309" s="107"/>
      <c r="M309" s="49" t="s">
        <v>594</v>
      </c>
      <c r="N309" s="73">
        <v>44490</v>
      </c>
      <c r="O309" s="107" t="s">
        <v>503</v>
      </c>
      <c r="P309" s="164">
        <v>5803.6</v>
      </c>
      <c r="Q309" s="164">
        <v>6</v>
      </c>
      <c r="R309" s="118">
        <f t="shared" si="14"/>
        <v>34821.6</v>
      </c>
      <c r="S309" s="115">
        <v>202304</v>
      </c>
      <c r="T309" s="119" t="s">
        <v>598</v>
      </c>
      <c r="U309" s="166"/>
      <c r="V309" s="165"/>
      <c r="W309" s="165"/>
      <c r="X309" s="116">
        <v>44454</v>
      </c>
      <c r="Y309" s="116">
        <v>46279</v>
      </c>
    </row>
    <row r="310" s="85" customFormat="1" customHeight="1" spans="1:25">
      <c r="A310" s="160" t="s">
        <v>61</v>
      </c>
      <c r="B310" s="98" t="s">
        <v>62</v>
      </c>
      <c r="C310" s="98" t="s">
        <v>238</v>
      </c>
      <c r="D310" s="24" t="s">
        <v>64</v>
      </c>
      <c r="E310" s="162" t="s">
        <v>590</v>
      </c>
      <c r="F310" s="160" t="s">
        <v>591</v>
      </c>
      <c r="G310" s="25" t="s">
        <v>88</v>
      </c>
      <c r="H310" s="99" t="s">
        <v>592</v>
      </c>
      <c r="I310" s="46" t="e">
        <f>VLOOKUP(H310,'合同高级查询数据-4月返'!A:A,1,FALSE)</f>
        <v>#N/A</v>
      </c>
      <c r="J310" s="25" t="s">
        <v>90</v>
      </c>
      <c r="K310" s="106" t="s">
        <v>593</v>
      </c>
      <c r="L310" s="107"/>
      <c r="M310" s="49" t="s">
        <v>594</v>
      </c>
      <c r="N310" s="73">
        <v>44490</v>
      </c>
      <c r="O310" s="107" t="s">
        <v>566</v>
      </c>
      <c r="P310" s="164">
        <v>11871</v>
      </c>
      <c r="Q310" s="164">
        <v>6</v>
      </c>
      <c r="R310" s="118">
        <f t="shared" si="14"/>
        <v>71226</v>
      </c>
      <c r="S310" s="115">
        <v>202304</v>
      </c>
      <c r="T310" s="119" t="s">
        <v>599</v>
      </c>
      <c r="U310" s="166"/>
      <c r="V310" s="165"/>
      <c r="W310" s="165"/>
      <c r="X310" s="116">
        <v>44454</v>
      </c>
      <c r="Y310" s="116">
        <v>46279</v>
      </c>
    </row>
    <row r="311" s="85" customFormat="1" customHeight="1" spans="1:25">
      <c r="A311" s="160" t="s">
        <v>61</v>
      </c>
      <c r="B311" s="98" t="s">
        <v>62</v>
      </c>
      <c r="C311" s="98" t="s">
        <v>238</v>
      </c>
      <c r="D311" s="24" t="s">
        <v>64</v>
      </c>
      <c r="E311" s="162" t="s">
        <v>590</v>
      </c>
      <c r="F311" s="160" t="s">
        <v>591</v>
      </c>
      <c r="G311" s="25" t="s">
        <v>88</v>
      </c>
      <c r="H311" s="99" t="s">
        <v>592</v>
      </c>
      <c r="I311" s="46" t="e">
        <f>VLOOKUP(H311,'合同高级查询数据-4月返'!A:A,1,FALSE)</f>
        <v>#N/A</v>
      </c>
      <c r="J311" s="25" t="s">
        <v>90</v>
      </c>
      <c r="K311" s="106" t="s">
        <v>593</v>
      </c>
      <c r="L311" s="107"/>
      <c r="M311" s="49" t="s">
        <v>594</v>
      </c>
      <c r="N311" s="73">
        <v>44484</v>
      </c>
      <c r="O311" s="107" t="s">
        <v>600</v>
      </c>
      <c r="P311" s="164">
        <v>5280</v>
      </c>
      <c r="Q311" s="164">
        <v>2</v>
      </c>
      <c r="R311" s="118">
        <f t="shared" si="14"/>
        <v>10560</v>
      </c>
      <c r="S311" s="115">
        <v>202304</v>
      </c>
      <c r="T311" s="119" t="s">
        <v>601</v>
      </c>
      <c r="U311" s="166"/>
      <c r="V311" s="165"/>
      <c r="W311" s="165"/>
      <c r="X311" s="116">
        <v>44454</v>
      </c>
      <c r="Y311" s="116">
        <v>46279</v>
      </c>
    </row>
    <row r="312" s="85" customFormat="1" customHeight="1" spans="1:25">
      <c r="A312" s="160" t="s">
        <v>61</v>
      </c>
      <c r="B312" s="98" t="s">
        <v>62</v>
      </c>
      <c r="C312" s="98" t="s">
        <v>238</v>
      </c>
      <c r="D312" s="24" t="s">
        <v>64</v>
      </c>
      <c r="E312" s="162" t="s">
        <v>590</v>
      </c>
      <c r="F312" s="160" t="s">
        <v>591</v>
      </c>
      <c r="G312" s="25" t="s">
        <v>88</v>
      </c>
      <c r="H312" s="99" t="s">
        <v>592</v>
      </c>
      <c r="I312" s="46" t="e">
        <f>VLOOKUP(H312,'合同高级查询数据-4月返'!A:A,1,FALSE)</f>
        <v>#N/A</v>
      </c>
      <c r="J312" s="25" t="s">
        <v>90</v>
      </c>
      <c r="K312" s="106" t="s">
        <v>593</v>
      </c>
      <c r="L312" s="107"/>
      <c r="M312" s="49" t="s">
        <v>594</v>
      </c>
      <c r="N312" s="73">
        <v>44544</v>
      </c>
      <c r="O312" s="107" t="s">
        <v>503</v>
      </c>
      <c r="P312" s="164">
        <v>5803.6</v>
      </c>
      <c r="Q312" s="164">
        <v>1</v>
      </c>
      <c r="R312" s="118">
        <f t="shared" si="14"/>
        <v>5803.6</v>
      </c>
      <c r="S312" s="115">
        <v>202304</v>
      </c>
      <c r="T312" s="119" t="s">
        <v>602</v>
      </c>
      <c r="U312" s="166"/>
      <c r="V312" s="165"/>
      <c r="W312" s="165"/>
      <c r="X312" s="116">
        <v>44454</v>
      </c>
      <c r="Y312" s="116">
        <v>46279</v>
      </c>
    </row>
    <row r="313" s="85" customFormat="1" customHeight="1" spans="1:25">
      <c r="A313" s="160" t="s">
        <v>61</v>
      </c>
      <c r="B313" s="98" t="s">
        <v>62</v>
      </c>
      <c r="C313" s="98" t="s">
        <v>238</v>
      </c>
      <c r="D313" s="24" t="s">
        <v>64</v>
      </c>
      <c r="E313" s="162" t="s">
        <v>590</v>
      </c>
      <c r="F313" s="160" t="s">
        <v>591</v>
      </c>
      <c r="G313" s="25" t="s">
        <v>88</v>
      </c>
      <c r="H313" s="99" t="s">
        <v>592</v>
      </c>
      <c r="I313" s="46" t="e">
        <f>VLOOKUP(H313,'合同高级查询数据-4月返'!A:A,1,FALSE)</f>
        <v>#N/A</v>
      </c>
      <c r="J313" s="25" t="s">
        <v>90</v>
      </c>
      <c r="K313" s="106" t="s">
        <v>593</v>
      </c>
      <c r="L313" s="107"/>
      <c r="M313" s="49" t="s">
        <v>594</v>
      </c>
      <c r="N313" s="73">
        <v>44544</v>
      </c>
      <c r="O313" s="107" t="s">
        <v>566</v>
      </c>
      <c r="P313" s="164">
        <v>11871</v>
      </c>
      <c r="Q313" s="164">
        <v>2</v>
      </c>
      <c r="R313" s="118">
        <f t="shared" si="14"/>
        <v>23742</v>
      </c>
      <c r="S313" s="115">
        <v>202304</v>
      </c>
      <c r="T313" s="119" t="s">
        <v>603</v>
      </c>
      <c r="U313" s="166"/>
      <c r="V313" s="165"/>
      <c r="W313" s="165"/>
      <c r="X313" s="116">
        <v>44454</v>
      </c>
      <c r="Y313" s="116">
        <v>46279</v>
      </c>
    </row>
    <row r="314" s="85" customFormat="1" customHeight="1" spans="1:25">
      <c r="A314" s="160" t="s">
        <v>61</v>
      </c>
      <c r="B314" s="98" t="s">
        <v>62</v>
      </c>
      <c r="C314" s="98" t="s">
        <v>238</v>
      </c>
      <c r="D314" s="24" t="s">
        <v>64</v>
      </c>
      <c r="E314" s="162" t="s">
        <v>590</v>
      </c>
      <c r="F314" s="160" t="s">
        <v>591</v>
      </c>
      <c r="G314" s="25" t="s">
        <v>88</v>
      </c>
      <c r="H314" s="99" t="s">
        <v>592</v>
      </c>
      <c r="I314" s="46" t="e">
        <f>VLOOKUP(H314,'合同高级查询数据-4月返'!A:A,1,FALSE)</f>
        <v>#N/A</v>
      </c>
      <c r="J314" s="25" t="s">
        <v>90</v>
      </c>
      <c r="K314" s="106" t="s">
        <v>593</v>
      </c>
      <c r="L314" s="107"/>
      <c r="M314" s="49" t="s">
        <v>594</v>
      </c>
      <c r="N314" s="73">
        <v>44729</v>
      </c>
      <c r="O314" s="107" t="s">
        <v>503</v>
      </c>
      <c r="P314" s="164">
        <v>5803.6</v>
      </c>
      <c r="Q314" s="164">
        <v>4</v>
      </c>
      <c r="R314" s="118">
        <f t="shared" si="14"/>
        <v>23214.4</v>
      </c>
      <c r="S314" s="115">
        <v>202304</v>
      </c>
      <c r="T314" s="167" t="s">
        <v>604</v>
      </c>
      <c r="U314" s="166"/>
      <c r="V314" s="165"/>
      <c r="W314" s="165"/>
      <c r="X314" s="116">
        <v>44454</v>
      </c>
      <c r="Y314" s="116">
        <v>46279</v>
      </c>
    </row>
    <row r="315" s="85" customFormat="1" customHeight="1" spans="1:25">
      <c r="A315" s="160" t="s">
        <v>61</v>
      </c>
      <c r="B315" s="98" t="s">
        <v>62</v>
      </c>
      <c r="C315" s="98" t="s">
        <v>238</v>
      </c>
      <c r="D315" s="24" t="s">
        <v>64</v>
      </c>
      <c r="E315" s="162" t="s">
        <v>590</v>
      </c>
      <c r="F315" s="160" t="s">
        <v>591</v>
      </c>
      <c r="G315" s="25" t="s">
        <v>88</v>
      </c>
      <c r="H315" s="99" t="s">
        <v>592</v>
      </c>
      <c r="I315" s="46" t="e">
        <f>VLOOKUP(H315,'合同高级查询数据-4月返'!A:A,1,FALSE)</f>
        <v>#N/A</v>
      </c>
      <c r="J315" s="25" t="s">
        <v>90</v>
      </c>
      <c r="K315" s="106" t="s">
        <v>593</v>
      </c>
      <c r="L315" s="107"/>
      <c r="M315" s="49" t="s">
        <v>594</v>
      </c>
      <c r="N315" s="73">
        <v>44999.4375</v>
      </c>
      <c r="O315" s="107" t="s">
        <v>503</v>
      </c>
      <c r="P315" s="164">
        <v>5803.6</v>
      </c>
      <c r="Q315" s="164">
        <v>1</v>
      </c>
      <c r="R315" s="118">
        <f t="shared" si="14"/>
        <v>5803.6</v>
      </c>
      <c r="S315" s="115">
        <v>202304</v>
      </c>
      <c r="T315" s="167" t="s">
        <v>605</v>
      </c>
      <c r="U315" s="166"/>
      <c r="V315" s="165"/>
      <c r="W315" s="165"/>
      <c r="X315" s="116">
        <v>44454</v>
      </c>
      <c r="Y315" s="116">
        <v>46279</v>
      </c>
    </row>
    <row r="316" s="85" customFormat="1" customHeight="1" spans="1:25">
      <c r="A316" s="160" t="s">
        <v>61</v>
      </c>
      <c r="B316" s="98" t="s">
        <v>62</v>
      </c>
      <c r="C316" s="98" t="s">
        <v>238</v>
      </c>
      <c r="D316" s="24" t="s">
        <v>64</v>
      </c>
      <c r="E316" s="162" t="s">
        <v>590</v>
      </c>
      <c r="F316" s="160" t="s">
        <v>591</v>
      </c>
      <c r="G316" s="25" t="s">
        <v>88</v>
      </c>
      <c r="H316" s="99" t="s">
        <v>592</v>
      </c>
      <c r="I316" s="46" t="e">
        <f>VLOOKUP(H316,'合同高级查询数据-4月返'!A:A,1,FALSE)</f>
        <v>#N/A</v>
      </c>
      <c r="J316" s="25" t="s">
        <v>90</v>
      </c>
      <c r="K316" s="106" t="s">
        <v>593</v>
      </c>
      <c r="L316" s="107"/>
      <c r="M316" s="49" t="s">
        <v>594</v>
      </c>
      <c r="N316" s="73">
        <v>45033</v>
      </c>
      <c r="O316" s="107" t="s">
        <v>606</v>
      </c>
      <c r="P316" s="164">
        <v>31656</v>
      </c>
      <c r="Q316" s="164">
        <v>4</v>
      </c>
      <c r="R316" s="118">
        <f>ROUND(P316*Q316*14/30,2)</f>
        <v>59091.2</v>
      </c>
      <c r="S316" s="115">
        <v>202304</v>
      </c>
      <c r="T316" s="168" t="s">
        <v>607</v>
      </c>
      <c r="U316" s="166"/>
      <c r="V316" s="165"/>
      <c r="W316" s="165"/>
      <c r="X316" s="116">
        <v>44454</v>
      </c>
      <c r="Y316" s="116">
        <v>46279</v>
      </c>
    </row>
    <row r="317" s="85" customFormat="1" customHeight="1" spans="1:25">
      <c r="A317" s="160" t="s">
        <v>61</v>
      </c>
      <c r="B317" s="98" t="s">
        <v>62</v>
      </c>
      <c r="C317" s="98" t="s">
        <v>238</v>
      </c>
      <c r="D317" s="24" t="s">
        <v>64</v>
      </c>
      <c r="E317" s="162" t="s">
        <v>590</v>
      </c>
      <c r="F317" s="160" t="s">
        <v>591</v>
      </c>
      <c r="G317" s="25" t="s">
        <v>88</v>
      </c>
      <c r="H317" s="99" t="s">
        <v>592</v>
      </c>
      <c r="I317" s="46" t="e">
        <f>VLOOKUP(H317,'合同高级查询数据-4月返'!A:A,1,FALSE)</f>
        <v>#N/A</v>
      </c>
      <c r="J317" s="25" t="s">
        <v>90</v>
      </c>
      <c r="K317" s="106" t="s">
        <v>593</v>
      </c>
      <c r="L317" s="107"/>
      <c r="M317" s="49" t="s">
        <v>594</v>
      </c>
      <c r="N317" s="73">
        <v>45033</v>
      </c>
      <c r="O317" s="107" t="s">
        <v>595</v>
      </c>
      <c r="P317" s="164">
        <v>39570</v>
      </c>
      <c r="Q317" s="164">
        <v>2</v>
      </c>
      <c r="R317" s="118">
        <f>ROUND(P317*Q317*14/30,2)</f>
        <v>36932</v>
      </c>
      <c r="S317" s="115">
        <v>202304</v>
      </c>
      <c r="T317" s="169" t="s">
        <v>608</v>
      </c>
      <c r="U317" s="166"/>
      <c r="V317" s="165"/>
      <c r="W317" s="165"/>
      <c r="X317" s="116">
        <v>44454</v>
      </c>
      <c r="Y317" s="116">
        <v>46279</v>
      </c>
    </row>
    <row r="318" s="85" customFormat="1" customHeight="1" spans="1:25">
      <c r="A318" s="160" t="s">
        <v>61</v>
      </c>
      <c r="B318" s="98" t="s">
        <v>62</v>
      </c>
      <c r="C318" s="98" t="s">
        <v>238</v>
      </c>
      <c r="D318" s="24" t="s">
        <v>64</v>
      </c>
      <c r="E318" s="162" t="s">
        <v>590</v>
      </c>
      <c r="F318" s="160" t="s">
        <v>591</v>
      </c>
      <c r="G318" s="25" t="s">
        <v>88</v>
      </c>
      <c r="H318" s="99" t="s">
        <v>592</v>
      </c>
      <c r="I318" s="46" t="e">
        <f>VLOOKUP(H318,'合同高级查询数据-4月返'!A:A,1,FALSE)</f>
        <v>#N/A</v>
      </c>
      <c r="J318" s="25" t="s">
        <v>90</v>
      </c>
      <c r="K318" s="106" t="s">
        <v>593</v>
      </c>
      <c r="L318" s="107"/>
      <c r="M318" s="49" t="s">
        <v>594</v>
      </c>
      <c r="N318" s="73">
        <v>45039</v>
      </c>
      <c r="O318" s="107" t="s">
        <v>503</v>
      </c>
      <c r="P318" s="164">
        <v>5803.6</v>
      </c>
      <c r="Q318" s="164">
        <v>6</v>
      </c>
      <c r="R318" s="118">
        <f>ROUND(P318*Q318*8/30,2)</f>
        <v>9285.76</v>
      </c>
      <c r="S318" s="115">
        <v>202304</v>
      </c>
      <c r="T318" s="168" t="s">
        <v>609</v>
      </c>
      <c r="U318" s="166"/>
      <c r="V318" s="165"/>
      <c r="W318" s="165"/>
      <c r="X318" s="116">
        <v>44454</v>
      </c>
      <c r="Y318" s="116">
        <v>46279</v>
      </c>
    </row>
    <row r="319" s="85" customFormat="1" customHeight="1" spans="1:25">
      <c r="A319" s="21" t="s">
        <v>109</v>
      </c>
      <c r="B319" s="96" t="s">
        <v>26</v>
      </c>
      <c r="C319" s="22" t="s">
        <v>337</v>
      </c>
      <c r="D319" s="96" t="s">
        <v>28</v>
      </c>
      <c r="E319" s="23" t="s">
        <v>610</v>
      </c>
      <c r="F319" s="24" t="s">
        <v>611</v>
      </c>
      <c r="G319" s="24" t="s">
        <v>31</v>
      </c>
      <c r="H319" s="46" t="s">
        <v>612</v>
      </c>
      <c r="I319" s="46" t="e">
        <f>VLOOKUP(H319,'合同高级查询数据-4月返'!A:A,1,FALSE)</f>
        <v>#N/A</v>
      </c>
      <c r="J319" s="47" t="s">
        <v>33</v>
      </c>
      <c r="K319" s="22" t="s">
        <v>339</v>
      </c>
      <c r="L319" s="22" t="s">
        <v>613</v>
      </c>
      <c r="M319" s="22" t="s">
        <v>614</v>
      </c>
      <c r="N319" s="50">
        <v>44926</v>
      </c>
      <c r="O319" s="22" t="s">
        <v>37</v>
      </c>
      <c r="P319" s="105"/>
      <c r="Q319" s="114">
        <v>-48</v>
      </c>
      <c r="R319" s="105">
        <f t="shared" ref="R319:R382" si="15">ROUND(P319*Q319,2)</f>
        <v>0</v>
      </c>
      <c r="S319" s="115">
        <v>202304</v>
      </c>
      <c r="T319" s="97" t="s">
        <v>615</v>
      </c>
      <c r="U319" s="97"/>
      <c r="V319" s="97"/>
      <c r="W319" s="97"/>
      <c r="X319" s="116">
        <v>44682</v>
      </c>
      <c r="Y319" s="116">
        <v>44926</v>
      </c>
    </row>
    <row r="320" s="85" customFormat="1" customHeight="1" spans="1:25">
      <c r="A320" s="21" t="s">
        <v>109</v>
      </c>
      <c r="B320" s="96" t="s">
        <v>26</v>
      </c>
      <c r="C320" s="22" t="s">
        <v>337</v>
      </c>
      <c r="D320" s="96" t="s">
        <v>28</v>
      </c>
      <c r="E320" s="23" t="s">
        <v>610</v>
      </c>
      <c r="F320" s="24" t="s">
        <v>611</v>
      </c>
      <c r="G320" s="24" t="s">
        <v>31</v>
      </c>
      <c r="H320" s="46" t="s">
        <v>612</v>
      </c>
      <c r="I320" s="46" t="e">
        <f>VLOOKUP(H320,'合同高级查询数据-4月返'!A:A,1,FALSE)</f>
        <v>#N/A</v>
      </c>
      <c r="J320" s="47" t="s">
        <v>33</v>
      </c>
      <c r="K320" s="22" t="s">
        <v>339</v>
      </c>
      <c r="L320" s="22" t="s">
        <v>613</v>
      </c>
      <c r="M320" s="22" t="s">
        <v>614</v>
      </c>
      <c r="N320" s="50">
        <v>44926</v>
      </c>
      <c r="O320" s="22" t="s">
        <v>37</v>
      </c>
      <c r="P320" s="105">
        <v>50</v>
      </c>
      <c r="Q320" s="114">
        <v>-112</v>
      </c>
      <c r="R320" s="105">
        <f t="shared" si="15"/>
        <v>-5600</v>
      </c>
      <c r="S320" s="115">
        <v>202304</v>
      </c>
      <c r="T320" s="97" t="s">
        <v>616</v>
      </c>
      <c r="U320" s="97"/>
      <c r="V320" s="97"/>
      <c r="W320" s="97"/>
      <c r="X320" s="116">
        <v>44682</v>
      </c>
      <c r="Y320" s="116">
        <v>44926</v>
      </c>
    </row>
    <row r="321" s="85" customFormat="1" customHeight="1" spans="1:25">
      <c r="A321" s="21" t="s">
        <v>109</v>
      </c>
      <c r="B321" s="96" t="s">
        <v>26</v>
      </c>
      <c r="C321" s="22" t="s">
        <v>337</v>
      </c>
      <c r="D321" s="96" t="s">
        <v>28</v>
      </c>
      <c r="E321" s="23" t="s">
        <v>610</v>
      </c>
      <c r="F321" s="24" t="s">
        <v>611</v>
      </c>
      <c r="G321" s="24" t="s">
        <v>88</v>
      </c>
      <c r="H321" s="46" t="s">
        <v>612</v>
      </c>
      <c r="I321" s="46" t="e">
        <f>VLOOKUP(H321,'合同高级查询数据-4月返'!A:A,1,FALSE)</f>
        <v>#N/A</v>
      </c>
      <c r="J321" s="47" t="s">
        <v>162</v>
      </c>
      <c r="K321" s="22" t="s">
        <v>339</v>
      </c>
      <c r="L321" s="22" t="s">
        <v>613</v>
      </c>
      <c r="M321" s="22" t="s">
        <v>614</v>
      </c>
      <c r="N321" s="50">
        <v>44682</v>
      </c>
      <c r="O321" s="22" t="s">
        <v>617</v>
      </c>
      <c r="P321" s="105">
        <v>3600</v>
      </c>
      <c r="Q321" s="114">
        <v>2</v>
      </c>
      <c r="R321" s="105">
        <f t="shared" si="15"/>
        <v>7200</v>
      </c>
      <c r="S321" s="115">
        <v>202304</v>
      </c>
      <c r="T321" s="97" t="s">
        <v>618</v>
      </c>
      <c r="U321" s="97"/>
      <c r="V321" s="97"/>
      <c r="W321" s="97"/>
      <c r="X321" s="116">
        <v>44682</v>
      </c>
      <c r="Y321" s="116">
        <v>44926</v>
      </c>
    </row>
    <row r="322" s="85" customFormat="1" customHeight="1" spans="1:25">
      <c r="A322" s="21" t="s">
        <v>109</v>
      </c>
      <c r="B322" s="96" t="s">
        <v>26</v>
      </c>
      <c r="C322" s="22" t="s">
        <v>27</v>
      </c>
      <c r="D322" s="96" t="s">
        <v>28</v>
      </c>
      <c r="E322" s="23" t="s">
        <v>610</v>
      </c>
      <c r="F322" s="24" t="s">
        <v>611</v>
      </c>
      <c r="G322" s="24" t="s">
        <v>31</v>
      </c>
      <c r="H322" s="46" t="s">
        <v>612</v>
      </c>
      <c r="I322" s="46" t="e">
        <f>VLOOKUP(H322,'合同高级查询数据-4月返'!A:A,1,FALSE)</f>
        <v>#N/A</v>
      </c>
      <c r="J322" s="47" t="s">
        <v>33</v>
      </c>
      <c r="K322" s="22" t="s">
        <v>619</v>
      </c>
      <c r="L322" s="22" t="s">
        <v>620</v>
      </c>
      <c r="M322" s="22" t="s">
        <v>621</v>
      </c>
      <c r="N322" s="50">
        <v>44926</v>
      </c>
      <c r="O322" s="22" t="s">
        <v>37</v>
      </c>
      <c r="P322" s="105">
        <v>0</v>
      </c>
      <c r="Q322" s="114">
        <v>-128</v>
      </c>
      <c r="R322" s="105">
        <f t="shared" si="15"/>
        <v>0</v>
      </c>
      <c r="S322" s="115">
        <v>202304</v>
      </c>
      <c r="T322" s="97" t="s">
        <v>622</v>
      </c>
      <c r="U322" s="97"/>
      <c r="V322" s="97"/>
      <c r="W322" s="97"/>
      <c r="X322" s="116">
        <v>44682</v>
      </c>
      <c r="Y322" s="116">
        <v>44926</v>
      </c>
    </row>
    <row r="323" s="85" customFormat="1" customHeight="1" spans="1:25">
      <c r="A323" s="21" t="s">
        <v>109</v>
      </c>
      <c r="B323" s="96" t="s">
        <v>26</v>
      </c>
      <c r="C323" s="22" t="s">
        <v>27</v>
      </c>
      <c r="D323" s="96" t="s">
        <v>28</v>
      </c>
      <c r="E323" s="23" t="s">
        <v>610</v>
      </c>
      <c r="F323" s="24" t="s">
        <v>611</v>
      </c>
      <c r="G323" s="24" t="s">
        <v>31</v>
      </c>
      <c r="H323" s="46" t="s">
        <v>612</v>
      </c>
      <c r="I323" s="46" t="e">
        <f>VLOOKUP(H323,'合同高级查询数据-4月返'!A:A,1,FALSE)</f>
        <v>#N/A</v>
      </c>
      <c r="J323" s="47" t="s">
        <v>33</v>
      </c>
      <c r="K323" s="22" t="s">
        <v>619</v>
      </c>
      <c r="L323" s="22" t="s">
        <v>620</v>
      </c>
      <c r="M323" s="22" t="s">
        <v>621</v>
      </c>
      <c r="N323" s="50">
        <v>44926</v>
      </c>
      <c r="O323" s="22" t="s">
        <v>37</v>
      </c>
      <c r="P323" s="105">
        <v>50</v>
      </c>
      <c r="Q323" s="114">
        <v>-160</v>
      </c>
      <c r="R323" s="105">
        <f t="shared" si="15"/>
        <v>-8000</v>
      </c>
      <c r="S323" s="115">
        <v>202304</v>
      </c>
      <c r="T323" s="97" t="s">
        <v>622</v>
      </c>
      <c r="U323" s="97"/>
      <c r="V323" s="97"/>
      <c r="W323" s="97"/>
      <c r="X323" s="116">
        <v>44682</v>
      </c>
      <c r="Y323" s="116">
        <v>44926</v>
      </c>
    </row>
    <row r="324" s="85" customFormat="1" customHeight="1" spans="1:25">
      <c r="A324" s="21" t="s">
        <v>109</v>
      </c>
      <c r="B324" s="96" t="s">
        <v>26</v>
      </c>
      <c r="C324" s="22" t="s">
        <v>27</v>
      </c>
      <c r="D324" s="96" t="s">
        <v>28</v>
      </c>
      <c r="E324" s="23" t="s">
        <v>610</v>
      </c>
      <c r="F324" s="24" t="s">
        <v>611</v>
      </c>
      <c r="G324" s="24" t="s">
        <v>88</v>
      </c>
      <c r="H324" s="46" t="s">
        <v>612</v>
      </c>
      <c r="I324" s="46" t="e">
        <f>VLOOKUP(H324,'合同高级查询数据-4月返'!A:A,1,FALSE)</f>
        <v>#N/A</v>
      </c>
      <c r="J324" s="47" t="s">
        <v>162</v>
      </c>
      <c r="K324" s="22" t="s">
        <v>619</v>
      </c>
      <c r="L324" s="22" t="s">
        <v>620</v>
      </c>
      <c r="M324" s="22" t="s">
        <v>621</v>
      </c>
      <c r="N324" s="50">
        <v>44682</v>
      </c>
      <c r="O324" s="22" t="s">
        <v>163</v>
      </c>
      <c r="P324" s="105">
        <v>4100</v>
      </c>
      <c r="Q324" s="114">
        <v>2</v>
      </c>
      <c r="R324" s="105">
        <f t="shared" si="15"/>
        <v>8200</v>
      </c>
      <c r="S324" s="115">
        <v>202304</v>
      </c>
      <c r="T324" s="97" t="s">
        <v>623</v>
      </c>
      <c r="U324" s="97"/>
      <c r="V324" s="97"/>
      <c r="W324" s="97"/>
      <c r="X324" s="116">
        <v>44682</v>
      </c>
      <c r="Y324" s="116">
        <v>44926</v>
      </c>
    </row>
    <row r="325" s="86" customFormat="1" customHeight="1" spans="1:25">
      <c r="A325" s="101" t="s">
        <v>109</v>
      </c>
      <c r="B325" s="102" t="s">
        <v>26</v>
      </c>
      <c r="C325" s="35" t="s">
        <v>337</v>
      </c>
      <c r="D325" s="102" t="s">
        <v>28</v>
      </c>
      <c r="E325" s="13" t="s">
        <v>610</v>
      </c>
      <c r="F325" s="11" t="s">
        <v>611</v>
      </c>
      <c r="G325" s="11" t="s">
        <v>31</v>
      </c>
      <c r="H325" s="30" t="s">
        <v>624</v>
      </c>
      <c r="I325" s="30" t="e">
        <f>VLOOKUP(H325,'合同高级查询数据-4月返'!A:A,1,FALSE)</f>
        <v>#N/A</v>
      </c>
      <c r="J325" s="31" t="s">
        <v>33</v>
      </c>
      <c r="K325" s="35" t="s">
        <v>339</v>
      </c>
      <c r="L325" s="35" t="s">
        <v>613</v>
      </c>
      <c r="M325" s="35" t="s">
        <v>614</v>
      </c>
      <c r="N325" s="34">
        <v>44682</v>
      </c>
      <c r="O325" s="35" t="s">
        <v>37</v>
      </c>
      <c r="P325" s="112"/>
      <c r="Q325" s="125">
        <v>48</v>
      </c>
      <c r="R325" s="112">
        <f t="shared" si="15"/>
        <v>0</v>
      </c>
      <c r="S325" s="127">
        <v>202304</v>
      </c>
      <c r="T325" s="104" t="s">
        <v>615</v>
      </c>
      <c r="U325" s="104"/>
      <c r="V325" s="104"/>
      <c r="W325" s="104"/>
      <c r="X325" s="131"/>
      <c r="Y325" s="131"/>
    </row>
    <row r="326" s="86" customFormat="1" customHeight="1" spans="1:25">
      <c r="A326" s="101" t="s">
        <v>109</v>
      </c>
      <c r="B326" s="102" t="s">
        <v>26</v>
      </c>
      <c r="C326" s="35" t="s">
        <v>337</v>
      </c>
      <c r="D326" s="102" t="s">
        <v>28</v>
      </c>
      <c r="E326" s="13" t="s">
        <v>610</v>
      </c>
      <c r="F326" s="11" t="s">
        <v>611</v>
      </c>
      <c r="G326" s="11" t="s">
        <v>31</v>
      </c>
      <c r="H326" s="30" t="s">
        <v>624</v>
      </c>
      <c r="I326" s="30" t="e">
        <f>VLOOKUP(H326,'合同高级查询数据-4月返'!A:A,1,FALSE)</f>
        <v>#N/A</v>
      </c>
      <c r="J326" s="31" t="s">
        <v>33</v>
      </c>
      <c r="K326" s="35" t="s">
        <v>339</v>
      </c>
      <c r="L326" s="35" t="s">
        <v>613</v>
      </c>
      <c r="M326" s="35" t="s">
        <v>614</v>
      </c>
      <c r="N326" s="34">
        <v>44682</v>
      </c>
      <c r="O326" s="35" t="s">
        <v>37</v>
      </c>
      <c r="P326" s="112">
        <v>50</v>
      </c>
      <c r="Q326" s="125">
        <v>112</v>
      </c>
      <c r="R326" s="112">
        <f t="shared" si="15"/>
        <v>5600</v>
      </c>
      <c r="S326" s="127">
        <v>202304</v>
      </c>
      <c r="T326" s="104" t="s">
        <v>616</v>
      </c>
      <c r="U326" s="104"/>
      <c r="V326" s="104"/>
      <c r="W326" s="104"/>
      <c r="X326" s="131"/>
      <c r="Y326" s="131"/>
    </row>
    <row r="327" s="86" customFormat="1" customHeight="1" spans="1:25">
      <c r="A327" s="101" t="s">
        <v>109</v>
      </c>
      <c r="B327" s="102" t="s">
        <v>26</v>
      </c>
      <c r="C327" s="35" t="s">
        <v>337</v>
      </c>
      <c r="D327" s="102" t="s">
        <v>28</v>
      </c>
      <c r="E327" s="13" t="s">
        <v>610</v>
      </c>
      <c r="F327" s="11" t="s">
        <v>611</v>
      </c>
      <c r="G327" s="11" t="s">
        <v>88</v>
      </c>
      <c r="H327" s="30" t="s">
        <v>624</v>
      </c>
      <c r="I327" s="30" t="e">
        <f>VLOOKUP(H327,'合同高级查询数据-4月返'!A:A,1,FALSE)</f>
        <v>#N/A</v>
      </c>
      <c r="J327" s="31" t="s">
        <v>162</v>
      </c>
      <c r="K327" s="35" t="s">
        <v>339</v>
      </c>
      <c r="L327" s="35" t="s">
        <v>613</v>
      </c>
      <c r="M327" s="35" t="s">
        <v>614</v>
      </c>
      <c r="N327" s="34">
        <v>44926</v>
      </c>
      <c r="O327" s="35" t="s">
        <v>617</v>
      </c>
      <c r="P327" s="112">
        <v>3600</v>
      </c>
      <c r="Q327" s="125">
        <v>-2</v>
      </c>
      <c r="R327" s="112">
        <f t="shared" si="15"/>
        <v>-7200</v>
      </c>
      <c r="S327" s="127">
        <v>202304</v>
      </c>
      <c r="T327" s="104" t="s">
        <v>618</v>
      </c>
      <c r="U327" s="104"/>
      <c r="V327" s="104"/>
      <c r="W327" s="104"/>
      <c r="X327" s="131"/>
      <c r="Y327" s="131"/>
    </row>
    <row r="328" s="86" customFormat="1" customHeight="1" spans="1:25">
      <c r="A328" s="101" t="s">
        <v>109</v>
      </c>
      <c r="B328" s="102" t="s">
        <v>26</v>
      </c>
      <c r="C328" s="35" t="s">
        <v>27</v>
      </c>
      <c r="D328" s="102" t="s">
        <v>28</v>
      </c>
      <c r="E328" s="13" t="s">
        <v>610</v>
      </c>
      <c r="F328" s="11" t="s">
        <v>611</v>
      </c>
      <c r="G328" s="11" t="s">
        <v>31</v>
      </c>
      <c r="H328" s="30" t="s">
        <v>624</v>
      </c>
      <c r="I328" s="30" t="e">
        <f>VLOOKUP(H328,'合同高级查询数据-4月返'!A:A,1,FALSE)</f>
        <v>#N/A</v>
      </c>
      <c r="J328" s="31" t="s">
        <v>33</v>
      </c>
      <c r="K328" s="35" t="s">
        <v>619</v>
      </c>
      <c r="L328" s="35" t="s">
        <v>620</v>
      </c>
      <c r="M328" s="35" t="s">
        <v>621</v>
      </c>
      <c r="N328" s="34">
        <v>44682</v>
      </c>
      <c r="O328" s="35" t="s">
        <v>37</v>
      </c>
      <c r="P328" s="112">
        <v>0</v>
      </c>
      <c r="Q328" s="125">
        <v>128</v>
      </c>
      <c r="R328" s="112">
        <f t="shared" si="15"/>
        <v>0</v>
      </c>
      <c r="S328" s="127">
        <v>202304</v>
      </c>
      <c r="T328" s="104" t="s">
        <v>622</v>
      </c>
      <c r="U328" s="104"/>
      <c r="V328" s="104"/>
      <c r="W328" s="104"/>
      <c r="X328" s="131"/>
      <c r="Y328" s="131"/>
    </row>
    <row r="329" s="86" customFormat="1" customHeight="1" spans="1:25">
      <c r="A329" s="101" t="s">
        <v>109</v>
      </c>
      <c r="B329" s="102" t="s">
        <v>26</v>
      </c>
      <c r="C329" s="35" t="s">
        <v>27</v>
      </c>
      <c r="D329" s="102" t="s">
        <v>28</v>
      </c>
      <c r="E329" s="13" t="s">
        <v>610</v>
      </c>
      <c r="F329" s="11" t="s">
        <v>611</v>
      </c>
      <c r="G329" s="11" t="s">
        <v>31</v>
      </c>
      <c r="H329" s="30" t="s">
        <v>624</v>
      </c>
      <c r="I329" s="30" t="e">
        <f>VLOOKUP(H329,'合同高级查询数据-4月返'!A:A,1,FALSE)</f>
        <v>#N/A</v>
      </c>
      <c r="J329" s="31" t="s">
        <v>33</v>
      </c>
      <c r="K329" s="35" t="s">
        <v>619</v>
      </c>
      <c r="L329" s="35" t="s">
        <v>620</v>
      </c>
      <c r="M329" s="35" t="s">
        <v>621</v>
      </c>
      <c r="N329" s="34">
        <v>44682</v>
      </c>
      <c r="O329" s="35" t="s">
        <v>37</v>
      </c>
      <c r="P329" s="112">
        <v>50</v>
      </c>
      <c r="Q329" s="125">
        <v>160</v>
      </c>
      <c r="R329" s="112">
        <f t="shared" si="15"/>
        <v>8000</v>
      </c>
      <c r="S329" s="127">
        <v>202304</v>
      </c>
      <c r="T329" s="104" t="s">
        <v>622</v>
      </c>
      <c r="U329" s="104"/>
      <c r="V329" s="104"/>
      <c r="W329" s="104"/>
      <c r="X329" s="131"/>
      <c r="Y329" s="131"/>
    </row>
    <row r="330" s="86" customFormat="1" customHeight="1" spans="1:25">
      <c r="A330" s="101" t="s">
        <v>109</v>
      </c>
      <c r="B330" s="102" t="s">
        <v>26</v>
      </c>
      <c r="C330" s="35" t="s">
        <v>27</v>
      </c>
      <c r="D330" s="102" t="s">
        <v>28</v>
      </c>
      <c r="E330" s="13" t="s">
        <v>610</v>
      </c>
      <c r="F330" s="11" t="s">
        <v>611</v>
      </c>
      <c r="G330" s="11" t="s">
        <v>88</v>
      </c>
      <c r="H330" s="30" t="s">
        <v>624</v>
      </c>
      <c r="I330" s="30" t="e">
        <f>VLOOKUP(H330,'合同高级查询数据-4月返'!A:A,1,FALSE)</f>
        <v>#N/A</v>
      </c>
      <c r="J330" s="31" t="s">
        <v>162</v>
      </c>
      <c r="K330" s="35" t="s">
        <v>619</v>
      </c>
      <c r="L330" s="35" t="s">
        <v>620</v>
      </c>
      <c r="M330" s="35" t="s">
        <v>621</v>
      </c>
      <c r="N330" s="34">
        <v>44926</v>
      </c>
      <c r="O330" s="35" t="s">
        <v>163</v>
      </c>
      <c r="P330" s="112">
        <v>4100</v>
      </c>
      <c r="Q330" s="125">
        <v>-2</v>
      </c>
      <c r="R330" s="112">
        <f t="shared" si="15"/>
        <v>-8200</v>
      </c>
      <c r="S330" s="127">
        <v>202304</v>
      </c>
      <c r="T330" s="104" t="s">
        <v>623</v>
      </c>
      <c r="U330" s="104"/>
      <c r="V330" s="104"/>
      <c r="W330" s="104"/>
      <c r="X330" s="131"/>
      <c r="Y330" s="131"/>
    </row>
    <row r="331" s="86" customFormat="1" customHeight="1" spans="1:25">
      <c r="A331" s="135" t="s">
        <v>61</v>
      </c>
      <c r="B331" s="135" t="s">
        <v>62</v>
      </c>
      <c r="C331" s="135" t="s">
        <v>238</v>
      </c>
      <c r="D331" s="11" t="s">
        <v>64</v>
      </c>
      <c r="E331" s="170" t="s">
        <v>625</v>
      </c>
      <c r="F331" s="135" t="s">
        <v>626</v>
      </c>
      <c r="G331" s="171" t="s">
        <v>88</v>
      </c>
      <c r="H331" s="103" t="s">
        <v>627</v>
      </c>
      <c r="I331" s="30" t="e">
        <f>VLOOKUP(H331,'合同高级查询数据-4月返'!A:A,1,FALSE)</f>
        <v>#N/A</v>
      </c>
      <c r="J331" s="31" t="s">
        <v>90</v>
      </c>
      <c r="K331" s="173" t="s">
        <v>628</v>
      </c>
      <c r="L331" s="174"/>
      <c r="M331" s="113" t="s">
        <v>629</v>
      </c>
      <c r="N331" s="175">
        <v>44877</v>
      </c>
      <c r="O331" s="176" t="s">
        <v>507</v>
      </c>
      <c r="P331" s="177">
        <v>9267.6</v>
      </c>
      <c r="Q331" s="177">
        <v>101</v>
      </c>
      <c r="R331" s="130">
        <f t="shared" si="15"/>
        <v>936027.6</v>
      </c>
      <c r="S331" s="127">
        <v>202304</v>
      </c>
      <c r="T331" s="183" t="s">
        <v>630</v>
      </c>
      <c r="U331" s="149"/>
      <c r="V331" s="149"/>
      <c r="W331" s="149"/>
      <c r="X331" s="131"/>
      <c r="Y331" s="131"/>
    </row>
    <row r="332" s="86" customFormat="1" customHeight="1" spans="1:25">
      <c r="A332" s="135" t="s">
        <v>61</v>
      </c>
      <c r="B332" s="135" t="s">
        <v>62</v>
      </c>
      <c r="C332" s="135" t="s">
        <v>238</v>
      </c>
      <c r="D332" s="11" t="s">
        <v>64</v>
      </c>
      <c r="E332" s="170" t="s">
        <v>625</v>
      </c>
      <c r="F332" s="135" t="s">
        <v>626</v>
      </c>
      <c r="G332" s="171" t="s">
        <v>88</v>
      </c>
      <c r="H332" s="103" t="s">
        <v>627</v>
      </c>
      <c r="I332" s="30" t="e">
        <f>VLOOKUP(H332,'合同高级查询数据-4月返'!A:A,1,FALSE)</f>
        <v>#N/A</v>
      </c>
      <c r="J332" s="31" t="s">
        <v>90</v>
      </c>
      <c r="K332" s="173" t="s">
        <v>628</v>
      </c>
      <c r="L332" s="174"/>
      <c r="M332" s="113" t="s">
        <v>629</v>
      </c>
      <c r="N332" s="175">
        <v>44877</v>
      </c>
      <c r="O332" s="176" t="s">
        <v>606</v>
      </c>
      <c r="P332" s="177">
        <v>25275.26</v>
      </c>
      <c r="Q332" s="177">
        <v>2</v>
      </c>
      <c r="R332" s="130">
        <f t="shared" si="15"/>
        <v>50550.52</v>
      </c>
      <c r="S332" s="127">
        <v>202304</v>
      </c>
      <c r="T332" s="183" t="s">
        <v>631</v>
      </c>
      <c r="U332" s="149"/>
      <c r="V332" s="149"/>
      <c r="W332" s="149"/>
      <c r="X332" s="131"/>
      <c r="Y332" s="131"/>
    </row>
    <row r="333" s="86" customFormat="1" customHeight="1" spans="1:25">
      <c r="A333" s="135" t="s">
        <v>61</v>
      </c>
      <c r="B333" s="135" t="s">
        <v>62</v>
      </c>
      <c r="C333" s="135" t="s">
        <v>238</v>
      </c>
      <c r="D333" s="11" t="s">
        <v>64</v>
      </c>
      <c r="E333" s="170" t="s">
        <v>625</v>
      </c>
      <c r="F333" s="135" t="s">
        <v>626</v>
      </c>
      <c r="G333" s="171" t="s">
        <v>88</v>
      </c>
      <c r="H333" s="103" t="s">
        <v>627</v>
      </c>
      <c r="I333" s="30" t="e">
        <f>VLOOKUP(H333,'合同高级查询数据-4月返'!A:A,1,FALSE)</f>
        <v>#N/A</v>
      </c>
      <c r="J333" s="31" t="s">
        <v>90</v>
      </c>
      <c r="K333" s="173" t="s">
        <v>628</v>
      </c>
      <c r="L333" s="174"/>
      <c r="M333" s="113" t="s">
        <v>629</v>
      </c>
      <c r="N333" s="175">
        <v>44877</v>
      </c>
      <c r="O333" s="176" t="s">
        <v>595</v>
      </c>
      <c r="P333" s="177">
        <v>31594.08</v>
      </c>
      <c r="Q333" s="177">
        <v>4</v>
      </c>
      <c r="R333" s="130">
        <f t="shared" si="15"/>
        <v>126376.32</v>
      </c>
      <c r="S333" s="127">
        <v>202304</v>
      </c>
      <c r="T333" s="183" t="s">
        <v>632</v>
      </c>
      <c r="U333" s="149"/>
      <c r="V333" s="149"/>
      <c r="W333" s="149"/>
      <c r="X333" s="131"/>
      <c r="Y333" s="131"/>
    </row>
    <row r="334" s="86" customFormat="1" customHeight="1" spans="1:25">
      <c r="A334" s="135" t="s">
        <v>61</v>
      </c>
      <c r="B334" s="135" t="s">
        <v>62</v>
      </c>
      <c r="C334" s="135" t="s">
        <v>238</v>
      </c>
      <c r="D334" s="11" t="s">
        <v>64</v>
      </c>
      <c r="E334" s="170" t="s">
        <v>625</v>
      </c>
      <c r="F334" s="135" t="s">
        <v>626</v>
      </c>
      <c r="G334" s="171" t="s">
        <v>88</v>
      </c>
      <c r="H334" s="103" t="s">
        <v>627</v>
      </c>
      <c r="I334" s="30" t="e">
        <f>VLOOKUP(H334,'合同高级查询数据-4月返'!A:A,1,FALSE)</f>
        <v>#N/A</v>
      </c>
      <c r="J334" s="31" t="s">
        <v>90</v>
      </c>
      <c r="K334" s="173" t="s">
        <v>628</v>
      </c>
      <c r="L334" s="174"/>
      <c r="M334" s="113" t="s">
        <v>629</v>
      </c>
      <c r="N334" s="175">
        <v>44877</v>
      </c>
      <c r="O334" s="176" t="s">
        <v>507</v>
      </c>
      <c r="P334" s="177">
        <v>9267.6</v>
      </c>
      <c r="Q334" s="177">
        <v>4</v>
      </c>
      <c r="R334" s="130">
        <f t="shared" si="15"/>
        <v>37070.4</v>
      </c>
      <c r="S334" s="127">
        <v>202304</v>
      </c>
      <c r="T334" s="183" t="s">
        <v>633</v>
      </c>
      <c r="U334" s="149"/>
      <c r="V334" s="149"/>
      <c r="W334" s="149"/>
      <c r="X334" s="131"/>
      <c r="Y334" s="131"/>
    </row>
    <row r="335" s="86" customFormat="1" customHeight="1" spans="1:25">
      <c r="A335" s="135" t="s">
        <v>61</v>
      </c>
      <c r="B335" s="135" t="s">
        <v>62</v>
      </c>
      <c r="C335" s="135" t="s">
        <v>238</v>
      </c>
      <c r="D335" s="11" t="s">
        <v>64</v>
      </c>
      <c r="E335" s="170" t="s">
        <v>625</v>
      </c>
      <c r="F335" s="135" t="s">
        <v>626</v>
      </c>
      <c r="G335" s="171" t="s">
        <v>88</v>
      </c>
      <c r="H335" s="103" t="s">
        <v>627</v>
      </c>
      <c r="I335" s="30" t="e">
        <f>VLOOKUP(H335,'合同高级查询数据-4月返'!A:A,1,FALSE)</f>
        <v>#N/A</v>
      </c>
      <c r="J335" s="31" t="s">
        <v>90</v>
      </c>
      <c r="K335" s="173" t="s">
        <v>628</v>
      </c>
      <c r="L335" s="174"/>
      <c r="M335" s="113" t="s">
        <v>629</v>
      </c>
      <c r="N335" s="175">
        <v>44881</v>
      </c>
      <c r="O335" s="176" t="s">
        <v>507</v>
      </c>
      <c r="P335" s="177">
        <v>9267.6</v>
      </c>
      <c r="Q335" s="177">
        <v>-7</v>
      </c>
      <c r="R335" s="130">
        <f t="shared" si="15"/>
        <v>-64873.2</v>
      </c>
      <c r="S335" s="127">
        <v>202304</v>
      </c>
      <c r="T335" s="183" t="s">
        <v>634</v>
      </c>
      <c r="U335" s="149"/>
      <c r="V335" s="149"/>
      <c r="W335" s="149"/>
      <c r="X335" s="131"/>
      <c r="Y335" s="131"/>
    </row>
    <row r="336" s="86" customFormat="1" customHeight="1" spans="1:25">
      <c r="A336" s="135" t="s">
        <v>61</v>
      </c>
      <c r="B336" s="135" t="s">
        <v>62</v>
      </c>
      <c r="C336" s="135" t="s">
        <v>238</v>
      </c>
      <c r="D336" s="11" t="s">
        <v>64</v>
      </c>
      <c r="E336" s="170" t="s">
        <v>625</v>
      </c>
      <c r="F336" s="135" t="s">
        <v>626</v>
      </c>
      <c r="G336" s="171" t="s">
        <v>88</v>
      </c>
      <c r="H336" s="103" t="s">
        <v>627</v>
      </c>
      <c r="I336" s="30" t="e">
        <f>VLOOKUP(H336,'合同高级查询数据-4月返'!A:A,1,FALSE)</f>
        <v>#N/A</v>
      </c>
      <c r="J336" s="31" t="s">
        <v>90</v>
      </c>
      <c r="K336" s="173" t="s">
        <v>628</v>
      </c>
      <c r="L336" s="174"/>
      <c r="M336" s="113" t="s">
        <v>629</v>
      </c>
      <c r="N336" s="175">
        <v>44924</v>
      </c>
      <c r="O336" s="176" t="s">
        <v>507</v>
      </c>
      <c r="P336" s="177">
        <v>9267.6</v>
      </c>
      <c r="Q336" s="177">
        <v>2</v>
      </c>
      <c r="R336" s="130">
        <f t="shared" si="15"/>
        <v>18535.2</v>
      </c>
      <c r="S336" s="127">
        <v>202304</v>
      </c>
      <c r="T336" s="183" t="s">
        <v>635</v>
      </c>
      <c r="U336" s="149"/>
      <c r="V336" s="149"/>
      <c r="W336" s="149"/>
      <c r="X336" s="131"/>
      <c r="Y336" s="131"/>
    </row>
    <row r="337" s="86" customFormat="1" customHeight="1" spans="1:25">
      <c r="A337" s="135" t="s">
        <v>61</v>
      </c>
      <c r="B337" s="135" t="s">
        <v>62</v>
      </c>
      <c r="C337" s="135" t="s">
        <v>238</v>
      </c>
      <c r="D337" s="11" t="s">
        <v>64</v>
      </c>
      <c r="E337" s="170" t="s">
        <v>625</v>
      </c>
      <c r="F337" s="135" t="s">
        <v>626</v>
      </c>
      <c r="G337" s="171" t="s">
        <v>88</v>
      </c>
      <c r="H337" s="103" t="s">
        <v>627</v>
      </c>
      <c r="I337" s="30" t="e">
        <f>VLOOKUP(H337,'合同高级查询数据-4月返'!A:A,1,FALSE)</f>
        <v>#N/A</v>
      </c>
      <c r="J337" s="31" t="s">
        <v>90</v>
      </c>
      <c r="K337" s="173" t="s">
        <v>628</v>
      </c>
      <c r="L337" s="174"/>
      <c r="M337" s="113" t="s">
        <v>629</v>
      </c>
      <c r="N337" s="175">
        <v>44935</v>
      </c>
      <c r="O337" s="176" t="s">
        <v>507</v>
      </c>
      <c r="P337" s="177">
        <v>9267.6</v>
      </c>
      <c r="Q337" s="177">
        <v>2</v>
      </c>
      <c r="R337" s="130">
        <f t="shared" si="15"/>
        <v>18535.2</v>
      </c>
      <c r="S337" s="127">
        <v>202304</v>
      </c>
      <c r="T337" s="183" t="s">
        <v>636</v>
      </c>
      <c r="U337" s="149"/>
      <c r="V337" s="149"/>
      <c r="W337" s="149"/>
      <c r="X337" s="131"/>
      <c r="Y337" s="131"/>
    </row>
    <row r="338" s="86" customFormat="1" customHeight="1" spans="1:25">
      <c r="A338" s="135" t="s">
        <v>61</v>
      </c>
      <c r="B338" s="135" t="s">
        <v>62</v>
      </c>
      <c r="C338" s="135" t="s">
        <v>238</v>
      </c>
      <c r="D338" s="11" t="s">
        <v>64</v>
      </c>
      <c r="E338" s="170" t="s">
        <v>625</v>
      </c>
      <c r="F338" s="135" t="s">
        <v>626</v>
      </c>
      <c r="G338" s="171" t="s">
        <v>88</v>
      </c>
      <c r="H338" s="103" t="s">
        <v>627</v>
      </c>
      <c r="I338" s="30" t="e">
        <f>VLOOKUP(H338,'合同高级查询数据-4月返'!A:A,1,FALSE)</f>
        <v>#N/A</v>
      </c>
      <c r="J338" s="31" t="s">
        <v>90</v>
      </c>
      <c r="K338" s="173" t="s">
        <v>628</v>
      </c>
      <c r="L338" s="174"/>
      <c r="M338" s="113" t="s">
        <v>629</v>
      </c>
      <c r="N338" s="175">
        <v>44974</v>
      </c>
      <c r="O338" s="176" t="s">
        <v>507</v>
      </c>
      <c r="P338" s="177">
        <v>9267.6</v>
      </c>
      <c r="Q338" s="177">
        <v>2</v>
      </c>
      <c r="R338" s="130">
        <f t="shared" si="15"/>
        <v>18535.2</v>
      </c>
      <c r="S338" s="127">
        <v>202304</v>
      </c>
      <c r="T338" s="183" t="s">
        <v>637</v>
      </c>
      <c r="U338" s="149"/>
      <c r="V338" s="149"/>
      <c r="W338" s="149"/>
      <c r="X338" s="131"/>
      <c r="Y338" s="131"/>
    </row>
    <row r="339" s="86" customFormat="1" customHeight="1" spans="1:25">
      <c r="A339" s="135" t="s">
        <v>61</v>
      </c>
      <c r="B339" s="135" t="s">
        <v>62</v>
      </c>
      <c r="C339" s="135" t="s">
        <v>238</v>
      </c>
      <c r="D339" s="11" t="s">
        <v>64</v>
      </c>
      <c r="E339" s="170" t="s">
        <v>625</v>
      </c>
      <c r="F339" s="135" t="s">
        <v>626</v>
      </c>
      <c r="G339" s="171" t="s">
        <v>88</v>
      </c>
      <c r="H339" s="103" t="s">
        <v>627</v>
      </c>
      <c r="I339" s="30" t="e">
        <f>VLOOKUP(H339,'合同高级查询数据-4月返'!A:A,1,FALSE)</f>
        <v>#N/A</v>
      </c>
      <c r="J339" s="31" t="s">
        <v>90</v>
      </c>
      <c r="K339" s="173" t="s">
        <v>628</v>
      </c>
      <c r="L339" s="174"/>
      <c r="M339" s="113" t="s">
        <v>629</v>
      </c>
      <c r="N339" s="175">
        <v>44977</v>
      </c>
      <c r="O339" s="176" t="s">
        <v>507</v>
      </c>
      <c r="P339" s="177">
        <v>9267.6</v>
      </c>
      <c r="Q339" s="177">
        <v>1</v>
      </c>
      <c r="R339" s="130">
        <f t="shared" si="15"/>
        <v>9267.6</v>
      </c>
      <c r="S339" s="127">
        <v>202304</v>
      </c>
      <c r="T339" s="183" t="s">
        <v>638</v>
      </c>
      <c r="U339" s="149"/>
      <c r="V339" s="149"/>
      <c r="W339" s="149"/>
      <c r="X339" s="131"/>
      <c r="Y339" s="131"/>
    </row>
    <row r="340" s="86" customFormat="1" customHeight="1" spans="1:25">
      <c r="A340" s="135" t="s">
        <v>61</v>
      </c>
      <c r="B340" s="135" t="s">
        <v>62</v>
      </c>
      <c r="C340" s="135" t="s">
        <v>238</v>
      </c>
      <c r="D340" s="11" t="s">
        <v>64</v>
      </c>
      <c r="E340" s="170" t="s">
        <v>625</v>
      </c>
      <c r="F340" s="135" t="s">
        <v>626</v>
      </c>
      <c r="G340" s="171" t="s">
        <v>88</v>
      </c>
      <c r="H340" s="103" t="s">
        <v>627</v>
      </c>
      <c r="I340" s="30" t="e">
        <f>VLOOKUP(H340,'合同高级查询数据-4月返'!A:A,1,FALSE)</f>
        <v>#N/A</v>
      </c>
      <c r="J340" s="31" t="s">
        <v>90</v>
      </c>
      <c r="K340" s="173" t="s">
        <v>628</v>
      </c>
      <c r="L340" s="174"/>
      <c r="M340" s="113" t="s">
        <v>629</v>
      </c>
      <c r="N340" s="175">
        <v>44981</v>
      </c>
      <c r="O340" s="176" t="s">
        <v>507</v>
      </c>
      <c r="P340" s="177">
        <v>9267.6</v>
      </c>
      <c r="Q340" s="177">
        <v>4</v>
      </c>
      <c r="R340" s="130">
        <f t="shared" si="15"/>
        <v>37070.4</v>
      </c>
      <c r="S340" s="127">
        <v>202304</v>
      </c>
      <c r="T340" s="183" t="s">
        <v>639</v>
      </c>
      <c r="U340" s="149"/>
      <c r="V340" s="149"/>
      <c r="W340" s="149"/>
      <c r="X340" s="131"/>
      <c r="Y340" s="131"/>
    </row>
    <row r="341" s="86" customFormat="1" customHeight="1" spans="1:25">
      <c r="A341" s="135" t="s">
        <v>61</v>
      </c>
      <c r="B341" s="135" t="s">
        <v>62</v>
      </c>
      <c r="C341" s="135" t="s">
        <v>238</v>
      </c>
      <c r="D341" s="11" t="s">
        <v>64</v>
      </c>
      <c r="E341" s="170" t="s">
        <v>625</v>
      </c>
      <c r="F341" s="135" t="s">
        <v>626</v>
      </c>
      <c r="G341" s="171" t="s">
        <v>88</v>
      </c>
      <c r="H341" s="103" t="s">
        <v>627</v>
      </c>
      <c r="I341" s="30" t="e">
        <f>VLOOKUP(H341,'合同高级查询数据-4月返'!A:A,1,FALSE)</f>
        <v>#N/A</v>
      </c>
      <c r="J341" s="31" t="s">
        <v>90</v>
      </c>
      <c r="K341" s="173" t="s">
        <v>628</v>
      </c>
      <c r="L341" s="174"/>
      <c r="M341" s="113" t="s">
        <v>629</v>
      </c>
      <c r="N341" s="175">
        <v>44999</v>
      </c>
      <c r="O341" s="176" t="s">
        <v>507</v>
      </c>
      <c r="P341" s="177">
        <v>9267.6</v>
      </c>
      <c r="Q341" s="177">
        <v>1</v>
      </c>
      <c r="R341" s="130">
        <f t="shared" si="15"/>
        <v>9267.6</v>
      </c>
      <c r="S341" s="127">
        <v>202304</v>
      </c>
      <c r="T341" s="183" t="s">
        <v>640</v>
      </c>
      <c r="U341" s="149"/>
      <c r="V341" s="149"/>
      <c r="W341" s="149"/>
      <c r="X341" s="131"/>
      <c r="Y341" s="131"/>
    </row>
    <row r="342" s="86" customFormat="1" customHeight="1" spans="1:25">
      <c r="A342" s="135" t="s">
        <v>61</v>
      </c>
      <c r="B342" s="135" t="s">
        <v>62</v>
      </c>
      <c r="C342" s="135" t="s">
        <v>238</v>
      </c>
      <c r="D342" s="11" t="s">
        <v>64</v>
      </c>
      <c r="E342" s="170" t="s">
        <v>625</v>
      </c>
      <c r="F342" s="135" t="s">
        <v>626</v>
      </c>
      <c r="G342" s="171" t="s">
        <v>88</v>
      </c>
      <c r="H342" s="103" t="s">
        <v>627</v>
      </c>
      <c r="I342" s="30" t="e">
        <f>VLOOKUP(H342,'合同高级查询数据-4月返'!A:A,1,FALSE)</f>
        <v>#N/A</v>
      </c>
      <c r="J342" s="31" t="s">
        <v>90</v>
      </c>
      <c r="K342" s="173" t="s">
        <v>628</v>
      </c>
      <c r="L342" s="174"/>
      <c r="M342" s="113" t="s">
        <v>629</v>
      </c>
      <c r="N342" s="175">
        <v>45003</v>
      </c>
      <c r="O342" s="176" t="s">
        <v>507</v>
      </c>
      <c r="P342" s="177">
        <v>9267.6</v>
      </c>
      <c r="Q342" s="177">
        <v>3</v>
      </c>
      <c r="R342" s="130">
        <f t="shared" si="15"/>
        <v>27802.8</v>
      </c>
      <c r="S342" s="127">
        <v>202304</v>
      </c>
      <c r="T342" s="183" t="s">
        <v>641</v>
      </c>
      <c r="U342" s="149"/>
      <c r="V342" s="149"/>
      <c r="W342" s="149"/>
      <c r="X342" s="131"/>
      <c r="Y342" s="131"/>
    </row>
    <row r="343" s="85" customFormat="1" customHeight="1" spans="1:25">
      <c r="A343" s="160" t="s">
        <v>446</v>
      </c>
      <c r="B343" s="98" t="s">
        <v>62</v>
      </c>
      <c r="C343" s="98" t="s">
        <v>238</v>
      </c>
      <c r="D343" s="98" t="s">
        <v>642</v>
      </c>
      <c r="E343" s="162" t="s">
        <v>643</v>
      </c>
      <c r="F343" s="160" t="s">
        <v>644</v>
      </c>
      <c r="G343" s="107" t="s">
        <v>88</v>
      </c>
      <c r="H343" s="99" t="s">
        <v>645</v>
      </c>
      <c r="I343" s="46" t="e">
        <f>VLOOKUP(H343,'合同高级查询数据-4月返'!A:A,1,FALSE)</f>
        <v>#N/A</v>
      </c>
      <c r="J343" s="47" t="s">
        <v>90</v>
      </c>
      <c r="K343" s="107" t="s">
        <v>646</v>
      </c>
      <c r="L343" s="107"/>
      <c r="M343" s="49" t="s">
        <v>594</v>
      </c>
      <c r="N343" s="73">
        <v>44105</v>
      </c>
      <c r="O343" s="73" t="s">
        <v>503</v>
      </c>
      <c r="P343" s="164">
        <v>5803.6</v>
      </c>
      <c r="Q343" s="164">
        <v>42</v>
      </c>
      <c r="R343" s="118">
        <f t="shared" si="15"/>
        <v>243751.2</v>
      </c>
      <c r="S343" s="115">
        <v>202304</v>
      </c>
      <c r="T343" s="184" t="s">
        <v>647</v>
      </c>
      <c r="U343" s="185"/>
      <c r="V343" s="165"/>
      <c r="W343" s="165"/>
      <c r="X343" s="116">
        <v>44075</v>
      </c>
      <c r="Y343" s="116">
        <v>46265</v>
      </c>
    </row>
    <row r="344" s="85" customFormat="1" customHeight="1" spans="1:25">
      <c r="A344" s="160" t="s">
        <v>446</v>
      </c>
      <c r="B344" s="98" t="s">
        <v>62</v>
      </c>
      <c r="C344" s="98" t="s">
        <v>238</v>
      </c>
      <c r="D344" s="98" t="s">
        <v>642</v>
      </c>
      <c r="E344" s="162" t="s">
        <v>643</v>
      </c>
      <c r="F344" s="160" t="s">
        <v>644</v>
      </c>
      <c r="G344" s="107" t="s">
        <v>88</v>
      </c>
      <c r="H344" s="99" t="s">
        <v>645</v>
      </c>
      <c r="I344" s="46" t="e">
        <f>VLOOKUP(H344,'合同高级查询数据-4月返'!A:A,1,FALSE)</f>
        <v>#N/A</v>
      </c>
      <c r="J344" s="47" t="s">
        <v>90</v>
      </c>
      <c r="K344" s="107" t="s">
        <v>646</v>
      </c>
      <c r="L344" s="107"/>
      <c r="M344" s="49" t="s">
        <v>594</v>
      </c>
      <c r="N344" s="73">
        <v>44105</v>
      </c>
      <c r="O344" s="73" t="s">
        <v>507</v>
      </c>
      <c r="P344" s="164">
        <v>11600</v>
      </c>
      <c r="Q344" s="164">
        <v>81</v>
      </c>
      <c r="R344" s="118">
        <f t="shared" si="15"/>
        <v>939600</v>
      </c>
      <c r="S344" s="115">
        <v>202304</v>
      </c>
      <c r="T344" s="184" t="s">
        <v>648</v>
      </c>
      <c r="U344" s="185"/>
      <c r="V344" s="165"/>
      <c r="W344" s="165"/>
      <c r="X344" s="116">
        <v>44075</v>
      </c>
      <c r="Y344" s="116">
        <v>46265</v>
      </c>
    </row>
    <row r="345" s="85" customFormat="1" customHeight="1" spans="1:25">
      <c r="A345" s="160" t="s">
        <v>446</v>
      </c>
      <c r="B345" s="98" t="s">
        <v>62</v>
      </c>
      <c r="C345" s="98" t="s">
        <v>238</v>
      </c>
      <c r="D345" s="98" t="s">
        <v>642</v>
      </c>
      <c r="E345" s="162" t="s">
        <v>643</v>
      </c>
      <c r="F345" s="160" t="s">
        <v>644</v>
      </c>
      <c r="G345" s="107" t="s">
        <v>88</v>
      </c>
      <c r="H345" s="99" t="s">
        <v>645</v>
      </c>
      <c r="I345" s="46" t="e">
        <f>VLOOKUP(H345,'合同高级查询数据-4月返'!A:A,1,FALSE)</f>
        <v>#N/A</v>
      </c>
      <c r="J345" s="47" t="s">
        <v>90</v>
      </c>
      <c r="K345" s="107" t="s">
        <v>646</v>
      </c>
      <c r="L345" s="107"/>
      <c r="M345" s="49" t="s">
        <v>594</v>
      </c>
      <c r="N345" s="73">
        <v>44105</v>
      </c>
      <c r="O345" s="73" t="s">
        <v>566</v>
      </c>
      <c r="P345" s="164">
        <v>11871</v>
      </c>
      <c r="Q345" s="164">
        <v>5</v>
      </c>
      <c r="R345" s="118">
        <f t="shared" si="15"/>
        <v>59355</v>
      </c>
      <c r="S345" s="115">
        <v>202304</v>
      </c>
      <c r="T345" s="184" t="s">
        <v>649</v>
      </c>
      <c r="U345" s="185"/>
      <c r="V345" s="165"/>
      <c r="W345" s="165"/>
      <c r="X345" s="116">
        <v>44075</v>
      </c>
      <c r="Y345" s="116">
        <v>46265</v>
      </c>
    </row>
    <row r="346" s="85" customFormat="1" customHeight="1" spans="1:25">
      <c r="A346" s="160" t="s">
        <v>446</v>
      </c>
      <c r="B346" s="98" t="s">
        <v>62</v>
      </c>
      <c r="C346" s="98" t="s">
        <v>238</v>
      </c>
      <c r="D346" s="98" t="s">
        <v>642</v>
      </c>
      <c r="E346" s="162" t="s">
        <v>643</v>
      </c>
      <c r="F346" s="160" t="s">
        <v>644</v>
      </c>
      <c r="G346" s="107" t="s">
        <v>88</v>
      </c>
      <c r="H346" s="99" t="s">
        <v>645</v>
      </c>
      <c r="I346" s="46" t="e">
        <f>VLOOKUP(H346,'合同高级查询数据-4月返'!A:A,1,FALSE)</f>
        <v>#N/A</v>
      </c>
      <c r="J346" s="47" t="s">
        <v>90</v>
      </c>
      <c r="K346" s="107" t="s">
        <v>646</v>
      </c>
      <c r="L346" s="107"/>
      <c r="M346" s="49" t="s">
        <v>594</v>
      </c>
      <c r="N346" s="73">
        <v>44105</v>
      </c>
      <c r="O346" s="73" t="s">
        <v>606</v>
      </c>
      <c r="P346" s="164">
        <v>31656</v>
      </c>
      <c r="Q346" s="164">
        <v>12</v>
      </c>
      <c r="R346" s="118">
        <f t="shared" si="15"/>
        <v>379872</v>
      </c>
      <c r="S346" s="115">
        <v>202304</v>
      </c>
      <c r="T346" s="184" t="s">
        <v>650</v>
      </c>
      <c r="U346" s="185"/>
      <c r="V346" s="165"/>
      <c r="W346" s="165"/>
      <c r="X346" s="116">
        <v>44075</v>
      </c>
      <c r="Y346" s="116">
        <v>46265</v>
      </c>
    </row>
    <row r="347" s="85" customFormat="1" customHeight="1" spans="1:25">
      <c r="A347" s="160" t="s">
        <v>446</v>
      </c>
      <c r="B347" s="98" t="s">
        <v>62</v>
      </c>
      <c r="C347" s="98" t="s">
        <v>238</v>
      </c>
      <c r="D347" s="98" t="s">
        <v>642</v>
      </c>
      <c r="E347" s="162" t="s">
        <v>643</v>
      </c>
      <c r="F347" s="160" t="s">
        <v>644</v>
      </c>
      <c r="G347" s="107" t="s">
        <v>88</v>
      </c>
      <c r="H347" s="99" t="s">
        <v>645</v>
      </c>
      <c r="I347" s="46" t="e">
        <f>VLOOKUP(H347,'合同高级查询数据-4月返'!A:A,1,FALSE)</f>
        <v>#N/A</v>
      </c>
      <c r="J347" s="47" t="s">
        <v>90</v>
      </c>
      <c r="K347" s="107" t="s">
        <v>646</v>
      </c>
      <c r="L347" s="107"/>
      <c r="M347" s="49" t="s">
        <v>594</v>
      </c>
      <c r="N347" s="73">
        <v>44105</v>
      </c>
      <c r="O347" s="73" t="s">
        <v>600</v>
      </c>
      <c r="P347" s="164">
        <v>5280</v>
      </c>
      <c r="Q347" s="164">
        <v>16</v>
      </c>
      <c r="R347" s="118">
        <f t="shared" si="15"/>
        <v>84480</v>
      </c>
      <c r="S347" s="115">
        <v>202304</v>
      </c>
      <c r="T347" s="184" t="s">
        <v>651</v>
      </c>
      <c r="U347" s="185"/>
      <c r="V347" s="165"/>
      <c r="W347" s="165"/>
      <c r="X347" s="116">
        <v>44075</v>
      </c>
      <c r="Y347" s="116">
        <v>46265</v>
      </c>
    </row>
    <row r="348" s="85" customFormat="1" customHeight="1" spans="1:25">
      <c r="A348" s="160" t="s">
        <v>446</v>
      </c>
      <c r="B348" s="98" t="s">
        <v>62</v>
      </c>
      <c r="C348" s="98" t="s">
        <v>238</v>
      </c>
      <c r="D348" s="98" t="s">
        <v>642</v>
      </c>
      <c r="E348" s="162" t="s">
        <v>643</v>
      </c>
      <c r="F348" s="160" t="s">
        <v>644</v>
      </c>
      <c r="G348" s="107" t="s">
        <v>88</v>
      </c>
      <c r="H348" s="99" t="s">
        <v>645</v>
      </c>
      <c r="I348" s="46" t="e">
        <f>VLOOKUP(H348,'合同高级查询数据-4月返'!A:A,1,FALSE)</f>
        <v>#N/A</v>
      </c>
      <c r="J348" s="47" t="s">
        <v>90</v>
      </c>
      <c r="K348" s="107" t="s">
        <v>646</v>
      </c>
      <c r="L348" s="107"/>
      <c r="M348" s="49" t="s">
        <v>594</v>
      </c>
      <c r="N348" s="73">
        <v>44137</v>
      </c>
      <c r="O348" s="73" t="s">
        <v>507</v>
      </c>
      <c r="P348" s="164">
        <v>11600</v>
      </c>
      <c r="Q348" s="164">
        <v>23</v>
      </c>
      <c r="R348" s="118">
        <f t="shared" si="15"/>
        <v>266800</v>
      </c>
      <c r="S348" s="115">
        <v>202304</v>
      </c>
      <c r="T348" s="184" t="s">
        <v>652</v>
      </c>
      <c r="U348" s="184"/>
      <c r="V348" s="165"/>
      <c r="W348" s="165"/>
      <c r="X348" s="116">
        <v>44075</v>
      </c>
      <c r="Y348" s="116">
        <v>46265</v>
      </c>
    </row>
    <row r="349" s="85" customFormat="1" customHeight="1" spans="1:25">
      <c r="A349" s="160" t="s">
        <v>446</v>
      </c>
      <c r="B349" s="98" t="s">
        <v>62</v>
      </c>
      <c r="C349" s="98" t="s">
        <v>238</v>
      </c>
      <c r="D349" s="98" t="s">
        <v>642</v>
      </c>
      <c r="E349" s="162" t="s">
        <v>643</v>
      </c>
      <c r="F349" s="160" t="s">
        <v>644</v>
      </c>
      <c r="G349" s="107" t="s">
        <v>88</v>
      </c>
      <c r="H349" s="99" t="s">
        <v>645</v>
      </c>
      <c r="I349" s="46" t="e">
        <f>VLOOKUP(H349,'合同高级查询数据-4月返'!A:A,1,FALSE)</f>
        <v>#N/A</v>
      </c>
      <c r="J349" s="47" t="s">
        <v>90</v>
      </c>
      <c r="K349" s="107" t="s">
        <v>646</v>
      </c>
      <c r="L349" s="107"/>
      <c r="M349" s="49" t="s">
        <v>594</v>
      </c>
      <c r="N349" s="73">
        <v>44174</v>
      </c>
      <c r="O349" s="73" t="s">
        <v>507</v>
      </c>
      <c r="P349" s="164">
        <v>11600</v>
      </c>
      <c r="Q349" s="164">
        <v>19</v>
      </c>
      <c r="R349" s="118">
        <f t="shared" si="15"/>
        <v>220400</v>
      </c>
      <c r="S349" s="115">
        <v>202304</v>
      </c>
      <c r="T349" s="184" t="s">
        <v>653</v>
      </c>
      <c r="U349" s="184"/>
      <c r="V349" s="165"/>
      <c r="W349" s="165"/>
      <c r="X349" s="116">
        <v>44075</v>
      </c>
      <c r="Y349" s="116">
        <v>46265</v>
      </c>
    </row>
    <row r="350" s="85" customFormat="1" customHeight="1" spans="1:25">
      <c r="A350" s="160" t="s">
        <v>446</v>
      </c>
      <c r="B350" s="98" t="s">
        <v>62</v>
      </c>
      <c r="C350" s="98" t="s">
        <v>238</v>
      </c>
      <c r="D350" s="98" t="s">
        <v>642</v>
      </c>
      <c r="E350" s="162" t="s">
        <v>643</v>
      </c>
      <c r="F350" s="160" t="s">
        <v>644</v>
      </c>
      <c r="G350" s="107" t="s">
        <v>88</v>
      </c>
      <c r="H350" s="99" t="s">
        <v>645</v>
      </c>
      <c r="I350" s="46" t="e">
        <f>VLOOKUP(H350,'合同高级查询数据-4月返'!A:A,1,FALSE)</f>
        <v>#N/A</v>
      </c>
      <c r="J350" s="47" t="s">
        <v>90</v>
      </c>
      <c r="K350" s="107" t="s">
        <v>646</v>
      </c>
      <c r="L350" s="107"/>
      <c r="M350" s="49" t="s">
        <v>594</v>
      </c>
      <c r="N350" s="73">
        <v>44179</v>
      </c>
      <c r="O350" s="73" t="s">
        <v>507</v>
      </c>
      <c r="P350" s="164">
        <v>11600</v>
      </c>
      <c r="Q350" s="164">
        <v>38</v>
      </c>
      <c r="R350" s="118">
        <f t="shared" si="15"/>
        <v>440800</v>
      </c>
      <c r="S350" s="115">
        <v>202304</v>
      </c>
      <c r="T350" s="184" t="s">
        <v>654</v>
      </c>
      <c r="U350" s="184"/>
      <c r="V350" s="165"/>
      <c r="W350" s="165"/>
      <c r="X350" s="116">
        <v>44075</v>
      </c>
      <c r="Y350" s="116">
        <v>46265</v>
      </c>
    </row>
    <row r="351" s="85" customFormat="1" customHeight="1" spans="1:25">
      <c r="A351" s="160" t="s">
        <v>446</v>
      </c>
      <c r="B351" s="98" t="s">
        <v>62</v>
      </c>
      <c r="C351" s="98" t="s">
        <v>238</v>
      </c>
      <c r="D351" s="98" t="s">
        <v>642</v>
      </c>
      <c r="E351" s="162" t="s">
        <v>643</v>
      </c>
      <c r="F351" s="160" t="s">
        <v>644</v>
      </c>
      <c r="G351" s="107" t="s">
        <v>88</v>
      </c>
      <c r="H351" s="99" t="s">
        <v>645</v>
      </c>
      <c r="I351" s="46" t="e">
        <f>VLOOKUP(H351,'合同高级查询数据-4月返'!A:A,1,FALSE)</f>
        <v>#N/A</v>
      </c>
      <c r="J351" s="47" t="s">
        <v>90</v>
      </c>
      <c r="K351" s="107" t="s">
        <v>646</v>
      </c>
      <c r="L351" s="107"/>
      <c r="M351" s="49" t="s">
        <v>594</v>
      </c>
      <c r="N351" s="73">
        <v>44190</v>
      </c>
      <c r="O351" s="73" t="s">
        <v>507</v>
      </c>
      <c r="P351" s="164">
        <v>11600</v>
      </c>
      <c r="Q351" s="164">
        <v>13</v>
      </c>
      <c r="R351" s="118">
        <f t="shared" si="15"/>
        <v>150800</v>
      </c>
      <c r="S351" s="115">
        <v>202304</v>
      </c>
      <c r="T351" s="184" t="s">
        <v>655</v>
      </c>
      <c r="U351" s="184"/>
      <c r="V351" s="165"/>
      <c r="W351" s="165"/>
      <c r="X351" s="116">
        <v>44075</v>
      </c>
      <c r="Y351" s="116">
        <v>46265</v>
      </c>
    </row>
    <row r="352" s="85" customFormat="1" customHeight="1" spans="1:25">
      <c r="A352" s="160" t="s">
        <v>446</v>
      </c>
      <c r="B352" s="98" t="s">
        <v>62</v>
      </c>
      <c r="C352" s="98" t="s">
        <v>238</v>
      </c>
      <c r="D352" s="98" t="s">
        <v>642</v>
      </c>
      <c r="E352" s="162" t="s">
        <v>643</v>
      </c>
      <c r="F352" s="160" t="s">
        <v>644</v>
      </c>
      <c r="G352" s="107" t="s">
        <v>88</v>
      </c>
      <c r="H352" s="99" t="s">
        <v>645</v>
      </c>
      <c r="I352" s="46" t="e">
        <f>VLOOKUP(H352,'合同高级查询数据-4月返'!A:A,1,FALSE)</f>
        <v>#N/A</v>
      </c>
      <c r="J352" s="47" t="s">
        <v>90</v>
      </c>
      <c r="K352" s="107" t="s">
        <v>646</v>
      </c>
      <c r="L352" s="107"/>
      <c r="M352" s="49" t="s">
        <v>594</v>
      </c>
      <c r="N352" s="73">
        <v>44192</v>
      </c>
      <c r="O352" s="73" t="s">
        <v>507</v>
      </c>
      <c r="P352" s="164">
        <v>11600</v>
      </c>
      <c r="Q352" s="164">
        <v>25</v>
      </c>
      <c r="R352" s="118">
        <f t="shared" si="15"/>
        <v>290000</v>
      </c>
      <c r="S352" s="115">
        <v>202304</v>
      </c>
      <c r="T352" s="184" t="s">
        <v>656</v>
      </c>
      <c r="U352" s="184"/>
      <c r="V352" s="165"/>
      <c r="W352" s="165"/>
      <c r="X352" s="116">
        <v>44075</v>
      </c>
      <c r="Y352" s="116">
        <v>46265</v>
      </c>
    </row>
    <row r="353" s="85" customFormat="1" customHeight="1" spans="1:25">
      <c r="A353" s="160" t="s">
        <v>446</v>
      </c>
      <c r="B353" s="98" t="s">
        <v>62</v>
      </c>
      <c r="C353" s="98" t="s">
        <v>238</v>
      </c>
      <c r="D353" s="98" t="s">
        <v>642</v>
      </c>
      <c r="E353" s="162" t="s">
        <v>643</v>
      </c>
      <c r="F353" s="160" t="s">
        <v>644</v>
      </c>
      <c r="G353" s="107" t="s">
        <v>88</v>
      </c>
      <c r="H353" s="99" t="s">
        <v>645</v>
      </c>
      <c r="I353" s="46" t="e">
        <f>VLOOKUP(H353,'合同高级查询数据-4月返'!A:A,1,FALSE)</f>
        <v>#N/A</v>
      </c>
      <c r="J353" s="47" t="s">
        <v>90</v>
      </c>
      <c r="K353" s="107" t="s">
        <v>646</v>
      </c>
      <c r="L353" s="107"/>
      <c r="M353" s="49" t="s">
        <v>594</v>
      </c>
      <c r="N353" s="73">
        <v>44196</v>
      </c>
      <c r="O353" s="73" t="s">
        <v>507</v>
      </c>
      <c r="P353" s="164">
        <v>11600</v>
      </c>
      <c r="Q353" s="164">
        <v>13</v>
      </c>
      <c r="R353" s="118">
        <f t="shared" si="15"/>
        <v>150800</v>
      </c>
      <c r="S353" s="115">
        <v>202304</v>
      </c>
      <c r="T353" s="184" t="s">
        <v>657</v>
      </c>
      <c r="U353" s="184"/>
      <c r="V353" s="165"/>
      <c r="W353" s="165"/>
      <c r="X353" s="116">
        <v>44075</v>
      </c>
      <c r="Y353" s="116">
        <v>46265</v>
      </c>
    </row>
    <row r="354" s="85" customFormat="1" customHeight="1" spans="1:25">
      <c r="A354" s="160" t="s">
        <v>446</v>
      </c>
      <c r="B354" s="98" t="s">
        <v>62</v>
      </c>
      <c r="C354" s="98" t="s">
        <v>238</v>
      </c>
      <c r="D354" s="98" t="s">
        <v>642</v>
      </c>
      <c r="E354" s="162" t="s">
        <v>643</v>
      </c>
      <c r="F354" s="160" t="s">
        <v>644</v>
      </c>
      <c r="G354" s="107" t="s">
        <v>88</v>
      </c>
      <c r="H354" s="99" t="s">
        <v>645</v>
      </c>
      <c r="I354" s="46" t="e">
        <f>VLOOKUP(H354,'合同高级查询数据-4月返'!A:A,1,FALSE)</f>
        <v>#N/A</v>
      </c>
      <c r="J354" s="47" t="s">
        <v>90</v>
      </c>
      <c r="K354" s="107" t="s">
        <v>646</v>
      </c>
      <c r="L354" s="107"/>
      <c r="M354" s="49" t="s">
        <v>594</v>
      </c>
      <c r="N354" s="73">
        <v>44201</v>
      </c>
      <c r="O354" s="73" t="s">
        <v>507</v>
      </c>
      <c r="P354" s="164">
        <v>11600</v>
      </c>
      <c r="Q354" s="164">
        <v>19</v>
      </c>
      <c r="R354" s="118">
        <f t="shared" si="15"/>
        <v>220400</v>
      </c>
      <c r="S354" s="115">
        <v>202304</v>
      </c>
      <c r="T354" s="184" t="s">
        <v>658</v>
      </c>
      <c r="U354" s="184"/>
      <c r="V354" s="165"/>
      <c r="W354" s="165"/>
      <c r="X354" s="116">
        <v>44075</v>
      </c>
      <c r="Y354" s="116">
        <v>46265</v>
      </c>
    </row>
    <row r="355" s="85" customFormat="1" customHeight="1" spans="1:25">
      <c r="A355" s="160" t="s">
        <v>446</v>
      </c>
      <c r="B355" s="98" t="s">
        <v>62</v>
      </c>
      <c r="C355" s="98" t="s">
        <v>238</v>
      </c>
      <c r="D355" s="98" t="s">
        <v>642</v>
      </c>
      <c r="E355" s="162" t="s">
        <v>643</v>
      </c>
      <c r="F355" s="160" t="s">
        <v>644</v>
      </c>
      <c r="G355" s="107" t="s">
        <v>88</v>
      </c>
      <c r="H355" s="99" t="s">
        <v>645</v>
      </c>
      <c r="I355" s="46" t="e">
        <f>VLOOKUP(H355,'合同高级查询数据-4月返'!A:A,1,FALSE)</f>
        <v>#N/A</v>
      </c>
      <c r="J355" s="47" t="s">
        <v>90</v>
      </c>
      <c r="K355" s="107" t="s">
        <v>646</v>
      </c>
      <c r="L355" s="107"/>
      <c r="M355" s="49" t="s">
        <v>594</v>
      </c>
      <c r="N355" s="73">
        <v>44203</v>
      </c>
      <c r="O355" s="73" t="s">
        <v>507</v>
      </c>
      <c r="P355" s="164">
        <v>11600</v>
      </c>
      <c r="Q355" s="164">
        <v>20</v>
      </c>
      <c r="R355" s="118">
        <f t="shared" si="15"/>
        <v>232000</v>
      </c>
      <c r="S355" s="115">
        <v>202304</v>
      </c>
      <c r="T355" s="184" t="s">
        <v>659</v>
      </c>
      <c r="U355" s="184"/>
      <c r="V355" s="165"/>
      <c r="W355" s="165"/>
      <c r="X355" s="116">
        <v>44075</v>
      </c>
      <c r="Y355" s="116">
        <v>46265</v>
      </c>
    </row>
    <row r="356" s="85" customFormat="1" customHeight="1" spans="1:25">
      <c r="A356" s="160" t="s">
        <v>446</v>
      </c>
      <c r="B356" s="98" t="s">
        <v>62</v>
      </c>
      <c r="C356" s="98" t="s">
        <v>238</v>
      </c>
      <c r="D356" s="98" t="s">
        <v>642</v>
      </c>
      <c r="E356" s="162" t="s">
        <v>643</v>
      </c>
      <c r="F356" s="160" t="s">
        <v>644</v>
      </c>
      <c r="G356" s="107" t="s">
        <v>88</v>
      </c>
      <c r="H356" s="99" t="s">
        <v>645</v>
      </c>
      <c r="I356" s="46" t="e">
        <f>VLOOKUP(H356,'合同高级查询数据-4月返'!A:A,1,FALSE)</f>
        <v>#N/A</v>
      </c>
      <c r="J356" s="47" t="s">
        <v>90</v>
      </c>
      <c r="K356" s="107" t="s">
        <v>646</v>
      </c>
      <c r="L356" s="107"/>
      <c r="M356" s="49" t="s">
        <v>594</v>
      </c>
      <c r="N356" s="73">
        <v>44211</v>
      </c>
      <c r="O356" s="73" t="s">
        <v>507</v>
      </c>
      <c r="P356" s="164">
        <v>11600</v>
      </c>
      <c r="Q356" s="164">
        <v>8</v>
      </c>
      <c r="R356" s="118">
        <f t="shared" si="15"/>
        <v>92800</v>
      </c>
      <c r="S356" s="115">
        <v>202304</v>
      </c>
      <c r="T356" s="184" t="s">
        <v>660</v>
      </c>
      <c r="U356" s="184"/>
      <c r="V356" s="165"/>
      <c r="W356" s="165"/>
      <c r="X356" s="116">
        <v>44075</v>
      </c>
      <c r="Y356" s="116">
        <v>46265</v>
      </c>
    </row>
    <row r="357" s="85" customFormat="1" customHeight="1" spans="1:25">
      <c r="A357" s="160" t="s">
        <v>446</v>
      </c>
      <c r="B357" s="98" t="s">
        <v>62</v>
      </c>
      <c r="C357" s="98" t="s">
        <v>238</v>
      </c>
      <c r="D357" s="98" t="s">
        <v>642</v>
      </c>
      <c r="E357" s="162" t="s">
        <v>643</v>
      </c>
      <c r="F357" s="160" t="s">
        <v>644</v>
      </c>
      <c r="G357" s="107" t="s">
        <v>88</v>
      </c>
      <c r="H357" s="99" t="s">
        <v>645</v>
      </c>
      <c r="I357" s="46" t="e">
        <f>VLOOKUP(H357,'合同高级查询数据-4月返'!A:A,1,FALSE)</f>
        <v>#N/A</v>
      </c>
      <c r="J357" s="47" t="s">
        <v>90</v>
      </c>
      <c r="K357" s="107" t="s">
        <v>646</v>
      </c>
      <c r="L357" s="107"/>
      <c r="M357" s="49" t="s">
        <v>594</v>
      </c>
      <c r="N357" s="73">
        <v>44212</v>
      </c>
      <c r="O357" s="73" t="s">
        <v>507</v>
      </c>
      <c r="P357" s="164">
        <v>11600</v>
      </c>
      <c r="Q357" s="164">
        <v>2</v>
      </c>
      <c r="R357" s="118">
        <f t="shared" si="15"/>
        <v>23200</v>
      </c>
      <c r="S357" s="115">
        <v>202304</v>
      </c>
      <c r="T357" s="184" t="s">
        <v>661</v>
      </c>
      <c r="U357" s="184"/>
      <c r="V357" s="165"/>
      <c r="W357" s="165"/>
      <c r="X357" s="116">
        <v>44075</v>
      </c>
      <c r="Y357" s="116">
        <v>46265</v>
      </c>
    </row>
    <row r="358" s="85" customFormat="1" customHeight="1" spans="1:25">
      <c r="A358" s="160" t="s">
        <v>446</v>
      </c>
      <c r="B358" s="98" t="s">
        <v>62</v>
      </c>
      <c r="C358" s="98" t="s">
        <v>238</v>
      </c>
      <c r="D358" s="98" t="s">
        <v>642</v>
      </c>
      <c r="E358" s="162" t="s">
        <v>643</v>
      </c>
      <c r="F358" s="160" t="s">
        <v>644</v>
      </c>
      <c r="G358" s="107" t="s">
        <v>88</v>
      </c>
      <c r="H358" s="99" t="s">
        <v>645</v>
      </c>
      <c r="I358" s="46" t="e">
        <f>VLOOKUP(H358,'合同高级查询数据-4月返'!A:A,1,FALSE)</f>
        <v>#N/A</v>
      </c>
      <c r="J358" s="47" t="s">
        <v>90</v>
      </c>
      <c r="K358" s="107" t="s">
        <v>646</v>
      </c>
      <c r="L358" s="107"/>
      <c r="M358" s="49" t="s">
        <v>594</v>
      </c>
      <c r="N358" s="73">
        <v>44217</v>
      </c>
      <c r="O358" s="73" t="s">
        <v>507</v>
      </c>
      <c r="P358" s="164">
        <v>11600</v>
      </c>
      <c r="Q358" s="164">
        <v>25</v>
      </c>
      <c r="R358" s="118">
        <f t="shared" si="15"/>
        <v>290000</v>
      </c>
      <c r="S358" s="115">
        <v>202304</v>
      </c>
      <c r="T358" s="184" t="s">
        <v>662</v>
      </c>
      <c r="U358" s="184"/>
      <c r="V358" s="165"/>
      <c r="W358" s="165"/>
      <c r="X358" s="116">
        <v>44075</v>
      </c>
      <c r="Y358" s="116">
        <v>46265</v>
      </c>
    </row>
    <row r="359" s="85" customFormat="1" customHeight="1" spans="1:25">
      <c r="A359" s="160" t="s">
        <v>446</v>
      </c>
      <c r="B359" s="98" t="s">
        <v>62</v>
      </c>
      <c r="C359" s="98" t="s">
        <v>238</v>
      </c>
      <c r="D359" s="98" t="s">
        <v>642</v>
      </c>
      <c r="E359" s="162" t="s">
        <v>643</v>
      </c>
      <c r="F359" s="160" t="s">
        <v>644</v>
      </c>
      <c r="G359" s="107" t="s">
        <v>88</v>
      </c>
      <c r="H359" s="99" t="s">
        <v>645</v>
      </c>
      <c r="I359" s="46" t="e">
        <f>VLOOKUP(H359,'合同高级查询数据-4月返'!A:A,1,FALSE)</f>
        <v>#N/A</v>
      </c>
      <c r="J359" s="47" t="s">
        <v>90</v>
      </c>
      <c r="K359" s="107" t="s">
        <v>646</v>
      </c>
      <c r="L359" s="107"/>
      <c r="M359" s="49" t="s">
        <v>594</v>
      </c>
      <c r="N359" s="73">
        <v>44223</v>
      </c>
      <c r="O359" s="73" t="s">
        <v>507</v>
      </c>
      <c r="P359" s="164">
        <v>11600</v>
      </c>
      <c r="Q359" s="164">
        <v>12</v>
      </c>
      <c r="R359" s="118">
        <f t="shared" si="15"/>
        <v>139200</v>
      </c>
      <c r="S359" s="115">
        <v>202304</v>
      </c>
      <c r="T359" s="184" t="s">
        <v>663</v>
      </c>
      <c r="U359" s="184"/>
      <c r="V359" s="165"/>
      <c r="W359" s="165"/>
      <c r="X359" s="116">
        <v>44075</v>
      </c>
      <c r="Y359" s="116">
        <v>46265</v>
      </c>
    </row>
    <row r="360" s="85" customFormat="1" customHeight="1" spans="1:25">
      <c r="A360" s="160" t="s">
        <v>446</v>
      </c>
      <c r="B360" s="98" t="s">
        <v>62</v>
      </c>
      <c r="C360" s="98" t="s">
        <v>238</v>
      </c>
      <c r="D360" s="98" t="s">
        <v>642</v>
      </c>
      <c r="E360" s="162" t="s">
        <v>643</v>
      </c>
      <c r="F360" s="160" t="s">
        <v>644</v>
      </c>
      <c r="G360" s="107" t="s">
        <v>88</v>
      </c>
      <c r="H360" s="99" t="s">
        <v>645</v>
      </c>
      <c r="I360" s="46" t="e">
        <f>VLOOKUP(H360,'合同高级查询数据-4月返'!A:A,1,FALSE)</f>
        <v>#N/A</v>
      </c>
      <c r="J360" s="47" t="s">
        <v>90</v>
      </c>
      <c r="K360" s="107" t="s">
        <v>646</v>
      </c>
      <c r="L360" s="107"/>
      <c r="M360" s="49" t="s">
        <v>594</v>
      </c>
      <c r="N360" s="73">
        <v>44251</v>
      </c>
      <c r="O360" s="73" t="s">
        <v>507</v>
      </c>
      <c r="P360" s="164">
        <v>11600</v>
      </c>
      <c r="Q360" s="164">
        <v>2</v>
      </c>
      <c r="R360" s="118">
        <f t="shared" si="15"/>
        <v>23200</v>
      </c>
      <c r="S360" s="115">
        <v>202304</v>
      </c>
      <c r="T360" s="184" t="s">
        <v>664</v>
      </c>
      <c r="U360" s="184"/>
      <c r="V360" s="165"/>
      <c r="W360" s="165"/>
      <c r="X360" s="116">
        <v>44075</v>
      </c>
      <c r="Y360" s="116">
        <v>46265</v>
      </c>
    </row>
    <row r="361" s="85" customFormat="1" customHeight="1" spans="1:25">
      <c r="A361" s="160" t="s">
        <v>446</v>
      </c>
      <c r="B361" s="98" t="s">
        <v>62</v>
      </c>
      <c r="C361" s="98" t="s">
        <v>238</v>
      </c>
      <c r="D361" s="98" t="s">
        <v>642</v>
      </c>
      <c r="E361" s="162" t="s">
        <v>643</v>
      </c>
      <c r="F361" s="160" t="s">
        <v>644</v>
      </c>
      <c r="G361" s="107" t="s">
        <v>88</v>
      </c>
      <c r="H361" s="99" t="s">
        <v>645</v>
      </c>
      <c r="I361" s="46" t="e">
        <f>VLOOKUP(H361,'合同高级查询数据-4月返'!A:A,1,FALSE)</f>
        <v>#N/A</v>
      </c>
      <c r="J361" s="47" t="s">
        <v>90</v>
      </c>
      <c r="K361" s="107" t="s">
        <v>646</v>
      </c>
      <c r="L361" s="107"/>
      <c r="M361" s="49" t="s">
        <v>594</v>
      </c>
      <c r="N361" s="73">
        <v>44253</v>
      </c>
      <c r="O361" s="73" t="s">
        <v>507</v>
      </c>
      <c r="P361" s="164">
        <v>11600</v>
      </c>
      <c r="Q361" s="164">
        <v>6</v>
      </c>
      <c r="R361" s="118">
        <f t="shared" si="15"/>
        <v>69600</v>
      </c>
      <c r="S361" s="115">
        <v>202304</v>
      </c>
      <c r="T361" s="184" t="s">
        <v>665</v>
      </c>
      <c r="U361" s="184"/>
      <c r="V361" s="165"/>
      <c r="W361" s="165"/>
      <c r="X361" s="116">
        <v>44075</v>
      </c>
      <c r="Y361" s="116">
        <v>46265</v>
      </c>
    </row>
    <row r="362" s="85" customFormat="1" customHeight="1" spans="1:25">
      <c r="A362" s="160" t="s">
        <v>446</v>
      </c>
      <c r="B362" s="98" t="s">
        <v>62</v>
      </c>
      <c r="C362" s="98" t="s">
        <v>238</v>
      </c>
      <c r="D362" s="98" t="s">
        <v>642</v>
      </c>
      <c r="E362" s="162" t="s">
        <v>643</v>
      </c>
      <c r="F362" s="160" t="s">
        <v>644</v>
      </c>
      <c r="G362" s="107" t="s">
        <v>88</v>
      </c>
      <c r="H362" s="99" t="s">
        <v>645</v>
      </c>
      <c r="I362" s="46" t="e">
        <f>VLOOKUP(H362,'合同高级查询数据-4月返'!A:A,1,FALSE)</f>
        <v>#N/A</v>
      </c>
      <c r="J362" s="47" t="s">
        <v>90</v>
      </c>
      <c r="K362" s="107" t="s">
        <v>646</v>
      </c>
      <c r="L362" s="107"/>
      <c r="M362" s="49" t="s">
        <v>594</v>
      </c>
      <c r="N362" s="73">
        <v>44259</v>
      </c>
      <c r="O362" s="73" t="s">
        <v>507</v>
      </c>
      <c r="P362" s="164">
        <v>11600</v>
      </c>
      <c r="Q362" s="164">
        <v>16</v>
      </c>
      <c r="R362" s="118">
        <f t="shared" si="15"/>
        <v>185600</v>
      </c>
      <c r="S362" s="115">
        <v>202304</v>
      </c>
      <c r="T362" s="184" t="s">
        <v>666</v>
      </c>
      <c r="U362" s="184"/>
      <c r="V362" s="165"/>
      <c r="W362" s="165"/>
      <c r="X362" s="116">
        <v>44075</v>
      </c>
      <c r="Y362" s="116">
        <v>46265</v>
      </c>
    </row>
    <row r="363" s="85" customFormat="1" customHeight="1" spans="1:25">
      <c r="A363" s="160" t="s">
        <v>446</v>
      </c>
      <c r="B363" s="98" t="s">
        <v>62</v>
      </c>
      <c r="C363" s="98" t="s">
        <v>238</v>
      </c>
      <c r="D363" s="98" t="s">
        <v>642</v>
      </c>
      <c r="E363" s="162" t="s">
        <v>643</v>
      </c>
      <c r="F363" s="160" t="s">
        <v>644</v>
      </c>
      <c r="G363" s="107" t="s">
        <v>88</v>
      </c>
      <c r="H363" s="99" t="s">
        <v>645</v>
      </c>
      <c r="I363" s="46" t="e">
        <f>VLOOKUP(H363,'合同高级查询数据-4月返'!A:A,1,FALSE)</f>
        <v>#N/A</v>
      </c>
      <c r="J363" s="47" t="s">
        <v>90</v>
      </c>
      <c r="K363" s="107" t="s">
        <v>646</v>
      </c>
      <c r="L363" s="107"/>
      <c r="M363" s="49" t="s">
        <v>594</v>
      </c>
      <c r="N363" s="73">
        <v>44285</v>
      </c>
      <c r="O363" s="73" t="s">
        <v>507</v>
      </c>
      <c r="P363" s="164">
        <v>11600</v>
      </c>
      <c r="Q363" s="164">
        <v>15</v>
      </c>
      <c r="R363" s="118">
        <f t="shared" si="15"/>
        <v>174000</v>
      </c>
      <c r="S363" s="115">
        <v>202304</v>
      </c>
      <c r="T363" s="184" t="s">
        <v>667</v>
      </c>
      <c r="U363" s="184"/>
      <c r="V363" s="165"/>
      <c r="W363" s="165"/>
      <c r="X363" s="116">
        <v>44075</v>
      </c>
      <c r="Y363" s="116">
        <v>46265</v>
      </c>
    </row>
    <row r="364" s="85" customFormat="1" customHeight="1" spans="1:25">
      <c r="A364" s="160" t="s">
        <v>446</v>
      </c>
      <c r="B364" s="98" t="s">
        <v>62</v>
      </c>
      <c r="C364" s="98" t="s">
        <v>238</v>
      </c>
      <c r="D364" s="98" t="s">
        <v>642</v>
      </c>
      <c r="E364" s="162" t="s">
        <v>643</v>
      </c>
      <c r="F364" s="160" t="s">
        <v>644</v>
      </c>
      <c r="G364" s="107" t="s">
        <v>88</v>
      </c>
      <c r="H364" s="99" t="s">
        <v>645</v>
      </c>
      <c r="I364" s="46" t="e">
        <f>VLOOKUP(H364,'合同高级查询数据-4月返'!A:A,1,FALSE)</f>
        <v>#N/A</v>
      </c>
      <c r="J364" s="47" t="s">
        <v>90</v>
      </c>
      <c r="K364" s="107" t="s">
        <v>646</v>
      </c>
      <c r="L364" s="107"/>
      <c r="M364" s="49" t="s">
        <v>594</v>
      </c>
      <c r="N364" s="73">
        <v>44300</v>
      </c>
      <c r="O364" s="73" t="s">
        <v>507</v>
      </c>
      <c r="P364" s="164">
        <v>11600</v>
      </c>
      <c r="Q364" s="164">
        <v>-7</v>
      </c>
      <c r="R364" s="118">
        <f t="shared" si="15"/>
        <v>-81200</v>
      </c>
      <c r="S364" s="115">
        <v>202304</v>
      </c>
      <c r="T364" s="184" t="s">
        <v>668</v>
      </c>
      <c r="U364" s="184"/>
      <c r="V364" s="165"/>
      <c r="W364" s="165"/>
      <c r="X364" s="116">
        <v>44075</v>
      </c>
      <c r="Y364" s="116">
        <v>46265</v>
      </c>
    </row>
    <row r="365" s="85" customFormat="1" customHeight="1" spans="1:25">
      <c r="A365" s="160" t="s">
        <v>446</v>
      </c>
      <c r="B365" s="98" t="s">
        <v>62</v>
      </c>
      <c r="C365" s="98" t="s">
        <v>238</v>
      </c>
      <c r="D365" s="98" t="s">
        <v>642</v>
      </c>
      <c r="E365" s="162" t="s">
        <v>643</v>
      </c>
      <c r="F365" s="160" t="s">
        <v>644</v>
      </c>
      <c r="G365" s="107" t="s">
        <v>88</v>
      </c>
      <c r="H365" s="99" t="s">
        <v>645</v>
      </c>
      <c r="I365" s="46" t="e">
        <f>VLOOKUP(H365,'合同高级查询数据-4月返'!A:A,1,FALSE)</f>
        <v>#N/A</v>
      </c>
      <c r="J365" s="47" t="s">
        <v>90</v>
      </c>
      <c r="K365" s="107" t="s">
        <v>646</v>
      </c>
      <c r="L365" s="107"/>
      <c r="M365" s="49" t="s">
        <v>594</v>
      </c>
      <c r="N365" s="73">
        <v>44312</v>
      </c>
      <c r="O365" s="73" t="s">
        <v>507</v>
      </c>
      <c r="P365" s="164">
        <v>11600</v>
      </c>
      <c r="Q365" s="164">
        <v>1</v>
      </c>
      <c r="R365" s="118">
        <f t="shared" si="15"/>
        <v>11600</v>
      </c>
      <c r="S365" s="115">
        <v>202304</v>
      </c>
      <c r="T365" s="184" t="s">
        <v>669</v>
      </c>
      <c r="U365" s="184"/>
      <c r="V365" s="165"/>
      <c r="W365" s="165"/>
      <c r="X365" s="116">
        <v>44075</v>
      </c>
      <c r="Y365" s="116">
        <v>46265</v>
      </c>
    </row>
    <row r="366" s="85" customFormat="1" customHeight="1" spans="1:25">
      <c r="A366" s="160" t="s">
        <v>446</v>
      </c>
      <c r="B366" s="98" t="s">
        <v>62</v>
      </c>
      <c r="C366" s="98" t="s">
        <v>238</v>
      </c>
      <c r="D366" s="98" t="s">
        <v>642</v>
      </c>
      <c r="E366" s="162" t="s">
        <v>643</v>
      </c>
      <c r="F366" s="160" t="s">
        <v>644</v>
      </c>
      <c r="G366" s="107" t="s">
        <v>88</v>
      </c>
      <c r="H366" s="99" t="s">
        <v>645</v>
      </c>
      <c r="I366" s="46" t="e">
        <f>VLOOKUP(H366,'合同高级查询数据-4月返'!A:A,1,FALSE)</f>
        <v>#N/A</v>
      </c>
      <c r="J366" s="47" t="s">
        <v>90</v>
      </c>
      <c r="K366" s="107" t="s">
        <v>646</v>
      </c>
      <c r="L366" s="107"/>
      <c r="M366" s="49" t="s">
        <v>594</v>
      </c>
      <c r="N366" s="73">
        <v>44315</v>
      </c>
      <c r="O366" s="73" t="s">
        <v>507</v>
      </c>
      <c r="P366" s="164">
        <v>11600</v>
      </c>
      <c r="Q366" s="164">
        <v>4</v>
      </c>
      <c r="R366" s="118">
        <f t="shared" si="15"/>
        <v>46400</v>
      </c>
      <c r="S366" s="115">
        <v>202304</v>
      </c>
      <c r="T366" s="184" t="s">
        <v>670</v>
      </c>
      <c r="U366" s="184"/>
      <c r="V366" s="165"/>
      <c r="W366" s="165"/>
      <c r="X366" s="116">
        <v>44075</v>
      </c>
      <c r="Y366" s="116">
        <v>46265</v>
      </c>
    </row>
    <row r="367" s="85" customFormat="1" customHeight="1" spans="1:25">
      <c r="A367" s="160" t="s">
        <v>446</v>
      </c>
      <c r="B367" s="98" t="s">
        <v>62</v>
      </c>
      <c r="C367" s="98" t="s">
        <v>238</v>
      </c>
      <c r="D367" s="98" t="s">
        <v>642</v>
      </c>
      <c r="E367" s="162" t="s">
        <v>643</v>
      </c>
      <c r="F367" s="160" t="s">
        <v>644</v>
      </c>
      <c r="G367" s="107" t="s">
        <v>88</v>
      </c>
      <c r="H367" s="99" t="s">
        <v>645</v>
      </c>
      <c r="I367" s="46" t="e">
        <f>VLOOKUP(H367,'合同高级查询数据-4月返'!A:A,1,FALSE)</f>
        <v>#N/A</v>
      </c>
      <c r="J367" s="47" t="s">
        <v>90</v>
      </c>
      <c r="K367" s="107" t="s">
        <v>646</v>
      </c>
      <c r="L367" s="107"/>
      <c r="M367" s="49" t="s">
        <v>594</v>
      </c>
      <c r="N367" s="73">
        <v>44316</v>
      </c>
      <c r="O367" s="73" t="s">
        <v>507</v>
      </c>
      <c r="P367" s="164">
        <v>11600</v>
      </c>
      <c r="Q367" s="164">
        <v>2</v>
      </c>
      <c r="R367" s="118">
        <f t="shared" si="15"/>
        <v>23200</v>
      </c>
      <c r="S367" s="115">
        <v>202304</v>
      </c>
      <c r="T367" s="184" t="s">
        <v>671</v>
      </c>
      <c r="U367" s="184"/>
      <c r="V367" s="165"/>
      <c r="W367" s="165"/>
      <c r="X367" s="116">
        <v>44075</v>
      </c>
      <c r="Y367" s="116">
        <v>46265</v>
      </c>
    </row>
    <row r="368" s="85" customFormat="1" customHeight="1" spans="1:25">
      <c r="A368" s="160" t="s">
        <v>446</v>
      </c>
      <c r="B368" s="98" t="s">
        <v>62</v>
      </c>
      <c r="C368" s="98" t="s">
        <v>238</v>
      </c>
      <c r="D368" s="98" t="s">
        <v>642</v>
      </c>
      <c r="E368" s="162" t="s">
        <v>643</v>
      </c>
      <c r="F368" s="160" t="s">
        <v>644</v>
      </c>
      <c r="G368" s="107" t="s">
        <v>88</v>
      </c>
      <c r="H368" s="99" t="s">
        <v>645</v>
      </c>
      <c r="I368" s="46" t="e">
        <f>VLOOKUP(H368,'合同高级查询数据-4月返'!A:A,1,FALSE)</f>
        <v>#N/A</v>
      </c>
      <c r="J368" s="47" t="s">
        <v>90</v>
      </c>
      <c r="K368" s="107" t="s">
        <v>646</v>
      </c>
      <c r="L368" s="107"/>
      <c r="M368" s="49" t="s">
        <v>594</v>
      </c>
      <c r="N368" s="73">
        <v>44328</v>
      </c>
      <c r="O368" s="73" t="s">
        <v>507</v>
      </c>
      <c r="P368" s="164">
        <v>11600</v>
      </c>
      <c r="Q368" s="164">
        <v>4</v>
      </c>
      <c r="R368" s="118">
        <f t="shared" si="15"/>
        <v>46400</v>
      </c>
      <c r="S368" s="115">
        <v>202304</v>
      </c>
      <c r="T368" s="184" t="s">
        <v>672</v>
      </c>
      <c r="U368" s="184"/>
      <c r="V368" s="165"/>
      <c r="W368" s="165"/>
      <c r="X368" s="116">
        <v>44075</v>
      </c>
      <c r="Y368" s="116">
        <v>46265</v>
      </c>
    </row>
    <row r="369" s="85" customFormat="1" customHeight="1" spans="1:25">
      <c r="A369" s="160" t="s">
        <v>446</v>
      </c>
      <c r="B369" s="98" t="s">
        <v>62</v>
      </c>
      <c r="C369" s="98" t="s">
        <v>238</v>
      </c>
      <c r="D369" s="98" t="s">
        <v>642</v>
      </c>
      <c r="E369" s="162" t="s">
        <v>643</v>
      </c>
      <c r="F369" s="160" t="s">
        <v>644</v>
      </c>
      <c r="G369" s="107" t="s">
        <v>88</v>
      </c>
      <c r="H369" s="99" t="s">
        <v>645</v>
      </c>
      <c r="I369" s="46" t="e">
        <f>VLOOKUP(H369,'合同高级查询数据-4月返'!A:A,1,FALSE)</f>
        <v>#N/A</v>
      </c>
      <c r="J369" s="47" t="s">
        <v>90</v>
      </c>
      <c r="K369" s="107" t="s">
        <v>646</v>
      </c>
      <c r="L369" s="107"/>
      <c r="M369" s="49" t="s">
        <v>594</v>
      </c>
      <c r="N369" s="73">
        <v>44355</v>
      </c>
      <c r="O369" s="73" t="s">
        <v>507</v>
      </c>
      <c r="P369" s="164">
        <v>11600</v>
      </c>
      <c r="Q369" s="164">
        <v>3</v>
      </c>
      <c r="R369" s="118">
        <f t="shared" si="15"/>
        <v>34800</v>
      </c>
      <c r="S369" s="115">
        <v>202304</v>
      </c>
      <c r="T369" s="184" t="s">
        <v>673</v>
      </c>
      <c r="U369" s="184"/>
      <c r="V369" s="165"/>
      <c r="W369" s="165"/>
      <c r="X369" s="116">
        <v>44075</v>
      </c>
      <c r="Y369" s="116">
        <v>46265</v>
      </c>
    </row>
    <row r="370" s="85" customFormat="1" customHeight="1" spans="1:25">
      <c r="A370" s="160" t="s">
        <v>446</v>
      </c>
      <c r="B370" s="98" t="s">
        <v>62</v>
      </c>
      <c r="C370" s="98" t="s">
        <v>238</v>
      </c>
      <c r="D370" s="98" t="s">
        <v>642</v>
      </c>
      <c r="E370" s="162" t="s">
        <v>643</v>
      </c>
      <c r="F370" s="160" t="s">
        <v>644</v>
      </c>
      <c r="G370" s="107" t="s">
        <v>88</v>
      </c>
      <c r="H370" s="99" t="s">
        <v>645</v>
      </c>
      <c r="I370" s="46" t="e">
        <f>VLOOKUP(H370,'合同高级查询数据-4月返'!A:A,1,FALSE)</f>
        <v>#N/A</v>
      </c>
      <c r="J370" s="47" t="s">
        <v>90</v>
      </c>
      <c r="K370" s="107" t="s">
        <v>646</v>
      </c>
      <c r="L370" s="107"/>
      <c r="M370" s="49" t="s">
        <v>594</v>
      </c>
      <c r="N370" s="73">
        <v>44380</v>
      </c>
      <c r="O370" s="73" t="s">
        <v>507</v>
      </c>
      <c r="P370" s="164">
        <v>11600</v>
      </c>
      <c r="Q370" s="164">
        <v>4</v>
      </c>
      <c r="R370" s="118">
        <f t="shared" si="15"/>
        <v>46400</v>
      </c>
      <c r="S370" s="115">
        <v>202304</v>
      </c>
      <c r="T370" s="184" t="s">
        <v>674</v>
      </c>
      <c r="U370" s="184"/>
      <c r="V370" s="165"/>
      <c r="W370" s="165"/>
      <c r="X370" s="116">
        <v>44075</v>
      </c>
      <c r="Y370" s="116">
        <v>46265</v>
      </c>
    </row>
    <row r="371" s="85" customFormat="1" customHeight="1" spans="1:25">
      <c r="A371" s="160" t="s">
        <v>446</v>
      </c>
      <c r="B371" s="98" t="s">
        <v>62</v>
      </c>
      <c r="C371" s="98" t="s">
        <v>238</v>
      </c>
      <c r="D371" s="98" t="s">
        <v>642</v>
      </c>
      <c r="E371" s="162" t="s">
        <v>643</v>
      </c>
      <c r="F371" s="160" t="s">
        <v>644</v>
      </c>
      <c r="G371" s="107" t="s">
        <v>88</v>
      </c>
      <c r="H371" s="99" t="s">
        <v>645</v>
      </c>
      <c r="I371" s="46" t="e">
        <f>VLOOKUP(H371,'合同高级查询数据-4月返'!A:A,1,FALSE)</f>
        <v>#N/A</v>
      </c>
      <c r="J371" s="47" t="s">
        <v>90</v>
      </c>
      <c r="K371" s="107" t="s">
        <v>646</v>
      </c>
      <c r="L371" s="107"/>
      <c r="M371" s="49" t="s">
        <v>594</v>
      </c>
      <c r="N371" s="73">
        <v>44407</v>
      </c>
      <c r="O371" s="73" t="s">
        <v>507</v>
      </c>
      <c r="P371" s="164">
        <v>11600</v>
      </c>
      <c r="Q371" s="164">
        <v>4</v>
      </c>
      <c r="R371" s="118">
        <f t="shared" si="15"/>
        <v>46400</v>
      </c>
      <c r="S371" s="115">
        <v>202304</v>
      </c>
      <c r="T371" s="184" t="s">
        <v>675</v>
      </c>
      <c r="U371" s="184"/>
      <c r="V371" s="165"/>
      <c r="W371" s="165"/>
      <c r="X371" s="116">
        <v>44075</v>
      </c>
      <c r="Y371" s="116">
        <v>46265</v>
      </c>
    </row>
    <row r="372" s="85" customFormat="1" customHeight="1" spans="1:25">
      <c r="A372" s="160" t="s">
        <v>446</v>
      </c>
      <c r="B372" s="98" t="s">
        <v>62</v>
      </c>
      <c r="C372" s="98" t="s">
        <v>238</v>
      </c>
      <c r="D372" s="98" t="s">
        <v>642</v>
      </c>
      <c r="E372" s="162" t="s">
        <v>643</v>
      </c>
      <c r="F372" s="160" t="s">
        <v>644</v>
      </c>
      <c r="G372" s="107" t="s">
        <v>88</v>
      </c>
      <c r="H372" s="99" t="s">
        <v>645</v>
      </c>
      <c r="I372" s="46" t="e">
        <f>VLOOKUP(H372,'合同高级查询数据-4月返'!A:A,1,FALSE)</f>
        <v>#N/A</v>
      </c>
      <c r="J372" s="47" t="s">
        <v>90</v>
      </c>
      <c r="K372" s="107" t="s">
        <v>646</v>
      </c>
      <c r="L372" s="107"/>
      <c r="M372" s="49" t="s">
        <v>594</v>
      </c>
      <c r="N372" s="73">
        <v>44420</v>
      </c>
      <c r="O372" s="73" t="s">
        <v>507</v>
      </c>
      <c r="P372" s="164">
        <v>11600</v>
      </c>
      <c r="Q372" s="164">
        <v>3</v>
      </c>
      <c r="R372" s="118">
        <f t="shared" si="15"/>
        <v>34800</v>
      </c>
      <c r="S372" s="115">
        <v>202304</v>
      </c>
      <c r="T372" s="184" t="s">
        <v>676</v>
      </c>
      <c r="U372" s="184"/>
      <c r="V372" s="165"/>
      <c r="W372" s="165"/>
      <c r="X372" s="116">
        <v>44075</v>
      </c>
      <c r="Y372" s="116">
        <v>46265</v>
      </c>
    </row>
    <row r="373" s="85" customFormat="1" customHeight="1" spans="1:25">
      <c r="A373" s="160" t="s">
        <v>446</v>
      </c>
      <c r="B373" s="98" t="s">
        <v>62</v>
      </c>
      <c r="C373" s="98" t="s">
        <v>238</v>
      </c>
      <c r="D373" s="98" t="s">
        <v>642</v>
      </c>
      <c r="E373" s="162" t="s">
        <v>643</v>
      </c>
      <c r="F373" s="160" t="s">
        <v>644</v>
      </c>
      <c r="G373" s="107" t="s">
        <v>88</v>
      </c>
      <c r="H373" s="99" t="s">
        <v>645</v>
      </c>
      <c r="I373" s="46" t="e">
        <f>VLOOKUP(H373,'合同高级查询数据-4月返'!A:A,1,FALSE)</f>
        <v>#N/A</v>
      </c>
      <c r="J373" s="47" t="s">
        <v>90</v>
      </c>
      <c r="K373" s="107" t="s">
        <v>646</v>
      </c>
      <c r="L373" s="107"/>
      <c r="M373" s="49" t="s">
        <v>594</v>
      </c>
      <c r="N373" s="73">
        <v>44431</v>
      </c>
      <c r="O373" s="73" t="s">
        <v>507</v>
      </c>
      <c r="P373" s="164">
        <v>11600</v>
      </c>
      <c r="Q373" s="164">
        <v>4</v>
      </c>
      <c r="R373" s="118">
        <f t="shared" si="15"/>
        <v>46400</v>
      </c>
      <c r="S373" s="115">
        <v>202304</v>
      </c>
      <c r="T373" s="184" t="s">
        <v>677</v>
      </c>
      <c r="U373" s="184"/>
      <c r="V373" s="165"/>
      <c r="W373" s="165"/>
      <c r="X373" s="116">
        <v>44075</v>
      </c>
      <c r="Y373" s="116">
        <v>46265</v>
      </c>
    </row>
    <row r="374" s="85" customFormat="1" customHeight="1" spans="1:25">
      <c r="A374" s="160" t="s">
        <v>446</v>
      </c>
      <c r="B374" s="98" t="s">
        <v>62</v>
      </c>
      <c r="C374" s="98" t="s">
        <v>238</v>
      </c>
      <c r="D374" s="98" t="s">
        <v>642</v>
      </c>
      <c r="E374" s="162" t="s">
        <v>643</v>
      </c>
      <c r="F374" s="160" t="s">
        <v>644</v>
      </c>
      <c r="G374" s="107" t="s">
        <v>88</v>
      </c>
      <c r="H374" s="99" t="s">
        <v>645</v>
      </c>
      <c r="I374" s="46" t="e">
        <f>VLOOKUP(H374,'合同高级查询数据-4月返'!A:A,1,FALSE)</f>
        <v>#N/A</v>
      </c>
      <c r="J374" s="47" t="s">
        <v>90</v>
      </c>
      <c r="K374" s="107" t="s">
        <v>646</v>
      </c>
      <c r="L374" s="107"/>
      <c r="M374" s="49" t="s">
        <v>594</v>
      </c>
      <c r="N374" s="73">
        <v>44438</v>
      </c>
      <c r="O374" s="73" t="s">
        <v>507</v>
      </c>
      <c r="P374" s="164">
        <v>11600</v>
      </c>
      <c r="Q374" s="164">
        <v>1</v>
      </c>
      <c r="R374" s="118">
        <f t="shared" si="15"/>
        <v>11600</v>
      </c>
      <c r="S374" s="115">
        <v>202304</v>
      </c>
      <c r="T374" s="184" t="s">
        <v>678</v>
      </c>
      <c r="U374" s="184"/>
      <c r="V374" s="165"/>
      <c r="W374" s="165"/>
      <c r="X374" s="116">
        <v>44075</v>
      </c>
      <c r="Y374" s="116">
        <v>46265</v>
      </c>
    </row>
    <row r="375" s="85" customFormat="1" customHeight="1" spans="1:25">
      <c r="A375" s="160" t="s">
        <v>446</v>
      </c>
      <c r="B375" s="98" t="s">
        <v>62</v>
      </c>
      <c r="C375" s="98" t="s">
        <v>238</v>
      </c>
      <c r="D375" s="98" t="s">
        <v>642</v>
      </c>
      <c r="E375" s="162" t="s">
        <v>643</v>
      </c>
      <c r="F375" s="160" t="s">
        <v>644</v>
      </c>
      <c r="G375" s="107" t="s">
        <v>88</v>
      </c>
      <c r="H375" s="99" t="s">
        <v>645</v>
      </c>
      <c r="I375" s="46" t="e">
        <f>VLOOKUP(H375,'合同高级查询数据-4月返'!A:A,1,FALSE)</f>
        <v>#N/A</v>
      </c>
      <c r="J375" s="47" t="s">
        <v>90</v>
      </c>
      <c r="K375" s="107" t="s">
        <v>646</v>
      </c>
      <c r="L375" s="107"/>
      <c r="M375" s="49" t="s">
        <v>594</v>
      </c>
      <c r="N375" s="73">
        <v>44456</v>
      </c>
      <c r="O375" s="73" t="s">
        <v>507</v>
      </c>
      <c r="P375" s="164">
        <v>11600</v>
      </c>
      <c r="Q375" s="164">
        <v>2</v>
      </c>
      <c r="R375" s="118">
        <f t="shared" si="15"/>
        <v>23200</v>
      </c>
      <c r="S375" s="115">
        <v>202304</v>
      </c>
      <c r="T375" s="184" t="s">
        <v>679</v>
      </c>
      <c r="U375" s="184"/>
      <c r="V375" s="165"/>
      <c r="W375" s="165"/>
      <c r="X375" s="116">
        <v>44075</v>
      </c>
      <c r="Y375" s="116">
        <v>46265</v>
      </c>
    </row>
    <row r="376" s="85" customFormat="1" customHeight="1" spans="1:25">
      <c r="A376" s="98" t="s">
        <v>446</v>
      </c>
      <c r="B376" s="98" t="s">
        <v>62</v>
      </c>
      <c r="C376" s="98" t="s">
        <v>238</v>
      </c>
      <c r="D376" s="98" t="s">
        <v>642</v>
      </c>
      <c r="E376" s="161" t="s">
        <v>643</v>
      </c>
      <c r="F376" s="160" t="s">
        <v>644</v>
      </c>
      <c r="G376" s="172" t="s">
        <v>88</v>
      </c>
      <c r="H376" s="100" t="s">
        <v>645</v>
      </c>
      <c r="I376" s="46" t="e">
        <f>VLOOKUP(H376,'合同高级查询数据-4月返'!A:A,1,FALSE)</f>
        <v>#N/A</v>
      </c>
      <c r="J376" s="178" t="s">
        <v>90</v>
      </c>
      <c r="K376" s="160" t="s">
        <v>646</v>
      </c>
      <c r="L376" s="179"/>
      <c r="M376" s="49" t="s">
        <v>594</v>
      </c>
      <c r="N376" s="180">
        <v>44472</v>
      </c>
      <c r="O376" s="181" t="s">
        <v>507</v>
      </c>
      <c r="P376" s="182">
        <v>11600</v>
      </c>
      <c r="Q376" s="182">
        <v>13</v>
      </c>
      <c r="R376" s="118">
        <f t="shared" si="15"/>
        <v>150800</v>
      </c>
      <c r="S376" s="115">
        <v>202304</v>
      </c>
      <c r="T376" s="186" t="s">
        <v>680</v>
      </c>
      <c r="U376" s="186"/>
      <c r="V376" s="165"/>
      <c r="W376" s="165"/>
      <c r="X376" s="116">
        <v>44075</v>
      </c>
      <c r="Y376" s="116">
        <v>46265</v>
      </c>
    </row>
    <row r="377" s="85" customFormat="1" customHeight="1" spans="1:25">
      <c r="A377" s="98" t="s">
        <v>446</v>
      </c>
      <c r="B377" s="98" t="s">
        <v>62</v>
      </c>
      <c r="C377" s="98" t="s">
        <v>238</v>
      </c>
      <c r="D377" s="98" t="s">
        <v>642</v>
      </c>
      <c r="E377" s="161" t="s">
        <v>643</v>
      </c>
      <c r="F377" s="160" t="s">
        <v>644</v>
      </c>
      <c r="G377" s="172" t="s">
        <v>88</v>
      </c>
      <c r="H377" s="100" t="s">
        <v>645</v>
      </c>
      <c r="I377" s="46" t="e">
        <f>VLOOKUP(H377,'合同高级查询数据-4月返'!A:A,1,FALSE)</f>
        <v>#N/A</v>
      </c>
      <c r="J377" s="178" t="s">
        <v>90</v>
      </c>
      <c r="K377" s="160" t="s">
        <v>646</v>
      </c>
      <c r="L377" s="179"/>
      <c r="M377" s="49" t="s">
        <v>594</v>
      </c>
      <c r="N377" s="180">
        <v>44519</v>
      </c>
      <c r="O377" s="181" t="s">
        <v>507</v>
      </c>
      <c r="P377" s="182">
        <v>11600</v>
      </c>
      <c r="Q377" s="182">
        <v>7</v>
      </c>
      <c r="R377" s="118">
        <f t="shared" si="15"/>
        <v>81200</v>
      </c>
      <c r="S377" s="115">
        <v>202304</v>
      </c>
      <c r="T377" s="186" t="s">
        <v>681</v>
      </c>
      <c r="U377" s="186"/>
      <c r="V377" s="165"/>
      <c r="W377" s="165"/>
      <c r="X377" s="116">
        <v>44075</v>
      </c>
      <c r="Y377" s="116">
        <v>46265</v>
      </c>
    </row>
    <row r="378" s="85" customFormat="1" customHeight="1" spans="1:25">
      <c r="A378" s="98" t="s">
        <v>446</v>
      </c>
      <c r="B378" s="98" t="s">
        <v>62</v>
      </c>
      <c r="C378" s="98" t="s">
        <v>238</v>
      </c>
      <c r="D378" s="98" t="s">
        <v>642</v>
      </c>
      <c r="E378" s="161" t="s">
        <v>643</v>
      </c>
      <c r="F378" s="160" t="s">
        <v>644</v>
      </c>
      <c r="G378" s="172" t="s">
        <v>88</v>
      </c>
      <c r="H378" s="100" t="s">
        <v>645</v>
      </c>
      <c r="I378" s="46" t="e">
        <f>VLOOKUP(H378,'合同高级查询数据-4月返'!A:A,1,FALSE)</f>
        <v>#N/A</v>
      </c>
      <c r="J378" s="178" t="s">
        <v>90</v>
      </c>
      <c r="K378" s="160" t="s">
        <v>646</v>
      </c>
      <c r="L378" s="179"/>
      <c r="M378" s="49" t="s">
        <v>594</v>
      </c>
      <c r="N378" s="180">
        <v>44861</v>
      </c>
      <c r="O378" s="181" t="s">
        <v>503</v>
      </c>
      <c r="P378" s="182">
        <v>5803.6</v>
      </c>
      <c r="Q378" s="182">
        <v>-1</v>
      </c>
      <c r="R378" s="118">
        <f t="shared" si="15"/>
        <v>-5803.6</v>
      </c>
      <c r="S378" s="115">
        <v>202304</v>
      </c>
      <c r="T378" s="186" t="s">
        <v>682</v>
      </c>
      <c r="U378" s="186"/>
      <c r="V378" s="165"/>
      <c r="W378" s="165"/>
      <c r="X378" s="116">
        <v>44075</v>
      </c>
      <c r="Y378" s="116">
        <v>46265</v>
      </c>
    </row>
    <row r="379" s="85" customFormat="1" customHeight="1" spans="1:25">
      <c r="A379" s="98" t="s">
        <v>446</v>
      </c>
      <c r="B379" s="98" t="s">
        <v>62</v>
      </c>
      <c r="C379" s="98" t="s">
        <v>238</v>
      </c>
      <c r="D379" s="98" t="s">
        <v>642</v>
      </c>
      <c r="E379" s="161" t="s">
        <v>643</v>
      </c>
      <c r="F379" s="160" t="s">
        <v>644</v>
      </c>
      <c r="G379" s="172" t="s">
        <v>88</v>
      </c>
      <c r="H379" s="100" t="s">
        <v>645</v>
      </c>
      <c r="I379" s="46" t="e">
        <f>VLOOKUP(H379,'合同高级查询数据-4月返'!A:A,1,FALSE)</f>
        <v>#N/A</v>
      </c>
      <c r="J379" s="178" t="s">
        <v>90</v>
      </c>
      <c r="K379" s="160" t="s">
        <v>646</v>
      </c>
      <c r="L379" s="179"/>
      <c r="M379" s="49" t="s">
        <v>594</v>
      </c>
      <c r="N379" s="180">
        <v>44869</v>
      </c>
      <c r="O379" s="181" t="s">
        <v>503</v>
      </c>
      <c r="P379" s="182">
        <v>5803.6</v>
      </c>
      <c r="Q379" s="182">
        <v>-4</v>
      </c>
      <c r="R379" s="118">
        <f t="shared" si="15"/>
        <v>-23214.4</v>
      </c>
      <c r="S379" s="115">
        <v>202304</v>
      </c>
      <c r="T379" s="186" t="s">
        <v>683</v>
      </c>
      <c r="U379" s="186"/>
      <c r="V379" s="165"/>
      <c r="W379" s="165"/>
      <c r="X379" s="116">
        <v>44075</v>
      </c>
      <c r="Y379" s="116">
        <v>46265</v>
      </c>
    </row>
    <row r="380" s="85" customFormat="1" customHeight="1" spans="1:25">
      <c r="A380" s="22" t="s">
        <v>446</v>
      </c>
      <c r="B380" s="98" t="s">
        <v>62</v>
      </c>
      <c r="C380" s="24" t="s">
        <v>238</v>
      </c>
      <c r="D380" s="24" t="s">
        <v>642</v>
      </c>
      <c r="E380" s="46" t="s">
        <v>643</v>
      </c>
      <c r="F380" s="22" t="s">
        <v>644</v>
      </c>
      <c r="G380" s="107" t="s">
        <v>88</v>
      </c>
      <c r="H380" s="99" t="s">
        <v>684</v>
      </c>
      <c r="I380" s="46" t="e">
        <f>VLOOKUP(H380,'合同高级查询数据-4月返'!A:A,1,FALSE)</f>
        <v>#N/A</v>
      </c>
      <c r="J380" s="178" t="s">
        <v>162</v>
      </c>
      <c r="K380" s="107" t="s">
        <v>685</v>
      </c>
      <c r="L380" s="25" t="s">
        <v>686</v>
      </c>
      <c r="M380" s="49" t="s">
        <v>687</v>
      </c>
      <c r="N380" s="73">
        <v>44737</v>
      </c>
      <c r="O380" s="73" t="s">
        <v>503</v>
      </c>
      <c r="P380" s="108">
        <v>4000</v>
      </c>
      <c r="Q380" s="118">
        <v>13</v>
      </c>
      <c r="R380" s="118">
        <f t="shared" si="15"/>
        <v>52000</v>
      </c>
      <c r="S380" s="115">
        <v>202304</v>
      </c>
      <c r="T380" s="184" t="s">
        <v>688</v>
      </c>
      <c r="U380" s="184"/>
      <c r="V380" s="120"/>
      <c r="W380" s="120"/>
      <c r="X380" s="116">
        <v>44044</v>
      </c>
      <c r="Y380" s="116">
        <v>45199</v>
      </c>
    </row>
    <row r="381" s="85" customFormat="1" customHeight="1" spans="1:25">
      <c r="A381" s="22" t="s">
        <v>446</v>
      </c>
      <c r="B381" s="98" t="s">
        <v>62</v>
      </c>
      <c r="C381" s="24" t="s">
        <v>238</v>
      </c>
      <c r="D381" s="24" t="s">
        <v>642</v>
      </c>
      <c r="E381" s="46" t="s">
        <v>643</v>
      </c>
      <c r="F381" s="22" t="s">
        <v>644</v>
      </c>
      <c r="G381" s="107" t="s">
        <v>88</v>
      </c>
      <c r="H381" s="99" t="s">
        <v>684</v>
      </c>
      <c r="I381" s="46" t="e">
        <f>VLOOKUP(H381,'合同高级查询数据-4月返'!A:A,1,FALSE)</f>
        <v>#N/A</v>
      </c>
      <c r="J381" s="178" t="s">
        <v>162</v>
      </c>
      <c r="K381" s="107" t="s">
        <v>685</v>
      </c>
      <c r="L381" s="25" t="s">
        <v>686</v>
      </c>
      <c r="M381" s="49" t="s">
        <v>687</v>
      </c>
      <c r="N381" s="73">
        <v>44937</v>
      </c>
      <c r="O381" s="73" t="s">
        <v>503</v>
      </c>
      <c r="P381" s="108">
        <v>4000</v>
      </c>
      <c r="Q381" s="118">
        <v>-3</v>
      </c>
      <c r="R381" s="118">
        <f t="shared" si="15"/>
        <v>-12000</v>
      </c>
      <c r="S381" s="115">
        <v>202304</v>
      </c>
      <c r="T381" s="184" t="s">
        <v>689</v>
      </c>
      <c r="U381" s="184"/>
      <c r="V381" s="120"/>
      <c r="W381" s="120"/>
      <c r="X381" s="116">
        <v>44044</v>
      </c>
      <c r="Y381" s="116">
        <v>45199</v>
      </c>
    </row>
    <row r="382" s="85" customFormat="1" customHeight="1" spans="1:25">
      <c r="A382" s="22" t="s">
        <v>446</v>
      </c>
      <c r="B382" s="98" t="s">
        <v>62</v>
      </c>
      <c r="C382" s="24" t="s">
        <v>238</v>
      </c>
      <c r="D382" s="24" t="s">
        <v>642</v>
      </c>
      <c r="E382" s="46" t="s">
        <v>643</v>
      </c>
      <c r="F382" s="22" t="s">
        <v>644</v>
      </c>
      <c r="G382" s="107" t="s">
        <v>88</v>
      </c>
      <c r="H382" s="99" t="s">
        <v>684</v>
      </c>
      <c r="I382" s="46" t="e">
        <f>VLOOKUP(H382,'合同高级查询数据-4月返'!A:A,1,FALSE)</f>
        <v>#N/A</v>
      </c>
      <c r="J382" s="178" t="s">
        <v>162</v>
      </c>
      <c r="K382" s="107" t="s">
        <v>685</v>
      </c>
      <c r="L382" s="25" t="s">
        <v>686</v>
      </c>
      <c r="M382" s="49" t="s">
        <v>687</v>
      </c>
      <c r="N382" s="73">
        <v>44764</v>
      </c>
      <c r="O382" s="73" t="s">
        <v>503</v>
      </c>
      <c r="P382" s="108">
        <v>4000</v>
      </c>
      <c r="Q382" s="118">
        <v>15</v>
      </c>
      <c r="R382" s="118">
        <f t="shared" si="15"/>
        <v>60000</v>
      </c>
      <c r="S382" s="115">
        <v>202304</v>
      </c>
      <c r="T382" s="184" t="s">
        <v>690</v>
      </c>
      <c r="U382" s="184"/>
      <c r="V382" s="120"/>
      <c r="W382" s="120"/>
      <c r="X382" s="116">
        <v>44044</v>
      </c>
      <c r="Y382" s="116">
        <v>45199</v>
      </c>
    </row>
    <row r="383" s="85" customFormat="1" customHeight="1" spans="1:25">
      <c r="A383" s="22" t="s">
        <v>446</v>
      </c>
      <c r="B383" s="98" t="s">
        <v>62</v>
      </c>
      <c r="C383" s="24" t="s">
        <v>238</v>
      </c>
      <c r="D383" s="24" t="s">
        <v>642</v>
      </c>
      <c r="E383" s="46" t="s">
        <v>643</v>
      </c>
      <c r="F383" s="22" t="s">
        <v>644</v>
      </c>
      <c r="G383" s="107" t="s">
        <v>88</v>
      </c>
      <c r="H383" s="99" t="s">
        <v>684</v>
      </c>
      <c r="I383" s="46" t="e">
        <f>VLOOKUP(H383,'合同高级查询数据-4月返'!A:A,1,FALSE)</f>
        <v>#N/A</v>
      </c>
      <c r="J383" s="178" t="s">
        <v>162</v>
      </c>
      <c r="K383" s="107" t="s">
        <v>685</v>
      </c>
      <c r="L383" s="25" t="s">
        <v>686</v>
      </c>
      <c r="M383" s="49" t="s">
        <v>691</v>
      </c>
      <c r="N383" s="73">
        <v>44938</v>
      </c>
      <c r="O383" s="73" t="s">
        <v>503</v>
      </c>
      <c r="P383" s="108">
        <v>3700</v>
      </c>
      <c r="Q383" s="118">
        <v>7</v>
      </c>
      <c r="R383" s="118">
        <f t="shared" ref="R383:R446" si="16">ROUND(P383*Q383,2)</f>
        <v>25900</v>
      </c>
      <c r="S383" s="115">
        <v>202304</v>
      </c>
      <c r="T383" s="184" t="s">
        <v>692</v>
      </c>
      <c r="U383" s="184"/>
      <c r="V383" s="120"/>
      <c r="W383" s="120"/>
      <c r="X383" s="116">
        <v>44044</v>
      </c>
      <c r="Y383" s="116">
        <v>45199</v>
      </c>
    </row>
    <row r="384" s="85" customFormat="1" customHeight="1" spans="1:25">
      <c r="A384" s="22" t="s">
        <v>446</v>
      </c>
      <c r="B384" s="98" t="s">
        <v>62</v>
      </c>
      <c r="C384" s="24" t="s">
        <v>238</v>
      </c>
      <c r="D384" s="24" t="s">
        <v>642</v>
      </c>
      <c r="E384" s="46" t="s">
        <v>643</v>
      </c>
      <c r="F384" s="22" t="s">
        <v>644</v>
      </c>
      <c r="G384" s="107" t="s">
        <v>31</v>
      </c>
      <c r="H384" s="99" t="s">
        <v>684</v>
      </c>
      <c r="I384" s="46" t="e">
        <f>VLOOKUP(H384,'合同高级查询数据-4月返'!A:A,1,FALSE)</f>
        <v>#N/A</v>
      </c>
      <c r="J384" s="178" t="s">
        <v>33</v>
      </c>
      <c r="K384" s="107" t="s">
        <v>685</v>
      </c>
      <c r="L384" s="25" t="s">
        <v>693</v>
      </c>
      <c r="M384" s="49"/>
      <c r="N384" s="73">
        <v>44736</v>
      </c>
      <c r="O384" s="73"/>
      <c r="P384" s="108">
        <v>35</v>
      </c>
      <c r="Q384" s="118">
        <v>128</v>
      </c>
      <c r="R384" s="118">
        <f t="shared" si="16"/>
        <v>4480</v>
      </c>
      <c r="S384" s="115">
        <v>202304</v>
      </c>
      <c r="T384" s="184" t="s">
        <v>694</v>
      </c>
      <c r="U384" s="184"/>
      <c r="V384" s="120"/>
      <c r="W384" s="120"/>
      <c r="X384" s="116">
        <v>44044</v>
      </c>
      <c r="Y384" s="116">
        <v>45199</v>
      </c>
    </row>
    <row r="385" s="85" customFormat="1" customHeight="1" spans="1:25">
      <c r="A385" s="22" t="s">
        <v>448</v>
      </c>
      <c r="B385" s="98" t="s">
        <v>62</v>
      </c>
      <c r="C385" s="24" t="s">
        <v>238</v>
      </c>
      <c r="D385" s="24" t="s">
        <v>642</v>
      </c>
      <c r="E385" s="46" t="s">
        <v>643</v>
      </c>
      <c r="F385" s="22" t="s">
        <v>644</v>
      </c>
      <c r="G385" s="107" t="s">
        <v>31</v>
      </c>
      <c r="H385" s="99" t="s">
        <v>684</v>
      </c>
      <c r="I385" s="46" t="e">
        <f>VLOOKUP(H385,'合同高级查询数据-4月返'!A:A,1,FALSE)</f>
        <v>#N/A</v>
      </c>
      <c r="J385" s="178" t="s">
        <v>33</v>
      </c>
      <c r="K385" s="107" t="s">
        <v>685</v>
      </c>
      <c r="L385" s="25" t="s">
        <v>695</v>
      </c>
      <c r="M385" s="49"/>
      <c r="N385" s="73">
        <v>44736</v>
      </c>
      <c r="O385" s="73"/>
      <c r="P385" s="108">
        <v>50</v>
      </c>
      <c r="Q385" s="118">
        <v>128</v>
      </c>
      <c r="R385" s="118">
        <f t="shared" si="16"/>
        <v>6400</v>
      </c>
      <c r="S385" s="115">
        <v>202304</v>
      </c>
      <c r="T385" s="187" t="s">
        <v>696</v>
      </c>
      <c r="U385" s="187"/>
      <c r="V385" s="120"/>
      <c r="W385" s="120"/>
      <c r="X385" s="116">
        <v>44044</v>
      </c>
      <c r="Y385" s="116">
        <v>45199</v>
      </c>
    </row>
    <row r="386" s="85" customFormat="1" customHeight="1" spans="1:25">
      <c r="A386" s="22" t="s">
        <v>448</v>
      </c>
      <c r="B386" s="98" t="s">
        <v>62</v>
      </c>
      <c r="C386" s="24" t="s">
        <v>238</v>
      </c>
      <c r="D386" s="24" t="s">
        <v>642</v>
      </c>
      <c r="E386" s="46" t="s">
        <v>643</v>
      </c>
      <c r="F386" s="22" t="s">
        <v>644</v>
      </c>
      <c r="G386" s="107" t="s">
        <v>31</v>
      </c>
      <c r="H386" s="99" t="s">
        <v>684</v>
      </c>
      <c r="I386" s="46" t="e">
        <f>VLOOKUP(H386,'合同高级查询数据-4月返'!A:A,1,FALSE)</f>
        <v>#N/A</v>
      </c>
      <c r="J386" s="178" t="s">
        <v>33</v>
      </c>
      <c r="K386" s="107" t="s">
        <v>685</v>
      </c>
      <c r="L386" s="25" t="s">
        <v>695</v>
      </c>
      <c r="M386" s="49"/>
      <c r="N386" s="73">
        <v>44762</v>
      </c>
      <c r="O386" s="73"/>
      <c r="P386" s="108">
        <v>50</v>
      </c>
      <c r="Q386" s="118">
        <v>128</v>
      </c>
      <c r="R386" s="118">
        <f t="shared" si="16"/>
        <v>6400</v>
      </c>
      <c r="S386" s="115">
        <v>202304</v>
      </c>
      <c r="T386" s="184" t="s">
        <v>697</v>
      </c>
      <c r="U386" s="187"/>
      <c r="V386" s="120"/>
      <c r="W386" s="120"/>
      <c r="X386" s="116">
        <v>44044</v>
      </c>
      <c r="Y386" s="116">
        <v>45199</v>
      </c>
    </row>
    <row r="387" s="85" customFormat="1" customHeight="1" spans="1:25">
      <c r="A387" s="22" t="s">
        <v>444</v>
      </c>
      <c r="B387" s="98" t="s">
        <v>62</v>
      </c>
      <c r="C387" s="24" t="s">
        <v>238</v>
      </c>
      <c r="D387" s="24" t="s">
        <v>642</v>
      </c>
      <c r="E387" s="46" t="s">
        <v>643</v>
      </c>
      <c r="F387" s="22" t="s">
        <v>644</v>
      </c>
      <c r="G387" s="107" t="s">
        <v>31</v>
      </c>
      <c r="H387" s="99" t="s">
        <v>684</v>
      </c>
      <c r="I387" s="46" t="e">
        <f>VLOOKUP(H387,'合同高级查询数据-4月返'!A:A,1,FALSE)</f>
        <v>#N/A</v>
      </c>
      <c r="J387" s="178" t="s">
        <v>33</v>
      </c>
      <c r="K387" s="107" t="s">
        <v>685</v>
      </c>
      <c r="L387" s="25" t="s">
        <v>698</v>
      </c>
      <c r="M387" s="49"/>
      <c r="N387" s="73">
        <v>44736</v>
      </c>
      <c r="O387" s="73"/>
      <c r="P387" s="108">
        <v>30</v>
      </c>
      <c r="Q387" s="118">
        <v>256</v>
      </c>
      <c r="R387" s="118">
        <f t="shared" si="16"/>
        <v>7680</v>
      </c>
      <c r="S387" s="115">
        <v>202304</v>
      </c>
      <c r="T387" s="187" t="s">
        <v>699</v>
      </c>
      <c r="U387" s="187"/>
      <c r="V387" s="120"/>
      <c r="W387" s="120"/>
      <c r="X387" s="116">
        <v>44044</v>
      </c>
      <c r="Y387" s="116">
        <v>45199</v>
      </c>
    </row>
    <row r="388" s="85" customFormat="1" customHeight="1" spans="1:25">
      <c r="A388" s="22" t="s">
        <v>444</v>
      </c>
      <c r="B388" s="98" t="s">
        <v>62</v>
      </c>
      <c r="C388" s="24" t="s">
        <v>238</v>
      </c>
      <c r="D388" s="24" t="s">
        <v>642</v>
      </c>
      <c r="E388" s="46" t="s">
        <v>643</v>
      </c>
      <c r="F388" s="22" t="s">
        <v>644</v>
      </c>
      <c r="G388" s="107" t="s">
        <v>31</v>
      </c>
      <c r="H388" s="99" t="s">
        <v>684</v>
      </c>
      <c r="I388" s="46" t="e">
        <f>VLOOKUP(H388,'合同高级查询数据-4月返'!A:A,1,FALSE)</f>
        <v>#N/A</v>
      </c>
      <c r="J388" s="178" t="s">
        <v>33</v>
      </c>
      <c r="K388" s="107" t="s">
        <v>685</v>
      </c>
      <c r="L388" s="25" t="s">
        <v>698</v>
      </c>
      <c r="M388" s="49"/>
      <c r="N388" s="73">
        <v>44762</v>
      </c>
      <c r="O388" s="73"/>
      <c r="P388" s="108">
        <v>30</v>
      </c>
      <c r="Q388" s="118">
        <v>64</v>
      </c>
      <c r="R388" s="118">
        <f t="shared" si="16"/>
        <v>1920</v>
      </c>
      <c r="S388" s="115">
        <v>202304</v>
      </c>
      <c r="T388" s="184" t="s">
        <v>700</v>
      </c>
      <c r="U388" s="187"/>
      <c r="V388" s="120"/>
      <c r="W388" s="120"/>
      <c r="X388" s="116">
        <v>44044</v>
      </c>
      <c r="Y388" s="116">
        <v>45199</v>
      </c>
    </row>
    <row r="389" s="85" customFormat="1" customHeight="1" spans="1:25">
      <c r="A389" s="22" t="s">
        <v>446</v>
      </c>
      <c r="B389" s="98" t="s">
        <v>62</v>
      </c>
      <c r="C389" s="24" t="s">
        <v>238</v>
      </c>
      <c r="D389" s="24" t="s">
        <v>642</v>
      </c>
      <c r="E389" s="46" t="s">
        <v>643</v>
      </c>
      <c r="F389" s="22" t="s">
        <v>644</v>
      </c>
      <c r="G389" s="107" t="s">
        <v>88</v>
      </c>
      <c r="H389" s="99" t="s">
        <v>684</v>
      </c>
      <c r="I389" s="46" t="e">
        <f>VLOOKUP(H389,'合同高级查询数据-4月返'!A:A,1,FALSE)</f>
        <v>#N/A</v>
      </c>
      <c r="J389" s="178" t="s">
        <v>162</v>
      </c>
      <c r="K389" s="107" t="s">
        <v>685</v>
      </c>
      <c r="L389" s="25" t="s">
        <v>686</v>
      </c>
      <c r="M389" s="49" t="s">
        <v>687</v>
      </c>
      <c r="N389" s="73">
        <v>42999</v>
      </c>
      <c r="O389" s="73" t="s">
        <v>503</v>
      </c>
      <c r="P389" s="108">
        <v>4000</v>
      </c>
      <c r="Q389" s="118">
        <v>17</v>
      </c>
      <c r="R389" s="118">
        <f t="shared" si="16"/>
        <v>68000</v>
      </c>
      <c r="S389" s="115">
        <v>202304</v>
      </c>
      <c r="T389" s="187" t="s">
        <v>701</v>
      </c>
      <c r="U389" s="187"/>
      <c r="V389" s="120"/>
      <c r="W389" s="120"/>
      <c r="X389" s="116">
        <v>44044</v>
      </c>
      <c r="Y389" s="116">
        <v>45199</v>
      </c>
    </row>
    <row r="390" s="85" customFormat="1" customHeight="1" spans="1:25">
      <c r="A390" s="22" t="s">
        <v>446</v>
      </c>
      <c r="B390" s="98" t="s">
        <v>62</v>
      </c>
      <c r="C390" s="24" t="s">
        <v>238</v>
      </c>
      <c r="D390" s="24" t="s">
        <v>642</v>
      </c>
      <c r="E390" s="46" t="s">
        <v>643</v>
      </c>
      <c r="F390" s="22" t="s">
        <v>644</v>
      </c>
      <c r="G390" s="107" t="s">
        <v>88</v>
      </c>
      <c r="H390" s="99" t="s">
        <v>684</v>
      </c>
      <c r="I390" s="46" t="e">
        <f>VLOOKUP(H390,'合同高级查询数据-4月返'!A:A,1,FALSE)</f>
        <v>#N/A</v>
      </c>
      <c r="J390" s="178" t="s">
        <v>162</v>
      </c>
      <c r="K390" s="107" t="s">
        <v>685</v>
      </c>
      <c r="L390" s="25" t="s">
        <v>686</v>
      </c>
      <c r="M390" s="49" t="s">
        <v>687</v>
      </c>
      <c r="N390" s="73">
        <v>43804</v>
      </c>
      <c r="O390" s="73" t="s">
        <v>702</v>
      </c>
      <c r="P390" s="108">
        <v>4000</v>
      </c>
      <c r="Q390" s="118">
        <v>1</v>
      </c>
      <c r="R390" s="118">
        <f t="shared" si="16"/>
        <v>4000</v>
      </c>
      <c r="S390" s="115">
        <v>202304</v>
      </c>
      <c r="T390" s="188" t="s">
        <v>703</v>
      </c>
      <c r="U390" s="187"/>
      <c r="V390" s="120"/>
      <c r="W390" s="120"/>
      <c r="X390" s="116">
        <v>44044</v>
      </c>
      <c r="Y390" s="116">
        <v>45199</v>
      </c>
    </row>
    <row r="391" s="85" customFormat="1" customHeight="1" spans="1:25">
      <c r="A391" s="22" t="s">
        <v>446</v>
      </c>
      <c r="B391" s="98" t="s">
        <v>62</v>
      </c>
      <c r="C391" s="24" t="s">
        <v>238</v>
      </c>
      <c r="D391" s="24" t="s">
        <v>642</v>
      </c>
      <c r="E391" s="46" t="s">
        <v>643</v>
      </c>
      <c r="F391" s="22" t="s">
        <v>644</v>
      </c>
      <c r="G391" s="107" t="s">
        <v>88</v>
      </c>
      <c r="H391" s="99" t="s">
        <v>684</v>
      </c>
      <c r="I391" s="46" t="e">
        <f>VLOOKUP(H391,'合同高级查询数据-4月返'!A:A,1,FALSE)</f>
        <v>#N/A</v>
      </c>
      <c r="J391" s="178" t="s">
        <v>162</v>
      </c>
      <c r="K391" s="107" t="s">
        <v>685</v>
      </c>
      <c r="L391" s="25" t="s">
        <v>686</v>
      </c>
      <c r="M391" s="49" t="s">
        <v>687</v>
      </c>
      <c r="N391" s="73">
        <v>42999</v>
      </c>
      <c r="O391" s="73" t="s">
        <v>503</v>
      </c>
      <c r="P391" s="108">
        <v>0</v>
      </c>
      <c r="Q391" s="118">
        <v>4</v>
      </c>
      <c r="R391" s="118">
        <f t="shared" si="16"/>
        <v>0</v>
      </c>
      <c r="S391" s="115">
        <v>202304</v>
      </c>
      <c r="T391" s="187" t="s">
        <v>704</v>
      </c>
      <c r="U391" s="187"/>
      <c r="V391" s="120"/>
      <c r="W391" s="120"/>
      <c r="X391" s="116">
        <v>44044</v>
      </c>
      <c r="Y391" s="116">
        <v>45199</v>
      </c>
    </row>
    <row r="392" s="85" customFormat="1" customHeight="1" spans="1:25">
      <c r="A392" s="22" t="s">
        <v>446</v>
      </c>
      <c r="B392" s="98" t="s">
        <v>62</v>
      </c>
      <c r="C392" s="24" t="s">
        <v>238</v>
      </c>
      <c r="D392" s="24" t="s">
        <v>642</v>
      </c>
      <c r="E392" s="46" t="s">
        <v>643</v>
      </c>
      <c r="F392" s="22" t="s">
        <v>644</v>
      </c>
      <c r="G392" s="107" t="s">
        <v>88</v>
      </c>
      <c r="H392" s="99" t="s">
        <v>684</v>
      </c>
      <c r="I392" s="46" t="e">
        <f>VLOOKUP(H392,'合同高级查询数据-4月返'!A:A,1,FALSE)</f>
        <v>#N/A</v>
      </c>
      <c r="J392" s="178" t="s">
        <v>162</v>
      </c>
      <c r="K392" s="107" t="s">
        <v>685</v>
      </c>
      <c r="L392" s="25" t="s">
        <v>686</v>
      </c>
      <c r="M392" s="49" t="s">
        <v>687</v>
      </c>
      <c r="N392" s="73">
        <v>44054</v>
      </c>
      <c r="O392" s="73" t="s">
        <v>503</v>
      </c>
      <c r="P392" s="108">
        <v>4000</v>
      </c>
      <c r="Q392" s="118">
        <v>3</v>
      </c>
      <c r="R392" s="118">
        <f t="shared" si="16"/>
        <v>12000</v>
      </c>
      <c r="S392" s="115">
        <v>202304</v>
      </c>
      <c r="T392" s="189" t="s">
        <v>705</v>
      </c>
      <c r="U392" s="184"/>
      <c r="V392" s="120"/>
      <c r="W392" s="120"/>
      <c r="X392" s="116">
        <v>44044</v>
      </c>
      <c r="Y392" s="116">
        <v>45199</v>
      </c>
    </row>
    <row r="393" s="85" customFormat="1" customHeight="1" spans="1:25">
      <c r="A393" s="22" t="s">
        <v>446</v>
      </c>
      <c r="B393" s="98" t="s">
        <v>62</v>
      </c>
      <c r="C393" s="24" t="s">
        <v>238</v>
      </c>
      <c r="D393" s="24" t="s">
        <v>642</v>
      </c>
      <c r="E393" s="46" t="s">
        <v>643</v>
      </c>
      <c r="F393" s="22" t="s">
        <v>644</v>
      </c>
      <c r="G393" s="107" t="s">
        <v>31</v>
      </c>
      <c r="H393" s="99" t="s">
        <v>684</v>
      </c>
      <c r="I393" s="46" t="e">
        <f>VLOOKUP(H393,'合同高级查询数据-4月返'!A:A,1,FALSE)</f>
        <v>#N/A</v>
      </c>
      <c r="J393" s="178" t="s">
        <v>33</v>
      </c>
      <c r="K393" s="107" t="s">
        <v>685</v>
      </c>
      <c r="L393" s="25" t="s">
        <v>693</v>
      </c>
      <c r="M393" s="49"/>
      <c r="N393" s="73">
        <v>42999</v>
      </c>
      <c r="O393" s="73"/>
      <c r="P393" s="108">
        <v>20</v>
      </c>
      <c r="Q393" s="118">
        <v>288</v>
      </c>
      <c r="R393" s="118">
        <f t="shared" si="16"/>
        <v>5760</v>
      </c>
      <c r="S393" s="115">
        <v>202304</v>
      </c>
      <c r="T393" s="187" t="s">
        <v>706</v>
      </c>
      <c r="U393" s="187"/>
      <c r="V393" s="120"/>
      <c r="W393" s="120"/>
      <c r="X393" s="116">
        <v>44044</v>
      </c>
      <c r="Y393" s="116">
        <v>45199</v>
      </c>
    </row>
    <row r="394" s="85" customFormat="1" customHeight="1" spans="1:25">
      <c r="A394" s="22" t="s">
        <v>446</v>
      </c>
      <c r="B394" s="98" t="s">
        <v>62</v>
      </c>
      <c r="C394" s="24" t="s">
        <v>238</v>
      </c>
      <c r="D394" s="24" t="s">
        <v>642</v>
      </c>
      <c r="E394" s="46" t="s">
        <v>643</v>
      </c>
      <c r="F394" s="22" t="s">
        <v>644</v>
      </c>
      <c r="G394" s="107" t="s">
        <v>31</v>
      </c>
      <c r="H394" s="99" t="s">
        <v>684</v>
      </c>
      <c r="I394" s="46" t="e">
        <f>VLOOKUP(H394,'合同高级查询数据-4月返'!A:A,1,FALSE)</f>
        <v>#N/A</v>
      </c>
      <c r="J394" s="178" t="s">
        <v>33</v>
      </c>
      <c r="K394" s="107" t="s">
        <v>685</v>
      </c>
      <c r="L394" s="25" t="s">
        <v>693</v>
      </c>
      <c r="M394" s="49"/>
      <c r="N394" s="73">
        <v>42999</v>
      </c>
      <c r="O394" s="73"/>
      <c r="P394" s="108">
        <v>0</v>
      </c>
      <c r="Q394" s="118">
        <v>256</v>
      </c>
      <c r="R394" s="118">
        <f t="shared" si="16"/>
        <v>0</v>
      </c>
      <c r="S394" s="115">
        <v>202304</v>
      </c>
      <c r="T394" s="187" t="s">
        <v>707</v>
      </c>
      <c r="U394" s="187"/>
      <c r="V394" s="120"/>
      <c r="W394" s="120"/>
      <c r="X394" s="116">
        <v>44044</v>
      </c>
      <c r="Y394" s="116">
        <v>45199</v>
      </c>
    </row>
    <row r="395" s="85" customFormat="1" customHeight="1" spans="1:25">
      <c r="A395" s="22" t="s">
        <v>446</v>
      </c>
      <c r="B395" s="98" t="s">
        <v>62</v>
      </c>
      <c r="C395" s="24" t="s">
        <v>238</v>
      </c>
      <c r="D395" s="24" t="s">
        <v>642</v>
      </c>
      <c r="E395" s="46" t="s">
        <v>643</v>
      </c>
      <c r="F395" s="22" t="s">
        <v>644</v>
      </c>
      <c r="G395" s="107" t="s">
        <v>31</v>
      </c>
      <c r="H395" s="99" t="s">
        <v>684</v>
      </c>
      <c r="I395" s="46" t="e">
        <f>VLOOKUP(H395,'合同高级查询数据-4月返'!A:A,1,FALSE)</f>
        <v>#N/A</v>
      </c>
      <c r="J395" s="178" t="s">
        <v>33</v>
      </c>
      <c r="K395" s="107" t="s">
        <v>685</v>
      </c>
      <c r="L395" s="25" t="s">
        <v>693</v>
      </c>
      <c r="M395" s="49"/>
      <c r="N395" s="73">
        <v>43804</v>
      </c>
      <c r="O395" s="73"/>
      <c r="P395" s="108">
        <v>35</v>
      </c>
      <c r="Q395" s="118">
        <v>32</v>
      </c>
      <c r="R395" s="118">
        <f t="shared" si="16"/>
        <v>1120</v>
      </c>
      <c r="S395" s="115">
        <v>202304</v>
      </c>
      <c r="T395" s="187" t="s">
        <v>708</v>
      </c>
      <c r="U395" s="187"/>
      <c r="V395" s="120"/>
      <c r="W395" s="120"/>
      <c r="X395" s="116">
        <v>44044</v>
      </c>
      <c r="Y395" s="116">
        <v>45199</v>
      </c>
    </row>
    <row r="396" s="85" customFormat="1" customHeight="1" spans="1:25">
      <c r="A396" s="22" t="s">
        <v>446</v>
      </c>
      <c r="B396" s="98" t="s">
        <v>62</v>
      </c>
      <c r="C396" s="24" t="s">
        <v>238</v>
      </c>
      <c r="D396" s="24" t="s">
        <v>642</v>
      </c>
      <c r="E396" s="46" t="s">
        <v>643</v>
      </c>
      <c r="F396" s="22" t="s">
        <v>644</v>
      </c>
      <c r="G396" s="107" t="s">
        <v>31</v>
      </c>
      <c r="H396" s="99" t="s">
        <v>684</v>
      </c>
      <c r="I396" s="46" t="e">
        <f>VLOOKUP(H396,'合同高级查询数据-4月返'!A:A,1,FALSE)</f>
        <v>#N/A</v>
      </c>
      <c r="J396" s="178" t="s">
        <v>33</v>
      </c>
      <c r="K396" s="107" t="s">
        <v>685</v>
      </c>
      <c r="L396" s="25" t="s">
        <v>693</v>
      </c>
      <c r="M396" s="49"/>
      <c r="N396" s="73">
        <v>44049</v>
      </c>
      <c r="O396" s="73"/>
      <c r="P396" s="108">
        <v>35</v>
      </c>
      <c r="Q396" s="118">
        <v>256</v>
      </c>
      <c r="R396" s="118">
        <f t="shared" si="16"/>
        <v>8960</v>
      </c>
      <c r="S396" s="115">
        <v>202304</v>
      </c>
      <c r="T396" s="187" t="s">
        <v>709</v>
      </c>
      <c r="U396" s="187"/>
      <c r="V396" s="120"/>
      <c r="W396" s="120"/>
      <c r="X396" s="116">
        <v>44044</v>
      </c>
      <c r="Y396" s="116">
        <v>45199</v>
      </c>
    </row>
    <row r="397" s="85" customFormat="1" customHeight="1" spans="1:25">
      <c r="A397" s="22" t="s">
        <v>446</v>
      </c>
      <c r="B397" s="98" t="s">
        <v>62</v>
      </c>
      <c r="C397" s="24" t="s">
        <v>238</v>
      </c>
      <c r="D397" s="24" t="s">
        <v>642</v>
      </c>
      <c r="E397" s="46" t="s">
        <v>643</v>
      </c>
      <c r="F397" s="22" t="s">
        <v>644</v>
      </c>
      <c r="G397" s="107" t="s">
        <v>31</v>
      </c>
      <c r="H397" s="99" t="s">
        <v>684</v>
      </c>
      <c r="I397" s="46" t="e">
        <f>VLOOKUP(H397,'合同高级查询数据-4月返'!A:A,1,FALSE)</f>
        <v>#N/A</v>
      </c>
      <c r="J397" s="178" t="s">
        <v>33</v>
      </c>
      <c r="K397" s="107" t="s">
        <v>685</v>
      </c>
      <c r="L397" s="25" t="s">
        <v>693</v>
      </c>
      <c r="M397" s="49"/>
      <c r="N397" s="73">
        <v>44909</v>
      </c>
      <c r="O397" s="73"/>
      <c r="P397" s="108">
        <v>35</v>
      </c>
      <c r="Q397" s="118">
        <v>32</v>
      </c>
      <c r="R397" s="118">
        <f t="shared" si="16"/>
        <v>1120</v>
      </c>
      <c r="S397" s="115">
        <v>202304</v>
      </c>
      <c r="T397" s="187" t="s">
        <v>710</v>
      </c>
      <c r="U397" s="187"/>
      <c r="V397" s="120"/>
      <c r="W397" s="120"/>
      <c r="X397" s="116">
        <v>44044</v>
      </c>
      <c r="Y397" s="116">
        <v>45199</v>
      </c>
    </row>
    <row r="398" s="85" customFormat="1" customHeight="1" spans="1:25">
      <c r="A398" s="22" t="s">
        <v>448</v>
      </c>
      <c r="B398" s="98" t="s">
        <v>62</v>
      </c>
      <c r="C398" s="24" t="s">
        <v>238</v>
      </c>
      <c r="D398" s="24" t="s">
        <v>642</v>
      </c>
      <c r="E398" s="46" t="s">
        <v>643</v>
      </c>
      <c r="F398" s="22" t="s">
        <v>644</v>
      </c>
      <c r="G398" s="107" t="s">
        <v>31</v>
      </c>
      <c r="H398" s="99" t="s">
        <v>684</v>
      </c>
      <c r="I398" s="46" t="e">
        <f>VLOOKUP(H398,'合同高级查询数据-4月返'!A:A,1,FALSE)</f>
        <v>#N/A</v>
      </c>
      <c r="J398" s="178" t="s">
        <v>33</v>
      </c>
      <c r="K398" s="107" t="s">
        <v>685</v>
      </c>
      <c r="L398" s="25" t="s">
        <v>695</v>
      </c>
      <c r="M398" s="49"/>
      <c r="N398" s="73">
        <v>42999</v>
      </c>
      <c r="O398" s="73"/>
      <c r="P398" s="108">
        <v>50</v>
      </c>
      <c r="Q398" s="118">
        <v>288</v>
      </c>
      <c r="R398" s="118">
        <f t="shared" si="16"/>
        <v>14400</v>
      </c>
      <c r="S398" s="115">
        <v>202304</v>
      </c>
      <c r="T398" s="187" t="s">
        <v>711</v>
      </c>
      <c r="U398" s="187"/>
      <c r="V398" s="120"/>
      <c r="W398" s="120"/>
      <c r="X398" s="116">
        <v>44044</v>
      </c>
      <c r="Y398" s="116">
        <v>45199</v>
      </c>
    </row>
    <row r="399" s="85" customFormat="1" customHeight="1" spans="1:25">
      <c r="A399" s="22" t="s">
        <v>448</v>
      </c>
      <c r="B399" s="98" t="s">
        <v>62</v>
      </c>
      <c r="C399" s="24" t="s">
        <v>238</v>
      </c>
      <c r="D399" s="24" t="s">
        <v>642</v>
      </c>
      <c r="E399" s="46" t="s">
        <v>643</v>
      </c>
      <c r="F399" s="22" t="s">
        <v>644</v>
      </c>
      <c r="G399" s="107" t="s">
        <v>31</v>
      </c>
      <c r="H399" s="99" t="s">
        <v>684</v>
      </c>
      <c r="I399" s="46" t="e">
        <f>VLOOKUP(H399,'合同高级查询数据-4月返'!A:A,1,FALSE)</f>
        <v>#N/A</v>
      </c>
      <c r="J399" s="178" t="s">
        <v>33</v>
      </c>
      <c r="K399" s="107" t="s">
        <v>685</v>
      </c>
      <c r="L399" s="25" t="s">
        <v>695</v>
      </c>
      <c r="M399" s="49"/>
      <c r="N399" s="73">
        <v>43812</v>
      </c>
      <c r="O399" s="73"/>
      <c r="P399" s="108">
        <v>50</v>
      </c>
      <c r="Q399" s="118">
        <v>32</v>
      </c>
      <c r="R399" s="118">
        <f t="shared" si="16"/>
        <v>1600</v>
      </c>
      <c r="S399" s="115">
        <v>202304</v>
      </c>
      <c r="T399" s="187" t="s">
        <v>712</v>
      </c>
      <c r="U399" s="187"/>
      <c r="V399" s="120"/>
      <c r="W399" s="120"/>
      <c r="X399" s="116">
        <v>44044</v>
      </c>
      <c r="Y399" s="116">
        <v>45199</v>
      </c>
    </row>
    <row r="400" s="85" customFormat="1" customHeight="1" spans="1:25">
      <c r="A400" s="22" t="s">
        <v>448</v>
      </c>
      <c r="B400" s="98" t="s">
        <v>62</v>
      </c>
      <c r="C400" s="24" t="s">
        <v>238</v>
      </c>
      <c r="D400" s="24" t="s">
        <v>642</v>
      </c>
      <c r="E400" s="46" t="s">
        <v>643</v>
      </c>
      <c r="F400" s="22" t="s">
        <v>644</v>
      </c>
      <c r="G400" s="107" t="s">
        <v>31</v>
      </c>
      <c r="H400" s="99" t="s">
        <v>684</v>
      </c>
      <c r="I400" s="46" t="e">
        <f>VLOOKUP(H400,'合同高级查询数据-4月返'!A:A,1,FALSE)</f>
        <v>#N/A</v>
      </c>
      <c r="J400" s="178" t="s">
        <v>33</v>
      </c>
      <c r="K400" s="107" t="s">
        <v>685</v>
      </c>
      <c r="L400" s="25" t="s">
        <v>695</v>
      </c>
      <c r="M400" s="49"/>
      <c r="N400" s="73">
        <v>44048</v>
      </c>
      <c r="O400" s="73"/>
      <c r="P400" s="108">
        <v>50</v>
      </c>
      <c r="Q400" s="118">
        <v>256</v>
      </c>
      <c r="R400" s="118">
        <f t="shared" si="16"/>
        <v>12800</v>
      </c>
      <c r="S400" s="115">
        <v>202304</v>
      </c>
      <c r="T400" s="188" t="s">
        <v>713</v>
      </c>
      <c r="U400" s="187"/>
      <c r="V400" s="120"/>
      <c r="W400" s="120"/>
      <c r="X400" s="116">
        <v>44044</v>
      </c>
      <c r="Y400" s="116">
        <v>45199</v>
      </c>
    </row>
    <row r="401" s="85" customFormat="1" customHeight="1" spans="1:25">
      <c r="A401" s="22" t="s">
        <v>444</v>
      </c>
      <c r="B401" s="98" t="s">
        <v>62</v>
      </c>
      <c r="C401" s="24" t="s">
        <v>238</v>
      </c>
      <c r="D401" s="24" t="s">
        <v>642</v>
      </c>
      <c r="E401" s="46" t="s">
        <v>643</v>
      </c>
      <c r="F401" s="22" t="s">
        <v>644</v>
      </c>
      <c r="G401" s="107" t="s">
        <v>31</v>
      </c>
      <c r="H401" s="99" t="s">
        <v>684</v>
      </c>
      <c r="I401" s="46" t="e">
        <f>VLOOKUP(H401,'合同高级查询数据-4月返'!A:A,1,FALSE)</f>
        <v>#N/A</v>
      </c>
      <c r="J401" s="178" t="s">
        <v>33</v>
      </c>
      <c r="K401" s="107" t="s">
        <v>685</v>
      </c>
      <c r="L401" s="25" t="s">
        <v>698</v>
      </c>
      <c r="M401" s="49"/>
      <c r="N401" s="73">
        <v>42999</v>
      </c>
      <c r="O401" s="73"/>
      <c r="P401" s="108">
        <v>30</v>
      </c>
      <c r="Q401" s="118">
        <v>288</v>
      </c>
      <c r="R401" s="118">
        <f t="shared" si="16"/>
        <v>8640</v>
      </c>
      <c r="S401" s="115">
        <v>202304</v>
      </c>
      <c r="T401" s="187" t="s">
        <v>714</v>
      </c>
      <c r="U401" s="187"/>
      <c r="V401" s="120"/>
      <c r="W401" s="120"/>
      <c r="X401" s="116">
        <v>44044</v>
      </c>
      <c r="Y401" s="116">
        <v>45199</v>
      </c>
    </row>
    <row r="402" s="85" customFormat="1" customHeight="1" spans="1:25">
      <c r="A402" s="22" t="s">
        <v>444</v>
      </c>
      <c r="B402" s="98" t="s">
        <v>62</v>
      </c>
      <c r="C402" s="24" t="s">
        <v>238</v>
      </c>
      <c r="D402" s="24" t="s">
        <v>642</v>
      </c>
      <c r="E402" s="46" t="s">
        <v>643</v>
      </c>
      <c r="F402" s="22" t="s">
        <v>644</v>
      </c>
      <c r="G402" s="107" t="s">
        <v>31</v>
      </c>
      <c r="H402" s="99" t="s">
        <v>684</v>
      </c>
      <c r="I402" s="46" t="e">
        <f>VLOOKUP(H402,'合同高级查询数据-4月返'!A:A,1,FALSE)</f>
        <v>#N/A</v>
      </c>
      <c r="J402" s="178" t="s">
        <v>33</v>
      </c>
      <c r="K402" s="107" t="s">
        <v>685</v>
      </c>
      <c r="L402" s="25" t="s">
        <v>698</v>
      </c>
      <c r="M402" s="49"/>
      <c r="N402" s="73">
        <v>43812</v>
      </c>
      <c r="O402" s="73"/>
      <c r="P402" s="108">
        <v>30</v>
      </c>
      <c r="Q402" s="118">
        <v>32</v>
      </c>
      <c r="R402" s="118">
        <f t="shared" si="16"/>
        <v>960</v>
      </c>
      <c r="S402" s="115">
        <v>202304</v>
      </c>
      <c r="T402" s="187" t="s">
        <v>715</v>
      </c>
      <c r="U402" s="187"/>
      <c r="V402" s="120"/>
      <c r="W402" s="120"/>
      <c r="X402" s="116">
        <v>44044</v>
      </c>
      <c r="Y402" s="116">
        <v>45199</v>
      </c>
    </row>
    <row r="403" s="85" customFormat="1" customHeight="1" spans="1:25">
      <c r="A403" s="22" t="s">
        <v>444</v>
      </c>
      <c r="B403" s="98" t="s">
        <v>62</v>
      </c>
      <c r="C403" s="24" t="s">
        <v>238</v>
      </c>
      <c r="D403" s="24" t="s">
        <v>642</v>
      </c>
      <c r="E403" s="46" t="s">
        <v>643</v>
      </c>
      <c r="F403" s="22" t="s">
        <v>644</v>
      </c>
      <c r="G403" s="107" t="s">
        <v>31</v>
      </c>
      <c r="H403" s="99" t="s">
        <v>684</v>
      </c>
      <c r="I403" s="46" t="e">
        <f>VLOOKUP(H403,'合同高级查询数据-4月返'!A:A,1,FALSE)</f>
        <v>#N/A</v>
      </c>
      <c r="J403" s="178" t="s">
        <v>33</v>
      </c>
      <c r="K403" s="107" t="s">
        <v>685</v>
      </c>
      <c r="L403" s="25" t="s">
        <v>698</v>
      </c>
      <c r="M403" s="49"/>
      <c r="N403" s="73">
        <v>44048</v>
      </c>
      <c r="O403" s="73"/>
      <c r="P403" s="108">
        <v>30</v>
      </c>
      <c r="Q403" s="118">
        <v>256</v>
      </c>
      <c r="R403" s="118">
        <f t="shared" si="16"/>
        <v>7680</v>
      </c>
      <c r="S403" s="115">
        <v>202304</v>
      </c>
      <c r="T403" s="187" t="s">
        <v>716</v>
      </c>
      <c r="U403" s="187"/>
      <c r="V403" s="120"/>
      <c r="W403" s="120"/>
      <c r="X403" s="116">
        <v>44044</v>
      </c>
      <c r="Y403" s="116">
        <v>45199</v>
      </c>
    </row>
    <row r="404" s="85" customFormat="1" customHeight="1" spans="1:25">
      <c r="A404" s="22" t="s">
        <v>446</v>
      </c>
      <c r="B404" s="98" t="s">
        <v>62</v>
      </c>
      <c r="C404" s="24" t="s">
        <v>238</v>
      </c>
      <c r="D404" s="24" t="s">
        <v>642</v>
      </c>
      <c r="E404" s="46" t="s">
        <v>643</v>
      </c>
      <c r="F404" s="22" t="s">
        <v>644</v>
      </c>
      <c r="G404" s="107" t="s">
        <v>88</v>
      </c>
      <c r="H404" s="99" t="s">
        <v>684</v>
      </c>
      <c r="I404" s="46" t="e">
        <f>VLOOKUP(H404,'合同高级查询数据-4月返'!A:A,1,FALSE)</f>
        <v>#N/A</v>
      </c>
      <c r="J404" s="178" t="s">
        <v>162</v>
      </c>
      <c r="K404" s="107" t="s">
        <v>685</v>
      </c>
      <c r="L404" s="25" t="s">
        <v>686</v>
      </c>
      <c r="M404" s="49" t="s">
        <v>687</v>
      </c>
      <c r="N404" s="73">
        <v>44737</v>
      </c>
      <c r="O404" s="73" t="s">
        <v>503</v>
      </c>
      <c r="P404" s="108">
        <v>4000</v>
      </c>
      <c r="Q404" s="118">
        <v>1</v>
      </c>
      <c r="R404" s="118">
        <f t="shared" si="16"/>
        <v>4000</v>
      </c>
      <c r="S404" s="115">
        <v>202304</v>
      </c>
      <c r="T404" s="184" t="s">
        <v>717</v>
      </c>
      <c r="U404" s="184"/>
      <c r="V404" s="120"/>
      <c r="W404" s="120"/>
      <c r="X404" s="116">
        <v>44044</v>
      </c>
      <c r="Y404" s="116">
        <v>45199</v>
      </c>
    </row>
    <row r="405" s="85" customFormat="1" customHeight="1" spans="1:25">
      <c r="A405" s="22" t="s">
        <v>446</v>
      </c>
      <c r="B405" s="98" t="s">
        <v>62</v>
      </c>
      <c r="C405" s="24" t="s">
        <v>238</v>
      </c>
      <c r="D405" s="24" t="s">
        <v>642</v>
      </c>
      <c r="E405" s="46" t="s">
        <v>643</v>
      </c>
      <c r="F405" s="22" t="s">
        <v>644</v>
      </c>
      <c r="G405" s="107" t="s">
        <v>88</v>
      </c>
      <c r="H405" s="99" t="s">
        <v>684</v>
      </c>
      <c r="I405" s="46" t="e">
        <f>VLOOKUP(H405,'合同高级查询数据-4月返'!A:A,1,FALSE)</f>
        <v>#N/A</v>
      </c>
      <c r="J405" s="178" t="s">
        <v>162</v>
      </c>
      <c r="K405" s="107" t="s">
        <v>685</v>
      </c>
      <c r="L405" s="25" t="s">
        <v>686</v>
      </c>
      <c r="M405" s="49" t="s">
        <v>691</v>
      </c>
      <c r="N405" s="73">
        <v>44866</v>
      </c>
      <c r="O405" s="73" t="s">
        <v>503</v>
      </c>
      <c r="P405" s="108">
        <v>3700</v>
      </c>
      <c r="Q405" s="118">
        <v>13</v>
      </c>
      <c r="R405" s="118">
        <f t="shared" si="16"/>
        <v>48100</v>
      </c>
      <c r="S405" s="115">
        <v>202304</v>
      </c>
      <c r="T405" s="184" t="s">
        <v>718</v>
      </c>
      <c r="U405" s="184"/>
      <c r="V405" s="120"/>
      <c r="W405" s="120"/>
      <c r="X405" s="116">
        <v>44044</v>
      </c>
      <c r="Y405" s="116">
        <v>45199</v>
      </c>
    </row>
    <row r="406" s="85" customFormat="1" customHeight="1" spans="1:25">
      <c r="A406" s="22" t="s">
        <v>446</v>
      </c>
      <c r="B406" s="98" t="s">
        <v>62</v>
      </c>
      <c r="C406" s="24" t="s">
        <v>238</v>
      </c>
      <c r="D406" s="24" t="s">
        <v>642</v>
      </c>
      <c r="E406" s="46" t="s">
        <v>643</v>
      </c>
      <c r="F406" s="22" t="s">
        <v>644</v>
      </c>
      <c r="G406" s="107" t="s">
        <v>88</v>
      </c>
      <c r="H406" s="99" t="s">
        <v>684</v>
      </c>
      <c r="I406" s="46" t="e">
        <f>VLOOKUP(H406,'合同高级查询数据-4月返'!A:A,1,FALSE)</f>
        <v>#N/A</v>
      </c>
      <c r="J406" s="178" t="s">
        <v>162</v>
      </c>
      <c r="K406" s="107" t="s">
        <v>685</v>
      </c>
      <c r="L406" s="25" t="s">
        <v>686</v>
      </c>
      <c r="M406" s="49" t="s">
        <v>691</v>
      </c>
      <c r="N406" s="73">
        <v>44874</v>
      </c>
      <c r="O406" s="73" t="s">
        <v>503</v>
      </c>
      <c r="P406" s="108">
        <v>3700</v>
      </c>
      <c r="Q406" s="118">
        <v>1</v>
      </c>
      <c r="R406" s="118">
        <f t="shared" si="16"/>
        <v>3700</v>
      </c>
      <c r="S406" s="115">
        <v>202304</v>
      </c>
      <c r="T406" s="184" t="s">
        <v>719</v>
      </c>
      <c r="U406" s="184"/>
      <c r="V406" s="120"/>
      <c r="W406" s="120"/>
      <c r="X406" s="116">
        <v>44044</v>
      </c>
      <c r="Y406" s="116">
        <v>45199</v>
      </c>
    </row>
    <row r="407" s="85" customFormat="1" customHeight="1" spans="1:25">
      <c r="A407" s="22" t="s">
        <v>446</v>
      </c>
      <c r="B407" s="98" t="s">
        <v>62</v>
      </c>
      <c r="C407" s="24" t="s">
        <v>238</v>
      </c>
      <c r="D407" s="24" t="s">
        <v>642</v>
      </c>
      <c r="E407" s="46" t="s">
        <v>643</v>
      </c>
      <c r="F407" s="22" t="s">
        <v>644</v>
      </c>
      <c r="G407" s="107" t="s">
        <v>88</v>
      </c>
      <c r="H407" s="99" t="s">
        <v>684</v>
      </c>
      <c r="I407" s="46" t="e">
        <f>VLOOKUP(H407,'合同高级查询数据-4月返'!A:A,1,FALSE)</f>
        <v>#N/A</v>
      </c>
      <c r="J407" s="178" t="s">
        <v>162</v>
      </c>
      <c r="K407" s="107" t="s">
        <v>685</v>
      </c>
      <c r="L407" s="25" t="s">
        <v>686</v>
      </c>
      <c r="M407" s="49" t="s">
        <v>687</v>
      </c>
      <c r="N407" s="73">
        <v>44957</v>
      </c>
      <c r="O407" s="73" t="s">
        <v>503</v>
      </c>
      <c r="P407" s="108">
        <v>4000</v>
      </c>
      <c r="Q407" s="118">
        <v>-3</v>
      </c>
      <c r="R407" s="118">
        <f t="shared" si="16"/>
        <v>-12000</v>
      </c>
      <c r="S407" s="115">
        <v>202304</v>
      </c>
      <c r="T407" s="184" t="s">
        <v>720</v>
      </c>
      <c r="U407" s="184"/>
      <c r="V407" s="120"/>
      <c r="W407" s="120"/>
      <c r="X407" s="116">
        <v>44044</v>
      </c>
      <c r="Y407" s="116">
        <v>45199</v>
      </c>
    </row>
    <row r="408" s="85" customFormat="1" customHeight="1" spans="1:25">
      <c r="A408" s="22" t="s">
        <v>448</v>
      </c>
      <c r="B408" s="98" t="s">
        <v>62</v>
      </c>
      <c r="C408" s="24" t="s">
        <v>238</v>
      </c>
      <c r="D408" s="24" t="s">
        <v>642</v>
      </c>
      <c r="E408" s="46" t="s">
        <v>643</v>
      </c>
      <c r="F408" s="22" t="s">
        <v>644</v>
      </c>
      <c r="G408" s="107" t="s">
        <v>31</v>
      </c>
      <c r="H408" s="99" t="s">
        <v>684</v>
      </c>
      <c r="I408" s="46" t="e">
        <f>VLOOKUP(H408,'合同高级查询数据-4月返'!A:A,1,FALSE)</f>
        <v>#N/A</v>
      </c>
      <c r="J408" s="178" t="s">
        <v>33</v>
      </c>
      <c r="K408" s="107" t="s">
        <v>685</v>
      </c>
      <c r="L408" s="25" t="s">
        <v>695</v>
      </c>
      <c r="M408" s="49" t="s">
        <v>691</v>
      </c>
      <c r="N408" s="73">
        <v>44874</v>
      </c>
      <c r="O408" s="73"/>
      <c r="P408" s="108">
        <v>50</v>
      </c>
      <c r="Q408" s="118">
        <v>64</v>
      </c>
      <c r="R408" s="118">
        <f t="shared" si="16"/>
        <v>3200</v>
      </c>
      <c r="S408" s="115">
        <v>202304</v>
      </c>
      <c r="T408" s="184" t="s">
        <v>721</v>
      </c>
      <c r="U408" s="187"/>
      <c r="V408" s="120"/>
      <c r="W408" s="120"/>
      <c r="X408" s="116">
        <v>44044</v>
      </c>
      <c r="Y408" s="116">
        <v>45199</v>
      </c>
    </row>
    <row r="409" s="85" customFormat="1" customHeight="1" spans="1:25">
      <c r="A409" s="22" t="s">
        <v>444</v>
      </c>
      <c r="B409" s="98" t="s">
        <v>62</v>
      </c>
      <c r="C409" s="24" t="s">
        <v>238</v>
      </c>
      <c r="D409" s="24" t="s">
        <v>642</v>
      </c>
      <c r="E409" s="46" t="s">
        <v>643</v>
      </c>
      <c r="F409" s="22" t="s">
        <v>644</v>
      </c>
      <c r="G409" s="107" t="s">
        <v>31</v>
      </c>
      <c r="H409" s="99" t="s">
        <v>684</v>
      </c>
      <c r="I409" s="46" t="e">
        <f>VLOOKUP(H409,'合同高级查询数据-4月返'!A:A,1,FALSE)</f>
        <v>#N/A</v>
      </c>
      <c r="J409" s="178" t="s">
        <v>33</v>
      </c>
      <c r="K409" s="107" t="s">
        <v>685</v>
      </c>
      <c r="L409" s="25" t="s">
        <v>698</v>
      </c>
      <c r="M409" s="49" t="s">
        <v>691</v>
      </c>
      <c r="N409" s="73">
        <v>44874</v>
      </c>
      <c r="O409" s="73"/>
      <c r="P409" s="108">
        <v>30</v>
      </c>
      <c r="Q409" s="118">
        <v>128</v>
      </c>
      <c r="R409" s="118">
        <f t="shared" si="16"/>
        <v>3840</v>
      </c>
      <c r="S409" s="115">
        <v>202304</v>
      </c>
      <c r="T409" s="184" t="s">
        <v>722</v>
      </c>
      <c r="U409" s="187"/>
      <c r="V409" s="120"/>
      <c r="W409" s="120"/>
      <c r="X409" s="116">
        <v>44044</v>
      </c>
      <c r="Y409" s="116">
        <v>45199</v>
      </c>
    </row>
    <row r="410" s="85" customFormat="1" customHeight="1" spans="1:25">
      <c r="A410" s="160" t="s">
        <v>446</v>
      </c>
      <c r="B410" s="98" t="s">
        <v>62</v>
      </c>
      <c r="C410" s="98" t="s">
        <v>238</v>
      </c>
      <c r="D410" s="98" t="s">
        <v>642</v>
      </c>
      <c r="E410" s="162" t="s">
        <v>643</v>
      </c>
      <c r="F410" s="160" t="s">
        <v>644</v>
      </c>
      <c r="G410" s="107" t="s">
        <v>88</v>
      </c>
      <c r="H410" s="99" t="s">
        <v>723</v>
      </c>
      <c r="I410" s="46" t="e">
        <f>VLOOKUP(H410,'合同高级查询数据-4月返'!A:A,1,FALSE)</f>
        <v>#N/A</v>
      </c>
      <c r="J410" s="47" t="s">
        <v>90</v>
      </c>
      <c r="K410" s="107" t="s">
        <v>724</v>
      </c>
      <c r="L410" s="107"/>
      <c r="M410" s="49" t="s">
        <v>594</v>
      </c>
      <c r="N410" s="73">
        <v>44203</v>
      </c>
      <c r="O410" s="73" t="s">
        <v>503</v>
      </c>
      <c r="P410" s="164">
        <v>5803.6</v>
      </c>
      <c r="Q410" s="164">
        <v>3</v>
      </c>
      <c r="R410" s="118">
        <f t="shared" si="16"/>
        <v>17410.8</v>
      </c>
      <c r="S410" s="115">
        <v>202304</v>
      </c>
      <c r="T410" s="184" t="s">
        <v>725</v>
      </c>
      <c r="U410" s="185"/>
      <c r="V410" s="165"/>
      <c r="W410" s="165"/>
      <c r="X410" s="116">
        <v>44075</v>
      </c>
      <c r="Y410" s="116">
        <v>46265</v>
      </c>
    </row>
    <row r="411" s="85" customFormat="1" customHeight="1" spans="1:25">
      <c r="A411" s="160" t="s">
        <v>446</v>
      </c>
      <c r="B411" s="98" t="s">
        <v>62</v>
      </c>
      <c r="C411" s="98" t="s">
        <v>238</v>
      </c>
      <c r="D411" s="98" t="s">
        <v>642</v>
      </c>
      <c r="E411" s="162" t="s">
        <v>643</v>
      </c>
      <c r="F411" s="160" t="s">
        <v>644</v>
      </c>
      <c r="G411" s="107" t="s">
        <v>88</v>
      </c>
      <c r="H411" s="99" t="s">
        <v>723</v>
      </c>
      <c r="I411" s="46" t="e">
        <f>VLOOKUP(H411,'合同高级查询数据-4月返'!A:A,1,FALSE)</f>
        <v>#N/A</v>
      </c>
      <c r="J411" s="47" t="s">
        <v>90</v>
      </c>
      <c r="K411" s="107" t="s">
        <v>724</v>
      </c>
      <c r="L411" s="107"/>
      <c r="M411" s="49" t="s">
        <v>594</v>
      </c>
      <c r="N411" s="73">
        <v>44203</v>
      </c>
      <c r="O411" s="73" t="s">
        <v>507</v>
      </c>
      <c r="P411" s="164">
        <v>11600</v>
      </c>
      <c r="Q411" s="164">
        <v>38</v>
      </c>
      <c r="R411" s="118">
        <f t="shared" si="16"/>
        <v>440800</v>
      </c>
      <c r="S411" s="115">
        <v>202304</v>
      </c>
      <c r="T411" s="184" t="s">
        <v>726</v>
      </c>
      <c r="U411" s="184"/>
      <c r="V411" s="165"/>
      <c r="W411" s="165"/>
      <c r="X411" s="116">
        <v>44075</v>
      </c>
      <c r="Y411" s="116">
        <v>46265</v>
      </c>
    </row>
    <row r="412" s="85" customFormat="1" customHeight="1" spans="1:25">
      <c r="A412" s="160" t="s">
        <v>446</v>
      </c>
      <c r="B412" s="98" t="s">
        <v>62</v>
      </c>
      <c r="C412" s="98" t="s">
        <v>238</v>
      </c>
      <c r="D412" s="98" t="s">
        <v>642</v>
      </c>
      <c r="E412" s="162" t="s">
        <v>643</v>
      </c>
      <c r="F412" s="160" t="s">
        <v>644</v>
      </c>
      <c r="G412" s="107" t="s">
        <v>88</v>
      </c>
      <c r="H412" s="99" t="s">
        <v>723</v>
      </c>
      <c r="I412" s="46" t="e">
        <f>VLOOKUP(H412,'合同高级查询数据-4月返'!A:A,1,FALSE)</f>
        <v>#N/A</v>
      </c>
      <c r="J412" s="47" t="s">
        <v>90</v>
      </c>
      <c r="K412" s="107" t="s">
        <v>724</v>
      </c>
      <c r="L412" s="107"/>
      <c r="M412" s="49" t="s">
        <v>594</v>
      </c>
      <c r="N412" s="73">
        <v>44300</v>
      </c>
      <c r="O412" s="73" t="s">
        <v>507</v>
      </c>
      <c r="P412" s="164">
        <v>11600</v>
      </c>
      <c r="Q412" s="164">
        <v>-38</v>
      </c>
      <c r="R412" s="118">
        <f t="shared" si="16"/>
        <v>-440800</v>
      </c>
      <c r="S412" s="115">
        <v>202304</v>
      </c>
      <c r="T412" s="184" t="s">
        <v>727</v>
      </c>
      <c r="U412" s="184"/>
      <c r="V412" s="165"/>
      <c r="W412" s="165"/>
      <c r="X412" s="116">
        <v>44075</v>
      </c>
      <c r="Y412" s="116">
        <v>46265</v>
      </c>
    </row>
    <row r="413" s="85" customFormat="1" customHeight="1" spans="1:25">
      <c r="A413" s="160" t="s">
        <v>446</v>
      </c>
      <c r="B413" s="98" t="s">
        <v>62</v>
      </c>
      <c r="C413" s="98" t="s">
        <v>238</v>
      </c>
      <c r="D413" s="98" t="s">
        <v>642</v>
      </c>
      <c r="E413" s="162" t="s">
        <v>643</v>
      </c>
      <c r="F413" s="160" t="s">
        <v>644</v>
      </c>
      <c r="G413" s="107" t="s">
        <v>88</v>
      </c>
      <c r="H413" s="99" t="s">
        <v>723</v>
      </c>
      <c r="I413" s="46" t="e">
        <f>VLOOKUP(H413,'合同高级查询数据-4月返'!A:A,1,FALSE)</f>
        <v>#N/A</v>
      </c>
      <c r="J413" s="47" t="s">
        <v>90</v>
      </c>
      <c r="K413" s="107" t="s">
        <v>724</v>
      </c>
      <c r="L413" s="107"/>
      <c r="M413" s="49" t="s">
        <v>594</v>
      </c>
      <c r="N413" s="73">
        <v>44379</v>
      </c>
      <c r="O413" s="73" t="s">
        <v>507</v>
      </c>
      <c r="P413" s="164">
        <v>11600</v>
      </c>
      <c r="Q413" s="164">
        <v>13</v>
      </c>
      <c r="R413" s="118">
        <f t="shared" si="16"/>
        <v>150800</v>
      </c>
      <c r="S413" s="115">
        <v>202304</v>
      </c>
      <c r="T413" s="184" t="s">
        <v>728</v>
      </c>
      <c r="U413" s="185"/>
      <c r="V413" s="165"/>
      <c r="W413" s="165"/>
      <c r="X413" s="116">
        <v>44075</v>
      </c>
      <c r="Y413" s="116">
        <v>46265</v>
      </c>
    </row>
    <row r="414" s="85" customFormat="1" customHeight="1" spans="1:25">
      <c r="A414" s="160" t="s">
        <v>446</v>
      </c>
      <c r="B414" s="98" t="s">
        <v>62</v>
      </c>
      <c r="C414" s="98" t="s">
        <v>238</v>
      </c>
      <c r="D414" s="98" t="s">
        <v>642</v>
      </c>
      <c r="E414" s="162" t="s">
        <v>643</v>
      </c>
      <c r="F414" s="160" t="s">
        <v>644</v>
      </c>
      <c r="G414" s="107" t="s">
        <v>88</v>
      </c>
      <c r="H414" s="99" t="s">
        <v>723</v>
      </c>
      <c r="I414" s="46" t="e">
        <f>VLOOKUP(H414,'合同高级查询数据-4月返'!A:A,1,FALSE)</f>
        <v>#N/A</v>
      </c>
      <c r="J414" s="47" t="s">
        <v>90</v>
      </c>
      <c r="K414" s="107" t="s">
        <v>724</v>
      </c>
      <c r="L414" s="107"/>
      <c r="M414" s="49" t="s">
        <v>594</v>
      </c>
      <c r="N414" s="73">
        <v>44380</v>
      </c>
      <c r="O414" s="73" t="s">
        <v>507</v>
      </c>
      <c r="P414" s="164">
        <v>11600</v>
      </c>
      <c r="Q414" s="164">
        <v>12</v>
      </c>
      <c r="R414" s="118">
        <f t="shared" si="16"/>
        <v>139200</v>
      </c>
      <c r="S414" s="115">
        <v>202304</v>
      </c>
      <c r="T414" s="184" t="s">
        <v>729</v>
      </c>
      <c r="U414" s="184"/>
      <c r="V414" s="165"/>
      <c r="W414" s="165"/>
      <c r="X414" s="116">
        <v>44075</v>
      </c>
      <c r="Y414" s="116">
        <v>46265</v>
      </c>
    </row>
    <row r="415" s="85" customFormat="1" customHeight="1" spans="1:25">
      <c r="A415" s="160" t="s">
        <v>446</v>
      </c>
      <c r="B415" s="98" t="s">
        <v>62</v>
      </c>
      <c r="C415" s="98" t="s">
        <v>238</v>
      </c>
      <c r="D415" s="98" t="s">
        <v>642</v>
      </c>
      <c r="E415" s="162" t="s">
        <v>643</v>
      </c>
      <c r="F415" s="160" t="s">
        <v>644</v>
      </c>
      <c r="G415" s="107" t="s">
        <v>88</v>
      </c>
      <c r="H415" s="99" t="s">
        <v>723</v>
      </c>
      <c r="I415" s="46" t="e">
        <f>VLOOKUP(H415,'合同高级查询数据-4月返'!A:A,1,FALSE)</f>
        <v>#N/A</v>
      </c>
      <c r="J415" s="47" t="s">
        <v>90</v>
      </c>
      <c r="K415" s="107" t="s">
        <v>724</v>
      </c>
      <c r="L415" s="107"/>
      <c r="M415" s="49" t="s">
        <v>594</v>
      </c>
      <c r="N415" s="73">
        <v>44387</v>
      </c>
      <c r="O415" s="73" t="s">
        <v>507</v>
      </c>
      <c r="P415" s="164">
        <v>11600</v>
      </c>
      <c r="Q415" s="164">
        <v>12</v>
      </c>
      <c r="R415" s="118">
        <f t="shared" si="16"/>
        <v>139200</v>
      </c>
      <c r="S415" s="115">
        <v>202304</v>
      </c>
      <c r="T415" s="184" t="s">
        <v>730</v>
      </c>
      <c r="U415" s="184"/>
      <c r="V415" s="165"/>
      <c r="W415" s="165"/>
      <c r="X415" s="116">
        <v>44075</v>
      </c>
      <c r="Y415" s="116">
        <v>46265</v>
      </c>
    </row>
    <row r="416" s="85" customFormat="1" customHeight="1" spans="1:25">
      <c r="A416" s="160" t="s">
        <v>446</v>
      </c>
      <c r="B416" s="98" t="s">
        <v>62</v>
      </c>
      <c r="C416" s="98" t="s">
        <v>238</v>
      </c>
      <c r="D416" s="98" t="s">
        <v>642</v>
      </c>
      <c r="E416" s="162" t="s">
        <v>643</v>
      </c>
      <c r="F416" s="160" t="s">
        <v>644</v>
      </c>
      <c r="G416" s="107" t="s">
        <v>88</v>
      </c>
      <c r="H416" s="99" t="s">
        <v>723</v>
      </c>
      <c r="I416" s="46" t="e">
        <f>VLOOKUP(H416,'合同高级查询数据-4月返'!A:A,1,FALSE)</f>
        <v>#N/A</v>
      </c>
      <c r="J416" s="47" t="s">
        <v>90</v>
      </c>
      <c r="K416" s="107" t="s">
        <v>724</v>
      </c>
      <c r="L416" s="107"/>
      <c r="M416" s="49" t="s">
        <v>594</v>
      </c>
      <c r="N416" s="73">
        <v>44425</v>
      </c>
      <c r="O416" s="73" t="s">
        <v>507</v>
      </c>
      <c r="P416" s="164">
        <v>11600</v>
      </c>
      <c r="Q416" s="164">
        <v>13</v>
      </c>
      <c r="R416" s="118">
        <f t="shared" si="16"/>
        <v>150800</v>
      </c>
      <c r="S416" s="115">
        <v>202304</v>
      </c>
      <c r="T416" s="184" t="s">
        <v>731</v>
      </c>
      <c r="U416" s="184"/>
      <c r="V416" s="165"/>
      <c r="W416" s="165"/>
      <c r="X416" s="116">
        <v>44075</v>
      </c>
      <c r="Y416" s="116">
        <v>46265</v>
      </c>
    </row>
    <row r="417" s="85" customFormat="1" customHeight="1" spans="1:25">
      <c r="A417" s="98" t="s">
        <v>446</v>
      </c>
      <c r="B417" s="98" t="s">
        <v>62</v>
      </c>
      <c r="C417" s="98" t="s">
        <v>238</v>
      </c>
      <c r="D417" s="98" t="s">
        <v>642</v>
      </c>
      <c r="E417" s="161" t="s">
        <v>643</v>
      </c>
      <c r="F417" s="160" t="s">
        <v>644</v>
      </c>
      <c r="G417" s="172" t="s">
        <v>88</v>
      </c>
      <c r="H417" s="100" t="s">
        <v>723</v>
      </c>
      <c r="I417" s="46" t="e">
        <f>VLOOKUP(H417,'合同高级查询数据-4月返'!A:A,1,FALSE)</f>
        <v>#N/A</v>
      </c>
      <c r="J417" s="178" t="s">
        <v>90</v>
      </c>
      <c r="K417" s="107" t="s">
        <v>724</v>
      </c>
      <c r="L417" s="179"/>
      <c r="M417" s="49" t="s">
        <v>594</v>
      </c>
      <c r="N417" s="180">
        <v>44472</v>
      </c>
      <c r="O417" s="181" t="s">
        <v>507</v>
      </c>
      <c r="P417" s="182">
        <v>11600</v>
      </c>
      <c r="Q417" s="182">
        <v>23</v>
      </c>
      <c r="R417" s="118">
        <f t="shared" si="16"/>
        <v>266800</v>
      </c>
      <c r="S417" s="115">
        <v>202304</v>
      </c>
      <c r="T417" s="186" t="s">
        <v>732</v>
      </c>
      <c r="U417" s="186"/>
      <c r="V417" s="165"/>
      <c r="W417" s="165"/>
      <c r="X417" s="116">
        <v>44075</v>
      </c>
      <c r="Y417" s="116">
        <v>46265</v>
      </c>
    </row>
    <row r="418" s="86" customFormat="1" customHeight="1" spans="1:25">
      <c r="A418" s="35" t="s">
        <v>446</v>
      </c>
      <c r="B418" s="135" t="s">
        <v>62</v>
      </c>
      <c r="C418" s="11" t="s">
        <v>238</v>
      </c>
      <c r="D418" s="11" t="s">
        <v>642</v>
      </c>
      <c r="E418" s="30" t="s">
        <v>643</v>
      </c>
      <c r="F418" s="35" t="s">
        <v>644</v>
      </c>
      <c r="G418" s="142" t="s">
        <v>88</v>
      </c>
      <c r="H418" s="103" t="s">
        <v>733</v>
      </c>
      <c r="I418" s="30" t="e">
        <f>VLOOKUP(H418,'合同高级查询数据-4月返'!A:A,1,FALSE)</f>
        <v>#N/A</v>
      </c>
      <c r="J418" s="155" t="s">
        <v>162</v>
      </c>
      <c r="K418" s="142" t="s">
        <v>734</v>
      </c>
      <c r="L418" s="110" t="s">
        <v>735</v>
      </c>
      <c r="M418" s="113" t="s">
        <v>736</v>
      </c>
      <c r="N418" s="146" t="s">
        <v>737</v>
      </c>
      <c r="O418" s="146" t="s">
        <v>702</v>
      </c>
      <c r="P418" s="156">
        <v>3000</v>
      </c>
      <c r="Q418" s="130">
        <v>11</v>
      </c>
      <c r="R418" s="130">
        <f t="shared" si="16"/>
        <v>33000</v>
      </c>
      <c r="S418" s="127">
        <v>202304</v>
      </c>
      <c r="T418" s="190" t="s">
        <v>738</v>
      </c>
      <c r="U418" s="190"/>
      <c r="V418" s="159"/>
      <c r="W418" s="159"/>
      <c r="X418" s="131"/>
      <c r="Y418" s="131"/>
    </row>
    <row r="419" s="86" customFormat="1" customHeight="1" spans="1:25">
      <c r="A419" s="35" t="s">
        <v>446</v>
      </c>
      <c r="B419" s="135" t="s">
        <v>62</v>
      </c>
      <c r="C419" s="11" t="s">
        <v>238</v>
      </c>
      <c r="D419" s="11" t="s">
        <v>642</v>
      </c>
      <c r="E419" s="30" t="s">
        <v>643</v>
      </c>
      <c r="F419" s="35" t="s">
        <v>644</v>
      </c>
      <c r="G419" s="142" t="s">
        <v>88</v>
      </c>
      <c r="H419" s="103" t="s">
        <v>733</v>
      </c>
      <c r="I419" s="30" t="e">
        <f>VLOOKUP(H419,'合同高级查询数据-4月返'!A:A,1,FALSE)</f>
        <v>#N/A</v>
      </c>
      <c r="J419" s="155" t="s">
        <v>162</v>
      </c>
      <c r="K419" s="142" t="s">
        <v>734</v>
      </c>
      <c r="L419" s="110" t="s">
        <v>735</v>
      </c>
      <c r="M419" s="113" t="s">
        <v>736</v>
      </c>
      <c r="N419" s="146">
        <v>44789</v>
      </c>
      <c r="O419" s="146" t="s">
        <v>702</v>
      </c>
      <c r="P419" s="156">
        <v>3000</v>
      </c>
      <c r="Q419" s="130">
        <v>-5</v>
      </c>
      <c r="R419" s="130">
        <f t="shared" si="16"/>
        <v>-15000</v>
      </c>
      <c r="S419" s="127">
        <v>202304</v>
      </c>
      <c r="T419" s="190" t="s">
        <v>739</v>
      </c>
      <c r="U419" s="190"/>
      <c r="V419" s="159"/>
      <c r="W419" s="159"/>
      <c r="X419" s="131"/>
      <c r="Y419" s="131"/>
    </row>
    <row r="420" s="86" customFormat="1" customHeight="1" spans="1:25">
      <c r="A420" s="35" t="s">
        <v>446</v>
      </c>
      <c r="B420" s="135" t="s">
        <v>62</v>
      </c>
      <c r="C420" s="11" t="s">
        <v>238</v>
      </c>
      <c r="D420" s="11" t="s">
        <v>642</v>
      </c>
      <c r="E420" s="30" t="s">
        <v>643</v>
      </c>
      <c r="F420" s="35" t="s">
        <v>644</v>
      </c>
      <c r="G420" s="142" t="s">
        <v>31</v>
      </c>
      <c r="H420" s="103" t="s">
        <v>733</v>
      </c>
      <c r="I420" s="30" t="e">
        <f>VLOOKUP(H420,'合同高级查询数据-4月返'!A:A,1,FALSE)</f>
        <v>#N/A</v>
      </c>
      <c r="J420" s="155" t="s">
        <v>33</v>
      </c>
      <c r="K420" s="142" t="s">
        <v>734</v>
      </c>
      <c r="L420" s="110" t="s">
        <v>735</v>
      </c>
      <c r="M420" s="113"/>
      <c r="N420" s="146" t="s">
        <v>737</v>
      </c>
      <c r="O420" s="146"/>
      <c r="P420" s="156">
        <v>0</v>
      </c>
      <c r="Q420" s="130">
        <v>256</v>
      </c>
      <c r="R420" s="130">
        <f t="shared" si="16"/>
        <v>0</v>
      </c>
      <c r="S420" s="127">
        <v>202304</v>
      </c>
      <c r="T420" s="190" t="s">
        <v>740</v>
      </c>
      <c r="U420" s="190"/>
      <c r="V420" s="159"/>
      <c r="W420" s="159"/>
      <c r="X420" s="131"/>
      <c r="Y420" s="131"/>
    </row>
    <row r="421" s="86" customFormat="1" customHeight="1" spans="1:25">
      <c r="A421" s="35" t="s">
        <v>446</v>
      </c>
      <c r="B421" s="135" t="s">
        <v>62</v>
      </c>
      <c r="C421" s="11" t="s">
        <v>238</v>
      </c>
      <c r="D421" s="11" t="s">
        <v>642</v>
      </c>
      <c r="E421" s="30" t="s">
        <v>643</v>
      </c>
      <c r="F421" s="35" t="s">
        <v>644</v>
      </c>
      <c r="G421" s="142" t="s">
        <v>31</v>
      </c>
      <c r="H421" s="103" t="s">
        <v>733</v>
      </c>
      <c r="I421" s="30" t="e">
        <f>VLOOKUP(H421,'合同高级查询数据-4月返'!A:A,1,FALSE)</f>
        <v>#N/A</v>
      </c>
      <c r="J421" s="155" t="s">
        <v>33</v>
      </c>
      <c r="K421" s="142" t="s">
        <v>734</v>
      </c>
      <c r="L421" s="110" t="s">
        <v>735</v>
      </c>
      <c r="M421" s="113"/>
      <c r="N421" s="146" t="s">
        <v>737</v>
      </c>
      <c r="O421" s="146"/>
      <c r="P421" s="156">
        <v>0</v>
      </c>
      <c r="Q421" s="130">
        <v>256</v>
      </c>
      <c r="R421" s="130">
        <f t="shared" si="16"/>
        <v>0</v>
      </c>
      <c r="S421" s="127">
        <v>202304</v>
      </c>
      <c r="T421" s="190" t="s">
        <v>741</v>
      </c>
      <c r="U421" s="190"/>
      <c r="V421" s="159"/>
      <c r="W421" s="159"/>
      <c r="X421" s="131"/>
      <c r="Y421" s="131"/>
    </row>
    <row r="422" s="86" customFormat="1" customHeight="1" spans="1:25">
      <c r="A422" s="35" t="s">
        <v>446</v>
      </c>
      <c r="B422" s="135" t="s">
        <v>62</v>
      </c>
      <c r="C422" s="11" t="s">
        <v>238</v>
      </c>
      <c r="D422" s="11" t="s">
        <v>642</v>
      </c>
      <c r="E422" s="30" t="s">
        <v>643</v>
      </c>
      <c r="F422" s="35" t="s">
        <v>644</v>
      </c>
      <c r="G422" s="142" t="s">
        <v>31</v>
      </c>
      <c r="H422" s="103" t="s">
        <v>733</v>
      </c>
      <c r="I422" s="30" t="e">
        <f>VLOOKUP(H422,'合同高级查询数据-4月返'!A:A,1,FALSE)</f>
        <v>#N/A</v>
      </c>
      <c r="J422" s="155" t="s">
        <v>33</v>
      </c>
      <c r="K422" s="142" t="s">
        <v>734</v>
      </c>
      <c r="L422" s="110" t="s">
        <v>735</v>
      </c>
      <c r="M422" s="113"/>
      <c r="N422" s="146" t="s">
        <v>737</v>
      </c>
      <c r="O422" s="146"/>
      <c r="P422" s="156">
        <v>20</v>
      </c>
      <c r="Q422" s="130">
        <v>32</v>
      </c>
      <c r="R422" s="130">
        <f t="shared" si="16"/>
        <v>640</v>
      </c>
      <c r="S422" s="127">
        <v>202304</v>
      </c>
      <c r="T422" s="190" t="s">
        <v>742</v>
      </c>
      <c r="U422" s="190"/>
      <c r="V422" s="159"/>
      <c r="W422" s="159"/>
      <c r="X422" s="131"/>
      <c r="Y422" s="131"/>
    </row>
    <row r="423" s="86" customFormat="1" customHeight="1" spans="1:25">
      <c r="A423" s="35" t="s">
        <v>446</v>
      </c>
      <c r="B423" s="135" t="s">
        <v>62</v>
      </c>
      <c r="C423" s="11" t="s">
        <v>238</v>
      </c>
      <c r="D423" s="11" t="s">
        <v>642</v>
      </c>
      <c r="E423" s="30" t="s">
        <v>643</v>
      </c>
      <c r="F423" s="35" t="s">
        <v>644</v>
      </c>
      <c r="G423" s="142" t="s">
        <v>31</v>
      </c>
      <c r="H423" s="103" t="s">
        <v>733</v>
      </c>
      <c r="I423" s="30" t="e">
        <f>VLOOKUP(H423,'合同高级查询数据-4月返'!A:A,1,FALSE)</f>
        <v>#N/A</v>
      </c>
      <c r="J423" s="155" t="s">
        <v>33</v>
      </c>
      <c r="K423" s="142" t="s">
        <v>734</v>
      </c>
      <c r="L423" s="110" t="s">
        <v>735</v>
      </c>
      <c r="M423" s="113"/>
      <c r="N423" s="146">
        <v>44789</v>
      </c>
      <c r="O423" s="146"/>
      <c r="P423" s="156">
        <v>0</v>
      </c>
      <c r="Q423" s="130">
        <v>-256</v>
      </c>
      <c r="R423" s="130">
        <f t="shared" si="16"/>
        <v>0</v>
      </c>
      <c r="S423" s="127">
        <v>202304</v>
      </c>
      <c r="T423" s="190" t="s">
        <v>743</v>
      </c>
      <c r="U423" s="190"/>
      <c r="V423" s="159"/>
      <c r="W423" s="159"/>
      <c r="X423" s="131"/>
      <c r="Y423" s="131"/>
    </row>
    <row r="424" s="86" customFormat="1" customHeight="1" spans="1:25">
      <c r="A424" s="35" t="s">
        <v>446</v>
      </c>
      <c r="B424" s="135" t="s">
        <v>62</v>
      </c>
      <c r="C424" s="11" t="s">
        <v>238</v>
      </c>
      <c r="D424" s="11" t="s">
        <v>642</v>
      </c>
      <c r="E424" s="30" t="s">
        <v>643</v>
      </c>
      <c r="F424" s="35" t="s">
        <v>644</v>
      </c>
      <c r="G424" s="142" t="s">
        <v>88</v>
      </c>
      <c r="H424" s="103" t="s">
        <v>733</v>
      </c>
      <c r="I424" s="30" t="e">
        <f>VLOOKUP(H424,'合同高级查询数据-4月返'!A:A,1,FALSE)</f>
        <v>#N/A</v>
      </c>
      <c r="J424" s="155" t="s">
        <v>162</v>
      </c>
      <c r="K424" s="142" t="s">
        <v>734</v>
      </c>
      <c r="L424" s="110" t="s">
        <v>744</v>
      </c>
      <c r="M424" s="113" t="s">
        <v>745</v>
      </c>
      <c r="N424" s="146">
        <v>44835</v>
      </c>
      <c r="O424" s="146" t="s">
        <v>503</v>
      </c>
      <c r="P424" s="156">
        <v>2900</v>
      </c>
      <c r="Q424" s="130">
        <v>13</v>
      </c>
      <c r="R424" s="130">
        <f t="shared" si="16"/>
        <v>37700</v>
      </c>
      <c r="S424" s="127">
        <v>202304</v>
      </c>
      <c r="T424" s="190" t="s">
        <v>746</v>
      </c>
      <c r="U424" s="190"/>
      <c r="V424" s="159"/>
      <c r="W424" s="159"/>
      <c r="X424" s="131"/>
      <c r="Y424" s="131"/>
    </row>
    <row r="425" s="86" customFormat="1" customHeight="1" spans="1:25">
      <c r="A425" s="35" t="s">
        <v>446</v>
      </c>
      <c r="B425" s="135" t="s">
        <v>62</v>
      </c>
      <c r="C425" s="11" t="s">
        <v>238</v>
      </c>
      <c r="D425" s="11" t="s">
        <v>642</v>
      </c>
      <c r="E425" s="30" t="s">
        <v>643</v>
      </c>
      <c r="F425" s="35" t="s">
        <v>644</v>
      </c>
      <c r="G425" s="142" t="s">
        <v>88</v>
      </c>
      <c r="H425" s="103" t="s">
        <v>733</v>
      </c>
      <c r="I425" s="30" t="e">
        <f>VLOOKUP(H425,'合同高级查询数据-4月返'!A:A,1,FALSE)</f>
        <v>#N/A</v>
      </c>
      <c r="J425" s="155" t="s">
        <v>162</v>
      </c>
      <c r="K425" s="142" t="s">
        <v>734</v>
      </c>
      <c r="L425" s="110" t="s">
        <v>744</v>
      </c>
      <c r="M425" s="113" t="s">
        <v>745</v>
      </c>
      <c r="N425" s="146">
        <v>44835</v>
      </c>
      <c r="O425" s="146" t="s">
        <v>503</v>
      </c>
      <c r="P425" s="156">
        <v>0</v>
      </c>
      <c r="Q425" s="130">
        <v>5</v>
      </c>
      <c r="R425" s="130">
        <f t="shared" si="16"/>
        <v>0</v>
      </c>
      <c r="S425" s="127">
        <v>202304</v>
      </c>
      <c r="T425" s="190" t="s">
        <v>747</v>
      </c>
      <c r="U425" s="190"/>
      <c r="V425" s="159"/>
      <c r="W425" s="159"/>
      <c r="X425" s="131"/>
      <c r="Y425" s="131"/>
    </row>
    <row r="426" s="86" customFormat="1" customHeight="1" spans="1:25">
      <c r="A426" s="35" t="s">
        <v>446</v>
      </c>
      <c r="B426" s="135" t="s">
        <v>62</v>
      </c>
      <c r="C426" s="11" t="s">
        <v>238</v>
      </c>
      <c r="D426" s="11" t="s">
        <v>642</v>
      </c>
      <c r="E426" s="30" t="s">
        <v>643</v>
      </c>
      <c r="F426" s="35" t="s">
        <v>644</v>
      </c>
      <c r="G426" s="142" t="s">
        <v>31</v>
      </c>
      <c r="H426" s="103" t="s">
        <v>733</v>
      </c>
      <c r="I426" s="30" t="e">
        <f>VLOOKUP(H426,'合同高级查询数据-4月返'!A:A,1,FALSE)</f>
        <v>#N/A</v>
      </c>
      <c r="J426" s="155" t="s">
        <v>33</v>
      </c>
      <c r="K426" s="142" t="s">
        <v>734</v>
      </c>
      <c r="L426" s="110" t="s">
        <v>744</v>
      </c>
      <c r="M426" s="113" t="s">
        <v>745</v>
      </c>
      <c r="N426" s="146">
        <v>44835</v>
      </c>
      <c r="O426" s="146"/>
      <c r="P426" s="156">
        <v>0</v>
      </c>
      <c r="Q426" s="130">
        <v>256</v>
      </c>
      <c r="R426" s="130">
        <f t="shared" si="16"/>
        <v>0</v>
      </c>
      <c r="S426" s="127">
        <v>202304</v>
      </c>
      <c r="T426" s="190" t="s">
        <v>748</v>
      </c>
      <c r="U426" s="190"/>
      <c r="V426" s="159"/>
      <c r="W426" s="159"/>
      <c r="X426" s="131"/>
      <c r="Y426" s="131"/>
    </row>
    <row r="427" s="86" customFormat="1" customHeight="1" spans="1:25">
      <c r="A427" s="35" t="s">
        <v>446</v>
      </c>
      <c r="B427" s="135" t="s">
        <v>62</v>
      </c>
      <c r="C427" s="11" t="s">
        <v>238</v>
      </c>
      <c r="D427" s="11" t="s">
        <v>642</v>
      </c>
      <c r="E427" s="30" t="s">
        <v>643</v>
      </c>
      <c r="F427" s="35" t="s">
        <v>644</v>
      </c>
      <c r="G427" s="142" t="s">
        <v>31</v>
      </c>
      <c r="H427" s="103" t="s">
        <v>733</v>
      </c>
      <c r="I427" s="30" t="e">
        <f>VLOOKUP(H427,'合同高级查询数据-4月返'!A:A,1,FALSE)</f>
        <v>#N/A</v>
      </c>
      <c r="J427" s="155" t="s">
        <v>33</v>
      </c>
      <c r="K427" s="142" t="s">
        <v>734</v>
      </c>
      <c r="L427" s="110" t="s">
        <v>744</v>
      </c>
      <c r="M427" s="113" t="s">
        <v>745</v>
      </c>
      <c r="N427" s="146">
        <v>44835</v>
      </c>
      <c r="O427" s="146"/>
      <c r="P427" s="156">
        <v>35</v>
      </c>
      <c r="Q427" s="130">
        <v>32</v>
      </c>
      <c r="R427" s="130">
        <f t="shared" si="16"/>
        <v>1120</v>
      </c>
      <c r="S427" s="127">
        <v>202304</v>
      </c>
      <c r="T427" s="190" t="s">
        <v>748</v>
      </c>
      <c r="U427" s="190"/>
      <c r="V427" s="159"/>
      <c r="W427" s="159"/>
      <c r="X427" s="131"/>
      <c r="Y427" s="131"/>
    </row>
    <row r="428" s="85" customFormat="1" customHeight="1" spans="1:25">
      <c r="A428" s="160" t="s">
        <v>446</v>
      </c>
      <c r="B428" s="98" t="s">
        <v>62</v>
      </c>
      <c r="C428" s="98" t="s">
        <v>238</v>
      </c>
      <c r="D428" s="98" t="s">
        <v>642</v>
      </c>
      <c r="E428" s="162" t="s">
        <v>643</v>
      </c>
      <c r="F428" s="160" t="s">
        <v>749</v>
      </c>
      <c r="G428" s="107" t="s">
        <v>31</v>
      </c>
      <c r="H428" s="99" t="s">
        <v>750</v>
      </c>
      <c r="I428" s="46" t="e">
        <f>VLOOKUP(H428,'合同高级查询数据-4月返'!A:A,1,FALSE)</f>
        <v>#N/A</v>
      </c>
      <c r="J428" s="47" t="s">
        <v>497</v>
      </c>
      <c r="K428" s="107" t="s">
        <v>751</v>
      </c>
      <c r="L428" s="107" t="s">
        <v>752</v>
      </c>
      <c r="M428" s="49"/>
      <c r="N428" s="73">
        <v>44453</v>
      </c>
      <c r="O428" s="107" t="s">
        <v>37</v>
      </c>
      <c r="P428" s="164">
        <v>35</v>
      </c>
      <c r="Q428" s="164">
        <v>1792</v>
      </c>
      <c r="R428" s="118">
        <f t="shared" si="16"/>
        <v>62720</v>
      </c>
      <c r="S428" s="115">
        <v>202304</v>
      </c>
      <c r="T428" s="184" t="s">
        <v>753</v>
      </c>
      <c r="U428" s="184"/>
      <c r="V428" s="165"/>
      <c r="W428" s="165"/>
      <c r="X428" s="116">
        <v>44440</v>
      </c>
      <c r="Y428" s="116">
        <v>45169</v>
      </c>
    </row>
    <row r="429" s="85" customFormat="1" customHeight="1" spans="1:25">
      <c r="A429" s="160" t="s">
        <v>446</v>
      </c>
      <c r="B429" s="98" t="s">
        <v>62</v>
      </c>
      <c r="C429" s="98" t="s">
        <v>238</v>
      </c>
      <c r="D429" s="98" t="s">
        <v>642</v>
      </c>
      <c r="E429" s="162" t="s">
        <v>643</v>
      </c>
      <c r="F429" s="160" t="s">
        <v>749</v>
      </c>
      <c r="G429" s="107" t="s">
        <v>31</v>
      </c>
      <c r="H429" s="99" t="s">
        <v>750</v>
      </c>
      <c r="I429" s="46" t="e">
        <f>VLOOKUP(H429,'合同高级查询数据-4月返'!A:A,1,FALSE)</f>
        <v>#N/A</v>
      </c>
      <c r="J429" s="47" t="s">
        <v>497</v>
      </c>
      <c r="K429" s="107" t="s">
        <v>751</v>
      </c>
      <c r="L429" s="107" t="s">
        <v>752</v>
      </c>
      <c r="M429" s="49"/>
      <c r="N429" s="73">
        <v>44748</v>
      </c>
      <c r="O429" s="107" t="s">
        <v>37</v>
      </c>
      <c r="P429" s="164">
        <v>35</v>
      </c>
      <c r="Q429" s="164">
        <v>512</v>
      </c>
      <c r="R429" s="118">
        <f t="shared" si="16"/>
        <v>17920</v>
      </c>
      <c r="S429" s="115">
        <v>202304</v>
      </c>
      <c r="T429" s="184" t="s">
        <v>754</v>
      </c>
      <c r="U429" s="184"/>
      <c r="V429" s="165"/>
      <c r="W429" s="165"/>
      <c r="X429" s="116">
        <v>44440</v>
      </c>
      <c r="Y429" s="116">
        <v>45169</v>
      </c>
    </row>
    <row r="430" s="85" customFormat="1" customHeight="1" spans="1:25">
      <c r="A430" s="98" t="s">
        <v>446</v>
      </c>
      <c r="B430" s="98" t="s">
        <v>62</v>
      </c>
      <c r="C430" s="98" t="s">
        <v>238</v>
      </c>
      <c r="D430" s="98" t="s">
        <v>642</v>
      </c>
      <c r="E430" s="161" t="s">
        <v>643</v>
      </c>
      <c r="F430" s="160" t="s">
        <v>749</v>
      </c>
      <c r="G430" s="172" t="s">
        <v>31</v>
      </c>
      <c r="H430" s="99" t="s">
        <v>750</v>
      </c>
      <c r="I430" s="46" t="e">
        <f>VLOOKUP(H430,'合同高级查询数据-4月返'!A:A,1,FALSE)</f>
        <v>#N/A</v>
      </c>
      <c r="J430" s="178" t="s">
        <v>33</v>
      </c>
      <c r="K430" s="107" t="s">
        <v>751</v>
      </c>
      <c r="L430" s="25" t="s">
        <v>755</v>
      </c>
      <c r="M430" s="49"/>
      <c r="N430" s="180">
        <v>44453</v>
      </c>
      <c r="O430" s="107" t="s">
        <v>37</v>
      </c>
      <c r="P430" s="182">
        <v>0</v>
      </c>
      <c r="Q430" s="182">
        <v>512</v>
      </c>
      <c r="R430" s="118">
        <f t="shared" si="16"/>
        <v>0</v>
      </c>
      <c r="S430" s="115">
        <v>202304</v>
      </c>
      <c r="T430" s="191" t="s">
        <v>756</v>
      </c>
      <c r="U430" s="186"/>
      <c r="V430" s="165"/>
      <c r="W430" s="165"/>
      <c r="X430" s="116">
        <v>44440</v>
      </c>
      <c r="Y430" s="116">
        <v>45169</v>
      </c>
    </row>
    <row r="431" s="85" customFormat="1" customHeight="1" spans="1:25">
      <c r="A431" s="98" t="s">
        <v>446</v>
      </c>
      <c r="B431" s="98" t="s">
        <v>62</v>
      </c>
      <c r="C431" s="98" t="s">
        <v>238</v>
      </c>
      <c r="D431" s="98" t="s">
        <v>642</v>
      </c>
      <c r="E431" s="161" t="s">
        <v>643</v>
      </c>
      <c r="F431" s="160" t="s">
        <v>749</v>
      </c>
      <c r="G431" s="172" t="s">
        <v>31</v>
      </c>
      <c r="H431" s="99" t="s">
        <v>750</v>
      </c>
      <c r="I431" s="46" t="e">
        <f>VLOOKUP(H431,'合同高级查询数据-4月返'!A:A,1,FALSE)</f>
        <v>#N/A</v>
      </c>
      <c r="J431" s="178" t="s">
        <v>33</v>
      </c>
      <c r="K431" s="107" t="s">
        <v>751</v>
      </c>
      <c r="L431" s="25" t="s">
        <v>755</v>
      </c>
      <c r="M431" s="49"/>
      <c r="N431" s="180">
        <v>44915</v>
      </c>
      <c r="O431" s="107" t="s">
        <v>37</v>
      </c>
      <c r="P431" s="182">
        <v>35</v>
      </c>
      <c r="Q431" s="182">
        <v>-256</v>
      </c>
      <c r="R431" s="118">
        <f t="shared" si="16"/>
        <v>-8960</v>
      </c>
      <c r="S431" s="115">
        <v>202304</v>
      </c>
      <c r="T431" s="186" t="s">
        <v>757</v>
      </c>
      <c r="U431" s="186"/>
      <c r="V431" s="165"/>
      <c r="W431" s="165"/>
      <c r="X431" s="116">
        <v>44440</v>
      </c>
      <c r="Y431" s="116">
        <v>45169</v>
      </c>
    </row>
    <row r="432" s="85" customFormat="1" customHeight="1" spans="1:25">
      <c r="A432" s="98" t="s">
        <v>446</v>
      </c>
      <c r="B432" s="98" t="s">
        <v>62</v>
      </c>
      <c r="C432" s="98" t="s">
        <v>238</v>
      </c>
      <c r="D432" s="98" t="s">
        <v>642</v>
      </c>
      <c r="E432" s="161" t="s">
        <v>643</v>
      </c>
      <c r="F432" s="160" t="s">
        <v>749</v>
      </c>
      <c r="G432" s="172" t="s">
        <v>31</v>
      </c>
      <c r="H432" s="99" t="s">
        <v>750</v>
      </c>
      <c r="I432" s="46" t="e">
        <f>VLOOKUP(H432,'合同高级查询数据-4月返'!A:A,1,FALSE)</f>
        <v>#N/A</v>
      </c>
      <c r="J432" s="178" t="s">
        <v>33</v>
      </c>
      <c r="K432" s="107" t="s">
        <v>751</v>
      </c>
      <c r="L432" s="25" t="s">
        <v>755</v>
      </c>
      <c r="M432" s="49"/>
      <c r="N432" s="180">
        <v>44555</v>
      </c>
      <c r="O432" s="107" t="s">
        <v>37</v>
      </c>
      <c r="P432" s="182">
        <v>35</v>
      </c>
      <c r="Q432" s="182">
        <v>256</v>
      </c>
      <c r="R432" s="118">
        <f t="shared" si="16"/>
        <v>8960</v>
      </c>
      <c r="S432" s="115">
        <v>202304</v>
      </c>
      <c r="T432" s="186" t="s">
        <v>758</v>
      </c>
      <c r="U432" s="186"/>
      <c r="V432" s="165"/>
      <c r="W432" s="165"/>
      <c r="X432" s="116">
        <v>44440</v>
      </c>
      <c r="Y432" s="116">
        <v>45169</v>
      </c>
    </row>
    <row r="433" s="85" customFormat="1" customHeight="1" spans="1:25">
      <c r="A433" s="98" t="s">
        <v>446</v>
      </c>
      <c r="B433" s="98" t="s">
        <v>62</v>
      </c>
      <c r="C433" s="98" t="s">
        <v>238</v>
      </c>
      <c r="D433" s="98" t="s">
        <v>642</v>
      </c>
      <c r="E433" s="161" t="s">
        <v>643</v>
      </c>
      <c r="F433" s="160" t="s">
        <v>749</v>
      </c>
      <c r="G433" s="172" t="s">
        <v>31</v>
      </c>
      <c r="H433" s="99" t="s">
        <v>750</v>
      </c>
      <c r="I433" s="46" t="e">
        <f>VLOOKUP(H433,'合同高级查询数据-4月返'!A:A,1,FALSE)</f>
        <v>#N/A</v>
      </c>
      <c r="J433" s="178" t="s">
        <v>33</v>
      </c>
      <c r="K433" s="107" t="s">
        <v>751</v>
      </c>
      <c r="L433" s="25" t="s">
        <v>755</v>
      </c>
      <c r="M433" s="49"/>
      <c r="N433" s="180">
        <v>44926</v>
      </c>
      <c r="O433" s="107" t="s">
        <v>37</v>
      </c>
      <c r="P433" s="182">
        <v>35</v>
      </c>
      <c r="Q433" s="182">
        <v>-256</v>
      </c>
      <c r="R433" s="118">
        <f t="shared" si="16"/>
        <v>-8960</v>
      </c>
      <c r="S433" s="115">
        <v>202304</v>
      </c>
      <c r="T433" s="186" t="s">
        <v>759</v>
      </c>
      <c r="U433" s="186"/>
      <c r="V433" s="165"/>
      <c r="W433" s="165"/>
      <c r="X433" s="116">
        <v>44440</v>
      </c>
      <c r="Y433" s="116">
        <v>45169</v>
      </c>
    </row>
    <row r="434" s="85" customFormat="1" customHeight="1" spans="1:25">
      <c r="A434" s="160" t="s">
        <v>446</v>
      </c>
      <c r="B434" s="98" t="s">
        <v>62</v>
      </c>
      <c r="C434" s="98" t="s">
        <v>238</v>
      </c>
      <c r="D434" s="98" t="s">
        <v>642</v>
      </c>
      <c r="E434" s="162" t="s">
        <v>643</v>
      </c>
      <c r="F434" s="160" t="s">
        <v>644</v>
      </c>
      <c r="G434" s="107" t="s">
        <v>88</v>
      </c>
      <c r="H434" s="99" t="s">
        <v>760</v>
      </c>
      <c r="I434" s="46" t="e">
        <f>VLOOKUP(H434,'合同高级查询数据-4月返'!A:A,1,FALSE)</f>
        <v>#N/A</v>
      </c>
      <c r="J434" s="47" t="s">
        <v>90</v>
      </c>
      <c r="K434" s="107" t="s">
        <v>761</v>
      </c>
      <c r="L434" s="107"/>
      <c r="M434" s="49" t="s">
        <v>594</v>
      </c>
      <c r="N434" s="73">
        <v>44465</v>
      </c>
      <c r="O434" s="73" t="s">
        <v>503</v>
      </c>
      <c r="P434" s="164">
        <v>5803.6</v>
      </c>
      <c r="Q434" s="164">
        <v>13</v>
      </c>
      <c r="R434" s="118">
        <f t="shared" si="16"/>
        <v>75446.8</v>
      </c>
      <c r="S434" s="115">
        <v>202304</v>
      </c>
      <c r="T434" s="184" t="s">
        <v>762</v>
      </c>
      <c r="U434" s="184"/>
      <c r="V434" s="165"/>
      <c r="W434" s="165"/>
      <c r="X434" s="116">
        <v>44434</v>
      </c>
      <c r="Y434" s="116">
        <v>46624</v>
      </c>
    </row>
    <row r="435" s="85" customFormat="1" customHeight="1" spans="1:25">
      <c r="A435" s="160" t="s">
        <v>446</v>
      </c>
      <c r="B435" s="98" t="s">
        <v>62</v>
      </c>
      <c r="C435" s="98" t="s">
        <v>238</v>
      </c>
      <c r="D435" s="98" t="s">
        <v>642</v>
      </c>
      <c r="E435" s="162" t="s">
        <v>643</v>
      </c>
      <c r="F435" s="160" t="s">
        <v>644</v>
      </c>
      <c r="G435" s="107" t="s">
        <v>88</v>
      </c>
      <c r="H435" s="99" t="s">
        <v>760</v>
      </c>
      <c r="I435" s="46" t="e">
        <f>VLOOKUP(H435,'合同高级查询数据-4月返'!A:A,1,FALSE)</f>
        <v>#N/A</v>
      </c>
      <c r="J435" s="47" t="s">
        <v>90</v>
      </c>
      <c r="K435" s="107" t="s">
        <v>761</v>
      </c>
      <c r="L435" s="107"/>
      <c r="M435" s="49" t="s">
        <v>594</v>
      </c>
      <c r="N435" s="73">
        <v>44465</v>
      </c>
      <c r="O435" s="73" t="s">
        <v>507</v>
      </c>
      <c r="P435" s="164">
        <v>11600</v>
      </c>
      <c r="Q435" s="164">
        <v>136</v>
      </c>
      <c r="R435" s="118">
        <f t="shared" si="16"/>
        <v>1577600</v>
      </c>
      <c r="S435" s="115">
        <v>202304</v>
      </c>
      <c r="T435" s="184" t="s">
        <v>763</v>
      </c>
      <c r="U435" s="184"/>
      <c r="V435" s="165"/>
      <c r="W435" s="165"/>
      <c r="X435" s="116">
        <v>44434</v>
      </c>
      <c r="Y435" s="116">
        <v>46624</v>
      </c>
    </row>
    <row r="436" s="85" customFormat="1" customHeight="1" spans="1:25">
      <c r="A436" s="160" t="s">
        <v>446</v>
      </c>
      <c r="B436" s="98" t="s">
        <v>62</v>
      </c>
      <c r="C436" s="98" t="s">
        <v>238</v>
      </c>
      <c r="D436" s="98" t="s">
        <v>642</v>
      </c>
      <c r="E436" s="162" t="s">
        <v>643</v>
      </c>
      <c r="F436" s="160" t="s">
        <v>644</v>
      </c>
      <c r="G436" s="107" t="s">
        <v>88</v>
      </c>
      <c r="H436" s="99" t="s">
        <v>760</v>
      </c>
      <c r="I436" s="46" t="e">
        <f>VLOOKUP(H436,'合同高级查询数据-4月返'!A:A,1,FALSE)</f>
        <v>#N/A</v>
      </c>
      <c r="J436" s="47" t="s">
        <v>90</v>
      </c>
      <c r="K436" s="107" t="s">
        <v>761</v>
      </c>
      <c r="L436" s="107"/>
      <c r="M436" s="49" t="s">
        <v>594</v>
      </c>
      <c r="N436" s="73">
        <v>44465</v>
      </c>
      <c r="O436" s="73" t="s">
        <v>507</v>
      </c>
      <c r="P436" s="164">
        <v>11600</v>
      </c>
      <c r="Q436" s="164">
        <v>54</v>
      </c>
      <c r="R436" s="118">
        <f t="shared" si="16"/>
        <v>626400</v>
      </c>
      <c r="S436" s="115">
        <v>202304</v>
      </c>
      <c r="T436" s="184" t="s">
        <v>764</v>
      </c>
      <c r="U436" s="184"/>
      <c r="V436" s="165"/>
      <c r="W436" s="165"/>
      <c r="X436" s="116">
        <v>44434</v>
      </c>
      <c r="Y436" s="116">
        <v>46624</v>
      </c>
    </row>
    <row r="437" s="85" customFormat="1" customHeight="1" spans="1:25">
      <c r="A437" s="160" t="s">
        <v>446</v>
      </c>
      <c r="B437" s="98" t="s">
        <v>62</v>
      </c>
      <c r="C437" s="98" t="s">
        <v>238</v>
      </c>
      <c r="D437" s="98" t="s">
        <v>642</v>
      </c>
      <c r="E437" s="162" t="s">
        <v>643</v>
      </c>
      <c r="F437" s="160" t="s">
        <v>644</v>
      </c>
      <c r="G437" s="107" t="s">
        <v>88</v>
      </c>
      <c r="H437" s="99" t="s">
        <v>760</v>
      </c>
      <c r="I437" s="46" t="e">
        <f>VLOOKUP(H437,'合同高级查询数据-4月返'!A:A,1,FALSE)</f>
        <v>#N/A</v>
      </c>
      <c r="J437" s="47" t="s">
        <v>90</v>
      </c>
      <c r="K437" s="107" t="s">
        <v>761</v>
      </c>
      <c r="L437" s="107"/>
      <c r="M437" s="49" t="s">
        <v>594</v>
      </c>
      <c r="N437" s="73">
        <v>44467</v>
      </c>
      <c r="O437" s="73" t="s">
        <v>507</v>
      </c>
      <c r="P437" s="164">
        <v>11600</v>
      </c>
      <c r="Q437" s="164">
        <v>53</v>
      </c>
      <c r="R437" s="118">
        <f t="shared" si="16"/>
        <v>614800</v>
      </c>
      <c r="S437" s="115">
        <v>202304</v>
      </c>
      <c r="T437" s="184" t="s">
        <v>765</v>
      </c>
      <c r="U437" s="184"/>
      <c r="V437" s="165"/>
      <c r="W437" s="165"/>
      <c r="X437" s="116">
        <v>44434</v>
      </c>
      <c r="Y437" s="116">
        <v>46624</v>
      </c>
    </row>
    <row r="438" s="85" customFormat="1" customHeight="1" spans="1:25">
      <c r="A438" s="160" t="s">
        <v>446</v>
      </c>
      <c r="B438" s="98" t="s">
        <v>62</v>
      </c>
      <c r="C438" s="98" t="s">
        <v>238</v>
      </c>
      <c r="D438" s="98" t="s">
        <v>642</v>
      </c>
      <c r="E438" s="162" t="s">
        <v>643</v>
      </c>
      <c r="F438" s="160" t="s">
        <v>644</v>
      </c>
      <c r="G438" s="107" t="s">
        <v>88</v>
      </c>
      <c r="H438" s="99" t="s">
        <v>760</v>
      </c>
      <c r="I438" s="46" t="e">
        <f>VLOOKUP(H438,'合同高级查询数据-4月返'!A:A,1,FALSE)</f>
        <v>#N/A</v>
      </c>
      <c r="J438" s="47" t="s">
        <v>90</v>
      </c>
      <c r="K438" s="107" t="s">
        <v>761</v>
      </c>
      <c r="L438" s="107"/>
      <c r="M438" s="49" t="s">
        <v>594</v>
      </c>
      <c r="N438" s="73">
        <v>44465</v>
      </c>
      <c r="O438" s="73" t="s">
        <v>507</v>
      </c>
      <c r="P438" s="164">
        <v>11600</v>
      </c>
      <c r="Q438" s="164">
        <v>9</v>
      </c>
      <c r="R438" s="118">
        <f t="shared" si="16"/>
        <v>104400</v>
      </c>
      <c r="S438" s="115">
        <v>202304</v>
      </c>
      <c r="T438" s="184" t="s">
        <v>766</v>
      </c>
      <c r="U438" s="184"/>
      <c r="V438" s="165"/>
      <c r="W438" s="165"/>
      <c r="X438" s="116">
        <v>44434</v>
      </c>
      <c r="Y438" s="116">
        <v>46624</v>
      </c>
    </row>
    <row r="439" s="85" customFormat="1" customHeight="1" spans="1:25">
      <c r="A439" s="98" t="s">
        <v>446</v>
      </c>
      <c r="B439" s="98" t="s">
        <v>62</v>
      </c>
      <c r="C439" s="98" t="s">
        <v>238</v>
      </c>
      <c r="D439" s="98" t="s">
        <v>642</v>
      </c>
      <c r="E439" s="161" t="s">
        <v>643</v>
      </c>
      <c r="F439" s="160" t="s">
        <v>644</v>
      </c>
      <c r="G439" s="172" t="s">
        <v>88</v>
      </c>
      <c r="H439" s="99" t="s">
        <v>760</v>
      </c>
      <c r="I439" s="46" t="e">
        <f>VLOOKUP(H439,'合同高级查询数据-4月返'!A:A,1,FALSE)</f>
        <v>#N/A</v>
      </c>
      <c r="J439" s="178" t="s">
        <v>90</v>
      </c>
      <c r="K439" s="107" t="s">
        <v>761</v>
      </c>
      <c r="L439" s="179"/>
      <c r="M439" s="49" t="s">
        <v>594</v>
      </c>
      <c r="N439" s="180">
        <v>44471</v>
      </c>
      <c r="O439" s="181" t="s">
        <v>507</v>
      </c>
      <c r="P439" s="182">
        <v>11600</v>
      </c>
      <c r="Q439" s="182">
        <v>1</v>
      </c>
      <c r="R439" s="118">
        <f t="shared" si="16"/>
        <v>11600</v>
      </c>
      <c r="S439" s="115">
        <v>202304</v>
      </c>
      <c r="T439" s="186" t="s">
        <v>767</v>
      </c>
      <c r="U439" s="186"/>
      <c r="V439" s="165"/>
      <c r="W439" s="165"/>
      <c r="X439" s="116">
        <v>44434</v>
      </c>
      <c r="Y439" s="116">
        <v>46624</v>
      </c>
    </row>
    <row r="440" s="85" customFormat="1" customHeight="1" spans="1:25">
      <c r="A440" s="98" t="s">
        <v>446</v>
      </c>
      <c r="B440" s="98" t="s">
        <v>62</v>
      </c>
      <c r="C440" s="98" t="s">
        <v>238</v>
      </c>
      <c r="D440" s="98" t="s">
        <v>642</v>
      </c>
      <c r="E440" s="161" t="s">
        <v>643</v>
      </c>
      <c r="F440" s="160" t="s">
        <v>644</v>
      </c>
      <c r="G440" s="172" t="s">
        <v>88</v>
      </c>
      <c r="H440" s="99" t="s">
        <v>760</v>
      </c>
      <c r="I440" s="46" t="e">
        <f>VLOOKUP(H440,'合同高级查询数据-4月返'!A:A,1,FALSE)</f>
        <v>#N/A</v>
      </c>
      <c r="J440" s="178" t="s">
        <v>90</v>
      </c>
      <c r="K440" s="107" t="s">
        <v>761</v>
      </c>
      <c r="L440" s="179"/>
      <c r="M440" s="49" t="s">
        <v>594</v>
      </c>
      <c r="N440" s="180">
        <v>44499</v>
      </c>
      <c r="O440" s="181" t="s">
        <v>507</v>
      </c>
      <c r="P440" s="182">
        <v>11600</v>
      </c>
      <c r="Q440" s="182">
        <v>2</v>
      </c>
      <c r="R440" s="118">
        <f t="shared" si="16"/>
        <v>23200</v>
      </c>
      <c r="S440" s="115">
        <v>202304</v>
      </c>
      <c r="T440" s="186" t="s">
        <v>768</v>
      </c>
      <c r="U440" s="186"/>
      <c r="V440" s="165"/>
      <c r="W440" s="165"/>
      <c r="X440" s="116">
        <v>44434</v>
      </c>
      <c r="Y440" s="116">
        <v>46624</v>
      </c>
    </row>
    <row r="441" s="85" customFormat="1" customHeight="1" spans="1:25">
      <c r="A441" s="98" t="s">
        <v>446</v>
      </c>
      <c r="B441" s="98" t="s">
        <v>62</v>
      </c>
      <c r="C441" s="98" t="s">
        <v>238</v>
      </c>
      <c r="D441" s="98" t="s">
        <v>642</v>
      </c>
      <c r="E441" s="161" t="s">
        <v>643</v>
      </c>
      <c r="F441" s="160" t="s">
        <v>644</v>
      </c>
      <c r="G441" s="172" t="s">
        <v>88</v>
      </c>
      <c r="H441" s="99" t="s">
        <v>760</v>
      </c>
      <c r="I441" s="46" t="e">
        <f>VLOOKUP(H441,'合同高级查询数据-4月返'!A:A,1,FALSE)</f>
        <v>#N/A</v>
      </c>
      <c r="J441" s="178" t="s">
        <v>90</v>
      </c>
      <c r="K441" s="107" t="s">
        <v>761</v>
      </c>
      <c r="L441" s="179"/>
      <c r="M441" s="49" t="s">
        <v>594</v>
      </c>
      <c r="N441" s="180">
        <v>44519</v>
      </c>
      <c r="O441" s="181" t="s">
        <v>503</v>
      </c>
      <c r="P441" s="182">
        <v>5803.6</v>
      </c>
      <c r="Q441" s="182">
        <v>4</v>
      </c>
      <c r="R441" s="118">
        <f t="shared" si="16"/>
        <v>23214.4</v>
      </c>
      <c r="S441" s="115">
        <v>202304</v>
      </c>
      <c r="T441" s="186" t="s">
        <v>769</v>
      </c>
      <c r="U441" s="186"/>
      <c r="V441" s="165"/>
      <c r="W441" s="165"/>
      <c r="X441" s="116">
        <v>44434</v>
      </c>
      <c r="Y441" s="116">
        <v>46624</v>
      </c>
    </row>
    <row r="442" s="85" customFormat="1" customHeight="1" spans="1:25">
      <c r="A442" s="98" t="s">
        <v>446</v>
      </c>
      <c r="B442" s="98" t="s">
        <v>62</v>
      </c>
      <c r="C442" s="98" t="s">
        <v>238</v>
      </c>
      <c r="D442" s="98" t="s">
        <v>642</v>
      </c>
      <c r="E442" s="161" t="s">
        <v>643</v>
      </c>
      <c r="F442" s="160" t="s">
        <v>644</v>
      </c>
      <c r="G442" s="172" t="s">
        <v>88</v>
      </c>
      <c r="H442" s="99" t="s">
        <v>760</v>
      </c>
      <c r="I442" s="46" t="e">
        <f>VLOOKUP(H442,'合同高级查询数据-4月返'!A:A,1,FALSE)</f>
        <v>#N/A</v>
      </c>
      <c r="J442" s="178" t="s">
        <v>90</v>
      </c>
      <c r="K442" s="107" t="s">
        <v>761</v>
      </c>
      <c r="L442" s="179"/>
      <c r="M442" s="49" t="s">
        <v>594</v>
      </c>
      <c r="N442" s="180">
        <v>44519</v>
      </c>
      <c r="O442" s="73" t="s">
        <v>507</v>
      </c>
      <c r="P442" s="164">
        <v>11600</v>
      </c>
      <c r="Q442" s="182">
        <v>4</v>
      </c>
      <c r="R442" s="118">
        <f t="shared" si="16"/>
        <v>46400</v>
      </c>
      <c r="S442" s="115">
        <v>202304</v>
      </c>
      <c r="T442" s="186" t="s">
        <v>770</v>
      </c>
      <c r="U442" s="186"/>
      <c r="V442" s="165"/>
      <c r="W442" s="165"/>
      <c r="X442" s="116">
        <v>44434</v>
      </c>
      <c r="Y442" s="116">
        <v>46624</v>
      </c>
    </row>
    <row r="443" s="85" customFormat="1" customHeight="1" spans="1:25">
      <c r="A443" s="98" t="s">
        <v>446</v>
      </c>
      <c r="B443" s="98" t="s">
        <v>62</v>
      </c>
      <c r="C443" s="98" t="s">
        <v>238</v>
      </c>
      <c r="D443" s="98" t="s">
        <v>642</v>
      </c>
      <c r="E443" s="161" t="s">
        <v>643</v>
      </c>
      <c r="F443" s="160" t="s">
        <v>644</v>
      </c>
      <c r="G443" s="172" t="s">
        <v>88</v>
      </c>
      <c r="H443" s="99" t="s">
        <v>760</v>
      </c>
      <c r="I443" s="46" t="e">
        <f>VLOOKUP(H443,'合同高级查询数据-4月返'!A:A,1,FALSE)</f>
        <v>#N/A</v>
      </c>
      <c r="J443" s="178" t="s">
        <v>90</v>
      </c>
      <c r="K443" s="107" t="s">
        <v>761</v>
      </c>
      <c r="L443" s="179"/>
      <c r="M443" s="49" t="s">
        <v>594</v>
      </c>
      <c r="N443" s="180">
        <v>44548</v>
      </c>
      <c r="O443" s="73" t="s">
        <v>507</v>
      </c>
      <c r="P443" s="164">
        <v>11600</v>
      </c>
      <c r="Q443" s="182">
        <v>21</v>
      </c>
      <c r="R443" s="118">
        <f t="shared" si="16"/>
        <v>243600</v>
      </c>
      <c r="S443" s="115">
        <v>202304</v>
      </c>
      <c r="T443" s="186" t="s">
        <v>771</v>
      </c>
      <c r="U443" s="191"/>
      <c r="V443" s="165"/>
      <c r="W443" s="165"/>
      <c r="X443" s="116">
        <v>44434</v>
      </c>
      <c r="Y443" s="116">
        <v>46624</v>
      </c>
    </row>
    <row r="444" s="85" customFormat="1" customHeight="1" spans="1:25">
      <c r="A444" s="98" t="s">
        <v>446</v>
      </c>
      <c r="B444" s="98" t="s">
        <v>62</v>
      </c>
      <c r="C444" s="98" t="s">
        <v>238</v>
      </c>
      <c r="D444" s="98" t="s">
        <v>642</v>
      </c>
      <c r="E444" s="161" t="s">
        <v>643</v>
      </c>
      <c r="F444" s="160" t="s">
        <v>644</v>
      </c>
      <c r="G444" s="172" t="s">
        <v>88</v>
      </c>
      <c r="H444" s="99" t="s">
        <v>760</v>
      </c>
      <c r="I444" s="46" t="e">
        <f>VLOOKUP(H444,'合同高级查询数据-4月返'!A:A,1,FALSE)</f>
        <v>#N/A</v>
      </c>
      <c r="J444" s="178" t="s">
        <v>90</v>
      </c>
      <c r="K444" s="107" t="s">
        <v>761</v>
      </c>
      <c r="L444" s="179"/>
      <c r="M444" s="49" t="s">
        <v>594</v>
      </c>
      <c r="N444" s="180">
        <v>44551</v>
      </c>
      <c r="O444" s="73" t="s">
        <v>507</v>
      </c>
      <c r="P444" s="164">
        <v>11600</v>
      </c>
      <c r="Q444" s="182">
        <v>8</v>
      </c>
      <c r="R444" s="118">
        <f t="shared" si="16"/>
        <v>92800</v>
      </c>
      <c r="S444" s="115">
        <v>202304</v>
      </c>
      <c r="T444" s="186" t="s">
        <v>772</v>
      </c>
      <c r="U444" s="186"/>
      <c r="V444" s="165"/>
      <c r="W444" s="165"/>
      <c r="X444" s="116">
        <v>44434</v>
      </c>
      <c r="Y444" s="116">
        <v>46624</v>
      </c>
    </row>
    <row r="445" s="85" customFormat="1" customHeight="1" spans="1:25">
      <c r="A445" s="98" t="s">
        <v>446</v>
      </c>
      <c r="B445" s="98" t="s">
        <v>62</v>
      </c>
      <c r="C445" s="98" t="s">
        <v>238</v>
      </c>
      <c r="D445" s="98" t="s">
        <v>642</v>
      </c>
      <c r="E445" s="161" t="s">
        <v>643</v>
      </c>
      <c r="F445" s="160" t="s">
        <v>644</v>
      </c>
      <c r="G445" s="172" t="s">
        <v>88</v>
      </c>
      <c r="H445" s="99" t="s">
        <v>760</v>
      </c>
      <c r="I445" s="46" t="e">
        <f>VLOOKUP(H445,'合同高级查询数据-4月返'!A:A,1,FALSE)</f>
        <v>#N/A</v>
      </c>
      <c r="J445" s="178" t="s">
        <v>90</v>
      </c>
      <c r="K445" s="107" t="s">
        <v>761</v>
      </c>
      <c r="L445" s="179"/>
      <c r="M445" s="49" t="s">
        <v>594</v>
      </c>
      <c r="N445" s="180">
        <v>44712</v>
      </c>
      <c r="O445" s="73" t="s">
        <v>507</v>
      </c>
      <c r="P445" s="164">
        <v>11600</v>
      </c>
      <c r="Q445" s="182">
        <v>-29</v>
      </c>
      <c r="R445" s="118">
        <f t="shared" si="16"/>
        <v>-336400</v>
      </c>
      <c r="S445" s="115">
        <v>202304</v>
      </c>
      <c r="T445" s="186" t="s">
        <v>773</v>
      </c>
      <c r="U445" s="186"/>
      <c r="V445" s="165"/>
      <c r="W445" s="165"/>
      <c r="X445" s="116">
        <v>44434</v>
      </c>
      <c r="Y445" s="116">
        <v>46624</v>
      </c>
    </row>
    <row r="446" s="85" customFormat="1" customHeight="1" spans="1:25">
      <c r="A446" s="98" t="s">
        <v>446</v>
      </c>
      <c r="B446" s="98" t="s">
        <v>62</v>
      </c>
      <c r="C446" s="98" t="s">
        <v>238</v>
      </c>
      <c r="D446" s="98" t="s">
        <v>642</v>
      </c>
      <c r="E446" s="161" t="s">
        <v>643</v>
      </c>
      <c r="F446" s="160" t="s">
        <v>644</v>
      </c>
      <c r="G446" s="172" t="s">
        <v>88</v>
      </c>
      <c r="H446" s="99" t="s">
        <v>760</v>
      </c>
      <c r="I446" s="46" t="e">
        <f>VLOOKUP(H446,'合同高级查询数据-4月返'!A:A,1,FALSE)</f>
        <v>#N/A</v>
      </c>
      <c r="J446" s="178" t="s">
        <v>90</v>
      </c>
      <c r="K446" s="107" t="s">
        <v>774</v>
      </c>
      <c r="L446" s="179"/>
      <c r="M446" s="49" t="s">
        <v>594</v>
      </c>
      <c r="N446" s="180">
        <v>44556</v>
      </c>
      <c r="O446" s="73" t="s">
        <v>503</v>
      </c>
      <c r="P446" s="182">
        <v>5803.6</v>
      </c>
      <c r="Q446" s="182">
        <v>13</v>
      </c>
      <c r="R446" s="118">
        <f t="shared" si="16"/>
        <v>75446.8</v>
      </c>
      <c r="S446" s="115">
        <v>202304</v>
      </c>
      <c r="T446" s="186" t="s">
        <v>775</v>
      </c>
      <c r="U446" s="186"/>
      <c r="V446" s="165"/>
      <c r="W446" s="165"/>
      <c r="X446" s="116">
        <v>44434</v>
      </c>
      <c r="Y446" s="116">
        <v>46624</v>
      </c>
    </row>
    <row r="447" s="85" customFormat="1" customHeight="1" spans="1:25">
      <c r="A447" s="98" t="s">
        <v>446</v>
      </c>
      <c r="B447" s="98" t="s">
        <v>62</v>
      </c>
      <c r="C447" s="98" t="s">
        <v>238</v>
      </c>
      <c r="D447" s="98" t="s">
        <v>642</v>
      </c>
      <c r="E447" s="161" t="s">
        <v>643</v>
      </c>
      <c r="F447" s="160" t="s">
        <v>644</v>
      </c>
      <c r="G447" s="172" t="s">
        <v>88</v>
      </c>
      <c r="H447" s="99" t="s">
        <v>760</v>
      </c>
      <c r="I447" s="46" t="e">
        <f>VLOOKUP(H447,'合同高级查询数据-4月返'!A:A,1,FALSE)</f>
        <v>#N/A</v>
      </c>
      <c r="J447" s="178" t="s">
        <v>90</v>
      </c>
      <c r="K447" s="107" t="s">
        <v>774</v>
      </c>
      <c r="L447" s="179"/>
      <c r="M447" s="49" t="s">
        <v>594</v>
      </c>
      <c r="N447" s="180">
        <v>44556</v>
      </c>
      <c r="O447" s="73" t="s">
        <v>507</v>
      </c>
      <c r="P447" s="164">
        <v>11600</v>
      </c>
      <c r="Q447" s="182">
        <v>104</v>
      </c>
      <c r="R447" s="118">
        <f t="shared" ref="R447:R471" si="17">ROUND(P447*Q447,2)</f>
        <v>1206400</v>
      </c>
      <c r="S447" s="115">
        <v>202304</v>
      </c>
      <c r="T447" s="186" t="s">
        <v>776</v>
      </c>
      <c r="U447" s="186"/>
      <c r="V447" s="165"/>
      <c r="W447" s="165"/>
      <c r="X447" s="116">
        <v>44434</v>
      </c>
      <c r="Y447" s="116">
        <v>46624</v>
      </c>
    </row>
    <row r="448" s="85" customFormat="1" customHeight="1" spans="1:25">
      <c r="A448" s="98" t="s">
        <v>446</v>
      </c>
      <c r="B448" s="98" t="s">
        <v>62</v>
      </c>
      <c r="C448" s="98" t="s">
        <v>238</v>
      </c>
      <c r="D448" s="98" t="s">
        <v>642</v>
      </c>
      <c r="E448" s="161" t="s">
        <v>643</v>
      </c>
      <c r="F448" s="160" t="s">
        <v>644</v>
      </c>
      <c r="G448" s="172" t="s">
        <v>88</v>
      </c>
      <c r="H448" s="99" t="s">
        <v>760</v>
      </c>
      <c r="I448" s="46" t="e">
        <f>VLOOKUP(H448,'合同高级查询数据-4月返'!A:A,1,FALSE)</f>
        <v>#N/A</v>
      </c>
      <c r="J448" s="178" t="s">
        <v>90</v>
      </c>
      <c r="K448" s="107" t="s">
        <v>774</v>
      </c>
      <c r="L448" s="179"/>
      <c r="M448" s="49" t="s">
        <v>594</v>
      </c>
      <c r="N448" s="180">
        <v>44560</v>
      </c>
      <c r="O448" s="73" t="s">
        <v>507</v>
      </c>
      <c r="P448" s="164">
        <v>11600</v>
      </c>
      <c r="Q448" s="182">
        <v>3</v>
      </c>
      <c r="R448" s="118">
        <f t="shared" si="17"/>
        <v>34800</v>
      </c>
      <c r="S448" s="115">
        <v>202304</v>
      </c>
      <c r="T448" s="186" t="s">
        <v>777</v>
      </c>
      <c r="U448" s="186"/>
      <c r="V448" s="165"/>
      <c r="W448" s="165"/>
      <c r="X448" s="116">
        <v>44434</v>
      </c>
      <c r="Y448" s="116">
        <v>46624</v>
      </c>
    </row>
    <row r="449" s="85" customFormat="1" customHeight="1" spans="1:25">
      <c r="A449" s="98" t="s">
        <v>446</v>
      </c>
      <c r="B449" s="98" t="s">
        <v>62</v>
      </c>
      <c r="C449" s="98" t="s">
        <v>238</v>
      </c>
      <c r="D449" s="98" t="s">
        <v>642</v>
      </c>
      <c r="E449" s="161" t="s">
        <v>643</v>
      </c>
      <c r="F449" s="160" t="s">
        <v>644</v>
      </c>
      <c r="G449" s="172" t="s">
        <v>88</v>
      </c>
      <c r="H449" s="99" t="s">
        <v>760</v>
      </c>
      <c r="I449" s="46" t="e">
        <f>VLOOKUP(H449,'合同高级查询数据-4月返'!A:A,1,FALSE)</f>
        <v>#N/A</v>
      </c>
      <c r="J449" s="178" t="s">
        <v>90</v>
      </c>
      <c r="K449" s="107" t="s">
        <v>774</v>
      </c>
      <c r="L449" s="179"/>
      <c r="M449" s="49" t="s">
        <v>594</v>
      </c>
      <c r="N449" s="180">
        <v>44617</v>
      </c>
      <c r="O449" s="73" t="s">
        <v>507</v>
      </c>
      <c r="P449" s="164">
        <v>11600</v>
      </c>
      <c r="Q449" s="182">
        <v>2</v>
      </c>
      <c r="R449" s="118">
        <f t="shared" si="17"/>
        <v>23200</v>
      </c>
      <c r="S449" s="115">
        <v>202304</v>
      </c>
      <c r="T449" s="186" t="s">
        <v>778</v>
      </c>
      <c r="U449" s="186"/>
      <c r="V449" s="165"/>
      <c r="W449" s="165"/>
      <c r="X449" s="116">
        <v>44434</v>
      </c>
      <c r="Y449" s="116">
        <v>46624</v>
      </c>
    </row>
    <row r="450" s="85" customFormat="1" customHeight="1" spans="1:25">
      <c r="A450" s="98" t="s">
        <v>446</v>
      </c>
      <c r="B450" s="98" t="s">
        <v>62</v>
      </c>
      <c r="C450" s="98" t="s">
        <v>238</v>
      </c>
      <c r="D450" s="98" t="s">
        <v>642</v>
      </c>
      <c r="E450" s="161" t="s">
        <v>643</v>
      </c>
      <c r="F450" s="160" t="s">
        <v>644</v>
      </c>
      <c r="G450" s="172" t="s">
        <v>88</v>
      </c>
      <c r="H450" s="99" t="s">
        <v>760</v>
      </c>
      <c r="I450" s="46" t="e">
        <f>VLOOKUP(H450,'合同高级查询数据-4月返'!A:A,1,FALSE)</f>
        <v>#N/A</v>
      </c>
      <c r="J450" s="178" t="s">
        <v>90</v>
      </c>
      <c r="K450" s="107" t="s">
        <v>774</v>
      </c>
      <c r="L450" s="179"/>
      <c r="M450" s="49" t="s">
        <v>594</v>
      </c>
      <c r="N450" s="180">
        <v>44650</v>
      </c>
      <c r="O450" s="73" t="s">
        <v>507</v>
      </c>
      <c r="P450" s="164">
        <v>11600</v>
      </c>
      <c r="Q450" s="182">
        <v>2</v>
      </c>
      <c r="R450" s="118">
        <f t="shared" si="17"/>
        <v>23200</v>
      </c>
      <c r="S450" s="115">
        <v>202304</v>
      </c>
      <c r="T450" s="186" t="s">
        <v>779</v>
      </c>
      <c r="U450" s="186"/>
      <c r="V450" s="165"/>
      <c r="W450" s="165"/>
      <c r="X450" s="116">
        <v>44434</v>
      </c>
      <c r="Y450" s="116">
        <v>46624</v>
      </c>
    </row>
    <row r="451" s="85" customFormat="1" customHeight="1" spans="1:25">
      <c r="A451" s="98" t="s">
        <v>446</v>
      </c>
      <c r="B451" s="98" t="s">
        <v>62</v>
      </c>
      <c r="C451" s="98" t="s">
        <v>238</v>
      </c>
      <c r="D451" s="98" t="s">
        <v>642</v>
      </c>
      <c r="E451" s="161" t="s">
        <v>643</v>
      </c>
      <c r="F451" s="160" t="s">
        <v>644</v>
      </c>
      <c r="G451" s="172" t="s">
        <v>88</v>
      </c>
      <c r="H451" s="99" t="s">
        <v>760</v>
      </c>
      <c r="I451" s="46" t="e">
        <f>VLOOKUP(H451,'合同高级查询数据-4月返'!A:A,1,FALSE)</f>
        <v>#N/A</v>
      </c>
      <c r="J451" s="178" t="s">
        <v>90</v>
      </c>
      <c r="K451" s="107" t="s">
        <v>774</v>
      </c>
      <c r="L451" s="179"/>
      <c r="M451" s="49" t="s">
        <v>594</v>
      </c>
      <c r="N451" s="180">
        <v>44665</v>
      </c>
      <c r="O451" s="73" t="s">
        <v>507</v>
      </c>
      <c r="P451" s="164">
        <v>11600</v>
      </c>
      <c r="Q451" s="182">
        <v>5</v>
      </c>
      <c r="R451" s="118">
        <f t="shared" si="17"/>
        <v>58000</v>
      </c>
      <c r="S451" s="115">
        <v>202304</v>
      </c>
      <c r="T451" s="186" t="s">
        <v>780</v>
      </c>
      <c r="U451" s="186"/>
      <c r="V451" s="165"/>
      <c r="W451" s="165"/>
      <c r="X451" s="116">
        <v>44434</v>
      </c>
      <c r="Y451" s="116">
        <v>46624</v>
      </c>
    </row>
    <row r="452" s="85" customFormat="1" customHeight="1" spans="1:25">
      <c r="A452" s="98" t="s">
        <v>446</v>
      </c>
      <c r="B452" s="98" t="s">
        <v>62</v>
      </c>
      <c r="C452" s="98" t="s">
        <v>238</v>
      </c>
      <c r="D452" s="98" t="s">
        <v>642</v>
      </c>
      <c r="E452" s="161" t="s">
        <v>643</v>
      </c>
      <c r="F452" s="160" t="s">
        <v>644</v>
      </c>
      <c r="G452" s="172" t="s">
        <v>88</v>
      </c>
      <c r="H452" s="99" t="s">
        <v>760</v>
      </c>
      <c r="I452" s="46" t="e">
        <f>VLOOKUP(H452,'合同高级查询数据-4月返'!A:A,1,FALSE)</f>
        <v>#N/A</v>
      </c>
      <c r="J452" s="178" t="s">
        <v>90</v>
      </c>
      <c r="K452" s="107" t="s">
        <v>774</v>
      </c>
      <c r="L452" s="179"/>
      <c r="M452" s="49" t="s">
        <v>594</v>
      </c>
      <c r="N452" s="180">
        <v>44666</v>
      </c>
      <c r="O452" s="73" t="s">
        <v>507</v>
      </c>
      <c r="P452" s="164">
        <v>11600</v>
      </c>
      <c r="Q452" s="182">
        <v>2</v>
      </c>
      <c r="R452" s="118">
        <f t="shared" si="17"/>
        <v>23200</v>
      </c>
      <c r="S452" s="115">
        <v>202304</v>
      </c>
      <c r="T452" s="186" t="s">
        <v>781</v>
      </c>
      <c r="U452" s="186"/>
      <c r="V452" s="165"/>
      <c r="W452" s="165"/>
      <c r="X452" s="116">
        <v>44434</v>
      </c>
      <c r="Y452" s="116">
        <v>46624</v>
      </c>
    </row>
    <row r="453" s="85" customFormat="1" customHeight="1" spans="1:25">
      <c r="A453" s="98" t="s">
        <v>446</v>
      </c>
      <c r="B453" s="98" t="s">
        <v>62</v>
      </c>
      <c r="C453" s="98" t="s">
        <v>238</v>
      </c>
      <c r="D453" s="98" t="s">
        <v>642</v>
      </c>
      <c r="E453" s="161" t="s">
        <v>643</v>
      </c>
      <c r="F453" s="160" t="s">
        <v>644</v>
      </c>
      <c r="G453" s="172" t="s">
        <v>88</v>
      </c>
      <c r="H453" s="99" t="s">
        <v>760</v>
      </c>
      <c r="I453" s="46" t="e">
        <f>VLOOKUP(H453,'合同高级查询数据-4月返'!A:A,1,FALSE)</f>
        <v>#N/A</v>
      </c>
      <c r="J453" s="178" t="s">
        <v>90</v>
      </c>
      <c r="K453" s="107" t="s">
        <v>774</v>
      </c>
      <c r="L453" s="179"/>
      <c r="M453" s="49" t="s">
        <v>594</v>
      </c>
      <c r="N453" s="180">
        <v>44670</v>
      </c>
      <c r="O453" s="73" t="s">
        <v>507</v>
      </c>
      <c r="P453" s="164">
        <v>11600</v>
      </c>
      <c r="Q453" s="182">
        <v>12</v>
      </c>
      <c r="R453" s="118">
        <f t="shared" si="17"/>
        <v>139200</v>
      </c>
      <c r="S453" s="115">
        <v>202304</v>
      </c>
      <c r="T453" s="186" t="s">
        <v>782</v>
      </c>
      <c r="U453" s="186"/>
      <c r="V453" s="165"/>
      <c r="W453" s="165"/>
      <c r="X453" s="116">
        <v>44434</v>
      </c>
      <c r="Y453" s="116">
        <v>46624</v>
      </c>
    </row>
    <row r="454" s="85" customFormat="1" customHeight="1" spans="1:25">
      <c r="A454" s="98" t="s">
        <v>446</v>
      </c>
      <c r="B454" s="98" t="s">
        <v>62</v>
      </c>
      <c r="C454" s="98" t="s">
        <v>238</v>
      </c>
      <c r="D454" s="98" t="s">
        <v>642</v>
      </c>
      <c r="E454" s="161" t="s">
        <v>643</v>
      </c>
      <c r="F454" s="160" t="s">
        <v>644</v>
      </c>
      <c r="G454" s="172" t="s">
        <v>88</v>
      </c>
      <c r="H454" s="99" t="s">
        <v>760</v>
      </c>
      <c r="I454" s="46" t="e">
        <f>VLOOKUP(H454,'合同高级查询数据-4月返'!A:A,1,FALSE)</f>
        <v>#N/A</v>
      </c>
      <c r="J454" s="178" t="s">
        <v>90</v>
      </c>
      <c r="K454" s="107" t="s">
        <v>774</v>
      </c>
      <c r="L454" s="179"/>
      <c r="M454" s="49" t="s">
        <v>594</v>
      </c>
      <c r="N454" s="180">
        <v>44672</v>
      </c>
      <c r="O454" s="73" t="s">
        <v>507</v>
      </c>
      <c r="P454" s="164">
        <v>11600</v>
      </c>
      <c r="Q454" s="182">
        <v>30</v>
      </c>
      <c r="R454" s="118">
        <f t="shared" si="17"/>
        <v>348000</v>
      </c>
      <c r="S454" s="115">
        <v>202304</v>
      </c>
      <c r="T454" s="186" t="s">
        <v>783</v>
      </c>
      <c r="U454" s="186"/>
      <c r="V454" s="165"/>
      <c r="W454" s="165"/>
      <c r="X454" s="116">
        <v>44434</v>
      </c>
      <c r="Y454" s="116">
        <v>46624</v>
      </c>
    </row>
    <row r="455" s="85" customFormat="1" customHeight="1" spans="1:25">
      <c r="A455" s="98" t="s">
        <v>446</v>
      </c>
      <c r="B455" s="98" t="s">
        <v>62</v>
      </c>
      <c r="C455" s="98" t="s">
        <v>238</v>
      </c>
      <c r="D455" s="98" t="s">
        <v>642</v>
      </c>
      <c r="E455" s="161" t="s">
        <v>643</v>
      </c>
      <c r="F455" s="160" t="s">
        <v>644</v>
      </c>
      <c r="G455" s="172" t="s">
        <v>88</v>
      </c>
      <c r="H455" s="99" t="s">
        <v>760</v>
      </c>
      <c r="I455" s="46" t="e">
        <f>VLOOKUP(H455,'合同高级查询数据-4月返'!A:A,1,FALSE)</f>
        <v>#N/A</v>
      </c>
      <c r="J455" s="178" t="s">
        <v>90</v>
      </c>
      <c r="K455" s="107" t="s">
        <v>774</v>
      </c>
      <c r="L455" s="179"/>
      <c r="M455" s="49" t="s">
        <v>594</v>
      </c>
      <c r="N455" s="180">
        <v>44697</v>
      </c>
      <c r="O455" s="73" t="s">
        <v>507</v>
      </c>
      <c r="P455" s="164">
        <v>11600</v>
      </c>
      <c r="Q455" s="182">
        <v>2</v>
      </c>
      <c r="R455" s="118">
        <f t="shared" si="17"/>
        <v>23200</v>
      </c>
      <c r="S455" s="115">
        <v>202304</v>
      </c>
      <c r="T455" s="186" t="s">
        <v>784</v>
      </c>
      <c r="U455" s="186"/>
      <c r="V455" s="165"/>
      <c r="W455" s="165"/>
      <c r="X455" s="116">
        <v>44434</v>
      </c>
      <c r="Y455" s="116">
        <v>46624</v>
      </c>
    </row>
    <row r="456" s="85" customFormat="1" customHeight="1" spans="1:25">
      <c r="A456" s="98" t="s">
        <v>446</v>
      </c>
      <c r="B456" s="98" t="s">
        <v>62</v>
      </c>
      <c r="C456" s="98" t="s">
        <v>238</v>
      </c>
      <c r="D456" s="98" t="s">
        <v>642</v>
      </c>
      <c r="E456" s="161" t="s">
        <v>643</v>
      </c>
      <c r="F456" s="160" t="s">
        <v>644</v>
      </c>
      <c r="G456" s="172" t="s">
        <v>88</v>
      </c>
      <c r="H456" s="99" t="s">
        <v>760</v>
      </c>
      <c r="I456" s="46" t="e">
        <f>VLOOKUP(H456,'合同高级查询数据-4月返'!A:A,1,FALSE)</f>
        <v>#N/A</v>
      </c>
      <c r="J456" s="178" t="s">
        <v>90</v>
      </c>
      <c r="K456" s="107" t="s">
        <v>774</v>
      </c>
      <c r="L456" s="179"/>
      <c r="M456" s="49" t="s">
        <v>594</v>
      </c>
      <c r="N456" s="180">
        <v>44707</v>
      </c>
      <c r="O456" s="73" t="s">
        <v>507</v>
      </c>
      <c r="P456" s="164">
        <v>11600</v>
      </c>
      <c r="Q456" s="182">
        <v>15</v>
      </c>
      <c r="R456" s="118">
        <f t="shared" si="17"/>
        <v>174000</v>
      </c>
      <c r="S456" s="115">
        <v>202304</v>
      </c>
      <c r="T456" s="186" t="s">
        <v>785</v>
      </c>
      <c r="U456" s="186"/>
      <c r="V456" s="165"/>
      <c r="W456" s="165"/>
      <c r="X456" s="116">
        <v>44434</v>
      </c>
      <c r="Y456" s="116">
        <v>46624</v>
      </c>
    </row>
    <row r="457" s="85" customFormat="1" customHeight="1" spans="1:25">
      <c r="A457" s="98" t="s">
        <v>446</v>
      </c>
      <c r="B457" s="98" t="s">
        <v>62</v>
      </c>
      <c r="C457" s="98" t="s">
        <v>238</v>
      </c>
      <c r="D457" s="98" t="s">
        <v>642</v>
      </c>
      <c r="E457" s="161" t="s">
        <v>643</v>
      </c>
      <c r="F457" s="160" t="s">
        <v>644</v>
      </c>
      <c r="G457" s="172" t="s">
        <v>88</v>
      </c>
      <c r="H457" s="99" t="s">
        <v>760</v>
      </c>
      <c r="I457" s="46" t="e">
        <f>VLOOKUP(H457,'合同高级查询数据-4月返'!A:A,1,FALSE)</f>
        <v>#N/A</v>
      </c>
      <c r="J457" s="178" t="s">
        <v>90</v>
      </c>
      <c r="K457" s="107" t="s">
        <v>774</v>
      </c>
      <c r="L457" s="179"/>
      <c r="M457" s="49" t="s">
        <v>594</v>
      </c>
      <c r="N457" s="180">
        <v>44708</v>
      </c>
      <c r="O457" s="73" t="s">
        <v>507</v>
      </c>
      <c r="P457" s="164">
        <v>11600</v>
      </c>
      <c r="Q457" s="182">
        <v>1</v>
      </c>
      <c r="R457" s="118">
        <f t="shared" si="17"/>
        <v>11600</v>
      </c>
      <c r="S457" s="115">
        <v>202304</v>
      </c>
      <c r="T457" s="186" t="s">
        <v>786</v>
      </c>
      <c r="U457" s="186"/>
      <c r="V457" s="165"/>
      <c r="W457" s="165"/>
      <c r="X457" s="116">
        <v>44434</v>
      </c>
      <c r="Y457" s="116">
        <v>46624</v>
      </c>
    </row>
    <row r="458" s="85" customFormat="1" customHeight="1" spans="1:25">
      <c r="A458" s="98" t="s">
        <v>446</v>
      </c>
      <c r="B458" s="98" t="s">
        <v>62</v>
      </c>
      <c r="C458" s="98" t="s">
        <v>238</v>
      </c>
      <c r="D458" s="98" t="s">
        <v>642</v>
      </c>
      <c r="E458" s="161" t="s">
        <v>643</v>
      </c>
      <c r="F458" s="160" t="s">
        <v>644</v>
      </c>
      <c r="G458" s="172" t="s">
        <v>88</v>
      </c>
      <c r="H458" s="99" t="s">
        <v>760</v>
      </c>
      <c r="I458" s="46" t="e">
        <f>VLOOKUP(H458,'合同高级查询数据-4月返'!A:A,1,FALSE)</f>
        <v>#N/A</v>
      </c>
      <c r="J458" s="178" t="s">
        <v>90</v>
      </c>
      <c r="K458" s="107" t="s">
        <v>774</v>
      </c>
      <c r="L458" s="179"/>
      <c r="M458" s="49" t="s">
        <v>594</v>
      </c>
      <c r="N458" s="180">
        <v>44861</v>
      </c>
      <c r="O458" s="73" t="s">
        <v>503</v>
      </c>
      <c r="P458" s="164">
        <v>5803.6</v>
      </c>
      <c r="Q458" s="182">
        <v>-2</v>
      </c>
      <c r="R458" s="118">
        <f t="shared" si="17"/>
        <v>-11607.2</v>
      </c>
      <c r="S458" s="115">
        <v>202304</v>
      </c>
      <c r="T458" s="186" t="s">
        <v>787</v>
      </c>
      <c r="U458" s="186"/>
      <c r="V458" s="165"/>
      <c r="W458" s="165"/>
      <c r="X458" s="116">
        <v>44434</v>
      </c>
      <c r="Y458" s="116">
        <v>46624</v>
      </c>
    </row>
    <row r="459" s="85" customFormat="1" customHeight="1" spans="1:25">
      <c r="A459" s="98" t="s">
        <v>446</v>
      </c>
      <c r="B459" s="98" t="s">
        <v>62</v>
      </c>
      <c r="C459" s="98" t="s">
        <v>238</v>
      </c>
      <c r="D459" s="98" t="s">
        <v>642</v>
      </c>
      <c r="E459" s="161" t="s">
        <v>643</v>
      </c>
      <c r="F459" s="160" t="s">
        <v>644</v>
      </c>
      <c r="G459" s="172" t="s">
        <v>88</v>
      </c>
      <c r="H459" s="99" t="s">
        <v>760</v>
      </c>
      <c r="I459" s="46" t="e">
        <f>VLOOKUP(H459,'合同高级查询数据-4月返'!A:A,1,FALSE)</f>
        <v>#N/A</v>
      </c>
      <c r="J459" s="178" t="s">
        <v>90</v>
      </c>
      <c r="K459" s="107" t="s">
        <v>761</v>
      </c>
      <c r="L459" s="179"/>
      <c r="M459" s="49" t="s">
        <v>594</v>
      </c>
      <c r="N459" s="180">
        <v>44985</v>
      </c>
      <c r="O459" s="181" t="s">
        <v>503</v>
      </c>
      <c r="P459" s="182">
        <v>5803.6</v>
      </c>
      <c r="Q459" s="182">
        <v>4</v>
      </c>
      <c r="R459" s="118">
        <f t="shared" si="17"/>
        <v>23214.4</v>
      </c>
      <c r="S459" s="115">
        <v>202304</v>
      </c>
      <c r="T459" s="186" t="s">
        <v>788</v>
      </c>
      <c r="U459" s="186"/>
      <c r="V459" s="165"/>
      <c r="W459" s="165"/>
      <c r="X459" s="116">
        <v>44434</v>
      </c>
      <c r="Y459" s="116">
        <v>46624</v>
      </c>
    </row>
    <row r="460" s="85" customFormat="1" customHeight="1" spans="1:25">
      <c r="A460" s="98" t="s">
        <v>446</v>
      </c>
      <c r="B460" s="98" t="s">
        <v>62</v>
      </c>
      <c r="C460" s="98" t="s">
        <v>238</v>
      </c>
      <c r="D460" s="98" t="s">
        <v>642</v>
      </c>
      <c r="E460" s="161" t="s">
        <v>643</v>
      </c>
      <c r="F460" s="160" t="s">
        <v>644</v>
      </c>
      <c r="G460" s="172" t="s">
        <v>78</v>
      </c>
      <c r="H460" s="99" t="s">
        <v>760</v>
      </c>
      <c r="I460" s="46" t="e">
        <f>VLOOKUP(H460,'合同高级查询数据-4月返'!A:A,1,FALSE)</f>
        <v>#N/A</v>
      </c>
      <c r="J460" s="178" t="s">
        <v>530</v>
      </c>
      <c r="K460" s="107" t="s">
        <v>789</v>
      </c>
      <c r="L460" s="179"/>
      <c r="M460" s="49" t="s">
        <v>594</v>
      </c>
      <c r="N460" s="180"/>
      <c r="O460" s="73"/>
      <c r="P460" s="164">
        <v>5280</v>
      </c>
      <c r="Q460" s="182">
        <v>0</v>
      </c>
      <c r="R460" s="118">
        <f t="shared" si="17"/>
        <v>0</v>
      </c>
      <c r="S460" s="115">
        <v>202304</v>
      </c>
      <c r="T460" s="186" t="s">
        <v>790</v>
      </c>
      <c r="U460" s="186"/>
      <c r="V460" s="165"/>
      <c r="W460" s="165"/>
      <c r="X460" s="116">
        <v>44434</v>
      </c>
      <c r="Y460" s="116">
        <v>46624</v>
      </c>
    </row>
    <row r="461" s="86" customFormat="1" customHeight="1" spans="1:25">
      <c r="A461" s="135" t="s">
        <v>446</v>
      </c>
      <c r="B461" s="135" t="s">
        <v>62</v>
      </c>
      <c r="C461" s="135" t="s">
        <v>238</v>
      </c>
      <c r="D461" s="135" t="s">
        <v>642</v>
      </c>
      <c r="E461" s="170" t="s">
        <v>643</v>
      </c>
      <c r="F461" s="135" t="s">
        <v>644</v>
      </c>
      <c r="G461" s="171" t="s">
        <v>88</v>
      </c>
      <c r="H461" s="103" t="s">
        <v>791</v>
      </c>
      <c r="I461" s="30" t="e">
        <f>VLOOKUP(H461,'合同高级查询数据-4月返'!A:A,1,FALSE)</f>
        <v>#N/A</v>
      </c>
      <c r="J461" s="31" t="s">
        <v>90</v>
      </c>
      <c r="K461" s="171" t="s">
        <v>792</v>
      </c>
      <c r="L461" s="192"/>
      <c r="M461" s="113" t="s">
        <v>582</v>
      </c>
      <c r="N461" s="193">
        <v>43202</v>
      </c>
      <c r="O461" s="193" t="s">
        <v>503</v>
      </c>
      <c r="P461" s="157">
        <v>3918</v>
      </c>
      <c r="Q461" s="157">
        <v>211</v>
      </c>
      <c r="R461" s="130">
        <f t="shared" si="17"/>
        <v>826698</v>
      </c>
      <c r="S461" s="127">
        <v>202304</v>
      </c>
      <c r="T461" s="194" t="s">
        <v>793</v>
      </c>
      <c r="U461" s="195"/>
      <c r="V461" s="149"/>
      <c r="W461" s="149"/>
      <c r="X461" s="131"/>
      <c r="Y461" s="131"/>
    </row>
    <row r="462" s="86" customFormat="1" customHeight="1" spans="1:25">
      <c r="A462" s="135" t="s">
        <v>446</v>
      </c>
      <c r="B462" s="135" t="s">
        <v>62</v>
      </c>
      <c r="C462" s="135" t="s">
        <v>238</v>
      </c>
      <c r="D462" s="135" t="s">
        <v>642</v>
      </c>
      <c r="E462" s="170" t="s">
        <v>643</v>
      </c>
      <c r="F462" s="135" t="s">
        <v>644</v>
      </c>
      <c r="G462" s="171" t="s">
        <v>88</v>
      </c>
      <c r="H462" s="103" t="s">
        <v>791</v>
      </c>
      <c r="I462" s="30" t="e">
        <f>VLOOKUP(H462,'合同高级查询数据-4月返'!A:A,1,FALSE)</f>
        <v>#N/A</v>
      </c>
      <c r="J462" s="31" t="s">
        <v>90</v>
      </c>
      <c r="K462" s="171" t="s">
        <v>792</v>
      </c>
      <c r="L462" s="192"/>
      <c r="M462" s="113" t="s">
        <v>582</v>
      </c>
      <c r="N462" s="193">
        <v>44875</v>
      </c>
      <c r="O462" s="193" t="s">
        <v>503</v>
      </c>
      <c r="P462" s="157">
        <v>3918</v>
      </c>
      <c r="Q462" s="157">
        <v>-6</v>
      </c>
      <c r="R462" s="130">
        <f t="shared" si="17"/>
        <v>-23508</v>
      </c>
      <c r="S462" s="127">
        <v>202304</v>
      </c>
      <c r="T462" s="194" t="s">
        <v>794</v>
      </c>
      <c r="U462" s="195"/>
      <c r="V462" s="149"/>
      <c r="W462" s="149"/>
      <c r="X462" s="131"/>
      <c r="Y462" s="131"/>
    </row>
    <row r="463" s="86" customFormat="1" customHeight="1" spans="1:25">
      <c r="A463" s="134" t="s">
        <v>446</v>
      </c>
      <c r="B463" s="135" t="s">
        <v>62</v>
      </c>
      <c r="C463" s="135" t="s">
        <v>238</v>
      </c>
      <c r="D463" s="135" t="s">
        <v>642</v>
      </c>
      <c r="E463" s="136" t="s">
        <v>643</v>
      </c>
      <c r="F463" s="134" t="s">
        <v>644</v>
      </c>
      <c r="G463" s="142" t="s">
        <v>31</v>
      </c>
      <c r="H463" s="103" t="s">
        <v>795</v>
      </c>
      <c r="I463" s="30" t="e">
        <f>VLOOKUP(H463,'合同高级查询数据-4月返'!A:A,1,FALSE)</f>
        <v>#N/A</v>
      </c>
      <c r="J463" s="134" t="s">
        <v>497</v>
      </c>
      <c r="K463" s="142" t="s">
        <v>556</v>
      </c>
      <c r="L463" s="142"/>
      <c r="M463" s="113"/>
      <c r="N463" s="146" t="s">
        <v>737</v>
      </c>
      <c r="O463" s="142" t="s">
        <v>37</v>
      </c>
      <c r="P463" s="145">
        <v>0</v>
      </c>
      <c r="Q463" s="145">
        <f>12*256</f>
        <v>3072</v>
      </c>
      <c r="R463" s="130">
        <f t="shared" si="17"/>
        <v>0</v>
      </c>
      <c r="S463" s="127">
        <v>202304</v>
      </c>
      <c r="T463" s="190" t="s">
        <v>796</v>
      </c>
      <c r="U463" s="196"/>
      <c r="V463" s="149"/>
      <c r="W463" s="149"/>
      <c r="X463" s="131"/>
      <c r="Y463" s="131"/>
    </row>
    <row r="464" s="86" customFormat="1" customHeight="1" spans="1:25">
      <c r="A464" s="134" t="s">
        <v>446</v>
      </c>
      <c r="B464" s="135" t="s">
        <v>62</v>
      </c>
      <c r="C464" s="135" t="s">
        <v>238</v>
      </c>
      <c r="D464" s="135" t="s">
        <v>642</v>
      </c>
      <c r="E464" s="136" t="s">
        <v>643</v>
      </c>
      <c r="F464" s="134" t="s">
        <v>644</v>
      </c>
      <c r="G464" s="142" t="s">
        <v>31</v>
      </c>
      <c r="H464" s="103" t="s">
        <v>795</v>
      </c>
      <c r="I464" s="30" t="e">
        <f>VLOOKUP(H464,'合同高级查询数据-4月返'!A:A,1,FALSE)</f>
        <v>#N/A</v>
      </c>
      <c r="J464" s="134" t="s">
        <v>497</v>
      </c>
      <c r="K464" s="142" t="s">
        <v>797</v>
      </c>
      <c r="L464" s="142"/>
      <c r="M464" s="113"/>
      <c r="N464" s="146" t="s">
        <v>737</v>
      </c>
      <c r="O464" s="142" t="s">
        <v>37</v>
      </c>
      <c r="P464" s="145">
        <v>35</v>
      </c>
      <c r="Q464" s="145">
        <f>6*256-512</f>
        <v>1024</v>
      </c>
      <c r="R464" s="130">
        <f t="shared" si="17"/>
        <v>35840</v>
      </c>
      <c r="S464" s="127">
        <v>202304</v>
      </c>
      <c r="T464" s="190" t="s">
        <v>798</v>
      </c>
      <c r="U464" s="196"/>
      <c r="V464" s="149"/>
      <c r="W464" s="149"/>
      <c r="X464" s="131"/>
      <c r="Y464" s="131"/>
    </row>
    <row r="465" s="86" customFormat="1" customHeight="1" spans="1:25">
      <c r="A465" s="134" t="s">
        <v>446</v>
      </c>
      <c r="B465" s="135" t="s">
        <v>62</v>
      </c>
      <c r="C465" s="135" t="s">
        <v>238</v>
      </c>
      <c r="D465" s="135" t="s">
        <v>642</v>
      </c>
      <c r="E465" s="136" t="s">
        <v>643</v>
      </c>
      <c r="F465" s="134" t="s">
        <v>644</v>
      </c>
      <c r="G465" s="142" t="s">
        <v>31</v>
      </c>
      <c r="H465" s="103" t="s">
        <v>795</v>
      </c>
      <c r="I465" s="30" t="e">
        <f>VLOOKUP(H465,'合同高级查询数据-4月返'!A:A,1,FALSE)</f>
        <v>#N/A</v>
      </c>
      <c r="J465" s="134" t="s">
        <v>497</v>
      </c>
      <c r="K465" s="142" t="s">
        <v>797</v>
      </c>
      <c r="L465" s="142"/>
      <c r="M465" s="113"/>
      <c r="N465" s="146" t="s">
        <v>737</v>
      </c>
      <c r="O465" s="142" t="s">
        <v>37</v>
      </c>
      <c r="P465" s="145">
        <v>0</v>
      </c>
      <c r="Q465" s="145">
        <v>512</v>
      </c>
      <c r="R465" s="130">
        <f t="shared" si="17"/>
        <v>0</v>
      </c>
      <c r="S465" s="127">
        <v>202304</v>
      </c>
      <c r="T465" s="190" t="s">
        <v>799</v>
      </c>
      <c r="U465" s="196"/>
      <c r="V465" s="149"/>
      <c r="W465" s="149"/>
      <c r="X465" s="131"/>
      <c r="Y465" s="131"/>
    </row>
    <row r="466" s="86" customFormat="1" customHeight="1" spans="1:25">
      <c r="A466" s="134" t="s">
        <v>446</v>
      </c>
      <c r="B466" s="135" t="s">
        <v>62</v>
      </c>
      <c r="C466" s="135" t="s">
        <v>238</v>
      </c>
      <c r="D466" s="135" t="s">
        <v>642</v>
      </c>
      <c r="E466" s="136" t="s">
        <v>643</v>
      </c>
      <c r="F466" s="134" t="s">
        <v>644</v>
      </c>
      <c r="G466" s="142" t="s">
        <v>31</v>
      </c>
      <c r="H466" s="103" t="s">
        <v>795</v>
      </c>
      <c r="I466" s="30" t="e">
        <f>VLOOKUP(H466,'合同高级查询数据-4月返'!A:A,1,FALSE)</f>
        <v>#N/A</v>
      </c>
      <c r="J466" s="155" t="s">
        <v>800</v>
      </c>
      <c r="K466" s="142" t="s">
        <v>801</v>
      </c>
      <c r="L466" s="142"/>
      <c r="M466" s="113" t="s">
        <v>557</v>
      </c>
      <c r="N466" s="146">
        <v>43941</v>
      </c>
      <c r="O466" s="146" t="s">
        <v>802</v>
      </c>
      <c r="P466" s="145">
        <v>10</v>
      </c>
      <c r="Q466" s="145">
        <v>512</v>
      </c>
      <c r="R466" s="130">
        <f t="shared" si="17"/>
        <v>5120</v>
      </c>
      <c r="S466" s="127">
        <v>202304</v>
      </c>
      <c r="T466" s="190" t="s">
        <v>803</v>
      </c>
      <c r="U466" s="196"/>
      <c r="V466" s="149"/>
      <c r="W466" s="149"/>
      <c r="X466" s="131"/>
      <c r="Y466" s="131"/>
    </row>
    <row r="467" s="86" customFormat="1" customHeight="1" spans="1:25">
      <c r="A467" s="134" t="s">
        <v>446</v>
      </c>
      <c r="B467" s="135" t="s">
        <v>62</v>
      </c>
      <c r="C467" s="135" t="s">
        <v>238</v>
      </c>
      <c r="D467" s="135" t="s">
        <v>642</v>
      </c>
      <c r="E467" s="136" t="s">
        <v>643</v>
      </c>
      <c r="F467" s="134" t="s">
        <v>644</v>
      </c>
      <c r="G467" s="142" t="s">
        <v>31</v>
      </c>
      <c r="H467" s="103" t="s">
        <v>795</v>
      </c>
      <c r="I467" s="30" t="e">
        <f>VLOOKUP(H467,'合同高级查询数据-4月返'!A:A,1,FALSE)</f>
        <v>#N/A</v>
      </c>
      <c r="J467" s="155" t="s">
        <v>800</v>
      </c>
      <c r="K467" s="142" t="s">
        <v>801</v>
      </c>
      <c r="L467" s="142"/>
      <c r="M467" s="113" t="s">
        <v>557</v>
      </c>
      <c r="N467" s="146">
        <v>44166</v>
      </c>
      <c r="O467" s="146" t="s">
        <v>802</v>
      </c>
      <c r="P467" s="145">
        <v>10</v>
      </c>
      <c r="Q467" s="145">
        <v>512</v>
      </c>
      <c r="R467" s="130">
        <f t="shared" si="17"/>
        <v>5120</v>
      </c>
      <c r="S467" s="127">
        <v>202304</v>
      </c>
      <c r="T467" s="190" t="s">
        <v>804</v>
      </c>
      <c r="U467" s="196"/>
      <c r="V467" s="149"/>
      <c r="W467" s="149"/>
      <c r="X467" s="131"/>
      <c r="Y467" s="131"/>
    </row>
    <row r="468" s="86" customFormat="1" customHeight="1" spans="1:25">
      <c r="A468" s="134" t="s">
        <v>446</v>
      </c>
      <c r="B468" s="135" t="s">
        <v>62</v>
      </c>
      <c r="C468" s="135" t="s">
        <v>238</v>
      </c>
      <c r="D468" s="135" t="s">
        <v>642</v>
      </c>
      <c r="E468" s="136" t="s">
        <v>643</v>
      </c>
      <c r="F468" s="134" t="s">
        <v>644</v>
      </c>
      <c r="G468" s="142" t="s">
        <v>31</v>
      </c>
      <c r="H468" s="103" t="s">
        <v>795</v>
      </c>
      <c r="I468" s="30" t="e">
        <f>VLOOKUP(H468,'合同高级查询数据-4月返'!A:A,1,FALSE)</f>
        <v>#N/A</v>
      </c>
      <c r="J468" s="155" t="s">
        <v>800</v>
      </c>
      <c r="K468" s="142" t="s">
        <v>801</v>
      </c>
      <c r="L468" s="142"/>
      <c r="M468" s="113" t="s">
        <v>557</v>
      </c>
      <c r="N468" s="146">
        <v>44197</v>
      </c>
      <c r="O468" s="146" t="s">
        <v>805</v>
      </c>
      <c r="P468" s="145">
        <v>10</v>
      </c>
      <c r="Q468" s="145">
        <f>256*4</f>
        <v>1024</v>
      </c>
      <c r="R468" s="130">
        <f t="shared" si="17"/>
        <v>10240</v>
      </c>
      <c r="S468" s="127">
        <v>202304</v>
      </c>
      <c r="T468" s="190" t="s">
        <v>806</v>
      </c>
      <c r="U468" s="196"/>
      <c r="V468" s="149"/>
      <c r="W468" s="149"/>
      <c r="X468" s="131"/>
      <c r="Y468" s="131"/>
    </row>
    <row r="469" s="86" customFormat="1" customHeight="1" spans="1:25">
      <c r="A469" s="134" t="s">
        <v>446</v>
      </c>
      <c r="B469" s="135" t="s">
        <v>62</v>
      </c>
      <c r="C469" s="135" t="s">
        <v>238</v>
      </c>
      <c r="D469" s="135" t="s">
        <v>642</v>
      </c>
      <c r="E469" s="136" t="s">
        <v>643</v>
      </c>
      <c r="F469" s="134" t="s">
        <v>644</v>
      </c>
      <c r="G469" s="142" t="s">
        <v>31</v>
      </c>
      <c r="H469" s="103" t="s">
        <v>795</v>
      </c>
      <c r="I469" s="30" t="e">
        <f>VLOOKUP(H469,'合同高级查询数据-4月返'!A:A,1,FALSE)</f>
        <v>#N/A</v>
      </c>
      <c r="J469" s="155" t="s">
        <v>800</v>
      </c>
      <c r="K469" s="142" t="s">
        <v>801</v>
      </c>
      <c r="L469" s="142"/>
      <c r="M469" s="113" t="s">
        <v>557</v>
      </c>
      <c r="N469" s="146">
        <v>44623</v>
      </c>
      <c r="O469" s="146" t="s">
        <v>807</v>
      </c>
      <c r="P469" s="145">
        <v>0</v>
      </c>
      <c r="Q469" s="145">
        <f>256*36</f>
        <v>9216</v>
      </c>
      <c r="R469" s="130">
        <f t="shared" si="17"/>
        <v>0</v>
      </c>
      <c r="S469" s="127">
        <v>202304</v>
      </c>
      <c r="T469" s="197" t="s">
        <v>808</v>
      </c>
      <c r="U469" s="196"/>
      <c r="V469" s="149"/>
      <c r="W469" s="149"/>
      <c r="X469" s="131"/>
      <c r="Y469" s="131"/>
    </row>
    <row r="470" s="86" customFormat="1" customHeight="1" spans="1:25">
      <c r="A470" s="35" t="s">
        <v>446</v>
      </c>
      <c r="B470" s="135" t="s">
        <v>62</v>
      </c>
      <c r="C470" s="11" t="s">
        <v>238</v>
      </c>
      <c r="D470" s="11" t="s">
        <v>642</v>
      </c>
      <c r="E470" s="30" t="s">
        <v>643</v>
      </c>
      <c r="F470" s="35" t="s">
        <v>644</v>
      </c>
      <c r="G470" s="142" t="s">
        <v>31</v>
      </c>
      <c r="H470" s="103" t="s">
        <v>809</v>
      </c>
      <c r="I470" s="30" t="e">
        <f>VLOOKUP(H470,'合同高级查询数据-4月返'!A:A,1,FALSE)</f>
        <v>#N/A</v>
      </c>
      <c r="J470" s="155" t="s">
        <v>33</v>
      </c>
      <c r="K470" s="142" t="s">
        <v>734</v>
      </c>
      <c r="L470" s="110" t="s">
        <v>744</v>
      </c>
      <c r="M470" s="113" t="s">
        <v>745</v>
      </c>
      <c r="N470" s="146">
        <v>44984</v>
      </c>
      <c r="O470" s="146"/>
      <c r="P470" s="156">
        <v>35</v>
      </c>
      <c r="Q470" s="130">
        <v>64</v>
      </c>
      <c r="R470" s="130">
        <f t="shared" si="17"/>
        <v>2240</v>
      </c>
      <c r="S470" s="127">
        <v>202304</v>
      </c>
      <c r="T470" s="190" t="s">
        <v>810</v>
      </c>
      <c r="U470" s="190"/>
      <c r="V470" s="159"/>
      <c r="W470" s="159"/>
      <c r="X470" s="131"/>
      <c r="Y470" s="131"/>
    </row>
    <row r="471" s="86" customFormat="1" customHeight="1" spans="1:25">
      <c r="A471" s="35" t="s">
        <v>444</v>
      </c>
      <c r="B471" s="135" t="s">
        <v>62</v>
      </c>
      <c r="C471" s="11" t="s">
        <v>238</v>
      </c>
      <c r="D471" s="11" t="s">
        <v>642</v>
      </c>
      <c r="E471" s="30" t="s">
        <v>643</v>
      </c>
      <c r="F471" s="35" t="s">
        <v>644</v>
      </c>
      <c r="G471" s="142" t="s">
        <v>31</v>
      </c>
      <c r="H471" s="152" t="s">
        <v>811</v>
      </c>
      <c r="I471" s="30" t="e">
        <f>VLOOKUP(H471,'合同高级查询数据-4月返'!A:A,1,FALSE)</f>
        <v>#N/A</v>
      </c>
      <c r="J471" s="155" t="s">
        <v>33</v>
      </c>
      <c r="K471" s="142" t="s">
        <v>685</v>
      </c>
      <c r="L471" s="110" t="s">
        <v>698</v>
      </c>
      <c r="M471" s="113" t="s">
        <v>687</v>
      </c>
      <c r="N471" s="146">
        <v>44964</v>
      </c>
      <c r="O471" s="146"/>
      <c r="P471" s="156">
        <v>30</v>
      </c>
      <c r="Q471" s="130">
        <v>80</v>
      </c>
      <c r="R471" s="130">
        <f t="shared" si="17"/>
        <v>2400</v>
      </c>
      <c r="S471" s="127">
        <v>202304</v>
      </c>
      <c r="T471" s="198" t="s">
        <v>812</v>
      </c>
      <c r="U471" s="190"/>
      <c r="V471" s="159"/>
      <c r="W471" s="159"/>
      <c r="X471" s="131"/>
      <c r="Y471" s="131"/>
    </row>
    <row r="472" s="85" customFormat="1" customHeight="1" spans="1:25">
      <c r="A472" s="98" t="s">
        <v>61</v>
      </c>
      <c r="B472" s="24" t="s">
        <v>83</v>
      </c>
      <c r="C472" s="98" t="s">
        <v>813</v>
      </c>
      <c r="D472" s="24" t="s">
        <v>64</v>
      </c>
      <c r="E472" s="161" t="s">
        <v>814</v>
      </c>
      <c r="F472" s="160" t="s">
        <v>815</v>
      </c>
      <c r="G472" s="172" t="s">
        <v>88</v>
      </c>
      <c r="H472" s="100" t="s">
        <v>816</v>
      </c>
      <c r="I472" s="46" t="e">
        <f>VLOOKUP(H472,'合同高级查询数据-4月返'!A:A,1,FALSE)</f>
        <v>#N/A</v>
      </c>
      <c r="J472" s="178" t="s">
        <v>90</v>
      </c>
      <c r="K472" s="107"/>
      <c r="L472" s="179"/>
      <c r="M472" s="49" t="s">
        <v>817</v>
      </c>
      <c r="N472" s="180">
        <v>44311</v>
      </c>
      <c r="O472" s="73" t="s">
        <v>503</v>
      </c>
      <c r="P472" s="164">
        <v>6500</v>
      </c>
      <c r="Q472" s="182">
        <v>3</v>
      </c>
      <c r="R472" s="118">
        <f t="shared" ref="R472:R535" si="18">ROUND(P472*Q472,2)</f>
        <v>19500</v>
      </c>
      <c r="S472" s="115">
        <v>202304</v>
      </c>
      <c r="T472" s="186" t="s">
        <v>818</v>
      </c>
      <c r="U472" s="186"/>
      <c r="V472" s="165"/>
      <c r="W472" s="165"/>
      <c r="X472" s="116">
        <v>44682</v>
      </c>
      <c r="Y472" s="116">
        <v>45046</v>
      </c>
    </row>
    <row r="473" s="85" customFormat="1" customHeight="1" spans="1:25">
      <c r="A473" s="98" t="s">
        <v>61</v>
      </c>
      <c r="B473" s="24" t="s">
        <v>83</v>
      </c>
      <c r="C473" s="98" t="s">
        <v>813</v>
      </c>
      <c r="D473" s="24" t="s">
        <v>64</v>
      </c>
      <c r="E473" s="161" t="s">
        <v>814</v>
      </c>
      <c r="F473" s="160" t="s">
        <v>815</v>
      </c>
      <c r="G473" s="172" t="s">
        <v>88</v>
      </c>
      <c r="H473" s="100" t="s">
        <v>816</v>
      </c>
      <c r="I473" s="46" t="e">
        <f>VLOOKUP(H473,'合同高级查询数据-4月返'!A:A,1,FALSE)</f>
        <v>#N/A</v>
      </c>
      <c r="J473" s="178" t="s">
        <v>90</v>
      </c>
      <c r="K473" s="107"/>
      <c r="L473" s="179"/>
      <c r="M473" s="49" t="s">
        <v>817</v>
      </c>
      <c r="N473" s="180">
        <v>44315</v>
      </c>
      <c r="O473" s="73" t="s">
        <v>525</v>
      </c>
      <c r="P473" s="164">
        <v>9000</v>
      </c>
      <c r="Q473" s="182">
        <v>2</v>
      </c>
      <c r="R473" s="118">
        <f t="shared" si="18"/>
        <v>18000</v>
      </c>
      <c r="S473" s="115">
        <v>202304</v>
      </c>
      <c r="T473" s="186" t="s">
        <v>819</v>
      </c>
      <c r="U473" s="186"/>
      <c r="V473" s="165"/>
      <c r="W473" s="165"/>
      <c r="X473" s="116">
        <v>44682</v>
      </c>
      <c r="Y473" s="116">
        <v>45046</v>
      </c>
    </row>
    <row r="474" s="85" customFormat="1" customHeight="1" spans="1:25">
      <c r="A474" s="98" t="s">
        <v>61</v>
      </c>
      <c r="B474" s="24" t="s">
        <v>83</v>
      </c>
      <c r="C474" s="98" t="s">
        <v>813</v>
      </c>
      <c r="D474" s="24" t="s">
        <v>64</v>
      </c>
      <c r="E474" s="161" t="s">
        <v>814</v>
      </c>
      <c r="F474" s="160" t="s">
        <v>815</v>
      </c>
      <c r="G474" s="172" t="s">
        <v>67</v>
      </c>
      <c r="H474" s="100" t="s">
        <v>816</v>
      </c>
      <c r="I474" s="46" t="e">
        <f>VLOOKUP(H474,'合同高级查询数据-4月返'!A:A,1,FALSE)</f>
        <v>#N/A</v>
      </c>
      <c r="J474" s="178" t="s">
        <v>69</v>
      </c>
      <c r="K474" s="107" t="s">
        <v>820</v>
      </c>
      <c r="L474" s="179"/>
      <c r="M474" s="49"/>
      <c r="N474" s="180">
        <v>44313</v>
      </c>
      <c r="O474" s="73" t="s">
        <v>71</v>
      </c>
      <c r="P474" s="164">
        <v>250</v>
      </c>
      <c r="Q474" s="105">
        <v>1</v>
      </c>
      <c r="R474" s="118">
        <f t="shared" si="18"/>
        <v>250</v>
      </c>
      <c r="S474" s="115">
        <v>202304</v>
      </c>
      <c r="T474" s="186" t="s">
        <v>821</v>
      </c>
      <c r="U474" s="186"/>
      <c r="V474" s="165"/>
      <c r="W474" s="165"/>
      <c r="X474" s="116">
        <v>44682</v>
      </c>
      <c r="Y474" s="116">
        <v>45046</v>
      </c>
    </row>
    <row r="475" s="85" customFormat="1" customHeight="1" spans="1:25">
      <c r="A475" s="98" t="s">
        <v>61</v>
      </c>
      <c r="B475" s="24" t="s">
        <v>83</v>
      </c>
      <c r="C475" s="98" t="s">
        <v>813</v>
      </c>
      <c r="D475" s="24" t="s">
        <v>64</v>
      </c>
      <c r="E475" s="161" t="s">
        <v>814</v>
      </c>
      <c r="F475" s="160" t="s">
        <v>815</v>
      </c>
      <c r="G475" s="172" t="s">
        <v>67</v>
      </c>
      <c r="H475" s="100" t="s">
        <v>816</v>
      </c>
      <c r="I475" s="46" t="e">
        <f>VLOOKUP(H475,'合同高级查询数据-4月返'!A:A,1,FALSE)</f>
        <v>#N/A</v>
      </c>
      <c r="J475" s="178" t="s">
        <v>69</v>
      </c>
      <c r="K475" s="107" t="s">
        <v>822</v>
      </c>
      <c r="L475" s="179"/>
      <c r="M475" s="49"/>
      <c r="N475" s="180">
        <v>44313</v>
      </c>
      <c r="O475" s="73" t="s">
        <v>71</v>
      </c>
      <c r="P475" s="164">
        <v>250</v>
      </c>
      <c r="Q475" s="105">
        <v>1</v>
      </c>
      <c r="R475" s="118">
        <f t="shared" si="18"/>
        <v>250</v>
      </c>
      <c r="S475" s="115">
        <v>202304</v>
      </c>
      <c r="T475" s="186" t="s">
        <v>823</v>
      </c>
      <c r="U475" s="186"/>
      <c r="V475" s="165"/>
      <c r="W475" s="165"/>
      <c r="X475" s="116">
        <v>44682</v>
      </c>
      <c r="Y475" s="116">
        <v>45046</v>
      </c>
    </row>
    <row r="476" s="85" customFormat="1" customHeight="1" spans="1:25">
      <c r="A476" s="98" t="s">
        <v>61</v>
      </c>
      <c r="B476" s="24" t="s">
        <v>83</v>
      </c>
      <c r="C476" s="98" t="s">
        <v>813</v>
      </c>
      <c r="D476" s="24" t="s">
        <v>64</v>
      </c>
      <c r="E476" s="161" t="s">
        <v>814</v>
      </c>
      <c r="F476" s="160" t="s">
        <v>815</v>
      </c>
      <c r="G476" s="172" t="s">
        <v>67</v>
      </c>
      <c r="H476" s="100" t="s">
        <v>816</v>
      </c>
      <c r="I476" s="46" t="e">
        <f>VLOOKUP(H476,'合同高级查询数据-4月返'!A:A,1,FALSE)</f>
        <v>#N/A</v>
      </c>
      <c r="J476" s="178" t="s">
        <v>69</v>
      </c>
      <c r="K476" s="107" t="s">
        <v>824</v>
      </c>
      <c r="L476" s="179"/>
      <c r="M476" s="49"/>
      <c r="N476" s="180">
        <v>44330</v>
      </c>
      <c r="O476" s="73" t="s">
        <v>71</v>
      </c>
      <c r="P476" s="164">
        <v>250</v>
      </c>
      <c r="Q476" s="105">
        <v>10</v>
      </c>
      <c r="R476" s="118">
        <f t="shared" si="18"/>
        <v>2500</v>
      </c>
      <c r="S476" s="115">
        <v>202304</v>
      </c>
      <c r="T476" s="186" t="s">
        <v>825</v>
      </c>
      <c r="U476" s="186"/>
      <c r="V476" s="165"/>
      <c r="W476" s="165"/>
      <c r="X476" s="116">
        <v>44682</v>
      </c>
      <c r="Y476" s="116">
        <v>45046</v>
      </c>
    </row>
    <row r="477" s="85" customFormat="1" customHeight="1" spans="1:25">
      <c r="A477" s="98" t="s">
        <v>61</v>
      </c>
      <c r="B477" s="24" t="s">
        <v>83</v>
      </c>
      <c r="C477" s="98" t="s">
        <v>813</v>
      </c>
      <c r="D477" s="24" t="s">
        <v>64</v>
      </c>
      <c r="E477" s="161" t="s">
        <v>814</v>
      </c>
      <c r="F477" s="160" t="s">
        <v>815</v>
      </c>
      <c r="G477" s="172" t="s">
        <v>67</v>
      </c>
      <c r="H477" s="100" t="s">
        <v>816</v>
      </c>
      <c r="I477" s="46" t="e">
        <f>VLOOKUP(H477,'合同高级查询数据-4月返'!A:A,1,FALSE)</f>
        <v>#N/A</v>
      </c>
      <c r="J477" s="178" t="s">
        <v>69</v>
      </c>
      <c r="K477" s="107" t="s">
        <v>824</v>
      </c>
      <c r="L477" s="179"/>
      <c r="M477" s="49"/>
      <c r="N477" s="180">
        <v>44917</v>
      </c>
      <c r="O477" s="73" t="s">
        <v>71</v>
      </c>
      <c r="P477" s="164">
        <v>250</v>
      </c>
      <c r="Q477" s="105">
        <v>-4</v>
      </c>
      <c r="R477" s="118">
        <f t="shared" si="18"/>
        <v>-1000</v>
      </c>
      <c r="S477" s="115">
        <v>202304</v>
      </c>
      <c r="T477" s="186" t="s">
        <v>826</v>
      </c>
      <c r="U477" s="186"/>
      <c r="V477" s="165"/>
      <c r="W477" s="165"/>
      <c r="X477" s="116">
        <v>44682</v>
      </c>
      <c r="Y477" s="116">
        <v>45046</v>
      </c>
    </row>
    <row r="478" s="85" customFormat="1" customHeight="1" spans="1:25">
      <c r="A478" s="98" t="s">
        <v>61</v>
      </c>
      <c r="B478" s="24" t="s">
        <v>83</v>
      </c>
      <c r="C478" s="98" t="s">
        <v>813</v>
      </c>
      <c r="D478" s="24" t="s">
        <v>64</v>
      </c>
      <c r="E478" s="161" t="s">
        <v>814</v>
      </c>
      <c r="F478" s="160" t="s">
        <v>815</v>
      </c>
      <c r="G478" s="172" t="s">
        <v>67</v>
      </c>
      <c r="H478" s="100" t="s">
        <v>816</v>
      </c>
      <c r="I478" s="46" t="e">
        <f>VLOOKUP(H478,'合同高级查询数据-4月返'!A:A,1,FALSE)</f>
        <v>#N/A</v>
      </c>
      <c r="J478" s="178" t="s">
        <v>69</v>
      </c>
      <c r="K478" s="107" t="s">
        <v>827</v>
      </c>
      <c r="L478" s="179"/>
      <c r="M478" s="49"/>
      <c r="N478" s="180">
        <v>44389</v>
      </c>
      <c r="O478" s="73" t="s">
        <v>71</v>
      </c>
      <c r="P478" s="164">
        <v>250</v>
      </c>
      <c r="Q478" s="105">
        <v>1</v>
      </c>
      <c r="R478" s="118">
        <f t="shared" si="18"/>
        <v>250</v>
      </c>
      <c r="S478" s="115">
        <v>202304</v>
      </c>
      <c r="T478" s="186" t="s">
        <v>828</v>
      </c>
      <c r="U478" s="186"/>
      <c r="V478" s="165"/>
      <c r="W478" s="165"/>
      <c r="X478" s="116">
        <v>44682</v>
      </c>
      <c r="Y478" s="116">
        <v>45046</v>
      </c>
    </row>
    <row r="479" s="85" customFormat="1" customHeight="1" spans="1:25">
      <c r="A479" s="98" t="s">
        <v>61</v>
      </c>
      <c r="B479" s="24" t="s">
        <v>83</v>
      </c>
      <c r="C479" s="98" t="s">
        <v>813</v>
      </c>
      <c r="D479" s="24" t="s">
        <v>64</v>
      </c>
      <c r="E479" s="161" t="s">
        <v>814</v>
      </c>
      <c r="F479" s="160" t="s">
        <v>815</v>
      </c>
      <c r="G479" s="172" t="s">
        <v>67</v>
      </c>
      <c r="H479" s="100" t="s">
        <v>816</v>
      </c>
      <c r="I479" s="46" t="e">
        <f>VLOOKUP(H479,'合同高级查询数据-4月返'!A:A,1,FALSE)</f>
        <v>#N/A</v>
      </c>
      <c r="J479" s="178" t="s">
        <v>69</v>
      </c>
      <c r="K479" s="107" t="s">
        <v>827</v>
      </c>
      <c r="L479" s="179"/>
      <c r="M479" s="49"/>
      <c r="N479" s="180">
        <v>44917</v>
      </c>
      <c r="O479" s="73" t="s">
        <v>71</v>
      </c>
      <c r="P479" s="164">
        <v>250</v>
      </c>
      <c r="Q479" s="105">
        <v>-1</v>
      </c>
      <c r="R479" s="118">
        <f t="shared" si="18"/>
        <v>-250</v>
      </c>
      <c r="S479" s="115">
        <v>202304</v>
      </c>
      <c r="T479" s="186" t="s">
        <v>829</v>
      </c>
      <c r="U479" s="186"/>
      <c r="V479" s="165"/>
      <c r="W479" s="165"/>
      <c r="X479" s="116">
        <v>44682</v>
      </c>
      <c r="Y479" s="116">
        <v>45046</v>
      </c>
    </row>
    <row r="480" s="85" customFormat="1" customHeight="1" spans="1:25">
      <c r="A480" s="98" t="s">
        <v>61</v>
      </c>
      <c r="B480" s="24" t="s">
        <v>83</v>
      </c>
      <c r="C480" s="98" t="s">
        <v>813</v>
      </c>
      <c r="D480" s="24" t="s">
        <v>64</v>
      </c>
      <c r="E480" s="161" t="s">
        <v>814</v>
      </c>
      <c r="F480" s="160" t="s">
        <v>815</v>
      </c>
      <c r="G480" s="172" t="s">
        <v>67</v>
      </c>
      <c r="H480" s="100" t="s">
        <v>816</v>
      </c>
      <c r="I480" s="46" t="e">
        <f>VLOOKUP(H480,'合同高级查询数据-4月返'!A:A,1,FALSE)</f>
        <v>#N/A</v>
      </c>
      <c r="J480" s="178" t="s">
        <v>69</v>
      </c>
      <c r="K480" s="107" t="s">
        <v>830</v>
      </c>
      <c r="L480" s="179"/>
      <c r="M480" s="49"/>
      <c r="N480" s="180">
        <v>44741</v>
      </c>
      <c r="O480" s="73" t="s">
        <v>71</v>
      </c>
      <c r="P480" s="164">
        <v>250</v>
      </c>
      <c r="Q480" s="105">
        <v>1</v>
      </c>
      <c r="R480" s="118">
        <f t="shared" si="18"/>
        <v>250</v>
      </c>
      <c r="S480" s="115">
        <v>202304</v>
      </c>
      <c r="T480" s="186" t="s">
        <v>831</v>
      </c>
      <c r="U480" s="186"/>
      <c r="V480" s="165"/>
      <c r="W480" s="165"/>
      <c r="X480" s="116">
        <v>44682</v>
      </c>
      <c r="Y480" s="116">
        <v>45046</v>
      </c>
    </row>
    <row r="481" s="85" customFormat="1" customHeight="1" spans="1:25">
      <c r="A481" s="98" t="s">
        <v>61</v>
      </c>
      <c r="B481" s="24" t="s">
        <v>83</v>
      </c>
      <c r="C481" s="98" t="s">
        <v>813</v>
      </c>
      <c r="D481" s="24" t="s">
        <v>64</v>
      </c>
      <c r="E481" s="161" t="s">
        <v>814</v>
      </c>
      <c r="F481" s="160" t="s">
        <v>815</v>
      </c>
      <c r="G481" s="172" t="s">
        <v>67</v>
      </c>
      <c r="H481" s="100" t="s">
        <v>816</v>
      </c>
      <c r="I481" s="46" t="e">
        <f>VLOOKUP(H481,'合同高级查询数据-4月返'!A:A,1,FALSE)</f>
        <v>#N/A</v>
      </c>
      <c r="J481" s="178" t="s">
        <v>69</v>
      </c>
      <c r="K481" s="107" t="s">
        <v>832</v>
      </c>
      <c r="L481" s="179"/>
      <c r="M481" s="49"/>
      <c r="N481" s="180">
        <v>44768</v>
      </c>
      <c r="O481" s="73" t="s">
        <v>71</v>
      </c>
      <c r="P481" s="164">
        <v>250</v>
      </c>
      <c r="Q481" s="105">
        <v>1</v>
      </c>
      <c r="R481" s="118">
        <f t="shared" si="18"/>
        <v>250</v>
      </c>
      <c r="S481" s="115">
        <v>202304</v>
      </c>
      <c r="T481" s="186" t="s">
        <v>833</v>
      </c>
      <c r="U481" s="186"/>
      <c r="V481" s="165"/>
      <c r="W481" s="165"/>
      <c r="X481" s="116">
        <v>44682</v>
      </c>
      <c r="Y481" s="116">
        <v>45046</v>
      </c>
    </row>
    <row r="482" s="85" customFormat="1" customHeight="1" spans="1:25">
      <c r="A482" s="98" t="s">
        <v>61</v>
      </c>
      <c r="B482" s="98" t="s">
        <v>62</v>
      </c>
      <c r="C482" s="98" t="s">
        <v>238</v>
      </c>
      <c r="D482" s="24" t="s">
        <v>64</v>
      </c>
      <c r="E482" s="161" t="s">
        <v>834</v>
      </c>
      <c r="F482" s="160" t="s">
        <v>835</v>
      </c>
      <c r="G482" s="172" t="s">
        <v>88</v>
      </c>
      <c r="H482" s="100" t="s">
        <v>836</v>
      </c>
      <c r="I482" s="46" t="e">
        <f>VLOOKUP(H482,'合同高级查询数据-4月返'!A:A,1,FALSE)</f>
        <v>#N/A</v>
      </c>
      <c r="J482" s="178" t="s">
        <v>90</v>
      </c>
      <c r="K482" s="107" t="s">
        <v>837</v>
      </c>
      <c r="L482" s="179"/>
      <c r="M482" s="49" t="s">
        <v>838</v>
      </c>
      <c r="N482" s="180">
        <v>44409</v>
      </c>
      <c r="O482" s="73" t="s">
        <v>503</v>
      </c>
      <c r="P482" s="164">
        <v>4900</v>
      </c>
      <c r="Q482" s="182">
        <v>4</v>
      </c>
      <c r="R482" s="118">
        <f t="shared" si="18"/>
        <v>19600</v>
      </c>
      <c r="S482" s="115">
        <v>202304</v>
      </c>
      <c r="T482" s="186" t="s">
        <v>839</v>
      </c>
      <c r="U482" s="186"/>
      <c r="V482" s="165"/>
      <c r="W482" s="165"/>
      <c r="X482" s="116">
        <v>44409</v>
      </c>
      <c r="Y482" s="116">
        <v>45138</v>
      </c>
    </row>
    <row r="483" s="85" customFormat="1" customHeight="1" spans="1:25">
      <c r="A483" s="98" t="s">
        <v>61</v>
      </c>
      <c r="B483" s="98" t="s">
        <v>62</v>
      </c>
      <c r="C483" s="98" t="s">
        <v>238</v>
      </c>
      <c r="D483" s="24" t="s">
        <v>64</v>
      </c>
      <c r="E483" s="161" t="s">
        <v>840</v>
      </c>
      <c r="F483" s="160" t="s">
        <v>841</v>
      </c>
      <c r="G483" s="172" t="s">
        <v>88</v>
      </c>
      <c r="H483" s="100" t="s">
        <v>842</v>
      </c>
      <c r="I483" s="46" t="e">
        <f>VLOOKUP(H483,'合同高级查询数据-4月返'!A:A,1,FALSE)</f>
        <v>#N/A</v>
      </c>
      <c r="J483" s="178" t="s">
        <v>843</v>
      </c>
      <c r="K483" s="107" t="s">
        <v>844</v>
      </c>
      <c r="L483" s="179"/>
      <c r="M483" s="49" t="s">
        <v>845</v>
      </c>
      <c r="N483" s="180">
        <v>43210</v>
      </c>
      <c r="O483" s="73" t="s">
        <v>503</v>
      </c>
      <c r="P483" s="164">
        <v>5216.57</v>
      </c>
      <c r="Q483" s="182">
        <v>53</v>
      </c>
      <c r="R483" s="118">
        <f t="shared" si="18"/>
        <v>276478.21</v>
      </c>
      <c r="S483" s="115">
        <v>202304</v>
      </c>
      <c r="T483" s="186"/>
      <c r="U483" s="186"/>
      <c r="V483" s="165"/>
      <c r="W483" s="165"/>
      <c r="X483" s="116">
        <v>43647</v>
      </c>
      <c r="Y483" s="116">
        <v>45229</v>
      </c>
    </row>
    <row r="484" s="85" customFormat="1" customHeight="1" spans="1:25">
      <c r="A484" s="98" t="s">
        <v>61</v>
      </c>
      <c r="B484" s="98" t="s">
        <v>62</v>
      </c>
      <c r="C484" s="98" t="s">
        <v>238</v>
      </c>
      <c r="D484" s="24" t="s">
        <v>64</v>
      </c>
      <c r="E484" s="161" t="s">
        <v>840</v>
      </c>
      <c r="F484" s="160" t="s">
        <v>841</v>
      </c>
      <c r="G484" s="172" t="s">
        <v>88</v>
      </c>
      <c r="H484" s="100" t="s">
        <v>842</v>
      </c>
      <c r="I484" s="46" t="e">
        <f>VLOOKUP(H484,'合同高级查询数据-4月返'!A:A,1,FALSE)</f>
        <v>#N/A</v>
      </c>
      <c r="J484" s="178" t="s">
        <v>846</v>
      </c>
      <c r="K484" s="107" t="s">
        <v>844</v>
      </c>
      <c r="L484" s="179"/>
      <c r="M484" s="49" t="s">
        <v>845</v>
      </c>
      <c r="N484" s="180">
        <v>43210</v>
      </c>
      <c r="O484" s="73" t="s">
        <v>574</v>
      </c>
      <c r="P484" s="164">
        <v>15649.71</v>
      </c>
      <c r="Q484" s="182">
        <v>12</v>
      </c>
      <c r="R484" s="118">
        <f t="shared" si="18"/>
        <v>187796.52</v>
      </c>
      <c r="S484" s="115">
        <v>202304</v>
      </c>
      <c r="T484" s="186" t="s">
        <v>847</v>
      </c>
      <c r="U484" s="186"/>
      <c r="V484" s="165"/>
      <c r="W484" s="165"/>
      <c r="X484" s="116">
        <v>43647</v>
      </c>
      <c r="Y484" s="116">
        <v>45229</v>
      </c>
    </row>
    <row r="485" s="85" customFormat="1" customHeight="1" spans="1:25">
      <c r="A485" s="98" t="s">
        <v>61</v>
      </c>
      <c r="B485" s="98" t="s">
        <v>62</v>
      </c>
      <c r="C485" s="98" t="s">
        <v>238</v>
      </c>
      <c r="D485" s="24" t="s">
        <v>64</v>
      </c>
      <c r="E485" s="161" t="s">
        <v>840</v>
      </c>
      <c r="F485" s="160" t="s">
        <v>841</v>
      </c>
      <c r="G485" s="172" t="s">
        <v>88</v>
      </c>
      <c r="H485" s="100" t="s">
        <v>842</v>
      </c>
      <c r="I485" s="46" t="e">
        <f>VLOOKUP(H485,'合同高级查询数据-4月返'!A:A,1,FALSE)</f>
        <v>#N/A</v>
      </c>
      <c r="J485" s="178" t="s">
        <v>848</v>
      </c>
      <c r="K485" s="107" t="s">
        <v>844</v>
      </c>
      <c r="L485" s="179"/>
      <c r="M485" s="49" t="s">
        <v>845</v>
      </c>
      <c r="N485" s="180">
        <v>43210</v>
      </c>
      <c r="O485" s="73" t="s">
        <v>849</v>
      </c>
      <c r="P485" s="164">
        <v>10433.14</v>
      </c>
      <c r="Q485" s="182">
        <v>4</v>
      </c>
      <c r="R485" s="118">
        <f t="shared" si="18"/>
        <v>41732.56</v>
      </c>
      <c r="S485" s="115">
        <v>202304</v>
      </c>
      <c r="T485" s="186"/>
      <c r="U485" s="186"/>
      <c r="V485" s="165"/>
      <c r="W485" s="165"/>
      <c r="X485" s="116">
        <v>43647</v>
      </c>
      <c r="Y485" s="116">
        <v>45229</v>
      </c>
    </row>
    <row r="486" s="85" customFormat="1" customHeight="1" spans="1:25">
      <c r="A486" s="98" t="s">
        <v>61</v>
      </c>
      <c r="B486" s="98" t="s">
        <v>62</v>
      </c>
      <c r="C486" s="98" t="s">
        <v>238</v>
      </c>
      <c r="D486" s="24" t="s">
        <v>64</v>
      </c>
      <c r="E486" s="161" t="s">
        <v>840</v>
      </c>
      <c r="F486" s="160" t="s">
        <v>841</v>
      </c>
      <c r="G486" s="172" t="s">
        <v>88</v>
      </c>
      <c r="H486" s="100" t="s">
        <v>842</v>
      </c>
      <c r="I486" s="46" t="e">
        <f>VLOOKUP(H486,'合同高级查询数据-4月返'!A:A,1,FALSE)</f>
        <v>#N/A</v>
      </c>
      <c r="J486" s="178" t="s">
        <v>850</v>
      </c>
      <c r="K486" s="107" t="s">
        <v>844</v>
      </c>
      <c r="L486" s="179"/>
      <c r="M486" s="49" t="s">
        <v>845</v>
      </c>
      <c r="N486" s="180">
        <v>43217</v>
      </c>
      <c r="O486" s="73" t="s">
        <v>503</v>
      </c>
      <c r="P486" s="164">
        <v>5216.57</v>
      </c>
      <c r="Q486" s="182">
        <v>1</v>
      </c>
      <c r="R486" s="118">
        <f t="shared" si="18"/>
        <v>5216.57</v>
      </c>
      <c r="S486" s="115">
        <v>202304</v>
      </c>
      <c r="T486" s="186"/>
      <c r="U486" s="186"/>
      <c r="V486" s="165"/>
      <c r="W486" s="165"/>
      <c r="X486" s="116">
        <v>43647</v>
      </c>
      <c r="Y486" s="116">
        <v>45229</v>
      </c>
    </row>
    <row r="487" s="85" customFormat="1" customHeight="1" spans="1:25">
      <c r="A487" s="98" t="s">
        <v>61</v>
      </c>
      <c r="B487" s="98" t="s">
        <v>62</v>
      </c>
      <c r="C487" s="98" t="s">
        <v>238</v>
      </c>
      <c r="D487" s="24" t="s">
        <v>64</v>
      </c>
      <c r="E487" s="161" t="s">
        <v>840</v>
      </c>
      <c r="F487" s="160" t="s">
        <v>841</v>
      </c>
      <c r="G487" s="172" t="s">
        <v>88</v>
      </c>
      <c r="H487" s="100" t="s">
        <v>842</v>
      </c>
      <c r="I487" s="46" t="e">
        <f>VLOOKUP(H487,'合同高级查询数据-4月返'!A:A,1,FALSE)</f>
        <v>#N/A</v>
      </c>
      <c r="J487" s="178" t="s">
        <v>850</v>
      </c>
      <c r="K487" s="107" t="s">
        <v>844</v>
      </c>
      <c r="L487" s="179"/>
      <c r="M487" s="49" t="s">
        <v>845</v>
      </c>
      <c r="N487" s="180">
        <v>43231</v>
      </c>
      <c r="O487" s="73" t="s">
        <v>503</v>
      </c>
      <c r="P487" s="164">
        <v>5216.57</v>
      </c>
      <c r="Q487" s="182">
        <v>12</v>
      </c>
      <c r="R487" s="118">
        <f t="shared" si="18"/>
        <v>62598.84</v>
      </c>
      <c r="S487" s="115">
        <v>202304</v>
      </c>
      <c r="T487" s="186"/>
      <c r="U487" s="186"/>
      <c r="V487" s="165"/>
      <c r="W487" s="165"/>
      <c r="X487" s="116">
        <v>43647</v>
      </c>
      <c r="Y487" s="116">
        <v>45229</v>
      </c>
    </row>
    <row r="488" s="85" customFormat="1" customHeight="1" spans="1:25">
      <c r="A488" s="98" t="s">
        <v>61</v>
      </c>
      <c r="B488" s="98" t="s">
        <v>62</v>
      </c>
      <c r="C488" s="98" t="s">
        <v>238</v>
      </c>
      <c r="D488" s="24" t="s">
        <v>64</v>
      </c>
      <c r="E488" s="161" t="s">
        <v>840</v>
      </c>
      <c r="F488" s="160" t="s">
        <v>841</v>
      </c>
      <c r="G488" s="172" t="s">
        <v>88</v>
      </c>
      <c r="H488" s="100" t="s">
        <v>842</v>
      </c>
      <c r="I488" s="46" t="e">
        <f>VLOOKUP(H488,'合同高级查询数据-4月返'!A:A,1,FALSE)</f>
        <v>#N/A</v>
      </c>
      <c r="J488" s="178" t="s">
        <v>850</v>
      </c>
      <c r="K488" s="107" t="s">
        <v>844</v>
      </c>
      <c r="L488" s="179"/>
      <c r="M488" s="49" t="s">
        <v>845</v>
      </c>
      <c r="N488" s="180">
        <v>43234</v>
      </c>
      <c r="O488" s="73" t="s">
        <v>503</v>
      </c>
      <c r="P488" s="164">
        <v>5216.57</v>
      </c>
      <c r="Q488" s="182">
        <v>17</v>
      </c>
      <c r="R488" s="118">
        <f t="shared" si="18"/>
        <v>88681.69</v>
      </c>
      <c r="S488" s="115">
        <v>202304</v>
      </c>
      <c r="T488" s="186"/>
      <c r="U488" s="186"/>
      <c r="V488" s="165"/>
      <c r="W488" s="165"/>
      <c r="X488" s="116">
        <v>43647</v>
      </c>
      <c r="Y488" s="116">
        <v>45229</v>
      </c>
    </row>
    <row r="489" s="85" customFormat="1" customHeight="1" spans="1:25">
      <c r="A489" s="98" t="s">
        <v>61</v>
      </c>
      <c r="B489" s="98" t="s">
        <v>62</v>
      </c>
      <c r="C489" s="98" t="s">
        <v>238</v>
      </c>
      <c r="D489" s="24" t="s">
        <v>64</v>
      </c>
      <c r="E489" s="161" t="s">
        <v>840</v>
      </c>
      <c r="F489" s="160" t="s">
        <v>841</v>
      </c>
      <c r="G489" s="172" t="s">
        <v>88</v>
      </c>
      <c r="H489" s="100" t="s">
        <v>842</v>
      </c>
      <c r="I489" s="46" t="e">
        <f>VLOOKUP(H489,'合同高级查询数据-4月返'!A:A,1,FALSE)</f>
        <v>#N/A</v>
      </c>
      <c r="J489" s="178" t="s">
        <v>850</v>
      </c>
      <c r="K489" s="107" t="s">
        <v>844</v>
      </c>
      <c r="L489" s="179"/>
      <c r="M489" s="49" t="s">
        <v>845</v>
      </c>
      <c r="N489" s="180">
        <v>43235</v>
      </c>
      <c r="O489" s="73" t="s">
        <v>503</v>
      </c>
      <c r="P489" s="164">
        <v>5216.57</v>
      </c>
      <c r="Q489" s="182">
        <v>1</v>
      </c>
      <c r="R489" s="118">
        <f t="shared" si="18"/>
        <v>5216.57</v>
      </c>
      <c r="S489" s="115">
        <v>202304</v>
      </c>
      <c r="T489" s="186"/>
      <c r="U489" s="186"/>
      <c r="V489" s="165"/>
      <c r="W489" s="165"/>
      <c r="X489" s="116">
        <v>43647</v>
      </c>
      <c r="Y489" s="116">
        <v>45229</v>
      </c>
    </row>
    <row r="490" s="85" customFormat="1" customHeight="1" spans="1:25">
      <c r="A490" s="98" t="s">
        <v>61</v>
      </c>
      <c r="B490" s="98" t="s">
        <v>62</v>
      </c>
      <c r="C490" s="98" t="s">
        <v>238</v>
      </c>
      <c r="D490" s="24" t="s">
        <v>64</v>
      </c>
      <c r="E490" s="161" t="s">
        <v>840</v>
      </c>
      <c r="F490" s="160" t="s">
        <v>841</v>
      </c>
      <c r="G490" s="172" t="s">
        <v>88</v>
      </c>
      <c r="H490" s="100" t="s">
        <v>842</v>
      </c>
      <c r="I490" s="46" t="e">
        <f>VLOOKUP(H490,'合同高级查询数据-4月返'!A:A,1,FALSE)</f>
        <v>#N/A</v>
      </c>
      <c r="J490" s="178" t="s">
        <v>850</v>
      </c>
      <c r="K490" s="107" t="s">
        <v>844</v>
      </c>
      <c r="L490" s="179"/>
      <c r="M490" s="49" t="s">
        <v>845</v>
      </c>
      <c r="N490" s="180">
        <v>43238</v>
      </c>
      <c r="O490" s="73" t="s">
        <v>503</v>
      </c>
      <c r="P490" s="164">
        <v>5216.57</v>
      </c>
      <c r="Q490" s="182">
        <v>27</v>
      </c>
      <c r="R490" s="118">
        <f t="shared" si="18"/>
        <v>140847.39</v>
      </c>
      <c r="S490" s="115">
        <v>202304</v>
      </c>
      <c r="T490" s="186"/>
      <c r="U490" s="186"/>
      <c r="V490" s="165"/>
      <c r="W490" s="165"/>
      <c r="X490" s="116">
        <v>43647</v>
      </c>
      <c r="Y490" s="116">
        <v>45229</v>
      </c>
    </row>
    <row r="491" s="85" customFormat="1" customHeight="1" spans="1:25">
      <c r="A491" s="98" t="s">
        <v>61</v>
      </c>
      <c r="B491" s="98" t="s">
        <v>62</v>
      </c>
      <c r="C491" s="98" t="s">
        <v>238</v>
      </c>
      <c r="D491" s="24" t="s">
        <v>64</v>
      </c>
      <c r="E491" s="161" t="s">
        <v>840</v>
      </c>
      <c r="F491" s="160" t="s">
        <v>841</v>
      </c>
      <c r="G491" s="172" t="s">
        <v>88</v>
      </c>
      <c r="H491" s="100" t="s">
        <v>842</v>
      </c>
      <c r="I491" s="46" t="e">
        <f>VLOOKUP(H491,'合同高级查询数据-4月返'!A:A,1,FALSE)</f>
        <v>#N/A</v>
      </c>
      <c r="J491" s="178" t="s">
        <v>850</v>
      </c>
      <c r="K491" s="107" t="s">
        <v>844</v>
      </c>
      <c r="L491" s="179"/>
      <c r="M491" s="49" t="s">
        <v>845</v>
      </c>
      <c r="N491" s="180">
        <v>43241</v>
      </c>
      <c r="O491" s="73" t="s">
        <v>503</v>
      </c>
      <c r="P491" s="164">
        <v>5216.57</v>
      </c>
      <c r="Q491" s="182">
        <v>2</v>
      </c>
      <c r="R491" s="118">
        <f t="shared" si="18"/>
        <v>10433.14</v>
      </c>
      <c r="S491" s="115">
        <v>202304</v>
      </c>
      <c r="T491" s="186"/>
      <c r="U491" s="186"/>
      <c r="V491" s="165"/>
      <c r="W491" s="165"/>
      <c r="X491" s="116">
        <v>43647</v>
      </c>
      <c r="Y491" s="116">
        <v>45229</v>
      </c>
    </row>
    <row r="492" s="85" customFormat="1" customHeight="1" spans="1:25">
      <c r="A492" s="98" t="s">
        <v>61</v>
      </c>
      <c r="B492" s="98" t="s">
        <v>62</v>
      </c>
      <c r="C492" s="98" t="s">
        <v>238</v>
      </c>
      <c r="D492" s="24" t="s">
        <v>64</v>
      </c>
      <c r="E492" s="161" t="s">
        <v>840</v>
      </c>
      <c r="F492" s="160" t="s">
        <v>841</v>
      </c>
      <c r="G492" s="172" t="s">
        <v>88</v>
      </c>
      <c r="H492" s="100" t="s">
        <v>842</v>
      </c>
      <c r="I492" s="46" t="e">
        <f>VLOOKUP(H492,'合同高级查询数据-4月返'!A:A,1,FALSE)</f>
        <v>#N/A</v>
      </c>
      <c r="J492" s="178" t="s">
        <v>850</v>
      </c>
      <c r="K492" s="107" t="s">
        <v>844</v>
      </c>
      <c r="L492" s="179"/>
      <c r="M492" s="49" t="s">
        <v>845</v>
      </c>
      <c r="N492" s="180">
        <v>43242</v>
      </c>
      <c r="O492" s="73" t="s">
        <v>503</v>
      </c>
      <c r="P492" s="164">
        <v>5216.57</v>
      </c>
      <c r="Q492" s="182">
        <v>2</v>
      </c>
      <c r="R492" s="118">
        <f t="shared" si="18"/>
        <v>10433.14</v>
      </c>
      <c r="S492" s="115">
        <v>202304</v>
      </c>
      <c r="T492" s="186"/>
      <c r="U492" s="186"/>
      <c r="V492" s="165"/>
      <c r="W492" s="165"/>
      <c r="X492" s="116">
        <v>43647</v>
      </c>
      <c r="Y492" s="116">
        <v>45229</v>
      </c>
    </row>
    <row r="493" s="85" customFormat="1" customHeight="1" spans="1:25">
      <c r="A493" s="98" t="s">
        <v>61</v>
      </c>
      <c r="B493" s="98" t="s">
        <v>62</v>
      </c>
      <c r="C493" s="98" t="s">
        <v>238</v>
      </c>
      <c r="D493" s="24" t="s">
        <v>64</v>
      </c>
      <c r="E493" s="161" t="s">
        <v>840</v>
      </c>
      <c r="F493" s="160" t="s">
        <v>841</v>
      </c>
      <c r="G493" s="172" t="s">
        <v>88</v>
      </c>
      <c r="H493" s="100" t="s">
        <v>842</v>
      </c>
      <c r="I493" s="46" t="e">
        <f>VLOOKUP(H493,'合同高级查询数据-4月返'!A:A,1,FALSE)</f>
        <v>#N/A</v>
      </c>
      <c r="J493" s="178" t="s">
        <v>850</v>
      </c>
      <c r="K493" s="107" t="s">
        <v>844</v>
      </c>
      <c r="L493" s="179"/>
      <c r="M493" s="49" t="s">
        <v>845</v>
      </c>
      <c r="N493" s="180">
        <v>43244</v>
      </c>
      <c r="O493" s="73" t="s">
        <v>503</v>
      </c>
      <c r="P493" s="164">
        <v>5216.57</v>
      </c>
      <c r="Q493" s="182">
        <v>7</v>
      </c>
      <c r="R493" s="118">
        <f t="shared" si="18"/>
        <v>36515.99</v>
      </c>
      <c r="S493" s="115">
        <v>202304</v>
      </c>
      <c r="T493" s="186"/>
      <c r="U493" s="186"/>
      <c r="V493" s="165"/>
      <c r="W493" s="165"/>
      <c r="X493" s="116">
        <v>43647</v>
      </c>
      <c r="Y493" s="116">
        <v>45229</v>
      </c>
    </row>
    <row r="494" s="85" customFormat="1" customHeight="1" spans="1:25">
      <c r="A494" s="98" t="s">
        <v>61</v>
      </c>
      <c r="B494" s="98" t="s">
        <v>62</v>
      </c>
      <c r="C494" s="98" t="s">
        <v>238</v>
      </c>
      <c r="D494" s="24" t="s">
        <v>64</v>
      </c>
      <c r="E494" s="161" t="s">
        <v>840</v>
      </c>
      <c r="F494" s="160" t="s">
        <v>841</v>
      </c>
      <c r="G494" s="172" t="s">
        <v>88</v>
      </c>
      <c r="H494" s="100" t="s">
        <v>842</v>
      </c>
      <c r="I494" s="46" t="e">
        <f>VLOOKUP(H494,'合同高级查询数据-4月返'!A:A,1,FALSE)</f>
        <v>#N/A</v>
      </c>
      <c r="J494" s="178" t="s">
        <v>850</v>
      </c>
      <c r="K494" s="107" t="s">
        <v>844</v>
      </c>
      <c r="L494" s="179"/>
      <c r="M494" s="49" t="s">
        <v>845</v>
      </c>
      <c r="N494" s="180">
        <v>43252</v>
      </c>
      <c r="O494" s="73" t="s">
        <v>503</v>
      </c>
      <c r="P494" s="164">
        <v>5216.57</v>
      </c>
      <c r="Q494" s="182">
        <v>4</v>
      </c>
      <c r="R494" s="118">
        <f t="shared" si="18"/>
        <v>20866.28</v>
      </c>
      <c r="S494" s="115">
        <v>202304</v>
      </c>
      <c r="T494" s="186"/>
      <c r="U494" s="186"/>
      <c r="V494" s="165"/>
      <c r="W494" s="165"/>
      <c r="X494" s="116">
        <v>43647</v>
      </c>
      <c r="Y494" s="116">
        <v>45229</v>
      </c>
    </row>
    <row r="495" s="85" customFormat="1" customHeight="1" spans="1:25">
      <c r="A495" s="98" t="s">
        <v>61</v>
      </c>
      <c r="B495" s="98" t="s">
        <v>62</v>
      </c>
      <c r="C495" s="98" t="s">
        <v>238</v>
      </c>
      <c r="D495" s="24" t="s">
        <v>64</v>
      </c>
      <c r="E495" s="161" t="s">
        <v>840</v>
      </c>
      <c r="F495" s="160" t="s">
        <v>841</v>
      </c>
      <c r="G495" s="172" t="s">
        <v>88</v>
      </c>
      <c r="H495" s="100" t="s">
        <v>842</v>
      </c>
      <c r="I495" s="46" t="e">
        <f>VLOOKUP(H495,'合同高级查询数据-4月返'!A:A,1,FALSE)</f>
        <v>#N/A</v>
      </c>
      <c r="J495" s="178" t="s">
        <v>850</v>
      </c>
      <c r="K495" s="107" t="s">
        <v>844</v>
      </c>
      <c r="L495" s="179"/>
      <c r="M495" s="49" t="s">
        <v>845</v>
      </c>
      <c r="N495" s="180">
        <v>43256</v>
      </c>
      <c r="O495" s="73" t="s">
        <v>503</v>
      </c>
      <c r="P495" s="164">
        <v>5216.57</v>
      </c>
      <c r="Q495" s="182">
        <v>11</v>
      </c>
      <c r="R495" s="118">
        <f t="shared" si="18"/>
        <v>57382.27</v>
      </c>
      <c r="S495" s="115">
        <v>202304</v>
      </c>
      <c r="T495" s="186"/>
      <c r="U495" s="186"/>
      <c r="V495" s="165"/>
      <c r="W495" s="165"/>
      <c r="X495" s="116">
        <v>43647</v>
      </c>
      <c r="Y495" s="116">
        <v>45229</v>
      </c>
    </row>
    <row r="496" s="85" customFormat="1" customHeight="1" spans="1:25">
      <c r="A496" s="98" t="s">
        <v>61</v>
      </c>
      <c r="B496" s="98" t="s">
        <v>62</v>
      </c>
      <c r="C496" s="98" t="s">
        <v>238</v>
      </c>
      <c r="D496" s="24" t="s">
        <v>64</v>
      </c>
      <c r="E496" s="161" t="s">
        <v>840</v>
      </c>
      <c r="F496" s="160" t="s">
        <v>841</v>
      </c>
      <c r="G496" s="172" t="s">
        <v>88</v>
      </c>
      <c r="H496" s="100" t="s">
        <v>842</v>
      </c>
      <c r="I496" s="46" t="e">
        <f>VLOOKUP(H496,'合同高级查询数据-4月返'!A:A,1,FALSE)</f>
        <v>#N/A</v>
      </c>
      <c r="J496" s="178" t="s">
        <v>850</v>
      </c>
      <c r="K496" s="107" t="s">
        <v>844</v>
      </c>
      <c r="L496" s="179"/>
      <c r="M496" s="49" t="s">
        <v>845</v>
      </c>
      <c r="N496" s="180">
        <v>43272</v>
      </c>
      <c r="O496" s="73" t="s">
        <v>503</v>
      </c>
      <c r="P496" s="164">
        <v>5216.57</v>
      </c>
      <c r="Q496" s="182">
        <v>5</v>
      </c>
      <c r="R496" s="118">
        <f t="shared" si="18"/>
        <v>26082.85</v>
      </c>
      <c r="S496" s="115">
        <v>202304</v>
      </c>
      <c r="T496" s="186"/>
      <c r="U496" s="186"/>
      <c r="V496" s="165"/>
      <c r="W496" s="165"/>
      <c r="X496" s="116">
        <v>43647</v>
      </c>
      <c r="Y496" s="116">
        <v>45229</v>
      </c>
    </row>
    <row r="497" s="85" customFormat="1" customHeight="1" spans="1:25">
      <c r="A497" s="98" t="s">
        <v>61</v>
      </c>
      <c r="B497" s="98" t="s">
        <v>62</v>
      </c>
      <c r="C497" s="98" t="s">
        <v>238</v>
      </c>
      <c r="D497" s="24" t="s">
        <v>64</v>
      </c>
      <c r="E497" s="161" t="s">
        <v>840</v>
      </c>
      <c r="F497" s="160" t="s">
        <v>841</v>
      </c>
      <c r="G497" s="172" t="s">
        <v>88</v>
      </c>
      <c r="H497" s="100" t="s">
        <v>842</v>
      </c>
      <c r="I497" s="46" t="e">
        <f>VLOOKUP(H497,'合同高级查询数据-4月返'!A:A,1,FALSE)</f>
        <v>#N/A</v>
      </c>
      <c r="J497" s="178" t="s">
        <v>850</v>
      </c>
      <c r="K497" s="107" t="s">
        <v>844</v>
      </c>
      <c r="L497" s="179"/>
      <c r="M497" s="49" t="s">
        <v>845</v>
      </c>
      <c r="N497" s="180">
        <v>43284</v>
      </c>
      <c r="O497" s="73" t="s">
        <v>503</v>
      </c>
      <c r="P497" s="164">
        <v>5216.57</v>
      </c>
      <c r="Q497" s="182">
        <v>2</v>
      </c>
      <c r="R497" s="118">
        <f t="shared" si="18"/>
        <v>10433.14</v>
      </c>
      <c r="S497" s="115">
        <v>202304</v>
      </c>
      <c r="T497" s="186"/>
      <c r="U497" s="186"/>
      <c r="V497" s="165"/>
      <c r="W497" s="165"/>
      <c r="X497" s="116">
        <v>43647</v>
      </c>
      <c r="Y497" s="116">
        <v>45229</v>
      </c>
    </row>
    <row r="498" s="85" customFormat="1" customHeight="1" spans="1:25">
      <c r="A498" s="98" t="s">
        <v>61</v>
      </c>
      <c r="B498" s="98" t="s">
        <v>62</v>
      </c>
      <c r="C498" s="98" t="s">
        <v>238</v>
      </c>
      <c r="D498" s="24" t="s">
        <v>64</v>
      </c>
      <c r="E498" s="161" t="s">
        <v>840</v>
      </c>
      <c r="F498" s="160" t="s">
        <v>841</v>
      </c>
      <c r="G498" s="172" t="s">
        <v>88</v>
      </c>
      <c r="H498" s="100" t="s">
        <v>842</v>
      </c>
      <c r="I498" s="46" t="e">
        <f>VLOOKUP(H498,'合同高级查询数据-4月返'!A:A,1,FALSE)</f>
        <v>#N/A</v>
      </c>
      <c r="J498" s="178" t="s">
        <v>850</v>
      </c>
      <c r="K498" s="107" t="s">
        <v>844</v>
      </c>
      <c r="L498" s="179"/>
      <c r="M498" s="49" t="s">
        <v>845</v>
      </c>
      <c r="N498" s="180">
        <v>43292</v>
      </c>
      <c r="O498" s="73" t="s">
        <v>503</v>
      </c>
      <c r="P498" s="164">
        <v>5216.57</v>
      </c>
      <c r="Q498" s="182">
        <v>1</v>
      </c>
      <c r="R498" s="118">
        <f t="shared" si="18"/>
        <v>5216.57</v>
      </c>
      <c r="S498" s="115">
        <v>202304</v>
      </c>
      <c r="T498" s="186"/>
      <c r="U498" s="186"/>
      <c r="V498" s="165"/>
      <c r="W498" s="165"/>
      <c r="X498" s="116">
        <v>43647</v>
      </c>
      <c r="Y498" s="116">
        <v>45229</v>
      </c>
    </row>
    <row r="499" s="85" customFormat="1" customHeight="1" spans="1:25">
      <c r="A499" s="98" t="s">
        <v>61</v>
      </c>
      <c r="B499" s="98" t="s">
        <v>62</v>
      </c>
      <c r="C499" s="98" t="s">
        <v>238</v>
      </c>
      <c r="D499" s="24" t="s">
        <v>64</v>
      </c>
      <c r="E499" s="161" t="s">
        <v>840</v>
      </c>
      <c r="F499" s="160" t="s">
        <v>841</v>
      </c>
      <c r="G499" s="172" t="s">
        <v>88</v>
      </c>
      <c r="H499" s="100" t="s">
        <v>842</v>
      </c>
      <c r="I499" s="46" t="e">
        <f>VLOOKUP(H499,'合同高级查询数据-4月返'!A:A,1,FALSE)</f>
        <v>#N/A</v>
      </c>
      <c r="J499" s="178" t="s">
        <v>850</v>
      </c>
      <c r="K499" s="107" t="s">
        <v>844</v>
      </c>
      <c r="L499" s="179"/>
      <c r="M499" s="49" t="s">
        <v>845</v>
      </c>
      <c r="N499" s="180">
        <v>43293</v>
      </c>
      <c r="O499" s="73" t="s">
        <v>503</v>
      </c>
      <c r="P499" s="164">
        <v>5216.57</v>
      </c>
      <c r="Q499" s="182">
        <v>8</v>
      </c>
      <c r="R499" s="118">
        <f t="shared" si="18"/>
        <v>41732.56</v>
      </c>
      <c r="S499" s="115">
        <v>202304</v>
      </c>
      <c r="T499" s="186"/>
      <c r="U499" s="186"/>
      <c r="V499" s="165"/>
      <c r="W499" s="165"/>
      <c r="X499" s="116">
        <v>43647</v>
      </c>
      <c r="Y499" s="116">
        <v>45229</v>
      </c>
    </row>
    <row r="500" s="85" customFormat="1" customHeight="1" spans="1:25">
      <c r="A500" s="98" t="s">
        <v>61</v>
      </c>
      <c r="B500" s="98" t="s">
        <v>62</v>
      </c>
      <c r="C500" s="98" t="s">
        <v>238</v>
      </c>
      <c r="D500" s="24" t="s">
        <v>64</v>
      </c>
      <c r="E500" s="161" t="s">
        <v>840</v>
      </c>
      <c r="F500" s="160" t="s">
        <v>841</v>
      </c>
      <c r="G500" s="172" t="s">
        <v>88</v>
      </c>
      <c r="H500" s="100" t="s">
        <v>842</v>
      </c>
      <c r="I500" s="46" t="e">
        <f>VLOOKUP(H500,'合同高级查询数据-4月返'!A:A,1,FALSE)</f>
        <v>#N/A</v>
      </c>
      <c r="J500" s="178" t="s">
        <v>850</v>
      </c>
      <c r="K500" s="107" t="s">
        <v>844</v>
      </c>
      <c r="L500" s="179"/>
      <c r="M500" s="49" t="s">
        <v>845</v>
      </c>
      <c r="N500" s="180">
        <v>43299</v>
      </c>
      <c r="O500" s="73" t="s">
        <v>503</v>
      </c>
      <c r="P500" s="164">
        <v>5216.57</v>
      </c>
      <c r="Q500" s="182">
        <v>31</v>
      </c>
      <c r="R500" s="118">
        <f t="shared" si="18"/>
        <v>161713.67</v>
      </c>
      <c r="S500" s="115">
        <v>202304</v>
      </c>
      <c r="T500" s="186"/>
      <c r="U500" s="186"/>
      <c r="V500" s="165"/>
      <c r="W500" s="165"/>
      <c r="X500" s="116">
        <v>43647</v>
      </c>
      <c r="Y500" s="116">
        <v>45229</v>
      </c>
    </row>
    <row r="501" s="85" customFormat="1" customHeight="1" spans="1:25">
      <c r="A501" s="98" t="s">
        <v>61</v>
      </c>
      <c r="B501" s="98" t="s">
        <v>62</v>
      </c>
      <c r="C501" s="98" t="s">
        <v>238</v>
      </c>
      <c r="D501" s="24" t="s">
        <v>64</v>
      </c>
      <c r="E501" s="161" t="s">
        <v>840</v>
      </c>
      <c r="F501" s="160" t="s">
        <v>841</v>
      </c>
      <c r="G501" s="172" t="s">
        <v>88</v>
      </c>
      <c r="H501" s="100" t="s">
        <v>842</v>
      </c>
      <c r="I501" s="46" t="e">
        <f>VLOOKUP(H501,'合同高级查询数据-4月返'!A:A,1,FALSE)</f>
        <v>#N/A</v>
      </c>
      <c r="J501" s="178" t="s">
        <v>850</v>
      </c>
      <c r="K501" s="107" t="s">
        <v>844</v>
      </c>
      <c r="L501" s="179"/>
      <c r="M501" s="49" t="s">
        <v>845</v>
      </c>
      <c r="N501" s="180">
        <v>43298</v>
      </c>
      <c r="O501" s="73" t="s">
        <v>503</v>
      </c>
      <c r="P501" s="164">
        <v>5216.57</v>
      </c>
      <c r="Q501" s="182">
        <v>25</v>
      </c>
      <c r="R501" s="118">
        <f t="shared" si="18"/>
        <v>130414.25</v>
      </c>
      <c r="S501" s="115">
        <v>202304</v>
      </c>
      <c r="T501" s="186"/>
      <c r="U501" s="186"/>
      <c r="V501" s="165"/>
      <c r="W501" s="165"/>
      <c r="X501" s="116">
        <v>43647</v>
      </c>
      <c r="Y501" s="116">
        <v>45229</v>
      </c>
    </row>
    <row r="502" s="85" customFormat="1" customHeight="1" spans="1:25">
      <c r="A502" s="98" t="s">
        <v>61</v>
      </c>
      <c r="B502" s="98" t="s">
        <v>62</v>
      </c>
      <c r="C502" s="98" t="s">
        <v>238</v>
      </c>
      <c r="D502" s="24" t="s">
        <v>64</v>
      </c>
      <c r="E502" s="161" t="s">
        <v>840</v>
      </c>
      <c r="F502" s="160" t="s">
        <v>841</v>
      </c>
      <c r="G502" s="172" t="s">
        <v>88</v>
      </c>
      <c r="H502" s="100" t="s">
        <v>842</v>
      </c>
      <c r="I502" s="46" t="e">
        <f>VLOOKUP(H502,'合同高级查询数据-4月返'!A:A,1,FALSE)</f>
        <v>#N/A</v>
      </c>
      <c r="J502" s="178" t="s">
        <v>850</v>
      </c>
      <c r="K502" s="107" t="s">
        <v>844</v>
      </c>
      <c r="L502" s="179"/>
      <c r="M502" s="49" t="s">
        <v>845</v>
      </c>
      <c r="N502" s="180">
        <v>43300</v>
      </c>
      <c r="O502" s="73" t="s">
        <v>503</v>
      </c>
      <c r="P502" s="164">
        <v>5216.57</v>
      </c>
      <c r="Q502" s="182">
        <v>2</v>
      </c>
      <c r="R502" s="118">
        <f t="shared" si="18"/>
        <v>10433.14</v>
      </c>
      <c r="S502" s="115">
        <v>202304</v>
      </c>
      <c r="T502" s="186"/>
      <c r="U502" s="186"/>
      <c r="V502" s="165"/>
      <c r="W502" s="165"/>
      <c r="X502" s="116">
        <v>43647</v>
      </c>
      <c r="Y502" s="116">
        <v>45229</v>
      </c>
    </row>
    <row r="503" s="85" customFormat="1" customHeight="1" spans="1:25">
      <c r="A503" s="98" t="s">
        <v>61</v>
      </c>
      <c r="B503" s="98" t="s">
        <v>62</v>
      </c>
      <c r="C503" s="98" t="s">
        <v>238</v>
      </c>
      <c r="D503" s="24" t="s">
        <v>64</v>
      </c>
      <c r="E503" s="161" t="s">
        <v>840</v>
      </c>
      <c r="F503" s="160" t="s">
        <v>841</v>
      </c>
      <c r="G503" s="172" t="s">
        <v>88</v>
      </c>
      <c r="H503" s="100" t="s">
        <v>842</v>
      </c>
      <c r="I503" s="46" t="e">
        <f>VLOOKUP(H503,'合同高级查询数据-4月返'!A:A,1,FALSE)</f>
        <v>#N/A</v>
      </c>
      <c r="J503" s="178" t="s">
        <v>850</v>
      </c>
      <c r="K503" s="107" t="s">
        <v>844</v>
      </c>
      <c r="L503" s="179"/>
      <c r="M503" s="49" t="s">
        <v>845</v>
      </c>
      <c r="N503" s="180">
        <v>43304</v>
      </c>
      <c r="O503" s="73" t="s">
        <v>503</v>
      </c>
      <c r="P503" s="164">
        <v>5216.57</v>
      </c>
      <c r="Q503" s="182">
        <v>2</v>
      </c>
      <c r="R503" s="118">
        <f t="shared" si="18"/>
        <v>10433.14</v>
      </c>
      <c r="S503" s="115">
        <v>202304</v>
      </c>
      <c r="T503" s="186"/>
      <c r="U503" s="186"/>
      <c r="V503" s="165"/>
      <c r="W503" s="165"/>
      <c r="X503" s="116">
        <v>43647</v>
      </c>
      <c r="Y503" s="116">
        <v>45229</v>
      </c>
    </row>
    <row r="504" s="85" customFormat="1" customHeight="1" spans="1:25">
      <c r="A504" s="98" t="s">
        <v>61</v>
      </c>
      <c r="B504" s="98" t="s">
        <v>62</v>
      </c>
      <c r="C504" s="98" t="s">
        <v>238</v>
      </c>
      <c r="D504" s="24" t="s">
        <v>64</v>
      </c>
      <c r="E504" s="161" t="s">
        <v>840</v>
      </c>
      <c r="F504" s="160" t="s">
        <v>841</v>
      </c>
      <c r="G504" s="172" t="s">
        <v>88</v>
      </c>
      <c r="H504" s="100" t="s">
        <v>842</v>
      </c>
      <c r="I504" s="46" t="e">
        <f>VLOOKUP(H504,'合同高级查询数据-4月返'!A:A,1,FALSE)</f>
        <v>#N/A</v>
      </c>
      <c r="J504" s="178" t="s">
        <v>850</v>
      </c>
      <c r="K504" s="107" t="s">
        <v>844</v>
      </c>
      <c r="L504" s="179"/>
      <c r="M504" s="49" t="s">
        <v>845</v>
      </c>
      <c r="N504" s="180">
        <v>43304</v>
      </c>
      <c r="O504" s="73" t="s">
        <v>503</v>
      </c>
      <c r="P504" s="164">
        <v>5216.57</v>
      </c>
      <c r="Q504" s="182">
        <v>17</v>
      </c>
      <c r="R504" s="118">
        <f t="shared" si="18"/>
        <v>88681.69</v>
      </c>
      <c r="S504" s="115">
        <v>202304</v>
      </c>
      <c r="T504" s="186"/>
      <c r="U504" s="186"/>
      <c r="V504" s="165"/>
      <c r="W504" s="165"/>
      <c r="X504" s="116">
        <v>43647</v>
      </c>
      <c r="Y504" s="116">
        <v>45229</v>
      </c>
    </row>
    <row r="505" s="85" customFormat="1" customHeight="1" spans="1:25">
      <c r="A505" s="98" t="s">
        <v>61</v>
      </c>
      <c r="B505" s="98" t="s">
        <v>62</v>
      </c>
      <c r="C505" s="98" t="s">
        <v>238</v>
      </c>
      <c r="D505" s="24" t="s">
        <v>64</v>
      </c>
      <c r="E505" s="161" t="s">
        <v>840</v>
      </c>
      <c r="F505" s="160" t="s">
        <v>841</v>
      </c>
      <c r="G505" s="172" t="s">
        <v>88</v>
      </c>
      <c r="H505" s="100" t="s">
        <v>842</v>
      </c>
      <c r="I505" s="46" t="e">
        <f>VLOOKUP(H505,'合同高级查询数据-4月返'!A:A,1,FALSE)</f>
        <v>#N/A</v>
      </c>
      <c r="J505" s="178" t="s">
        <v>850</v>
      </c>
      <c r="K505" s="107" t="s">
        <v>844</v>
      </c>
      <c r="L505" s="179"/>
      <c r="M505" s="49" t="s">
        <v>845</v>
      </c>
      <c r="N505" s="180">
        <v>43307</v>
      </c>
      <c r="O505" s="73" t="s">
        <v>503</v>
      </c>
      <c r="P505" s="164">
        <v>5216.57</v>
      </c>
      <c r="Q505" s="182">
        <v>14</v>
      </c>
      <c r="R505" s="118">
        <f t="shared" si="18"/>
        <v>73031.98</v>
      </c>
      <c r="S505" s="115">
        <v>202304</v>
      </c>
      <c r="T505" s="186"/>
      <c r="U505" s="186"/>
      <c r="V505" s="165"/>
      <c r="W505" s="165"/>
      <c r="X505" s="116">
        <v>43647</v>
      </c>
      <c r="Y505" s="116">
        <v>45229</v>
      </c>
    </row>
    <row r="506" s="85" customFormat="1" customHeight="1" spans="1:25">
      <c r="A506" s="98" t="s">
        <v>61</v>
      </c>
      <c r="B506" s="98" t="s">
        <v>62</v>
      </c>
      <c r="C506" s="98" t="s">
        <v>238</v>
      </c>
      <c r="D506" s="24" t="s">
        <v>64</v>
      </c>
      <c r="E506" s="161" t="s">
        <v>840</v>
      </c>
      <c r="F506" s="160" t="s">
        <v>841</v>
      </c>
      <c r="G506" s="172" t="s">
        <v>88</v>
      </c>
      <c r="H506" s="100" t="s">
        <v>842</v>
      </c>
      <c r="I506" s="46" t="e">
        <f>VLOOKUP(H506,'合同高级查询数据-4月返'!A:A,1,FALSE)</f>
        <v>#N/A</v>
      </c>
      <c r="J506" s="178" t="s">
        <v>850</v>
      </c>
      <c r="K506" s="107" t="s">
        <v>844</v>
      </c>
      <c r="L506" s="179"/>
      <c r="M506" s="49" t="s">
        <v>845</v>
      </c>
      <c r="N506" s="180">
        <v>43311</v>
      </c>
      <c r="O506" s="73" t="s">
        <v>503</v>
      </c>
      <c r="P506" s="164">
        <v>5216.57</v>
      </c>
      <c r="Q506" s="182">
        <v>8</v>
      </c>
      <c r="R506" s="118">
        <f t="shared" si="18"/>
        <v>41732.56</v>
      </c>
      <c r="S506" s="115">
        <v>202304</v>
      </c>
      <c r="T506" s="186"/>
      <c r="U506" s="186"/>
      <c r="V506" s="165"/>
      <c r="W506" s="165"/>
      <c r="X506" s="116">
        <v>43647</v>
      </c>
      <c r="Y506" s="116">
        <v>45229</v>
      </c>
    </row>
    <row r="507" s="85" customFormat="1" customHeight="1" spans="1:25">
      <c r="A507" s="98" t="s">
        <v>61</v>
      </c>
      <c r="B507" s="98" t="s">
        <v>62</v>
      </c>
      <c r="C507" s="98" t="s">
        <v>238</v>
      </c>
      <c r="D507" s="24" t="s">
        <v>64</v>
      </c>
      <c r="E507" s="161" t="s">
        <v>840</v>
      </c>
      <c r="F507" s="160" t="s">
        <v>841</v>
      </c>
      <c r="G507" s="172" t="s">
        <v>88</v>
      </c>
      <c r="H507" s="100" t="s">
        <v>842</v>
      </c>
      <c r="I507" s="46" t="e">
        <f>VLOOKUP(H507,'合同高级查询数据-4月返'!A:A,1,FALSE)</f>
        <v>#N/A</v>
      </c>
      <c r="J507" s="178" t="s">
        <v>850</v>
      </c>
      <c r="K507" s="107" t="s">
        <v>844</v>
      </c>
      <c r="L507" s="179"/>
      <c r="M507" s="49" t="s">
        <v>845</v>
      </c>
      <c r="N507" s="180">
        <v>43313</v>
      </c>
      <c r="O507" s="73" t="s">
        <v>503</v>
      </c>
      <c r="P507" s="164">
        <v>5216.57</v>
      </c>
      <c r="Q507" s="182">
        <v>13</v>
      </c>
      <c r="R507" s="118">
        <f t="shared" si="18"/>
        <v>67815.41</v>
      </c>
      <c r="S507" s="115">
        <v>202304</v>
      </c>
      <c r="T507" s="186"/>
      <c r="U507" s="186"/>
      <c r="V507" s="165"/>
      <c r="W507" s="165"/>
      <c r="X507" s="116">
        <v>43647</v>
      </c>
      <c r="Y507" s="116">
        <v>45229</v>
      </c>
    </row>
    <row r="508" s="85" customFormat="1" customHeight="1" spans="1:25">
      <c r="A508" s="98" t="s">
        <v>61</v>
      </c>
      <c r="B508" s="98" t="s">
        <v>62</v>
      </c>
      <c r="C508" s="98" t="s">
        <v>238</v>
      </c>
      <c r="D508" s="24" t="s">
        <v>64</v>
      </c>
      <c r="E508" s="161" t="s">
        <v>840</v>
      </c>
      <c r="F508" s="160" t="s">
        <v>841</v>
      </c>
      <c r="G508" s="172" t="s">
        <v>88</v>
      </c>
      <c r="H508" s="100" t="s">
        <v>842</v>
      </c>
      <c r="I508" s="46" t="e">
        <f>VLOOKUP(H508,'合同高级查询数据-4月返'!A:A,1,FALSE)</f>
        <v>#N/A</v>
      </c>
      <c r="J508" s="178" t="s">
        <v>850</v>
      </c>
      <c r="K508" s="107" t="s">
        <v>844</v>
      </c>
      <c r="L508" s="179"/>
      <c r="M508" s="49" t="s">
        <v>845</v>
      </c>
      <c r="N508" s="180">
        <v>43322</v>
      </c>
      <c r="O508" s="73" t="s">
        <v>503</v>
      </c>
      <c r="P508" s="164">
        <v>5216.57</v>
      </c>
      <c r="Q508" s="182">
        <v>5</v>
      </c>
      <c r="R508" s="118">
        <f t="shared" si="18"/>
        <v>26082.85</v>
      </c>
      <c r="S508" s="115">
        <v>202304</v>
      </c>
      <c r="T508" s="186"/>
      <c r="U508" s="186"/>
      <c r="V508" s="165"/>
      <c r="W508" s="165"/>
      <c r="X508" s="116">
        <v>43647</v>
      </c>
      <c r="Y508" s="116">
        <v>45229</v>
      </c>
    </row>
    <row r="509" s="85" customFormat="1" customHeight="1" spans="1:25">
      <c r="A509" s="98" t="s">
        <v>61</v>
      </c>
      <c r="B509" s="98" t="s">
        <v>62</v>
      </c>
      <c r="C509" s="98" t="s">
        <v>238</v>
      </c>
      <c r="D509" s="24" t="s">
        <v>64</v>
      </c>
      <c r="E509" s="161" t="s">
        <v>840</v>
      </c>
      <c r="F509" s="160" t="s">
        <v>841</v>
      </c>
      <c r="G509" s="172" t="s">
        <v>88</v>
      </c>
      <c r="H509" s="100" t="s">
        <v>842</v>
      </c>
      <c r="I509" s="46" t="e">
        <f>VLOOKUP(H509,'合同高级查询数据-4月返'!A:A,1,FALSE)</f>
        <v>#N/A</v>
      </c>
      <c r="J509" s="178" t="s">
        <v>850</v>
      </c>
      <c r="K509" s="107" t="s">
        <v>844</v>
      </c>
      <c r="L509" s="179"/>
      <c r="M509" s="49" t="s">
        <v>845</v>
      </c>
      <c r="N509" s="180">
        <v>43318</v>
      </c>
      <c r="O509" s="73" t="s">
        <v>503</v>
      </c>
      <c r="P509" s="164">
        <v>5216.57</v>
      </c>
      <c r="Q509" s="182">
        <v>2</v>
      </c>
      <c r="R509" s="118">
        <f t="shared" si="18"/>
        <v>10433.14</v>
      </c>
      <c r="S509" s="115">
        <v>202304</v>
      </c>
      <c r="T509" s="186"/>
      <c r="U509" s="186"/>
      <c r="V509" s="165"/>
      <c r="W509" s="165"/>
      <c r="X509" s="116">
        <v>43647</v>
      </c>
      <c r="Y509" s="116">
        <v>45229</v>
      </c>
    </row>
    <row r="510" s="85" customFormat="1" customHeight="1" spans="1:25">
      <c r="A510" s="98" t="s">
        <v>61</v>
      </c>
      <c r="B510" s="98" t="s">
        <v>62</v>
      </c>
      <c r="C510" s="98" t="s">
        <v>238</v>
      </c>
      <c r="D510" s="24" t="s">
        <v>64</v>
      </c>
      <c r="E510" s="161" t="s">
        <v>840</v>
      </c>
      <c r="F510" s="160" t="s">
        <v>841</v>
      </c>
      <c r="G510" s="172" t="s">
        <v>88</v>
      </c>
      <c r="H510" s="100" t="s">
        <v>842</v>
      </c>
      <c r="I510" s="46" t="e">
        <f>VLOOKUP(H510,'合同高级查询数据-4月返'!A:A,1,FALSE)</f>
        <v>#N/A</v>
      </c>
      <c r="J510" s="178" t="s">
        <v>850</v>
      </c>
      <c r="K510" s="107" t="s">
        <v>844</v>
      </c>
      <c r="L510" s="179"/>
      <c r="M510" s="49" t="s">
        <v>845</v>
      </c>
      <c r="N510" s="180">
        <v>43321</v>
      </c>
      <c r="O510" s="73" t="s">
        <v>503</v>
      </c>
      <c r="P510" s="164">
        <v>5216.57</v>
      </c>
      <c r="Q510" s="182">
        <v>1</v>
      </c>
      <c r="R510" s="118">
        <f t="shared" si="18"/>
        <v>5216.57</v>
      </c>
      <c r="S510" s="115">
        <v>202304</v>
      </c>
      <c r="T510" s="186"/>
      <c r="U510" s="186"/>
      <c r="V510" s="165"/>
      <c r="W510" s="165"/>
      <c r="X510" s="116">
        <v>43647</v>
      </c>
      <c r="Y510" s="116">
        <v>45229</v>
      </c>
    </row>
    <row r="511" s="85" customFormat="1" customHeight="1" spans="1:25">
      <c r="A511" s="98" t="s">
        <v>61</v>
      </c>
      <c r="B511" s="98" t="s">
        <v>62</v>
      </c>
      <c r="C511" s="98" t="s">
        <v>238</v>
      </c>
      <c r="D511" s="24" t="s">
        <v>64</v>
      </c>
      <c r="E511" s="161" t="s">
        <v>840</v>
      </c>
      <c r="F511" s="160" t="s">
        <v>841</v>
      </c>
      <c r="G511" s="172" t="s">
        <v>88</v>
      </c>
      <c r="H511" s="100" t="s">
        <v>842</v>
      </c>
      <c r="I511" s="46" t="e">
        <f>VLOOKUP(H511,'合同高级查询数据-4月返'!A:A,1,FALSE)</f>
        <v>#N/A</v>
      </c>
      <c r="J511" s="178" t="s">
        <v>850</v>
      </c>
      <c r="K511" s="107" t="s">
        <v>844</v>
      </c>
      <c r="L511" s="179"/>
      <c r="M511" s="49" t="s">
        <v>845</v>
      </c>
      <c r="N511" s="180">
        <v>43322</v>
      </c>
      <c r="O511" s="73" t="s">
        <v>503</v>
      </c>
      <c r="P511" s="164">
        <v>5216.57</v>
      </c>
      <c r="Q511" s="182">
        <v>1</v>
      </c>
      <c r="R511" s="118">
        <f t="shared" si="18"/>
        <v>5216.57</v>
      </c>
      <c r="S511" s="115">
        <v>202304</v>
      </c>
      <c r="T511" s="186"/>
      <c r="U511" s="186"/>
      <c r="V511" s="165"/>
      <c r="W511" s="165"/>
      <c r="X511" s="116">
        <v>43647</v>
      </c>
      <c r="Y511" s="116">
        <v>45229</v>
      </c>
    </row>
    <row r="512" s="85" customFormat="1" customHeight="1" spans="1:25">
      <c r="A512" s="98" t="s">
        <v>61</v>
      </c>
      <c r="B512" s="98" t="s">
        <v>62</v>
      </c>
      <c r="C512" s="98" t="s">
        <v>238</v>
      </c>
      <c r="D512" s="24" t="s">
        <v>64</v>
      </c>
      <c r="E512" s="161" t="s">
        <v>840</v>
      </c>
      <c r="F512" s="160" t="s">
        <v>841</v>
      </c>
      <c r="G512" s="172" t="s">
        <v>88</v>
      </c>
      <c r="H512" s="100" t="s">
        <v>842</v>
      </c>
      <c r="I512" s="46" t="e">
        <f>VLOOKUP(H512,'合同高级查询数据-4月返'!A:A,1,FALSE)</f>
        <v>#N/A</v>
      </c>
      <c r="J512" s="178" t="s">
        <v>850</v>
      </c>
      <c r="K512" s="107" t="s">
        <v>844</v>
      </c>
      <c r="L512" s="179"/>
      <c r="M512" s="49" t="s">
        <v>845</v>
      </c>
      <c r="N512" s="180">
        <v>43329</v>
      </c>
      <c r="O512" s="73" t="s">
        <v>503</v>
      </c>
      <c r="P512" s="164">
        <v>5216.57</v>
      </c>
      <c r="Q512" s="182">
        <v>6</v>
      </c>
      <c r="R512" s="118">
        <f t="shared" si="18"/>
        <v>31299.42</v>
      </c>
      <c r="S512" s="115">
        <v>202304</v>
      </c>
      <c r="T512" s="186"/>
      <c r="U512" s="186"/>
      <c r="V512" s="165"/>
      <c r="W512" s="165"/>
      <c r="X512" s="116">
        <v>43647</v>
      </c>
      <c r="Y512" s="116">
        <v>45229</v>
      </c>
    </row>
    <row r="513" s="85" customFormat="1" customHeight="1" spans="1:25">
      <c r="A513" s="98" t="s">
        <v>61</v>
      </c>
      <c r="B513" s="98" t="s">
        <v>62</v>
      </c>
      <c r="C513" s="98" t="s">
        <v>238</v>
      </c>
      <c r="D513" s="24" t="s">
        <v>64</v>
      </c>
      <c r="E513" s="161" t="s">
        <v>840</v>
      </c>
      <c r="F513" s="160" t="s">
        <v>841</v>
      </c>
      <c r="G513" s="172" t="s">
        <v>88</v>
      </c>
      <c r="H513" s="100" t="s">
        <v>842</v>
      </c>
      <c r="I513" s="46" t="e">
        <f>VLOOKUP(H513,'合同高级查询数据-4月返'!A:A,1,FALSE)</f>
        <v>#N/A</v>
      </c>
      <c r="J513" s="178" t="s">
        <v>850</v>
      </c>
      <c r="K513" s="107" t="s">
        <v>844</v>
      </c>
      <c r="L513" s="179"/>
      <c r="M513" s="49" t="s">
        <v>845</v>
      </c>
      <c r="N513" s="180">
        <v>43332</v>
      </c>
      <c r="O513" s="73" t="s">
        <v>503</v>
      </c>
      <c r="P513" s="164">
        <v>5216.57</v>
      </c>
      <c r="Q513" s="182">
        <v>11</v>
      </c>
      <c r="R513" s="118">
        <f t="shared" si="18"/>
        <v>57382.27</v>
      </c>
      <c r="S513" s="115">
        <v>202304</v>
      </c>
      <c r="T513" s="186"/>
      <c r="U513" s="186"/>
      <c r="V513" s="165"/>
      <c r="W513" s="165"/>
      <c r="X513" s="116">
        <v>43647</v>
      </c>
      <c r="Y513" s="116">
        <v>45229</v>
      </c>
    </row>
    <row r="514" s="85" customFormat="1" customHeight="1" spans="1:25">
      <c r="A514" s="98" t="s">
        <v>61</v>
      </c>
      <c r="B514" s="98" t="s">
        <v>62</v>
      </c>
      <c r="C514" s="98" t="s">
        <v>238</v>
      </c>
      <c r="D514" s="24" t="s">
        <v>64</v>
      </c>
      <c r="E514" s="161" t="s">
        <v>840</v>
      </c>
      <c r="F514" s="160" t="s">
        <v>841</v>
      </c>
      <c r="G514" s="172" t="s">
        <v>88</v>
      </c>
      <c r="H514" s="100" t="s">
        <v>842</v>
      </c>
      <c r="I514" s="46" t="e">
        <f>VLOOKUP(H514,'合同高级查询数据-4月返'!A:A,1,FALSE)</f>
        <v>#N/A</v>
      </c>
      <c r="J514" s="178" t="s">
        <v>850</v>
      </c>
      <c r="K514" s="107" t="s">
        <v>844</v>
      </c>
      <c r="L514" s="179"/>
      <c r="M514" s="49" t="s">
        <v>845</v>
      </c>
      <c r="N514" s="180">
        <v>43333</v>
      </c>
      <c r="O514" s="73" t="s">
        <v>503</v>
      </c>
      <c r="P514" s="164">
        <v>5216.57</v>
      </c>
      <c r="Q514" s="182">
        <v>1</v>
      </c>
      <c r="R514" s="118">
        <f t="shared" si="18"/>
        <v>5216.57</v>
      </c>
      <c r="S514" s="115">
        <v>202304</v>
      </c>
      <c r="T514" s="186"/>
      <c r="U514" s="186"/>
      <c r="V514" s="165"/>
      <c r="W514" s="165"/>
      <c r="X514" s="116">
        <v>43647</v>
      </c>
      <c r="Y514" s="116">
        <v>45229</v>
      </c>
    </row>
    <row r="515" s="85" customFormat="1" customHeight="1" spans="1:25">
      <c r="A515" s="98" t="s">
        <v>61</v>
      </c>
      <c r="B515" s="98" t="s">
        <v>62</v>
      </c>
      <c r="C515" s="98" t="s">
        <v>238</v>
      </c>
      <c r="D515" s="24" t="s">
        <v>64</v>
      </c>
      <c r="E515" s="161" t="s">
        <v>840</v>
      </c>
      <c r="F515" s="160" t="s">
        <v>841</v>
      </c>
      <c r="G515" s="172" t="s">
        <v>88</v>
      </c>
      <c r="H515" s="100" t="s">
        <v>842</v>
      </c>
      <c r="I515" s="46" t="e">
        <f>VLOOKUP(H515,'合同高级查询数据-4月返'!A:A,1,FALSE)</f>
        <v>#N/A</v>
      </c>
      <c r="J515" s="178" t="s">
        <v>850</v>
      </c>
      <c r="K515" s="107" t="s">
        <v>844</v>
      </c>
      <c r="L515" s="179"/>
      <c r="M515" s="49" t="s">
        <v>845</v>
      </c>
      <c r="N515" s="180">
        <v>43335</v>
      </c>
      <c r="O515" s="73" t="s">
        <v>503</v>
      </c>
      <c r="P515" s="164">
        <v>5216.57</v>
      </c>
      <c r="Q515" s="182">
        <v>2</v>
      </c>
      <c r="R515" s="118">
        <f t="shared" si="18"/>
        <v>10433.14</v>
      </c>
      <c r="S515" s="115">
        <v>202304</v>
      </c>
      <c r="T515" s="186"/>
      <c r="U515" s="186"/>
      <c r="V515" s="165"/>
      <c r="W515" s="165"/>
      <c r="X515" s="116">
        <v>43647</v>
      </c>
      <c r="Y515" s="116">
        <v>45229</v>
      </c>
    </row>
    <row r="516" s="85" customFormat="1" customHeight="1" spans="1:25">
      <c r="A516" s="98" t="s">
        <v>61</v>
      </c>
      <c r="B516" s="98" t="s">
        <v>62</v>
      </c>
      <c r="C516" s="98" t="s">
        <v>238</v>
      </c>
      <c r="D516" s="24" t="s">
        <v>64</v>
      </c>
      <c r="E516" s="161" t="s">
        <v>840</v>
      </c>
      <c r="F516" s="160" t="s">
        <v>841</v>
      </c>
      <c r="G516" s="172" t="s">
        <v>88</v>
      </c>
      <c r="H516" s="100" t="s">
        <v>842</v>
      </c>
      <c r="I516" s="46" t="e">
        <f>VLOOKUP(H516,'合同高级查询数据-4月返'!A:A,1,FALSE)</f>
        <v>#N/A</v>
      </c>
      <c r="J516" s="178" t="s">
        <v>850</v>
      </c>
      <c r="K516" s="107" t="s">
        <v>844</v>
      </c>
      <c r="L516" s="179"/>
      <c r="M516" s="49" t="s">
        <v>845</v>
      </c>
      <c r="N516" s="180">
        <v>43336</v>
      </c>
      <c r="O516" s="73" t="s">
        <v>503</v>
      </c>
      <c r="P516" s="164">
        <v>5216.57</v>
      </c>
      <c r="Q516" s="182">
        <v>36</v>
      </c>
      <c r="R516" s="118">
        <f t="shared" si="18"/>
        <v>187796.52</v>
      </c>
      <c r="S516" s="115">
        <v>202304</v>
      </c>
      <c r="T516" s="186"/>
      <c r="U516" s="186"/>
      <c r="V516" s="165"/>
      <c r="W516" s="165"/>
      <c r="X516" s="116">
        <v>43647</v>
      </c>
      <c r="Y516" s="116">
        <v>45229</v>
      </c>
    </row>
    <row r="517" s="85" customFormat="1" customHeight="1" spans="1:25">
      <c r="A517" s="98" t="s">
        <v>61</v>
      </c>
      <c r="B517" s="98" t="s">
        <v>62</v>
      </c>
      <c r="C517" s="98" t="s">
        <v>238</v>
      </c>
      <c r="D517" s="24" t="s">
        <v>64</v>
      </c>
      <c r="E517" s="161" t="s">
        <v>840</v>
      </c>
      <c r="F517" s="160" t="s">
        <v>841</v>
      </c>
      <c r="G517" s="172" t="s">
        <v>88</v>
      </c>
      <c r="H517" s="100" t="s">
        <v>842</v>
      </c>
      <c r="I517" s="46" t="e">
        <f>VLOOKUP(H517,'合同高级查询数据-4月返'!A:A,1,FALSE)</f>
        <v>#N/A</v>
      </c>
      <c r="J517" s="178" t="s">
        <v>850</v>
      </c>
      <c r="K517" s="107" t="s">
        <v>844</v>
      </c>
      <c r="L517" s="179"/>
      <c r="M517" s="49" t="s">
        <v>845</v>
      </c>
      <c r="N517" s="180">
        <v>43320</v>
      </c>
      <c r="O517" s="73" t="s">
        <v>503</v>
      </c>
      <c r="P517" s="164">
        <v>5216.57</v>
      </c>
      <c r="Q517" s="182">
        <v>2</v>
      </c>
      <c r="R517" s="118">
        <f t="shared" si="18"/>
        <v>10433.14</v>
      </c>
      <c r="S517" s="115">
        <v>202304</v>
      </c>
      <c r="T517" s="186"/>
      <c r="U517" s="186"/>
      <c r="V517" s="165"/>
      <c r="W517" s="165"/>
      <c r="X517" s="116">
        <v>43647</v>
      </c>
      <c r="Y517" s="116">
        <v>45229</v>
      </c>
    </row>
    <row r="518" s="85" customFormat="1" customHeight="1" spans="1:25">
      <c r="A518" s="98" t="s">
        <v>61</v>
      </c>
      <c r="B518" s="98" t="s">
        <v>62</v>
      </c>
      <c r="C518" s="98" t="s">
        <v>238</v>
      </c>
      <c r="D518" s="24" t="s">
        <v>64</v>
      </c>
      <c r="E518" s="161" t="s">
        <v>840</v>
      </c>
      <c r="F518" s="160" t="s">
        <v>841</v>
      </c>
      <c r="G518" s="172" t="s">
        <v>88</v>
      </c>
      <c r="H518" s="100" t="s">
        <v>842</v>
      </c>
      <c r="I518" s="46" t="e">
        <f>VLOOKUP(H518,'合同高级查询数据-4月返'!A:A,1,FALSE)</f>
        <v>#N/A</v>
      </c>
      <c r="J518" s="178" t="s">
        <v>850</v>
      </c>
      <c r="K518" s="107" t="s">
        <v>844</v>
      </c>
      <c r="L518" s="179"/>
      <c r="M518" s="49" t="s">
        <v>845</v>
      </c>
      <c r="N518" s="180">
        <v>43336</v>
      </c>
      <c r="O518" s="73" t="s">
        <v>503</v>
      </c>
      <c r="P518" s="164">
        <v>5216.57</v>
      </c>
      <c r="Q518" s="182">
        <v>166</v>
      </c>
      <c r="R518" s="118">
        <f t="shared" si="18"/>
        <v>865950.62</v>
      </c>
      <c r="S518" s="115">
        <v>202304</v>
      </c>
      <c r="T518" s="186"/>
      <c r="U518" s="186"/>
      <c r="V518" s="165"/>
      <c r="W518" s="165"/>
      <c r="X518" s="116">
        <v>43647</v>
      </c>
      <c r="Y518" s="116">
        <v>45229</v>
      </c>
    </row>
    <row r="519" s="85" customFormat="1" customHeight="1" spans="1:25">
      <c r="A519" s="98" t="s">
        <v>61</v>
      </c>
      <c r="B519" s="98" t="s">
        <v>62</v>
      </c>
      <c r="C519" s="98" t="s">
        <v>238</v>
      </c>
      <c r="D519" s="24" t="s">
        <v>64</v>
      </c>
      <c r="E519" s="161" t="s">
        <v>840</v>
      </c>
      <c r="F519" s="160" t="s">
        <v>841</v>
      </c>
      <c r="G519" s="172" t="s">
        <v>88</v>
      </c>
      <c r="H519" s="100" t="s">
        <v>842</v>
      </c>
      <c r="I519" s="46" t="e">
        <f>VLOOKUP(H519,'合同高级查询数据-4月返'!A:A,1,FALSE)</f>
        <v>#N/A</v>
      </c>
      <c r="J519" s="178" t="s">
        <v>850</v>
      </c>
      <c r="K519" s="107" t="s">
        <v>844</v>
      </c>
      <c r="L519" s="179"/>
      <c r="M519" s="49" t="s">
        <v>845</v>
      </c>
      <c r="N519" s="180">
        <v>43342</v>
      </c>
      <c r="O519" s="73" t="s">
        <v>503</v>
      </c>
      <c r="P519" s="164">
        <v>5216.57</v>
      </c>
      <c r="Q519" s="182">
        <v>59</v>
      </c>
      <c r="R519" s="118">
        <f t="shared" si="18"/>
        <v>307777.63</v>
      </c>
      <c r="S519" s="115">
        <v>202304</v>
      </c>
      <c r="T519" s="186"/>
      <c r="U519" s="186"/>
      <c r="V519" s="165"/>
      <c r="W519" s="165"/>
      <c r="X519" s="116">
        <v>43647</v>
      </c>
      <c r="Y519" s="116">
        <v>45229</v>
      </c>
    </row>
    <row r="520" s="85" customFormat="1" customHeight="1" spans="1:25">
      <c r="A520" s="98" t="s">
        <v>61</v>
      </c>
      <c r="B520" s="98" t="s">
        <v>62</v>
      </c>
      <c r="C520" s="98" t="s">
        <v>238</v>
      </c>
      <c r="D520" s="24" t="s">
        <v>64</v>
      </c>
      <c r="E520" s="161" t="s">
        <v>840</v>
      </c>
      <c r="F520" s="160" t="s">
        <v>841</v>
      </c>
      <c r="G520" s="172" t="s">
        <v>88</v>
      </c>
      <c r="H520" s="100" t="s">
        <v>842</v>
      </c>
      <c r="I520" s="46" t="e">
        <f>VLOOKUP(H520,'合同高级查询数据-4月返'!A:A,1,FALSE)</f>
        <v>#N/A</v>
      </c>
      <c r="J520" s="178" t="s">
        <v>850</v>
      </c>
      <c r="K520" s="107" t="s">
        <v>844</v>
      </c>
      <c r="L520" s="179"/>
      <c r="M520" s="49" t="s">
        <v>845</v>
      </c>
      <c r="N520" s="180">
        <v>43343</v>
      </c>
      <c r="O520" s="73" t="s">
        <v>503</v>
      </c>
      <c r="P520" s="164">
        <v>5216.57</v>
      </c>
      <c r="Q520" s="182">
        <v>45</v>
      </c>
      <c r="R520" s="118">
        <f t="shared" si="18"/>
        <v>234745.65</v>
      </c>
      <c r="S520" s="115">
        <v>202304</v>
      </c>
      <c r="T520" s="186"/>
      <c r="U520" s="186"/>
      <c r="V520" s="165"/>
      <c r="W520" s="165"/>
      <c r="X520" s="116">
        <v>43647</v>
      </c>
      <c r="Y520" s="116">
        <v>45229</v>
      </c>
    </row>
    <row r="521" s="85" customFormat="1" customHeight="1" spans="1:25">
      <c r="A521" s="98" t="s">
        <v>61</v>
      </c>
      <c r="B521" s="98" t="s">
        <v>62</v>
      </c>
      <c r="C521" s="98" t="s">
        <v>238</v>
      </c>
      <c r="D521" s="24" t="s">
        <v>64</v>
      </c>
      <c r="E521" s="161" t="s">
        <v>840</v>
      </c>
      <c r="F521" s="160" t="s">
        <v>841</v>
      </c>
      <c r="G521" s="172" t="s">
        <v>88</v>
      </c>
      <c r="H521" s="100" t="s">
        <v>842</v>
      </c>
      <c r="I521" s="46" t="e">
        <f>VLOOKUP(H521,'合同高级查询数据-4月返'!A:A,1,FALSE)</f>
        <v>#N/A</v>
      </c>
      <c r="J521" s="178" t="s">
        <v>850</v>
      </c>
      <c r="K521" s="107" t="s">
        <v>844</v>
      </c>
      <c r="L521" s="179"/>
      <c r="M521" s="49" t="s">
        <v>845</v>
      </c>
      <c r="N521" s="180">
        <v>43350</v>
      </c>
      <c r="O521" s="73" t="s">
        <v>503</v>
      </c>
      <c r="P521" s="164">
        <v>5216.57</v>
      </c>
      <c r="Q521" s="182">
        <v>3</v>
      </c>
      <c r="R521" s="118">
        <f t="shared" si="18"/>
        <v>15649.71</v>
      </c>
      <c r="S521" s="115">
        <v>202304</v>
      </c>
      <c r="T521" s="186"/>
      <c r="U521" s="186"/>
      <c r="V521" s="165"/>
      <c r="W521" s="165"/>
      <c r="X521" s="116">
        <v>43647</v>
      </c>
      <c r="Y521" s="116">
        <v>45229</v>
      </c>
    </row>
    <row r="522" s="85" customFormat="1" customHeight="1" spans="1:25">
      <c r="A522" s="98" t="s">
        <v>61</v>
      </c>
      <c r="B522" s="98" t="s">
        <v>62</v>
      </c>
      <c r="C522" s="98" t="s">
        <v>238</v>
      </c>
      <c r="D522" s="24" t="s">
        <v>64</v>
      </c>
      <c r="E522" s="161" t="s">
        <v>840</v>
      </c>
      <c r="F522" s="160" t="s">
        <v>841</v>
      </c>
      <c r="G522" s="172" t="s">
        <v>88</v>
      </c>
      <c r="H522" s="100" t="s">
        <v>842</v>
      </c>
      <c r="I522" s="46" t="e">
        <f>VLOOKUP(H522,'合同高级查询数据-4月返'!A:A,1,FALSE)</f>
        <v>#N/A</v>
      </c>
      <c r="J522" s="178" t="s">
        <v>850</v>
      </c>
      <c r="K522" s="107" t="s">
        <v>844</v>
      </c>
      <c r="L522" s="179"/>
      <c r="M522" s="49" t="s">
        <v>845</v>
      </c>
      <c r="N522" s="180">
        <v>43346</v>
      </c>
      <c r="O522" s="73" t="s">
        <v>503</v>
      </c>
      <c r="P522" s="164">
        <v>5216.57</v>
      </c>
      <c r="Q522" s="182">
        <v>9</v>
      </c>
      <c r="R522" s="118">
        <f t="shared" si="18"/>
        <v>46949.13</v>
      </c>
      <c r="S522" s="115">
        <v>202304</v>
      </c>
      <c r="T522" s="186"/>
      <c r="U522" s="186"/>
      <c r="V522" s="165"/>
      <c r="W522" s="165"/>
      <c r="X522" s="116">
        <v>43647</v>
      </c>
      <c r="Y522" s="116">
        <v>45229</v>
      </c>
    </row>
    <row r="523" s="85" customFormat="1" customHeight="1" spans="1:25">
      <c r="A523" s="98" t="s">
        <v>61</v>
      </c>
      <c r="B523" s="98" t="s">
        <v>62</v>
      </c>
      <c r="C523" s="98" t="s">
        <v>238</v>
      </c>
      <c r="D523" s="24" t="s">
        <v>64</v>
      </c>
      <c r="E523" s="161" t="s">
        <v>840</v>
      </c>
      <c r="F523" s="160" t="s">
        <v>841</v>
      </c>
      <c r="G523" s="172" t="s">
        <v>88</v>
      </c>
      <c r="H523" s="100" t="s">
        <v>842</v>
      </c>
      <c r="I523" s="46" t="e">
        <f>VLOOKUP(H523,'合同高级查询数据-4月返'!A:A,1,FALSE)</f>
        <v>#N/A</v>
      </c>
      <c r="J523" s="178" t="s">
        <v>850</v>
      </c>
      <c r="K523" s="107" t="s">
        <v>844</v>
      </c>
      <c r="L523" s="179"/>
      <c r="M523" s="49" t="s">
        <v>845</v>
      </c>
      <c r="N523" s="180">
        <v>43348</v>
      </c>
      <c r="O523" s="73" t="s">
        <v>503</v>
      </c>
      <c r="P523" s="164">
        <v>5216.57</v>
      </c>
      <c r="Q523" s="182">
        <v>34</v>
      </c>
      <c r="R523" s="118">
        <f t="shared" si="18"/>
        <v>177363.38</v>
      </c>
      <c r="S523" s="115">
        <v>202304</v>
      </c>
      <c r="T523" s="186"/>
      <c r="U523" s="186"/>
      <c r="V523" s="165"/>
      <c r="W523" s="165"/>
      <c r="X523" s="116">
        <v>43647</v>
      </c>
      <c r="Y523" s="116">
        <v>45229</v>
      </c>
    </row>
    <row r="524" s="85" customFormat="1" customHeight="1" spans="1:25">
      <c r="A524" s="98" t="s">
        <v>61</v>
      </c>
      <c r="B524" s="98" t="s">
        <v>62</v>
      </c>
      <c r="C524" s="98" t="s">
        <v>238</v>
      </c>
      <c r="D524" s="24" t="s">
        <v>64</v>
      </c>
      <c r="E524" s="161" t="s">
        <v>840</v>
      </c>
      <c r="F524" s="160" t="s">
        <v>841</v>
      </c>
      <c r="G524" s="172" t="s">
        <v>88</v>
      </c>
      <c r="H524" s="100" t="s">
        <v>842</v>
      </c>
      <c r="I524" s="46" t="e">
        <f>VLOOKUP(H524,'合同高级查询数据-4月返'!A:A,1,FALSE)</f>
        <v>#N/A</v>
      </c>
      <c r="J524" s="178" t="s">
        <v>850</v>
      </c>
      <c r="K524" s="107" t="s">
        <v>844</v>
      </c>
      <c r="L524" s="179"/>
      <c r="M524" s="49" t="s">
        <v>845</v>
      </c>
      <c r="N524" s="180">
        <v>43350</v>
      </c>
      <c r="O524" s="73" t="s">
        <v>503</v>
      </c>
      <c r="P524" s="164">
        <v>5216.57</v>
      </c>
      <c r="Q524" s="182">
        <v>6</v>
      </c>
      <c r="R524" s="118">
        <f t="shared" si="18"/>
        <v>31299.42</v>
      </c>
      <c r="S524" s="115">
        <v>202304</v>
      </c>
      <c r="T524" s="186"/>
      <c r="U524" s="186"/>
      <c r="V524" s="165"/>
      <c r="W524" s="165"/>
      <c r="X524" s="116">
        <v>43647</v>
      </c>
      <c r="Y524" s="116">
        <v>45229</v>
      </c>
    </row>
    <row r="525" s="85" customFormat="1" customHeight="1" spans="1:25">
      <c r="A525" s="98" t="s">
        <v>61</v>
      </c>
      <c r="B525" s="98" t="s">
        <v>62</v>
      </c>
      <c r="C525" s="98" t="s">
        <v>238</v>
      </c>
      <c r="D525" s="24" t="s">
        <v>64</v>
      </c>
      <c r="E525" s="161" t="s">
        <v>840</v>
      </c>
      <c r="F525" s="160" t="s">
        <v>841</v>
      </c>
      <c r="G525" s="172" t="s">
        <v>88</v>
      </c>
      <c r="H525" s="100" t="s">
        <v>842</v>
      </c>
      <c r="I525" s="46" t="e">
        <f>VLOOKUP(H525,'合同高级查询数据-4月返'!A:A,1,FALSE)</f>
        <v>#N/A</v>
      </c>
      <c r="J525" s="178" t="s">
        <v>850</v>
      </c>
      <c r="K525" s="107" t="s">
        <v>844</v>
      </c>
      <c r="L525" s="179"/>
      <c r="M525" s="49" t="s">
        <v>845</v>
      </c>
      <c r="N525" s="180">
        <v>43353</v>
      </c>
      <c r="O525" s="73" t="s">
        <v>503</v>
      </c>
      <c r="P525" s="164">
        <v>5216.57</v>
      </c>
      <c r="Q525" s="182">
        <v>13</v>
      </c>
      <c r="R525" s="118">
        <f t="shared" si="18"/>
        <v>67815.41</v>
      </c>
      <c r="S525" s="115">
        <v>202304</v>
      </c>
      <c r="T525" s="186"/>
      <c r="U525" s="186"/>
      <c r="V525" s="165"/>
      <c r="W525" s="165"/>
      <c r="X525" s="116">
        <v>43647</v>
      </c>
      <c r="Y525" s="116">
        <v>45229</v>
      </c>
    </row>
    <row r="526" s="85" customFormat="1" customHeight="1" spans="1:25">
      <c r="A526" s="98" t="s">
        <v>61</v>
      </c>
      <c r="B526" s="98" t="s">
        <v>62</v>
      </c>
      <c r="C526" s="98" t="s">
        <v>238</v>
      </c>
      <c r="D526" s="24" t="s">
        <v>64</v>
      </c>
      <c r="E526" s="161" t="s">
        <v>840</v>
      </c>
      <c r="F526" s="160" t="s">
        <v>841</v>
      </c>
      <c r="G526" s="172" t="s">
        <v>88</v>
      </c>
      <c r="H526" s="100" t="s">
        <v>842</v>
      </c>
      <c r="I526" s="46" t="e">
        <f>VLOOKUP(H526,'合同高级查询数据-4月返'!A:A,1,FALSE)</f>
        <v>#N/A</v>
      </c>
      <c r="J526" s="178" t="s">
        <v>850</v>
      </c>
      <c r="K526" s="107" t="s">
        <v>844</v>
      </c>
      <c r="L526" s="179"/>
      <c r="M526" s="49" t="s">
        <v>845</v>
      </c>
      <c r="N526" s="180">
        <v>43354</v>
      </c>
      <c r="O526" s="73" t="s">
        <v>503</v>
      </c>
      <c r="P526" s="164">
        <v>5216.57</v>
      </c>
      <c r="Q526" s="182">
        <v>7</v>
      </c>
      <c r="R526" s="118">
        <f t="shared" si="18"/>
        <v>36515.99</v>
      </c>
      <c r="S526" s="115">
        <v>202304</v>
      </c>
      <c r="T526" s="186"/>
      <c r="U526" s="186"/>
      <c r="V526" s="165"/>
      <c r="W526" s="165"/>
      <c r="X526" s="116">
        <v>43647</v>
      </c>
      <c r="Y526" s="116">
        <v>45229</v>
      </c>
    </row>
    <row r="527" s="85" customFormat="1" customHeight="1" spans="1:25">
      <c r="A527" s="98" t="s">
        <v>61</v>
      </c>
      <c r="B527" s="98" t="s">
        <v>62</v>
      </c>
      <c r="C527" s="98" t="s">
        <v>238</v>
      </c>
      <c r="D527" s="24" t="s">
        <v>64</v>
      </c>
      <c r="E527" s="161" t="s">
        <v>840</v>
      </c>
      <c r="F527" s="160" t="s">
        <v>841</v>
      </c>
      <c r="G527" s="172" t="s">
        <v>88</v>
      </c>
      <c r="H527" s="100" t="s">
        <v>842</v>
      </c>
      <c r="I527" s="46" t="e">
        <f>VLOOKUP(H527,'合同高级查询数据-4月返'!A:A,1,FALSE)</f>
        <v>#N/A</v>
      </c>
      <c r="J527" s="178" t="s">
        <v>850</v>
      </c>
      <c r="K527" s="107" t="s">
        <v>844</v>
      </c>
      <c r="L527" s="179"/>
      <c r="M527" s="49" t="s">
        <v>845</v>
      </c>
      <c r="N527" s="180">
        <v>43356</v>
      </c>
      <c r="O527" s="73" t="s">
        <v>503</v>
      </c>
      <c r="P527" s="164">
        <v>5216.57</v>
      </c>
      <c r="Q527" s="182">
        <v>1</v>
      </c>
      <c r="R527" s="118">
        <f t="shared" si="18"/>
        <v>5216.57</v>
      </c>
      <c r="S527" s="115">
        <v>202304</v>
      </c>
      <c r="T527" s="186"/>
      <c r="U527" s="186"/>
      <c r="V527" s="165"/>
      <c r="W527" s="165"/>
      <c r="X527" s="116">
        <v>43647</v>
      </c>
      <c r="Y527" s="116">
        <v>45229</v>
      </c>
    </row>
    <row r="528" s="85" customFormat="1" customHeight="1" spans="1:25">
      <c r="A528" s="98" t="s">
        <v>61</v>
      </c>
      <c r="B528" s="98" t="s">
        <v>62</v>
      </c>
      <c r="C528" s="98" t="s">
        <v>238</v>
      </c>
      <c r="D528" s="24" t="s">
        <v>64</v>
      </c>
      <c r="E528" s="161" t="s">
        <v>840</v>
      </c>
      <c r="F528" s="160" t="s">
        <v>841</v>
      </c>
      <c r="G528" s="172" t="s">
        <v>88</v>
      </c>
      <c r="H528" s="100" t="s">
        <v>842</v>
      </c>
      <c r="I528" s="46" t="e">
        <f>VLOOKUP(H528,'合同高级查询数据-4月返'!A:A,1,FALSE)</f>
        <v>#N/A</v>
      </c>
      <c r="J528" s="178" t="s">
        <v>850</v>
      </c>
      <c r="K528" s="107" t="s">
        <v>844</v>
      </c>
      <c r="L528" s="179"/>
      <c r="M528" s="49" t="s">
        <v>845</v>
      </c>
      <c r="N528" s="180">
        <v>43358</v>
      </c>
      <c r="O528" s="73" t="s">
        <v>503</v>
      </c>
      <c r="P528" s="164">
        <v>5216.57</v>
      </c>
      <c r="Q528" s="182">
        <v>2</v>
      </c>
      <c r="R528" s="118">
        <f t="shared" si="18"/>
        <v>10433.14</v>
      </c>
      <c r="S528" s="115">
        <v>202304</v>
      </c>
      <c r="T528" s="186"/>
      <c r="U528" s="186"/>
      <c r="V528" s="165"/>
      <c r="W528" s="165"/>
      <c r="X528" s="116">
        <v>43647</v>
      </c>
      <c r="Y528" s="116">
        <v>45229</v>
      </c>
    </row>
    <row r="529" s="85" customFormat="1" customHeight="1" spans="1:25">
      <c r="A529" s="98" t="s">
        <v>61</v>
      </c>
      <c r="B529" s="98" t="s">
        <v>62</v>
      </c>
      <c r="C529" s="98" t="s">
        <v>238</v>
      </c>
      <c r="D529" s="24" t="s">
        <v>64</v>
      </c>
      <c r="E529" s="161" t="s">
        <v>840</v>
      </c>
      <c r="F529" s="160" t="s">
        <v>841</v>
      </c>
      <c r="G529" s="172" t="s">
        <v>88</v>
      </c>
      <c r="H529" s="100" t="s">
        <v>842</v>
      </c>
      <c r="I529" s="46" t="e">
        <f>VLOOKUP(H529,'合同高级查询数据-4月返'!A:A,1,FALSE)</f>
        <v>#N/A</v>
      </c>
      <c r="J529" s="178" t="s">
        <v>850</v>
      </c>
      <c r="K529" s="107" t="s">
        <v>844</v>
      </c>
      <c r="L529" s="179"/>
      <c r="M529" s="49" t="s">
        <v>845</v>
      </c>
      <c r="N529" s="180">
        <v>43357</v>
      </c>
      <c r="O529" s="73" t="s">
        <v>503</v>
      </c>
      <c r="P529" s="164">
        <v>5216.57</v>
      </c>
      <c r="Q529" s="182">
        <v>4</v>
      </c>
      <c r="R529" s="118">
        <f t="shared" si="18"/>
        <v>20866.28</v>
      </c>
      <c r="S529" s="115">
        <v>202304</v>
      </c>
      <c r="T529" s="186"/>
      <c r="U529" s="186"/>
      <c r="V529" s="165"/>
      <c r="W529" s="165"/>
      <c r="X529" s="116">
        <v>43647</v>
      </c>
      <c r="Y529" s="116">
        <v>45229</v>
      </c>
    </row>
    <row r="530" s="85" customFormat="1" customHeight="1" spans="1:25">
      <c r="A530" s="98" t="s">
        <v>61</v>
      </c>
      <c r="B530" s="98" t="s">
        <v>62</v>
      </c>
      <c r="C530" s="98" t="s">
        <v>238</v>
      </c>
      <c r="D530" s="24" t="s">
        <v>64</v>
      </c>
      <c r="E530" s="161" t="s">
        <v>840</v>
      </c>
      <c r="F530" s="160" t="s">
        <v>841</v>
      </c>
      <c r="G530" s="172" t="s">
        <v>88</v>
      </c>
      <c r="H530" s="100" t="s">
        <v>842</v>
      </c>
      <c r="I530" s="46" t="e">
        <f>VLOOKUP(H530,'合同高级查询数据-4月返'!A:A,1,FALSE)</f>
        <v>#N/A</v>
      </c>
      <c r="J530" s="178" t="s">
        <v>850</v>
      </c>
      <c r="K530" s="107" t="s">
        <v>844</v>
      </c>
      <c r="L530" s="179"/>
      <c r="M530" s="49" t="s">
        <v>845</v>
      </c>
      <c r="N530" s="180">
        <v>43341</v>
      </c>
      <c r="O530" s="73" t="s">
        <v>503</v>
      </c>
      <c r="P530" s="164">
        <v>5216.57</v>
      </c>
      <c r="Q530" s="182">
        <v>16</v>
      </c>
      <c r="R530" s="118">
        <f t="shared" si="18"/>
        <v>83465.12</v>
      </c>
      <c r="S530" s="115">
        <v>202304</v>
      </c>
      <c r="T530" s="186"/>
      <c r="U530" s="186"/>
      <c r="V530" s="165"/>
      <c r="W530" s="165"/>
      <c r="X530" s="116">
        <v>43647</v>
      </c>
      <c r="Y530" s="116">
        <v>45229</v>
      </c>
    </row>
    <row r="531" s="85" customFormat="1" customHeight="1" spans="1:25">
      <c r="A531" s="98" t="s">
        <v>61</v>
      </c>
      <c r="B531" s="98" t="s">
        <v>62</v>
      </c>
      <c r="C531" s="98" t="s">
        <v>238</v>
      </c>
      <c r="D531" s="24" t="s">
        <v>64</v>
      </c>
      <c r="E531" s="161" t="s">
        <v>840</v>
      </c>
      <c r="F531" s="160" t="s">
        <v>841</v>
      </c>
      <c r="G531" s="172" t="s">
        <v>88</v>
      </c>
      <c r="H531" s="100" t="s">
        <v>842</v>
      </c>
      <c r="I531" s="46" t="e">
        <f>VLOOKUP(H531,'合同高级查询数据-4月返'!A:A,1,FALSE)</f>
        <v>#N/A</v>
      </c>
      <c r="J531" s="178" t="s">
        <v>850</v>
      </c>
      <c r="K531" s="107" t="s">
        <v>844</v>
      </c>
      <c r="L531" s="179"/>
      <c r="M531" s="49" t="s">
        <v>845</v>
      </c>
      <c r="N531" s="180">
        <v>43350</v>
      </c>
      <c r="O531" s="73" t="s">
        <v>503</v>
      </c>
      <c r="P531" s="164">
        <v>5216.57</v>
      </c>
      <c r="Q531" s="182">
        <v>3</v>
      </c>
      <c r="R531" s="118">
        <f t="shared" si="18"/>
        <v>15649.71</v>
      </c>
      <c r="S531" s="115">
        <v>202304</v>
      </c>
      <c r="T531" s="186"/>
      <c r="U531" s="186"/>
      <c r="V531" s="165"/>
      <c r="W531" s="165"/>
      <c r="X531" s="116">
        <v>43647</v>
      </c>
      <c r="Y531" s="116">
        <v>45229</v>
      </c>
    </row>
    <row r="532" s="85" customFormat="1" customHeight="1" spans="1:25">
      <c r="A532" s="98" t="s">
        <v>61</v>
      </c>
      <c r="B532" s="98" t="s">
        <v>62</v>
      </c>
      <c r="C532" s="98" t="s">
        <v>238</v>
      </c>
      <c r="D532" s="24" t="s">
        <v>64</v>
      </c>
      <c r="E532" s="161" t="s">
        <v>840</v>
      </c>
      <c r="F532" s="160" t="s">
        <v>841</v>
      </c>
      <c r="G532" s="172" t="s">
        <v>88</v>
      </c>
      <c r="H532" s="100" t="s">
        <v>842</v>
      </c>
      <c r="I532" s="46" t="e">
        <f>VLOOKUP(H532,'合同高级查询数据-4月返'!A:A,1,FALSE)</f>
        <v>#N/A</v>
      </c>
      <c r="J532" s="178" t="s">
        <v>850</v>
      </c>
      <c r="K532" s="107" t="s">
        <v>844</v>
      </c>
      <c r="L532" s="179"/>
      <c r="M532" s="49" t="s">
        <v>845</v>
      </c>
      <c r="N532" s="180">
        <v>43350</v>
      </c>
      <c r="O532" s="73" t="s">
        <v>503</v>
      </c>
      <c r="P532" s="164">
        <v>5216.57</v>
      </c>
      <c r="Q532" s="182">
        <v>6</v>
      </c>
      <c r="R532" s="118">
        <f t="shared" si="18"/>
        <v>31299.42</v>
      </c>
      <c r="S532" s="115">
        <v>202304</v>
      </c>
      <c r="T532" s="186"/>
      <c r="U532" s="186"/>
      <c r="V532" s="165"/>
      <c r="W532" s="165"/>
      <c r="X532" s="116">
        <v>43647</v>
      </c>
      <c r="Y532" s="116">
        <v>45229</v>
      </c>
    </row>
    <row r="533" s="85" customFormat="1" customHeight="1" spans="1:25">
      <c r="A533" s="98" t="s">
        <v>61</v>
      </c>
      <c r="B533" s="98" t="s">
        <v>62</v>
      </c>
      <c r="C533" s="98" t="s">
        <v>238</v>
      </c>
      <c r="D533" s="24" t="s">
        <v>64</v>
      </c>
      <c r="E533" s="161" t="s">
        <v>840</v>
      </c>
      <c r="F533" s="160" t="s">
        <v>841</v>
      </c>
      <c r="G533" s="172" t="s">
        <v>88</v>
      </c>
      <c r="H533" s="100" t="s">
        <v>842</v>
      </c>
      <c r="I533" s="46" t="e">
        <f>VLOOKUP(H533,'合同高级查询数据-4月返'!A:A,1,FALSE)</f>
        <v>#N/A</v>
      </c>
      <c r="J533" s="178" t="s">
        <v>850</v>
      </c>
      <c r="K533" s="107" t="s">
        <v>844</v>
      </c>
      <c r="L533" s="179"/>
      <c r="M533" s="49" t="s">
        <v>845</v>
      </c>
      <c r="N533" s="180">
        <v>43353</v>
      </c>
      <c r="O533" s="73" t="s">
        <v>503</v>
      </c>
      <c r="P533" s="164">
        <v>5216.57</v>
      </c>
      <c r="Q533" s="182">
        <v>8</v>
      </c>
      <c r="R533" s="118">
        <f t="shared" si="18"/>
        <v>41732.56</v>
      </c>
      <c r="S533" s="115">
        <v>202304</v>
      </c>
      <c r="T533" s="186"/>
      <c r="U533" s="186"/>
      <c r="V533" s="165"/>
      <c r="W533" s="165"/>
      <c r="X533" s="116">
        <v>43647</v>
      </c>
      <c r="Y533" s="116">
        <v>45229</v>
      </c>
    </row>
    <row r="534" s="85" customFormat="1" customHeight="1" spans="1:25">
      <c r="A534" s="98" t="s">
        <v>61</v>
      </c>
      <c r="B534" s="98" t="s">
        <v>62</v>
      </c>
      <c r="C534" s="98" t="s">
        <v>238</v>
      </c>
      <c r="D534" s="24" t="s">
        <v>64</v>
      </c>
      <c r="E534" s="161" t="s">
        <v>840</v>
      </c>
      <c r="F534" s="160" t="s">
        <v>841</v>
      </c>
      <c r="G534" s="172" t="s">
        <v>88</v>
      </c>
      <c r="H534" s="100" t="s">
        <v>842</v>
      </c>
      <c r="I534" s="46" t="e">
        <f>VLOOKUP(H534,'合同高级查询数据-4月返'!A:A,1,FALSE)</f>
        <v>#N/A</v>
      </c>
      <c r="J534" s="178" t="s">
        <v>850</v>
      </c>
      <c r="K534" s="107" t="s">
        <v>844</v>
      </c>
      <c r="L534" s="179"/>
      <c r="M534" s="49" t="s">
        <v>845</v>
      </c>
      <c r="N534" s="180">
        <v>43354</v>
      </c>
      <c r="O534" s="73" t="s">
        <v>503</v>
      </c>
      <c r="P534" s="164">
        <v>5216.57</v>
      </c>
      <c r="Q534" s="182">
        <v>12</v>
      </c>
      <c r="R534" s="118">
        <f t="shared" si="18"/>
        <v>62598.84</v>
      </c>
      <c r="S534" s="115">
        <v>202304</v>
      </c>
      <c r="T534" s="186"/>
      <c r="U534" s="186"/>
      <c r="V534" s="165"/>
      <c r="W534" s="165"/>
      <c r="X534" s="116">
        <v>43647</v>
      </c>
      <c r="Y534" s="116">
        <v>45229</v>
      </c>
    </row>
    <row r="535" s="85" customFormat="1" customHeight="1" spans="1:25">
      <c r="A535" s="98" t="s">
        <v>61</v>
      </c>
      <c r="B535" s="98" t="s">
        <v>62</v>
      </c>
      <c r="C535" s="98" t="s">
        <v>238</v>
      </c>
      <c r="D535" s="24" t="s">
        <v>64</v>
      </c>
      <c r="E535" s="161" t="s">
        <v>840</v>
      </c>
      <c r="F535" s="160" t="s">
        <v>841</v>
      </c>
      <c r="G535" s="172" t="s">
        <v>88</v>
      </c>
      <c r="H535" s="100" t="s">
        <v>842</v>
      </c>
      <c r="I535" s="46" t="e">
        <f>VLOOKUP(H535,'合同高级查询数据-4月返'!A:A,1,FALSE)</f>
        <v>#N/A</v>
      </c>
      <c r="J535" s="178" t="s">
        <v>850</v>
      </c>
      <c r="K535" s="107" t="s">
        <v>844</v>
      </c>
      <c r="L535" s="179"/>
      <c r="M535" s="49" t="s">
        <v>845</v>
      </c>
      <c r="N535" s="180">
        <v>43356</v>
      </c>
      <c r="O535" s="73" t="s">
        <v>503</v>
      </c>
      <c r="P535" s="164">
        <v>5216.57</v>
      </c>
      <c r="Q535" s="182">
        <v>4</v>
      </c>
      <c r="R535" s="118">
        <f t="shared" si="18"/>
        <v>20866.28</v>
      </c>
      <c r="S535" s="115">
        <v>202304</v>
      </c>
      <c r="T535" s="186"/>
      <c r="U535" s="186"/>
      <c r="V535" s="165"/>
      <c r="W535" s="165"/>
      <c r="X535" s="116">
        <v>43647</v>
      </c>
      <c r="Y535" s="116">
        <v>45229</v>
      </c>
    </row>
    <row r="536" s="85" customFormat="1" customHeight="1" spans="1:25">
      <c r="A536" s="98" t="s">
        <v>61</v>
      </c>
      <c r="B536" s="98" t="s">
        <v>62</v>
      </c>
      <c r="C536" s="98" t="s">
        <v>238</v>
      </c>
      <c r="D536" s="24" t="s">
        <v>64</v>
      </c>
      <c r="E536" s="161" t="s">
        <v>840</v>
      </c>
      <c r="F536" s="160" t="s">
        <v>841</v>
      </c>
      <c r="G536" s="172" t="s">
        <v>88</v>
      </c>
      <c r="H536" s="100" t="s">
        <v>842</v>
      </c>
      <c r="I536" s="46" t="e">
        <f>VLOOKUP(H536,'合同高级查询数据-4月返'!A:A,1,FALSE)</f>
        <v>#N/A</v>
      </c>
      <c r="J536" s="178" t="s">
        <v>850</v>
      </c>
      <c r="K536" s="107" t="s">
        <v>844</v>
      </c>
      <c r="L536" s="179"/>
      <c r="M536" s="49" t="s">
        <v>845</v>
      </c>
      <c r="N536" s="180">
        <v>43357</v>
      </c>
      <c r="O536" s="73" t="s">
        <v>503</v>
      </c>
      <c r="P536" s="164">
        <v>5216.57</v>
      </c>
      <c r="Q536" s="182">
        <v>5</v>
      </c>
      <c r="R536" s="118">
        <f t="shared" ref="R536:R599" si="19">ROUND(P536*Q536,2)</f>
        <v>26082.85</v>
      </c>
      <c r="S536" s="115">
        <v>202304</v>
      </c>
      <c r="T536" s="186"/>
      <c r="U536" s="186"/>
      <c r="V536" s="165"/>
      <c r="W536" s="165"/>
      <c r="X536" s="116">
        <v>43647</v>
      </c>
      <c r="Y536" s="116">
        <v>45229</v>
      </c>
    </row>
    <row r="537" s="85" customFormat="1" customHeight="1" spans="1:25">
      <c r="A537" s="98" t="s">
        <v>61</v>
      </c>
      <c r="B537" s="98" t="s">
        <v>62</v>
      </c>
      <c r="C537" s="98" t="s">
        <v>238</v>
      </c>
      <c r="D537" s="24" t="s">
        <v>64</v>
      </c>
      <c r="E537" s="161" t="s">
        <v>840</v>
      </c>
      <c r="F537" s="160" t="s">
        <v>841</v>
      </c>
      <c r="G537" s="172" t="s">
        <v>88</v>
      </c>
      <c r="H537" s="100" t="s">
        <v>842</v>
      </c>
      <c r="I537" s="46" t="e">
        <f>VLOOKUP(H537,'合同高级查询数据-4月返'!A:A,1,FALSE)</f>
        <v>#N/A</v>
      </c>
      <c r="J537" s="178" t="s">
        <v>850</v>
      </c>
      <c r="K537" s="107" t="s">
        <v>844</v>
      </c>
      <c r="L537" s="179"/>
      <c r="M537" s="49" t="s">
        <v>845</v>
      </c>
      <c r="N537" s="180">
        <v>43362</v>
      </c>
      <c r="O537" s="73" t="s">
        <v>503</v>
      </c>
      <c r="P537" s="164">
        <v>5216.57</v>
      </c>
      <c r="Q537" s="182">
        <v>4</v>
      </c>
      <c r="R537" s="118">
        <f t="shared" si="19"/>
        <v>20866.28</v>
      </c>
      <c r="S537" s="115">
        <v>202304</v>
      </c>
      <c r="T537" s="186"/>
      <c r="U537" s="186"/>
      <c r="V537" s="165"/>
      <c r="W537" s="165"/>
      <c r="X537" s="116">
        <v>43647</v>
      </c>
      <c r="Y537" s="116">
        <v>45229</v>
      </c>
    </row>
    <row r="538" s="85" customFormat="1" customHeight="1" spans="1:25">
      <c r="A538" s="98" t="s">
        <v>61</v>
      </c>
      <c r="B538" s="98" t="s">
        <v>62</v>
      </c>
      <c r="C538" s="98" t="s">
        <v>238</v>
      </c>
      <c r="D538" s="24" t="s">
        <v>64</v>
      </c>
      <c r="E538" s="161" t="s">
        <v>840</v>
      </c>
      <c r="F538" s="160" t="s">
        <v>841</v>
      </c>
      <c r="G538" s="172" t="s">
        <v>88</v>
      </c>
      <c r="H538" s="100" t="s">
        <v>842</v>
      </c>
      <c r="I538" s="46" t="e">
        <f>VLOOKUP(H538,'合同高级查询数据-4月返'!A:A,1,FALSE)</f>
        <v>#N/A</v>
      </c>
      <c r="J538" s="178" t="s">
        <v>850</v>
      </c>
      <c r="K538" s="107" t="s">
        <v>844</v>
      </c>
      <c r="L538" s="179"/>
      <c r="M538" s="49" t="s">
        <v>845</v>
      </c>
      <c r="N538" s="180">
        <v>43363</v>
      </c>
      <c r="O538" s="73" t="s">
        <v>503</v>
      </c>
      <c r="P538" s="164">
        <v>5216.57</v>
      </c>
      <c r="Q538" s="182">
        <v>7</v>
      </c>
      <c r="R538" s="118">
        <f t="shared" si="19"/>
        <v>36515.99</v>
      </c>
      <c r="S538" s="115">
        <v>202304</v>
      </c>
      <c r="T538" s="186"/>
      <c r="U538" s="186"/>
      <c r="V538" s="165"/>
      <c r="W538" s="165"/>
      <c r="X538" s="116">
        <v>43647</v>
      </c>
      <c r="Y538" s="116">
        <v>45229</v>
      </c>
    </row>
    <row r="539" s="85" customFormat="1" customHeight="1" spans="1:25">
      <c r="A539" s="98" t="s">
        <v>61</v>
      </c>
      <c r="B539" s="98" t="s">
        <v>62</v>
      </c>
      <c r="C539" s="98" t="s">
        <v>238</v>
      </c>
      <c r="D539" s="24" t="s">
        <v>64</v>
      </c>
      <c r="E539" s="161" t="s">
        <v>840</v>
      </c>
      <c r="F539" s="160" t="s">
        <v>841</v>
      </c>
      <c r="G539" s="172" t="s">
        <v>88</v>
      </c>
      <c r="H539" s="100" t="s">
        <v>842</v>
      </c>
      <c r="I539" s="46" t="e">
        <f>VLOOKUP(H539,'合同高级查询数据-4月返'!A:A,1,FALSE)</f>
        <v>#N/A</v>
      </c>
      <c r="J539" s="178" t="s">
        <v>850</v>
      </c>
      <c r="K539" s="107" t="s">
        <v>844</v>
      </c>
      <c r="L539" s="179"/>
      <c r="M539" s="49" t="s">
        <v>845</v>
      </c>
      <c r="N539" s="180">
        <v>43369</v>
      </c>
      <c r="O539" s="73" t="s">
        <v>503</v>
      </c>
      <c r="P539" s="164">
        <v>5216.57</v>
      </c>
      <c r="Q539" s="182">
        <v>3</v>
      </c>
      <c r="R539" s="118">
        <f t="shared" si="19"/>
        <v>15649.71</v>
      </c>
      <c r="S539" s="115">
        <v>202304</v>
      </c>
      <c r="T539" s="186"/>
      <c r="U539" s="186"/>
      <c r="V539" s="165"/>
      <c r="W539" s="165"/>
      <c r="X539" s="116">
        <v>43647</v>
      </c>
      <c r="Y539" s="116">
        <v>45229</v>
      </c>
    </row>
    <row r="540" s="85" customFormat="1" customHeight="1" spans="1:25">
      <c r="A540" s="98" t="s">
        <v>61</v>
      </c>
      <c r="B540" s="98" t="s">
        <v>62</v>
      </c>
      <c r="C540" s="98" t="s">
        <v>238</v>
      </c>
      <c r="D540" s="24" t="s">
        <v>64</v>
      </c>
      <c r="E540" s="161" t="s">
        <v>840</v>
      </c>
      <c r="F540" s="160" t="s">
        <v>841</v>
      </c>
      <c r="G540" s="172" t="s">
        <v>88</v>
      </c>
      <c r="H540" s="100" t="s">
        <v>842</v>
      </c>
      <c r="I540" s="46" t="e">
        <f>VLOOKUP(H540,'合同高级查询数据-4月返'!A:A,1,FALSE)</f>
        <v>#N/A</v>
      </c>
      <c r="J540" s="178" t="s">
        <v>850</v>
      </c>
      <c r="K540" s="107" t="s">
        <v>844</v>
      </c>
      <c r="L540" s="179"/>
      <c r="M540" s="49" t="s">
        <v>845</v>
      </c>
      <c r="N540" s="180">
        <v>43371</v>
      </c>
      <c r="O540" s="73" t="s">
        <v>503</v>
      </c>
      <c r="P540" s="164">
        <v>5216.57</v>
      </c>
      <c r="Q540" s="182">
        <v>19</v>
      </c>
      <c r="R540" s="118">
        <f t="shared" si="19"/>
        <v>99114.83</v>
      </c>
      <c r="S540" s="115">
        <v>202304</v>
      </c>
      <c r="T540" s="186"/>
      <c r="U540" s="186"/>
      <c r="V540" s="165"/>
      <c r="W540" s="165"/>
      <c r="X540" s="116">
        <v>43647</v>
      </c>
      <c r="Y540" s="116">
        <v>45229</v>
      </c>
    </row>
    <row r="541" s="85" customFormat="1" customHeight="1" spans="1:25">
      <c r="A541" s="98" t="s">
        <v>61</v>
      </c>
      <c r="B541" s="98" t="s">
        <v>62</v>
      </c>
      <c r="C541" s="98" t="s">
        <v>238</v>
      </c>
      <c r="D541" s="24" t="s">
        <v>64</v>
      </c>
      <c r="E541" s="161" t="s">
        <v>840</v>
      </c>
      <c r="F541" s="160" t="s">
        <v>841</v>
      </c>
      <c r="G541" s="172" t="s">
        <v>88</v>
      </c>
      <c r="H541" s="100" t="s">
        <v>842</v>
      </c>
      <c r="I541" s="46" t="e">
        <f>VLOOKUP(H541,'合同高级查询数据-4月返'!A:A,1,FALSE)</f>
        <v>#N/A</v>
      </c>
      <c r="J541" s="178" t="s">
        <v>850</v>
      </c>
      <c r="K541" s="107" t="s">
        <v>844</v>
      </c>
      <c r="L541" s="179"/>
      <c r="M541" s="49" t="s">
        <v>845</v>
      </c>
      <c r="N541" s="180">
        <v>43381</v>
      </c>
      <c r="O541" s="73" t="s">
        <v>503</v>
      </c>
      <c r="P541" s="164">
        <v>5216.57</v>
      </c>
      <c r="Q541" s="182">
        <v>11</v>
      </c>
      <c r="R541" s="118">
        <f t="shared" si="19"/>
        <v>57382.27</v>
      </c>
      <c r="S541" s="115">
        <v>202304</v>
      </c>
      <c r="T541" s="186"/>
      <c r="U541" s="186"/>
      <c r="V541" s="165"/>
      <c r="W541" s="165"/>
      <c r="X541" s="116">
        <v>43647</v>
      </c>
      <c r="Y541" s="116">
        <v>45229</v>
      </c>
    </row>
    <row r="542" s="85" customFormat="1" customHeight="1" spans="1:25">
      <c r="A542" s="98" t="s">
        <v>61</v>
      </c>
      <c r="B542" s="98" t="s">
        <v>62</v>
      </c>
      <c r="C542" s="98" t="s">
        <v>238</v>
      </c>
      <c r="D542" s="24" t="s">
        <v>64</v>
      </c>
      <c r="E542" s="161" t="s">
        <v>840</v>
      </c>
      <c r="F542" s="160" t="s">
        <v>841</v>
      </c>
      <c r="G542" s="172" t="s">
        <v>88</v>
      </c>
      <c r="H542" s="100" t="s">
        <v>842</v>
      </c>
      <c r="I542" s="46" t="e">
        <f>VLOOKUP(H542,'合同高级查询数据-4月返'!A:A,1,FALSE)</f>
        <v>#N/A</v>
      </c>
      <c r="J542" s="178" t="s">
        <v>850</v>
      </c>
      <c r="K542" s="107" t="s">
        <v>844</v>
      </c>
      <c r="L542" s="179"/>
      <c r="M542" s="49" t="s">
        <v>845</v>
      </c>
      <c r="N542" s="180">
        <v>43388</v>
      </c>
      <c r="O542" s="73" t="s">
        <v>503</v>
      </c>
      <c r="P542" s="164">
        <v>5216.57</v>
      </c>
      <c r="Q542" s="182">
        <v>1</v>
      </c>
      <c r="R542" s="118">
        <f t="shared" si="19"/>
        <v>5216.57</v>
      </c>
      <c r="S542" s="115">
        <v>202304</v>
      </c>
      <c r="T542" s="186"/>
      <c r="U542" s="186"/>
      <c r="V542" s="165"/>
      <c r="W542" s="165"/>
      <c r="X542" s="116">
        <v>43647</v>
      </c>
      <c r="Y542" s="116">
        <v>45229</v>
      </c>
    </row>
    <row r="543" s="85" customFormat="1" customHeight="1" spans="1:25">
      <c r="A543" s="98" t="s">
        <v>61</v>
      </c>
      <c r="B543" s="98" t="s">
        <v>62</v>
      </c>
      <c r="C543" s="98" t="s">
        <v>238</v>
      </c>
      <c r="D543" s="24" t="s">
        <v>64</v>
      </c>
      <c r="E543" s="161" t="s">
        <v>840</v>
      </c>
      <c r="F543" s="160" t="s">
        <v>841</v>
      </c>
      <c r="G543" s="172" t="s">
        <v>88</v>
      </c>
      <c r="H543" s="100" t="s">
        <v>842</v>
      </c>
      <c r="I543" s="46" t="e">
        <f>VLOOKUP(H543,'合同高级查询数据-4月返'!A:A,1,FALSE)</f>
        <v>#N/A</v>
      </c>
      <c r="J543" s="178" t="s">
        <v>850</v>
      </c>
      <c r="K543" s="107" t="s">
        <v>844</v>
      </c>
      <c r="L543" s="179"/>
      <c r="M543" s="49" t="s">
        <v>845</v>
      </c>
      <c r="N543" s="180">
        <v>43416</v>
      </c>
      <c r="O543" s="73" t="s">
        <v>503</v>
      </c>
      <c r="P543" s="164">
        <v>5216.57</v>
      </c>
      <c r="Q543" s="182">
        <v>4</v>
      </c>
      <c r="R543" s="118">
        <f t="shared" si="19"/>
        <v>20866.28</v>
      </c>
      <c r="S543" s="115">
        <v>202304</v>
      </c>
      <c r="T543" s="186"/>
      <c r="U543" s="186"/>
      <c r="V543" s="165"/>
      <c r="W543" s="165"/>
      <c r="X543" s="116">
        <v>43647</v>
      </c>
      <c r="Y543" s="116">
        <v>45229</v>
      </c>
    </row>
    <row r="544" s="85" customFormat="1" customHeight="1" spans="1:25">
      <c r="A544" s="98" t="s">
        <v>61</v>
      </c>
      <c r="B544" s="98" t="s">
        <v>62</v>
      </c>
      <c r="C544" s="98" t="s">
        <v>238</v>
      </c>
      <c r="D544" s="24" t="s">
        <v>64</v>
      </c>
      <c r="E544" s="161" t="s">
        <v>840</v>
      </c>
      <c r="F544" s="160" t="s">
        <v>841</v>
      </c>
      <c r="G544" s="172" t="s">
        <v>88</v>
      </c>
      <c r="H544" s="100" t="s">
        <v>842</v>
      </c>
      <c r="I544" s="46" t="e">
        <f>VLOOKUP(H544,'合同高级查询数据-4月返'!A:A,1,FALSE)</f>
        <v>#N/A</v>
      </c>
      <c r="J544" s="178" t="s">
        <v>850</v>
      </c>
      <c r="K544" s="107" t="s">
        <v>844</v>
      </c>
      <c r="L544" s="179"/>
      <c r="M544" s="49" t="s">
        <v>845</v>
      </c>
      <c r="N544" s="180">
        <v>43420</v>
      </c>
      <c r="O544" s="73" t="s">
        <v>503</v>
      </c>
      <c r="P544" s="164">
        <v>5216.57</v>
      </c>
      <c r="Q544" s="182">
        <v>3</v>
      </c>
      <c r="R544" s="118">
        <f t="shared" si="19"/>
        <v>15649.71</v>
      </c>
      <c r="S544" s="115">
        <v>202304</v>
      </c>
      <c r="T544" s="186"/>
      <c r="U544" s="186"/>
      <c r="V544" s="165"/>
      <c r="W544" s="165"/>
      <c r="X544" s="116">
        <v>43647</v>
      </c>
      <c r="Y544" s="116">
        <v>45229</v>
      </c>
    </row>
    <row r="545" s="85" customFormat="1" customHeight="1" spans="1:25">
      <c r="A545" s="98" t="s">
        <v>61</v>
      </c>
      <c r="B545" s="98" t="s">
        <v>62</v>
      </c>
      <c r="C545" s="98" t="s">
        <v>238</v>
      </c>
      <c r="D545" s="24" t="s">
        <v>64</v>
      </c>
      <c r="E545" s="161" t="s">
        <v>840</v>
      </c>
      <c r="F545" s="160" t="s">
        <v>841</v>
      </c>
      <c r="G545" s="172" t="s">
        <v>88</v>
      </c>
      <c r="H545" s="100" t="s">
        <v>842</v>
      </c>
      <c r="I545" s="46" t="e">
        <f>VLOOKUP(H545,'合同高级查询数据-4月返'!A:A,1,FALSE)</f>
        <v>#N/A</v>
      </c>
      <c r="J545" s="178" t="s">
        <v>850</v>
      </c>
      <c r="K545" s="107" t="s">
        <v>844</v>
      </c>
      <c r="L545" s="179"/>
      <c r="M545" s="49" t="s">
        <v>845</v>
      </c>
      <c r="N545" s="180">
        <v>43427</v>
      </c>
      <c r="O545" s="73" t="s">
        <v>503</v>
      </c>
      <c r="P545" s="164">
        <v>5216.57</v>
      </c>
      <c r="Q545" s="182">
        <v>3</v>
      </c>
      <c r="R545" s="118">
        <f t="shared" si="19"/>
        <v>15649.71</v>
      </c>
      <c r="S545" s="115">
        <v>202304</v>
      </c>
      <c r="T545" s="186"/>
      <c r="U545" s="186"/>
      <c r="V545" s="165"/>
      <c r="W545" s="165"/>
      <c r="X545" s="116">
        <v>43647</v>
      </c>
      <c r="Y545" s="116">
        <v>45229</v>
      </c>
    </row>
    <row r="546" s="85" customFormat="1" customHeight="1" spans="1:25">
      <c r="A546" s="98" t="s">
        <v>61</v>
      </c>
      <c r="B546" s="98" t="s">
        <v>62</v>
      </c>
      <c r="C546" s="98" t="s">
        <v>238</v>
      </c>
      <c r="D546" s="24" t="s">
        <v>64</v>
      </c>
      <c r="E546" s="161" t="s">
        <v>840</v>
      </c>
      <c r="F546" s="160" t="s">
        <v>841</v>
      </c>
      <c r="G546" s="172" t="s">
        <v>88</v>
      </c>
      <c r="H546" s="100" t="s">
        <v>842</v>
      </c>
      <c r="I546" s="46" t="e">
        <f>VLOOKUP(H546,'合同高级查询数据-4月返'!A:A,1,FALSE)</f>
        <v>#N/A</v>
      </c>
      <c r="J546" s="178" t="s">
        <v>850</v>
      </c>
      <c r="K546" s="107" t="s">
        <v>844</v>
      </c>
      <c r="L546" s="179"/>
      <c r="M546" s="49" t="s">
        <v>845</v>
      </c>
      <c r="N546" s="180">
        <v>43406</v>
      </c>
      <c r="O546" s="73" t="s">
        <v>503</v>
      </c>
      <c r="P546" s="164">
        <v>5216.57</v>
      </c>
      <c r="Q546" s="182">
        <v>2</v>
      </c>
      <c r="R546" s="118">
        <f t="shared" si="19"/>
        <v>10433.14</v>
      </c>
      <c r="S546" s="115">
        <v>202304</v>
      </c>
      <c r="T546" s="186"/>
      <c r="U546" s="186"/>
      <c r="V546" s="165"/>
      <c r="W546" s="165"/>
      <c r="X546" s="116">
        <v>43647</v>
      </c>
      <c r="Y546" s="116">
        <v>45229</v>
      </c>
    </row>
    <row r="547" s="85" customFormat="1" customHeight="1" spans="1:25">
      <c r="A547" s="98" t="s">
        <v>61</v>
      </c>
      <c r="B547" s="98" t="s">
        <v>62</v>
      </c>
      <c r="C547" s="98" t="s">
        <v>238</v>
      </c>
      <c r="D547" s="24" t="s">
        <v>64</v>
      </c>
      <c r="E547" s="161" t="s">
        <v>840</v>
      </c>
      <c r="F547" s="160" t="s">
        <v>841</v>
      </c>
      <c r="G547" s="172" t="s">
        <v>88</v>
      </c>
      <c r="H547" s="100" t="s">
        <v>842</v>
      </c>
      <c r="I547" s="46" t="e">
        <f>VLOOKUP(H547,'合同高级查询数据-4月返'!A:A,1,FALSE)</f>
        <v>#N/A</v>
      </c>
      <c r="J547" s="178" t="s">
        <v>850</v>
      </c>
      <c r="K547" s="107" t="s">
        <v>844</v>
      </c>
      <c r="L547" s="179"/>
      <c r="M547" s="49" t="s">
        <v>845</v>
      </c>
      <c r="N547" s="180">
        <v>43409</v>
      </c>
      <c r="O547" s="73" t="s">
        <v>503</v>
      </c>
      <c r="P547" s="164">
        <v>5216.57</v>
      </c>
      <c r="Q547" s="182">
        <v>28</v>
      </c>
      <c r="R547" s="118">
        <f t="shared" si="19"/>
        <v>146063.96</v>
      </c>
      <c r="S547" s="115">
        <v>202304</v>
      </c>
      <c r="T547" s="186"/>
      <c r="U547" s="186"/>
      <c r="V547" s="165"/>
      <c r="W547" s="165"/>
      <c r="X547" s="116">
        <v>43647</v>
      </c>
      <c r="Y547" s="116">
        <v>45229</v>
      </c>
    </row>
    <row r="548" s="85" customFormat="1" customHeight="1" spans="1:25">
      <c r="A548" s="98" t="s">
        <v>61</v>
      </c>
      <c r="B548" s="98" t="s">
        <v>62</v>
      </c>
      <c r="C548" s="98" t="s">
        <v>238</v>
      </c>
      <c r="D548" s="24" t="s">
        <v>64</v>
      </c>
      <c r="E548" s="161" t="s">
        <v>840</v>
      </c>
      <c r="F548" s="160" t="s">
        <v>841</v>
      </c>
      <c r="G548" s="172" t="s">
        <v>88</v>
      </c>
      <c r="H548" s="100" t="s">
        <v>842</v>
      </c>
      <c r="I548" s="46" t="e">
        <f>VLOOKUP(H548,'合同高级查询数据-4月返'!A:A,1,FALSE)</f>
        <v>#N/A</v>
      </c>
      <c r="J548" s="178" t="s">
        <v>850</v>
      </c>
      <c r="K548" s="107" t="s">
        <v>844</v>
      </c>
      <c r="L548" s="179"/>
      <c r="M548" s="49" t="s">
        <v>845</v>
      </c>
      <c r="N548" s="180">
        <v>43410</v>
      </c>
      <c r="O548" s="73" t="s">
        <v>503</v>
      </c>
      <c r="P548" s="164">
        <v>5216.57</v>
      </c>
      <c r="Q548" s="182">
        <v>2</v>
      </c>
      <c r="R548" s="118">
        <f t="shared" si="19"/>
        <v>10433.14</v>
      </c>
      <c r="S548" s="115">
        <v>202304</v>
      </c>
      <c r="T548" s="186"/>
      <c r="U548" s="186"/>
      <c r="V548" s="165"/>
      <c r="W548" s="165"/>
      <c r="X548" s="116">
        <v>43647</v>
      </c>
      <c r="Y548" s="116">
        <v>45229</v>
      </c>
    </row>
    <row r="549" s="85" customFormat="1" customHeight="1" spans="1:25">
      <c r="A549" s="98" t="s">
        <v>61</v>
      </c>
      <c r="B549" s="98" t="s">
        <v>62</v>
      </c>
      <c r="C549" s="98" t="s">
        <v>238</v>
      </c>
      <c r="D549" s="24" t="s">
        <v>64</v>
      </c>
      <c r="E549" s="161" t="s">
        <v>840</v>
      </c>
      <c r="F549" s="160" t="s">
        <v>841</v>
      </c>
      <c r="G549" s="172" t="s">
        <v>88</v>
      </c>
      <c r="H549" s="100" t="s">
        <v>842</v>
      </c>
      <c r="I549" s="46" t="e">
        <f>VLOOKUP(H549,'合同高级查询数据-4月返'!A:A,1,FALSE)</f>
        <v>#N/A</v>
      </c>
      <c r="J549" s="178" t="s">
        <v>850</v>
      </c>
      <c r="K549" s="107" t="s">
        <v>844</v>
      </c>
      <c r="L549" s="179"/>
      <c r="M549" s="49" t="s">
        <v>845</v>
      </c>
      <c r="N549" s="180">
        <v>43412</v>
      </c>
      <c r="O549" s="73" t="s">
        <v>503</v>
      </c>
      <c r="P549" s="164">
        <v>5216.57</v>
      </c>
      <c r="Q549" s="182">
        <v>1</v>
      </c>
      <c r="R549" s="118">
        <f t="shared" si="19"/>
        <v>5216.57</v>
      </c>
      <c r="S549" s="115">
        <v>202304</v>
      </c>
      <c r="T549" s="186"/>
      <c r="U549" s="186"/>
      <c r="V549" s="165"/>
      <c r="W549" s="165"/>
      <c r="X549" s="116">
        <v>43647</v>
      </c>
      <c r="Y549" s="116">
        <v>45229</v>
      </c>
    </row>
    <row r="550" s="85" customFormat="1" customHeight="1" spans="1:25">
      <c r="A550" s="98" t="s">
        <v>61</v>
      </c>
      <c r="B550" s="98" t="s">
        <v>62</v>
      </c>
      <c r="C550" s="98" t="s">
        <v>238</v>
      </c>
      <c r="D550" s="24" t="s">
        <v>64</v>
      </c>
      <c r="E550" s="161" t="s">
        <v>840</v>
      </c>
      <c r="F550" s="160" t="s">
        <v>841</v>
      </c>
      <c r="G550" s="172" t="s">
        <v>88</v>
      </c>
      <c r="H550" s="100" t="s">
        <v>842</v>
      </c>
      <c r="I550" s="46" t="e">
        <f>VLOOKUP(H550,'合同高级查询数据-4月返'!A:A,1,FALSE)</f>
        <v>#N/A</v>
      </c>
      <c r="J550" s="178" t="s">
        <v>850</v>
      </c>
      <c r="K550" s="107" t="s">
        <v>844</v>
      </c>
      <c r="L550" s="179"/>
      <c r="M550" s="49" t="s">
        <v>845</v>
      </c>
      <c r="N550" s="180">
        <v>43423</v>
      </c>
      <c r="O550" s="73" t="s">
        <v>503</v>
      </c>
      <c r="P550" s="164">
        <v>5216.57</v>
      </c>
      <c r="Q550" s="182">
        <v>8</v>
      </c>
      <c r="R550" s="118">
        <f t="shared" si="19"/>
        <v>41732.56</v>
      </c>
      <c r="S550" s="115">
        <v>202304</v>
      </c>
      <c r="T550" s="186"/>
      <c r="U550" s="186"/>
      <c r="V550" s="165"/>
      <c r="W550" s="165"/>
      <c r="X550" s="116">
        <v>43647</v>
      </c>
      <c r="Y550" s="116">
        <v>45229</v>
      </c>
    </row>
    <row r="551" s="85" customFormat="1" customHeight="1" spans="1:25">
      <c r="A551" s="98" t="s">
        <v>61</v>
      </c>
      <c r="B551" s="98" t="s">
        <v>62</v>
      </c>
      <c r="C551" s="98" t="s">
        <v>238</v>
      </c>
      <c r="D551" s="24" t="s">
        <v>64</v>
      </c>
      <c r="E551" s="161" t="s">
        <v>840</v>
      </c>
      <c r="F551" s="160" t="s">
        <v>841</v>
      </c>
      <c r="G551" s="172" t="s">
        <v>88</v>
      </c>
      <c r="H551" s="100" t="s">
        <v>842</v>
      </c>
      <c r="I551" s="46" t="e">
        <f>VLOOKUP(H551,'合同高级查询数据-4月返'!A:A,1,FALSE)</f>
        <v>#N/A</v>
      </c>
      <c r="J551" s="178" t="s">
        <v>850</v>
      </c>
      <c r="K551" s="107" t="s">
        <v>844</v>
      </c>
      <c r="L551" s="179"/>
      <c r="M551" s="49" t="s">
        <v>845</v>
      </c>
      <c r="N551" s="180">
        <v>43427</v>
      </c>
      <c r="O551" s="73" t="s">
        <v>503</v>
      </c>
      <c r="P551" s="164">
        <v>5216.57</v>
      </c>
      <c r="Q551" s="182">
        <v>2</v>
      </c>
      <c r="R551" s="118">
        <f t="shared" si="19"/>
        <v>10433.14</v>
      </c>
      <c r="S551" s="115">
        <v>202304</v>
      </c>
      <c r="T551" s="186"/>
      <c r="U551" s="186"/>
      <c r="V551" s="165"/>
      <c r="W551" s="165"/>
      <c r="X551" s="116">
        <v>43647</v>
      </c>
      <c r="Y551" s="116">
        <v>45229</v>
      </c>
    </row>
    <row r="552" s="85" customFormat="1" customHeight="1" spans="1:25">
      <c r="A552" s="98" t="s">
        <v>61</v>
      </c>
      <c r="B552" s="98" t="s">
        <v>62</v>
      </c>
      <c r="C552" s="98" t="s">
        <v>238</v>
      </c>
      <c r="D552" s="24" t="s">
        <v>64</v>
      </c>
      <c r="E552" s="161" t="s">
        <v>840</v>
      </c>
      <c r="F552" s="160" t="s">
        <v>841</v>
      </c>
      <c r="G552" s="172" t="s">
        <v>88</v>
      </c>
      <c r="H552" s="100" t="s">
        <v>842</v>
      </c>
      <c r="I552" s="46" t="e">
        <f>VLOOKUP(H552,'合同高级查询数据-4月返'!A:A,1,FALSE)</f>
        <v>#N/A</v>
      </c>
      <c r="J552" s="178" t="s">
        <v>850</v>
      </c>
      <c r="K552" s="107" t="s">
        <v>844</v>
      </c>
      <c r="L552" s="179"/>
      <c r="M552" s="49" t="s">
        <v>845</v>
      </c>
      <c r="N552" s="180">
        <v>43447</v>
      </c>
      <c r="O552" s="73" t="s">
        <v>503</v>
      </c>
      <c r="P552" s="164">
        <v>5216.57</v>
      </c>
      <c r="Q552" s="182">
        <v>2</v>
      </c>
      <c r="R552" s="118">
        <f t="shared" si="19"/>
        <v>10433.14</v>
      </c>
      <c r="S552" s="115">
        <v>202304</v>
      </c>
      <c r="T552" s="186"/>
      <c r="U552" s="186"/>
      <c r="V552" s="165"/>
      <c r="W552" s="165"/>
      <c r="X552" s="116">
        <v>43647</v>
      </c>
      <c r="Y552" s="116">
        <v>45229</v>
      </c>
    </row>
    <row r="553" s="85" customFormat="1" customHeight="1" spans="1:25">
      <c r="A553" s="98" t="s">
        <v>61</v>
      </c>
      <c r="B553" s="98" t="s">
        <v>62</v>
      </c>
      <c r="C553" s="98" t="s">
        <v>238</v>
      </c>
      <c r="D553" s="24" t="s">
        <v>64</v>
      </c>
      <c r="E553" s="161" t="s">
        <v>840</v>
      </c>
      <c r="F553" s="160" t="s">
        <v>841</v>
      </c>
      <c r="G553" s="172" t="s">
        <v>88</v>
      </c>
      <c r="H553" s="100" t="s">
        <v>842</v>
      </c>
      <c r="I553" s="46" t="e">
        <f>VLOOKUP(H553,'合同高级查询数据-4月返'!A:A,1,FALSE)</f>
        <v>#N/A</v>
      </c>
      <c r="J553" s="178" t="s">
        <v>850</v>
      </c>
      <c r="K553" s="107" t="s">
        <v>844</v>
      </c>
      <c r="L553" s="179"/>
      <c r="M553" s="49" t="s">
        <v>845</v>
      </c>
      <c r="N553" s="180">
        <v>43444</v>
      </c>
      <c r="O553" s="73" t="s">
        <v>503</v>
      </c>
      <c r="P553" s="164">
        <v>5216.57</v>
      </c>
      <c r="Q553" s="182">
        <v>4</v>
      </c>
      <c r="R553" s="118">
        <f t="shared" si="19"/>
        <v>20866.28</v>
      </c>
      <c r="S553" s="115">
        <v>202304</v>
      </c>
      <c r="T553" s="186"/>
      <c r="U553" s="186"/>
      <c r="V553" s="165"/>
      <c r="W553" s="165"/>
      <c r="X553" s="116">
        <v>43647</v>
      </c>
      <c r="Y553" s="116">
        <v>45229</v>
      </c>
    </row>
    <row r="554" s="85" customFormat="1" customHeight="1" spans="1:25">
      <c r="A554" s="98" t="s">
        <v>61</v>
      </c>
      <c r="B554" s="98" t="s">
        <v>62</v>
      </c>
      <c r="C554" s="98" t="s">
        <v>238</v>
      </c>
      <c r="D554" s="24" t="s">
        <v>64</v>
      </c>
      <c r="E554" s="161" t="s">
        <v>840</v>
      </c>
      <c r="F554" s="160" t="s">
        <v>841</v>
      </c>
      <c r="G554" s="172" t="s">
        <v>88</v>
      </c>
      <c r="H554" s="100" t="s">
        <v>842</v>
      </c>
      <c r="I554" s="46" t="e">
        <f>VLOOKUP(H554,'合同高级查询数据-4月返'!A:A,1,FALSE)</f>
        <v>#N/A</v>
      </c>
      <c r="J554" s="178" t="s">
        <v>850</v>
      </c>
      <c r="K554" s="107" t="s">
        <v>844</v>
      </c>
      <c r="L554" s="179"/>
      <c r="M554" s="49" t="s">
        <v>845</v>
      </c>
      <c r="N554" s="180">
        <v>43447</v>
      </c>
      <c r="O554" s="73" t="s">
        <v>503</v>
      </c>
      <c r="P554" s="164">
        <v>5216.57</v>
      </c>
      <c r="Q554" s="182">
        <v>8</v>
      </c>
      <c r="R554" s="118">
        <f t="shared" si="19"/>
        <v>41732.56</v>
      </c>
      <c r="S554" s="115">
        <v>202304</v>
      </c>
      <c r="T554" s="186"/>
      <c r="U554" s="186"/>
      <c r="V554" s="165"/>
      <c r="W554" s="165"/>
      <c r="X554" s="116">
        <v>43647</v>
      </c>
      <c r="Y554" s="116">
        <v>45229</v>
      </c>
    </row>
    <row r="555" s="85" customFormat="1" customHeight="1" spans="1:25">
      <c r="A555" s="98" t="s">
        <v>61</v>
      </c>
      <c r="B555" s="98" t="s">
        <v>62</v>
      </c>
      <c r="C555" s="98" t="s">
        <v>238</v>
      </c>
      <c r="D555" s="24" t="s">
        <v>64</v>
      </c>
      <c r="E555" s="161" t="s">
        <v>840</v>
      </c>
      <c r="F555" s="160" t="s">
        <v>841</v>
      </c>
      <c r="G555" s="172" t="s">
        <v>88</v>
      </c>
      <c r="H555" s="100" t="s">
        <v>842</v>
      </c>
      <c r="I555" s="46" t="e">
        <f>VLOOKUP(H555,'合同高级查询数据-4月返'!A:A,1,FALSE)</f>
        <v>#N/A</v>
      </c>
      <c r="J555" s="178" t="s">
        <v>850</v>
      </c>
      <c r="K555" s="107" t="s">
        <v>844</v>
      </c>
      <c r="L555" s="179"/>
      <c r="M555" s="49" t="s">
        <v>845</v>
      </c>
      <c r="N555" s="180">
        <v>43462</v>
      </c>
      <c r="O555" s="73" t="s">
        <v>503</v>
      </c>
      <c r="P555" s="164">
        <v>5216.57</v>
      </c>
      <c r="Q555" s="182">
        <v>1</v>
      </c>
      <c r="R555" s="118">
        <f t="shared" si="19"/>
        <v>5216.57</v>
      </c>
      <c r="S555" s="115">
        <v>202304</v>
      </c>
      <c r="T555" s="186"/>
      <c r="U555" s="186"/>
      <c r="V555" s="165"/>
      <c r="W555" s="165"/>
      <c r="X555" s="116">
        <v>43647</v>
      </c>
      <c r="Y555" s="116">
        <v>45229</v>
      </c>
    </row>
    <row r="556" s="85" customFormat="1" customHeight="1" spans="1:25">
      <c r="A556" s="98" t="s">
        <v>61</v>
      </c>
      <c r="B556" s="98" t="s">
        <v>62</v>
      </c>
      <c r="C556" s="98" t="s">
        <v>238</v>
      </c>
      <c r="D556" s="24" t="s">
        <v>64</v>
      </c>
      <c r="E556" s="161" t="s">
        <v>840</v>
      </c>
      <c r="F556" s="160" t="s">
        <v>841</v>
      </c>
      <c r="G556" s="172" t="s">
        <v>88</v>
      </c>
      <c r="H556" s="100" t="s">
        <v>842</v>
      </c>
      <c r="I556" s="46" t="e">
        <f>VLOOKUP(H556,'合同高级查询数据-4月返'!A:A,1,FALSE)</f>
        <v>#N/A</v>
      </c>
      <c r="J556" s="178" t="s">
        <v>850</v>
      </c>
      <c r="K556" s="107" t="s">
        <v>844</v>
      </c>
      <c r="L556" s="179"/>
      <c r="M556" s="49" t="s">
        <v>845</v>
      </c>
      <c r="N556" s="180">
        <v>43476</v>
      </c>
      <c r="O556" s="73" t="s">
        <v>503</v>
      </c>
      <c r="P556" s="164">
        <v>5216.57</v>
      </c>
      <c r="Q556" s="182">
        <v>3</v>
      </c>
      <c r="R556" s="118">
        <f t="shared" si="19"/>
        <v>15649.71</v>
      </c>
      <c r="S556" s="115">
        <v>202304</v>
      </c>
      <c r="T556" s="186"/>
      <c r="U556" s="186"/>
      <c r="V556" s="165"/>
      <c r="W556" s="165"/>
      <c r="X556" s="116">
        <v>43647</v>
      </c>
      <c r="Y556" s="116">
        <v>45229</v>
      </c>
    </row>
    <row r="557" s="85" customFormat="1" customHeight="1" spans="1:25">
      <c r="A557" s="98" t="s">
        <v>61</v>
      </c>
      <c r="B557" s="98" t="s">
        <v>62</v>
      </c>
      <c r="C557" s="98" t="s">
        <v>238</v>
      </c>
      <c r="D557" s="24" t="s">
        <v>64</v>
      </c>
      <c r="E557" s="161" t="s">
        <v>840</v>
      </c>
      <c r="F557" s="160" t="s">
        <v>841</v>
      </c>
      <c r="G557" s="172" t="s">
        <v>88</v>
      </c>
      <c r="H557" s="100" t="s">
        <v>842</v>
      </c>
      <c r="I557" s="46" t="e">
        <f>VLOOKUP(H557,'合同高级查询数据-4月返'!A:A,1,FALSE)</f>
        <v>#N/A</v>
      </c>
      <c r="J557" s="178" t="s">
        <v>850</v>
      </c>
      <c r="K557" s="107" t="s">
        <v>844</v>
      </c>
      <c r="L557" s="179"/>
      <c r="M557" s="49" t="s">
        <v>845</v>
      </c>
      <c r="N557" s="180">
        <v>43480</v>
      </c>
      <c r="O557" s="73" t="s">
        <v>503</v>
      </c>
      <c r="P557" s="164">
        <v>5216.57</v>
      </c>
      <c r="Q557" s="182">
        <v>4</v>
      </c>
      <c r="R557" s="118">
        <f t="shared" si="19"/>
        <v>20866.28</v>
      </c>
      <c r="S557" s="115">
        <v>202304</v>
      </c>
      <c r="T557" s="186"/>
      <c r="U557" s="186"/>
      <c r="V557" s="165"/>
      <c r="W557" s="165"/>
      <c r="X557" s="116">
        <v>43647</v>
      </c>
      <c r="Y557" s="116">
        <v>45229</v>
      </c>
    </row>
    <row r="558" s="85" customFormat="1" customHeight="1" spans="1:25">
      <c r="A558" s="98" t="s">
        <v>61</v>
      </c>
      <c r="B558" s="98" t="s">
        <v>62</v>
      </c>
      <c r="C558" s="98" t="s">
        <v>238</v>
      </c>
      <c r="D558" s="24" t="s">
        <v>64</v>
      </c>
      <c r="E558" s="161" t="s">
        <v>840</v>
      </c>
      <c r="F558" s="160" t="s">
        <v>841</v>
      </c>
      <c r="G558" s="172" t="s">
        <v>88</v>
      </c>
      <c r="H558" s="100" t="s">
        <v>842</v>
      </c>
      <c r="I558" s="46" t="e">
        <f>VLOOKUP(H558,'合同高级查询数据-4月返'!A:A,1,FALSE)</f>
        <v>#N/A</v>
      </c>
      <c r="J558" s="178" t="s">
        <v>850</v>
      </c>
      <c r="K558" s="107" t="s">
        <v>844</v>
      </c>
      <c r="L558" s="179"/>
      <c r="M558" s="49" t="s">
        <v>845</v>
      </c>
      <c r="N558" s="180">
        <v>43481</v>
      </c>
      <c r="O558" s="73" t="s">
        <v>503</v>
      </c>
      <c r="P558" s="164">
        <v>5216.57</v>
      </c>
      <c r="Q558" s="182">
        <v>1</v>
      </c>
      <c r="R558" s="118">
        <f t="shared" si="19"/>
        <v>5216.57</v>
      </c>
      <c r="S558" s="115">
        <v>202304</v>
      </c>
      <c r="T558" s="186"/>
      <c r="U558" s="186"/>
      <c r="V558" s="165"/>
      <c r="W558" s="165"/>
      <c r="X558" s="116">
        <v>43647</v>
      </c>
      <c r="Y558" s="116">
        <v>45229</v>
      </c>
    </row>
    <row r="559" s="85" customFormat="1" customHeight="1" spans="1:25">
      <c r="A559" s="98" t="s">
        <v>61</v>
      </c>
      <c r="B559" s="98" t="s">
        <v>62</v>
      </c>
      <c r="C559" s="98" t="s">
        <v>238</v>
      </c>
      <c r="D559" s="24" t="s">
        <v>64</v>
      </c>
      <c r="E559" s="161" t="s">
        <v>840</v>
      </c>
      <c r="F559" s="160" t="s">
        <v>841</v>
      </c>
      <c r="G559" s="172" t="s">
        <v>88</v>
      </c>
      <c r="H559" s="100" t="s">
        <v>842</v>
      </c>
      <c r="I559" s="46" t="e">
        <f>VLOOKUP(H559,'合同高级查询数据-4月返'!A:A,1,FALSE)</f>
        <v>#N/A</v>
      </c>
      <c r="J559" s="178" t="s">
        <v>850</v>
      </c>
      <c r="K559" s="107" t="s">
        <v>844</v>
      </c>
      <c r="L559" s="179"/>
      <c r="M559" s="49" t="s">
        <v>845</v>
      </c>
      <c r="N559" s="180">
        <v>43493</v>
      </c>
      <c r="O559" s="73" t="s">
        <v>503</v>
      </c>
      <c r="P559" s="164">
        <v>5216.57</v>
      </c>
      <c r="Q559" s="182">
        <v>1</v>
      </c>
      <c r="R559" s="118">
        <f t="shared" si="19"/>
        <v>5216.57</v>
      </c>
      <c r="S559" s="115">
        <v>202304</v>
      </c>
      <c r="T559" s="186"/>
      <c r="U559" s="186"/>
      <c r="V559" s="165"/>
      <c r="W559" s="165"/>
      <c r="X559" s="116">
        <v>43647</v>
      </c>
      <c r="Y559" s="116">
        <v>45229</v>
      </c>
    </row>
    <row r="560" s="85" customFormat="1" customHeight="1" spans="1:25">
      <c r="A560" s="98" t="s">
        <v>61</v>
      </c>
      <c r="B560" s="98" t="s">
        <v>62</v>
      </c>
      <c r="C560" s="98" t="s">
        <v>238</v>
      </c>
      <c r="D560" s="24" t="s">
        <v>64</v>
      </c>
      <c r="E560" s="161" t="s">
        <v>840</v>
      </c>
      <c r="F560" s="160" t="s">
        <v>841</v>
      </c>
      <c r="G560" s="172" t="s">
        <v>88</v>
      </c>
      <c r="H560" s="100" t="s">
        <v>842</v>
      </c>
      <c r="I560" s="46" t="e">
        <f>VLOOKUP(H560,'合同高级查询数据-4月返'!A:A,1,FALSE)</f>
        <v>#N/A</v>
      </c>
      <c r="J560" s="178" t="s">
        <v>850</v>
      </c>
      <c r="K560" s="107" t="s">
        <v>844</v>
      </c>
      <c r="L560" s="179"/>
      <c r="M560" s="49" t="s">
        <v>845</v>
      </c>
      <c r="N560" s="180">
        <v>43127</v>
      </c>
      <c r="O560" s="73" t="s">
        <v>503</v>
      </c>
      <c r="P560" s="164">
        <v>5216.57</v>
      </c>
      <c r="Q560" s="182">
        <v>3</v>
      </c>
      <c r="R560" s="118">
        <f t="shared" si="19"/>
        <v>15649.71</v>
      </c>
      <c r="S560" s="115">
        <v>202304</v>
      </c>
      <c r="T560" s="186"/>
      <c r="U560" s="186"/>
      <c r="V560" s="165"/>
      <c r="W560" s="165"/>
      <c r="X560" s="116">
        <v>43647</v>
      </c>
      <c r="Y560" s="116">
        <v>45229</v>
      </c>
    </row>
    <row r="561" s="85" customFormat="1" customHeight="1" spans="1:25">
      <c r="A561" s="98" t="s">
        <v>61</v>
      </c>
      <c r="B561" s="98" t="s">
        <v>62</v>
      </c>
      <c r="C561" s="98" t="s">
        <v>238</v>
      </c>
      <c r="D561" s="24" t="s">
        <v>64</v>
      </c>
      <c r="E561" s="161" t="s">
        <v>840</v>
      </c>
      <c r="F561" s="160" t="s">
        <v>841</v>
      </c>
      <c r="G561" s="172" t="s">
        <v>88</v>
      </c>
      <c r="H561" s="100" t="s">
        <v>842</v>
      </c>
      <c r="I561" s="46" t="e">
        <f>VLOOKUP(H561,'合同高级查询数据-4月返'!A:A,1,FALSE)</f>
        <v>#N/A</v>
      </c>
      <c r="J561" s="178" t="s">
        <v>850</v>
      </c>
      <c r="K561" s="107" t="s">
        <v>844</v>
      </c>
      <c r="L561" s="179"/>
      <c r="M561" s="49" t="s">
        <v>845</v>
      </c>
      <c r="N561" s="180">
        <v>43484</v>
      </c>
      <c r="O561" s="73" t="s">
        <v>503</v>
      </c>
      <c r="P561" s="164">
        <v>5216.57</v>
      </c>
      <c r="Q561" s="182">
        <v>10</v>
      </c>
      <c r="R561" s="118">
        <f t="shared" si="19"/>
        <v>52165.7</v>
      </c>
      <c r="S561" s="115">
        <v>202304</v>
      </c>
      <c r="T561" s="186"/>
      <c r="U561" s="186"/>
      <c r="V561" s="165"/>
      <c r="W561" s="165"/>
      <c r="X561" s="116">
        <v>43647</v>
      </c>
      <c r="Y561" s="116">
        <v>45229</v>
      </c>
    </row>
    <row r="562" s="85" customFormat="1" customHeight="1" spans="1:25">
      <c r="A562" s="98" t="s">
        <v>61</v>
      </c>
      <c r="B562" s="98" t="s">
        <v>62</v>
      </c>
      <c r="C562" s="98" t="s">
        <v>238</v>
      </c>
      <c r="D562" s="24" t="s">
        <v>64</v>
      </c>
      <c r="E562" s="161" t="s">
        <v>840</v>
      </c>
      <c r="F562" s="160" t="s">
        <v>841</v>
      </c>
      <c r="G562" s="172" t="s">
        <v>88</v>
      </c>
      <c r="H562" s="100" t="s">
        <v>842</v>
      </c>
      <c r="I562" s="46" t="e">
        <f>VLOOKUP(H562,'合同高级查询数据-4月返'!A:A,1,FALSE)</f>
        <v>#N/A</v>
      </c>
      <c r="J562" s="178" t="s">
        <v>850</v>
      </c>
      <c r="K562" s="107" t="s">
        <v>844</v>
      </c>
      <c r="L562" s="179"/>
      <c r="M562" s="49" t="s">
        <v>845</v>
      </c>
      <c r="N562" s="180">
        <v>43494</v>
      </c>
      <c r="O562" s="73" t="s">
        <v>503</v>
      </c>
      <c r="P562" s="164">
        <v>5216.57</v>
      </c>
      <c r="Q562" s="182">
        <v>1</v>
      </c>
      <c r="R562" s="118">
        <f t="shared" si="19"/>
        <v>5216.57</v>
      </c>
      <c r="S562" s="115">
        <v>202304</v>
      </c>
      <c r="T562" s="186"/>
      <c r="U562" s="186"/>
      <c r="V562" s="165"/>
      <c r="W562" s="165"/>
      <c r="X562" s="116">
        <v>43647</v>
      </c>
      <c r="Y562" s="116">
        <v>45229</v>
      </c>
    </row>
    <row r="563" s="85" customFormat="1" customHeight="1" spans="1:25">
      <c r="A563" s="98" t="s">
        <v>61</v>
      </c>
      <c r="B563" s="98" t="s">
        <v>62</v>
      </c>
      <c r="C563" s="98" t="s">
        <v>238</v>
      </c>
      <c r="D563" s="24" t="s">
        <v>64</v>
      </c>
      <c r="E563" s="161" t="s">
        <v>840</v>
      </c>
      <c r="F563" s="160" t="s">
        <v>841</v>
      </c>
      <c r="G563" s="172" t="s">
        <v>88</v>
      </c>
      <c r="H563" s="100" t="s">
        <v>842</v>
      </c>
      <c r="I563" s="46" t="e">
        <f>VLOOKUP(H563,'合同高级查询数据-4月返'!A:A,1,FALSE)</f>
        <v>#N/A</v>
      </c>
      <c r="J563" s="178" t="s">
        <v>850</v>
      </c>
      <c r="K563" s="107" t="s">
        <v>844</v>
      </c>
      <c r="L563" s="179"/>
      <c r="M563" s="49" t="s">
        <v>845</v>
      </c>
      <c r="N563" s="180">
        <v>43516</v>
      </c>
      <c r="O563" s="73" t="s">
        <v>503</v>
      </c>
      <c r="P563" s="164">
        <v>5216.57</v>
      </c>
      <c r="Q563" s="182">
        <v>1</v>
      </c>
      <c r="R563" s="118">
        <f t="shared" si="19"/>
        <v>5216.57</v>
      </c>
      <c r="S563" s="115">
        <v>202304</v>
      </c>
      <c r="T563" s="186"/>
      <c r="U563" s="186"/>
      <c r="V563" s="165"/>
      <c r="W563" s="165"/>
      <c r="X563" s="116">
        <v>43647</v>
      </c>
      <c r="Y563" s="116">
        <v>45229</v>
      </c>
    </row>
    <row r="564" s="85" customFormat="1" customHeight="1" spans="1:25">
      <c r="A564" s="98" t="s">
        <v>61</v>
      </c>
      <c r="B564" s="98" t="s">
        <v>62</v>
      </c>
      <c r="C564" s="98" t="s">
        <v>238</v>
      </c>
      <c r="D564" s="24" t="s">
        <v>64</v>
      </c>
      <c r="E564" s="161" t="s">
        <v>840</v>
      </c>
      <c r="F564" s="160" t="s">
        <v>841</v>
      </c>
      <c r="G564" s="172" t="s">
        <v>88</v>
      </c>
      <c r="H564" s="100" t="s">
        <v>842</v>
      </c>
      <c r="I564" s="46" t="e">
        <f>VLOOKUP(H564,'合同高级查询数据-4月返'!A:A,1,FALSE)</f>
        <v>#N/A</v>
      </c>
      <c r="J564" s="178" t="s">
        <v>850</v>
      </c>
      <c r="K564" s="107" t="s">
        <v>844</v>
      </c>
      <c r="L564" s="179"/>
      <c r="M564" s="49" t="s">
        <v>845</v>
      </c>
      <c r="N564" s="180">
        <v>43525</v>
      </c>
      <c r="O564" s="73" t="s">
        <v>503</v>
      </c>
      <c r="P564" s="164">
        <v>5216.57</v>
      </c>
      <c r="Q564" s="182">
        <v>1</v>
      </c>
      <c r="R564" s="118">
        <f t="shared" si="19"/>
        <v>5216.57</v>
      </c>
      <c r="S564" s="115">
        <v>202304</v>
      </c>
      <c r="T564" s="186"/>
      <c r="U564" s="186"/>
      <c r="V564" s="165"/>
      <c r="W564" s="165"/>
      <c r="X564" s="116">
        <v>43647</v>
      </c>
      <c r="Y564" s="116">
        <v>45229</v>
      </c>
    </row>
    <row r="565" s="85" customFormat="1" customHeight="1" spans="1:25">
      <c r="A565" s="98" t="s">
        <v>61</v>
      </c>
      <c r="B565" s="98" t="s">
        <v>62</v>
      </c>
      <c r="C565" s="98" t="s">
        <v>238</v>
      </c>
      <c r="D565" s="24" t="s">
        <v>64</v>
      </c>
      <c r="E565" s="161" t="s">
        <v>840</v>
      </c>
      <c r="F565" s="160" t="s">
        <v>841</v>
      </c>
      <c r="G565" s="172" t="s">
        <v>88</v>
      </c>
      <c r="H565" s="100" t="s">
        <v>842</v>
      </c>
      <c r="I565" s="46" t="e">
        <f>VLOOKUP(H565,'合同高级查询数据-4月返'!A:A,1,FALSE)</f>
        <v>#N/A</v>
      </c>
      <c r="J565" s="178" t="s">
        <v>850</v>
      </c>
      <c r="K565" s="107" t="s">
        <v>844</v>
      </c>
      <c r="L565" s="179"/>
      <c r="M565" s="49" t="s">
        <v>845</v>
      </c>
      <c r="N565" s="180">
        <v>43521</v>
      </c>
      <c r="O565" s="73" t="s">
        <v>503</v>
      </c>
      <c r="P565" s="164">
        <v>5216.57</v>
      </c>
      <c r="Q565" s="182">
        <v>10</v>
      </c>
      <c r="R565" s="118">
        <f t="shared" si="19"/>
        <v>52165.7</v>
      </c>
      <c r="S565" s="115">
        <v>202304</v>
      </c>
      <c r="T565" s="186"/>
      <c r="U565" s="186"/>
      <c r="V565" s="165"/>
      <c r="W565" s="165"/>
      <c r="X565" s="116">
        <v>43647</v>
      </c>
      <c r="Y565" s="116">
        <v>45229</v>
      </c>
    </row>
    <row r="566" s="85" customFormat="1" customHeight="1" spans="1:25">
      <c r="A566" s="98" t="s">
        <v>61</v>
      </c>
      <c r="B566" s="98" t="s">
        <v>62</v>
      </c>
      <c r="C566" s="98" t="s">
        <v>238</v>
      </c>
      <c r="D566" s="24" t="s">
        <v>64</v>
      </c>
      <c r="E566" s="161" t="s">
        <v>840</v>
      </c>
      <c r="F566" s="160" t="s">
        <v>841</v>
      </c>
      <c r="G566" s="172" t="s">
        <v>88</v>
      </c>
      <c r="H566" s="100" t="s">
        <v>842</v>
      </c>
      <c r="I566" s="46" t="e">
        <f>VLOOKUP(H566,'合同高级查询数据-4月返'!A:A,1,FALSE)</f>
        <v>#N/A</v>
      </c>
      <c r="J566" s="178" t="s">
        <v>850</v>
      </c>
      <c r="K566" s="107" t="s">
        <v>844</v>
      </c>
      <c r="L566" s="179"/>
      <c r="M566" s="49" t="s">
        <v>845</v>
      </c>
      <c r="N566" s="180">
        <v>43636</v>
      </c>
      <c r="O566" s="73" t="s">
        <v>503</v>
      </c>
      <c r="P566" s="164">
        <v>5216.57</v>
      </c>
      <c r="Q566" s="182">
        <v>2</v>
      </c>
      <c r="R566" s="118">
        <f t="shared" si="19"/>
        <v>10433.14</v>
      </c>
      <c r="S566" s="115">
        <v>202304</v>
      </c>
      <c r="T566" s="186"/>
      <c r="U566" s="186"/>
      <c r="V566" s="165"/>
      <c r="W566" s="165"/>
      <c r="X566" s="116">
        <v>43647</v>
      </c>
      <c r="Y566" s="116">
        <v>45229</v>
      </c>
    </row>
    <row r="567" s="85" customFormat="1" customHeight="1" spans="1:25">
      <c r="A567" s="98" t="s">
        <v>61</v>
      </c>
      <c r="B567" s="98" t="s">
        <v>62</v>
      </c>
      <c r="C567" s="98" t="s">
        <v>238</v>
      </c>
      <c r="D567" s="24" t="s">
        <v>64</v>
      </c>
      <c r="E567" s="161" t="s">
        <v>840</v>
      </c>
      <c r="F567" s="160" t="s">
        <v>841</v>
      </c>
      <c r="G567" s="172" t="s">
        <v>88</v>
      </c>
      <c r="H567" s="100" t="s">
        <v>842</v>
      </c>
      <c r="I567" s="46" t="e">
        <f>VLOOKUP(H567,'合同高级查询数据-4月返'!A:A,1,FALSE)</f>
        <v>#N/A</v>
      </c>
      <c r="J567" s="178" t="s">
        <v>850</v>
      </c>
      <c r="K567" s="107" t="s">
        <v>844</v>
      </c>
      <c r="L567" s="179"/>
      <c r="M567" s="49" t="s">
        <v>845</v>
      </c>
      <c r="N567" s="180">
        <v>43636</v>
      </c>
      <c r="O567" s="73" t="s">
        <v>503</v>
      </c>
      <c r="P567" s="164">
        <v>5216.57</v>
      </c>
      <c r="Q567" s="182">
        <v>1</v>
      </c>
      <c r="R567" s="118">
        <f t="shared" si="19"/>
        <v>5216.57</v>
      </c>
      <c r="S567" s="115">
        <v>202304</v>
      </c>
      <c r="T567" s="186"/>
      <c r="U567" s="186"/>
      <c r="V567" s="165"/>
      <c r="W567" s="165"/>
      <c r="X567" s="116">
        <v>43647</v>
      </c>
      <c r="Y567" s="116">
        <v>45229</v>
      </c>
    </row>
    <row r="568" s="85" customFormat="1" customHeight="1" spans="1:25">
      <c r="A568" s="98" t="s">
        <v>61</v>
      </c>
      <c r="B568" s="98" t="s">
        <v>62</v>
      </c>
      <c r="C568" s="98" t="s">
        <v>238</v>
      </c>
      <c r="D568" s="24" t="s">
        <v>64</v>
      </c>
      <c r="E568" s="161" t="s">
        <v>840</v>
      </c>
      <c r="F568" s="160" t="s">
        <v>841</v>
      </c>
      <c r="G568" s="172" t="s">
        <v>88</v>
      </c>
      <c r="H568" s="100" t="s">
        <v>842</v>
      </c>
      <c r="I568" s="46" t="e">
        <f>VLOOKUP(H568,'合同高级查询数据-4月返'!A:A,1,FALSE)</f>
        <v>#N/A</v>
      </c>
      <c r="J568" s="178" t="s">
        <v>850</v>
      </c>
      <c r="K568" s="107" t="s">
        <v>844</v>
      </c>
      <c r="L568" s="179"/>
      <c r="M568" s="49" t="s">
        <v>845</v>
      </c>
      <c r="N568" s="180">
        <v>43584</v>
      </c>
      <c r="O568" s="73" t="s">
        <v>503</v>
      </c>
      <c r="P568" s="164">
        <v>5216.57</v>
      </c>
      <c r="Q568" s="182">
        <v>2</v>
      </c>
      <c r="R568" s="118">
        <f t="shared" si="19"/>
        <v>10433.14</v>
      </c>
      <c r="S568" s="115">
        <v>202304</v>
      </c>
      <c r="T568" s="186"/>
      <c r="U568" s="186"/>
      <c r="V568" s="165"/>
      <c r="W568" s="165"/>
      <c r="X568" s="116">
        <v>43647</v>
      </c>
      <c r="Y568" s="116">
        <v>45229</v>
      </c>
    </row>
    <row r="569" s="85" customFormat="1" customHeight="1" spans="1:25">
      <c r="A569" s="98" t="s">
        <v>61</v>
      </c>
      <c r="B569" s="98" t="s">
        <v>62</v>
      </c>
      <c r="C569" s="98" t="s">
        <v>238</v>
      </c>
      <c r="D569" s="24" t="s">
        <v>64</v>
      </c>
      <c r="E569" s="161" t="s">
        <v>840</v>
      </c>
      <c r="F569" s="160" t="s">
        <v>841</v>
      </c>
      <c r="G569" s="172" t="s">
        <v>88</v>
      </c>
      <c r="H569" s="100" t="s">
        <v>842</v>
      </c>
      <c r="I569" s="46" t="e">
        <f>VLOOKUP(H569,'合同高级查询数据-4月返'!A:A,1,FALSE)</f>
        <v>#N/A</v>
      </c>
      <c r="J569" s="178" t="s">
        <v>850</v>
      </c>
      <c r="K569" s="107" t="s">
        <v>844</v>
      </c>
      <c r="L569" s="179"/>
      <c r="M569" s="49" t="s">
        <v>845</v>
      </c>
      <c r="N569" s="180">
        <v>43595</v>
      </c>
      <c r="O569" s="73" t="s">
        <v>503</v>
      </c>
      <c r="P569" s="164">
        <v>5216.57</v>
      </c>
      <c r="Q569" s="182">
        <v>2</v>
      </c>
      <c r="R569" s="118">
        <f t="shared" si="19"/>
        <v>10433.14</v>
      </c>
      <c r="S569" s="115">
        <v>202304</v>
      </c>
      <c r="T569" s="186"/>
      <c r="U569" s="186"/>
      <c r="V569" s="165"/>
      <c r="W569" s="165"/>
      <c r="X569" s="116">
        <v>43647</v>
      </c>
      <c r="Y569" s="116">
        <v>45229</v>
      </c>
    </row>
    <row r="570" s="85" customFormat="1" customHeight="1" spans="1:25">
      <c r="A570" s="98" t="s">
        <v>61</v>
      </c>
      <c r="B570" s="98" t="s">
        <v>62</v>
      </c>
      <c r="C570" s="98" t="s">
        <v>238</v>
      </c>
      <c r="D570" s="24" t="s">
        <v>64</v>
      </c>
      <c r="E570" s="161" t="s">
        <v>840</v>
      </c>
      <c r="F570" s="160" t="s">
        <v>841</v>
      </c>
      <c r="G570" s="172" t="s">
        <v>88</v>
      </c>
      <c r="H570" s="100" t="s">
        <v>842</v>
      </c>
      <c r="I570" s="46" t="e">
        <f>VLOOKUP(H570,'合同高级查询数据-4月返'!A:A,1,FALSE)</f>
        <v>#N/A</v>
      </c>
      <c r="J570" s="178" t="s">
        <v>850</v>
      </c>
      <c r="K570" s="107" t="s">
        <v>844</v>
      </c>
      <c r="L570" s="179"/>
      <c r="M570" s="49" t="s">
        <v>845</v>
      </c>
      <c r="N570" s="180">
        <v>43619</v>
      </c>
      <c r="O570" s="73" t="s">
        <v>503</v>
      </c>
      <c r="P570" s="164">
        <v>5216.57</v>
      </c>
      <c r="Q570" s="182">
        <v>2</v>
      </c>
      <c r="R570" s="118">
        <f t="shared" si="19"/>
        <v>10433.14</v>
      </c>
      <c r="S570" s="115">
        <v>202304</v>
      </c>
      <c r="T570" s="186"/>
      <c r="U570" s="186"/>
      <c r="V570" s="165"/>
      <c r="W570" s="165"/>
      <c r="X570" s="116">
        <v>43647</v>
      </c>
      <c r="Y570" s="116">
        <v>45229</v>
      </c>
    </row>
    <row r="571" s="85" customFormat="1" customHeight="1" spans="1:25">
      <c r="A571" s="98" t="s">
        <v>61</v>
      </c>
      <c r="B571" s="98" t="s">
        <v>62</v>
      </c>
      <c r="C571" s="98" t="s">
        <v>238</v>
      </c>
      <c r="D571" s="24" t="s">
        <v>64</v>
      </c>
      <c r="E571" s="161" t="s">
        <v>840</v>
      </c>
      <c r="F571" s="160" t="s">
        <v>841</v>
      </c>
      <c r="G571" s="172" t="s">
        <v>88</v>
      </c>
      <c r="H571" s="100" t="s">
        <v>842</v>
      </c>
      <c r="I571" s="46" t="e">
        <f>VLOOKUP(H571,'合同高级查询数据-4月返'!A:A,1,FALSE)</f>
        <v>#N/A</v>
      </c>
      <c r="J571" s="178" t="s">
        <v>850</v>
      </c>
      <c r="K571" s="107" t="s">
        <v>844</v>
      </c>
      <c r="L571" s="179"/>
      <c r="M571" s="49" t="s">
        <v>845</v>
      </c>
      <c r="N571" s="180">
        <v>43642</v>
      </c>
      <c r="O571" s="73" t="s">
        <v>503</v>
      </c>
      <c r="P571" s="164">
        <v>5216.57</v>
      </c>
      <c r="Q571" s="182">
        <v>11</v>
      </c>
      <c r="R571" s="118">
        <f t="shared" si="19"/>
        <v>57382.27</v>
      </c>
      <c r="S571" s="115">
        <v>202304</v>
      </c>
      <c r="T571" s="186" t="s">
        <v>851</v>
      </c>
      <c r="U571" s="186"/>
      <c r="V571" s="165"/>
      <c r="W571" s="165"/>
      <c r="X571" s="116">
        <v>43647</v>
      </c>
      <c r="Y571" s="116">
        <v>45229</v>
      </c>
    </row>
    <row r="572" s="85" customFormat="1" customHeight="1" spans="1:25">
      <c r="A572" s="98" t="s">
        <v>61</v>
      </c>
      <c r="B572" s="98" t="s">
        <v>62</v>
      </c>
      <c r="C572" s="98" t="s">
        <v>238</v>
      </c>
      <c r="D572" s="24" t="s">
        <v>64</v>
      </c>
      <c r="E572" s="161" t="s">
        <v>840</v>
      </c>
      <c r="F572" s="160" t="s">
        <v>841</v>
      </c>
      <c r="G572" s="172" t="s">
        <v>88</v>
      </c>
      <c r="H572" s="100" t="s">
        <v>842</v>
      </c>
      <c r="I572" s="46" t="e">
        <f>VLOOKUP(H572,'合同高级查询数据-4月返'!A:A,1,FALSE)</f>
        <v>#N/A</v>
      </c>
      <c r="J572" s="178" t="s">
        <v>850</v>
      </c>
      <c r="K572" s="107" t="s">
        <v>844</v>
      </c>
      <c r="L572" s="179"/>
      <c r="M572" s="49" t="s">
        <v>845</v>
      </c>
      <c r="N572" s="180">
        <v>43647</v>
      </c>
      <c r="O572" s="73" t="s">
        <v>503</v>
      </c>
      <c r="P572" s="164">
        <v>5216.57</v>
      </c>
      <c r="Q572" s="182">
        <v>7</v>
      </c>
      <c r="R572" s="118">
        <f t="shared" si="19"/>
        <v>36515.99</v>
      </c>
      <c r="S572" s="115">
        <v>202304</v>
      </c>
      <c r="T572" s="186" t="s">
        <v>852</v>
      </c>
      <c r="U572" s="186"/>
      <c r="V572" s="165"/>
      <c r="W572" s="165"/>
      <c r="X572" s="116">
        <v>43647</v>
      </c>
      <c r="Y572" s="116">
        <v>45229</v>
      </c>
    </row>
    <row r="573" s="85" customFormat="1" customHeight="1" spans="1:25">
      <c r="A573" s="98" t="s">
        <v>61</v>
      </c>
      <c r="B573" s="98" t="s">
        <v>62</v>
      </c>
      <c r="C573" s="98" t="s">
        <v>238</v>
      </c>
      <c r="D573" s="24" t="s">
        <v>64</v>
      </c>
      <c r="E573" s="161" t="s">
        <v>840</v>
      </c>
      <c r="F573" s="160" t="s">
        <v>841</v>
      </c>
      <c r="G573" s="172" t="s">
        <v>88</v>
      </c>
      <c r="H573" s="100" t="s">
        <v>842</v>
      </c>
      <c r="I573" s="46" t="e">
        <f>VLOOKUP(H573,'合同高级查询数据-4月返'!A:A,1,FALSE)</f>
        <v>#N/A</v>
      </c>
      <c r="J573" s="178" t="s">
        <v>850</v>
      </c>
      <c r="K573" s="107" t="s">
        <v>844</v>
      </c>
      <c r="L573" s="179"/>
      <c r="M573" s="49" t="s">
        <v>845</v>
      </c>
      <c r="N573" s="180">
        <v>43667</v>
      </c>
      <c r="O573" s="73" t="s">
        <v>503</v>
      </c>
      <c r="P573" s="164">
        <v>5216.57</v>
      </c>
      <c r="Q573" s="182">
        <v>1</v>
      </c>
      <c r="R573" s="118">
        <f t="shared" si="19"/>
        <v>5216.57</v>
      </c>
      <c r="S573" s="115">
        <v>202304</v>
      </c>
      <c r="T573" s="186" t="s">
        <v>853</v>
      </c>
      <c r="U573" s="186"/>
      <c r="V573" s="165"/>
      <c r="W573" s="165"/>
      <c r="X573" s="116">
        <v>43647</v>
      </c>
      <c r="Y573" s="116">
        <v>45229</v>
      </c>
    </row>
    <row r="574" s="85" customFormat="1" customHeight="1" spans="1:25">
      <c r="A574" s="98" t="s">
        <v>61</v>
      </c>
      <c r="B574" s="98" t="s">
        <v>62</v>
      </c>
      <c r="C574" s="98" t="s">
        <v>238</v>
      </c>
      <c r="D574" s="24" t="s">
        <v>64</v>
      </c>
      <c r="E574" s="161" t="s">
        <v>840</v>
      </c>
      <c r="F574" s="160" t="s">
        <v>841</v>
      </c>
      <c r="G574" s="172" t="s">
        <v>88</v>
      </c>
      <c r="H574" s="100" t="s">
        <v>842</v>
      </c>
      <c r="I574" s="46" t="e">
        <f>VLOOKUP(H574,'合同高级查询数据-4月返'!A:A,1,FALSE)</f>
        <v>#N/A</v>
      </c>
      <c r="J574" s="178" t="s">
        <v>850</v>
      </c>
      <c r="K574" s="107" t="s">
        <v>844</v>
      </c>
      <c r="L574" s="179"/>
      <c r="M574" s="49" t="s">
        <v>845</v>
      </c>
      <c r="N574" s="180">
        <v>43693</v>
      </c>
      <c r="O574" s="73" t="s">
        <v>503</v>
      </c>
      <c r="P574" s="164">
        <v>5216.57</v>
      </c>
      <c r="Q574" s="182">
        <v>4</v>
      </c>
      <c r="R574" s="118">
        <f t="shared" si="19"/>
        <v>20866.28</v>
      </c>
      <c r="S574" s="115">
        <v>202304</v>
      </c>
      <c r="T574" s="186" t="s">
        <v>854</v>
      </c>
      <c r="U574" s="186"/>
      <c r="V574" s="165"/>
      <c r="W574" s="165"/>
      <c r="X574" s="116">
        <v>43647</v>
      </c>
      <c r="Y574" s="116">
        <v>45229</v>
      </c>
    </row>
    <row r="575" s="85" customFormat="1" customHeight="1" spans="1:25">
      <c r="A575" s="98" t="s">
        <v>61</v>
      </c>
      <c r="B575" s="98" t="s">
        <v>62</v>
      </c>
      <c r="C575" s="98" t="s">
        <v>238</v>
      </c>
      <c r="D575" s="24" t="s">
        <v>64</v>
      </c>
      <c r="E575" s="161" t="s">
        <v>840</v>
      </c>
      <c r="F575" s="160" t="s">
        <v>841</v>
      </c>
      <c r="G575" s="172" t="s">
        <v>88</v>
      </c>
      <c r="H575" s="100" t="s">
        <v>842</v>
      </c>
      <c r="I575" s="46" t="e">
        <f>VLOOKUP(H575,'合同高级查询数据-4月返'!A:A,1,FALSE)</f>
        <v>#N/A</v>
      </c>
      <c r="J575" s="178" t="s">
        <v>850</v>
      </c>
      <c r="K575" s="107" t="s">
        <v>844</v>
      </c>
      <c r="L575" s="179"/>
      <c r="M575" s="49" t="s">
        <v>845</v>
      </c>
      <c r="N575" s="180">
        <v>43698</v>
      </c>
      <c r="O575" s="73" t="s">
        <v>503</v>
      </c>
      <c r="P575" s="164">
        <v>5216.57</v>
      </c>
      <c r="Q575" s="182">
        <v>2</v>
      </c>
      <c r="R575" s="118">
        <f t="shared" si="19"/>
        <v>10433.14</v>
      </c>
      <c r="S575" s="115">
        <v>202304</v>
      </c>
      <c r="T575" s="186" t="s">
        <v>855</v>
      </c>
      <c r="U575" s="186"/>
      <c r="V575" s="165"/>
      <c r="W575" s="165"/>
      <c r="X575" s="116">
        <v>43647</v>
      </c>
      <c r="Y575" s="116">
        <v>45229</v>
      </c>
    </row>
    <row r="576" s="85" customFormat="1" customHeight="1" spans="1:25">
      <c r="A576" s="98" t="s">
        <v>61</v>
      </c>
      <c r="B576" s="98" t="s">
        <v>62</v>
      </c>
      <c r="C576" s="98" t="s">
        <v>238</v>
      </c>
      <c r="D576" s="24" t="s">
        <v>64</v>
      </c>
      <c r="E576" s="161" t="s">
        <v>840</v>
      </c>
      <c r="F576" s="160" t="s">
        <v>841</v>
      </c>
      <c r="G576" s="172" t="s">
        <v>88</v>
      </c>
      <c r="H576" s="100" t="s">
        <v>842</v>
      </c>
      <c r="I576" s="46" t="e">
        <f>VLOOKUP(H576,'合同高级查询数据-4月返'!A:A,1,FALSE)</f>
        <v>#N/A</v>
      </c>
      <c r="J576" s="178" t="s">
        <v>850</v>
      </c>
      <c r="K576" s="107" t="s">
        <v>844</v>
      </c>
      <c r="L576" s="179"/>
      <c r="M576" s="49" t="s">
        <v>845</v>
      </c>
      <c r="N576" s="180">
        <v>43700</v>
      </c>
      <c r="O576" s="73" t="s">
        <v>503</v>
      </c>
      <c r="P576" s="164">
        <v>5216.57</v>
      </c>
      <c r="Q576" s="182">
        <v>1</v>
      </c>
      <c r="R576" s="118">
        <f t="shared" si="19"/>
        <v>5216.57</v>
      </c>
      <c r="S576" s="115">
        <v>202304</v>
      </c>
      <c r="T576" s="186" t="s">
        <v>856</v>
      </c>
      <c r="U576" s="186"/>
      <c r="V576" s="165"/>
      <c r="W576" s="165"/>
      <c r="X576" s="116">
        <v>43647</v>
      </c>
      <c r="Y576" s="116">
        <v>45229</v>
      </c>
    </row>
    <row r="577" s="85" customFormat="1" customHeight="1" spans="1:25">
      <c r="A577" s="98" t="s">
        <v>61</v>
      </c>
      <c r="B577" s="98" t="s">
        <v>62</v>
      </c>
      <c r="C577" s="98" t="s">
        <v>238</v>
      </c>
      <c r="D577" s="24" t="s">
        <v>64</v>
      </c>
      <c r="E577" s="161" t="s">
        <v>840</v>
      </c>
      <c r="F577" s="160" t="s">
        <v>841</v>
      </c>
      <c r="G577" s="172" t="s">
        <v>88</v>
      </c>
      <c r="H577" s="100" t="s">
        <v>842</v>
      </c>
      <c r="I577" s="46" t="e">
        <f>VLOOKUP(H577,'合同高级查询数据-4月返'!A:A,1,FALSE)</f>
        <v>#N/A</v>
      </c>
      <c r="J577" s="178" t="s">
        <v>850</v>
      </c>
      <c r="K577" s="107" t="s">
        <v>844</v>
      </c>
      <c r="L577" s="179"/>
      <c r="M577" s="49" t="s">
        <v>845</v>
      </c>
      <c r="N577" s="180">
        <v>43708</v>
      </c>
      <c r="O577" s="73" t="s">
        <v>503</v>
      </c>
      <c r="P577" s="164">
        <v>5216.57</v>
      </c>
      <c r="Q577" s="182">
        <v>4</v>
      </c>
      <c r="R577" s="118">
        <f t="shared" si="19"/>
        <v>20866.28</v>
      </c>
      <c r="S577" s="115">
        <v>202304</v>
      </c>
      <c r="T577" s="186" t="s">
        <v>857</v>
      </c>
      <c r="U577" s="186"/>
      <c r="V577" s="165"/>
      <c r="W577" s="165"/>
      <c r="X577" s="116">
        <v>43647</v>
      </c>
      <c r="Y577" s="116">
        <v>45229</v>
      </c>
    </row>
    <row r="578" s="85" customFormat="1" customHeight="1" spans="1:25">
      <c r="A578" s="98" t="s">
        <v>61</v>
      </c>
      <c r="B578" s="98" t="s">
        <v>62</v>
      </c>
      <c r="C578" s="98" t="s">
        <v>238</v>
      </c>
      <c r="D578" s="24" t="s">
        <v>64</v>
      </c>
      <c r="E578" s="161" t="s">
        <v>840</v>
      </c>
      <c r="F578" s="160" t="s">
        <v>841</v>
      </c>
      <c r="G578" s="172" t="s">
        <v>88</v>
      </c>
      <c r="H578" s="100" t="s">
        <v>842</v>
      </c>
      <c r="I578" s="46" t="e">
        <f>VLOOKUP(H578,'合同高级查询数据-4月返'!A:A,1,FALSE)</f>
        <v>#N/A</v>
      </c>
      <c r="J578" s="178" t="s">
        <v>850</v>
      </c>
      <c r="K578" s="107" t="s">
        <v>844</v>
      </c>
      <c r="L578" s="179"/>
      <c r="M578" s="49" t="s">
        <v>845</v>
      </c>
      <c r="N578" s="180">
        <v>43727</v>
      </c>
      <c r="O578" s="73" t="s">
        <v>503</v>
      </c>
      <c r="P578" s="164">
        <v>5216.57</v>
      </c>
      <c r="Q578" s="182">
        <v>1</v>
      </c>
      <c r="R578" s="118">
        <f t="shared" si="19"/>
        <v>5216.57</v>
      </c>
      <c r="S578" s="115">
        <v>202304</v>
      </c>
      <c r="T578" s="186" t="s">
        <v>858</v>
      </c>
      <c r="U578" s="186"/>
      <c r="V578" s="165"/>
      <c r="W578" s="165"/>
      <c r="X578" s="116">
        <v>43647</v>
      </c>
      <c r="Y578" s="116">
        <v>45229</v>
      </c>
    </row>
    <row r="579" s="85" customFormat="1" customHeight="1" spans="1:25">
      <c r="A579" s="98" t="s">
        <v>61</v>
      </c>
      <c r="B579" s="98" t="s">
        <v>62</v>
      </c>
      <c r="C579" s="98" t="s">
        <v>238</v>
      </c>
      <c r="D579" s="24" t="s">
        <v>64</v>
      </c>
      <c r="E579" s="161" t="s">
        <v>840</v>
      </c>
      <c r="F579" s="160" t="s">
        <v>841</v>
      </c>
      <c r="G579" s="172" t="s">
        <v>88</v>
      </c>
      <c r="H579" s="100" t="s">
        <v>842</v>
      </c>
      <c r="I579" s="46" t="e">
        <f>VLOOKUP(H579,'合同高级查询数据-4月返'!A:A,1,FALSE)</f>
        <v>#N/A</v>
      </c>
      <c r="J579" s="178" t="s">
        <v>850</v>
      </c>
      <c r="K579" s="107" t="s">
        <v>844</v>
      </c>
      <c r="L579" s="179"/>
      <c r="M579" s="49" t="s">
        <v>845</v>
      </c>
      <c r="N579" s="180">
        <v>43728</v>
      </c>
      <c r="O579" s="73" t="s">
        <v>503</v>
      </c>
      <c r="P579" s="164">
        <v>5216.57</v>
      </c>
      <c r="Q579" s="182">
        <v>29</v>
      </c>
      <c r="R579" s="118">
        <f t="shared" si="19"/>
        <v>151280.53</v>
      </c>
      <c r="S579" s="115">
        <v>202304</v>
      </c>
      <c r="T579" s="186" t="s">
        <v>859</v>
      </c>
      <c r="U579" s="186"/>
      <c r="V579" s="165"/>
      <c r="W579" s="165"/>
      <c r="X579" s="116">
        <v>43647</v>
      </c>
      <c r="Y579" s="116">
        <v>45229</v>
      </c>
    </row>
    <row r="580" s="85" customFormat="1" customHeight="1" spans="1:25">
      <c r="A580" s="98" t="s">
        <v>61</v>
      </c>
      <c r="B580" s="98" t="s">
        <v>62</v>
      </c>
      <c r="C580" s="98" t="s">
        <v>238</v>
      </c>
      <c r="D580" s="24" t="s">
        <v>64</v>
      </c>
      <c r="E580" s="161" t="s">
        <v>840</v>
      </c>
      <c r="F580" s="160" t="s">
        <v>841</v>
      </c>
      <c r="G580" s="172" t="s">
        <v>88</v>
      </c>
      <c r="H580" s="100" t="s">
        <v>842</v>
      </c>
      <c r="I580" s="46" t="e">
        <f>VLOOKUP(H580,'合同高级查询数据-4月返'!A:A,1,FALSE)</f>
        <v>#N/A</v>
      </c>
      <c r="J580" s="178" t="s">
        <v>850</v>
      </c>
      <c r="K580" s="107" t="s">
        <v>844</v>
      </c>
      <c r="L580" s="179"/>
      <c r="M580" s="49" t="s">
        <v>845</v>
      </c>
      <c r="N580" s="180">
        <v>43734</v>
      </c>
      <c r="O580" s="73" t="s">
        <v>503</v>
      </c>
      <c r="P580" s="164">
        <v>5216.57</v>
      </c>
      <c r="Q580" s="182">
        <v>2</v>
      </c>
      <c r="R580" s="118">
        <f t="shared" si="19"/>
        <v>10433.14</v>
      </c>
      <c r="S580" s="115">
        <v>202304</v>
      </c>
      <c r="T580" s="186" t="s">
        <v>860</v>
      </c>
      <c r="U580" s="186"/>
      <c r="V580" s="165"/>
      <c r="W580" s="165"/>
      <c r="X580" s="116">
        <v>43647</v>
      </c>
      <c r="Y580" s="116">
        <v>45229</v>
      </c>
    </row>
    <row r="581" s="85" customFormat="1" customHeight="1" spans="1:25">
      <c r="A581" s="98" t="s">
        <v>61</v>
      </c>
      <c r="B581" s="98" t="s">
        <v>62</v>
      </c>
      <c r="C581" s="98" t="s">
        <v>238</v>
      </c>
      <c r="D581" s="24" t="s">
        <v>64</v>
      </c>
      <c r="E581" s="161" t="s">
        <v>840</v>
      </c>
      <c r="F581" s="160" t="s">
        <v>841</v>
      </c>
      <c r="G581" s="172" t="s">
        <v>88</v>
      </c>
      <c r="H581" s="100" t="s">
        <v>842</v>
      </c>
      <c r="I581" s="46" t="e">
        <f>VLOOKUP(H581,'合同高级查询数据-4月返'!A:A,1,FALSE)</f>
        <v>#N/A</v>
      </c>
      <c r="J581" s="178" t="s">
        <v>850</v>
      </c>
      <c r="K581" s="107" t="s">
        <v>844</v>
      </c>
      <c r="L581" s="179"/>
      <c r="M581" s="49" t="s">
        <v>845</v>
      </c>
      <c r="N581" s="180">
        <v>43750</v>
      </c>
      <c r="O581" s="73" t="s">
        <v>503</v>
      </c>
      <c r="P581" s="164">
        <v>5216.57</v>
      </c>
      <c r="Q581" s="182">
        <v>10</v>
      </c>
      <c r="R581" s="118">
        <f t="shared" si="19"/>
        <v>52165.7</v>
      </c>
      <c r="S581" s="115">
        <v>202304</v>
      </c>
      <c r="T581" s="186" t="s">
        <v>861</v>
      </c>
      <c r="U581" s="186"/>
      <c r="V581" s="165"/>
      <c r="W581" s="165"/>
      <c r="X581" s="116">
        <v>43647</v>
      </c>
      <c r="Y581" s="116">
        <v>45229</v>
      </c>
    </row>
    <row r="582" s="85" customFormat="1" customHeight="1" spans="1:25">
      <c r="A582" s="98" t="s">
        <v>61</v>
      </c>
      <c r="B582" s="98" t="s">
        <v>62</v>
      </c>
      <c r="C582" s="98" t="s">
        <v>238</v>
      </c>
      <c r="D582" s="24" t="s">
        <v>64</v>
      </c>
      <c r="E582" s="161" t="s">
        <v>840</v>
      </c>
      <c r="F582" s="160" t="s">
        <v>841</v>
      </c>
      <c r="G582" s="172" t="s">
        <v>88</v>
      </c>
      <c r="H582" s="100" t="s">
        <v>842</v>
      </c>
      <c r="I582" s="46" t="e">
        <f>VLOOKUP(H582,'合同高级查询数据-4月返'!A:A,1,FALSE)</f>
        <v>#N/A</v>
      </c>
      <c r="J582" s="178" t="s">
        <v>850</v>
      </c>
      <c r="K582" s="107" t="s">
        <v>844</v>
      </c>
      <c r="L582" s="179"/>
      <c r="M582" s="49" t="s">
        <v>845</v>
      </c>
      <c r="N582" s="180">
        <v>43756</v>
      </c>
      <c r="O582" s="73" t="s">
        <v>503</v>
      </c>
      <c r="P582" s="164">
        <v>5216.57</v>
      </c>
      <c r="Q582" s="182">
        <v>2</v>
      </c>
      <c r="R582" s="118">
        <f t="shared" si="19"/>
        <v>10433.14</v>
      </c>
      <c r="S582" s="115">
        <v>202304</v>
      </c>
      <c r="T582" s="186" t="s">
        <v>862</v>
      </c>
      <c r="U582" s="186"/>
      <c r="V582" s="165"/>
      <c r="W582" s="165"/>
      <c r="X582" s="116">
        <v>43647</v>
      </c>
      <c r="Y582" s="116">
        <v>45229</v>
      </c>
    </row>
    <row r="583" s="85" customFormat="1" customHeight="1" spans="1:25">
      <c r="A583" s="98" t="s">
        <v>61</v>
      </c>
      <c r="B583" s="98" t="s">
        <v>62</v>
      </c>
      <c r="C583" s="98" t="s">
        <v>238</v>
      </c>
      <c r="D583" s="24" t="s">
        <v>64</v>
      </c>
      <c r="E583" s="161" t="s">
        <v>840</v>
      </c>
      <c r="F583" s="160" t="s">
        <v>841</v>
      </c>
      <c r="G583" s="172" t="s">
        <v>88</v>
      </c>
      <c r="H583" s="100" t="s">
        <v>842</v>
      </c>
      <c r="I583" s="46" t="e">
        <f>VLOOKUP(H583,'合同高级查询数据-4月返'!A:A,1,FALSE)</f>
        <v>#N/A</v>
      </c>
      <c r="J583" s="178" t="s">
        <v>850</v>
      </c>
      <c r="K583" s="107" t="s">
        <v>844</v>
      </c>
      <c r="L583" s="179"/>
      <c r="M583" s="49" t="s">
        <v>845</v>
      </c>
      <c r="N583" s="180">
        <v>43764</v>
      </c>
      <c r="O583" s="73" t="s">
        <v>503</v>
      </c>
      <c r="P583" s="164">
        <v>5216.57</v>
      </c>
      <c r="Q583" s="182">
        <v>4</v>
      </c>
      <c r="R583" s="118">
        <f t="shared" si="19"/>
        <v>20866.28</v>
      </c>
      <c r="S583" s="115">
        <v>202304</v>
      </c>
      <c r="T583" s="186" t="s">
        <v>863</v>
      </c>
      <c r="U583" s="186"/>
      <c r="V583" s="165"/>
      <c r="W583" s="165"/>
      <c r="X583" s="116">
        <v>43647</v>
      </c>
      <c r="Y583" s="116">
        <v>45229</v>
      </c>
    </row>
    <row r="584" s="85" customFormat="1" customHeight="1" spans="1:25">
      <c r="A584" s="98" t="s">
        <v>61</v>
      </c>
      <c r="B584" s="98" t="s">
        <v>62</v>
      </c>
      <c r="C584" s="98" t="s">
        <v>238</v>
      </c>
      <c r="D584" s="24" t="s">
        <v>64</v>
      </c>
      <c r="E584" s="161" t="s">
        <v>840</v>
      </c>
      <c r="F584" s="160" t="s">
        <v>841</v>
      </c>
      <c r="G584" s="172" t="s">
        <v>88</v>
      </c>
      <c r="H584" s="100" t="s">
        <v>842</v>
      </c>
      <c r="I584" s="46" t="e">
        <f>VLOOKUP(H584,'合同高级查询数据-4月返'!A:A,1,FALSE)</f>
        <v>#N/A</v>
      </c>
      <c r="J584" s="178" t="s">
        <v>850</v>
      </c>
      <c r="K584" s="107" t="s">
        <v>844</v>
      </c>
      <c r="L584" s="179"/>
      <c r="M584" s="49" t="s">
        <v>845</v>
      </c>
      <c r="N584" s="180">
        <v>43795</v>
      </c>
      <c r="O584" s="73" t="s">
        <v>503</v>
      </c>
      <c r="P584" s="164">
        <v>5216.57</v>
      </c>
      <c r="Q584" s="182">
        <v>9</v>
      </c>
      <c r="R584" s="118">
        <f t="shared" si="19"/>
        <v>46949.13</v>
      </c>
      <c r="S584" s="115">
        <v>202304</v>
      </c>
      <c r="T584" s="186" t="s">
        <v>864</v>
      </c>
      <c r="U584" s="186"/>
      <c r="V584" s="165"/>
      <c r="W584" s="165"/>
      <c r="X584" s="116">
        <v>43647</v>
      </c>
      <c r="Y584" s="116">
        <v>45229</v>
      </c>
    </row>
    <row r="585" s="85" customFormat="1" customHeight="1" spans="1:25">
      <c r="A585" s="98" t="s">
        <v>61</v>
      </c>
      <c r="B585" s="98" t="s">
        <v>62</v>
      </c>
      <c r="C585" s="98" t="s">
        <v>238</v>
      </c>
      <c r="D585" s="24" t="s">
        <v>64</v>
      </c>
      <c r="E585" s="161" t="s">
        <v>840</v>
      </c>
      <c r="F585" s="160" t="s">
        <v>841</v>
      </c>
      <c r="G585" s="172" t="s">
        <v>88</v>
      </c>
      <c r="H585" s="100" t="s">
        <v>842</v>
      </c>
      <c r="I585" s="46" t="e">
        <f>VLOOKUP(H585,'合同高级查询数据-4月返'!A:A,1,FALSE)</f>
        <v>#N/A</v>
      </c>
      <c r="J585" s="178" t="s">
        <v>850</v>
      </c>
      <c r="K585" s="107" t="s">
        <v>844</v>
      </c>
      <c r="L585" s="179"/>
      <c r="M585" s="49" t="s">
        <v>845</v>
      </c>
      <c r="N585" s="180">
        <v>43805</v>
      </c>
      <c r="O585" s="73" t="s">
        <v>503</v>
      </c>
      <c r="P585" s="164">
        <v>5216.57</v>
      </c>
      <c r="Q585" s="182">
        <v>4</v>
      </c>
      <c r="R585" s="118">
        <f t="shared" si="19"/>
        <v>20866.28</v>
      </c>
      <c r="S585" s="115">
        <v>202304</v>
      </c>
      <c r="T585" s="186" t="s">
        <v>865</v>
      </c>
      <c r="U585" s="186"/>
      <c r="V585" s="165"/>
      <c r="W585" s="165"/>
      <c r="X585" s="116">
        <v>43647</v>
      </c>
      <c r="Y585" s="116">
        <v>45229</v>
      </c>
    </row>
    <row r="586" s="85" customFormat="1" customHeight="1" spans="1:25">
      <c r="A586" s="98" t="s">
        <v>61</v>
      </c>
      <c r="B586" s="98" t="s">
        <v>62</v>
      </c>
      <c r="C586" s="98" t="s">
        <v>238</v>
      </c>
      <c r="D586" s="24" t="s">
        <v>64</v>
      </c>
      <c r="E586" s="161" t="s">
        <v>840</v>
      </c>
      <c r="F586" s="160" t="s">
        <v>841</v>
      </c>
      <c r="G586" s="172" t="s">
        <v>88</v>
      </c>
      <c r="H586" s="100" t="s">
        <v>842</v>
      </c>
      <c r="I586" s="46" t="e">
        <f>VLOOKUP(H586,'合同高级查询数据-4月返'!A:A,1,FALSE)</f>
        <v>#N/A</v>
      </c>
      <c r="J586" s="178" t="s">
        <v>850</v>
      </c>
      <c r="K586" s="107" t="s">
        <v>844</v>
      </c>
      <c r="L586" s="179"/>
      <c r="M586" s="49" t="s">
        <v>845</v>
      </c>
      <c r="N586" s="180">
        <v>43941</v>
      </c>
      <c r="O586" s="73" t="s">
        <v>503</v>
      </c>
      <c r="P586" s="164">
        <v>5216.57</v>
      </c>
      <c r="Q586" s="182">
        <v>3</v>
      </c>
      <c r="R586" s="118">
        <f t="shared" si="19"/>
        <v>15649.71</v>
      </c>
      <c r="S586" s="115">
        <v>202304</v>
      </c>
      <c r="T586" s="186" t="s">
        <v>866</v>
      </c>
      <c r="U586" s="186"/>
      <c r="V586" s="165"/>
      <c r="W586" s="165"/>
      <c r="X586" s="116">
        <v>43647</v>
      </c>
      <c r="Y586" s="116">
        <v>45229</v>
      </c>
    </row>
    <row r="587" s="85" customFormat="1" customHeight="1" spans="1:25">
      <c r="A587" s="98" t="s">
        <v>61</v>
      </c>
      <c r="B587" s="98" t="s">
        <v>62</v>
      </c>
      <c r="C587" s="98" t="s">
        <v>238</v>
      </c>
      <c r="D587" s="24" t="s">
        <v>64</v>
      </c>
      <c r="E587" s="161" t="s">
        <v>840</v>
      </c>
      <c r="F587" s="160" t="s">
        <v>841</v>
      </c>
      <c r="G587" s="172" t="s">
        <v>88</v>
      </c>
      <c r="H587" s="100" t="s">
        <v>842</v>
      </c>
      <c r="I587" s="46" t="e">
        <f>VLOOKUP(H587,'合同高级查询数据-4月返'!A:A,1,FALSE)</f>
        <v>#N/A</v>
      </c>
      <c r="J587" s="178" t="s">
        <v>850</v>
      </c>
      <c r="K587" s="107" t="s">
        <v>844</v>
      </c>
      <c r="L587" s="179"/>
      <c r="M587" s="49" t="s">
        <v>845</v>
      </c>
      <c r="N587" s="180">
        <v>43983</v>
      </c>
      <c r="O587" s="73" t="s">
        <v>503</v>
      </c>
      <c r="P587" s="164">
        <v>5216.57</v>
      </c>
      <c r="Q587" s="182">
        <v>1</v>
      </c>
      <c r="R587" s="118">
        <f t="shared" si="19"/>
        <v>5216.57</v>
      </c>
      <c r="S587" s="115">
        <v>202304</v>
      </c>
      <c r="T587" s="186" t="s">
        <v>867</v>
      </c>
      <c r="U587" s="186"/>
      <c r="V587" s="165"/>
      <c r="W587" s="165"/>
      <c r="X587" s="116">
        <v>43647</v>
      </c>
      <c r="Y587" s="116">
        <v>45229</v>
      </c>
    </row>
    <row r="588" s="85" customFormat="1" customHeight="1" spans="1:25">
      <c r="A588" s="98" t="s">
        <v>61</v>
      </c>
      <c r="B588" s="98" t="s">
        <v>62</v>
      </c>
      <c r="C588" s="98" t="s">
        <v>238</v>
      </c>
      <c r="D588" s="24" t="s">
        <v>64</v>
      </c>
      <c r="E588" s="161" t="s">
        <v>840</v>
      </c>
      <c r="F588" s="160" t="s">
        <v>841</v>
      </c>
      <c r="G588" s="172" t="s">
        <v>88</v>
      </c>
      <c r="H588" s="100" t="s">
        <v>842</v>
      </c>
      <c r="I588" s="46" t="e">
        <f>VLOOKUP(H588,'合同高级查询数据-4月返'!A:A,1,FALSE)</f>
        <v>#N/A</v>
      </c>
      <c r="J588" s="178" t="s">
        <v>850</v>
      </c>
      <c r="K588" s="107" t="s">
        <v>844</v>
      </c>
      <c r="L588" s="179"/>
      <c r="M588" s="49" t="s">
        <v>845</v>
      </c>
      <c r="N588" s="180">
        <v>44033</v>
      </c>
      <c r="O588" s="73" t="s">
        <v>503</v>
      </c>
      <c r="P588" s="164">
        <v>5216.57</v>
      </c>
      <c r="Q588" s="182">
        <v>2</v>
      </c>
      <c r="R588" s="118">
        <f t="shared" si="19"/>
        <v>10433.14</v>
      </c>
      <c r="S588" s="115">
        <v>202304</v>
      </c>
      <c r="T588" s="186" t="s">
        <v>868</v>
      </c>
      <c r="U588" s="186"/>
      <c r="V588" s="165"/>
      <c r="W588" s="165"/>
      <c r="X588" s="116">
        <v>43647</v>
      </c>
      <c r="Y588" s="116">
        <v>45229</v>
      </c>
    </row>
    <row r="589" s="85" customFormat="1" customHeight="1" spans="1:25">
      <c r="A589" s="98" t="s">
        <v>61</v>
      </c>
      <c r="B589" s="98" t="s">
        <v>62</v>
      </c>
      <c r="C589" s="98" t="s">
        <v>238</v>
      </c>
      <c r="D589" s="24" t="s">
        <v>64</v>
      </c>
      <c r="E589" s="161" t="s">
        <v>840</v>
      </c>
      <c r="F589" s="160" t="s">
        <v>841</v>
      </c>
      <c r="G589" s="172" t="s">
        <v>88</v>
      </c>
      <c r="H589" s="100" t="s">
        <v>842</v>
      </c>
      <c r="I589" s="46" t="e">
        <f>VLOOKUP(H589,'合同高级查询数据-4月返'!A:A,1,FALSE)</f>
        <v>#N/A</v>
      </c>
      <c r="J589" s="178" t="s">
        <v>850</v>
      </c>
      <c r="K589" s="107" t="s">
        <v>844</v>
      </c>
      <c r="L589" s="179"/>
      <c r="M589" s="49" t="s">
        <v>845</v>
      </c>
      <c r="N589" s="180">
        <v>44137</v>
      </c>
      <c r="O589" s="73" t="s">
        <v>503</v>
      </c>
      <c r="P589" s="164">
        <v>5216.57</v>
      </c>
      <c r="Q589" s="182">
        <v>1</v>
      </c>
      <c r="R589" s="118">
        <f t="shared" si="19"/>
        <v>5216.57</v>
      </c>
      <c r="S589" s="115">
        <v>202304</v>
      </c>
      <c r="T589" s="186" t="s">
        <v>869</v>
      </c>
      <c r="U589" s="186"/>
      <c r="V589" s="165"/>
      <c r="W589" s="165"/>
      <c r="X589" s="116">
        <v>43647</v>
      </c>
      <c r="Y589" s="116">
        <v>45229</v>
      </c>
    </row>
    <row r="590" s="85" customFormat="1" customHeight="1" spans="1:25">
      <c r="A590" s="98" t="s">
        <v>61</v>
      </c>
      <c r="B590" s="98" t="s">
        <v>62</v>
      </c>
      <c r="C590" s="98" t="s">
        <v>238</v>
      </c>
      <c r="D590" s="24" t="s">
        <v>64</v>
      </c>
      <c r="E590" s="161" t="s">
        <v>840</v>
      </c>
      <c r="F590" s="160" t="s">
        <v>841</v>
      </c>
      <c r="G590" s="172" t="s">
        <v>88</v>
      </c>
      <c r="H590" s="100" t="s">
        <v>842</v>
      </c>
      <c r="I590" s="46" t="e">
        <f>VLOOKUP(H590,'合同高级查询数据-4月返'!A:A,1,FALSE)</f>
        <v>#N/A</v>
      </c>
      <c r="J590" s="178" t="s">
        <v>850</v>
      </c>
      <c r="K590" s="107" t="s">
        <v>844</v>
      </c>
      <c r="L590" s="179"/>
      <c r="M590" s="49" t="s">
        <v>845</v>
      </c>
      <c r="N590" s="180">
        <v>44140</v>
      </c>
      <c r="O590" s="73" t="s">
        <v>503</v>
      </c>
      <c r="P590" s="164">
        <v>5216.57</v>
      </c>
      <c r="Q590" s="182">
        <v>2</v>
      </c>
      <c r="R590" s="118">
        <f t="shared" si="19"/>
        <v>10433.14</v>
      </c>
      <c r="S590" s="115">
        <v>202304</v>
      </c>
      <c r="T590" s="186" t="s">
        <v>870</v>
      </c>
      <c r="U590" s="186"/>
      <c r="V590" s="165"/>
      <c r="W590" s="165"/>
      <c r="X590" s="116">
        <v>43647</v>
      </c>
      <c r="Y590" s="116">
        <v>45229</v>
      </c>
    </row>
    <row r="591" s="85" customFormat="1" customHeight="1" spans="1:25">
      <c r="A591" s="98" t="s">
        <v>61</v>
      </c>
      <c r="B591" s="98" t="s">
        <v>62</v>
      </c>
      <c r="C591" s="98" t="s">
        <v>238</v>
      </c>
      <c r="D591" s="24" t="s">
        <v>64</v>
      </c>
      <c r="E591" s="161" t="s">
        <v>840</v>
      </c>
      <c r="F591" s="160" t="s">
        <v>841</v>
      </c>
      <c r="G591" s="172" t="s">
        <v>88</v>
      </c>
      <c r="H591" s="100" t="s">
        <v>842</v>
      </c>
      <c r="I591" s="46" t="e">
        <f>VLOOKUP(H591,'合同高级查询数据-4月返'!A:A,1,FALSE)</f>
        <v>#N/A</v>
      </c>
      <c r="J591" s="178" t="s">
        <v>850</v>
      </c>
      <c r="K591" s="107" t="s">
        <v>844</v>
      </c>
      <c r="L591" s="179"/>
      <c r="M591" s="49" t="s">
        <v>845</v>
      </c>
      <c r="N591" s="180">
        <v>44152</v>
      </c>
      <c r="O591" s="73" t="s">
        <v>503</v>
      </c>
      <c r="P591" s="164">
        <v>5216.57</v>
      </c>
      <c r="Q591" s="182">
        <v>1</v>
      </c>
      <c r="R591" s="118">
        <f t="shared" si="19"/>
        <v>5216.57</v>
      </c>
      <c r="S591" s="115">
        <v>202304</v>
      </c>
      <c r="T591" s="186" t="s">
        <v>871</v>
      </c>
      <c r="U591" s="186"/>
      <c r="V591" s="165"/>
      <c r="W591" s="165"/>
      <c r="X591" s="116">
        <v>43647</v>
      </c>
      <c r="Y591" s="116">
        <v>45229</v>
      </c>
    </row>
    <row r="592" s="85" customFormat="1" customHeight="1" spans="1:25">
      <c r="A592" s="98" t="s">
        <v>61</v>
      </c>
      <c r="B592" s="98" t="s">
        <v>62</v>
      </c>
      <c r="C592" s="98" t="s">
        <v>238</v>
      </c>
      <c r="D592" s="24" t="s">
        <v>64</v>
      </c>
      <c r="E592" s="161" t="s">
        <v>840</v>
      </c>
      <c r="F592" s="160" t="s">
        <v>841</v>
      </c>
      <c r="G592" s="172" t="s">
        <v>88</v>
      </c>
      <c r="H592" s="100" t="s">
        <v>842</v>
      </c>
      <c r="I592" s="46" t="e">
        <f>VLOOKUP(H592,'合同高级查询数据-4月返'!A:A,1,FALSE)</f>
        <v>#N/A</v>
      </c>
      <c r="J592" s="178" t="s">
        <v>850</v>
      </c>
      <c r="K592" s="107" t="s">
        <v>844</v>
      </c>
      <c r="L592" s="179"/>
      <c r="M592" s="49" t="s">
        <v>845</v>
      </c>
      <c r="N592" s="180">
        <v>44154</v>
      </c>
      <c r="O592" s="73" t="s">
        <v>503</v>
      </c>
      <c r="P592" s="164">
        <v>5216.57</v>
      </c>
      <c r="Q592" s="182">
        <v>1</v>
      </c>
      <c r="R592" s="118">
        <f t="shared" si="19"/>
        <v>5216.57</v>
      </c>
      <c r="S592" s="115">
        <v>202304</v>
      </c>
      <c r="T592" s="186" t="s">
        <v>872</v>
      </c>
      <c r="U592" s="186"/>
      <c r="V592" s="165"/>
      <c r="W592" s="165"/>
      <c r="X592" s="116">
        <v>43647</v>
      </c>
      <c r="Y592" s="116">
        <v>45229</v>
      </c>
    </row>
    <row r="593" s="85" customFormat="1" customHeight="1" spans="1:25">
      <c r="A593" s="98" t="s">
        <v>61</v>
      </c>
      <c r="B593" s="98" t="s">
        <v>62</v>
      </c>
      <c r="C593" s="98" t="s">
        <v>238</v>
      </c>
      <c r="D593" s="24" t="s">
        <v>64</v>
      </c>
      <c r="E593" s="161" t="s">
        <v>840</v>
      </c>
      <c r="F593" s="160" t="s">
        <v>841</v>
      </c>
      <c r="G593" s="172" t="s">
        <v>88</v>
      </c>
      <c r="H593" s="100" t="s">
        <v>842</v>
      </c>
      <c r="I593" s="46" t="e">
        <f>VLOOKUP(H593,'合同高级查询数据-4月返'!A:A,1,FALSE)</f>
        <v>#N/A</v>
      </c>
      <c r="J593" s="178" t="s">
        <v>850</v>
      </c>
      <c r="K593" s="107" t="s">
        <v>844</v>
      </c>
      <c r="L593" s="179"/>
      <c r="M593" s="49" t="s">
        <v>845</v>
      </c>
      <c r="N593" s="180">
        <v>44166</v>
      </c>
      <c r="O593" s="73" t="s">
        <v>503</v>
      </c>
      <c r="P593" s="164">
        <v>5216.57</v>
      </c>
      <c r="Q593" s="182">
        <v>8</v>
      </c>
      <c r="R593" s="118">
        <f t="shared" si="19"/>
        <v>41732.56</v>
      </c>
      <c r="S593" s="115">
        <v>202304</v>
      </c>
      <c r="T593" s="186" t="s">
        <v>873</v>
      </c>
      <c r="U593" s="186"/>
      <c r="V593" s="165"/>
      <c r="W593" s="165"/>
      <c r="X593" s="116">
        <v>43647</v>
      </c>
      <c r="Y593" s="116">
        <v>45229</v>
      </c>
    </row>
    <row r="594" s="85" customFormat="1" customHeight="1" spans="1:25">
      <c r="A594" s="98" t="s">
        <v>61</v>
      </c>
      <c r="B594" s="98" t="s">
        <v>62</v>
      </c>
      <c r="C594" s="98" t="s">
        <v>238</v>
      </c>
      <c r="D594" s="24" t="s">
        <v>64</v>
      </c>
      <c r="E594" s="161" t="s">
        <v>840</v>
      </c>
      <c r="F594" s="160" t="s">
        <v>841</v>
      </c>
      <c r="G594" s="172" t="s">
        <v>88</v>
      </c>
      <c r="H594" s="100" t="s">
        <v>842</v>
      </c>
      <c r="I594" s="46" t="e">
        <f>VLOOKUP(H594,'合同高级查询数据-4月返'!A:A,1,FALSE)</f>
        <v>#N/A</v>
      </c>
      <c r="J594" s="178" t="s">
        <v>850</v>
      </c>
      <c r="K594" s="107" t="s">
        <v>844</v>
      </c>
      <c r="L594" s="179"/>
      <c r="M594" s="49" t="s">
        <v>845</v>
      </c>
      <c r="N594" s="180">
        <v>44193</v>
      </c>
      <c r="O594" s="73" t="s">
        <v>503</v>
      </c>
      <c r="P594" s="164">
        <v>5216.57</v>
      </c>
      <c r="Q594" s="182">
        <v>2</v>
      </c>
      <c r="R594" s="118">
        <f t="shared" si="19"/>
        <v>10433.14</v>
      </c>
      <c r="S594" s="115">
        <v>202304</v>
      </c>
      <c r="T594" s="186" t="s">
        <v>874</v>
      </c>
      <c r="U594" s="186"/>
      <c r="V594" s="165"/>
      <c r="W594" s="165"/>
      <c r="X594" s="116">
        <v>43647</v>
      </c>
      <c r="Y594" s="116">
        <v>45229</v>
      </c>
    </row>
    <row r="595" s="85" customFormat="1" customHeight="1" spans="1:25">
      <c r="A595" s="98" t="s">
        <v>61</v>
      </c>
      <c r="B595" s="98" t="s">
        <v>62</v>
      </c>
      <c r="C595" s="98" t="s">
        <v>238</v>
      </c>
      <c r="D595" s="24" t="s">
        <v>64</v>
      </c>
      <c r="E595" s="161" t="s">
        <v>840</v>
      </c>
      <c r="F595" s="160" t="s">
        <v>841</v>
      </c>
      <c r="G595" s="172" t="s">
        <v>88</v>
      </c>
      <c r="H595" s="100" t="s">
        <v>842</v>
      </c>
      <c r="I595" s="46" t="e">
        <f>VLOOKUP(H595,'合同高级查询数据-4月返'!A:A,1,FALSE)</f>
        <v>#N/A</v>
      </c>
      <c r="J595" s="178" t="s">
        <v>850</v>
      </c>
      <c r="K595" s="107" t="s">
        <v>844</v>
      </c>
      <c r="L595" s="179"/>
      <c r="M595" s="49" t="s">
        <v>845</v>
      </c>
      <c r="N595" s="180">
        <v>44209</v>
      </c>
      <c r="O595" s="73" t="s">
        <v>503</v>
      </c>
      <c r="P595" s="164">
        <v>5216.57</v>
      </c>
      <c r="Q595" s="182">
        <v>7</v>
      </c>
      <c r="R595" s="118">
        <f t="shared" si="19"/>
        <v>36515.99</v>
      </c>
      <c r="S595" s="115">
        <v>202304</v>
      </c>
      <c r="T595" s="186" t="s">
        <v>875</v>
      </c>
      <c r="U595" s="186"/>
      <c r="V595" s="165"/>
      <c r="W595" s="165"/>
      <c r="X595" s="116">
        <v>43647</v>
      </c>
      <c r="Y595" s="116">
        <v>45229</v>
      </c>
    </row>
    <row r="596" s="85" customFormat="1" customHeight="1" spans="1:25">
      <c r="A596" s="98" t="s">
        <v>61</v>
      </c>
      <c r="B596" s="98" t="s">
        <v>62</v>
      </c>
      <c r="C596" s="98" t="s">
        <v>238</v>
      </c>
      <c r="D596" s="24" t="s">
        <v>64</v>
      </c>
      <c r="E596" s="161" t="s">
        <v>840</v>
      </c>
      <c r="F596" s="160" t="s">
        <v>841</v>
      </c>
      <c r="G596" s="172" t="s">
        <v>88</v>
      </c>
      <c r="H596" s="100" t="s">
        <v>842</v>
      </c>
      <c r="I596" s="46" t="e">
        <f>VLOOKUP(H596,'合同高级查询数据-4月返'!A:A,1,FALSE)</f>
        <v>#N/A</v>
      </c>
      <c r="J596" s="178" t="s">
        <v>850</v>
      </c>
      <c r="K596" s="107" t="s">
        <v>844</v>
      </c>
      <c r="L596" s="179"/>
      <c r="M596" s="49" t="s">
        <v>845</v>
      </c>
      <c r="N596" s="180">
        <v>44223</v>
      </c>
      <c r="O596" s="73" t="s">
        <v>503</v>
      </c>
      <c r="P596" s="164">
        <v>5216.57</v>
      </c>
      <c r="Q596" s="182">
        <v>4</v>
      </c>
      <c r="R596" s="118">
        <f t="shared" si="19"/>
        <v>20866.28</v>
      </c>
      <c r="S596" s="115">
        <v>202304</v>
      </c>
      <c r="T596" s="186" t="s">
        <v>876</v>
      </c>
      <c r="U596" s="186"/>
      <c r="V596" s="165"/>
      <c r="W596" s="165"/>
      <c r="X596" s="116">
        <v>43647</v>
      </c>
      <c r="Y596" s="116">
        <v>45229</v>
      </c>
    </row>
    <row r="597" s="85" customFormat="1" customHeight="1" spans="1:25">
      <c r="A597" s="98" t="s">
        <v>61</v>
      </c>
      <c r="B597" s="98" t="s">
        <v>62</v>
      </c>
      <c r="C597" s="98" t="s">
        <v>238</v>
      </c>
      <c r="D597" s="24" t="s">
        <v>64</v>
      </c>
      <c r="E597" s="161" t="s">
        <v>840</v>
      </c>
      <c r="F597" s="160" t="s">
        <v>841</v>
      </c>
      <c r="G597" s="172" t="s">
        <v>88</v>
      </c>
      <c r="H597" s="100" t="s">
        <v>842</v>
      </c>
      <c r="I597" s="46" t="e">
        <f>VLOOKUP(H597,'合同高级查询数据-4月返'!A:A,1,FALSE)</f>
        <v>#N/A</v>
      </c>
      <c r="J597" s="178" t="s">
        <v>850</v>
      </c>
      <c r="K597" s="107" t="s">
        <v>844</v>
      </c>
      <c r="L597" s="179"/>
      <c r="M597" s="49" t="s">
        <v>845</v>
      </c>
      <c r="N597" s="180">
        <v>44225</v>
      </c>
      <c r="O597" s="73" t="s">
        <v>503</v>
      </c>
      <c r="P597" s="164">
        <v>5216.57</v>
      </c>
      <c r="Q597" s="182">
        <v>9</v>
      </c>
      <c r="R597" s="118">
        <f t="shared" si="19"/>
        <v>46949.13</v>
      </c>
      <c r="S597" s="115">
        <v>202304</v>
      </c>
      <c r="T597" s="186" t="s">
        <v>877</v>
      </c>
      <c r="U597" s="186"/>
      <c r="V597" s="165"/>
      <c r="W597" s="165"/>
      <c r="X597" s="116">
        <v>43647</v>
      </c>
      <c r="Y597" s="116">
        <v>45229</v>
      </c>
    </row>
    <row r="598" s="85" customFormat="1" customHeight="1" spans="1:25">
      <c r="A598" s="98" t="s">
        <v>61</v>
      </c>
      <c r="B598" s="98" t="s">
        <v>62</v>
      </c>
      <c r="C598" s="98" t="s">
        <v>238</v>
      </c>
      <c r="D598" s="24" t="s">
        <v>64</v>
      </c>
      <c r="E598" s="161" t="s">
        <v>840</v>
      </c>
      <c r="F598" s="160" t="s">
        <v>841</v>
      </c>
      <c r="G598" s="172" t="s">
        <v>88</v>
      </c>
      <c r="H598" s="100" t="s">
        <v>842</v>
      </c>
      <c r="I598" s="46" t="e">
        <f>VLOOKUP(H598,'合同高级查询数据-4月返'!A:A,1,FALSE)</f>
        <v>#N/A</v>
      </c>
      <c r="J598" s="178" t="s">
        <v>850</v>
      </c>
      <c r="K598" s="107" t="s">
        <v>844</v>
      </c>
      <c r="L598" s="179"/>
      <c r="M598" s="49" t="s">
        <v>845</v>
      </c>
      <c r="N598" s="180">
        <v>44228</v>
      </c>
      <c r="O598" s="73" t="s">
        <v>503</v>
      </c>
      <c r="P598" s="164">
        <v>5216.57</v>
      </c>
      <c r="Q598" s="182">
        <v>-500</v>
      </c>
      <c r="R598" s="118">
        <f t="shared" si="19"/>
        <v>-2608285</v>
      </c>
      <c r="S598" s="115">
        <v>202304</v>
      </c>
      <c r="T598" s="186" t="s">
        <v>878</v>
      </c>
      <c r="U598" s="186"/>
      <c r="V598" s="165"/>
      <c r="W598" s="165"/>
      <c r="X598" s="116">
        <v>43647</v>
      </c>
      <c r="Y598" s="116">
        <v>45229</v>
      </c>
    </row>
    <row r="599" s="85" customFormat="1" customHeight="1" spans="1:25">
      <c r="A599" s="98" t="s">
        <v>61</v>
      </c>
      <c r="B599" s="98" t="s">
        <v>62</v>
      </c>
      <c r="C599" s="98" t="s">
        <v>238</v>
      </c>
      <c r="D599" s="24" t="s">
        <v>64</v>
      </c>
      <c r="E599" s="161" t="s">
        <v>840</v>
      </c>
      <c r="F599" s="160" t="s">
        <v>841</v>
      </c>
      <c r="G599" s="172" t="s">
        <v>88</v>
      </c>
      <c r="H599" s="100" t="s">
        <v>842</v>
      </c>
      <c r="I599" s="46" t="e">
        <f>VLOOKUP(H599,'合同高级查询数据-4月返'!A:A,1,FALSE)</f>
        <v>#N/A</v>
      </c>
      <c r="J599" s="178" t="s">
        <v>850</v>
      </c>
      <c r="K599" s="107" t="s">
        <v>844</v>
      </c>
      <c r="L599" s="179"/>
      <c r="M599" s="49" t="s">
        <v>845</v>
      </c>
      <c r="N599" s="180">
        <v>44236</v>
      </c>
      <c r="O599" s="73" t="s">
        <v>503</v>
      </c>
      <c r="P599" s="164">
        <v>5216.57</v>
      </c>
      <c r="Q599" s="182">
        <v>-2</v>
      </c>
      <c r="R599" s="118">
        <f t="shared" si="19"/>
        <v>-10433.14</v>
      </c>
      <c r="S599" s="115">
        <v>202304</v>
      </c>
      <c r="T599" s="186" t="s">
        <v>879</v>
      </c>
      <c r="U599" s="186"/>
      <c r="V599" s="165"/>
      <c r="W599" s="165"/>
      <c r="X599" s="116">
        <v>43647</v>
      </c>
      <c r="Y599" s="116">
        <v>45229</v>
      </c>
    </row>
    <row r="600" s="85" customFormat="1" customHeight="1" spans="1:25">
      <c r="A600" s="98" t="s">
        <v>61</v>
      </c>
      <c r="B600" s="98" t="s">
        <v>62</v>
      </c>
      <c r="C600" s="98" t="s">
        <v>238</v>
      </c>
      <c r="D600" s="24" t="s">
        <v>64</v>
      </c>
      <c r="E600" s="161" t="s">
        <v>840</v>
      </c>
      <c r="F600" s="160" t="s">
        <v>841</v>
      </c>
      <c r="G600" s="172" t="s">
        <v>88</v>
      </c>
      <c r="H600" s="100" t="s">
        <v>842</v>
      </c>
      <c r="I600" s="46" t="e">
        <f>VLOOKUP(H600,'合同高级查询数据-4月返'!A:A,1,FALSE)</f>
        <v>#N/A</v>
      </c>
      <c r="J600" s="178" t="s">
        <v>850</v>
      </c>
      <c r="K600" s="107" t="s">
        <v>844</v>
      </c>
      <c r="L600" s="179"/>
      <c r="M600" s="49" t="s">
        <v>845</v>
      </c>
      <c r="N600" s="180">
        <v>44231</v>
      </c>
      <c r="O600" s="73" t="s">
        <v>503</v>
      </c>
      <c r="P600" s="164">
        <v>5216.57</v>
      </c>
      <c r="Q600" s="182">
        <v>8</v>
      </c>
      <c r="R600" s="118">
        <f t="shared" ref="R600:R639" si="20">ROUND(P600*Q600,2)</f>
        <v>41732.56</v>
      </c>
      <c r="S600" s="115">
        <v>202304</v>
      </c>
      <c r="T600" s="186" t="s">
        <v>880</v>
      </c>
      <c r="U600" s="186"/>
      <c r="V600" s="165"/>
      <c r="W600" s="165"/>
      <c r="X600" s="116">
        <v>43647</v>
      </c>
      <c r="Y600" s="116">
        <v>45229</v>
      </c>
    </row>
    <row r="601" s="85" customFormat="1" customHeight="1" spans="1:25">
      <c r="A601" s="98" t="s">
        <v>61</v>
      </c>
      <c r="B601" s="98" t="s">
        <v>62</v>
      </c>
      <c r="C601" s="98" t="s">
        <v>238</v>
      </c>
      <c r="D601" s="24" t="s">
        <v>64</v>
      </c>
      <c r="E601" s="161" t="s">
        <v>840</v>
      </c>
      <c r="F601" s="160" t="s">
        <v>841</v>
      </c>
      <c r="G601" s="172" t="s">
        <v>88</v>
      </c>
      <c r="H601" s="100" t="s">
        <v>842</v>
      </c>
      <c r="I601" s="46" t="e">
        <f>VLOOKUP(H601,'合同高级查询数据-4月返'!A:A,1,FALSE)</f>
        <v>#N/A</v>
      </c>
      <c r="J601" s="178" t="s">
        <v>850</v>
      </c>
      <c r="K601" s="107" t="s">
        <v>844</v>
      </c>
      <c r="L601" s="179"/>
      <c r="M601" s="49" t="s">
        <v>845</v>
      </c>
      <c r="N601" s="180">
        <v>44251</v>
      </c>
      <c r="O601" s="73" t="s">
        <v>503</v>
      </c>
      <c r="P601" s="164">
        <v>5216.57</v>
      </c>
      <c r="Q601" s="182">
        <v>2</v>
      </c>
      <c r="R601" s="118">
        <f t="shared" si="20"/>
        <v>10433.14</v>
      </c>
      <c r="S601" s="115">
        <v>202304</v>
      </c>
      <c r="T601" s="186" t="s">
        <v>881</v>
      </c>
      <c r="U601" s="186"/>
      <c r="V601" s="165"/>
      <c r="W601" s="165"/>
      <c r="X601" s="116">
        <v>43647</v>
      </c>
      <c r="Y601" s="116">
        <v>45229</v>
      </c>
    </row>
    <row r="602" s="85" customFormat="1" customHeight="1" spans="1:25">
      <c r="A602" s="98" t="s">
        <v>61</v>
      </c>
      <c r="B602" s="98" t="s">
        <v>62</v>
      </c>
      <c r="C602" s="98" t="s">
        <v>238</v>
      </c>
      <c r="D602" s="24" t="s">
        <v>64</v>
      </c>
      <c r="E602" s="161" t="s">
        <v>840</v>
      </c>
      <c r="F602" s="160" t="s">
        <v>841</v>
      </c>
      <c r="G602" s="172" t="s">
        <v>88</v>
      </c>
      <c r="H602" s="100" t="s">
        <v>842</v>
      </c>
      <c r="I602" s="46" t="e">
        <f>VLOOKUP(H602,'合同高级查询数据-4月返'!A:A,1,FALSE)</f>
        <v>#N/A</v>
      </c>
      <c r="J602" s="178" t="s">
        <v>850</v>
      </c>
      <c r="K602" s="107" t="s">
        <v>844</v>
      </c>
      <c r="L602" s="179"/>
      <c r="M602" s="49" t="s">
        <v>845</v>
      </c>
      <c r="N602" s="180">
        <v>44271</v>
      </c>
      <c r="O602" s="73" t="s">
        <v>503</v>
      </c>
      <c r="P602" s="164">
        <v>5216.57</v>
      </c>
      <c r="Q602" s="182">
        <v>2</v>
      </c>
      <c r="R602" s="118">
        <f t="shared" si="20"/>
        <v>10433.14</v>
      </c>
      <c r="S602" s="115">
        <v>202304</v>
      </c>
      <c r="T602" s="186" t="s">
        <v>882</v>
      </c>
      <c r="U602" s="186"/>
      <c r="V602" s="165"/>
      <c r="W602" s="165"/>
      <c r="X602" s="116">
        <v>43647</v>
      </c>
      <c r="Y602" s="116">
        <v>45229</v>
      </c>
    </row>
    <row r="603" s="85" customFormat="1" customHeight="1" spans="1:25">
      <c r="A603" s="98" t="s">
        <v>61</v>
      </c>
      <c r="B603" s="98" t="s">
        <v>62</v>
      </c>
      <c r="C603" s="98" t="s">
        <v>238</v>
      </c>
      <c r="D603" s="24" t="s">
        <v>64</v>
      </c>
      <c r="E603" s="161" t="s">
        <v>840</v>
      </c>
      <c r="F603" s="160" t="s">
        <v>841</v>
      </c>
      <c r="G603" s="172" t="s">
        <v>88</v>
      </c>
      <c r="H603" s="100" t="s">
        <v>842</v>
      </c>
      <c r="I603" s="46" t="e">
        <f>VLOOKUP(H603,'合同高级查询数据-4月返'!A:A,1,FALSE)</f>
        <v>#N/A</v>
      </c>
      <c r="J603" s="178" t="s">
        <v>850</v>
      </c>
      <c r="K603" s="107" t="s">
        <v>844</v>
      </c>
      <c r="L603" s="179"/>
      <c r="M603" s="49" t="s">
        <v>845</v>
      </c>
      <c r="N603" s="180">
        <v>44274</v>
      </c>
      <c r="O603" s="73" t="s">
        <v>503</v>
      </c>
      <c r="P603" s="164">
        <v>5216.57</v>
      </c>
      <c r="Q603" s="182">
        <v>4</v>
      </c>
      <c r="R603" s="118">
        <f t="shared" si="20"/>
        <v>20866.28</v>
      </c>
      <c r="S603" s="115">
        <v>202304</v>
      </c>
      <c r="T603" s="186" t="s">
        <v>883</v>
      </c>
      <c r="U603" s="186"/>
      <c r="V603" s="165"/>
      <c r="W603" s="165"/>
      <c r="X603" s="116">
        <v>43647</v>
      </c>
      <c r="Y603" s="116">
        <v>45229</v>
      </c>
    </row>
    <row r="604" s="85" customFormat="1" customHeight="1" spans="1:25">
      <c r="A604" s="98" t="s">
        <v>61</v>
      </c>
      <c r="B604" s="98" t="s">
        <v>62</v>
      </c>
      <c r="C604" s="98" t="s">
        <v>238</v>
      </c>
      <c r="D604" s="24" t="s">
        <v>64</v>
      </c>
      <c r="E604" s="161" t="s">
        <v>840</v>
      </c>
      <c r="F604" s="160" t="s">
        <v>841</v>
      </c>
      <c r="G604" s="172" t="s">
        <v>88</v>
      </c>
      <c r="H604" s="100" t="s">
        <v>842</v>
      </c>
      <c r="I604" s="46" t="e">
        <f>VLOOKUP(H604,'合同高级查询数据-4月返'!A:A,1,FALSE)</f>
        <v>#N/A</v>
      </c>
      <c r="J604" s="178" t="s">
        <v>850</v>
      </c>
      <c r="K604" s="107" t="s">
        <v>844</v>
      </c>
      <c r="L604" s="179"/>
      <c r="M604" s="49" t="s">
        <v>845</v>
      </c>
      <c r="N604" s="180">
        <v>44277</v>
      </c>
      <c r="O604" s="73" t="s">
        <v>503</v>
      </c>
      <c r="P604" s="164">
        <v>5216.57</v>
      </c>
      <c r="Q604" s="182">
        <v>4</v>
      </c>
      <c r="R604" s="118">
        <f t="shared" si="20"/>
        <v>20866.28</v>
      </c>
      <c r="S604" s="115">
        <v>202304</v>
      </c>
      <c r="T604" s="186" t="s">
        <v>884</v>
      </c>
      <c r="U604" s="186"/>
      <c r="V604" s="165"/>
      <c r="W604" s="165"/>
      <c r="X604" s="116">
        <v>43647</v>
      </c>
      <c r="Y604" s="116">
        <v>45229</v>
      </c>
    </row>
    <row r="605" s="85" customFormat="1" customHeight="1" spans="1:25">
      <c r="A605" s="98" t="s">
        <v>61</v>
      </c>
      <c r="B605" s="98" t="s">
        <v>62</v>
      </c>
      <c r="C605" s="98" t="s">
        <v>238</v>
      </c>
      <c r="D605" s="24" t="s">
        <v>64</v>
      </c>
      <c r="E605" s="161" t="s">
        <v>840</v>
      </c>
      <c r="F605" s="160" t="s">
        <v>841</v>
      </c>
      <c r="G605" s="172" t="s">
        <v>88</v>
      </c>
      <c r="H605" s="100" t="s">
        <v>842</v>
      </c>
      <c r="I605" s="46" t="e">
        <f>VLOOKUP(H605,'合同高级查询数据-4月返'!A:A,1,FALSE)</f>
        <v>#N/A</v>
      </c>
      <c r="J605" s="178" t="s">
        <v>850</v>
      </c>
      <c r="K605" s="107" t="s">
        <v>844</v>
      </c>
      <c r="L605" s="179"/>
      <c r="M605" s="49" t="s">
        <v>845</v>
      </c>
      <c r="N605" s="180">
        <v>44281</v>
      </c>
      <c r="O605" s="73" t="s">
        <v>503</v>
      </c>
      <c r="P605" s="164">
        <v>5216.57</v>
      </c>
      <c r="Q605" s="182">
        <v>4</v>
      </c>
      <c r="R605" s="118">
        <f t="shared" si="20"/>
        <v>20866.28</v>
      </c>
      <c r="S605" s="115">
        <v>202304</v>
      </c>
      <c r="T605" s="186" t="s">
        <v>885</v>
      </c>
      <c r="U605" s="186"/>
      <c r="V605" s="165"/>
      <c r="W605" s="165"/>
      <c r="X605" s="116">
        <v>43647</v>
      </c>
      <c r="Y605" s="116">
        <v>45229</v>
      </c>
    </row>
    <row r="606" s="85" customFormat="1" customHeight="1" spans="1:25">
      <c r="A606" s="98" t="s">
        <v>61</v>
      </c>
      <c r="B606" s="98" t="s">
        <v>62</v>
      </c>
      <c r="C606" s="98" t="s">
        <v>238</v>
      </c>
      <c r="D606" s="24" t="s">
        <v>64</v>
      </c>
      <c r="E606" s="161" t="s">
        <v>840</v>
      </c>
      <c r="F606" s="160" t="s">
        <v>841</v>
      </c>
      <c r="G606" s="172" t="s">
        <v>88</v>
      </c>
      <c r="H606" s="100" t="s">
        <v>842</v>
      </c>
      <c r="I606" s="46" t="e">
        <f>VLOOKUP(H606,'合同高级查询数据-4月返'!A:A,1,FALSE)</f>
        <v>#N/A</v>
      </c>
      <c r="J606" s="178" t="s">
        <v>850</v>
      </c>
      <c r="K606" s="107" t="s">
        <v>844</v>
      </c>
      <c r="L606" s="179"/>
      <c r="M606" s="49" t="s">
        <v>845</v>
      </c>
      <c r="N606" s="180">
        <v>44288</v>
      </c>
      <c r="O606" s="73" t="s">
        <v>503</v>
      </c>
      <c r="P606" s="164">
        <v>5216.57</v>
      </c>
      <c r="Q606" s="182">
        <v>8</v>
      </c>
      <c r="R606" s="118">
        <f t="shared" si="20"/>
        <v>41732.56</v>
      </c>
      <c r="S606" s="115">
        <v>202304</v>
      </c>
      <c r="T606" s="186" t="s">
        <v>886</v>
      </c>
      <c r="U606" s="186"/>
      <c r="V606" s="165"/>
      <c r="W606" s="165"/>
      <c r="X606" s="116">
        <v>43647</v>
      </c>
      <c r="Y606" s="116">
        <v>45229</v>
      </c>
    </row>
    <row r="607" s="85" customFormat="1" customHeight="1" spans="1:25">
      <c r="A607" s="98" t="s">
        <v>61</v>
      </c>
      <c r="B607" s="98" t="s">
        <v>62</v>
      </c>
      <c r="C607" s="98" t="s">
        <v>238</v>
      </c>
      <c r="D607" s="24" t="s">
        <v>64</v>
      </c>
      <c r="E607" s="161" t="s">
        <v>840</v>
      </c>
      <c r="F607" s="160" t="s">
        <v>841</v>
      </c>
      <c r="G607" s="172" t="s">
        <v>88</v>
      </c>
      <c r="H607" s="100" t="s">
        <v>842</v>
      </c>
      <c r="I607" s="46" t="e">
        <f>VLOOKUP(H607,'合同高级查询数据-4月返'!A:A,1,FALSE)</f>
        <v>#N/A</v>
      </c>
      <c r="J607" s="178" t="s">
        <v>850</v>
      </c>
      <c r="K607" s="107" t="s">
        <v>844</v>
      </c>
      <c r="L607" s="179"/>
      <c r="M607" s="49" t="s">
        <v>845</v>
      </c>
      <c r="N607" s="180">
        <v>44292</v>
      </c>
      <c r="O607" s="73" t="s">
        <v>503</v>
      </c>
      <c r="P607" s="164">
        <v>5216.57</v>
      </c>
      <c r="Q607" s="182">
        <v>12</v>
      </c>
      <c r="R607" s="118">
        <f t="shared" si="20"/>
        <v>62598.84</v>
      </c>
      <c r="S607" s="115">
        <v>202304</v>
      </c>
      <c r="T607" s="186" t="s">
        <v>887</v>
      </c>
      <c r="U607" s="186"/>
      <c r="V607" s="165"/>
      <c r="W607" s="165"/>
      <c r="X607" s="116">
        <v>43647</v>
      </c>
      <c r="Y607" s="116">
        <v>45229</v>
      </c>
    </row>
    <row r="608" s="85" customFormat="1" customHeight="1" spans="1:25">
      <c r="A608" s="98" t="s">
        <v>61</v>
      </c>
      <c r="B608" s="98" t="s">
        <v>62</v>
      </c>
      <c r="C608" s="98" t="s">
        <v>238</v>
      </c>
      <c r="D608" s="24" t="s">
        <v>64</v>
      </c>
      <c r="E608" s="161" t="s">
        <v>840</v>
      </c>
      <c r="F608" s="160" t="s">
        <v>841</v>
      </c>
      <c r="G608" s="172" t="s">
        <v>88</v>
      </c>
      <c r="H608" s="100" t="s">
        <v>842</v>
      </c>
      <c r="I608" s="46" t="e">
        <f>VLOOKUP(H608,'合同高级查询数据-4月返'!A:A,1,FALSE)</f>
        <v>#N/A</v>
      </c>
      <c r="J608" s="178" t="s">
        <v>850</v>
      </c>
      <c r="K608" s="107" t="s">
        <v>844</v>
      </c>
      <c r="L608" s="179"/>
      <c r="M608" s="49" t="s">
        <v>845</v>
      </c>
      <c r="N608" s="180">
        <v>44301</v>
      </c>
      <c r="O608" s="73" t="s">
        <v>503</v>
      </c>
      <c r="P608" s="164">
        <v>5216.57</v>
      </c>
      <c r="Q608" s="182">
        <v>5</v>
      </c>
      <c r="R608" s="118">
        <f t="shared" si="20"/>
        <v>26082.85</v>
      </c>
      <c r="S608" s="115">
        <v>202304</v>
      </c>
      <c r="T608" s="186" t="s">
        <v>888</v>
      </c>
      <c r="U608" s="186"/>
      <c r="V608" s="165"/>
      <c r="W608" s="165"/>
      <c r="X608" s="116">
        <v>43647</v>
      </c>
      <c r="Y608" s="116">
        <v>45229</v>
      </c>
    </row>
    <row r="609" s="85" customFormat="1" customHeight="1" spans="1:25">
      <c r="A609" s="98" t="s">
        <v>61</v>
      </c>
      <c r="B609" s="98" t="s">
        <v>62</v>
      </c>
      <c r="C609" s="98" t="s">
        <v>238</v>
      </c>
      <c r="D609" s="24" t="s">
        <v>64</v>
      </c>
      <c r="E609" s="161" t="s">
        <v>840</v>
      </c>
      <c r="F609" s="160" t="s">
        <v>841</v>
      </c>
      <c r="G609" s="172" t="s">
        <v>88</v>
      </c>
      <c r="H609" s="100" t="s">
        <v>842</v>
      </c>
      <c r="I609" s="46" t="e">
        <f>VLOOKUP(H609,'合同高级查询数据-4月返'!A:A,1,FALSE)</f>
        <v>#N/A</v>
      </c>
      <c r="J609" s="178" t="s">
        <v>850</v>
      </c>
      <c r="K609" s="107" t="s">
        <v>844</v>
      </c>
      <c r="L609" s="179"/>
      <c r="M609" s="49" t="s">
        <v>845</v>
      </c>
      <c r="N609" s="180">
        <v>44306</v>
      </c>
      <c r="O609" s="73" t="s">
        <v>503</v>
      </c>
      <c r="P609" s="164">
        <v>5216.57</v>
      </c>
      <c r="Q609" s="182">
        <v>10</v>
      </c>
      <c r="R609" s="118">
        <f t="shared" si="20"/>
        <v>52165.7</v>
      </c>
      <c r="S609" s="115">
        <v>202304</v>
      </c>
      <c r="T609" s="186" t="s">
        <v>889</v>
      </c>
      <c r="U609" s="186"/>
      <c r="V609" s="165"/>
      <c r="W609" s="165"/>
      <c r="X609" s="116">
        <v>43647</v>
      </c>
      <c r="Y609" s="116">
        <v>45229</v>
      </c>
    </row>
    <row r="610" s="85" customFormat="1" customHeight="1" spans="1:25">
      <c r="A610" s="98" t="s">
        <v>61</v>
      </c>
      <c r="B610" s="98" t="s">
        <v>62</v>
      </c>
      <c r="C610" s="98" t="s">
        <v>238</v>
      </c>
      <c r="D610" s="24" t="s">
        <v>64</v>
      </c>
      <c r="E610" s="161" t="s">
        <v>840</v>
      </c>
      <c r="F610" s="160" t="s">
        <v>841</v>
      </c>
      <c r="G610" s="172" t="s">
        <v>88</v>
      </c>
      <c r="H610" s="100" t="s">
        <v>842</v>
      </c>
      <c r="I610" s="46" t="e">
        <f>VLOOKUP(H610,'合同高级查询数据-4月返'!A:A,1,FALSE)</f>
        <v>#N/A</v>
      </c>
      <c r="J610" s="178" t="s">
        <v>850</v>
      </c>
      <c r="K610" s="107" t="s">
        <v>844</v>
      </c>
      <c r="L610" s="179"/>
      <c r="M610" s="49" t="s">
        <v>845</v>
      </c>
      <c r="N610" s="180">
        <v>44313</v>
      </c>
      <c r="O610" s="73" t="s">
        <v>503</v>
      </c>
      <c r="P610" s="164">
        <v>5216.57</v>
      </c>
      <c r="Q610" s="182">
        <v>13</v>
      </c>
      <c r="R610" s="118">
        <f t="shared" si="20"/>
        <v>67815.41</v>
      </c>
      <c r="S610" s="115">
        <v>202304</v>
      </c>
      <c r="T610" s="186" t="s">
        <v>890</v>
      </c>
      <c r="U610" s="186"/>
      <c r="V610" s="165"/>
      <c r="W610" s="165"/>
      <c r="X610" s="116">
        <v>43647</v>
      </c>
      <c r="Y610" s="116">
        <v>45229</v>
      </c>
    </row>
    <row r="611" s="85" customFormat="1" customHeight="1" spans="1:25">
      <c r="A611" s="98" t="s">
        <v>61</v>
      </c>
      <c r="B611" s="98" t="s">
        <v>62</v>
      </c>
      <c r="C611" s="98" t="s">
        <v>238</v>
      </c>
      <c r="D611" s="24" t="s">
        <v>64</v>
      </c>
      <c r="E611" s="161" t="s">
        <v>840</v>
      </c>
      <c r="F611" s="160" t="s">
        <v>841</v>
      </c>
      <c r="G611" s="172" t="s">
        <v>88</v>
      </c>
      <c r="H611" s="100" t="s">
        <v>842</v>
      </c>
      <c r="I611" s="46" t="e">
        <f>VLOOKUP(H611,'合同高级查询数据-4月返'!A:A,1,FALSE)</f>
        <v>#N/A</v>
      </c>
      <c r="J611" s="178" t="s">
        <v>850</v>
      </c>
      <c r="K611" s="107" t="s">
        <v>844</v>
      </c>
      <c r="L611" s="179"/>
      <c r="M611" s="49" t="s">
        <v>845</v>
      </c>
      <c r="N611" s="180">
        <v>44318</v>
      </c>
      <c r="O611" s="73" t="s">
        <v>503</v>
      </c>
      <c r="P611" s="164">
        <v>5216.57</v>
      </c>
      <c r="Q611" s="182">
        <v>6</v>
      </c>
      <c r="R611" s="118">
        <f t="shared" si="20"/>
        <v>31299.42</v>
      </c>
      <c r="S611" s="115">
        <v>202304</v>
      </c>
      <c r="T611" s="186" t="s">
        <v>891</v>
      </c>
      <c r="U611" s="186"/>
      <c r="V611" s="165"/>
      <c r="W611" s="165"/>
      <c r="X611" s="116">
        <v>43647</v>
      </c>
      <c r="Y611" s="116">
        <v>45229</v>
      </c>
    </row>
    <row r="612" s="85" customFormat="1" customHeight="1" spans="1:25">
      <c r="A612" s="98" t="s">
        <v>61</v>
      </c>
      <c r="B612" s="98" t="s">
        <v>62</v>
      </c>
      <c r="C612" s="98" t="s">
        <v>238</v>
      </c>
      <c r="D612" s="24" t="s">
        <v>64</v>
      </c>
      <c r="E612" s="161" t="s">
        <v>840</v>
      </c>
      <c r="F612" s="160" t="s">
        <v>841</v>
      </c>
      <c r="G612" s="172" t="s">
        <v>88</v>
      </c>
      <c r="H612" s="100" t="s">
        <v>842</v>
      </c>
      <c r="I612" s="46" t="e">
        <f>VLOOKUP(H612,'合同高级查询数据-4月返'!A:A,1,FALSE)</f>
        <v>#N/A</v>
      </c>
      <c r="J612" s="178" t="s">
        <v>850</v>
      </c>
      <c r="K612" s="107" t="s">
        <v>844</v>
      </c>
      <c r="L612" s="179"/>
      <c r="M612" s="49" t="s">
        <v>845</v>
      </c>
      <c r="N612" s="180">
        <v>44325</v>
      </c>
      <c r="O612" s="73" t="s">
        <v>503</v>
      </c>
      <c r="P612" s="164">
        <v>5216.57</v>
      </c>
      <c r="Q612" s="182">
        <v>3</v>
      </c>
      <c r="R612" s="118">
        <f t="shared" si="20"/>
        <v>15649.71</v>
      </c>
      <c r="S612" s="115">
        <v>202304</v>
      </c>
      <c r="T612" s="186" t="s">
        <v>892</v>
      </c>
      <c r="U612" s="186"/>
      <c r="V612" s="165"/>
      <c r="W612" s="165"/>
      <c r="X612" s="116">
        <v>43647</v>
      </c>
      <c r="Y612" s="116">
        <v>45229</v>
      </c>
    </row>
    <row r="613" s="85" customFormat="1" customHeight="1" spans="1:25">
      <c r="A613" s="98" t="s">
        <v>61</v>
      </c>
      <c r="B613" s="98" t="s">
        <v>62</v>
      </c>
      <c r="C613" s="98" t="s">
        <v>238</v>
      </c>
      <c r="D613" s="24" t="s">
        <v>64</v>
      </c>
      <c r="E613" s="161" t="s">
        <v>840</v>
      </c>
      <c r="F613" s="160" t="s">
        <v>841</v>
      </c>
      <c r="G613" s="172" t="s">
        <v>88</v>
      </c>
      <c r="H613" s="100" t="s">
        <v>842</v>
      </c>
      <c r="I613" s="46" t="e">
        <f>VLOOKUP(H613,'合同高级查询数据-4月返'!A:A,1,FALSE)</f>
        <v>#N/A</v>
      </c>
      <c r="J613" s="178" t="s">
        <v>850</v>
      </c>
      <c r="K613" s="107" t="s">
        <v>844</v>
      </c>
      <c r="L613" s="179"/>
      <c r="M613" s="49" t="s">
        <v>845</v>
      </c>
      <c r="N613" s="180">
        <v>44331</v>
      </c>
      <c r="O613" s="73" t="s">
        <v>503</v>
      </c>
      <c r="P613" s="164">
        <v>5216.57</v>
      </c>
      <c r="Q613" s="182">
        <v>3</v>
      </c>
      <c r="R613" s="118">
        <f t="shared" si="20"/>
        <v>15649.71</v>
      </c>
      <c r="S613" s="115">
        <v>202304</v>
      </c>
      <c r="T613" s="186" t="s">
        <v>893</v>
      </c>
      <c r="U613" s="186"/>
      <c r="V613" s="165"/>
      <c r="W613" s="165"/>
      <c r="X613" s="116">
        <v>43647</v>
      </c>
      <c r="Y613" s="116">
        <v>45229</v>
      </c>
    </row>
    <row r="614" s="85" customFormat="1" customHeight="1" spans="1:25">
      <c r="A614" s="98" t="s">
        <v>61</v>
      </c>
      <c r="B614" s="98" t="s">
        <v>62</v>
      </c>
      <c r="C614" s="98" t="s">
        <v>238</v>
      </c>
      <c r="D614" s="24" t="s">
        <v>64</v>
      </c>
      <c r="E614" s="161" t="s">
        <v>840</v>
      </c>
      <c r="F614" s="160" t="s">
        <v>841</v>
      </c>
      <c r="G614" s="172" t="s">
        <v>88</v>
      </c>
      <c r="H614" s="100" t="s">
        <v>842</v>
      </c>
      <c r="I614" s="46" t="e">
        <f>VLOOKUP(H614,'合同高级查询数据-4月返'!A:A,1,FALSE)</f>
        <v>#N/A</v>
      </c>
      <c r="J614" s="178" t="s">
        <v>850</v>
      </c>
      <c r="K614" s="107" t="s">
        <v>844</v>
      </c>
      <c r="L614" s="179"/>
      <c r="M614" s="49" t="s">
        <v>845</v>
      </c>
      <c r="N614" s="180">
        <v>44333</v>
      </c>
      <c r="O614" s="73" t="s">
        <v>503</v>
      </c>
      <c r="P614" s="164">
        <v>5216.57</v>
      </c>
      <c r="Q614" s="182">
        <v>2</v>
      </c>
      <c r="R614" s="118">
        <f t="shared" si="20"/>
        <v>10433.14</v>
      </c>
      <c r="S614" s="115">
        <v>202304</v>
      </c>
      <c r="T614" s="186" t="s">
        <v>894</v>
      </c>
      <c r="U614" s="186"/>
      <c r="V614" s="165"/>
      <c r="W614" s="165"/>
      <c r="X614" s="116">
        <v>43647</v>
      </c>
      <c r="Y614" s="116">
        <v>45229</v>
      </c>
    </row>
    <row r="615" s="85" customFormat="1" customHeight="1" spans="1:25">
      <c r="A615" s="98" t="s">
        <v>61</v>
      </c>
      <c r="B615" s="98" t="s">
        <v>62</v>
      </c>
      <c r="C615" s="98" t="s">
        <v>238</v>
      </c>
      <c r="D615" s="24" t="s">
        <v>64</v>
      </c>
      <c r="E615" s="161" t="s">
        <v>840</v>
      </c>
      <c r="F615" s="160" t="s">
        <v>841</v>
      </c>
      <c r="G615" s="172" t="s">
        <v>88</v>
      </c>
      <c r="H615" s="100" t="s">
        <v>842</v>
      </c>
      <c r="I615" s="46" t="e">
        <f>VLOOKUP(H615,'合同高级查询数据-4月返'!A:A,1,FALSE)</f>
        <v>#N/A</v>
      </c>
      <c r="J615" s="178" t="s">
        <v>850</v>
      </c>
      <c r="K615" s="107" t="s">
        <v>844</v>
      </c>
      <c r="L615" s="179"/>
      <c r="M615" s="49" t="s">
        <v>845</v>
      </c>
      <c r="N615" s="180">
        <v>44341</v>
      </c>
      <c r="O615" s="73" t="s">
        <v>503</v>
      </c>
      <c r="P615" s="164">
        <v>5216.57</v>
      </c>
      <c r="Q615" s="182">
        <v>12</v>
      </c>
      <c r="R615" s="118">
        <f t="shared" si="20"/>
        <v>62598.84</v>
      </c>
      <c r="S615" s="115">
        <v>202304</v>
      </c>
      <c r="T615" s="186" t="s">
        <v>895</v>
      </c>
      <c r="U615" s="186"/>
      <c r="V615" s="165"/>
      <c r="W615" s="165"/>
      <c r="X615" s="116">
        <v>43647</v>
      </c>
      <c r="Y615" s="116">
        <v>45229</v>
      </c>
    </row>
    <row r="616" s="85" customFormat="1" customHeight="1" spans="1:25">
      <c r="A616" s="98" t="s">
        <v>61</v>
      </c>
      <c r="B616" s="98" t="s">
        <v>62</v>
      </c>
      <c r="C616" s="98" t="s">
        <v>238</v>
      </c>
      <c r="D616" s="24" t="s">
        <v>64</v>
      </c>
      <c r="E616" s="161" t="s">
        <v>840</v>
      </c>
      <c r="F616" s="160" t="s">
        <v>841</v>
      </c>
      <c r="G616" s="172" t="s">
        <v>88</v>
      </c>
      <c r="H616" s="100" t="s">
        <v>842</v>
      </c>
      <c r="I616" s="46" t="e">
        <f>VLOOKUP(H616,'合同高级查询数据-4月返'!A:A,1,FALSE)</f>
        <v>#N/A</v>
      </c>
      <c r="J616" s="178" t="s">
        <v>850</v>
      </c>
      <c r="K616" s="107" t="s">
        <v>844</v>
      </c>
      <c r="L616" s="179"/>
      <c r="M616" s="49" t="s">
        <v>845</v>
      </c>
      <c r="N616" s="180">
        <v>44347</v>
      </c>
      <c r="O616" s="73" t="s">
        <v>503</v>
      </c>
      <c r="P616" s="164">
        <v>5216.57</v>
      </c>
      <c r="Q616" s="182">
        <v>6</v>
      </c>
      <c r="R616" s="118">
        <f t="shared" si="20"/>
        <v>31299.42</v>
      </c>
      <c r="S616" s="115">
        <v>202304</v>
      </c>
      <c r="T616" s="186" t="s">
        <v>896</v>
      </c>
      <c r="U616" s="186"/>
      <c r="V616" s="165"/>
      <c r="W616" s="165"/>
      <c r="X616" s="116">
        <v>43647</v>
      </c>
      <c r="Y616" s="116">
        <v>45229</v>
      </c>
    </row>
    <row r="617" s="85" customFormat="1" customHeight="1" spans="1:25">
      <c r="A617" s="98" t="s">
        <v>61</v>
      </c>
      <c r="B617" s="98" t="s">
        <v>62</v>
      </c>
      <c r="C617" s="98" t="s">
        <v>238</v>
      </c>
      <c r="D617" s="24" t="s">
        <v>64</v>
      </c>
      <c r="E617" s="161" t="s">
        <v>840</v>
      </c>
      <c r="F617" s="160" t="s">
        <v>841</v>
      </c>
      <c r="G617" s="172" t="s">
        <v>88</v>
      </c>
      <c r="H617" s="100" t="s">
        <v>842</v>
      </c>
      <c r="I617" s="46" t="e">
        <f>VLOOKUP(H617,'合同高级查询数据-4月返'!A:A,1,FALSE)</f>
        <v>#N/A</v>
      </c>
      <c r="J617" s="178" t="s">
        <v>850</v>
      </c>
      <c r="K617" s="107" t="s">
        <v>844</v>
      </c>
      <c r="L617" s="179"/>
      <c r="M617" s="49" t="s">
        <v>845</v>
      </c>
      <c r="N617" s="180">
        <v>44362</v>
      </c>
      <c r="O617" s="73" t="s">
        <v>503</v>
      </c>
      <c r="P617" s="164">
        <v>5216.57</v>
      </c>
      <c r="Q617" s="182">
        <v>10</v>
      </c>
      <c r="R617" s="118">
        <f t="shared" si="20"/>
        <v>52165.7</v>
      </c>
      <c r="S617" s="115">
        <v>202304</v>
      </c>
      <c r="T617" s="186" t="s">
        <v>897</v>
      </c>
      <c r="U617" s="186"/>
      <c r="V617" s="165"/>
      <c r="W617" s="165"/>
      <c r="X617" s="116">
        <v>43647</v>
      </c>
      <c r="Y617" s="116">
        <v>45229</v>
      </c>
    </row>
    <row r="618" s="85" customFormat="1" customHeight="1" spans="1:25">
      <c r="A618" s="98" t="s">
        <v>61</v>
      </c>
      <c r="B618" s="98" t="s">
        <v>62</v>
      </c>
      <c r="C618" s="98" t="s">
        <v>238</v>
      </c>
      <c r="D618" s="24" t="s">
        <v>64</v>
      </c>
      <c r="E618" s="161" t="s">
        <v>840</v>
      </c>
      <c r="F618" s="160" t="s">
        <v>841</v>
      </c>
      <c r="G618" s="172" t="s">
        <v>88</v>
      </c>
      <c r="H618" s="100" t="s">
        <v>842</v>
      </c>
      <c r="I618" s="46" t="e">
        <f>VLOOKUP(H618,'合同高级查询数据-4月返'!A:A,1,FALSE)</f>
        <v>#N/A</v>
      </c>
      <c r="J618" s="178" t="s">
        <v>850</v>
      </c>
      <c r="K618" s="107" t="s">
        <v>844</v>
      </c>
      <c r="L618" s="179"/>
      <c r="M618" s="49" t="s">
        <v>845</v>
      </c>
      <c r="N618" s="180">
        <v>44381</v>
      </c>
      <c r="O618" s="73" t="s">
        <v>503</v>
      </c>
      <c r="P618" s="164">
        <v>5216.57</v>
      </c>
      <c r="Q618" s="182">
        <v>4</v>
      </c>
      <c r="R618" s="118">
        <f t="shared" si="20"/>
        <v>20866.28</v>
      </c>
      <c r="S618" s="115">
        <v>202304</v>
      </c>
      <c r="T618" s="186" t="s">
        <v>898</v>
      </c>
      <c r="U618" s="186"/>
      <c r="V618" s="165"/>
      <c r="W618" s="165"/>
      <c r="X618" s="116">
        <v>43647</v>
      </c>
      <c r="Y618" s="116">
        <v>45229</v>
      </c>
    </row>
    <row r="619" s="85" customFormat="1" customHeight="1" spans="1:25">
      <c r="A619" s="98" t="s">
        <v>61</v>
      </c>
      <c r="B619" s="98" t="s">
        <v>62</v>
      </c>
      <c r="C619" s="98" t="s">
        <v>238</v>
      </c>
      <c r="D619" s="24" t="s">
        <v>64</v>
      </c>
      <c r="E619" s="161" t="s">
        <v>840</v>
      </c>
      <c r="F619" s="160" t="s">
        <v>841</v>
      </c>
      <c r="G619" s="172" t="s">
        <v>88</v>
      </c>
      <c r="H619" s="100" t="s">
        <v>842</v>
      </c>
      <c r="I619" s="46" t="e">
        <f>VLOOKUP(H619,'合同高级查询数据-4月返'!A:A,1,FALSE)</f>
        <v>#N/A</v>
      </c>
      <c r="J619" s="178" t="s">
        <v>850</v>
      </c>
      <c r="K619" s="107" t="s">
        <v>844</v>
      </c>
      <c r="L619" s="179"/>
      <c r="M619" s="49" t="s">
        <v>845</v>
      </c>
      <c r="N619" s="180">
        <v>44382</v>
      </c>
      <c r="O619" s="73" t="s">
        <v>503</v>
      </c>
      <c r="P619" s="164">
        <v>5216.57</v>
      </c>
      <c r="Q619" s="182">
        <v>16</v>
      </c>
      <c r="R619" s="118">
        <f t="shared" si="20"/>
        <v>83465.12</v>
      </c>
      <c r="S619" s="115">
        <v>202304</v>
      </c>
      <c r="T619" s="186" t="s">
        <v>899</v>
      </c>
      <c r="U619" s="186"/>
      <c r="V619" s="165"/>
      <c r="W619" s="165"/>
      <c r="X619" s="116">
        <v>43647</v>
      </c>
      <c r="Y619" s="116">
        <v>45229</v>
      </c>
    </row>
    <row r="620" s="85" customFormat="1" customHeight="1" spans="1:25">
      <c r="A620" s="98" t="s">
        <v>61</v>
      </c>
      <c r="B620" s="98" t="s">
        <v>62</v>
      </c>
      <c r="C620" s="98" t="s">
        <v>238</v>
      </c>
      <c r="D620" s="24" t="s">
        <v>64</v>
      </c>
      <c r="E620" s="161" t="s">
        <v>840</v>
      </c>
      <c r="F620" s="160" t="s">
        <v>841</v>
      </c>
      <c r="G620" s="172" t="s">
        <v>88</v>
      </c>
      <c r="H620" s="100" t="s">
        <v>842</v>
      </c>
      <c r="I620" s="46" t="e">
        <f>VLOOKUP(H620,'合同高级查询数据-4月返'!A:A,1,FALSE)</f>
        <v>#N/A</v>
      </c>
      <c r="J620" s="178" t="s">
        <v>850</v>
      </c>
      <c r="K620" s="107" t="s">
        <v>844</v>
      </c>
      <c r="L620" s="179"/>
      <c r="M620" s="49" t="s">
        <v>845</v>
      </c>
      <c r="N620" s="180">
        <v>44403</v>
      </c>
      <c r="O620" s="73" t="s">
        <v>503</v>
      </c>
      <c r="P620" s="164">
        <v>5216.57</v>
      </c>
      <c r="Q620" s="182">
        <v>8</v>
      </c>
      <c r="R620" s="118">
        <f t="shared" si="20"/>
        <v>41732.56</v>
      </c>
      <c r="S620" s="115">
        <v>202304</v>
      </c>
      <c r="T620" s="186" t="s">
        <v>900</v>
      </c>
      <c r="U620" s="186"/>
      <c r="V620" s="165"/>
      <c r="W620" s="165"/>
      <c r="X620" s="116">
        <v>43647</v>
      </c>
      <c r="Y620" s="116">
        <v>45229</v>
      </c>
    </row>
    <row r="621" s="85" customFormat="1" customHeight="1" spans="1:25">
      <c r="A621" s="98" t="s">
        <v>61</v>
      </c>
      <c r="B621" s="98" t="s">
        <v>62</v>
      </c>
      <c r="C621" s="98" t="s">
        <v>238</v>
      </c>
      <c r="D621" s="24" t="s">
        <v>64</v>
      </c>
      <c r="E621" s="161" t="s">
        <v>840</v>
      </c>
      <c r="F621" s="160" t="s">
        <v>841</v>
      </c>
      <c r="G621" s="172" t="s">
        <v>88</v>
      </c>
      <c r="H621" s="100" t="s">
        <v>842</v>
      </c>
      <c r="I621" s="46" t="e">
        <f>VLOOKUP(H621,'合同高级查询数据-4月返'!A:A,1,FALSE)</f>
        <v>#N/A</v>
      </c>
      <c r="J621" s="178" t="s">
        <v>850</v>
      </c>
      <c r="K621" s="107" t="s">
        <v>844</v>
      </c>
      <c r="L621" s="179"/>
      <c r="M621" s="49" t="s">
        <v>845</v>
      </c>
      <c r="N621" s="180">
        <v>44405</v>
      </c>
      <c r="O621" s="73" t="s">
        <v>503</v>
      </c>
      <c r="P621" s="164">
        <v>5216.57</v>
      </c>
      <c r="Q621" s="182">
        <v>6</v>
      </c>
      <c r="R621" s="118">
        <f t="shared" si="20"/>
        <v>31299.42</v>
      </c>
      <c r="S621" s="115">
        <v>202304</v>
      </c>
      <c r="T621" s="186" t="s">
        <v>901</v>
      </c>
      <c r="U621" s="186"/>
      <c r="V621" s="165"/>
      <c r="W621" s="165"/>
      <c r="X621" s="116">
        <v>43647</v>
      </c>
      <c r="Y621" s="116">
        <v>45229</v>
      </c>
    </row>
    <row r="622" s="85" customFormat="1" customHeight="1" spans="1:25">
      <c r="A622" s="98" t="s">
        <v>61</v>
      </c>
      <c r="B622" s="98" t="s">
        <v>62</v>
      </c>
      <c r="C622" s="98" t="s">
        <v>238</v>
      </c>
      <c r="D622" s="24" t="s">
        <v>64</v>
      </c>
      <c r="E622" s="161" t="s">
        <v>840</v>
      </c>
      <c r="F622" s="160" t="s">
        <v>841</v>
      </c>
      <c r="G622" s="172" t="s">
        <v>88</v>
      </c>
      <c r="H622" s="100" t="s">
        <v>842</v>
      </c>
      <c r="I622" s="46" t="e">
        <f>VLOOKUP(H622,'合同高级查询数据-4月返'!A:A,1,FALSE)</f>
        <v>#N/A</v>
      </c>
      <c r="J622" s="178" t="s">
        <v>850</v>
      </c>
      <c r="K622" s="107" t="s">
        <v>844</v>
      </c>
      <c r="L622" s="179"/>
      <c r="M622" s="49" t="s">
        <v>845</v>
      </c>
      <c r="N622" s="180">
        <v>44410</v>
      </c>
      <c r="O622" s="73" t="s">
        <v>503</v>
      </c>
      <c r="P622" s="164">
        <v>5216.57</v>
      </c>
      <c r="Q622" s="182">
        <v>2</v>
      </c>
      <c r="R622" s="118">
        <f t="shared" si="20"/>
        <v>10433.14</v>
      </c>
      <c r="S622" s="115">
        <v>202304</v>
      </c>
      <c r="T622" s="186" t="s">
        <v>902</v>
      </c>
      <c r="U622" s="186"/>
      <c r="V622" s="165"/>
      <c r="W622" s="165"/>
      <c r="X622" s="116">
        <v>43647</v>
      </c>
      <c r="Y622" s="116">
        <v>45229</v>
      </c>
    </row>
    <row r="623" s="85" customFormat="1" customHeight="1" spans="1:25">
      <c r="A623" s="98" t="s">
        <v>61</v>
      </c>
      <c r="B623" s="98" t="s">
        <v>62</v>
      </c>
      <c r="C623" s="98" t="s">
        <v>238</v>
      </c>
      <c r="D623" s="24" t="s">
        <v>64</v>
      </c>
      <c r="E623" s="161" t="s">
        <v>840</v>
      </c>
      <c r="F623" s="160" t="s">
        <v>841</v>
      </c>
      <c r="G623" s="172" t="s">
        <v>88</v>
      </c>
      <c r="H623" s="100" t="s">
        <v>842</v>
      </c>
      <c r="I623" s="46" t="e">
        <f>VLOOKUP(H623,'合同高级查询数据-4月返'!A:A,1,FALSE)</f>
        <v>#N/A</v>
      </c>
      <c r="J623" s="178" t="s">
        <v>850</v>
      </c>
      <c r="K623" s="107" t="s">
        <v>844</v>
      </c>
      <c r="L623" s="179"/>
      <c r="M623" s="49" t="s">
        <v>845</v>
      </c>
      <c r="N623" s="180">
        <v>44519</v>
      </c>
      <c r="O623" s="73" t="s">
        <v>503</v>
      </c>
      <c r="P623" s="164">
        <v>5216.57</v>
      </c>
      <c r="Q623" s="182">
        <v>8</v>
      </c>
      <c r="R623" s="118">
        <f t="shared" si="20"/>
        <v>41732.56</v>
      </c>
      <c r="S623" s="115">
        <v>202304</v>
      </c>
      <c r="T623" s="186" t="s">
        <v>903</v>
      </c>
      <c r="U623" s="186"/>
      <c r="V623" s="165"/>
      <c r="W623" s="165"/>
      <c r="X623" s="116">
        <v>43647</v>
      </c>
      <c r="Y623" s="116">
        <v>45229</v>
      </c>
    </row>
    <row r="624" s="85" customFormat="1" customHeight="1" spans="1:25">
      <c r="A624" s="98" t="s">
        <v>61</v>
      </c>
      <c r="B624" s="98" t="s">
        <v>62</v>
      </c>
      <c r="C624" s="98" t="s">
        <v>238</v>
      </c>
      <c r="D624" s="24" t="s">
        <v>64</v>
      </c>
      <c r="E624" s="161" t="s">
        <v>840</v>
      </c>
      <c r="F624" s="160" t="s">
        <v>841</v>
      </c>
      <c r="G624" s="172" t="s">
        <v>88</v>
      </c>
      <c r="H624" s="100" t="s">
        <v>842</v>
      </c>
      <c r="I624" s="46" t="e">
        <f>VLOOKUP(H624,'合同高级查询数据-4月返'!A:A,1,FALSE)</f>
        <v>#N/A</v>
      </c>
      <c r="J624" s="178" t="s">
        <v>850</v>
      </c>
      <c r="K624" s="107" t="s">
        <v>844</v>
      </c>
      <c r="L624" s="179"/>
      <c r="M624" s="49" t="s">
        <v>845</v>
      </c>
      <c r="N624" s="180">
        <v>44522</v>
      </c>
      <c r="O624" s="73" t="s">
        <v>503</v>
      </c>
      <c r="P624" s="164">
        <v>5216.57</v>
      </c>
      <c r="Q624" s="182">
        <v>4</v>
      </c>
      <c r="R624" s="118">
        <f t="shared" si="20"/>
        <v>20866.28</v>
      </c>
      <c r="S624" s="115">
        <v>202304</v>
      </c>
      <c r="T624" s="186" t="s">
        <v>904</v>
      </c>
      <c r="U624" s="186"/>
      <c r="V624" s="165"/>
      <c r="W624" s="165"/>
      <c r="X624" s="116">
        <v>43647</v>
      </c>
      <c r="Y624" s="116">
        <v>45229</v>
      </c>
    </row>
    <row r="625" s="85" customFormat="1" customHeight="1" spans="1:25">
      <c r="A625" s="98" t="s">
        <v>61</v>
      </c>
      <c r="B625" s="98" t="s">
        <v>62</v>
      </c>
      <c r="C625" s="98" t="s">
        <v>238</v>
      </c>
      <c r="D625" s="24" t="s">
        <v>64</v>
      </c>
      <c r="E625" s="161" t="s">
        <v>840</v>
      </c>
      <c r="F625" s="160" t="s">
        <v>841</v>
      </c>
      <c r="G625" s="172" t="s">
        <v>88</v>
      </c>
      <c r="H625" s="100" t="s">
        <v>842</v>
      </c>
      <c r="I625" s="46" t="e">
        <f>VLOOKUP(H625,'合同高级查询数据-4月返'!A:A,1,FALSE)</f>
        <v>#N/A</v>
      </c>
      <c r="J625" s="178" t="s">
        <v>850</v>
      </c>
      <c r="K625" s="107" t="s">
        <v>844</v>
      </c>
      <c r="L625" s="179"/>
      <c r="M625" s="49" t="s">
        <v>845</v>
      </c>
      <c r="N625" s="180">
        <v>44533</v>
      </c>
      <c r="O625" s="73" t="s">
        <v>503</v>
      </c>
      <c r="P625" s="164">
        <v>5216.57</v>
      </c>
      <c r="Q625" s="182">
        <v>5</v>
      </c>
      <c r="R625" s="118">
        <f t="shared" si="20"/>
        <v>26082.85</v>
      </c>
      <c r="S625" s="115">
        <v>202304</v>
      </c>
      <c r="T625" s="186" t="s">
        <v>905</v>
      </c>
      <c r="U625" s="186"/>
      <c r="V625" s="165"/>
      <c r="W625" s="165"/>
      <c r="X625" s="116">
        <v>43647</v>
      </c>
      <c r="Y625" s="116">
        <v>45229</v>
      </c>
    </row>
    <row r="626" s="85" customFormat="1" customHeight="1" spans="1:25">
      <c r="A626" s="98" t="s">
        <v>61</v>
      </c>
      <c r="B626" s="98" t="s">
        <v>62</v>
      </c>
      <c r="C626" s="98" t="s">
        <v>238</v>
      </c>
      <c r="D626" s="24" t="s">
        <v>64</v>
      </c>
      <c r="E626" s="161" t="s">
        <v>840</v>
      </c>
      <c r="F626" s="160" t="s">
        <v>841</v>
      </c>
      <c r="G626" s="172" t="s">
        <v>88</v>
      </c>
      <c r="H626" s="100" t="s">
        <v>842</v>
      </c>
      <c r="I626" s="46" t="e">
        <f>VLOOKUP(H626,'合同高级查询数据-4月返'!A:A,1,FALSE)</f>
        <v>#N/A</v>
      </c>
      <c r="J626" s="178" t="s">
        <v>850</v>
      </c>
      <c r="K626" s="107" t="s">
        <v>844</v>
      </c>
      <c r="L626" s="179"/>
      <c r="M626" s="49" t="s">
        <v>845</v>
      </c>
      <c r="N626" s="180">
        <v>44566</v>
      </c>
      <c r="O626" s="73" t="s">
        <v>503</v>
      </c>
      <c r="P626" s="164">
        <v>5216.57</v>
      </c>
      <c r="Q626" s="182">
        <v>6</v>
      </c>
      <c r="R626" s="118">
        <f t="shared" si="20"/>
        <v>31299.42</v>
      </c>
      <c r="S626" s="115">
        <v>202304</v>
      </c>
      <c r="T626" s="186" t="s">
        <v>906</v>
      </c>
      <c r="U626" s="186"/>
      <c r="V626" s="165"/>
      <c r="W626" s="165"/>
      <c r="X626" s="116">
        <v>43647</v>
      </c>
      <c r="Y626" s="116">
        <v>45229</v>
      </c>
    </row>
    <row r="627" s="85" customFormat="1" customHeight="1" spans="1:25">
      <c r="A627" s="98" t="s">
        <v>61</v>
      </c>
      <c r="B627" s="98" t="s">
        <v>62</v>
      </c>
      <c r="C627" s="98" t="s">
        <v>238</v>
      </c>
      <c r="D627" s="24" t="s">
        <v>64</v>
      </c>
      <c r="E627" s="161" t="s">
        <v>840</v>
      </c>
      <c r="F627" s="160" t="s">
        <v>841</v>
      </c>
      <c r="G627" s="172" t="s">
        <v>88</v>
      </c>
      <c r="H627" s="100" t="s">
        <v>842</v>
      </c>
      <c r="I627" s="46" t="e">
        <f>VLOOKUP(H627,'合同高级查询数据-4月返'!A:A,1,FALSE)</f>
        <v>#N/A</v>
      </c>
      <c r="J627" s="178" t="s">
        <v>850</v>
      </c>
      <c r="K627" s="107" t="s">
        <v>844</v>
      </c>
      <c r="L627" s="179"/>
      <c r="M627" s="49" t="s">
        <v>845</v>
      </c>
      <c r="N627" s="180">
        <v>44588</v>
      </c>
      <c r="O627" s="73" t="s">
        <v>503</v>
      </c>
      <c r="P627" s="164">
        <v>5216.57</v>
      </c>
      <c r="Q627" s="182">
        <v>5</v>
      </c>
      <c r="R627" s="118">
        <f t="shared" si="20"/>
        <v>26082.85</v>
      </c>
      <c r="S627" s="115">
        <v>202304</v>
      </c>
      <c r="T627" s="186" t="s">
        <v>907</v>
      </c>
      <c r="U627" s="186"/>
      <c r="V627" s="165"/>
      <c r="W627" s="165"/>
      <c r="X627" s="116">
        <v>43647</v>
      </c>
      <c r="Y627" s="116">
        <v>45229</v>
      </c>
    </row>
    <row r="628" s="85" customFormat="1" customHeight="1" spans="1:25">
      <c r="A628" s="98" t="s">
        <v>61</v>
      </c>
      <c r="B628" s="98" t="s">
        <v>62</v>
      </c>
      <c r="C628" s="98" t="s">
        <v>238</v>
      </c>
      <c r="D628" s="24" t="s">
        <v>64</v>
      </c>
      <c r="E628" s="161" t="s">
        <v>840</v>
      </c>
      <c r="F628" s="160" t="s">
        <v>841</v>
      </c>
      <c r="G628" s="172" t="s">
        <v>88</v>
      </c>
      <c r="H628" s="100" t="s">
        <v>842</v>
      </c>
      <c r="I628" s="46" t="e">
        <f>VLOOKUP(H628,'合同高级查询数据-4月返'!A:A,1,FALSE)</f>
        <v>#N/A</v>
      </c>
      <c r="J628" s="178" t="s">
        <v>850</v>
      </c>
      <c r="K628" s="107" t="s">
        <v>844</v>
      </c>
      <c r="L628" s="179"/>
      <c r="M628" s="49" t="s">
        <v>845</v>
      </c>
      <c r="N628" s="180">
        <v>44862</v>
      </c>
      <c r="O628" s="73" t="s">
        <v>503</v>
      </c>
      <c r="P628" s="164">
        <v>5216.57</v>
      </c>
      <c r="Q628" s="182">
        <v>-2</v>
      </c>
      <c r="R628" s="118">
        <f t="shared" si="20"/>
        <v>-10433.14</v>
      </c>
      <c r="S628" s="115">
        <v>202304</v>
      </c>
      <c r="T628" s="186" t="s">
        <v>908</v>
      </c>
      <c r="U628" s="186"/>
      <c r="V628" s="165"/>
      <c r="W628" s="165"/>
      <c r="X628" s="116">
        <v>43647</v>
      </c>
      <c r="Y628" s="116">
        <v>45229</v>
      </c>
    </row>
    <row r="629" s="85" customFormat="1" customHeight="1" spans="1:25">
      <c r="A629" s="98" t="s">
        <v>61</v>
      </c>
      <c r="B629" s="98" t="s">
        <v>62</v>
      </c>
      <c r="C629" s="98" t="s">
        <v>238</v>
      </c>
      <c r="D629" s="24" t="s">
        <v>64</v>
      </c>
      <c r="E629" s="161" t="s">
        <v>840</v>
      </c>
      <c r="F629" s="160" t="s">
        <v>841</v>
      </c>
      <c r="G629" s="172" t="s">
        <v>78</v>
      </c>
      <c r="H629" s="100" t="s">
        <v>842</v>
      </c>
      <c r="I629" s="46" t="e">
        <f>VLOOKUP(H629,'合同高级查询数据-4月返'!A:A,1,FALSE)</f>
        <v>#N/A</v>
      </c>
      <c r="J629" s="178" t="s">
        <v>909</v>
      </c>
      <c r="K629" s="107" t="s">
        <v>844</v>
      </c>
      <c r="L629" s="179"/>
      <c r="M629" s="49" t="s">
        <v>845</v>
      </c>
      <c r="N629" s="180"/>
      <c r="O629" s="73"/>
      <c r="P629" s="164">
        <v>3000</v>
      </c>
      <c r="Q629" s="182">
        <v>0</v>
      </c>
      <c r="R629" s="118">
        <f t="shared" si="20"/>
        <v>0</v>
      </c>
      <c r="S629" s="115">
        <v>202304</v>
      </c>
      <c r="T629" s="186" t="s">
        <v>910</v>
      </c>
      <c r="U629" s="186"/>
      <c r="V629" s="165"/>
      <c r="W629" s="165"/>
      <c r="X629" s="116">
        <v>43647</v>
      </c>
      <c r="Y629" s="116">
        <v>45229</v>
      </c>
    </row>
    <row r="630" s="85" customFormat="1" customHeight="1" spans="1:25">
      <c r="A630" s="98" t="s">
        <v>61</v>
      </c>
      <c r="B630" s="98" t="s">
        <v>62</v>
      </c>
      <c r="C630" s="98" t="s">
        <v>238</v>
      </c>
      <c r="D630" s="24" t="s">
        <v>64</v>
      </c>
      <c r="E630" s="161" t="s">
        <v>840</v>
      </c>
      <c r="F630" s="160" t="s">
        <v>841</v>
      </c>
      <c r="G630" s="172" t="s">
        <v>88</v>
      </c>
      <c r="H630" s="100" t="s">
        <v>842</v>
      </c>
      <c r="I630" s="46" t="e">
        <f>VLOOKUP(H630,'合同高级查询数据-4月返'!A:A,1,FALSE)</f>
        <v>#N/A</v>
      </c>
      <c r="J630" s="178" t="s">
        <v>850</v>
      </c>
      <c r="K630" s="107" t="s">
        <v>844</v>
      </c>
      <c r="L630" s="179"/>
      <c r="M630" s="49" t="s">
        <v>845</v>
      </c>
      <c r="N630" s="180">
        <v>44862</v>
      </c>
      <c r="O630" s="73" t="s">
        <v>503</v>
      </c>
      <c r="P630" s="164">
        <v>5216.57</v>
      </c>
      <c r="Q630" s="182">
        <v>1</v>
      </c>
      <c r="R630" s="118">
        <f t="shared" si="20"/>
        <v>5216.57</v>
      </c>
      <c r="S630" s="115">
        <v>202304</v>
      </c>
      <c r="T630" s="199" t="s">
        <v>911</v>
      </c>
      <c r="U630" s="121"/>
      <c r="V630" s="121"/>
      <c r="W630" s="121"/>
      <c r="X630" s="116">
        <v>43647</v>
      </c>
      <c r="Y630" s="116">
        <v>45229</v>
      </c>
    </row>
    <row r="631" s="85" customFormat="1" customHeight="1" spans="1:25">
      <c r="A631" s="98" t="s">
        <v>61</v>
      </c>
      <c r="B631" s="98" t="s">
        <v>62</v>
      </c>
      <c r="C631" s="98" t="s">
        <v>238</v>
      </c>
      <c r="D631" s="24" t="s">
        <v>64</v>
      </c>
      <c r="E631" s="161" t="s">
        <v>840</v>
      </c>
      <c r="F631" s="160" t="s">
        <v>841</v>
      </c>
      <c r="G631" s="172" t="s">
        <v>88</v>
      </c>
      <c r="H631" s="100" t="s">
        <v>842</v>
      </c>
      <c r="I631" s="46" t="e">
        <f>VLOOKUP(H631,'合同高级查询数据-4月返'!A:A,1,FALSE)</f>
        <v>#N/A</v>
      </c>
      <c r="J631" s="178" t="s">
        <v>850</v>
      </c>
      <c r="K631" s="107" t="s">
        <v>844</v>
      </c>
      <c r="L631" s="179"/>
      <c r="M631" s="49" t="s">
        <v>845</v>
      </c>
      <c r="N631" s="180">
        <v>44874</v>
      </c>
      <c r="O631" s="73" t="s">
        <v>503</v>
      </c>
      <c r="P631" s="164">
        <v>5216.57</v>
      </c>
      <c r="Q631" s="182">
        <v>2</v>
      </c>
      <c r="R631" s="118">
        <f t="shared" si="20"/>
        <v>10433.14</v>
      </c>
      <c r="S631" s="115">
        <v>202304</v>
      </c>
      <c r="T631" s="200" t="s">
        <v>908</v>
      </c>
      <c r="U631" s="121"/>
      <c r="V631" s="121"/>
      <c r="W631" s="121"/>
      <c r="X631" s="116">
        <v>43647</v>
      </c>
      <c r="Y631" s="116">
        <v>45229</v>
      </c>
    </row>
    <row r="632" s="85" customFormat="1" customHeight="1" spans="1:25">
      <c r="A632" s="98" t="s">
        <v>61</v>
      </c>
      <c r="B632" s="98" t="s">
        <v>62</v>
      </c>
      <c r="C632" s="98" t="s">
        <v>238</v>
      </c>
      <c r="D632" s="24" t="s">
        <v>64</v>
      </c>
      <c r="E632" s="161" t="s">
        <v>840</v>
      </c>
      <c r="F632" s="160" t="s">
        <v>841</v>
      </c>
      <c r="G632" s="172" t="s">
        <v>88</v>
      </c>
      <c r="H632" s="100" t="s">
        <v>842</v>
      </c>
      <c r="I632" s="46" t="e">
        <f>VLOOKUP(H632,'合同高级查询数据-4月返'!A:A,1,FALSE)</f>
        <v>#N/A</v>
      </c>
      <c r="J632" s="178" t="s">
        <v>850</v>
      </c>
      <c r="K632" s="107" t="s">
        <v>844</v>
      </c>
      <c r="L632" s="179"/>
      <c r="M632" s="49" t="s">
        <v>845</v>
      </c>
      <c r="N632" s="180">
        <v>44883</v>
      </c>
      <c r="O632" s="73" t="s">
        <v>503</v>
      </c>
      <c r="P632" s="164">
        <v>5216.57</v>
      </c>
      <c r="Q632" s="182">
        <v>-5</v>
      </c>
      <c r="R632" s="118">
        <f t="shared" si="20"/>
        <v>-26082.85</v>
      </c>
      <c r="S632" s="115">
        <v>202304</v>
      </c>
      <c r="T632" s="200" t="s">
        <v>912</v>
      </c>
      <c r="U632" s="121"/>
      <c r="V632" s="121"/>
      <c r="W632" s="121"/>
      <c r="X632" s="116">
        <v>43647</v>
      </c>
      <c r="Y632" s="116">
        <v>45229</v>
      </c>
    </row>
    <row r="633" s="85" customFormat="1" customHeight="1" spans="1:25">
      <c r="A633" s="98" t="s">
        <v>61</v>
      </c>
      <c r="B633" s="98" t="s">
        <v>62</v>
      </c>
      <c r="C633" s="98" t="s">
        <v>238</v>
      </c>
      <c r="D633" s="24" t="s">
        <v>64</v>
      </c>
      <c r="E633" s="161" t="s">
        <v>840</v>
      </c>
      <c r="F633" s="160" t="s">
        <v>841</v>
      </c>
      <c r="G633" s="172" t="s">
        <v>88</v>
      </c>
      <c r="H633" s="100" t="s">
        <v>842</v>
      </c>
      <c r="I633" s="46" t="e">
        <f>VLOOKUP(H633,'合同高级查询数据-4月返'!A:A,1,FALSE)</f>
        <v>#N/A</v>
      </c>
      <c r="J633" s="178" t="s">
        <v>850</v>
      </c>
      <c r="K633" s="107" t="s">
        <v>844</v>
      </c>
      <c r="L633" s="179"/>
      <c r="M633" s="49" t="s">
        <v>845</v>
      </c>
      <c r="N633" s="180">
        <v>44971</v>
      </c>
      <c r="O633" s="73" t="s">
        <v>503</v>
      </c>
      <c r="P633" s="164">
        <v>5216.57</v>
      </c>
      <c r="Q633" s="182">
        <v>2</v>
      </c>
      <c r="R633" s="118">
        <f t="shared" si="20"/>
        <v>10433.14</v>
      </c>
      <c r="S633" s="115">
        <v>202304</v>
      </c>
      <c r="T633" s="200" t="s">
        <v>913</v>
      </c>
      <c r="U633" s="121"/>
      <c r="V633" s="121"/>
      <c r="W633" s="121"/>
      <c r="X633" s="116">
        <v>43647</v>
      </c>
      <c r="Y633" s="116">
        <v>45229</v>
      </c>
    </row>
    <row r="634" s="85" customFormat="1" customHeight="1" spans="1:25">
      <c r="A634" s="98" t="s">
        <v>61</v>
      </c>
      <c r="B634" s="98" t="s">
        <v>62</v>
      </c>
      <c r="C634" s="98" t="s">
        <v>238</v>
      </c>
      <c r="D634" s="24" t="s">
        <v>64</v>
      </c>
      <c r="E634" s="161" t="s">
        <v>840</v>
      </c>
      <c r="F634" s="160" t="s">
        <v>841</v>
      </c>
      <c r="G634" s="172" t="s">
        <v>88</v>
      </c>
      <c r="H634" s="100" t="s">
        <v>842</v>
      </c>
      <c r="I634" s="46" t="e">
        <f>VLOOKUP(H634,'合同高级查询数据-4月返'!A:A,1,FALSE)</f>
        <v>#N/A</v>
      </c>
      <c r="J634" s="178" t="s">
        <v>850</v>
      </c>
      <c r="K634" s="107" t="s">
        <v>844</v>
      </c>
      <c r="L634" s="179"/>
      <c r="M634" s="49" t="s">
        <v>845</v>
      </c>
      <c r="N634" s="180">
        <v>44977</v>
      </c>
      <c r="O634" s="73" t="s">
        <v>503</v>
      </c>
      <c r="P634" s="164">
        <v>5216.57</v>
      </c>
      <c r="Q634" s="182">
        <v>2</v>
      </c>
      <c r="R634" s="118">
        <f t="shared" si="20"/>
        <v>10433.14</v>
      </c>
      <c r="S634" s="115">
        <v>202304</v>
      </c>
      <c r="T634" s="200" t="s">
        <v>914</v>
      </c>
      <c r="U634" s="121"/>
      <c r="V634" s="121"/>
      <c r="W634" s="121"/>
      <c r="X634" s="116">
        <v>43647</v>
      </c>
      <c r="Y634" s="116">
        <v>45229</v>
      </c>
    </row>
    <row r="635" s="85" customFormat="1" customHeight="1" spans="1:25">
      <c r="A635" s="98" t="s">
        <v>61</v>
      </c>
      <c r="B635" s="98" t="s">
        <v>62</v>
      </c>
      <c r="C635" s="98" t="s">
        <v>238</v>
      </c>
      <c r="D635" s="24" t="s">
        <v>64</v>
      </c>
      <c r="E635" s="161" t="s">
        <v>840</v>
      </c>
      <c r="F635" s="160" t="s">
        <v>841</v>
      </c>
      <c r="G635" s="172" t="s">
        <v>88</v>
      </c>
      <c r="H635" s="100" t="s">
        <v>842</v>
      </c>
      <c r="I635" s="46" t="e">
        <f>VLOOKUP(H635,'合同高级查询数据-4月返'!A:A,1,FALSE)</f>
        <v>#N/A</v>
      </c>
      <c r="J635" s="178" t="s">
        <v>850</v>
      </c>
      <c r="K635" s="107" t="s">
        <v>844</v>
      </c>
      <c r="L635" s="179"/>
      <c r="M635" s="49" t="s">
        <v>845</v>
      </c>
      <c r="N635" s="180">
        <v>45007</v>
      </c>
      <c r="O635" s="73" t="s">
        <v>503</v>
      </c>
      <c r="P635" s="164">
        <v>5216.57</v>
      </c>
      <c r="Q635" s="182">
        <v>-7</v>
      </c>
      <c r="R635" s="118">
        <f t="shared" si="20"/>
        <v>-36515.99</v>
      </c>
      <c r="S635" s="115">
        <v>202304</v>
      </c>
      <c r="T635" s="200" t="s">
        <v>915</v>
      </c>
      <c r="U635" s="121"/>
      <c r="V635" s="121"/>
      <c r="W635" s="121"/>
      <c r="X635" s="116">
        <v>43647</v>
      </c>
      <c r="Y635" s="116">
        <v>45229</v>
      </c>
    </row>
    <row r="636" s="85" customFormat="1" customHeight="1" spans="1:25">
      <c r="A636" s="98" t="s">
        <v>61</v>
      </c>
      <c r="B636" s="98" t="s">
        <v>62</v>
      </c>
      <c r="C636" s="98" t="s">
        <v>238</v>
      </c>
      <c r="D636" s="24" t="s">
        <v>64</v>
      </c>
      <c r="E636" s="161" t="s">
        <v>840</v>
      </c>
      <c r="F636" s="160" t="s">
        <v>841</v>
      </c>
      <c r="G636" s="172" t="s">
        <v>88</v>
      </c>
      <c r="H636" s="100" t="s">
        <v>842</v>
      </c>
      <c r="I636" s="46" t="e">
        <f>VLOOKUP(H636,'合同高级查询数据-4月返'!A:A,1,FALSE)</f>
        <v>#N/A</v>
      </c>
      <c r="J636" s="178" t="s">
        <v>850</v>
      </c>
      <c r="K636" s="107" t="s">
        <v>844</v>
      </c>
      <c r="L636" s="179"/>
      <c r="M636" s="49" t="s">
        <v>845</v>
      </c>
      <c r="N636" s="180">
        <v>45009</v>
      </c>
      <c r="O636" s="73" t="s">
        <v>503</v>
      </c>
      <c r="P636" s="164">
        <v>5216.57</v>
      </c>
      <c r="Q636" s="182">
        <v>-1</v>
      </c>
      <c r="R636" s="118">
        <f t="shared" si="20"/>
        <v>-5216.57</v>
      </c>
      <c r="S636" s="115">
        <v>202304</v>
      </c>
      <c r="T636" s="200" t="s">
        <v>916</v>
      </c>
      <c r="U636" s="121"/>
      <c r="V636" s="121"/>
      <c r="W636" s="121"/>
      <c r="X636" s="116">
        <v>43647</v>
      </c>
      <c r="Y636" s="116">
        <v>45229</v>
      </c>
    </row>
    <row r="637" s="85" customFormat="1" customHeight="1" spans="1:25">
      <c r="A637" s="98" t="s">
        <v>61</v>
      </c>
      <c r="B637" s="98" t="s">
        <v>62</v>
      </c>
      <c r="C637" s="98" t="s">
        <v>238</v>
      </c>
      <c r="D637" s="24" t="s">
        <v>64</v>
      </c>
      <c r="E637" s="161" t="s">
        <v>840</v>
      </c>
      <c r="F637" s="160" t="s">
        <v>841</v>
      </c>
      <c r="G637" s="172" t="s">
        <v>88</v>
      </c>
      <c r="H637" s="100" t="s">
        <v>842</v>
      </c>
      <c r="I637" s="46" t="e">
        <f>VLOOKUP(H637,'合同高级查询数据-4月返'!A:A,1,FALSE)</f>
        <v>#N/A</v>
      </c>
      <c r="J637" s="178" t="s">
        <v>850</v>
      </c>
      <c r="K637" s="107" t="s">
        <v>844</v>
      </c>
      <c r="L637" s="179"/>
      <c r="M637" s="49" t="s">
        <v>845</v>
      </c>
      <c r="N637" s="180">
        <v>45008</v>
      </c>
      <c r="O637" s="73" t="s">
        <v>503</v>
      </c>
      <c r="P637" s="164">
        <v>5216.57</v>
      </c>
      <c r="Q637" s="182">
        <v>-7</v>
      </c>
      <c r="R637" s="118">
        <f t="shared" si="20"/>
        <v>-36515.99</v>
      </c>
      <c r="S637" s="115">
        <v>202304</v>
      </c>
      <c r="T637" s="200" t="s">
        <v>917</v>
      </c>
      <c r="U637" s="121"/>
      <c r="V637" s="121"/>
      <c r="W637" s="121"/>
      <c r="X637" s="116">
        <v>43647</v>
      </c>
      <c r="Y637" s="116">
        <v>45229</v>
      </c>
    </row>
    <row r="638" s="85" customFormat="1" customHeight="1" spans="1:25">
      <c r="A638" s="98" t="s">
        <v>61</v>
      </c>
      <c r="B638" s="98" t="s">
        <v>62</v>
      </c>
      <c r="C638" s="98" t="s">
        <v>238</v>
      </c>
      <c r="D638" s="24" t="s">
        <v>64</v>
      </c>
      <c r="E638" s="161" t="s">
        <v>840</v>
      </c>
      <c r="F638" s="160" t="s">
        <v>841</v>
      </c>
      <c r="G638" s="172" t="s">
        <v>88</v>
      </c>
      <c r="H638" s="100" t="s">
        <v>842</v>
      </c>
      <c r="I638" s="46" t="e">
        <f>VLOOKUP(H638,'合同高级查询数据-4月返'!A:A,1,FALSE)</f>
        <v>#N/A</v>
      </c>
      <c r="J638" s="178" t="s">
        <v>850</v>
      </c>
      <c r="K638" s="107" t="s">
        <v>844</v>
      </c>
      <c r="L638" s="179"/>
      <c r="M638" s="49" t="s">
        <v>845</v>
      </c>
      <c r="N638" s="180">
        <v>45014</v>
      </c>
      <c r="O638" s="73" t="s">
        <v>503</v>
      </c>
      <c r="P638" s="164">
        <v>5216.57</v>
      </c>
      <c r="Q638" s="182">
        <v>2</v>
      </c>
      <c r="R638" s="118">
        <f t="shared" si="20"/>
        <v>10433.14</v>
      </c>
      <c r="S638" s="115">
        <v>202304</v>
      </c>
      <c r="T638" s="186" t="s">
        <v>918</v>
      </c>
      <c r="U638" s="186"/>
      <c r="V638" s="165"/>
      <c r="W638" s="165"/>
      <c r="X638" s="116">
        <v>43647</v>
      </c>
      <c r="Y638" s="116">
        <v>45229</v>
      </c>
    </row>
    <row r="639" s="85" customFormat="1" customHeight="1" spans="1:25">
      <c r="A639" s="98" t="s">
        <v>61</v>
      </c>
      <c r="B639" s="98" t="s">
        <v>62</v>
      </c>
      <c r="C639" s="98" t="s">
        <v>238</v>
      </c>
      <c r="D639" s="24" t="s">
        <v>64</v>
      </c>
      <c r="E639" s="161" t="s">
        <v>840</v>
      </c>
      <c r="F639" s="160" t="s">
        <v>841</v>
      </c>
      <c r="G639" s="172" t="s">
        <v>88</v>
      </c>
      <c r="H639" s="100" t="s">
        <v>842</v>
      </c>
      <c r="I639" s="46" t="e">
        <f>VLOOKUP(H639,'合同高级查询数据-4月返'!A:A,1,FALSE)</f>
        <v>#N/A</v>
      </c>
      <c r="J639" s="178" t="s">
        <v>850</v>
      </c>
      <c r="K639" s="107" t="s">
        <v>844</v>
      </c>
      <c r="L639" s="179"/>
      <c r="M639" s="49" t="s">
        <v>845</v>
      </c>
      <c r="N639" s="180">
        <v>45015</v>
      </c>
      <c r="O639" s="73" t="s">
        <v>503</v>
      </c>
      <c r="P639" s="164">
        <v>5216.57</v>
      </c>
      <c r="Q639" s="182">
        <v>-1</v>
      </c>
      <c r="R639" s="118">
        <f t="shared" si="20"/>
        <v>-5216.57</v>
      </c>
      <c r="S639" s="115">
        <v>202304</v>
      </c>
      <c r="T639" s="186" t="s">
        <v>911</v>
      </c>
      <c r="U639" s="186"/>
      <c r="V639" s="165"/>
      <c r="W639" s="165"/>
      <c r="X639" s="116">
        <v>43647</v>
      </c>
      <c r="Y639" s="116">
        <v>45229</v>
      </c>
    </row>
    <row r="640" s="85" customFormat="1" customHeight="1" spans="1:25">
      <c r="A640" s="98" t="s">
        <v>61</v>
      </c>
      <c r="B640" s="98" t="s">
        <v>62</v>
      </c>
      <c r="C640" s="98" t="s">
        <v>238</v>
      </c>
      <c r="D640" s="24" t="s">
        <v>64</v>
      </c>
      <c r="E640" s="161" t="s">
        <v>840</v>
      </c>
      <c r="F640" s="160" t="s">
        <v>841</v>
      </c>
      <c r="G640" s="172" t="s">
        <v>88</v>
      </c>
      <c r="H640" s="100" t="s">
        <v>842</v>
      </c>
      <c r="I640" s="46" t="e">
        <f>VLOOKUP(H640,'合同高级查询数据-4月返'!A:A,1,FALSE)</f>
        <v>#N/A</v>
      </c>
      <c r="J640" s="178" t="s">
        <v>850</v>
      </c>
      <c r="K640" s="107" t="s">
        <v>844</v>
      </c>
      <c r="L640" s="179"/>
      <c r="M640" s="49" t="s">
        <v>845</v>
      </c>
      <c r="N640" s="180">
        <v>45034</v>
      </c>
      <c r="O640" s="73" t="s">
        <v>503</v>
      </c>
      <c r="P640" s="164">
        <v>5216.57</v>
      </c>
      <c r="Q640" s="182">
        <v>-1</v>
      </c>
      <c r="R640" s="118">
        <f>ROUND(P640*Q640*12/30,2)</f>
        <v>-2086.63</v>
      </c>
      <c r="S640" s="115">
        <v>202304</v>
      </c>
      <c r="T640" s="201" t="s">
        <v>919</v>
      </c>
      <c r="U640" s="186"/>
      <c r="V640" s="165"/>
      <c r="W640" s="165"/>
      <c r="X640" s="116">
        <v>43647</v>
      </c>
      <c r="Y640" s="116">
        <v>45229</v>
      </c>
    </row>
    <row r="641" s="86" customFormat="1" customHeight="1" spans="1:25">
      <c r="A641" s="135" t="s">
        <v>61</v>
      </c>
      <c r="B641" s="135" t="s">
        <v>62</v>
      </c>
      <c r="C641" s="135" t="s">
        <v>238</v>
      </c>
      <c r="D641" s="11" t="s">
        <v>64</v>
      </c>
      <c r="E641" s="170" t="s">
        <v>840</v>
      </c>
      <c r="F641" s="134" t="s">
        <v>920</v>
      </c>
      <c r="G641" s="171" t="s">
        <v>67</v>
      </c>
      <c r="H641" s="103" t="s">
        <v>921</v>
      </c>
      <c r="I641" s="30" t="e">
        <f>VLOOKUP(H641,'合同高级查询数据-4月返'!A:A,1,FALSE)</f>
        <v>#N/A</v>
      </c>
      <c r="J641" s="155" t="s">
        <v>69</v>
      </c>
      <c r="K641" s="142"/>
      <c r="L641" s="174"/>
      <c r="M641" s="113"/>
      <c r="N641" s="175">
        <v>44041</v>
      </c>
      <c r="O641" s="146"/>
      <c r="P641" s="145">
        <v>600</v>
      </c>
      <c r="Q641" s="112">
        <v>1</v>
      </c>
      <c r="R641" s="130">
        <f t="shared" ref="R641:R704" si="21">ROUND(P641*Q641,2)</f>
        <v>600</v>
      </c>
      <c r="S641" s="127">
        <v>202304</v>
      </c>
      <c r="T641" s="211" t="s">
        <v>922</v>
      </c>
      <c r="U641" s="211"/>
      <c r="V641" s="149"/>
      <c r="W641" s="149"/>
      <c r="X641" s="131"/>
      <c r="Y641" s="131"/>
    </row>
    <row r="642" s="86" customFormat="1" customHeight="1" spans="1:25">
      <c r="A642" s="135" t="s">
        <v>61</v>
      </c>
      <c r="B642" s="135" t="s">
        <v>62</v>
      </c>
      <c r="C642" s="135" t="s">
        <v>238</v>
      </c>
      <c r="D642" s="11" t="s">
        <v>64</v>
      </c>
      <c r="E642" s="170" t="s">
        <v>840</v>
      </c>
      <c r="F642" s="134" t="s">
        <v>920</v>
      </c>
      <c r="G642" s="171" t="s">
        <v>67</v>
      </c>
      <c r="H642" s="103" t="s">
        <v>923</v>
      </c>
      <c r="I642" s="30" t="e">
        <f>VLOOKUP(H642,'合同高级查询数据-4月返'!A:A,1,FALSE)</f>
        <v>#N/A</v>
      </c>
      <c r="J642" s="155" t="s">
        <v>69</v>
      </c>
      <c r="K642" s="142" t="s">
        <v>924</v>
      </c>
      <c r="L642" s="174"/>
      <c r="M642" s="113"/>
      <c r="N642" s="175">
        <v>44562</v>
      </c>
      <c r="O642" s="146" t="s">
        <v>925</v>
      </c>
      <c r="P642" s="145">
        <v>600</v>
      </c>
      <c r="Q642" s="112">
        <v>2</v>
      </c>
      <c r="R642" s="130">
        <f t="shared" si="21"/>
        <v>1200</v>
      </c>
      <c r="S642" s="127">
        <v>202304</v>
      </c>
      <c r="T642" s="211" t="s">
        <v>926</v>
      </c>
      <c r="U642" s="211"/>
      <c r="V642" s="149"/>
      <c r="W642" s="149"/>
      <c r="X642" s="131"/>
      <c r="Y642" s="131"/>
    </row>
    <row r="643" s="86" customFormat="1" customHeight="1" spans="1:25">
      <c r="A643" s="135" t="s">
        <v>61</v>
      </c>
      <c r="B643" s="135" t="s">
        <v>62</v>
      </c>
      <c r="C643" s="135" t="s">
        <v>238</v>
      </c>
      <c r="D643" s="11" t="s">
        <v>64</v>
      </c>
      <c r="E643" s="170" t="s">
        <v>840</v>
      </c>
      <c r="F643" s="134" t="s">
        <v>920</v>
      </c>
      <c r="G643" s="171" t="s">
        <v>88</v>
      </c>
      <c r="H643" s="202" t="s">
        <v>927</v>
      </c>
      <c r="I643" s="30" t="e">
        <f>VLOOKUP(H643,'合同高级查询数据-4月返'!A:A,1,FALSE)</f>
        <v>#N/A</v>
      </c>
      <c r="J643" s="155" t="s">
        <v>90</v>
      </c>
      <c r="K643" s="142" t="s">
        <v>928</v>
      </c>
      <c r="L643" s="174"/>
      <c r="M643" s="113" t="s">
        <v>929</v>
      </c>
      <c r="N643" s="175">
        <v>44163</v>
      </c>
      <c r="O643" s="146" t="s">
        <v>503</v>
      </c>
      <c r="P643" s="145">
        <v>7500</v>
      </c>
      <c r="Q643" s="177">
        <v>1</v>
      </c>
      <c r="R643" s="130">
        <f t="shared" si="21"/>
        <v>7500</v>
      </c>
      <c r="S643" s="127">
        <v>202304</v>
      </c>
      <c r="T643" s="211" t="s">
        <v>930</v>
      </c>
      <c r="U643" s="211"/>
      <c r="V643" s="149"/>
      <c r="W643" s="149"/>
      <c r="X643" s="131"/>
      <c r="Y643" s="131"/>
    </row>
    <row r="644" s="86" customFormat="1" customHeight="1" spans="1:25">
      <c r="A644" s="135" t="s">
        <v>61</v>
      </c>
      <c r="B644" s="135" t="s">
        <v>62</v>
      </c>
      <c r="C644" s="135" t="s">
        <v>238</v>
      </c>
      <c r="D644" s="11" t="s">
        <v>64</v>
      </c>
      <c r="E644" s="170" t="s">
        <v>840</v>
      </c>
      <c r="F644" s="134" t="s">
        <v>920</v>
      </c>
      <c r="G644" s="171" t="s">
        <v>88</v>
      </c>
      <c r="H644" s="202" t="s">
        <v>927</v>
      </c>
      <c r="I644" s="30" t="e">
        <f>VLOOKUP(H644,'合同高级查询数据-4月返'!A:A,1,FALSE)</f>
        <v>#N/A</v>
      </c>
      <c r="J644" s="155" t="s">
        <v>90</v>
      </c>
      <c r="K644" s="142" t="s">
        <v>931</v>
      </c>
      <c r="L644" s="174"/>
      <c r="M644" s="113" t="s">
        <v>932</v>
      </c>
      <c r="N644" s="175">
        <v>44182</v>
      </c>
      <c r="O644" s="146" t="s">
        <v>503</v>
      </c>
      <c r="P644" s="145">
        <v>7500</v>
      </c>
      <c r="Q644" s="177">
        <v>1</v>
      </c>
      <c r="R644" s="130">
        <f t="shared" si="21"/>
        <v>7500</v>
      </c>
      <c r="S644" s="127">
        <v>202304</v>
      </c>
      <c r="T644" s="211" t="s">
        <v>933</v>
      </c>
      <c r="U644" s="211"/>
      <c r="V644" s="149"/>
      <c r="W644" s="149"/>
      <c r="X644" s="131"/>
      <c r="Y644" s="131"/>
    </row>
    <row r="645" s="86" customFormat="1" customHeight="1" spans="1:25">
      <c r="A645" s="135" t="s">
        <v>61</v>
      </c>
      <c r="B645" s="135" t="s">
        <v>62</v>
      </c>
      <c r="C645" s="135" t="s">
        <v>238</v>
      </c>
      <c r="D645" s="11" t="s">
        <v>64</v>
      </c>
      <c r="E645" s="170" t="s">
        <v>840</v>
      </c>
      <c r="F645" s="134" t="s">
        <v>920</v>
      </c>
      <c r="G645" s="171" t="s">
        <v>88</v>
      </c>
      <c r="H645" s="202" t="s">
        <v>927</v>
      </c>
      <c r="I645" s="30" t="e">
        <f>VLOOKUP(H645,'合同高级查询数据-4月返'!A:A,1,FALSE)</f>
        <v>#N/A</v>
      </c>
      <c r="J645" s="155" t="s">
        <v>90</v>
      </c>
      <c r="K645" s="142" t="s">
        <v>931</v>
      </c>
      <c r="L645" s="174"/>
      <c r="M645" s="113" t="s">
        <v>932</v>
      </c>
      <c r="N645" s="175">
        <v>44527</v>
      </c>
      <c r="O645" s="146" t="s">
        <v>503</v>
      </c>
      <c r="P645" s="145">
        <v>7500</v>
      </c>
      <c r="Q645" s="177">
        <v>-1</v>
      </c>
      <c r="R645" s="130">
        <f t="shared" si="21"/>
        <v>-7500</v>
      </c>
      <c r="S645" s="127">
        <v>202304</v>
      </c>
      <c r="T645" s="211"/>
      <c r="U645" s="211"/>
      <c r="V645" s="149"/>
      <c r="W645" s="149"/>
      <c r="X645" s="131"/>
      <c r="Y645" s="131"/>
    </row>
    <row r="646" s="86" customFormat="1" customHeight="1" spans="1:25">
      <c r="A646" s="135" t="s">
        <v>61</v>
      </c>
      <c r="B646" s="135" t="s">
        <v>62</v>
      </c>
      <c r="C646" s="135" t="s">
        <v>238</v>
      </c>
      <c r="D646" s="11" t="s">
        <v>64</v>
      </c>
      <c r="E646" s="170" t="s">
        <v>840</v>
      </c>
      <c r="F646" s="134" t="s">
        <v>920</v>
      </c>
      <c r="G646" s="171" t="s">
        <v>67</v>
      </c>
      <c r="H646" s="202" t="s">
        <v>927</v>
      </c>
      <c r="I646" s="30" t="e">
        <f>VLOOKUP(H646,'合同高级查询数据-4月返'!A:A,1,FALSE)</f>
        <v>#N/A</v>
      </c>
      <c r="J646" s="155" t="s">
        <v>69</v>
      </c>
      <c r="K646" s="142" t="s">
        <v>928</v>
      </c>
      <c r="L646" s="174"/>
      <c r="M646" s="113"/>
      <c r="N646" s="175">
        <v>44163</v>
      </c>
      <c r="O646" s="146" t="s">
        <v>925</v>
      </c>
      <c r="P646" s="145">
        <f>600*4</f>
        <v>2400</v>
      </c>
      <c r="Q646" s="112">
        <v>1</v>
      </c>
      <c r="R646" s="130">
        <f t="shared" si="21"/>
        <v>2400</v>
      </c>
      <c r="S646" s="127">
        <v>202304</v>
      </c>
      <c r="T646" s="211" t="s">
        <v>934</v>
      </c>
      <c r="U646" s="211"/>
      <c r="V646" s="149"/>
      <c r="W646" s="149"/>
      <c r="X646" s="131"/>
      <c r="Y646" s="131"/>
    </row>
    <row r="647" s="86" customFormat="1" customHeight="1" spans="1:25">
      <c r="A647" s="135" t="s">
        <v>61</v>
      </c>
      <c r="B647" s="135" t="s">
        <v>62</v>
      </c>
      <c r="C647" s="135" t="s">
        <v>238</v>
      </c>
      <c r="D647" s="11" t="s">
        <v>64</v>
      </c>
      <c r="E647" s="170" t="s">
        <v>840</v>
      </c>
      <c r="F647" s="134" t="s">
        <v>920</v>
      </c>
      <c r="G647" s="171" t="s">
        <v>67</v>
      </c>
      <c r="H647" s="202" t="s">
        <v>927</v>
      </c>
      <c r="I647" s="30" t="e">
        <f>VLOOKUP(H647,'合同高级查询数据-4月返'!A:A,1,FALSE)</f>
        <v>#N/A</v>
      </c>
      <c r="J647" s="155" t="s">
        <v>69</v>
      </c>
      <c r="K647" s="142" t="s">
        <v>931</v>
      </c>
      <c r="L647" s="174"/>
      <c r="M647" s="113"/>
      <c r="N647" s="175">
        <v>44182</v>
      </c>
      <c r="O647" s="146" t="s">
        <v>925</v>
      </c>
      <c r="P647" s="145">
        <f>600*4</f>
        <v>2400</v>
      </c>
      <c r="Q647" s="112">
        <v>1</v>
      </c>
      <c r="R647" s="130">
        <f t="shared" si="21"/>
        <v>2400</v>
      </c>
      <c r="S647" s="127">
        <v>202304</v>
      </c>
      <c r="T647" s="211" t="s">
        <v>935</v>
      </c>
      <c r="U647" s="211"/>
      <c r="V647" s="149"/>
      <c r="W647" s="149"/>
      <c r="X647" s="131"/>
      <c r="Y647" s="131"/>
    </row>
    <row r="648" s="86" customFormat="1" customHeight="1" spans="1:25">
      <c r="A648" s="135" t="s">
        <v>61</v>
      </c>
      <c r="B648" s="135" t="s">
        <v>62</v>
      </c>
      <c r="C648" s="135" t="s">
        <v>238</v>
      </c>
      <c r="D648" s="11" t="s">
        <v>64</v>
      </c>
      <c r="E648" s="170" t="s">
        <v>840</v>
      </c>
      <c r="F648" s="134" t="s">
        <v>920</v>
      </c>
      <c r="G648" s="171" t="s">
        <v>67</v>
      </c>
      <c r="H648" s="202" t="s">
        <v>927</v>
      </c>
      <c r="I648" s="30" t="e">
        <f>VLOOKUP(H648,'合同高级查询数据-4月返'!A:A,1,FALSE)</f>
        <v>#N/A</v>
      </c>
      <c r="J648" s="155" t="s">
        <v>69</v>
      </c>
      <c r="K648" s="142" t="s">
        <v>931</v>
      </c>
      <c r="L648" s="174"/>
      <c r="M648" s="113"/>
      <c r="N648" s="175">
        <v>44527</v>
      </c>
      <c r="O648" s="146" t="s">
        <v>925</v>
      </c>
      <c r="P648" s="145">
        <f>600*4</f>
        <v>2400</v>
      </c>
      <c r="Q648" s="112">
        <v>-1</v>
      </c>
      <c r="R648" s="130">
        <f t="shared" si="21"/>
        <v>-2400</v>
      </c>
      <c r="S648" s="127">
        <v>202304</v>
      </c>
      <c r="T648" s="211"/>
      <c r="U648" s="211"/>
      <c r="V648" s="149"/>
      <c r="W648" s="149"/>
      <c r="X648" s="131"/>
      <c r="Y648" s="131"/>
    </row>
    <row r="649" s="86" customFormat="1" customHeight="1" spans="1:25">
      <c r="A649" s="135" t="s">
        <v>61</v>
      </c>
      <c r="B649" s="11" t="s">
        <v>62</v>
      </c>
      <c r="C649" s="135" t="s">
        <v>40</v>
      </c>
      <c r="D649" s="11" t="s">
        <v>75</v>
      </c>
      <c r="E649" s="170" t="s">
        <v>936</v>
      </c>
      <c r="F649" s="135" t="s">
        <v>937</v>
      </c>
      <c r="G649" s="171" t="s">
        <v>78</v>
      </c>
      <c r="H649" s="202" t="s">
        <v>938</v>
      </c>
      <c r="I649" s="30" t="e">
        <f>VLOOKUP(H649,'合同高级查询数据-4月返'!A:A,1,FALSE)</f>
        <v>#N/A</v>
      </c>
      <c r="J649" s="134" t="s">
        <v>939</v>
      </c>
      <c r="K649" s="134" t="s">
        <v>940</v>
      </c>
      <c r="L649" s="174"/>
      <c r="M649" s="113"/>
      <c r="N649" s="175">
        <v>44537</v>
      </c>
      <c r="O649" s="176" t="s">
        <v>71</v>
      </c>
      <c r="P649" s="177">
        <v>1666.67</v>
      </c>
      <c r="Q649" s="177">
        <v>1</v>
      </c>
      <c r="R649" s="130">
        <f t="shared" si="21"/>
        <v>1666.67</v>
      </c>
      <c r="S649" s="127">
        <v>202304</v>
      </c>
      <c r="T649" s="211" t="s">
        <v>941</v>
      </c>
      <c r="U649" s="211"/>
      <c r="V649" s="159"/>
      <c r="W649" s="159"/>
      <c r="X649" s="131"/>
      <c r="Y649" s="131"/>
    </row>
    <row r="650" s="86" customFormat="1" customHeight="1" spans="1:25">
      <c r="A650" s="135" t="s">
        <v>61</v>
      </c>
      <c r="B650" s="11" t="s">
        <v>62</v>
      </c>
      <c r="C650" s="135" t="s">
        <v>40</v>
      </c>
      <c r="D650" s="11" t="s">
        <v>75</v>
      </c>
      <c r="E650" s="170" t="s">
        <v>936</v>
      </c>
      <c r="F650" s="135" t="s">
        <v>937</v>
      </c>
      <c r="G650" s="171" t="s">
        <v>67</v>
      </c>
      <c r="H650" s="202" t="s">
        <v>942</v>
      </c>
      <c r="I650" s="30" t="e">
        <f>VLOOKUP(H650,'合同高级查询数据-4月返'!A:A,1,FALSE)</f>
        <v>#N/A</v>
      </c>
      <c r="J650" s="155" t="s">
        <v>69</v>
      </c>
      <c r="K650" s="134" t="s">
        <v>943</v>
      </c>
      <c r="L650" s="174"/>
      <c r="M650" s="113"/>
      <c r="N650" s="175">
        <v>44927</v>
      </c>
      <c r="O650" s="176"/>
      <c r="P650" s="177">
        <v>1667</v>
      </c>
      <c r="Q650" s="177">
        <v>1</v>
      </c>
      <c r="R650" s="130">
        <f t="shared" si="21"/>
        <v>1667</v>
      </c>
      <c r="S650" s="127">
        <v>202304</v>
      </c>
      <c r="T650" s="211" t="s">
        <v>944</v>
      </c>
      <c r="U650" s="211"/>
      <c r="V650" s="159"/>
      <c r="W650" s="159"/>
      <c r="X650" s="131"/>
      <c r="Y650" s="131"/>
    </row>
    <row r="651" s="85" customFormat="1" customHeight="1" spans="1:25">
      <c r="A651" s="203" t="s">
        <v>448</v>
      </c>
      <c r="B651" s="204" t="s">
        <v>83</v>
      </c>
      <c r="C651" s="204" t="s">
        <v>63</v>
      </c>
      <c r="D651" s="24" t="s">
        <v>642</v>
      </c>
      <c r="E651" s="205" t="s">
        <v>945</v>
      </c>
      <c r="F651" s="203" t="s">
        <v>946</v>
      </c>
      <c r="G651" s="203" t="s">
        <v>78</v>
      </c>
      <c r="H651" s="100" t="s">
        <v>947</v>
      </c>
      <c r="I651" s="46" t="e">
        <f>VLOOKUP(H651,'合同高级查询数据-4月返'!A:A,1,FALSE)</f>
        <v>#N/A</v>
      </c>
      <c r="J651" s="47" t="s">
        <v>948</v>
      </c>
      <c r="K651" s="203"/>
      <c r="L651" s="206"/>
      <c r="M651" s="49"/>
      <c r="N651" s="73">
        <v>42156</v>
      </c>
      <c r="O651" s="73" t="s">
        <v>949</v>
      </c>
      <c r="P651" s="207">
        <v>750000</v>
      </c>
      <c r="Q651" s="212">
        <v>1</v>
      </c>
      <c r="R651" s="207">
        <f t="shared" si="21"/>
        <v>750000</v>
      </c>
      <c r="S651" s="115">
        <v>202304</v>
      </c>
      <c r="T651" s="184" t="s">
        <v>950</v>
      </c>
      <c r="U651" s="213"/>
      <c r="V651" s="214"/>
      <c r="W651" s="214"/>
      <c r="X651" s="116">
        <v>44682</v>
      </c>
      <c r="Y651" s="116">
        <v>45046</v>
      </c>
    </row>
    <row r="652" s="85" customFormat="1" customHeight="1" spans="1:25">
      <c r="A652" s="98" t="s">
        <v>448</v>
      </c>
      <c r="B652" s="24" t="s">
        <v>62</v>
      </c>
      <c r="C652" s="98" t="s">
        <v>153</v>
      </c>
      <c r="D652" s="98" t="s">
        <v>951</v>
      </c>
      <c r="E652" s="161" t="s">
        <v>952</v>
      </c>
      <c r="F652" s="98" t="s">
        <v>953</v>
      </c>
      <c r="G652" s="172" t="s">
        <v>88</v>
      </c>
      <c r="H652" s="100" t="s">
        <v>954</v>
      </c>
      <c r="I652" s="46" t="e">
        <f>VLOOKUP(H652,'合同高级查询数据-4月返'!A:A,1,FALSE)</f>
        <v>#N/A</v>
      </c>
      <c r="J652" s="160" t="s">
        <v>955</v>
      </c>
      <c r="K652" s="160"/>
      <c r="L652" s="179"/>
      <c r="M652" s="49" t="s">
        <v>956</v>
      </c>
      <c r="N652" s="180">
        <v>42965</v>
      </c>
      <c r="O652" s="181" t="s">
        <v>92</v>
      </c>
      <c r="P652" s="208">
        <v>0</v>
      </c>
      <c r="Q652" s="208">
        <v>6</v>
      </c>
      <c r="R652" s="118">
        <f t="shared" si="21"/>
        <v>0</v>
      </c>
      <c r="S652" s="115">
        <v>202304</v>
      </c>
      <c r="T652" s="186" t="s">
        <v>957</v>
      </c>
      <c r="U652" s="186"/>
      <c r="V652" s="120"/>
      <c r="W652" s="120"/>
      <c r="X652" s="116">
        <v>44409</v>
      </c>
      <c r="Y652" s="116">
        <v>45138</v>
      </c>
    </row>
    <row r="653" s="85" customFormat="1" customHeight="1" spans="1:25">
      <c r="A653" s="98" t="s">
        <v>448</v>
      </c>
      <c r="B653" s="24" t="s">
        <v>62</v>
      </c>
      <c r="C653" s="98" t="s">
        <v>153</v>
      </c>
      <c r="D653" s="98" t="s">
        <v>951</v>
      </c>
      <c r="E653" s="161" t="s">
        <v>952</v>
      </c>
      <c r="F653" s="98" t="s">
        <v>953</v>
      </c>
      <c r="G653" s="172" t="s">
        <v>88</v>
      </c>
      <c r="H653" s="100" t="s">
        <v>954</v>
      </c>
      <c r="I653" s="46" t="e">
        <f>VLOOKUP(H653,'合同高级查询数据-4月返'!A:A,1,FALSE)</f>
        <v>#N/A</v>
      </c>
      <c r="J653" s="160" t="s">
        <v>955</v>
      </c>
      <c r="K653" s="160"/>
      <c r="L653" s="179"/>
      <c r="M653" s="49" t="s">
        <v>956</v>
      </c>
      <c r="N653" s="180">
        <v>44409</v>
      </c>
      <c r="O653" s="181" t="s">
        <v>92</v>
      </c>
      <c r="P653" s="208">
        <v>0</v>
      </c>
      <c r="Q653" s="208">
        <v>-1</v>
      </c>
      <c r="R653" s="118">
        <f t="shared" si="21"/>
        <v>0</v>
      </c>
      <c r="S653" s="115">
        <v>202304</v>
      </c>
      <c r="T653" s="186" t="s">
        <v>958</v>
      </c>
      <c r="U653" s="186"/>
      <c r="V653" s="120"/>
      <c r="W653" s="120"/>
      <c r="X653" s="116">
        <v>44409</v>
      </c>
      <c r="Y653" s="116">
        <v>45138</v>
      </c>
    </row>
    <row r="654" s="85" customFormat="1" customHeight="1" spans="1:25">
      <c r="A654" s="98" t="s">
        <v>448</v>
      </c>
      <c r="B654" s="24" t="s">
        <v>62</v>
      </c>
      <c r="C654" s="98" t="s">
        <v>153</v>
      </c>
      <c r="D654" s="98" t="s">
        <v>951</v>
      </c>
      <c r="E654" s="161" t="s">
        <v>952</v>
      </c>
      <c r="F654" s="98" t="s">
        <v>953</v>
      </c>
      <c r="G654" s="172" t="s">
        <v>31</v>
      </c>
      <c r="H654" s="100" t="s">
        <v>954</v>
      </c>
      <c r="I654" s="46" t="e">
        <f>VLOOKUP(H654,'合同高级查询数据-4月返'!A:A,1,FALSE)</f>
        <v>#N/A</v>
      </c>
      <c r="J654" s="160" t="s">
        <v>959</v>
      </c>
      <c r="K654" s="160"/>
      <c r="L654" s="179"/>
      <c r="M654" s="49"/>
      <c r="N654" s="180"/>
      <c r="O654" s="181"/>
      <c r="P654" s="208">
        <v>0</v>
      </c>
      <c r="Q654" s="208">
        <v>1792</v>
      </c>
      <c r="R654" s="118">
        <f t="shared" si="21"/>
        <v>0</v>
      </c>
      <c r="S654" s="115">
        <v>202304</v>
      </c>
      <c r="T654" s="186" t="s">
        <v>960</v>
      </c>
      <c r="U654" s="186"/>
      <c r="V654" s="120"/>
      <c r="W654" s="120"/>
      <c r="X654" s="116">
        <v>44409</v>
      </c>
      <c r="Y654" s="116">
        <v>45138</v>
      </c>
    </row>
    <row r="655" s="85" customFormat="1" customHeight="1" spans="1:25">
      <c r="A655" s="98" t="s">
        <v>448</v>
      </c>
      <c r="B655" s="24" t="s">
        <v>62</v>
      </c>
      <c r="C655" s="98" t="s">
        <v>153</v>
      </c>
      <c r="D655" s="98" t="s">
        <v>951</v>
      </c>
      <c r="E655" s="161" t="s">
        <v>952</v>
      </c>
      <c r="F655" s="98" t="s">
        <v>953</v>
      </c>
      <c r="G655" s="172" t="s">
        <v>31</v>
      </c>
      <c r="H655" s="100" t="s">
        <v>954</v>
      </c>
      <c r="I655" s="46" t="e">
        <f>VLOOKUP(H655,'合同高级查询数据-4月返'!A:A,1,FALSE)</f>
        <v>#N/A</v>
      </c>
      <c r="J655" s="160" t="s">
        <v>33</v>
      </c>
      <c r="K655" s="160"/>
      <c r="L655" s="25" t="s">
        <v>961</v>
      </c>
      <c r="M655" s="49"/>
      <c r="N655" s="180"/>
      <c r="O655" s="181"/>
      <c r="P655" s="208">
        <v>0</v>
      </c>
      <c r="Q655" s="208">
        <v>256</v>
      </c>
      <c r="R655" s="118">
        <f t="shared" si="21"/>
        <v>0</v>
      </c>
      <c r="S655" s="115">
        <v>202304</v>
      </c>
      <c r="T655" s="186" t="s">
        <v>962</v>
      </c>
      <c r="U655" s="186"/>
      <c r="V655" s="120"/>
      <c r="W655" s="120"/>
      <c r="X655" s="116">
        <v>44409</v>
      </c>
      <c r="Y655" s="116">
        <v>45138</v>
      </c>
    </row>
    <row r="656" s="85" customFormat="1" customHeight="1" spans="1:25">
      <c r="A656" s="98" t="s">
        <v>448</v>
      </c>
      <c r="B656" s="24" t="s">
        <v>62</v>
      </c>
      <c r="C656" s="98" t="s">
        <v>153</v>
      </c>
      <c r="D656" s="98" t="s">
        <v>951</v>
      </c>
      <c r="E656" s="161" t="s">
        <v>952</v>
      </c>
      <c r="F656" s="98" t="s">
        <v>953</v>
      </c>
      <c r="G656" s="172" t="s">
        <v>31</v>
      </c>
      <c r="H656" s="100" t="s">
        <v>954</v>
      </c>
      <c r="I656" s="46" t="e">
        <f>VLOOKUP(H656,'合同高级查询数据-4月返'!A:A,1,FALSE)</f>
        <v>#N/A</v>
      </c>
      <c r="J656" s="160" t="s">
        <v>800</v>
      </c>
      <c r="K656" s="160"/>
      <c r="L656" s="179"/>
      <c r="M656" s="49" t="s">
        <v>956</v>
      </c>
      <c r="N656" s="180"/>
      <c r="O656" s="181"/>
      <c r="P656" s="208">
        <v>10</v>
      </c>
      <c r="Q656" s="208">
        <v>2048</v>
      </c>
      <c r="R656" s="118">
        <f t="shared" si="21"/>
        <v>20480</v>
      </c>
      <c r="S656" s="115">
        <v>202304</v>
      </c>
      <c r="T656" s="186" t="s">
        <v>963</v>
      </c>
      <c r="U656" s="186"/>
      <c r="V656" s="120"/>
      <c r="W656" s="120"/>
      <c r="X656" s="116">
        <v>44409</v>
      </c>
      <c r="Y656" s="116">
        <v>45138</v>
      </c>
    </row>
    <row r="657" s="85" customFormat="1" customHeight="1" spans="1:25">
      <c r="A657" s="98" t="s">
        <v>448</v>
      </c>
      <c r="B657" s="24" t="s">
        <v>62</v>
      </c>
      <c r="C657" s="98" t="s">
        <v>153</v>
      </c>
      <c r="D657" s="98" t="s">
        <v>951</v>
      </c>
      <c r="E657" s="161" t="s">
        <v>952</v>
      </c>
      <c r="F657" s="98" t="s">
        <v>953</v>
      </c>
      <c r="G657" s="172" t="s">
        <v>88</v>
      </c>
      <c r="H657" s="100" t="s">
        <v>954</v>
      </c>
      <c r="I657" s="46" t="e">
        <f>VLOOKUP(H657,'合同高级查询数据-4月返'!A:A,1,FALSE)</f>
        <v>#N/A</v>
      </c>
      <c r="J657" s="160" t="s">
        <v>955</v>
      </c>
      <c r="K657" s="160"/>
      <c r="L657" s="179"/>
      <c r="M657" s="49" t="s">
        <v>956</v>
      </c>
      <c r="N657" s="180">
        <v>42965</v>
      </c>
      <c r="O657" s="181" t="s">
        <v>92</v>
      </c>
      <c r="P657" s="208">
        <v>4000</v>
      </c>
      <c r="Q657" s="208">
        <v>26</v>
      </c>
      <c r="R657" s="118">
        <f t="shared" si="21"/>
        <v>104000</v>
      </c>
      <c r="S657" s="115">
        <v>202304</v>
      </c>
      <c r="T657" s="186" t="s">
        <v>964</v>
      </c>
      <c r="U657" s="186"/>
      <c r="V657" s="120"/>
      <c r="W657" s="120"/>
      <c r="X657" s="116">
        <v>44409</v>
      </c>
      <c r="Y657" s="116">
        <v>45138</v>
      </c>
    </row>
    <row r="658" s="85" customFormat="1" customHeight="1" spans="1:25">
      <c r="A658" s="98" t="s">
        <v>448</v>
      </c>
      <c r="B658" s="24" t="s">
        <v>62</v>
      </c>
      <c r="C658" s="98" t="s">
        <v>153</v>
      </c>
      <c r="D658" s="98" t="s">
        <v>951</v>
      </c>
      <c r="E658" s="161" t="s">
        <v>952</v>
      </c>
      <c r="F658" s="98" t="s">
        <v>953</v>
      </c>
      <c r="G658" s="172" t="s">
        <v>88</v>
      </c>
      <c r="H658" s="100" t="s">
        <v>954</v>
      </c>
      <c r="I658" s="46" t="e">
        <f>VLOOKUP(H658,'合同高级查询数据-4月返'!A:A,1,FALSE)</f>
        <v>#N/A</v>
      </c>
      <c r="J658" s="160" t="s">
        <v>162</v>
      </c>
      <c r="K658" s="160"/>
      <c r="L658" s="25" t="s">
        <v>961</v>
      </c>
      <c r="M658" s="49" t="s">
        <v>956</v>
      </c>
      <c r="N658" s="180">
        <v>42965</v>
      </c>
      <c r="O658" s="181" t="s">
        <v>92</v>
      </c>
      <c r="P658" s="208">
        <v>4000</v>
      </c>
      <c r="Q658" s="208">
        <v>2</v>
      </c>
      <c r="R658" s="118">
        <f t="shared" si="21"/>
        <v>8000</v>
      </c>
      <c r="S658" s="115">
        <v>202304</v>
      </c>
      <c r="T658" s="186" t="s">
        <v>965</v>
      </c>
      <c r="U658" s="186"/>
      <c r="V658" s="120"/>
      <c r="W658" s="120"/>
      <c r="X658" s="116">
        <v>44409</v>
      </c>
      <c r="Y658" s="116">
        <v>45138</v>
      </c>
    </row>
    <row r="659" s="85" customFormat="1" customHeight="1" spans="1:25">
      <c r="A659" s="98" t="s">
        <v>448</v>
      </c>
      <c r="B659" s="24" t="s">
        <v>62</v>
      </c>
      <c r="C659" s="98" t="s">
        <v>153</v>
      </c>
      <c r="D659" s="98" t="s">
        <v>951</v>
      </c>
      <c r="E659" s="161" t="s">
        <v>952</v>
      </c>
      <c r="F659" s="98" t="s">
        <v>953</v>
      </c>
      <c r="G659" s="172" t="s">
        <v>88</v>
      </c>
      <c r="H659" s="100" t="s">
        <v>954</v>
      </c>
      <c r="I659" s="46" t="e">
        <f>VLOOKUP(H659,'合同高级查询数据-4月返'!A:A,1,FALSE)</f>
        <v>#N/A</v>
      </c>
      <c r="J659" s="160" t="s">
        <v>162</v>
      </c>
      <c r="K659" s="160"/>
      <c r="L659" s="25" t="s">
        <v>961</v>
      </c>
      <c r="M659" s="49" t="s">
        <v>956</v>
      </c>
      <c r="N659" s="180">
        <v>44561</v>
      </c>
      <c r="O659" s="181" t="s">
        <v>92</v>
      </c>
      <c r="P659" s="208">
        <v>4000</v>
      </c>
      <c r="Q659" s="208">
        <v>-2</v>
      </c>
      <c r="R659" s="118">
        <f t="shared" si="21"/>
        <v>-8000</v>
      </c>
      <c r="S659" s="115">
        <v>202304</v>
      </c>
      <c r="T659" s="186" t="s">
        <v>966</v>
      </c>
      <c r="U659" s="186"/>
      <c r="V659" s="120"/>
      <c r="W659" s="120"/>
      <c r="X659" s="116">
        <v>44409</v>
      </c>
      <c r="Y659" s="116">
        <v>45138</v>
      </c>
    </row>
    <row r="660" s="85" customFormat="1" customHeight="1" spans="1:25">
      <c r="A660" s="98" t="s">
        <v>448</v>
      </c>
      <c r="B660" s="24" t="s">
        <v>62</v>
      </c>
      <c r="C660" s="98" t="s">
        <v>153</v>
      </c>
      <c r="D660" s="98" t="s">
        <v>951</v>
      </c>
      <c r="E660" s="161" t="s">
        <v>952</v>
      </c>
      <c r="F660" s="98" t="s">
        <v>953</v>
      </c>
      <c r="G660" s="172" t="s">
        <v>88</v>
      </c>
      <c r="H660" s="100" t="s">
        <v>954</v>
      </c>
      <c r="I660" s="46" t="e">
        <f>VLOOKUP(H660,'合同高级查询数据-4月返'!A:A,1,FALSE)</f>
        <v>#N/A</v>
      </c>
      <c r="J660" s="160" t="s">
        <v>967</v>
      </c>
      <c r="K660" s="160"/>
      <c r="L660" s="179"/>
      <c r="M660" s="49" t="s">
        <v>956</v>
      </c>
      <c r="N660" s="180">
        <v>42965</v>
      </c>
      <c r="O660" s="181" t="s">
        <v>92</v>
      </c>
      <c r="P660" s="208">
        <v>4000</v>
      </c>
      <c r="Q660" s="208">
        <v>3</v>
      </c>
      <c r="R660" s="118">
        <f t="shared" si="21"/>
        <v>12000</v>
      </c>
      <c r="S660" s="115">
        <v>202304</v>
      </c>
      <c r="T660" s="191" t="s">
        <v>968</v>
      </c>
      <c r="U660" s="186"/>
      <c r="V660" s="120"/>
      <c r="W660" s="120"/>
      <c r="X660" s="116">
        <v>44409</v>
      </c>
      <c r="Y660" s="116">
        <v>45138</v>
      </c>
    </row>
    <row r="661" s="85" customFormat="1" customHeight="1" spans="1:25">
      <c r="A661" s="98" t="s">
        <v>448</v>
      </c>
      <c r="B661" s="24" t="s">
        <v>62</v>
      </c>
      <c r="C661" s="98" t="s">
        <v>153</v>
      </c>
      <c r="D661" s="98" t="s">
        <v>951</v>
      </c>
      <c r="E661" s="161" t="s">
        <v>952</v>
      </c>
      <c r="F661" s="98" t="s">
        <v>953</v>
      </c>
      <c r="G661" s="172" t="s">
        <v>88</v>
      </c>
      <c r="H661" s="100" t="s">
        <v>954</v>
      </c>
      <c r="I661" s="46" t="e">
        <f>VLOOKUP(H661,'合同高级查询数据-4月返'!A:A,1,FALSE)</f>
        <v>#N/A</v>
      </c>
      <c r="J661" s="160" t="s">
        <v>162</v>
      </c>
      <c r="K661" s="160"/>
      <c r="L661" s="25" t="s">
        <v>961</v>
      </c>
      <c r="M661" s="49" t="s">
        <v>956</v>
      </c>
      <c r="N661" s="180">
        <v>42965</v>
      </c>
      <c r="O661" s="181" t="s">
        <v>92</v>
      </c>
      <c r="P661" s="208">
        <v>4000</v>
      </c>
      <c r="Q661" s="208">
        <v>6</v>
      </c>
      <c r="R661" s="118">
        <f t="shared" si="21"/>
        <v>24000</v>
      </c>
      <c r="S661" s="115">
        <v>202304</v>
      </c>
      <c r="T661" s="186" t="s">
        <v>969</v>
      </c>
      <c r="U661" s="186"/>
      <c r="V661" s="120"/>
      <c r="W661" s="120"/>
      <c r="X661" s="116">
        <v>44409</v>
      </c>
      <c r="Y661" s="116">
        <v>45138</v>
      </c>
    </row>
    <row r="662" s="85" customFormat="1" customHeight="1" spans="1:25">
      <c r="A662" s="98" t="s">
        <v>448</v>
      </c>
      <c r="B662" s="24" t="s">
        <v>62</v>
      </c>
      <c r="C662" s="98" t="s">
        <v>153</v>
      </c>
      <c r="D662" s="98" t="s">
        <v>951</v>
      </c>
      <c r="E662" s="161" t="s">
        <v>952</v>
      </c>
      <c r="F662" s="98" t="s">
        <v>953</v>
      </c>
      <c r="G662" s="172" t="s">
        <v>88</v>
      </c>
      <c r="H662" s="100" t="s">
        <v>954</v>
      </c>
      <c r="I662" s="46" t="e">
        <f>VLOOKUP(H662,'合同高级查询数据-4月返'!A:A,1,FALSE)</f>
        <v>#N/A</v>
      </c>
      <c r="J662" s="160" t="s">
        <v>162</v>
      </c>
      <c r="K662" s="160"/>
      <c r="L662" s="25" t="s">
        <v>961</v>
      </c>
      <c r="M662" s="49" t="s">
        <v>956</v>
      </c>
      <c r="N662" s="180">
        <v>42965</v>
      </c>
      <c r="O662" s="181" t="s">
        <v>92</v>
      </c>
      <c r="P662" s="208">
        <v>4000</v>
      </c>
      <c r="Q662" s="208">
        <v>3</v>
      </c>
      <c r="R662" s="118">
        <f t="shared" si="21"/>
        <v>12000</v>
      </c>
      <c r="S662" s="115">
        <v>202304</v>
      </c>
      <c r="T662" s="186" t="s">
        <v>970</v>
      </c>
      <c r="U662" s="186"/>
      <c r="V662" s="120"/>
      <c r="W662" s="120"/>
      <c r="X662" s="116">
        <v>44409</v>
      </c>
      <c r="Y662" s="116">
        <v>45138</v>
      </c>
    </row>
    <row r="663" s="85" customFormat="1" customHeight="1" spans="1:25">
      <c r="A663" s="98" t="s">
        <v>448</v>
      </c>
      <c r="B663" s="24" t="s">
        <v>62</v>
      </c>
      <c r="C663" s="98" t="s">
        <v>153</v>
      </c>
      <c r="D663" s="98" t="s">
        <v>951</v>
      </c>
      <c r="E663" s="161" t="s">
        <v>952</v>
      </c>
      <c r="F663" s="98" t="s">
        <v>953</v>
      </c>
      <c r="G663" s="172" t="s">
        <v>88</v>
      </c>
      <c r="H663" s="100" t="s">
        <v>954</v>
      </c>
      <c r="I663" s="46" t="e">
        <f>VLOOKUP(H663,'合同高级查询数据-4月返'!A:A,1,FALSE)</f>
        <v>#N/A</v>
      </c>
      <c r="J663" s="160" t="s">
        <v>90</v>
      </c>
      <c r="K663" s="160"/>
      <c r="L663" s="179"/>
      <c r="M663" s="49" t="s">
        <v>956</v>
      </c>
      <c r="N663" s="180">
        <v>44348</v>
      </c>
      <c r="O663" s="181" t="s">
        <v>566</v>
      </c>
      <c r="P663" s="208">
        <v>10000</v>
      </c>
      <c r="Q663" s="208">
        <v>1</v>
      </c>
      <c r="R663" s="118">
        <f t="shared" si="21"/>
        <v>10000</v>
      </c>
      <c r="S663" s="115">
        <v>202304</v>
      </c>
      <c r="T663" s="186" t="s">
        <v>971</v>
      </c>
      <c r="U663" s="186"/>
      <c r="V663" s="120"/>
      <c r="W663" s="120"/>
      <c r="X663" s="116">
        <v>44409</v>
      </c>
      <c r="Y663" s="116">
        <v>45138</v>
      </c>
    </row>
    <row r="664" s="85" customFormat="1" customHeight="1" spans="1:25">
      <c r="A664" s="98" t="s">
        <v>448</v>
      </c>
      <c r="B664" s="24" t="s">
        <v>62</v>
      </c>
      <c r="C664" s="98" t="s">
        <v>153</v>
      </c>
      <c r="D664" s="98" t="s">
        <v>951</v>
      </c>
      <c r="E664" s="161" t="s">
        <v>952</v>
      </c>
      <c r="F664" s="98" t="s">
        <v>953</v>
      </c>
      <c r="G664" s="172" t="s">
        <v>67</v>
      </c>
      <c r="H664" s="100" t="s">
        <v>954</v>
      </c>
      <c r="I664" s="46" t="e">
        <f>VLOOKUP(H664,'合同高级查询数据-4月返'!A:A,1,FALSE)</f>
        <v>#N/A</v>
      </c>
      <c r="J664" s="160" t="s">
        <v>69</v>
      </c>
      <c r="K664" s="160" t="s">
        <v>972</v>
      </c>
      <c r="L664" s="179"/>
      <c r="M664" s="49"/>
      <c r="N664" s="180">
        <v>42963</v>
      </c>
      <c r="O664" s="181" t="s">
        <v>973</v>
      </c>
      <c r="P664" s="208">
        <v>1000</v>
      </c>
      <c r="Q664" s="208">
        <v>2</v>
      </c>
      <c r="R664" s="118">
        <f t="shared" si="21"/>
        <v>2000</v>
      </c>
      <c r="S664" s="115">
        <v>202304</v>
      </c>
      <c r="T664" s="186" t="s">
        <v>972</v>
      </c>
      <c r="U664" s="186"/>
      <c r="V664" s="120"/>
      <c r="W664" s="120"/>
      <c r="X664" s="116">
        <v>44409</v>
      </c>
      <c r="Y664" s="116">
        <v>45138</v>
      </c>
    </row>
    <row r="665" s="85" customFormat="1" customHeight="1" spans="1:25">
      <c r="A665" s="98" t="s">
        <v>448</v>
      </c>
      <c r="B665" s="24" t="s">
        <v>62</v>
      </c>
      <c r="C665" s="98" t="s">
        <v>153</v>
      </c>
      <c r="D665" s="98" t="s">
        <v>951</v>
      </c>
      <c r="E665" s="161" t="s">
        <v>952</v>
      </c>
      <c r="F665" s="98" t="s">
        <v>953</v>
      </c>
      <c r="G665" s="172" t="s">
        <v>67</v>
      </c>
      <c r="H665" s="100" t="s">
        <v>954</v>
      </c>
      <c r="I665" s="46" t="e">
        <f>VLOOKUP(H665,'合同高级查询数据-4月返'!A:A,1,FALSE)</f>
        <v>#N/A</v>
      </c>
      <c r="J665" s="160" t="s">
        <v>69</v>
      </c>
      <c r="K665" s="160" t="s">
        <v>974</v>
      </c>
      <c r="L665" s="179"/>
      <c r="M665" s="49"/>
      <c r="N665" s="180">
        <v>43609</v>
      </c>
      <c r="O665" s="181" t="s">
        <v>973</v>
      </c>
      <c r="P665" s="208">
        <v>1000</v>
      </c>
      <c r="Q665" s="208">
        <v>1</v>
      </c>
      <c r="R665" s="118">
        <f t="shared" si="21"/>
        <v>1000</v>
      </c>
      <c r="S665" s="115">
        <v>202304</v>
      </c>
      <c r="T665" s="186" t="s">
        <v>974</v>
      </c>
      <c r="U665" s="186"/>
      <c r="V665" s="120"/>
      <c r="W665" s="120"/>
      <c r="X665" s="116">
        <v>44409</v>
      </c>
      <c r="Y665" s="116">
        <v>45138</v>
      </c>
    </row>
    <row r="666" s="86" customFormat="1" customHeight="1" spans="1:25">
      <c r="A666" s="135" t="s">
        <v>448</v>
      </c>
      <c r="B666" s="11" t="s">
        <v>62</v>
      </c>
      <c r="C666" s="135" t="s">
        <v>153</v>
      </c>
      <c r="D666" s="135" t="s">
        <v>951</v>
      </c>
      <c r="E666" s="170" t="s">
        <v>952</v>
      </c>
      <c r="F666" s="135" t="s">
        <v>953</v>
      </c>
      <c r="G666" s="171" t="s">
        <v>88</v>
      </c>
      <c r="H666" s="103" t="s">
        <v>975</v>
      </c>
      <c r="I666" s="30" t="e">
        <f>VLOOKUP(H666,'合同高级查询数据-4月返'!A:A,1,FALSE)</f>
        <v>#N/A</v>
      </c>
      <c r="J666" s="134" t="s">
        <v>162</v>
      </c>
      <c r="K666" s="134"/>
      <c r="L666" s="174" t="s">
        <v>976</v>
      </c>
      <c r="M666" s="113" t="s">
        <v>977</v>
      </c>
      <c r="N666" s="175">
        <v>44927</v>
      </c>
      <c r="O666" s="176" t="s">
        <v>92</v>
      </c>
      <c r="P666" s="209">
        <v>4000</v>
      </c>
      <c r="Q666" s="215">
        <v>4</v>
      </c>
      <c r="R666" s="130">
        <f t="shared" si="21"/>
        <v>16000</v>
      </c>
      <c r="S666" s="127">
        <v>202304</v>
      </c>
      <c r="T666" s="211" t="s">
        <v>978</v>
      </c>
      <c r="U666" s="211"/>
      <c r="V666" s="216"/>
      <c r="W666" s="216"/>
      <c r="X666" s="131"/>
      <c r="Y666" s="131"/>
    </row>
    <row r="667" s="86" customFormat="1" customHeight="1" spans="1:25">
      <c r="A667" s="135" t="s">
        <v>448</v>
      </c>
      <c r="B667" s="11" t="s">
        <v>62</v>
      </c>
      <c r="C667" s="135" t="s">
        <v>153</v>
      </c>
      <c r="D667" s="135" t="s">
        <v>951</v>
      </c>
      <c r="E667" s="170" t="s">
        <v>952</v>
      </c>
      <c r="F667" s="135" t="s">
        <v>953</v>
      </c>
      <c r="G667" s="171" t="s">
        <v>88</v>
      </c>
      <c r="H667" s="103" t="s">
        <v>975</v>
      </c>
      <c r="I667" s="30" t="e">
        <f>VLOOKUP(H667,'合同高级查询数据-4月返'!A:A,1,FALSE)</f>
        <v>#N/A</v>
      </c>
      <c r="J667" s="134" t="s">
        <v>162</v>
      </c>
      <c r="K667" s="134"/>
      <c r="L667" s="174" t="s">
        <v>976</v>
      </c>
      <c r="M667" s="113" t="s">
        <v>977</v>
      </c>
      <c r="N667" s="175">
        <v>45016</v>
      </c>
      <c r="O667" s="176" t="s">
        <v>92</v>
      </c>
      <c r="P667" s="209">
        <v>4000</v>
      </c>
      <c r="Q667" s="215">
        <v>-4</v>
      </c>
      <c r="R667" s="130">
        <f t="shared" si="21"/>
        <v>-16000</v>
      </c>
      <c r="S667" s="127">
        <v>202304</v>
      </c>
      <c r="T667" s="211" t="s">
        <v>979</v>
      </c>
      <c r="U667" s="211"/>
      <c r="V667" s="216"/>
      <c r="W667" s="216"/>
      <c r="X667" s="131"/>
      <c r="Y667" s="131"/>
    </row>
    <row r="668" s="86" customFormat="1" customHeight="1" spans="1:25">
      <c r="A668" s="135" t="s">
        <v>448</v>
      </c>
      <c r="B668" s="11" t="s">
        <v>62</v>
      </c>
      <c r="C668" s="135" t="s">
        <v>153</v>
      </c>
      <c r="D668" s="135" t="s">
        <v>951</v>
      </c>
      <c r="E668" s="170" t="s">
        <v>952</v>
      </c>
      <c r="F668" s="135" t="s">
        <v>953</v>
      </c>
      <c r="G668" s="171" t="s">
        <v>31</v>
      </c>
      <c r="H668" s="103" t="s">
        <v>975</v>
      </c>
      <c r="I668" s="30" t="e">
        <f>VLOOKUP(H668,'合同高级查询数据-4月返'!A:A,1,FALSE)</f>
        <v>#N/A</v>
      </c>
      <c r="J668" s="134" t="s">
        <v>33</v>
      </c>
      <c r="K668" s="134"/>
      <c r="L668" s="174" t="s">
        <v>976</v>
      </c>
      <c r="M668" s="113" t="s">
        <v>977</v>
      </c>
      <c r="N668" s="175">
        <v>44927</v>
      </c>
      <c r="O668" s="176"/>
      <c r="P668" s="209">
        <v>0</v>
      </c>
      <c r="Q668" s="215">
        <v>288</v>
      </c>
      <c r="R668" s="130">
        <f t="shared" si="21"/>
        <v>0</v>
      </c>
      <c r="S668" s="127">
        <v>202304</v>
      </c>
      <c r="T668" s="211" t="s">
        <v>980</v>
      </c>
      <c r="U668" s="211"/>
      <c r="V668" s="216"/>
      <c r="W668" s="216"/>
      <c r="X668" s="131"/>
      <c r="Y668" s="131"/>
    </row>
    <row r="669" s="86" customFormat="1" customHeight="1" spans="1:25">
      <c r="A669" s="135" t="s">
        <v>448</v>
      </c>
      <c r="B669" s="11" t="s">
        <v>62</v>
      </c>
      <c r="C669" s="135" t="s">
        <v>153</v>
      </c>
      <c r="D669" s="135" t="s">
        <v>951</v>
      </c>
      <c r="E669" s="170" t="s">
        <v>952</v>
      </c>
      <c r="F669" s="135" t="s">
        <v>953</v>
      </c>
      <c r="G669" s="171" t="s">
        <v>31</v>
      </c>
      <c r="H669" s="103" t="s">
        <v>975</v>
      </c>
      <c r="I669" s="30" t="e">
        <f>VLOOKUP(H669,'合同高级查询数据-4月返'!A:A,1,FALSE)</f>
        <v>#N/A</v>
      </c>
      <c r="J669" s="134" t="s">
        <v>33</v>
      </c>
      <c r="K669" s="134"/>
      <c r="L669" s="174" t="s">
        <v>976</v>
      </c>
      <c r="M669" s="113" t="s">
        <v>977</v>
      </c>
      <c r="N669" s="175">
        <v>45016</v>
      </c>
      <c r="O669" s="176"/>
      <c r="P669" s="209">
        <v>0</v>
      </c>
      <c r="Q669" s="215">
        <v>-288</v>
      </c>
      <c r="R669" s="130">
        <f t="shared" si="21"/>
        <v>0</v>
      </c>
      <c r="S669" s="127">
        <v>202304</v>
      </c>
      <c r="T669" s="211" t="s">
        <v>981</v>
      </c>
      <c r="U669" s="211"/>
      <c r="V669" s="216"/>
      <c r="W669" s="216"/>
      <c r="X669" s="131"/>
      <c r="Y669" s="131"/>
    </row>
    <row r="670" s="85" customFormat="1" customHeight="1" spans="1:25">
      <c r="A670" s="98" t="s">
        <v>448</v>
      </c>
      <c r="B670" s="98" t="s">
        <v>62</v>
      </c>
      <c r="C670" s="98" t="s">
        <v>238</v>
      </c>
      <c r="D670" s="98" t="s">
        <v>642</v>
      </c>
      <c r="E670" s="161" t="s">
        <v>982</v>
      </c>
      <c r="F670" s="98" t="s">
        <v>983</v>
      </c>
      <c r="G670" s="172" t="s">
        <v>88</v>
      </c>
      <c r="H670" s="100" t="s">
        <v>984</v>
      </c>
      <c r="I670" s="46" t="e">
        <f>VLOOKUP(H670,'合同高级查询数据-4月返'!A:A,1,FALSE)</f>
        <v>#N/A</v>
      </c>
      <c r="J670" s="47" t="s">
        <v>90</v>
      </c>
      <c r="K670" s="160" t="s">
        <v>985</v>
      </c>
      <c r="L670" s="179"/>
      <c r="M670" s="49" t="s">
        <v>986</v>
      </c>
      <c r="N670" s="180">
        <v>44116</v>
      </c>
      <c r="O670" s="181" t="s">
        <v>503</v>
      </c>
      <c r="P670" s="182">
        <v>5900</v>
      </c>
      <c r="Q670" s="182">
        <v>5</v>
      </c>
      <c r="R670" s="118">
        <f t="shared" si="21"/>
        <v>29500</v>
      </c>
      <c r="S670" s="115">
        <v>202304</v>
      </c>
      <c r="T670" s="186" t="s">
        <v>987</v>
      </c>
      <c r="U670" s="186"/>
      <c r="V670" s="165"/>
      <c r="W670" s="165"/>
      <c r="X670" s="116">
        <v>44084</v>
      </c>
      <c r="Y670" s="116">
        <v>46274</v>
      </c>
    </row>
    <row r="671" s="85" customFormat="1" customHeight="1" spans="1:25">
      <c r="A671" s="98" t="s">
        <v>448</v>
      </c>
      <c r="B671" s="98" t="s">
        <v>62</v>
      </c>
      <c r="C671" s="98" t="s">
        <v>238</v>
      </c>
      <c r="D671" s="98" t="s">
        <v>642</v>
      </c>
      <c r="E671" s="161" t="s">
        <v>982</v>
      </c>
      <c r="F671" s="98" t="s">
        <v>983</v>
      </c>
      <c r="G671" s="172" t="s">
        <v>88</v>
      </c>
      <c r="H671" s="100" t="s">
        <v>984</v>
      </c>
      <c r="I671" s="46" t="e">
        <f>VLOOKUP(H671,'合同高级查询数据-4月返'!A:A,1,FALSE)</f>
        <v>#N/A</v>
      </c>
      <c r="J671" s="47" t="s">
        <v>90</v>
      </c>
      <c r="K671" s="160" t="s">
        <v>985</v>
      </c>
      <c r="L671" s="179"/>
      <c r="M671" s="49" t="s">
        <v>986</v>
      </c>
      <c r="N671" s="180">
        <v>44116</v>
      </c>
      <c r="O671" s="181" t="s">
        <v>503</v>
      </c>
      <c r="P671" s="182">
        <v>5900</v>
      </c>
      <c r="Q671" s="182">
        <v>10</v>
      </c>
      <c r="R671" s="118">
        <f t="shared" si="21"/>
        <v>59000</v>
      </c>
      <c r="S671" s="115">
        <v>202304</v>
      </c>
      <c r="T671" s="186" t="s">
        <v>988</v>
      </c>
      <c r="U671" s="186"/>
      <c r="V671" s="165"/>
      <c r="W671" s="165"/>
      <c r="X671" s="116">
        <v>44084</v>
      </c>
      <c r="Y671" s="116">
        <v>46274</v>
      </c>
    </row>
    <row r="672" s="85" customFormat="1" customHeight="1" spans="1:25">
      <c r="A672" s="98" t="s">
        <v>448</v>
      </c>
      <c r="B672" s="98" t="s">
        <v>62</v>
      </c>
      <c r="C672" s="98" t="s">
        <v>238</v>
      </c>
      <c r="D672" s="98" t="s">
        <v>642</v>
      </c>
      <c r="E672" s="161" t="s">
        <v>982</v>
      </c>
      <c r="F672" s="98" t="s">
        <v>983</v>
      </c>
      <c r="G672" s="172" t="s">
        <v>88</v>
      </c>
      <c r="H672" s="100" t="s">
        <v>984</v>
      </c>
      <c r="I672" s="46" t="e">
        <f>VLOOKUP(H672,'合同高级查询数据-4月返'!A:A,1,FALSE)</f>
        <v>#N/A</v>
      </c>
      <c r="J672" s="47" t="s">
        <v>90</v>
      </c>
      <c r="K672" s="160" t="s">
        <v>985</v>
      </c>
      <c r="L672" s="179"/>
      <c r="M672" s="49" t="s">
        <v>986</v>
      </c>
      <c r="N672" s="180">
        <v>44116</v>
      </c>
      <c r="O672" s="181" t="s">
        <v>503</v>
      </c>
      <c r="P672" s="182">
        <v>5900</v>
      </c>
      <c r="Q672" s="182">
        <v>4</v>
      </c>
      <c r="R672" s="118">
        <f t="shared" si="21"/>
        <v>23600</v>
      </c>
      <c r="S672" s="115">
        <v>202304</v>
      </c>
      <c r="T672" s="186" t="s">
        <v>989</v>
      </c>
      <c r="U672" s="186"/>
      <c r="V672" s="165"/>
      <c r="W672" s="165"/>
      <c r="X672" s="116">
        <v>44084</v>
      </c>
      <c r="Y672" s="116">
        <v>46274</v>
      </c>
    </row>
    <row r="673" s="85" customFormat="1" customHeight="1" spans="1:25">
      <c r="A673" s="98" t="s">
        <v>448</v>
      </c>
      <c r="B673" s="98" t="s">
        <v>62</v>
      </c>
      <c r="C673" s="98" t="s">
        <v>238</v>
      </c>
      <c r="D673" s="98" t="s">
        <v>642</v>
      </c>
      <c r="E673" s="161" t="s">
        <v>982</v>
      </c>
      <c r="F673" s="98" t="s">
        <v>983</v>
      </c>
      <c r="G673" s="172" t="s">
        <v>88</v>
      </c>
      <c r="H673" s="100" t="s">
        <v>984</v>
      </c>
      <c r="I673" s="46" t="e">
        <f>VLOOKUP(H673,'合同高级查询数据-4月返'!A:A,1,FALSE)</f>
        <v>#N/A</v>
      </c>
      <c r="J673" s="47" t="s">
        <v>90</v>
      </c>
      <c r="K673" s="160" t="s">
        <v>985</v>
      </c>
      <c r="L673" s="179"/>
      <c r="M673" s="49" t="s">
        <v>986</v>
      </c>
      <c r="N673" s="180">
        <v>44116</v>
      </c>
      <c r="O673" s="181" t="s">
        <v>525</v>
      </c>
      <c r="P673" s="182">
        <v>8900</v>
      </c>
      <c r="Q673" s="182">
        <v>16</v>
      </c>
      <c r="R673" s="118">
        <f t="shared" si="21"/>
        <v>142400</v>
      </c>
      <c r="S673" s="115">
        <v>202304</v>
      </c>
      <c r="T673" s="186" t="s">
        <v>990</v>
      </c>
      <c r="U673" s="186"/>
      <c r="V673" s="165"/>
      <c r="W673" s="165"/>
      <c r="X673" s="116">
        <v>44084</v>
      </c>
      <c r="Y673" s="116">
        <v>46274</v>
      </c>
    </row>
    <row r="674" s="85" customFormat="1" customHeight="1" spans="1:25">
      <c r="A674" s="98" t="s">
        <v>448</v>
      </c>
      <c r="B674" s="98" t="s">
        <v>62</v>
      </c>
      <c r="C674" s="98" t="s">
        <v>238</v>
      </c>
      <c r="D674" s="98" t="s">
        <v>642</v>
      </c>
      <c r="E674" s="161" t="s">
        <v>982</v>
      </c>
      <c r="F674" s="98" t="s">
        <v>983</v>
      </c>
      <c r="G674" s="172" t="s">
        <v>88</v>
      </c>
      <c r="H674" s="100" t="s">
        <v>984</v>
      </c>
      <c r="I674" s="46" t="e">
        <f>VLOOKUP(H674,'合同高级查询数据-4月返'!A:A,1,FALSE)</f>
        <v>#N/A</v>
      </c>
      <c r="J674" s="47" t="s">
        <v>90</v>
      </c>
      <c r="K674" s="160" t="s">
        <v>985</v>
      </c>
      <c r="L674" s="179"/>
      <c r="M674" s="49" t="s">
        <v>986</v>
      </c>
      <c r="N674" s="180">
        <v>44116</v>
      </c>
      <c r="O674" s="181" t="s">
        <v>606</v>
      </c>
      <c r="P674" s="182">
        <f>11200+(109-40)*300</f>
        <v>31900</v>
      </c>
      <c r="Q674" s="182">
        <v>8</v>
      </c>
      <c r="R674" s="118">
        <f t="shared" si="21"/>
        <v>255200</v>
      </c>
      <c r="S674" s="115">
        <v>202304</v>
      </c>
      <c r="T674" s="186" t="s">
        <v>991</v>
      </c>
      <c r="U674" s="186"/>
      <c r="V674" s="165"/>
      <c r="W674" s="165"/>
      <c r="X674" s="116">
        <v>44084</v>
      </c>
      <c r="Y674" s="116">
        <v>46274</v>
      </c>
    </row>
    <row r="675" s="85" customFormat="1" customHeight="1" spans="1:25">
      <c r="A675" s="98" t="s">
        <v>448</v>
      </c>
      <c r="B675" s="98" t="s">
        <v>62</v>
      </c>
      <c r="C675" s="98" t="s">
        <v>238</v>
      </c>
      <c r="D675" s="98" t="s">
        <v>642</v>
      </c>
      <c r="E675" s="161" t="s">
        <v>982</v>
      </c>
      <c r="F675" s="98" t="s">
        <v>983</v>
      </c>
      <c r="G675" s="172" t="s">
        <v>88</v>
      </c>
      <c r="H675" s="100" t="s">
        <v>984</v>
      </c>
      <c r="I675" s="46" t="e">
        <f>VLOOKUP(H675,'合同高级查询数据-4月返'!A:A,1,FALSE)</f>
        <v>#N/A</v>
      </c>
      <c r="J675" s="47" t="s">
        <v>90</v>
      </c>
      <c r="K675" s="160" t="s">
        <v>985</v>
      </c>
      <c r="L675" s="179"/>
      <c r="M675" s="49" t="s">
        <v>986</v>
      </c>
      <c r="N675" s="180">
        <v>44122</v>
      </c>
      <c r="O675" s="181" t="s">
        <v>503</v>
      </c>
      <c r="P675" s="182">
        <v>5900</v>
      </c>
      <c r="Q675" s="182">
        <v>1</v>
      </c>
      <c r="R675" s="118">
        <f t="shared" si="21"/>
        <v>5900</v>
      </c>
      <c r="S675" s="115">
        <v>202304</v>
      </c>
      <c r="T675" s="186" t="s">
        <v>992</v>
      </c>
      <c r="U675" s="186"/>
      <c r="V675" s="165"/>
      <c r="W675" s="165"/>
      <c r="X675" s="116">
        <v>44084</v>
      </c>
      <c r="Y675" s="116">
        <v>46274</v>
      </c>
    </row>
    <row r="676" s="85" customFormat="1" customHeight="1" spans="1:25">
      <c r="A676" s="98" t="s">
        <v>448</v>
      </c>
      <c r="B676" s="98" t="s">
        <v>62</v>
      </c>
      <c r="C676" s="98" t="s">
        <v>238</v>
      </c>
      <c r="D676" s="98" t="s">
        <v>642</v>
      </c>
      <c r="E676" s="161" t="s">
        <v>982</v>
      </c>
      <c r="F676" s="98" t="s">
        <v>983</v>
      </c>
      <c r="G676" s="172" t="s">
        <v>88</v>
      </c>
      <c r="H676" s="100" t="s">
        <v>984</v>
      </c>
      <c r="I676" s="46" t="e">
        <f>VLOOKUP(H676,'合同高级查询数据-4月返'!A:A,1,FALSE)</f>
        <v>#N/A</v>
      </c>
      <c r="J676" s="47" t="s">
        <v>90</v>
      </c>
      <c r="K676" s="160" t="s">
        <v>985</v>
      </c>
      <c r="L676" s="179"/>
      <c r="M676" s="49" t="s">
        <v>986</v>
      </c>
      <c r="N676" s="180">
        <v>44122</v>
      </c>
      <c r="O676" s="181" t="s">
        <v>507</v>
      </c>
      <c r="P676" s="182">
        <v>11200</v>
      </c>
      <c r="Q676" s="182">
        <v>52</v>
      </c>
      <c r="R676" s="118">
        <f t="shared" si="21"/>
        <v>582400</v>
      </c>
      <c r="S676" s="115">
        <v>202304</v>
      </c>
      <c r="T676" s="186" t="s">
        <v>993</v>
      </c>
      <c r="U676" s="186"/>
      <c r="V676" s="165"/>
      <c r="W676" s="165"/>
      <c r="X676" s="116">
        <v>44084</v>
      </c>
      <c r="Y676" s="116">
        <v>46274</v>
      </c>
    </row>
    <row r="677" s="85" customFormat="1" customHeight="1" spans="1:25">
      <c r="A677" s="98" t="s">
        <v>448</v>
      </c>
      <c r="B677" s="98" t="s">
        <v>62</v>
      </c>
      <c r="C677" s="98" t="s">
        <v>238</v>
      </c>
      <c r="D677" s="98" t="s">
        <v>642</v>
      </c>
      <c r="E677" s="161" t="s">
        <v>982</v>
      </c>
      <c r="F677" s="98" t="s">
        <v>983</v>
      </c>
      <c r="G677" s="172" t="s">
        <v>88</v>
      </c>
      <c r="H677" s="100" t="s">
        <v>984</v>
      </c>
      <c r="I677" s="46" t="e">
        <f>VLOOKUP(H677,'合同高级查询数据-4月返'!A:A,1,FALSE)</f>
        <v>#N/A</v>
      </c>
      <c r="J677" s="47" t="s">
        <v>90</v>
      </c>
      <c r="K677" s="160" t="s">
        <v>985</v>
      </c>
      <c r="L677" s="179"/>
      <c r="M677" s="49" t="s">
        <v>986</v>
      </c>
      <c r="N677" s="180">
        <v>44123</v>
      </c>
      <c r="O677" s="181" t="s">
        <v>507</v>
      </c>
      <c r="P677" s="182">
        <v>11200</v>
      </c>
      <c r="Q677" s="182">
        <v>156</v>
      </c>
      <c r="R677" s="118">
        <f t="shared" si="21"/>
        <v>1747200</v>
      </c>
      <c r="S677" s="115">
        <v>202304</v>
      </c>
      <c r="T677" s="186" t="s">
        <v>994</v>
      </c>
      <c r="U677" s="186"/>
      <c r="V677" s="165"/>
      <c r="W677" s="165"/>
      <c r="X677" s="116">
        <v>44084</v>
      </c>
      <c r="Y677" s="116">
        <v>46274</v>
      </c>
    </row>
    <row r="678" s="85" customFormat="1" customHeight="1" spans="1:25">
      <c r="A678" s="98" t="s">
        <v>448</v>
      </c>
      <c r="B678" s="98" t="s">
        <v>62</v>
      </c>
      <c r="C678" s="98" t="s">
        <v>238</v>
      </c>
      <c r="D678" s="98" t="s">
        <v>642</v>
      </c>
      <c r="E678" s="161" t="s">
        <v>982</v>
      </c>
      <c r="F678" s="98" t="s">
        <v>983</v>
      </c>
      <c r="G678" s="172" t="s">
        <v>88</v>
      </c>
      <c r="H678" s="100" t="s">
        <v>984</v>
      </c>
      <c r="I678" s="46" t="e">
        <f>VLOOKUP(H678,'合同高级查询数据-4月返'!A:A,1,FALSE)</f>
        <v>#N/A</v>
      </c>
      <c r="J678" s="47" t="s">
        <v>90</v>
      </c>
      <c r="K678" s="160" t="s">
        <v>985</v>
      </c>
      <c r="L678" s="179"/>
      <c r="M678" s="49" t="s">
        <v>986</v>
      </c>
      <c r="N678" s="180">
        <v>44127</v>
      </c>
      <c r="O678" s="181" t="s">
        <v>507</v>
      </c>
      <c r="P678" s="182">
        <v>11200</v>
      </c>
      <c r="Q678" s="182">
        <v>10</v>
      </c>
      <c r="R678" s="118">
        <f t="shared" si="21"/>
        <v>112000</v>
      </c>
      <c r="S678" s="115">
        <v>202304</v>
      </c>
      <c r="T678" s="186" t="s">
        <v>995</v>
      </c>
      <c r="U678" s="186"/>
      <c r="V678" s="165"/>
      <c r="W678" s="165"/>
      <c r="X678" s="116">
        <v>44084</v>
      </c>
      <c r="Y678" s="116">
        <v>46274</v>
      </c>
    </row>
    <row r="679" s="85" customFormat="1" customHeight="1" spans="1:25">
      <c r="A679" s="98" t="s">
        <v>448</v>
      </c>
      <c r="B679" s="98" t="s">
        <v>62</v>
      </c>
      <c r="C679" s="98" t="s">
        <v>238</v>
      </c>
      <c r="D679" s="98" t="s">
        <v>642</v>
      </c>
      <c r="E679" s="161" t="s">
        <v>982</v>
      </c>
      <c r="F679" s="98" t="s">
        <v>983</v>
      </c>
      <c r="G679" s="172" t="s">
        <v>88</v>
      </c>
      <c r="H679" s="100" t="s">
        <v>984</v>
      </c>
      <c r="I679" s="46" t="e">
        <f>VLOOKUP(H679,'合同高级查询数据-4月返'!A:A,1,FALSE)</f>
        <v>#N/A</v>
      </c>
      <c r="J679" s="47" t="s">
        <v>90</v>
      </c>
      <c r="K679" s="160" t="s">
        <v>985</v>
      </c>
      <c r="L679" s="179"/>
      <c r="M679" s="49" t="s">
        <v>986</v>
      </c>
      <c r="N679" s="180">
        <v>44128</v>
      </c>
      <c r="O679" s="181" t="s">
        <v>507</v>
      </c>
      <c r="P679" s="182">
        <v>11200</v>
      </c>
      <c r="Q679" s="182">
        <v>74</v>
      </c>
      <c r="R679" s="118">
        <f t="shared" si="21"/>
        <v>828800</v>
      </c>
      <c r="S679" s="115">
        <v>202304</v>
      </c>
      <c r="T679" s="186" t="s">
        <v>996</v>
      </c>
      <c r="U679" s="186"/>
      <c r="V679" s="165"/>
      <c r="W679" s="165"/>
      <c r="X679" s="116">
        <v>44084</v>
      </c>
      <c r="Y679" s="116">
        <v>46274</v>
      </c>
    </row>
    <row r="680" s="85" customFormat="1" customHeight="1" spans="1:25">
      <c r="A680" s="98" t="s">
        <v>448</v>
      </c>
      <c r="B680" s="98" t="s">
        <v>62</v>
      </c>
      <c r="C680" s="98" t="s">
        <v>238</v>
      </c>
      <c r="D680" s="98" t="s">
        <v>642</v>
      </c>
      <c r="E680" s="161" t="s">
        <v>982</v>
      </c>
      <c r="F680" s="98" t="s">
        <v>983</v>
      </c>
      <c r="G680" s="172" t="s">
        <v>88</v>
      </c>
      <c r="H680" s="100" t="s">
        <v>984</v>
      </c>
      <c r="I680" s="46" t="e">
        <f>VLOOKUP(H680,'合同高级查询数据-4月返'!A:A,1,FALSE)</f>
        <v>#N/A</v>
      </c>
      <c r="J680" s="47" t="s">
        <v>90</v>
      </c>
      <c r="K680" s="160" t="s">
        <v>985</v>
      </c>
      <c r="L680" s="179"/>
      <c r="M680" s="49" t="s">
        <v>986</v>
      </c>
      <c r="N680" s="180">
        <v>44129</v>
      </c>
      <c r="O680" s="181" t="s">
        <v>507</v>
      </c>
      <c r="P680" s="182">
        <v>11200</v>
      </c>
      <c r="Q680" s="182">
        <v>69</v>
      </c>
      <c r="R680" s="118">
        <f t="shared" si="21"/>
        <v>772800</v>
      </c>
      <c r="S680" s="115">
        <v>202304</v>
      </c>
      <c r="T680" s="186" t="s">
        <v>997</v>
      </c>
      <c r="U680" s="186"/>
      <c r="V680" s="165"/>
      <c r="W680" s="165"/>
      <c r="X680" s="116">
        <v>44084</v>
      </c>
      <c r="Y680" s="116">
        <v>46274</v>
      </c>
    </row>
    <row r="681" s="85" customFormat="1" customHeight="1" spans="1:25">
      <c r="A681" s="98" t="s">
        <v>448</v>
      </c>
      <c r="B681" s="98" t="s">
        <v>62</v>
      </c>
      <c r="C681" s="98" t="s">
        <v>238</v>
      </c>
      <c r="D681" s="98" t="s">
        <v>642</v>
      </c>
      <c r="E681" s="161" t="s">
        <v>982</v>
      </c>
      <c r="F681" s="98" t="s">
        <v>983</v>
      </c>
      <c r="G681" s="172" t="s">
        <v>88</v>
      </c>
      <c r="H681" s="100" t="s">
        <v>984</v>
      </c>
      <c r="I681" s="46" t="e">
        <f>VLOOKUP(H681,'合同高级查询数据-4月返'!A:A,1,FALSE)</f>
        <v>#N/A</v>
      </c>
      <c r="J681" s="47" t="s">
        <v>90</v>
      </c>
      <c r="K681" s="160" t="s">
        <v>985</v>
      </c>
      <c r="L681" s="179"/>
      <c r="M681" s="49" t="s">
        <v>986</v>
      </c>
      <c r="N681" s="180">
        <v>44130</v>
      </c>
      <c r="O681" s="181" t="s">
        <v>507</v>
      </c>
      <c r="P681" s="182">
        <v>11200</v>
      </c>
      <c r="Q681" s="182">
        <v>35</v>
      </c>
      <c r="R681" s="118">
        <f t="shared" si="21"/>
        <v>392000</v>
      </c>
      <c r="S681" s="115">
        <v>202304</v>
      </c>
      <c r="T681" s="186" t="s">
        <v>998</v>
      </c>
      <c r="U681" s="186"/>
      <c r="V681" s="165"/>
      <c r="W681" s="165"/>
      <c r="X681" s="116">
        <v>44084</v>
      </c>
      <c r="Y681" s="116">
        <v>46274</v>
      </c>
    </row>
    <row r="682" s="85" customFormat="1" customHeight="1" spans="1:25">
      <c r="A682" s="98" t="s">
        <v>448</v>
      </c>
      <c r="B682" s="98" t="s">
        <v>62</v>
      </c>
      <c r="C682" s="98" t="s">
        <v>238</v>
      </c>
      <c r="D682" s="98" t="s">
        <v>642</v>
      </c>
      <c r="E682" s="161" t="s">
        <v>982</v>
      </c>
      <c r="F682" s="98" t="s">
        <v>983</v>
      </c>
      <c r="G682" s="172" t="s">
        <v>88</v>
      </c>
      <c r="H682" s="100" t="s">
        <v>984</v>
      </c>
      <c r="I682" s="46" t="e">
        <f>VLOOKUP(H682,'合同高级查询数据-4月返'!A:A,1,FALSE)</f>
        <v>#N/A</v>
      </c>
      <c r="J682" s="47" t="s">
        <v>90</v>
      </c>
      <c r="K682" s="160" t="s">
        <v>985</v>
      </c>
      <c r="L682" s="179"/>
      <c r="M682" s="49" t="s">
        <v>986</v>
      </c>
      <c r="N682" s="180">
        <v>44162</v>
      </c>
      <c r="O682" s="181" t="s">
        <v>525</v>
      </c>
      <c r="P682" s="182">
        <v>8900</v>
      </c>
      <c r="Q682" s="182">
        <v>2</v>
      </c>
      <c r="R682" s="118">
        <f t="shared" si="21"/>
        <v>17800</v>
      </c>
      <c r="S682" s="115">
        <v>202304</v>
      </c>
      <c r="T682" s="191" t="s">
        <v>999</v>
      </c>
      <c r="U682" s="186"/>
      <c r="V682" s="165"/>
      <c r="W682" s="165"/>
      <c r="X682" s="116">
        <v>44084</v>
      </c>
      <c r="Y682" s="116">
        <v>46274</v>
      </c>
    </row>
    <row r="683" s="85" customFormat="1" customHeight="1" spans="1:25">
      <c r="A683" s="98" t="s">
        <v>448</v>
      </c>
      <c r="B683" s="98" t="s">
        <v>62</v>
      </c>
      <c r="C683" s="98" t="s">
        <v>238</v>
      </c>
      <c r="D683" s="98" t="s">
        <v>642</v>
      </c>
      <c r="E683" s="161" t="s">
        <v>982</v>
      </c>
      <c r="F683" s="98" t="s">
        <v>983</v>
      </c>
      <c r="G683" s="172" t="s">
        <v>88</v>
      </c>
      <c r="H683" s="100" t="s">
        <v>984</v>
      </c>
      <c r="I683" s="46" t="e">
        <f>VLOOKUP(H683,'合同高级查询数据-4月返'!A:A,1,FALSE)</f>
        <v>#N/A</v>
      </c>
      <c r="J683" s="47" t="s">
        <v>90</v>
      </c>
      <c r="K683" s="160" t="s">
        <v>985</v>
      </c>
      <c r="L683" s="179"/>
      <c r="M683" s="49" t="s">
        <v>986</v>
      </c>
      <c r="N683" s="180">
        <v>44168</v>
      </c>
      <c r="O683" s="181" t="s">
        <v>503</v>
      </c>
      <c r="P683" s="182">
        <v>5900</v>
      </c>
      <c r="Q683" s="182">
        <v>5</v>
      </c>
      <c r="R683" s="118">
        <f t="shared" si="21"/>
        <v>29500</v>
      </c>
      <c r="S683" s="115">
        <v>202304</v>
      </c>
      <c r="T683" s="186" t="s">
        <v>1000</v>
      </c>
      <c r="U683" s="186"/>
      <c r="V683" s="165"/>
      <c r="W683" s="165"/>
      <c r="X683" s="116">
        <v>44084</v>
      </c>
      <c r="Y683" s="116">
        <v>46274</v>
      </c>
    </row>
    <row r="684" s="85" customFormat="1" customHeight="1" spans="1:25">
      <c r="A684" s="98" t="s">
        <v>448</v>
      </c>
      <c r="B684" s="98" t="s">
        <v>62</v>
      </c>
      <c r="C684" s="98" t="s">
        <v>238</v>
      </c>
      <c r="D684" s="98" t="s">
        <v>642</v>
      </c>
      <c r="E684" s="161" t="s">
        <v>982</v>
      </c>
      <c r="F684" s="98" t="s">
        <v>983</v>
      </c>
      <c r="G684" s="172" t="s">
        <v>88</v>
      </c>
      <c r="H684" s="100" t="s">
        <v>984</v>
      </c>
      <c r="I684" s="46" t="e">
        <f>VLOOKUP(H684,'合同高级查询数据-4月返'!A:A,1,FALSE)</f>
        <v>#N/A</v>
      </c>
      <c r="J684" s="47" t="s">
        <v>90</v>
      </c>
      <c r="K684" s="160" t="s">
        <v>985</v>
      </c>
      <c r="L684" s="179"/>
      <c r="M684" s="49" t="s">
        <v>986</v>
      </c>
      <c r="N684" s="180">
        <v>44175</v>
      </c>
      <c r="O684" s="181" t="s">
        <v>503</v>
      </c>
      <c r="P684" s="182">
        <v>5900</v>
      </c>
      <c r="Q684" s="182">
        <v>19</v>
      </c>
      <c r="R684" s="118">
        <f t="shared" si="21"/>
        <v>112100</v>
      </c>
      <c r="S684" s="115">
        <v>202304</v>
      </c>
      <c r="T684" s="186" t="s">
        <v>1001</v>
      </c>
      <c r="U684" s="186"/>
      <c r="V684" s="165"/>
      <c r="W684" s="165"/>
      <c r="X684" s="116">
        <v>44084</v>
      </c>
      <c r="Y684" s="116">
        <v>46274</v>
      </c>
    </row>
    <row r="685" s="85" customFormat="1" customHeight="1" spans="1:25">
      <c r="A685" s="98" t="s">
        <v>448</v>
      </c>
      <c r="B685" s="98" t="s">
        <v>62</v>
      </c>
      <c r="C685" s="98" t="s">
        <v>238</v>
      </c>
      <c r="D685" s="98" t="s">
        <v>642</v>
      </c>
      <c r="E685" s="161" t="s">
        <v>982</v>
      </c>
      <c r="F685" s="98" t="s">
        <v>983</v>
      </c>
      <c r="G685" s="172" t="s">
        <v>88</v>
      </c>
      <c r="H685" s="100" t="s">
        <v>984</v>
      </c>
      <c r="I685" s="46" t="e">
        <f>VLOOKUP(H685,'合同高级查询数据-4月返'!A:A,1,FALSE)</f>
        <v>#N/A</v>
      </c>
      <c r="J685" s="47" t="s">
        <v>90</v>
      </c>
      <c r="K685" s="160" t="s">
        <v>985</v>
      </c>
      <c r="L685" s="179"/>
      <c r="M685" s="49" t="s">
        <v>986</v>
      </c>
      <c r="N685" s="180">
        <v>44294</v>
      </c>
      <c r="O685" s="181" t="s">
        <v>503</v>
      </c>
      <c r="P685" s="182">
        <v>5900</v>
      </c>
      <c r="Q685" s="182">
        <v>1</v>
      </c>
      <c r="R685" s="118">
        <f t="shared" si="21"/>
        <v>5900</v>
      </c>
      <c r="S685" s="115">
        <v>202304</v>
      </c>
      <c r="T685" s="217" t="s">
        <v>1002</v>
      </c>
      <c r="U685" s="165"/>
      <c r="V685" s="165"/>
      <c r="W685" s="165"/>
      <c r="X685" s="116">
        <v>44084</v>
      </c>
      <c r="Y685" s="116">
        <v>46274</v>
      </c>
    </row>
    <row r="686" s="85" customFormat="1" customHeight="1" spans="1:25">
      <c r="A686" s="98" t="s">
        <v>448</v>
      </c>
      <c r="B686" s="98" t="s">
        <v>62</v>
      </c>
      <c r="C686" s="98" t="s">
        <v>238</v>
      </c>
      <c r="D686" s="98" t="s">
        <v>642</v>
      </c>
      <c r="E686" s="161" t="s">
        <v>982</v>
      </c>
      <c r="F686" s="98" t="s">
        <v>983</v>
      </c>
      <c r="G686" s="172" t="s">
        <v>88</v>
      </c>
      <c r="H686" s="100" t="s">
        <v>984</v>
      </c>
      <c r="I686" s="46" t="e">
        <f>VLOOKUP(H686,'合同高级查询数据-4月返'!A:A,1,FALSE)</f>
        <v>#N/A</v>
      </c>
      <c r="J686" s="47" t="s">
        <v>90</v>
      </c>
      <c r="K686" s="160" t="s">
        <v>985</v>
      </c>
      <c r="L686" s="179"/>
      <c r="M686" s="49" t="s">
        <v>986</v>
      </c>
      <c r="N686" s="180">
        <v>44294</v>
      </c>
      <c r="O686" s="181" t="s">
        <v>525</v>
      </c>
      <c r="P686" s="182">
        <v>8900</v>
      </c>
      <c r="Q686" s="182">
        <v>2</v>
      </c>
      <c r="R686" s="118">
        <f t="shared" si="21"/>
        <v>17800</v>
      </c>
      <c r="S686" s="115">
        <v>202304</v>
      </c>
      <c r="T686" s="186" t="s">
        <v>1003</v>
      </c>
      <c r="U686" s="186"/>
      <c r="V686" s="165"/>
      <c r="W686" s="165"/>
      <c r="X686" s="116">
        <v>44084</v>
      </c>
      <c r="Y686" s="116">
        <v>46274</v>
      </c>
    </row>
    <row r="687" s="85" customFormat="1" customHeight="1" spans="1:25">
      <c r="A687" s="98" t="s">
        <v>448</v>
      </c>
      <c r="B687" s="98" t="s">
        <v>62</v>
      </c>
      <c r="C687" s="98" t="s">
        <v>238</v>
      </c>
      <c r="D687" s="98" t="s">
        <v>642</v>
      </c>
      <c r="E687" s="161" t="s">
        <v>982</v>
      </c>
      <c r="F687" s="98" t="s">
        <v>983</v>
      </c>
      <c r="G687" s="172" t="s">
        <v>88</v>
      </c>
      <c r="H687" s="100" t="s">
        <v>984</v>
      </c>
      <c r="I687" s="46" t="e">
        <f>VLOOKUP(H687,'合同高级查询数据-4月返'!A:A,1,FALSE)</f>
        <v>#N/A</v>
      </c>
      <c r="J687" s="47" t="s">
        <v>90</v>
      </c>
      <c r="K687" s="160" t="s">
        <v>985</v>
      </c>
      <c r="L687" s="179"/>
      <c r="M687" s="49" t="s">
        <v>986</v>
      </c>
      <c r="N687" s="180">
        <v>44294</v>
      </c>
      <c r="O687" s="181" t="s">
        <v>507</v>
      </c>
      <c r="P687" s="182">
        <v>11200</v>
      </c>
      <c r="Q687" s="182">
        <v>4</v>
      </c>
      <c r="R687" s="118">
        <f t="shared" si="21"/>
        <v>44800</v>
      </c>
      <c r="S687" s="115">
        <v>202304</v>
      </c>
      <c r="T687" s="186" t="s">
        <v>1004</v>
      </c>
      <c r="U687" s="186"/>
      <c r="V687" s="165"/>
      <c r="W687" s="165"/>
      <c r="X687" s="116">
        <v>44084</v>
      </c>
      <c r="Y687" s="116">
        <v>46274</v>
      </c>
    </row>
    <row r="688" s="85" customFormat="1" customHeight="1" spans="1:25">
      <c r="A688" s="98" t="s">
        <v>448</v>
      </c>
      <c r="B688" s="98" t="s">
        <v>62</v>
      </c>
      <c r="C688" s="98" t="s">
        <v>238</v>
      </c>
      <c r="D688" s="98" t="s">
        <v>642</v>
      </c>
      <c r="E688" s="161" t="s">
        <v>982</v>
      </c>
      <c r="F688" s="98" t="s">
        <v>983</v>
      </c>
      <c r="G688" s="172" t="s">
        <v>88</v>
      </c>
      <c r="H688" s="100" t="s">
        <v>984</v>
      </c>
      <c r="I688" s="46" t="e">
        <f>VLOOKUP(H688,'合同高级查询数据-4月返'!A:A,1,FALSE)</f>
        <v>#N/A</v>
      </c>
      <c r="J688" s="47" t="s">
        <v>90</v>
      </c>
      <c r="K688" s="160" t="s">
        <v>985</v>
      </c>
      <c r="L688" s="179"/>
      <c r="M688" s="49" t="s">
        <v>986</v>
      </c>
      <c r="N688" s="180">
        <v>44294</v>
      </c>
      <c r="O688" s="181" t="s">
        <v>606</v>
      </c>
      <c r="P688" s="182">
        <v>31900</v>
      </c>
      <c r="Q688" s="182">
        <v>10</v>
      </c>
      <c r="R688" s="118">
        <f t="shared" si="21"/>
        <v>319000</v>
      </c>
      <c r="S688" s="115">
        <v>202304</v>
      </c>
      <c r="T688" s="186" t="s">
        <v>1005</v>
      </c>
      <c r="U688" s="186"/>
      <c r="V688" s="165"/>
      <c r="W688" s="165"/>
      <c r="X688" s="116">
        <v>44084</v>
      </c>
      <c r="Y688" s="116">
        <v>46274</v>
      </c>
    </row>
    <row r="689" s="85" customFormat="1" customHeight="1" spans="1:25">
      <c r="A689" s="98" t="s">
        <v>448</v>
      </c>
      <c r="B689" s="98" t="s">
        <v>62</v>
      </c>
      <c r="C689" s="98" t="s">
        <v>238</v>
      </c>
      <c r="D689" s="98" t="s">
        <v>642</v>
      </c>
      <c r="E689" s="161" t="s">
        <v>982</v>
      </c>
      <c r="F689" s="98" t="s">
        <v>983</v>
      </c>
      <c r="G689" s="172" t="s">
        <v>88</v>
      </c>
      <c r="H689" s="100" t="s">
        <v>984</v>
      </c>
      <c r="I689" s="46" t="e">
        <f>VLOOKUP(H689,'合同高级查询数据-4月返'!A:A,1,FALSE)</f>
        <v>#N/A</v>
      </c>
      <c r="J689" s="47" t="s">
        <v>90</v>
      </c>
      <c r="K689" s="160" t="s">
        <v>985</v>
      </c>
      <c r="L689" s="179"/>
      <c r="M689" s="49" t="s">
        <v>986</v>
      </c>
      <c r="N689" s="180">
        <v>44298</v>
      </c>
      <c r="O689" s="181" t="s">
        <v>606</v>
      </c>
      <c r="P689" s="182">
        <v>31900</v>
      </c>
      <c r="Q689" s="182">
        <v>4</v>
      </c>
      <c r="R689" s="118">
        <f t="shared" si="21"/>
        <v>127600</v>
      </c>
      <c r="S689" s="115">
        <v>202304</v>
      </c>
      <c r="T689" s="186" t="s">
        <v>1006</v>
      </c>
      <c r="U689" s="186"/>
      <c r="V689" s="165"/>
      <c r="W689" s="165"/>
      <c r="X689" s="116">
        <v>44084</v>
      </c>
      <c r="Y689" s="116">
        <v>46274</v>
      </c>
    </row>
    <row r="690" s="85" customFormat="1" customHeight="1" spans="1:25">
      <c r="A690" s="98" t="s">
        <v>448</v>
      </c>
      <c r="B690" s="98" t="s">
        <v>62</v>
      </c>
      <c r="C690" s="98" t="s">
        <v>238</v>
      </c>
      <c r="D690" s="98" t="s">
        <v>642</v>
      </c>
      <c r="E690" s="161" t="s">
        <v>982</v>
      </c>
      <c r="F690" s="98" t="s">
        <v>983</v>
      </c>
      <c r="G690" s="172" t="s">
        <v>88</v>
      </c>
      <c r="H690" s="100" t="s">
        <v>984</v>
      </c>
      <c r="I690" s="46" t="e">
        <f>VLOOKUP(H690,'合同高级查询数据-4月返'!A:A,1,FALSE)</f>
        <v>#N/A</v>
      </c>
      <c r="J690" s="47" t="s">
        <v>90</v>
      </c>
      <c r="K690" s="160" t="s">
        <v>985</v>
      </c>
      <c r="L690" s="179"/>
      <c r="M690" s="49" t="s">
        <v>986</v>
      </c>
      <c r="N690" s="180">
        <v>44329</v>
      </c>
      <c r="O690" s="181" t="s">
        <v>507</v>
      </c>
      <c r="P690" s="182">
        <v>11200</v>
      </c>
      <c r="Q690" s="182">
        <v>4</v>
      </c>
      <c r="R690" s="118">
        <f t="shared" si="21"/>
        <v>44800</v>
      </c>
      <c r="S690" s="115">
        <v>202304</v>
      </c>
      <c r="T690" s="186" t="s">
        <v>1007</v>
      </c>
      <c r="U690" s="186"/>
      <c r="V690" s="165"/>
      <c r="W690" s="165"/>
      <c r="X690" s="116">
        <v>44084</v>
      </c>
      <c r="Y690" s="116">
        <v>46274</v>
      </c>
    </row>
    <row r="691" s="85" customFormat="1" customHeight="1" spans="1:25">
      <c r="A691" s="98" t="s">
        <v>448</v>
      </c>
      <c r="B691" s="98" t="s">
        <v>62</v>
      </c>
      <c r="C691" s="98" t="s">
        <v>238</v>
      </c>
      <c r="D691" s="98" t="s">
        <v>642</v>
      </c>
      <c r="E691" s="161" t="s">
        <v>982</v>
      </c>
      <c r="F691" s="98" t="s">
        <v>983</v>
      </c>
      <c r="G691" s="172" t="s">
        <v>88</v>
      </c>
      <c r="H691" s="100" t="s">
        <v>984</v>
      </c>
      <c r="I691" s="46" t="e">
        <f>VLOOKUP(H691,'合同高级查询数据-4月返'!A:A,1,FALSE)</f>
        <v>#N/A</v>
      </c>
      <c r="J691" s="47" t="s">
        <v>90</v>
      </c>
      <c r="K691" s="160" t="s">
        <v>985</v>
      </c>
      <c r="L691" s="179"/>
      <c r="M691" s="49" t="s">
        <v>986</v>
      </c>
      <c r="N691" s="180">
        <v>44389</v>
      </c>
      <c r="O691" s="181" t="s">
        <v>503</v>
      </c>
      <c r="P691" s="182">
        <v>5900</v>
      </c>
      <c r="Q691" s="182">
        <v>12</v>
      </c>
      <c r="R691" s="118">
        <f t="shared" si="21"/>
        <v>70800</v>
      </c>
      <c r="S691" s="115">
        <v>202304</v>
      </c>
      <c r="T691" s="186" t="s">
        <v>1008</v>
      </c>
      <c r="U691" s="186"/>
      <c r="V691" s="165"/>
      <c r="W691" s="165"/>
      <c r="X691" s="116">
        <v>44084</v>
      </c>
      <c r="Y691" s="116">
        <v>46274</v>
      </c>
    </row>
    <row r="692" s="85" customFormat="1" customHeight="1" spans="1:25">
      <c r="A692" s="98" t="s">
        <v>448</v>
      </c>
      <c r="B692" s="98" t="s">
        <v>62</v>
      </c>
      <c r="C692" s="98" t="s">
        <v>238</v>
      </c>
      <c r="D692" s="98" t="s">
        <v>642</v>
      </c>
      <c r="E692" s="161" t="s">
        <v>982</v>
      </c>
      <c r="F692" s="98" t="s">
        <v>983</v>
      </c>
      <c r="G692" s="172" t="s">
        <v>88</v>
      </c>
      <c r="H692" s="100" t="s">
        <v>984</v>
      </c>
      <c r="I692" s="46" t="e">
        <f>VLOOKUP(H692,'合同高级查询数据-4月返'!A:A,1,FALSE)</f>
        <v>#N/A</v>
      </c>
      <c r="J692" s="47" t="s">
        <v>90</v>
      </c>
      <c r="K692" s="160" t="s">
        <v>985</v>
      </c>
      <c r="L692" s="179"/>
      <c r="M692" s="49" t="s">
        <v>986</v>
      </c>
      <c r="N692" s="180">
        <v>44396</v>
      </c>
      <c r="O692" s="181" t="s">
        <v>503</v>
      </c>
      <c r="P692" s="182">
        <v>5900</v>
      </c>
      <c r="Q692" s="182">
        <v>2</v>
      </c>
      <c r="R692" s="118">
        <f t="shared" si="21"/>
        <v>11800</v>
      </c>
      <c r="S692" s="115">
        <v>202304</v>
      </c>
      <c r="T692" s="186" t="s">
        <v>1009</v>
      </c>
      <c r="U692" s="186"/>
      <c r="V692" s="165"/>
      <c r="W692" s="165"/>
      <c r="X692" s="116">
        <v>44084</v>
      </c>
      <c r="Y692" s="116">
        <v>46274</v>
      </c>
    </row>
    <row r="693" s="85" customFormat="1" customHeight="1" spans="1:25">
      <c r="A693" s="98" t="s">
        <v>448</v>
      </c>
      <c r="B693" s="98" t="s">
        <v>62</v>
      </c>
      <c r="C693" s="98" t="s">
        <v>238</v>
      </c>
      <c r="D693" s="98" t="s">
        <v>642</v>
      </c>
      <c r="E693" s="161" t="s">
        <v>982</v>
      </c>
      <c r="F693" s="98" t="s">
        <v>983</v>
      </c>
      <c r="G693" s="172" t="s">
        <v>88</v>
      </c>
      <c r="H693" s="100" t="s">
        <v>984</v>
      </c>
      <c r="I693" s="46" t="e">
        <f>VLOOKUP(H693,'合同高级查询数据-4月返'!A:A,1,FALSE)</f>
        <v>#N/A</v>
      </c>
      <c r="J693" s="47" t="s">
        <v>90</v>
      </c>
      <c r="K693" s="160" t="s">
        <v>985</v>
      </c>
      <c r="L693" s="179"/>
      <c r="M693" s="49" t="s">
        <v>986</v>
      </c>
      <c r="N693" s="180">
        <v>44467</v>
      </c>
      <c r="O693" s="181" t="s">
        <v>606</v>
      </c>
      <c r="P693" s="182">
        <v>31900</v>
      </c>
      <c r="Q693" s="182">
        <v>2</v>
      </c>
      <c r="R693" s="118">
        <f t="shared" si="21"/>
        <v>63800</v>
      </c>
      <c r="S693" s="115">
        <v>202304</v>
      </c>
      <c r="T693" s="217" t="s">
        <v>1010</v>
      </c>
      <c r="U693" s="165"/>
      <c r="V693" s="165"/>
      <c r="W693" s="165"/>
      <c r="X693" s="116">
        <v>44084</v>
      </c>
      <c r="Y693" s="116">
        <v>46274</v>
      </c>
    </row>
    <row r="694" s="85" customFormat="1" customHeight="1" spans="1:25">
      <c r="A694" s="98" t="s">
        <v>448</v>
      </c>
      <c r="B694" s="98" t="s">
        <v>62</v>
      </c>
      <c r="C694" s="98" t="s">
        <v>238</v>
      </c>
      <c r="D694" s="98" t="s">
        <v>642</v>
      </c>
      <c r="E694" s="161" t="s">
        <v>982</v>
      </c>
      <c r="F694" s="98" t="s">
        <v>983</v>
      </c>
      <c r="G694" s="172" t="s">
        <v>88</v>
      </c>
      <c r="H694" s="100" t="s">
        <v>984</v>
      </c>
      <c r="I694" s="46" t="e">
        <f>VLOOKUP(H694,'合同高级查询数据-4月返'!A:A,1,FALSE)</f>
        <v>#N/A</v>
      </c>
      <c r="J694" s="47" t="s">
        <v>90</v>
      </c>
      <c r="K694" s="160" t="s">
        <v>985</v>
      </c>
      <c r="L694" s="179"/>
      <c r="M694" s="49" t="s">
        <v>986</v>
      </c>
      <c r="N694" s="180">
        <v>44573</v>
      </c>
      <c r="O694" s="181" t="s">
        <v>503</v>
      </c>
      <c r="P694" s="182">
        <v>5900</v>
      </c>
      <c r="Q694" s="182">
        <v>1</v>
      </c>
      <c r="R694" s="118">
        <f t="shared" si="21"/>
        <v>5900</v>
      </c>
      <c r="S694" s="115">
        <v>202304</v>
      </c>
      <c r="T694" s="217" t="s">
        <v>1011</v>
      </c>
      <c r="U694" s="165"/>
      <c r="V694" s="165"/>
      <c r="W694" s="165"/>
      <c r="X694" s="116">
        <v>44084</v>
      </c>
      <c r="Y694" s="116">
        <v>46274</v>
      </c>
    </row>
    <row r="695" s="85" customFormat="1" customHeight="1" spans="1:25">
      <c r="A695" s="98" t="s">
        <v>448</v>
      </c>
      <c r="B695" s="98" t="s">
        <v>62</v>
      </c>
      <c r="C695" s="98" t="s">
        <v>238</v>
      </c>
      <c r="D695" s="98" t="s">
        <v>642</v>
      </c>
      <c r="E695" s="161" t="s">
        <v>982</v>
      </c>
      <c r="F695" s="98" t="s">
        <v>983</v>
      </c>
      <c r="G695" s="172" t="s">
        <v>88</v>
      </c>
      <c r="H695" s="100" t="s">
        <v>984</v>
      </c>
      <c r="I695" s="46" t="e">
        <f>VLOOKUP(H695,'合同高级查询数据-4月返'!A:A,1,FALSE)</f>
        <v>#N/A</v>
      </c>
      <c r="J695" s="47" t="s">
        <v>90</v>
      </c>
      <c r="K695" s="160" t="s">
        <v>985</v>
      </c>
      <c r="L695" s="179"/>
      <c r="M695" s="49" t="s">
        <v>986</v>
      </c>
      <c r="N695" s="180">
        <v>44729</v>
      </c>
      <c r="O695" s="181" t="s">
        <v>503</v>
      </c>
      <c r="P695" s="182">
        <v>5900</v>
      </c>
      <c r="Q695" s="182">
        <v>2</v>
      </c>
      <c r="R695" s="118">
        <f t="shared" si="21"/>
        <v>11800</v>
      </c>
      <c r="S695" s="115">
        <v>202304</v>
      </c>
      <c r="T695" s="217" t="s">
        <v>1012</v>
      </c>
      <c r="U695" s="165"/>
      <c r="V695" s="165"/>
      <c r="W695" s="165"/>
      <c r="X695" s="116">
        <v>44084</v>
      </c>
      <c r="Y695" s="116">
        <v>46274</v>
      </c>
    </row>
    <row r="696" s="85" customFormat="1" customHeight="1" spans="1:25">
      <c r="A696" s="98" t="s">
        <v>448</v>
      </c>
      <c r="B696" s="98" t="s">
        <v>62</v>
      </c>
      <c r="C696" s="98" t="s">
        <v>238</v>
      </c>
      <c r="D696" s="98" t="s">
        <v>642</v>
      </c>
      <c r="E696" s="161" t="s">
        <v>982</v>
      </c>
      <c r="F696" s="98" t="s">
        <v>983</v>
      </c>
      <c r="G696" s="172" t="s">
        <v>88</v>
      </c>
      <c r="H696" s="100" t="s">
        <v>984</v>
      </c>
      <c r="I696" s="46" t="e">
        <f>VLOOKUP(H696,'合同高级查询数据-4月返'!A:A,1,FALSE)</f>
        <v>#N/A</v>
      </c>
      <c r="J696" s="47" t="s">
        <v>90</v>
      </c>
      <c r="K696" s="160" t="s">
        <v>985</v>
      </c>
      <c r="L696" s="210"/>
      <c r="M696" s="49" t="s">
        <v>986</v>
      </c>
      <c r="N696" s="180">
        <v>44778</v>
      </c>
      <c r="O696" s="181" t="s">
        <v>503</v>
      </c>
      <c r="P696" s="182">
        <v>5900</v>
      </c>
      <c r="Q696" s="182">
        <v>1</v>
      </c>
      <c r="R696" s="118">
        <f t="shared" si="21"/>
        <v>5900</v>
      </c>
      <c r="S696" s="115">
        <v>202304</v>
      </c>
      <c r="T696" s="217" t="s">
        <v>1013</v>
      </c>
      <c r="U696" s="165"/>
      <c r="V696" s="165"/>
      <c r="W696" s="165"/>
      <c r="X696" s="116">
        <v>44084</v>
      </c>
      <c r="Y696" s="116">
        <v>46274</v>
      </c>
    </row>
    <row r="697" s="85" customFormat="1" customHeight="1" spans="1:25">
      <c r="A697" s="98" t="s">
        <v>448</v>
      </c>
      <c r="B697" s="98" t="s">
        <v>62</v>
      </c>
      <c r="C697" s="98" t="s">
        <v>238</v>
      </c>
      <c r="D697" s="98" t="s">
        <v>642</v>
      </c>
      <c r="E697" s="161" t="s">
        <v>982</v>
      </c>
      <c r="F697" s="98" t="s">
        <v>983</v>
      </c>
      <c r="G697" s="172" t="s">
        <v>88</v>
      </c>
      <c r="H697" s="100" t="s">
        <v>984</v>
      </c>
      <c r="I697" s="46" t="e">
        <f>VLOOKUP(H697,'合同高级查询数据-4月返'!A:A,1,FALSE)</f>
        <v>#N/A</v>
      </c>
      <c r="J697" s="47" t="s">
        <v>90</v>
      </c>
      <c r="K697" s="160" t="s">
        <v>985</v>
      </c>
      <c r="L697" s="210"/>
      <c r="M697" s="49" t="s">
        <v>986</v>
      </c>
      <c r="N697" s="180">
        <v>44823</v>
      </c>
      <c r="O697" s="181" t="s">
        <v>503</v>
      </c>
      <c r="P697" s="182">
        <v>5900</v>
      </c>
      <c r="Q697" s="182">
        <v>2</v>
      </c>
      <c r="R697" s="118">
        <f t="shared" si="21"/>
        <v>11800</v>
      </c>
      <c r="S697" s="115">
        <v>202304</v>
      </c>
      <c r="T697" s="217" t="s">
        <v>1014</v>
      </c>
      <c r="U697" s="165"/>
      <c r="V697" s="165"/>
      <c r="W697" s="165"/>
      <c r="X697" s="116">
        <v>44084</v>
      </c>
      <c r="Y697" s="116">
        <v>46274</v>
      </c>
    </row>
    <row r="698" s="85" customFormat="1" customHeight="1" spans="1:25">
      <c r="A698" s="98" t="s">
        <v>448</v>
      </c>
      <c r="B698" s="98" t="s">
        <v>62</v>
      </c>
      <c r="C698" s="98" t="s">
        <v>238</v>
      </c>
      <c r="D698" s="98" t="s">
        <v>642</v>
      </c>
      <c r="E698" s="161" t="s">
        <v>982</v>
      </c>
      <c r="F698" s="98" t="s">
        <v>983</v>
      </c>
      <c r="G698" s="172" t="s">
        <v>88</v>
      </c>
      <c r="H698" s="100" t="s">
        <v>984</v>
      </c>
      <c r="I698" s="46" t="e">
        <f>VLOOKUP(H698,'合同高级查询数据-4月返'!A:A,1,FALSE)</f>
        <v>#N/A</v>
      </c>
      <c r="J698" s="47" t="s">
        <v>90</v>
      </c>
      <c r="K698" s="160" t="s">
        <v>985</v>
      </c>
      <c r="L698" s="210"/>
      <c r="M698" s="49" t="s">
        <v>986</v>
      </c>
      <c r="N698" s="180">
        <v>44866</v>
      </c>
      <c r="O698" s="181" t="s">
        <v>600</v>
      </c>
      <c r="P698" s="182">
        <v>0</v>
      </c>
      <c r="Q698" s="182">
        <v>26</v>
      </c>
      <c r="R698" s="118">
        <f t="shared" si="21"/>
        <v>0</v>
      </c>
      <c r="S698" s="115">
        <v>202304</v>
      </c>
      <c r="T698" s="217" t="s">
        <v>1015</v>
      </c>
      <c r="U698" s="165"/>
      <c r="V698" s="165"/>
      <c r="W698" s="165"/>
      <c r="X698" s="116">
        <v>44084</v>
      </c>
      <c r="Y698" s="116">
        <v>46274</v>
      </c>
    </row>
    <row r="699" s="85" customFormat="1" customHeight="1" spans="1:25">
      <c r="A699" s="98" t="s">
        <v>448</v>
      </c>
      <c r="B699" s="98" t="s">
        <v>62</v>
      </c>
      <c r="C699" s="98" t="s">
        <v>238</v>
      </c>
      <c r="D699" s="98" t="s">
        <v>642</v>
      </c>
      <c r="E699" s="161" t="s">
        <v>982</v>
      </c>
      <c r="F699" s="98" t="s">
        <v>1016</v>
      </c>
      <c r="G699" s="172" t="s">
        <v>88</v>
      </c>
      <c r="H699" s="100" t="s">
        <v>1017</v>
      </c>
      <c r="I699" s="46" t="e">
        <f>VLOOKUP(H699,'合同高级查询数据-4月返'!A:A,1,FALSE)</f>
        <v>#N/A</v>
      </c>
      <c r="J699" s="47" t="s">
        <v>90</v>
      </c>
      <c r="K699" s="160" t="s">
        <v>1018</v>
      </c>
      <c r="L699" s="179"/>
      <c r="M699" s="49" t="s">
        <v>1019</v>
      </c>
      <c r="N699" s="180">
        <v>44241</v>
      </c>
      <c r="O699" s="181" t="s">
        <v>503</v>
      </c>
      <c r="P699" s="182">
        <v>5900</v>
      </c>
      <c r="Q699" s="182">
        <v>24</v>
      </c>
      <c r="R699" s="118">
        <f t="shared" si="21"/>
        <v>141600</v>
      </c>
      <c r="S699" s="115">
        <v>202304</v>
      </c>
      <c r="T699" s="186" t="s">
        <v>1020</v>
      </c>
      <c r="U699" s="186"/>
      <c r="V699" s="165"/>
      <c r="W699" s="165"/>
      <c r="X699" s="116">
        <v>44211</v>
      </c>
      <c r="Y699" s="116">
        <v>46401</v>
      </c>
    </row>
    <row r="700" s="85" customFormat="1" customHeight="1" spans="1:25">
      <c r="A700" s="98" t="s">
        <v>448</v>
      </c>
      <c r="B700" s="98" t="s">
        <v>62</v>
      </c>
      <c r="C700" s="98" t="s">
        <v>238</v>
      </c>
      <c r="D700" s="98" t="s">
        <v>642</v>
      </c>
      <c r="E700" s="161" t="s">
        <v>982</v>
      </c>
      <c r="F700" s="98" t="s">
        <v>1016</v>
      </c>
      <c r="G700" s="172" t="s">
        <v>88</v>
      </c>
      <c r="H700" s="100" t="s">
        <v>1017</v>
      </c>
      <c r="I700" s="46" t="e">
        <f>VLOOKUP(H700,'合同高级查询数据-4月返'!A:A,1,FALSE)</f>
        <v>#N/A</v>
      </c>
      <c r="J700" s="47" t="s">
        <v>90</v>
      </c>
      <c r="K700" s="160" t="s">
        <v>1018</v>
      </c>
      <c r="L700" s="179"/>
      <c r="M700" s="49" t="s">
        <v>1019</v>
      </c>
      <c r="N700" s="180">
        <v>44241</v>
      </c>
      <c r="O700" s="181" t="s">
        <v>507</v>
      </c>
      <c r="P700" s="182">
        <v>11700</v>
      </c>
      <c r="Q700" s="182">
        <v>27</v>
      </c>
      <c r="R700" s="118">
        <f t="shared" si="21"/>
        <v>315900</v>
      </c>
      <c r="S700" s="115">
        <v>202304</v>
      </c>
      <c r="T700" s="186" t="s">
        <v>1021</v>
      </c>
      <c r="U700" s="186"/>
      <c r="V700" s="165"/>
      <c r="W700" s="165"/>
      <c r="X700" s="116">
        <v>44211</v>
      </c>
      <c r="Y700" s="116">
        <v>46401</v>
      </c>
    </row>
    <row r="701" s="85" customFormat="1" customHeight="1" spans="1:25">
      <c r="A701" s="98" t="s">
        <v>448</v>
      </c>
      <c r="B701" s="98" t="s">
        <v>62</v>
      </c>
      <c r="C701" s="98" t="s">
        <v>238</v>
      </c>
      <c r="D701" s="98" t="s">
        <v>642</v>
      </c>
      <c r="E701" s="161" t="s">
        <v>982</v>
      </c>
      <c r="F701" s="98" t="s">
        <v>1016</v>
      </c>
      <c r="G701" s="172" t="s">
        <v>88</v>
      </c>
      <c r="H701" s="100" t="s">
        <v>1017</v>
      </c>
      <c r="I701" s="46" t="e">
        <f>VLOOKUP(H701,'合同高级查询数据-4月返'!A:A,1,FALSE)</f>
        <v>#N/A</v>
      </c>
      <c r="J701" s="47" t="s">
        <v>90</v>
      </c>
      <c r="K701" s="160" t="s">
        <v>1018</v>
      </c>
      <c r="L701" s="179"/>
      <c r="M701" s="49" t="s">
        <v>1019</v>
      </c>
      <c r="N701" s="180">
        <v>44241</v>
      </c>
      <c r="O701" s="181" t="s">
        <v>566</v>
      </c>
      <c r="P701" s="182">
        <v>11970</v>
      </c>
      <c r="Q701" s="182">
        <v>4</v>
      </c>
      <c r="R701" s="118">
        <f t="shared" si="21"/>
        <v>47880</v>
      </c>
      <c r="S701" s="115">
        <v>202304</v>
      </c>
      <c r="T701" s="186" t="s">
        <v>1022</v>
      </c>
      <c r="U701" s="186"/>
      <c r="V701" s="165"/>
      <c r="W701" s="165"/>
      <c r="X701" s="116">
        <v>44211</v>
      </c>
      <c r="Y701" s="116">
        <v>46401</v>
      </c>
    </row>
    <row r="702" s="85" customFormat="1" customHeight="1" spans="1:25">
      <c r="A702" s="98" t="s">
        <v>448</v>
      </c>
      <c r="B702" s="98" t="s">
        <v>62</v>
      </c>
      <c r="C702" s="98" t="s">
        <v>238</v>
      </c>
      <c r="D702" s="98" t="s">
        <v>642</v>
      </c>
      <c r="E702" s="161" t="s">
        <v>982</v>
      </c>
      <c r="F702" s="98" t="s">
        <v>1016</v>
      </c>
      <c r="G702" s="172" t="s">
        <v>88</v>
      </c>
      <c r="H702" s="100" t="s">
        <v>1017</v>
      </c>
      <c r="I702" s="46" t="e">
        <f>VLOOKUP(H702,'合同高级查询数据-4月返'!A:A,1,FALSE)</f>
        <v>#N/A</v>
      </c>
      <c r="J702" s="47" t="s">
        <v>90</v>
      </c>
      <c r="K702" s="160" t="s">
        <v>1018</v>
      </c>
      <c r="L702" s="179"/>
      <c r="M702" s="49" t="s">
        <v>1019</v>
      </c>
      <c r="N702" s="180">
        <v>44241</v>
      </c>
      <c r="O702" s="181" t="s">
        <v>606</v>
      </c>
      <c r="P702" s="182">
        <v>32400</v>
      </c>
      <c r="Q702" s="182">
        <v>10</v>
      </c>
      <c r="R702" s="118">
        <f t="shared" si="21"/>
        <v>324000</v>
      </c>
      <c r="S702" s="115">
        <v>202304</v>
      </c>
      <c r="T702" s="186" t="s">
        <v>1023</v>
      </c>
      <c r="U702" s="186"/>
      <c r="V702" s="165"/>
      <c r="W702" s="165"/>
      <c r="X702" s="116">
        <v>44211</v>
      </c>
      <c r="Y702" s="116">
        <v>46401</v>
      </c>
    </row>
    <row r="703" s="85" customFormat="1" customHeight="1" spans="1:25">
      <c r="A703" s="98" t="s">
        <v>448</v>
      </c>
      <c r="B703" s="98" t="s">
        <v>62</v>
      </c>
      <c r="C703" s="98" t="s">
        <v>238</v>
      </c>
      <c r="D703" s="98" t="s">
        <v>642</v>
      </c>
      <c r="E703" s="161" t="s">
        <v>982</v>
      </c>
      <c r="F703" s="98" t="s">
        <v>1016</v>
      </c>
      <c r="G703" s="172" t="s">
        <v>88</v>
      </c>
      <c r="H703" s="100" t="s">
        <v>1017</v>
      </c>
      <c r="I703" s="46" t="e">
        <f>VLOOKUP(H703,'合同高级查询数据-4月返'!A:A,1,FALSE)</f>
        <v>#N/A</v>
      </c>
      <c r="J703" s="47" t="s">
        <v>90</v>
      </c>
      <c r="K703" s="160" t="s">
        <v>1018</v>
      </c>
      <c r="L703" s="179"/>
      <c r="M703" s="49" t="s">
        <v>1019</v>
      </c>
      <c r="N703" s="180">
        <v>44254</v>
      </c>
      <c r="O703" s="181" t="s">
        <v>507</v>
      </c>
      <c r="P703" s="182">
        <v>11700</v>
      </c>
      <c r="Q703" s="182">
        <v>7</v>
      </c>
      <c r="R703" s="118">
        <f t="shared" si="21"/>
        <v>81900</v>
      </c>
      <c r="S703" s="115">
        <v>202304</v>
      </c>
      <c r="T703" s="217" t="s">
        <v>1024</v>
      </c>
      <c r="U703" s="165"/>
      <c r="V703" s="165"/>
      <c r="W703" s="165"/>
      <c r="X703" s="116">
        <v>44211</v>
      </c>
      <c r="Y703" s="116">
        <v>46401</v>
      </c>
    </row>
    <row r="704" s="85" customFormat="1" customHeight="1" spans="1:25">
      <c r="A704" s="98" t="s">
        <v>448</v>
      </c>
      <c r="B704" s="98" t="s">
        <v>62</v>
      </c>
      <c r="C704" s="98" t="s">
        <v>238</v>
      </c>
      <c r="D704" s="98" t="s">
        <v>642</v>
      </c>
      <c r="E704" s="161" t="s">
        <v>982</v>
      </c>
      <c r="F704" s="98" t="s">
        <v>1016</v>
      </c>
      <c r="G704" s="172" t="s">
        <v>88</v>
      </c>
      <c r="H704" s="100" t="s">
        <v>1017</v>
      </c>
      <c r="I704" s="46" t="e">
        <f>VLOOKUP(H704,'合同高级查询数据-4月返'!A:A,1,FALSE)</f>
        <v>#N/A</v>
      </c>
      <c r="J704" s="47" t="s">
        <v>90</v>
      </c>
      <c r="K704" s="160" t="s">
        <v>1018</v>
      </c>
      <c r="L704" s="179"/>
      <c r="M704" s="49" t="s">
        <v>1019</v>
      </c>
      <c r="N704" s="180">
        <v>44270</v>
      </c>
      <c r="O704" s="181" t="s">
        <v>507</v>
      </c>
      <c r="P704" s="182">
        <v>11700</v>
      </c>
      <c r="Q704" s="182">
        <v>3</v>
      </c>
      <c r="R704" s="118">
        <f t="shared" si="21"/>
        <v>35100</v>
      </c>
      <c r="S704" s="115">
        <v>202304</v>
      </c>
      <c r="T704" s="186" t="s">
        <v>1025</v>
      </c>
      <c r="U704" s="186"/>
      <c r="V704" s="165"/>
      <c r="W704" s="165"/>
      <c r="X704" s="116">
        <v>44211</v>
      </c>
      <c r="Y704" s="116">
        <v>46401</v>
      </c>
    </row>
    <row r="705" s="85" customFormat="1" customHeight="1" spans="1:25">
      <c r="A705" s="98" t="s">
        <v>448</v>
      </c>
      <c r="B705" s="98" t="s">
        <v>62</v>
      </c>
      <c r="C705" s="98" t="s">
        <v>238</v>
      </c>
      <c r="D705" s="98" t="s">
        <v>642</v>
      </c>
      <c r="E705" s="161" t="s">
        <v>982</v>
      </c>
      <c r="F705" s="98" t="s">
        <v>1016</v>
      </c>
      <c r="G705" s="172" t="s">
        <v>88</v>
      </c>
      <c r="H705" s="100" t="s">
        <v>1017</v>
      </c>
      <c r="I705" s="46" t="e">
        <f>VLOOKUP(H705,'合同高级查询数据-4月返'!A:A,1,FALSE)</f>
        <v>#N/A</v>
      </c>
      <c r="J705" s="47" t="s">
        <v>90</v>
      </c>
      <c r="K705" s="160" t="s">
        <v>1018</v>
      </c>
      <c r="L705" s="179"/>
      <c r="M705" s="49" t="s">
        <v>1019</v>
      </c>
      <c r="N705" s="180">
        <v>44272</v>
      </c>
      <c r="O705" s="181" t="s">
        <v>503</v>
      </c>
      <c r="P705" s="182">
        <v>5900</v>
      </c>
      <c r="Q705" s="182">
        <v>6</v>
      </c>
      <c r="R705" s="118">
        <f t="shared" ref="R705:R768" si="22">ROUND(P705*Q705,2)</f>
        <v>35400</v>
      </c>
      <c r="S705" s="115">
        <v>202304</v>
      </c>
      <c r="T705" s="186" t="s">
        <v>1026</v>
      </c>
      <c r="U705" s="186"/>
      <c r="V705" s="165"/>
      <c r="W705" s="165"/>
      <c r="X705" s="116">
        <v>44211</v>
      </c>
      <c r="Y705" s="116">
        <v>46401</v>
      </c>
    </row>
    <row r="706" s="85" customFormat="1" customHeight="1" spans="1:25">
      <c r="A706" s="98" t="s">
        <v>448</v>
      </c>
      <c r="B706" s="98" t="s">
        <v>62</v>
      </c>
      <c r="C706" s="98" t="s">
        <v>238</v>
      </c>
      <c r="D706" s="98" t="s">
        <v>642</v>
      </c>
      <c r="E706" s="161" t="s">
        <v>982</v>
      </c>
      <c r="F706" s="98" t="s">
        <v>1016</v>
      </c>
      <c r="G706" s="172" t="s">
        <v>88</v>
      </c>
      <c r="H706" s="100" t="s">
        <v>1017</v>
      </c>
      <c r="I706" s="46" t="e">
        <f>VLOOKUP(H706,'合同高级查询数据-4月返'!A:A,1,FALSE)</f>
        <v>#N/A</v>
      </c>
      <c r="J706" s="47" t="s">
        <v>90</v>
      </c>
      <c r="K706" s="160" t="s">
        <v>1018</v>
      </c>
      <c r="L706" s="179"/>
      <c r="M706" s="49" t="s">
        <v>1019</v>
      </c>
      <c r="N706" s="180">
        <v>44277</v>
      </c>
      <c r="O706" s="181" t="s">
        <v>507</v>
      </c>
      <c r="P706" s="182">
        <v>11700</v>
      </c>
      <c r="Q706" s="182">
        <v>8</v>
      </c>
      <c r="R706" s="118">
        <f t="shared" si="22"/>
        <v>93600</v>
      </c>
      <c r="S706" s="115">
        <v>202304</v>
      </c>
      <c r="T706" s="186" t="s">
        <v>1027</v>
      </c>
      <c r="U706" s="186"/>
      <c r="V706" s="165"/>
      <c r="W706" s="165"/>
      <c r="X706" s="116">
        <v>44211</v>
      </c>
      <c r="Y706" s="116">
        <v>46401</v>
      </c>
    </row>
    <row r="707" s="85" customFormat="1" customHeight="1" spans="1:25">
      <c r="A707" s="98" t="s">
        <v>448</v>
      </c>
      <c r="B707" s="98" t="s">
        <v>62</v>
      </c>
      <c r="C707" s="98" t="s">
        <v>238</v>
      </c>
      <c r="D707" s="98" t="s">
        <v>642</v>
      </c>
      <c r="E707" s="161" t="s">
        <v>982</v>
      </c>
      <c r="F707" s="98" t="s">
        <v>1016</v>
      </c>
      <c r="G707" s="172" t="s">
        <v>88</v>
      </c>
      <c r="H707" s="100" t="s">
        <v>1017</v>
      </c>
      <c r="I707" s="46" t="e">
        <f>VLOOKUP(H707,'合同高级查询数据-4月返'!A:A,1,FALSE)</f>
        <v>#N/A</v>
      </c>
      <c r="J707" s="47" t="s">
        <v>90</v>
      </c>
      <c r="K707" s="160" t="s">
        <v>1018</v>
      </c>
      <c r="L707" s="179"/>
      <c r="M707" s="49" t="s">
        <v>1019</v>
      </c>
      <c r="N707" s="180">
        <v>44278</v>
      </c>
      <c r="O707" s="181" t="s">
        <v>507</v>
      </c>
      <c r="P707" s="182">
        <v>11700</v>
      </c>
      <c r="Q707" s="182">
        <v>26</v>
      </c>
      <c r="R707" s="118">
        <f t="shared" si="22"/>
        <v>304200</v>
      </c>
      <c r="S707" s="115">
        <v>202304</v>
      </c>
      <c r="T707" s="186" t="s">
        <v>1028</v>
      </c>
      <c r="U707" s="186"/>
      <c r="V707" s="165"/>
      <c r="W707" s="165"/>
      <c r="X707" s="116">
        <v>44211</v>
      </c>
      <c r="Y707" s="116">
        <v>46401</v>
      </c>
    </row>
    <row r="708" s="85" customFormat="1" customHeight="1" spans="1:25">
      <c r="A708" s="98" t="s">
        <v>448</v>
      </c>
      <c r="B708" s="98" t="s">
        <v>62</v>
      </c>
      <c r="C708" s="98" t="s">
        <v>238</v>
      </c>
      <c r="D708" s="98" t="s">
        <v>642</v>
      </c>
      <c r="E708" s="161" t="s">
        <v>982</v>
      </c>
      <c r="F708" s="98" t="s">
        <v>1016</v>
      </c>
      <c r="G708" s="172" t="s">
        <v>88</v>
      </c>
      <c r="H708" s="100" t="s">
        <v>1017</v>
      </c>
      <c r="I708" s="46" t="e">
        <f>VLOOKUP(H708,'合同高级查询数据-4月返'!A:A,1,FALSE)</f>
        <v>#N/A</v>
      </c>
      <c r="J708" s="47" t="s">
        <v>90</v>
      </c>
      <c r="K708" s="160" t="s">
        <v>1018</v>
      </c>
      <c r="L708" s="179"/>
      <c r="M708" s="49" t="s">
        <v>1019</v>
      </c>
      <c r="N708" s="180">
        <v>44265</v>
      </c>
      <c r="O708" s="181" t="s">
        <v>566</v>
      </c>
      <c r="P708" s="182">
        <v>11970</v>
      </c>
      <c r="Q708" s="182">
        <v>-4</v>
      </c>
      <c r="R708" s="118">
        <f t="shared" si="22"/>
        <v>-47880</v>
      </c>
      <c r="S708" s="115">
        <v>202304</v>
      </c>
      <c r="T708" s="186" t="s">
        <v>1022</v>
      </c>
      <c r="U708" s="186"/>
      <c r="V708" s="165"/>
      <c r="W708" s="165"/>
      <c r="X708" s="116">
        <v>44211</v>
      </c>
      <c r="Y708" s="116">
        <v>46401</v>
      </c>
    </row>
    <row r="709" s="85" customFormat="1" customHeight="1" spans="1:25">
      <c r="A709" s="98" t="s">
        <v>448</v>
      </c>
      <c r="B709" s="98" t="s">
        <v>62</v>
      </c>
      <c r="C709" s="98" t="s">
        <v>238</v>
      </c>
      <c r="D709" s="98" t="s">
        <v>642</v>
      </c>
      <c r="E709" s="161" t="s">
        <v>982</v>
      </c>
      <c r="F709" s="98" t="s">
        <v>1016</v>
      </c>
      <c r="G709" s="172" t="s">
        <v>88</v>
      </c>
      <c r="H709" s="100" t="s">
        <v>1017</v>
      </c>
      <c r="I709" s="46" t="e">
        <f>VLOOKUP(H709,'合同高级查询数据-4月返'!A:A,1,FALSE)</f>
        <v>#N/A</v>
      </c>
      <c r="J709" s="47" t="s">
        <v>90</v>
      </c>
      <c r="K709" s="160" t="s">
        <v>1018</v>
      </c>
      <c r="L709" s="179"/>
      <c r="M709" s="49" t="s">
        <v>1019</v>
      </c>
      <c r="N709" s="180">
        <v>44272</v>
      </c>
      <c r="O709" s="181" t="s">
        <v>566</v>
      </c>
      <c r="P709" s="182">
        <v>11970</v>
      </c>
      <c r="Q709" s="182">
        <v>4</v>
      </c>
      <c r="R709" s="118">
        <f t="shared" si="22"/>
        <v>47880</v>
      </c>
      <c r="S709" s="115">
        <v>202304</v>
      </c>
      <c r="T709" s="186" t="s">
        <v>1029</v>
      </c>
      <c r="U709" s="186"/>
      <c r="V709" s="165"/>
      <c r="W709" s="165"/>
      <c r="X709" s="116">
        <v>44211</v>
      </c>
      <c r="Y709" s="116">
        <v>46401</v>
      </c>
    </row>
    <row r="710" s="85" customFormat="1" customHeight="1" spans="1:25">
      <c r="A710" s="98" t="s">
        <v>448</v>
      </c>
      <c r="B710" s="98" t="s">
        <v>62</v>
      </c>
      <c r="C710" s="98" t="s">
        <v>238</v>
      </c>
      <c r="D710" s="98" t="s">
        <v>642</v>
      </c>
      <c r="E710" s="161" t="s">
        <v>982</v>
      </c>
      <c r="F710" s="98" t="s">
        <v>1016</v>
      </c>
      <c r="G710" s="172" t="s">
        <v>88</v>
      </c>
      <c r="H710" s="100" t="s">
        <v>1017</v>
      </c>
      <c r="I710" s="46" t="e">
        <f>VLOOKUP(H710,'合同高级查询数据-4月返'!A:A,1,FALSE)</f>
        <v>#N/A</v>
      </c>
      <c r="J710" s="47" t="s">
        <v>90</v>
      </c>
      <c r="K710" s="160" t="s">
        <v>1018</v>
      </c>
      <c r="L710" s="179"/>
      <c r="M710" s="49" t="s">
        <v>1019</v>
      </c>
      <c r="N710" s="180">
        <v>44280</v>
      </c>
      <c r="O710" s="181" t="s">
        <v>507</v>
      </c>
      <c r="P710" s="182">
        <v>11700</v>
      </c>
      <c r="Q710" s="182">
        <v>8</v>
      </c>
      <c r="R710" s="118">
        <f t="shared" si="22"/>
        <v>93600</v>
      </c>
      <c r="S710" s="115">
        <v>202304</v>
      </c>
      <c r="T710" s="186" t="s">
        <v>1030</v>
      </c>
      <c r="U710" s="186"/>
      <c r="V710" s="165"/>
      <c r="W710" s="165"/>
      <c r="X710" s="116">
        <v>44211</v>
      </c>
      <c r="Y710" s="116">
        <v>46401</v>
      </c>
    </row>
    <row r="711" s="85" customFormat="1" customHeight="1" spans="1:25">
      <c r="A711" s="98" t="s">
        <v>448</v>
      </c>
      <c r="B711" s="98" t="s">
        <v>62</v>
      </c>
      <c r="C711" s="98" t="s">
        <v>238</v>
      </c>
      <c r="D711" s="98" t="s">
        <v>642</v>
      </c>
      <c r="E711" s="161" t="s">
        <v>982</v>
      </c>
      <c r="F711" s="98" t="s">
        <v>1016</v>
      </c>
      <c r="G711" s="172" t="s">
        <v>88</v>
      </c>
      <c r="H711" s="100" t="s">
        <v>1017</v>
      </c>
      <c r="I711" s="46" t="e">
        <f>VLOOKUP(H711,'合同高级查询数据-4月返'!A:A,1,FALSE)</f>
        <v>#N/A</v>
      </c>
      <c r="J711" s="47" t="s">
        <v>90</v>
      </c>
      <c r="K711" s="160" t="s">
        <v>1018</v>
      </c>
      <c r="L711" s="179"/>
      <c r="M711" s="49" t="s">
        <v>1019</v>
      </c>
      <c r="N711" s="180">
        <v>44284</v>
      </c>
      <c r="O711" s="181" t="s">
        <v>507</v>
      </c>
      <c r="P711" s="182">
        <v>11700</v>
      </c>
      <c r="Q711" s="182">
        <v>6</v>
      </c>
      <c r="R711" s="118">
        <f t="shared" si="22"/>
        <v>70200</v>
      </c>
      <c r="S711" s="115">
        <v>202304</v>
      </c>
      <c r="T711" s="186" t="s">
        <v>1031</v>
      </c>
      <c r="U711" s="186"/>
      <c r="V711" s="165"/>
      <c r="W711" s="165"/>
      <c r="X711" s="116">
        <v>44211</v>
      </c>
      <c r="Y711" s="116">
        <v>46401</v>
      </c>
    </row>
    <row r="712" s="85" customFormat="1" customHeight="1" spans="1:25">
      <c r="A712" s="98" t="s">
        <v>448</v>
      </c>
      <c r="B712" s="98" t="s">
        <v>62</v>
      </c>
      <c r="C712" s="98" t="s">
        <v>238</v>
      </c>
      <c r="D712" s="98" t="s">
        <v>642</v>
      </c>
      <c r="E712" s="161" t="s">
        <v>982</v>
      </c>
      <c r="F712" s="98" t="s">
        <v>1016</v>
      </c>
      <c r="G712" s="172" t="s">
        <v>88</v>
      </c>
      <c r="H712" s="100" t="s">
        <v>1017</v>
      </c>
      <c r="I712" s="46" t="e">
        <f>VLOOKUP(H712,'合同高级查询数据-4月返'!A:A,1,FALSE)</f>
        <v>#N/A</v>
      </c>
      <c r="J712" s="47" t="s">
        <v>90</v>
      </c>
      <c r="K712" s="160" t="s">
        <v>1018</v>
      </c>
      <c r="L712" s="179"/>
      <c r="M712" s="49" t="s">
        <v>1019</v>
      </c>
      <c r="N712" s="180">
        <v>44301</v>
      </c>
      <c r="O712" s="181" t="s">
        <v>503</v>
      </c>
      <c r="P712" s="182">
        <v>5900</v>
      </c>
      <c r="Q712" s="182">
        <v>2</v>
      </c>
      <c r="R712" s="118">
        <f t="shared" si="22"/>
        <v>11800</v>
      </c>
      <c r="S712" s="115">
        <v>202304</v>
      </c>
      <c r="T712" s="186" t="s">
        <v>1032</v>
      </c>
      <c r="U712" s="186"/>
      <c r="V712" s="165"/>
      <c r="W712" s="165"/>
      <c r="X712" s="116">
        <v>44211</v>
      </c>
      <c r="Y712" s="116">
        <v>46401</v>
      </c>
    </row>
    <row r="713" s="85" customFormat="1" customHeight="1" spans="1:25">
      <c r="A713" s="98" t="s">
        <v>448</v>
      </c>
      <c r="B713" s="98" t="s">
        <v>62</v>
      </c>
      <c r="C713" s="98" t="s">
        <v>238</v>
      </c>
      <c r="D713" s="98" t="s">
        <v>642</v>
      </c>
      <c r="E713" s="161" t="s">
        <v>982</v>
      </c>
      <c r="F713" s="98" t="s">
        <v>1016</v>
      </c>
      <c r="G713" s="172" t="s">
        <v>88</v>
      </c>
      <c r="H713" s="100" t="s">
        <v>1017</v>
      </c>
      <c r="I713" s="46" t="e">
        <f>VLOOKUP(H713,'合同高级查询数据-4月返'!A:A,1,FALSE)</f>
        <v>#N/A</v>
      </c>
      <c r="J713" s="47" t="s">
        <v>90</v>
      </c>
      <c r="K713" s="160" t="s">
        <v>1018</v>
      </c>
      <c r="L713" s="179"/>
      <c r="M713" s="49" t="s">
        <v>1019</v>
      </c>
      <c r="N713" s="180">
        <v>44301</v>
      </c>
      <c r="O713" s="181" t="s">
        <v>507</v>
      </c>
      <c r="P713" s="182">
        <v>11700</v>
      </c>
      <c r="Q713" s="182">
        <v>2</v>
      </c>
      <c r="R713" s="118">
        <f t="shared" si="22"/>
        <v>23400</v>
      </c>
      <c r="S713" s="115">
        <v>202304</v>
      </c>
      <c r="T713" s="186" t="s">
        <v>1033</v>
      </c>
      <c r="U713" s="186"/>
      <c r="V713" s="165"/>
      <c r="W713" s="165"/>
      <c r="X713" s="116">
        <v>44211</v>
      </c>
      <c r="Y713" s="116">
        <v>46401</v>
      </c>
    </row>
    <row r="714" s="85" customFormat="1" customHeight="1" spans="1:25">
      <c r="A714" s="98" t="s">
        <v>448</v>
      </c>
      <c r="B714" s="98" t="s">
        <v>62</v>
      </c>
      <c r="C714" s="98" t="s">
        <v>238</v>
      </c>
      <c r="D714" s="98" t="s">
        <v>642</v>
      </c>
      <c r="E714" s="161" t="s">
        <v>982</v>
      </c>
      <c r="F714" s="98" t="s">
        <v>1016</v>
      </c>
      <c r="G714" s="172" t="s">
        <v>88</v>
      </c>
      <c r="H714" s="100" t="s">
        <v>1017</v>
      </c>
      <c r="I714" s="46" t="e">
        <f>VLOOKUP(H714,'合同高级查询数据-4月返'!A:A,1,FALSE)</f>
        <v>#N/A</v>
      </c>
      <c r="J714" s="47" t="s">
        <v>90</v>
      </c>
      <c r="K714" s="160" t="s">
        <v>1018</v>
      </c>
      <c r="L714" s="179"/>
      <c r="M714" s="49" t="s">
        <v>1019</v>
      </c>
      <c r="N714" s="180">
        <v>44302</v>
      </c>
      <c r="O714" s="181" t="s">
        <v>507</v>
      </c>
      <c r="P714" s="182">
        <v>11700</v>
      </c>
      <c r="Q714" s="182">
        <v>4</v>
      </c>
      <c r="R714" s="118">
        <f t="shared" si="22"/>
        <v>46800</v>
      </c>
      <c r="S714" s="115">
        <v>202304</v>
      </c>
      <c r="T714" s="186" t="s">
        <v>1034</v>
      </c>
      <c r="U714" s="186"/>
      <c r="V714" s="165"/>
      <c r="W714" s="165"/>
      <c r="X714" s="116">
        <v>44211</v>
      </c>
      <c r="Y714" s="116">
        <v>46401</v>
      </c>
    </row>
    <row r="715" s="85" customFormat="1" customHeight="1" spans="1:25">
      <c r="A715" s="98" t="s">
        <v>448</v>
      </c>
      <c r="B715" s="98" t="s">
        <v>62</v>
      </c>
      <c r="C715" s="98" t="s">
        <v>238</v>
      </c>
      <c r="D715" s="98" t="s">
        <v>642</v>
      </c>
      <c r="E715" s="161" t="s">
        <v>982</v>
      </c>
      <c r="F715" s="98" t="s">
        <v>1016</v>
      </c>
      <c r="G715" s="172" t="s">
        <v>88</v>
      </c>
      <c r="H715" s="100" t="s">
        <v>1017</v>
      </c>
      <c r="I715" s="46" t="e">
        <f>VLOOKUP(H715,'合同高级查询数据-4月返'!A:A,1,FALSE)</f>
        <v>#N/A</v>
      </c>
      <c r="J715" s="47" t="s">
        <v>90</v>
      </c>
      <c r="K715" s="160" t="s">
        <v>1018</v>
      </c>
      <c r="L715" s="179"/>
      <c r="M715" s="49" t="s">
        <v>1019</v>
      </c>
      <c r="N715" s="180">
        <v>44308</v>
      </c>
      <c r="O715" s="181" t="s">
        <v>507</v>
      </c>
      <c r="P715" s="182">
        <v>11700</v>
      </c>
      <c r="Q715" s="182">
        <v>11</v>
      </c>
      <c r="R715" s="118">
        <f t="shared" si="22"/>
        <v>128700</v>
      </c>
      <c r="S715" s="115">
        <v>202304</v>
      </c>
      <c r="T715" s="186" t="s">
        <v>1035</v>
      </c>
      <c r="U715" s="186"/>
      <c r="V715" s="165"/>
      <c r="W715" s="165"/>
      <c r="X715" s="116">
        <v>44211</v>
      </c>
      <c r="Y715" s="116">
        <v>46401</v>
      </c>
    </row>
    <row r="716" s="85" customFormat="1" customHeight="1" spans="1:25">
      <c r="A716" s="98" t="s">
        <v>448</v>
      </c>
      <c r="B716" s="98" t="s">
        <v>62</v>
      </c>
      <c r="C716" s="98" t="s">
        <v>238</v>
      </c>
      <c r="D716" s="98" t="s">
        <v>642</v>
      </c>
      <c r="E716" s="161" t="s">
        <v>982</v>
      </c>
      <c r="F716" s="98" t="s">
        <v>1016</v>
      </c>
      <c r="G716" s="172" t="s">
        <v>88</v>
      </c>
      <c r="H716" s="100" t="s">
        <v>1017</v>
      </c>
      <c r="I716" s="46" t="e">
        <f>VLOOKUP(H716,'合同高级查询数据-4月返'!A:A,1,FALSE)</f>
        <v>#N/A</v>
      </c>
      <c r="J716" s="47" t="s">
        <v>90</v>
      </c>
      <c r="K716" s="160" t="s">
        <v>1018</v>
      </c>
      <c r="L716" s="179"/>
      <c r="M716" s="49" t="s">
        <v>1019</v>
      </c>
      <c r="N716" s="180">
        <v>44313</v>
      </c>
      <c r="O716" s="181" t="s">
        <v>507</v>
      </c>
      <c r="P716" s="182">
        <v>11700</v>
      </c>
      <c r="Q716" s="182">
        <v>2</v>
      </c>
      <c r="R716" s="118">
        <f t="shared" si="22"/>
        <v>23400</v>
      </c>
      <c r="S716" s="115">
        <v>202304</v>
      </c>
      <c r="T716" s="186" t="s">
        <v>1036</v>
      </c>
      <c r="U716" s="186"/>
      <c r="V716" s="165"/>
      <c r="W716" s="165"/>
      <c r="X716" s="116">
        <v>44211</v>
      </c>
      <c r="Y716" s="116">
        <v>46401</v>
      </c>
    </row>
    <row r="717" s="85" customFormat="1" customHeight="1" spans="1:25">
      <c r="A717" s="98" t="s">
        <v>448</v>
      </c>
      <c r="B717" s="98" t="s">
        <v>62</v>
      </c>
      <c r="C717" s="98" t="s">
        <v>238</v>
      </c>
      <c r="D717" s="98" t="s">
        <v>642</v>
      </c>
      <c r="E717" s="161" t="s">
        <v>982</v>
      </c>
      <c r="F717" s="98" t="s">
        <v>1016</v>
      </c>
      <c r="G717" s="172" t="s">
        <v>88</v>
      </c>
      <c r="H717" s="100" t="s">
        <v>1017</v>
      </c>
      <c r="I717" s="46" t="e">
        <f>VLOOKUP(H717,'合同高级查询数据-4月返'!A:A,1,FALSE)</f>
        <v>#N/A</v>
      </c>
      <c r="J717" s="47" t="s">
        <v>90</v>
      </c>
      <c r="K717" s="160" t="s">
        <v>1018</v>
      </c>
      <c r="L717" s="179"/>
      <c r="M717" s="49" t="s">
        <v>1019</v>
      </c>
      <c r="N717" s="180">
        <v>44315</v>
      </c>
      <c r="O717" s="181" t="s">
        <v>507</v>
      </c>
      <c r="P717" s="182">
        <v>11700</v>
      </c>
      <c r="Q717" s="182">
        <v>9</v>
      </c>
      <c r="R717" s="118">
        <f t="shared" si="22"/>
        <v>105300</v>
      </c>
      <c r="S717" s="115">
        <v>202304</v>
      </c>
      <c r="T717" s="186" t="s">
        <v>1037</v>
      </c>
      <c r="U717" s="186"/>
      <c r="V717" s="165"/>
      <c r="W717" s="165"/>
      <c r="X717" s="116">
        <v>44211</v>
      </c>
      <c r="Y717" s="116">
        <v>46401</v>
      </c>
    </row>
    <row r="718" s="85" customFormat="1" customHeight="1" spans="1:25">
      <c r="A718" s="98" t="s">
        <v>448</v>
      </c>
      <c r="B718" s="98" t="s">
        <v>62</v>
      </c>
      <c r="C718" s="98" t="s">
        <v>238</v>
      </c>
      <c r="D718" s="98" t="s">
        <v>642</v>
      </c>
      <c r="E718" s="161" t="s">
        <v>982</v>
      </c>
      <c r="F718" s="98" t="s">
        <v>1016</v>
      </c>
      <c r="G718" s="172" t="s">
        <v>88</v>
      </c>
      <c r="H718" s="100" t="s">
        <v>1017</v>
      </c>
      <c r="I718" s="46" t="e">
        <f>VLOOKUP(H718,'合同高级查询数据-4月返'!A:A,1,FALSE)</f>
        <v>#N/A</v>
      </c>
      <c r="J718" s="47" t="s">
        <v>90</v>
      </c>
      <c r="K718" s="160" t="s">
        <v>1018</v>
      </c>
      <c r="L718" s="179"/>
      <c r="M718" s="49" t="s">
        <v>1019</v>
      </c>
      <c r="N718" s="180">
        <v>44329</v>
      </c>
      <c r="O718" s="181" t="s">
        <v>507</v>
      </c>
      <c r="P718" s="182">
        <v>11700</v>
      </c>
      <c r="Q718" s="182">
        <v>2</v>
      </c>
      <c r="R718" s="118">
        <f t="shared" si="22"/>
        <v>23400</v>
      </c>
      <c r="S718" s="115">
        <v>202304</v>
      </c>
      <c r="T718" s="186" t="s">
        <v>1038</v>
      </c>
      <c r="U718" s="186"/>
      <c r="V718" s="165"/>
      <c r="W718" s="165"/>
      <c r="X718" s="116">
        <v>44211</v>
      </c>
      <c r="Y718" s="116">
        <v>46401</v>
      </c>
    </row>
    <row r="719" s="85" customFormat="1" customHeight="1" spans="1:25">
      <c r="A719" s="98" t="s">
        <v>448</v>
      </c>
      <c r="B719" s="98" t="s">
        <v>62</v>
      </c>
      <c r="C719" s="98" t="s">
        <v>238</v>
      </c>
      <c r="D719" s="98" t="s">
        <v>642</v>
      </c>
      <c r="E719" s="161" t="s">
        <v>982</v>
      </c>
      <c r="F719" s="98" t="s">
        <v>1016</v>
      </c>
      <c r="G719" s="172" t="s">
        <v>88</v>
      </c>
      <c r="H719" s="100" t="s">
        <v>1017</v>
      </c>
      <c r="I719" s="46" t="e">
        <f>VLOOKUP(H719,'合同高级查询数据-4月返'!A:A,1,FALSE)</f>
        <v>#N/A</v>
      </c>
      <c r="J719" s="47" t="s">
        <v>90</v>
      </c>
      <c r="K719" s="160" t="s">
        <v>1018</v>
      </c>
      <c r="L719" s="179"/>
      <c r="M719" s="49" t="s">
        <v>1019</v>
      </c>
      <c r="N719" s="180">
        <v>44342</v>
      </c>
      <c r="O719" s="181" t="s">
        <v>507</v>
      </c>
      <c r="P719" s="182">
        <v>11700</v>
      </c>
      <c r="Q719" s="182">
        <v>6</v>
      </c>
      <c r="R719" s="118">
        <f t="shared" si="22"/>
        <v>70200</v>
      </c>
      <c r="S719" s="115">
        <v>202304</v>
      </c>
      <c r="T719" s="186" t="s">
        <v>1039</v>
      </c>
      <c r="U719" s="186"/>
      <c r="V719" s="165"/>
      <c r="W719" s="165"/>
      <c r="X719" s="116">
        <v>44211</v>
      </c>
      <c r="Y719" s="116">
        <v>46401</v>
      </c>
    </row>
    <row r="720" s="85" customFormat="1" customHeight="1" spans="1:25">
      <c r="A720" s="98" t="s">
        <v>448</v>
      </c>
      <c r="B720" s="98" t="s">
        <v>62</v>
      </c>
      <c r="C720" s="98" t="s">
        <v>238</v>
      </c>
      <c r="D720" s="98" t="s">
        <v>642</v>
      </c>
      <c r="E720" s="161" t="s">
        <v>982</v>
      </c>
      <c r="F720" s="98" t="s">
        <v>1016</v>
      </c>
      <c r="G720" s="172" t="s">
        <v>88</v>
      </c>
      <c r="H720" s="100" t="s">
        <v>1017</v>
      </c>
      <c r="I720" s="46" t="e">
        <f>VLOOKUP(H720,'合同高级查询数据-4月返'!A:A,1,FALSE)</f>
        <v>#N/A</v>
      </c>
      <c r="J720" s="47" t="s">
        <v>90</v>
      </c>
      <c r="K720" s="160" t="s">
        <v>1018</v>
      </c>
      <c r="L720" s="179"/>
      <c r="M720" s="49" t="s">
        <v>1019</v>
      </c>
      <c r="N720" s="180">
        <v>44382</v>
      </c>
      <c r="O720" s="181" t="s">
        <v>507</v>
      </c>
      <c r="P720" s="182">
        <v>11700</v>
      </c>
      <c r="Q720" s="182">
        <v>93</v>
      </c>
      <c r="R720" s="118">
        <f t="shared" si="22"/>
        <v>1088100</v>
      </c>
      <c r="S720" s="115">
        <v>202304</v>
      </c>
      <c r="T720" s="186" t="s">
        <v>1040</v>
      </c>
      <c r="U720" s="186"/>
      <c r="V720" s="165"/>
      <c r="W720" s="165"/>
      <c r="X720" s="116">
        <v>44211</v>
      </c>
      <c r="Y720" s="116">
        <v>46401</v>
      </c>
    </row>
    <row r="721" s="85" customFormat="1" customHeight="1" spans="1:25">
      <c r="A721" s="98" t="s">
        <v>448</v>
      </c>
      <c r="B721" s="98" t="s">
        <v>62</v>
      </c>
      <c r="C721" s="98" t="s">
        <v>238</v>
      </c>
      <c r="D721" s="98" t="s">
        <v>642</v>
      </c>
      <c r="E721" s="161" t="s">
        <v>982</v>
      </c>
      <c r="F721" s="98" t="s">
        <v>1016</v>
      </c>
      <c r="G721" s="172" t="s">
        <v>88</v>
      </c>
      <c r="H721" s="100" t="s">
        <v>1017</v>
      </c>
      <c r="I721" s="46" t="e">
        <f>VLOOKUP(H721,'合同高级查询数据-4月返'!A:A,1,FALSE)</f>
        <v>#N/A</v>
      </c>
      <c r="J721" s="47" t="s">
        <v>90</v>
      </c>
      <c r="K721" s="160" t="s">
        <v>1018</v>
      </c>
      <c r="L721" s="179"/>
      <c r="M721" s="49" t="s">
        <v>1019</v>
      </c>
      <c r="N721" s="180">
        <v>44386</v>
      </c>
      <c r="O721" s="181" t="s">
        <v>503</v>
      </c>
      <c r="P721" s="182">
        <v>5900</v>
      </c>
      <c r="Q721" s="182">
        <v>6</v>
      </c>
      <c r="R721" s="118">
        <f t="shared" si="22"/>
        <v>35400</v>
      </c>
      <c r="S721" s="115">
        <v>202304</v>
      </c>
      <c r="T721" s="186" t="s">
        <v>1041</v>
      </c>
      <c r="U721" s="186"/>
      <c r="V721" s="165"/>
      <c r="W721" s="165"/>
      <c r="X721" s="116">
        <v>44211</v>
      </c>
      <c r="Y721" s="116">
        <v>46401</v>
      </c>
    </row>
    <row r="722" s="85" customFormat="1" customHeight="1" spans="1:25">
      <c r="A722" s="98" t="s">
        <v>448</v>
      </c>
      <c r="B722" s="98" t="s">
        <v>62</v>
      </c>
      <c r="C722" s="98" t="s">
        <v>238</v>
      </c>
      <c r="D722" s="98" t="s">
        <v>642</v>
      </c>
      <c r="E722" s="161" t="s">
        <v>982</v>
      </c>
      <c r="F722" s="98" t="s">
        <v>1016</v>
      </c>
      <c r="G722" s="172" t="s">
        <v>88</v>
      </c>
      <c r="H722" s="100" t="s">
        <v>1017</v>
      </c>
      <c r="I722" s="46" t="e">
        <f>VLOOKUP(H722,'合同高级查询数据-4月返'!A:A,1,FALSE)</f>
        <v>#N/A</v>
      </c>
      <c r="J722" s="47" t="s">
        <v>90</v>
      </c>
      <c r="K722" s="160" t="s">
        <v>1018</v>
      </c>
      <c r="L722" s="179"/>
      <c r="M722" s="49" t="s">
        <v>1019</v>
      </c>
      <c r="N722" s="180">
        <v>44400</v>
      </c>
      <c r="O722" s="181" t="s">
        <v>507</v>
      </c>
      <c r="P722" s="182">
        <v>11700</v>
      </c>
      <c r="Q722" s="182">
        <v>3</v>
      </c>
      <c r="R722" s="118">
        <f t="shared" si="22"/>
        <v>35100</v>
      </c>
      <c r="S722" s="115">
        <v>202304</v>
      </c>
      <c r="T722" s="186" t="s">
        <v>1042</v>
      </c>
      <c r="U722" s="186"/>
      <c r="V722" s="165"/>
      <c r="W722" s="165"/>
      <c r="X722" s="116">
        <v>44211</v>
      </c>
      <c r="Y722" s="116">
        <v>46401</v>
      </c>
    </row>
    <row r="723" s="85" customFormat="1" customHeight="1" spans="1:25">
      <c r="A723" s="98" t="s">
        <v>448</v>
      </c>
      <c r="B723" s="98" t="s">
        <v>62</v>
      </c>
      <c r="C723" s="98" t="s">
        <v>238</v>
      </c>
      <c r="D723" s="98" t="s">
        <v>642</v>
      </c>
      <c r="E723" s="161" t="s">
        <v>982</v>
      </c>
      <c r="F723" s="98" t="s">
        <v>1016</v>
      </c>
      <c r="G723" s="172" t="s">
        <v>88</v>
      </c>
      <c r="H723" s="100" t="s">
        <v>1017</v>
      </c>
      <c r="I723" s="46" t="e">
        <f>VLOOKUP(H723,'合同高级查询数据-4月返'!A:A,1,FALSE)</f>
        <v>#N/A</v>
      </c>
      <c r="J723" s="47" t="s">
        <v>90</v>
      </c>
      <c r="K723" s="160" t="s">
        <v>1018</v>
      </c>
      <c r="L723" s="179"/>
      <c r="M723" s="49" t="s">
        <v>1019</v>
      </c>
      <c r="N723" s="180">
        <v>44407</v>
      </c>
      <c r="O723" s="181" t="s">
        <v>507</v>
      </c>
      <c r="P723" s="182">
        <v>11700</v>
      </c>
      <c r="Q723" s="182">
        <v>22</v>
      </c>
      <c r="R723" s="118">
        <f t="shared" si="22"/>
        <v>257400</v>
      </c>
      <c r="S723" s="115">
        <v>202304</v>
      </c>
      <c r="T723" s="186" t="s">
        <v>1043</v>
      </c>
      <c r="U723" s="186"/>
      <c r="V723" s="165"/>
      <c r="W723" s="165"/>
      <c r="X723" s="116">
        <v>44211</v>
      </c>
      <c r="Y723" s="116">
        <v>46401</v>
      </c>
    </row>
    <row r="724" s="85" customFormat="1" customHeight="1" spans="1:25">
      <c r="A724" s="98" t="s">
        <v>448</v>
      </c>
      <c r="B724" s="98" t="s">
        <v>62</v>
      </c>
      <c r="C724" s="98" t="s">
        <v>238</v>
      </c>
      <c r="D724" s="98" t="s">
        <v>642</v>
      </c>
      <c r="E724" s="161" t="s">
        <v>982</v>
      </c>
      <c r="F724" s="98" t="s">
        <v>1016</v>
      </c>
      <c r="G724" s="172" t="s">
        <v>88</v>
      </c>
      <c r="H724" s="100" t="s">
        <v>1017</v>
      </c>
      <c r="I724" s="46" t="e">
        <f>VLOOKUP(H724,'合同高级查询数据-4月返'!A:A,1,FALSE)</f>
        <v>#N/A</v>
      </c>
      <c r="J724" s="47" t="s">
        <v>90</v>
      </c>
      <c r="K724" s="160" t="s">
        <v>1018</v>
      </c>
      <c r="L724" s="179"/>
      <c r="M724" s="49" t="s">
        <v>1019</v>
      </c>
      <c r="N724" s="180">
        <v>44432</v>
      </c>
      <c r="O724" s="181" t="s">
        <v>507</v>
      </c>
      <c r="P724" s="182">
        <v>11700</v>
      </c>
      <c r="Q724" s="182">
        <v>6</v>
      </c>
      <c r="R724" s="118">
        <f t="shared" si="22"/>
        <v>70200</v>
      </c>
      <c r="S724" s="115">
        <v>202304</v>
      </c>
      <c r="T724" s="186" t="s">
        <v>1044</v>
      </c>
      <c r="U724" s="186"/>
      <c r="V724" s="165"/>
      <c r="W724" s="165"/>
      <c r="X724" s="116">
        <v>44211</v>
      </c>
      <c r="Y724" s="116">
        <v>46401</v>
      </c>
    </row>
    <row r="725" s="85" customFormat="1" customHeight="1" spans="1:25">
      <c r="A725" s="98" t="s">
        <v>448</v>
      </c>
      <c r="B725" s="98" t="s">
        <v>62</v>
      </c>
      <c r="C725" s="98" t="s">
        <v>238</v>
      </c>
      <c r="D725" s="98" t="s">
        <v>642</v>
      </c>
      <c r="E725" s="161" t="s">
        <v>982</v>
      </c>
      <c r="F725" s="98" t="s">
        <v>1016</v>
      </c>
      <c r="G725" s="172" t="s">
        <v>88</v>
      </c>
      <c r="H725" s="100" t="s">
        <v>1017</v>
      </c>
      <c r="I725" s="46" t="e">
        <f>VLOOKUP(H725,'合同高级查询数据-4月返'!A:A,1,FALSE)</f>
        <v>#N/A</v>
      </c>
      <c r="J725" s="47" t="s">
        <v>90</v>
      </c>
      <c r="K725" s="160" t="s">
        <v>1018</v>
      </c>
      <c r="L725" s="179"/>
      <c r="M725" s="49" t="s">
        <v>1019</v>
      </c>
      <c r="N725" s="180">
        <v>44434</v>
      </c>
      <c r="O725" s="181" t="s">
        <v>507</v>
      </c>
      <c r="P725" s="182">
        <v>11700</v>
      </c>
      <c r="Q725" s="182">
        <v>34</v>
      </c>
      <c r="R725" s="118">
        <f t="shared" si="22"/>
        <v>397800</v>
      </c>
      <c r="S725" s="115">
        <v>202304</v>
      </c>
      <c r="T725" s="186" t="s">
        <v>1045</v>
      </c>
      <c r="U725" s="186"/>
      <c r="V725" s="165"/>
      <c r="W725" s="165"/>
      <c r="X725" s="116">
        <v>44211</v>
      </c>
      <c r="Y725" s="116">
        <v>46401</v>
      </c>
    </row>
    <row r="726" s="85" customFormat="1" customHeight="1" spans="1:25">
      <c r="A726" s="98" t="s">
        <v>448</v>
      </c>
      <c r="B726" s="98" t="s">
        <v>62</v>
      </c>
      <c r="C726" s="98" t="s">
        <v>238</v>
      </c>
      <c r="D726" s="98" t="s">
        <v>642</v>
      </c>
      <c r="E726" s="161" t="s">
        <v>982</v>
      </c>
      <c r="F726" s="98" t="s">
        <v>1016</v>
      </c>
      <c r="G726" s="172" t="s">
        <v>88</v>
      </c>
      <c r="H726" s="100" t="s">
        <v>1017</v>
      </c>
      <c r="I726" s="46" t="e">
        <f>VLOOKUP(H726,'合同高级查询数据-4月返'!A:A,1,FALSE)</f>
        <v>#N/A</v>
      </c>
      <c r="J726" s="47" t="s">
        <v>90</v>
      </c>
      <c r="K726" s="160" t="s">
        <v>1018</v>
      </c>
      <c r="L726" s="179"/>
      <c r="M726" s="49" t="s">
        <v>1019</v>
      </c>
      <c r="N726" s="180">
        <v>44435</v>
      </c>
      <c r="O726" s="181" t="s">
        <v>507</v>
      </c>
      <c r="P726" s="182">
        <v>11700</v>
      </c>
      <c r="Q726" s="182">
        <v>10</v>
      </c>
      <c r="R726" s="118">
        <f t="shared" si="22"/>
        <v>117000</v>
      </c>
      <c r="S726" s="115">
        <v>202304</v>
      </c>
      <c r="T726" s="186" t="s">
        <v>1046</v>
      </c>
      <c r="U726" s="186"/>
      <c r="V726" s="165"/>
      <c r="W726" s="165"/>
      <c r="X726" s="116">
        <v>44211</v>
      </c>
      <c r="Y726" s="116">
        <v>46401</v>
      </c>
    </row>
    <row r="727" s="85" customFormat="1" customHeight="1" spans="1:25">
      <c r="A727" s="98" t="s">
        <v>448</v>
      </c>
      <c r="B727" s="98" t="s">
        <v>62</v>
      </c>
      <c r="C727" s="98" t="s">
        <v>238</v>
      </c>
      <c r="D727" s="98" t="s">
        <v>642</v>
      </c>
      <c r="E727" s="161" t="s">
        <v>982</v>
      </c>
      <c r="F727" s="98" t="s">
        <v>1016</v>
      </c>
      <c r="G727" s="172" t="s">
        <v>88</v>
      </c>
      <c r="H727" s="100" t="s">
        <v>1017</v>
      </c>
      <c r="I727" s="46" t="e">
        <f>VLOOKUP(H727,'合同高级查询数据-4月返'!A:A,1,FALSE)</f>
        <v>#N/A</v>
      </c>
      <c r="J727" s="47" t="s">
        <v>90</v>
      </c>
      <c r="K727" s="160" t="s">
        <v>1018</v>
      </c>
      <c r="L727" s="179"/>
      <c r="M727" s="49" t="s">
        <v>1019</v>
      </c>
      <c r="N727" s="180">
        <v>44439</v>
      </c>
      <c r="O727" s="181" t="s">
        <v>507</v>
      </c>
      <c r="P727" s="182">
        <v>11700</v>
      </c>
      <c r="Q727" s="182">
        <v>5</v>
      </c>
      <c r="R727" s="118">
        <f t="shared" si="22"/>
        <v>58500</v>
      </c>
      <c r="S727" s="115">
        <v>202304</v>
      </c>
      <c r="T727" s="186" t="s">
        <v>1047</v>
      </c>
      <c r="U727" s="186"/>
      <c r="V727" s="165"/>
      <c r="W727" s="165"/>
      <c r="X727" s="116">
        <v>44211</v>
      </c>
      <c r="Y727" s="116">
        <v>46401</v>
      </c>
    </row>
    <row r="728" s="85" customFormat="1" customHeight="1" spans="1:25">
      <c r="A728" s="98" t="s">
        <v>448</v>
      </c>
      <c r="B728" s="98" t="s">
        <v>62</v>
      </c>
      <c r="C728" s="98" t="s">
        <v>238</v>
      </c>
      <c r="D728" s="98" t="s">
        <v>642</v>
      </c>
      <c r="E728" s="161" t="s">
        <v>982</v>
      </c>
      <c r="F728" s="98" t="s">
        <v>1016</v>
      </c>
      <c r="G728" s="172" t="s">
        <v>88</v>
      </c>
      <c r="H728" s="100" t="s">
        <v>1017</v>
      </c>
      <c r="I728" s="46" t="e">
        <f>VLOOKUP(H728,'合同高级查询数据-4月返'!A:A,1,FALSE)</f>
        <v>#N/A</v>
      </c>
      <c r="J728" s="47" t="s">
        <v>90</v>
      </c>
      <c r="K728" s="160" t="s">
        <v>1018</v>
      </c>
      <c r="L728" s="179"/>
      <c r="M728" s="49" t="s">
        <v>1019</v>
      </c>
      <c r="N728" s="180">
        <v>44254</v>
      </c>
      <c r="O728" s="181" t="s">
        <v>507</v>
      </c>
      <c r="P728" s="182">
        <v>11700</v>
      </c>
      <c r="Q728" s="182">
        <v>1</v>
      </c>
      <c r="R728" s="118">
        <f t="shared" si="22"/>
        <v>11700</v>
      </c>
      <c r="S728" s="115">
        <v>202304</v>
      </c>
      <c r="T728" s="186" t="s">
        <v>1048</v>
      </c>
      <c r="U728" s="186"/>
      <c r="V728" s="165"/>
      <c r="W728" s="165"/>
      <c r="X728" s="116">
        <v>44211</v>
      </c>
      <c r="Y728" s="116">
        <v>46401</v>
      </c>
    </row>
    <row r="729" s="85" customFormat="1" customHeight="1" spans="1:25">
      <c r="A729" s="98" t="s">
        <v>448</v>
      </c>
      <c r="B729" s="98" t="s">
        <v>62</v>
      </c>
      <c r="C729" s="98" t="s">
        <v>238</v>
      </c>
      <c r="D729" s="98" t="s">
        <v>642</v>
      </c>
      <c r="E729" s="161" t="s">
        <v>982</v>
      </c>
      <c r="F729" s="98" t="s">
        <v>1016</v>
      </c>
      <c r="G729" s="172" t="s">
        <v>88</v>
      </c>
      <c r="H729" s="100" t="s">
        <v>1017</v>
      </c>
      <c r="I729" s="46" t="e">
        <f>VLOOKUP(H729,'合同高级查询数据-4月返'!A:A,1,FALSE)</f>
        <v>#N/A</v>
      </c>
      <c r="J729" s="47" t="s">
        <v>90</v>
      </c>
      <c r="K729" s="160" t="s">
        <v>1018</v>
      </c>
      <c r="L729" s="179"/>
      <c r="M729" s="49" t="s">
        <v>1019</v>
      </c>
      <c r="N729" s="180">
        <v>44442</v>
      </c>
      <c r="O729" s="181" t="s">
        <v>507</v>
      </c>
      <c r="P729" s="182">
        <v>11700</v>
      </c>
      <c r="Q729" s="182">
        <v>3</v>
      </c>
      <c r="R729" s="118">
        <f t="shared" si="22"/>
        <v>35100</v>
      </c>
      <c r="S729" s="115">
        <v>202304</v>
      </c>
      <c r="T729" s="186" t="s">
        <v>1049</v>
      </c>
      <c r="U729" s="186"/>
      <c r="V729" s="165"/>
      <c r="W729" s="165"/>
      <c r="X729" s="116">
        <v>44211</v>
      </c>
      <c r="Y729" s="116">
        <v>46401</v>
      </c>
    </row>
    <row r="730" s="85" customFormat="1" customHeight="1" spans="1:25">
      <c r="A730" s="98" t="s">
        <v>448</v>
      </c>
      <c r="B730" s="98" t="s">
        <v>62</v>
      </c>
      <c r="C730" s="98" t="s">
        <v>238</v>
      </c>
      <c r="D730" s="98" t="s">
        <v>642</v>
      </c>
      <c r="E730" s="161" t="s">
        <v>982</v>
      </c>
      <c r="F730" s="98" t="s">
        <v>1016</v>
      </c>
      <c r="G730" s="172" t="s">
        <v>88</v>
      </c>
      <c r="H730" s="100" t="s">
        <v>1017</v>
      </c>
      <c r="I730" s="46" t="e">
        <f>VLOOKUP(H730,'合同高级查询数据-4月返'!A:A,1,FALSE)</f>
        <v>#N/A</v>
      </c>
      <c r="J730" s="47" t="s">
        <v>90</v>
      </c>
      <c r="K730" s="160" t="s">
        <v>1018</v>
      </c>
      <c r="L730" s="179"/>
      <c r="M730" s="49" t="s">
        <v>1019</v>
      </c>
      <c r="N730" s="180">
        <v>44447</v>
      </c>
      <c r="O730" s="181" t="s">
        <v>507</v>
      </c>
      <c r="P730" s="182">
        <v>11700</v>
      </c>
      <c r="Q730" s="182">
        <v>2</v>
      </c>
      <c r="R730" s="118">
        <f t="shared" si="22"/>
        <v>23400</v>
      </c>
      <c r="S730" s="115">
        <v>202304</v>
      </c>
      <c r="T730" s="186" t="s">
        <v>1050</v>
      </c>
      <c r="U730" s="186"/>
      <c r="V730" s="165"/>
      <c r="W730" s="165"/>
      <c r="X730" s="116">
        <v>44211</v>
      </c>
      <c r="Y730" s="116">
        <v>46401</v>
      </c>
    </row>
    <row r="731" s="85" customFormat="1" customHeight="1" spans="1:25">
      <c r="A731" s="98" t="s">
        <v>448</v>
      </c>
      <c r="B731" s="98" t="s">
        <v>62</v>
      </c>
      <c r="C731" s="98" t="s">
        <v>238</v>
      </c>
      <c r="D731" s="98" t="s">
        <v>642</v>
      </c>
      <c r="E731" s="161" t="s">
        <v>982</v>
      </c>
      <c r="F731" s="98" t="s">
        <v>1016</v>
      </c>
      <c r="G731" s="172" t="s">
        <v>88</v>
      </c>
      <c r="H731" s="100" t="s">
        <v>1017</v>
      </c>
      <c r="I731" s="46" t="e">
        <f>VLOOKUP(H731,'合同高级查询数据-4月返'!A:A,1,FALSE)</f>
        <v>#N/A</v>
      </c>
      <c r="J731" s="47" t="s">
        <v>90</v>
      </c>
      <c r="K731" s="160" t="s">
        <v>1018</v>
      </c>
      <c r="L731" s="179"/>
      <c r="M731" s="49" t="s">
        <v>1019</v>
      </c>
      <c r="N731" s="180">
        <v>44453</v>
      </c>
      <c r="O731" s="181" t="s">
        <v>503</v>
      </c>
      <c r="P731" s="182">
        <v>5900</v>
      </c>
      <c r="Q731" s="182">
        <v>8</v>
      </c>
      <c r="R731" s="118">
        <f t="shared" si="22"/>
        <v>47200</v>
      </c>
      <c r="S731" s="115">
        <v>202304</v>
      </c>
      <c r="T731" s="186" t="s">
        <v>1051</v>
      </c>
      <c r="U731" s="186"/>
      <c r="V731" s="165"/>
      <c r="W731" s="165"/>
      <c r="X731" s="116">
        <v>44211</v>
      </c>
      <c r="Y731" s="116">
        <v>46401</v>
      </c>
    </row>
    <row r="732" s="85" customFormat="1" customHeight="1" spans="1:25">
      <c r="A732" s="98" t="s">
        <v>448</v>
      </c>
      <c r="B732" s="98" t="s">
        <v>62</v>
      </c>
      <c r="C732" s="98" t="s">
        <v>238</v>
      </c>
      <c r="D732" s="98" t="s">
        <v>642</v>
      </c>
      <c r="E732" s="161" t="s">
        <v>982</v>
      </c>
      <c r="F732" s="98" t="s">
        <v>1016</v>
      </c>
      <c r="G732" s="172" t="s">
        <v>88</v>
      </c>
      <c r="H732" s="100" t="s">
        <v>1017</v>
      </c>
      <c r="I732" s="46" t="e">
        <f>VLOOKUP(H732,'合同高级查询数据-4月返'!A:A,1,FALSE)</f>
        <v>#N/A</v>
      </c>
      <c r="J732" s="47" t="s">
        <v>90</v>
      </c>
      <c r="K732" s="160" t="s">
        <v>1018</v>
      </c>
      <c r="L732" s="179"/>
      <c r="M732" s="49" t="s">
        <v>1019</v>
      </c>
      <c r="N732" s="180">
        <v>44477</v>
      </c>
      <c r="O732" s="181" t="s">
        <v>507</v>
      </c>
      <c r="P732" s="182">
        <v>11700</v>
      </c>
      <c r="Q732" s="182">
        <v>13</v>
      </c>
      <c r="R732" s="118">
        <f t="shared" si="22"/>
        <v>152100</v>
      </c>
      <c r="S732" s="115">
        <v>202304</v>
      </c>
      <c r="T732" s="186" t="s">
        <v>1052</v>
      </c>
      <c r="U732" s="186"/>
      <c r="V732" s="165"/>
      <c r="W732" s="165"/>
      <c r="X732" s="116">
        <v>44211</v>
      </c>
      <c r="Y732" s="116">
        <v>46401</v>
      </c>
    </row>
    <row r="733" s="85" customFormat="1" customHeight="1" spans="1:25">
      <c r="A733" s="98" t="s">
        <v>448</v>
      </c>
      <c r="B733" s="98" t="s">
        <v>62</v>
      </c>
      <c r="C733" s="98" t="s">
        <v>238</v>
      </c>
      <c r="D733" s="98" t="s">
        <v>642</v>
      </c>
      <c r="E733" s="161" t="s">
        <v>982</v>
      </c>
      <c r="F733" s="98" t="s">
        <v>1016</v>
      </c>
      <c r="G733" s="172" t="s">
        <v>88</v>
      </c>
      <c r="H733" s="100" t="s">
        <v>1017</v>
      </c>
      <c r="I733" s="46" t="e">
        <f>VLOOKUP(H733,'合同高级查询数据-4月返'!A:A,1,FALSE)</f>
        <v>#N/A</v>
      </c>
      <c r="J733" s="47" t="s">
        <v>90</v>
      </c>
      <c r="K733" s="160" t="s">
        <v>1018</v>
      </c>
      <c r="L733" s="179"/>
      <c r="M733" s="49" t="s">
        <v>1019</v>
      </c>
      <c r="N733" s="180">
        <v>44481</v>
      </c>
      <c r="O733" s="181" t="s">
        <v>507</v>
      </c>
      <c r="P733" s="182">
        <v>11700</v>
      </c>
      <c r="Q733" s="182">
        <v>69</v>
      </c>
      <c r="R733" s="118">
        <f t="shared" si="22"/>
        <v>807300</v>
      </c>
      <c r="S733" s="115">
        <v>202304</v>
      </c>
      <c r="T733" s="186" t="s">
        <v>1053</v>
      </c>
      <c r="U733" s="186"/>
      <c r="V733" s="165"/>
      <c r="W733" s="165"/>
      <c r="X733" s="116">
        <v>44211</v>
      </c>
      <c r="Y733" s="116">
        <v>46401</v>
      </c>
    </row>
    <row r="734" s="85" customFormat="1" customHeight="1" spans="1:25">
      <c r="A734" s="98" t="s">
        <v>448</v>
      </c>
      <c r="B734" s="98" t="s">
        <v>62</v>
      </c>
      <c r="C734" s="98" t="s">
        <v>238</v>
      </c>
      <c r="D734" s="98" t="s">
        <v>642</v>
      </c>
      <c r="E734" s="161" t="s">
        <v>982</v>
      </c>
      <c r="F734" s="98" t="s">
        <v>1016</v>
      </c>
      <c r="G734" s="172" t="s">
        <v>88</v>
      </c>
      <c r="H734" s="100" t="s">
        <v>1017</v>
      </c>
      <c r="I734" s="46" t="e">
        <f>VLOOKUP(H734,'合同高级查询数据-4月返'!A:A,1,FALSE)</f>
        <v>#N/A</v>
      </c>
      <c r="J734" s="47" t="s">
        <v>90</v>
      </c>
      <c r="K734" s="160" t="s">
        <v>1018</v>
      </c>
      <c r="L734" s="179"/>
      <c r="M734" s="49" t="s">
        <v>1019</v>
      </c>
      <c r="N734" s="180">
        <v>44498</v>
      </c>
      <c r="O734" s="181" t="s">
        <v>507</v>
      </c>
      <c r="P734" s="182">
        <v>11700</v>
      </c>
      <c r="Q734" s="182">
        <v>4</v>
      </c>
      <c r="R734" s="118">
        <f t="shared" si="22"/>
        <v>46800</v>
      </c>
      <c r="S734" s="115">
        <v>202304</v>
      </c>
      <c r="T734" s="186" t="s">
        <v>1054</v>
      </c>
      <c r="U734" s="186"/>
      <c r="V734" s="165"/>
      <c r="W734" s="165"/>
      <c r="X734" s="116">
        <v>44211</v>
      </c>
      <c r="Y734" s="116">
        <v>46401</v>
      </c>
    </row>
    <row r="735" s="85" customFormat="1" customHeight="1" spans="1:25">
      <c r="A735" s="98" t="s">
        <v>448</v>
      </c>
      <c r="B735" s="98" t="s">
        <v>62</v>
      </c>
      <c r="C735" s="98" t="s">
        <v>238</v>
      </c>
      <c r="D735" s="98" t="s">
        <v>642</v>
      </c>
      <c r="E735" s="161" t="s">
        <v>982</v>
      </c>
      <c r="F735" s="98" t="s">
        <v>1016</v>
      </c>
      <c r="G735" s="172" t="s">
        <v>88</v>
      </c>
      <c r="H735" s="100" t="s">
        <v>1017</v>
      </c>
      <c r="I735" s="46" t="e">
        <f>VLOOKUP(H735,'合同高级查询数据-4月返'!A:A,1,FALSE)</f>
        <v>#N/A</v>
      </c>
      <c r="J735" s="47" t="s">
        <v>90</v>
      </c>
      <c r="K735" s="160" t="s">
        <v>1018</v>
      </c>
      <c r="L735" s="179"/>
      <c r="M735" s="49" t="s">
        <v>1019</v>
      </c>
      <c r="N735" s="180">
        <v>44501</v>
      </c>
      <c r="O735" s="181" t="s">
        <v>507</v>
      </c>
      <c r="P735" s="182">
        <v>11700</v>
      </c>
      <c r="Q735" s="182">
        <v>2</v>
      </c>
      <c r="R735" s="118">
        <f t="shared" si="22"/>
        <v>23400</v>
      </c>
      <c r="S735" s="115">
        <v>202304</v>
      </c>
      <c r="T735" s="186" t="s">
        <v>1055</v>
      </c>
      <c r="U735" s="186"/>
      <c r="V735" s="165"/>
      <c r="W735" s="165"/>
      <c r="X735" s="116">
        <v>44211</v>
      </c>
      <c r="Y735" s="116">
        <v>46401</v>
      </c>
    </row>
    <row r="736" s="85" customFormat="1" customHeight="1" spans="1:25">
      <c r="A736" s="98" t="s">
        <v>448</v>
      </c>
      <c r="B736" s="98" t="s">
        <v>62</v>
      </c>
      <c r="C736" s="98" t="s">
        <v>238</v>
      </c>
      <c r="D736" s="98" t="s">
        <v>642</v>
      </c>
      <c r="E736" s="161" t="s">
        <v>982</v>
      </c>
      <c r="F736" s="98" t="s">
        <v>1016</v>
      </c>
      <c r="G736" s="172" t="s">
        <v>88</v>
      </c>
      <c r="H736" s="100" t="s">
        <v>1017</v>
      </c>
      <c r="I736" s="46" t="e">
        <f>VLOOKUP(H736,'合同高级查询数据-4月返'!A:A,1,FALSE)</f>
        <v>#N/A</v>
      </c>
      <c r="J736" s="47" t="s">
        <v>90</v>
      </c>
      <c r="K736" s="160" t="s">
        <v>1018</v>
      </c>
      <c r="L736" s="179"/>
      <c r="M736" s="49" t="s">
        <v>1019</v>
      </c>
      <c r="N736" s="180">
        <v>44531</v>
      </c>
      <c r="O736" s="181" t="s">
        <v>507</v>
      </c>
      <c r="P736" s="182">
        <v>11700</v>
      </c>
      <c r="Q736" s="182">
        <v>31</v>
      </c>
      <c r="R736" s="118">
        <f t="shared" si="22"/>
        <v>362700</v>
      </c>
      <c r="S736" s="115">
        <v>202304</v>
      </c>
      <c r="T736" s="191" t="s">
        <v>1056</v>
      </c>
      <c r="U736" s="186"/>
      <c r="V736" s="165"/>
      <c r="W736" s="165"/>
      <c r="X736" s="116">
        <v>44211</v>
      </c>
      <c r="Y736" s="116">
        <v>46401</v>
      </c>
    </row>
    <row r="737" s="85" customFormat="1" customHeight="1" spans="1:25">
      <c r="A737" s="98" t="s">
        <v>448</v>
      </c>
      <c r="B737" s="98" t="s">
        <v>62</v>
      </c>
      <c r="C737" s="98" t="s">
        <v>238</v>
      </c>
      <c r="D737" s="98" t="s">
        <v>642</v>
      </c>
      <c r="E737" s="161" t="s">
        <v>982</v>
      </c>
      <c r="F737" s="98" t="s">
        <v>1016</v>
      </c>
      <c r="G737" s="172" t="s">
        <v>88</v>
      </c>
      <c r="H737" s="100" t="s">
        <v>1017</v>
      </c>
      <c r="I737" s="46" t="e">
        <f>VLOOKUP(H737,'合同高级查询数据-4月返'!A:A,1,FALSE)</f>
        <v>#N/A</v>
      </c>
      <c r="J737" s="47" t="s">
        <v>90</v>
      </c>
      <c r="K737" s="160" t="s">
        <v>1018</v>
      </c>
      <c r="L737" s="179"/>
      <c r="M737" s="49" t="s">
        <v>1019</v>
      </c>
      <c r="N737" s="180">
        <v>44536</v>
      </c>
      <c r="O737" s="181" t="s">
        <v>507</v>
      </c>
      <c r="P737" s="182">
        <v>11700</v>
      </c>
      <c r="Q737" s="182">
        <v>3</v>
      </c>
      <c r="R737" s="118">
        <f t="shared" si="22"/>
        <v>35100</v>
      </c>
      <c r="S737" s="115">
        <v>202304</v>
      </c>
      <c r="T737" s="186" t="s">
        <v>1057</v>
      </c>
      <c r="U737" s="186"/>
      <c r="V737" s="165"/>
      <c r="W737" s="165"/>
      <c r="X737" s="116">
        <v>44211</v>
      </c>
      <c r="Y737" s="116">
        <v>46401</v>
      </c>
    </row>
    <row r="738" s="85" customFormat="1" customHeight="1" spans="1:25">
      <c r="A738" s="98" t="s">
        <v>448</v>
      </c>
      <c r="B738" s="98" t="s">
        <v>62</v>
      </c>
      <c r="C738" s="98" t="s">
        <v>238</v>
      </c>
      <c r="D738" s="98" t="s">
        <v>642</v>
      </c>
      <c r="E738" s="161" t="s">
        <v>982</v>
      </c>
      <c r="F738" s="98" t="s">
        <v>1016</v>
      </c>
      <c r="G738" s="172" t="s">
        <v>88</v>
      </c>
      <c r="H738" s="100" t="s">
        <v>1017</v>
      </c>
      <c r="I738" s="46" t="e">
        <f>VLOOKUP(H738,'合同高级查询数据-4月返'!A:A,1,FALSE)</f>
        <v>#N/A</v>
      </c>
      <c r="J738" s="47" t="s">
        <v>90</v>
      </c>
      <c r="K738" s="160" t="s">
        <v>1018</v>
      </c>
      <c r="L738" s="179"/>
      <c r="M738" s="49" t="s">
        <v>1019</v>
      </c>
      <c r="N738" s="180">
        <v>44540</v>
      </c>
      <c r="O738" s="181" t="s">
        <v>507</v>
      </c>
      <c r="P738" s="182">
        <v>11700</v>
      </c>
      <c r="Q738" s="182">
        <v>5</v>
      </c>
      <c r="R738" s="118">
        <f t="shared" si="22"/>
        <v>58500</v>
      </c>
      <c r="S738" s="115">
        <v>202304</v>
      </c>
      <c r="T738" s="186" t="s">
        <v>1058</v>
      </c>
      <c r="U738" s="186"/>
      <c r="V738" s="165"/>
      <c r="W738" s="165"/>
      <c r="X738" s="116">
        <v>44211</v>
      </c>
      <c r="Y738" s="116">
        <v>46401</v>
      </c>
    </row>
    <row r="739" s="85" customFormat="1" customHeight="1" spans="1:25">
      <c r="A739" s="98" t="s">
        <v>448</v>
      </c>
      <c r="B739" s="98" t="s">
        <v>62</v>
      </c>
      <c r="C739" s="98" t="s">
        <v>238</v>
      </c>
      <c r="D739" s="98" t="s">
        <v>642</v>
      </c>
      <c r="E739" s="161" t="s">
        <v>982</v>
      </c>
      <c r="F739" s="98" t="s">
        <v>1016</v>
      </c>
      <c r="G739" s="172" t="s">
        <v>88</v>
      </c>
      <c r="H739" s="100" t="s">
        <v>1017</v>
      </c>
      <c r="I739" s="46" t="e">
        <f>VLOOKUP(H739,'合同高级查询数据-4月返'!A:A,1,FALSE)</f>
        <v>#N/A</v>
      </c>
      <c r="J739" s="47" t="s">
        <v>90</v>
      </c>
      <c r="K739" s="160" t="s">
        <v>1018</v>
      </c>
      <c r="L739" s="179"/>
      <c r="M739" s="49" t="s">
        <v>1019</v>
      </c>
      <c r="N739" s="180">
        <v>44546</v>
      </c>
      <c r="O739" s="181" t="s">
        <v>507</v>
      </c>
      <c r="P739" s="182">
        <v>11700</v>
      </c>
      <c r="Q739" s="182">
        <v>36</v>
      </c>
      <c r="R739" s="118">
        <f t="shared" si="22"/>
        <v>421200</v>
      </c>
      <c r="S739" s="115">
        <v>202304</v>
      </c>
      <c r="T739" s="186" t="s">
        <v>1059</v>
      </c>
      <c r="U739" s="186"/>
      <c r="V739" s="165"/>
      <c r="W739" s="165"/>
      <c r="X739" s="116">
        <v>44211</v>
      </c>
      <c r="Y739" s="116">
        <v>46401</v>
      </c>
    </row>
    <row r="740" s="85" customFormat="1" customHeight="1" spans="1:25">
      <c r="A740" s="98" t="s">
        <v>448</v>
      </c>
      <c r="B740" s="98" t="s">
        <v>62</v>
      </c>
      <c r="C740" s="98" t="s">
        <v>238</v>
      </c>
      <c r="D740" s="98" t="s">
        <v>642</v>
      </c>
      <c r="E740" s="161" t="s">
        <v>982</v>
      </c>
      <c r="F740" s="98" t="s">
        <v>1016</v>
      </c>
      <c r="G740" s="172" t="s">
        <v>88</v>
      </c>
      <c r="H740" s="100" t="s">
        <v>1017</v>
      </c>
      <c r="I740" s="46" t="e">
        <f>VLOOKUP(H740,'合同高级查询数据-4月返'!A:A,1,FALSE)</f>
        <v>#N/A</v>
      </c>
      <c r="J740" s="47" t="s">
        <v>90</v>
      </c>
      <c r="K740" s="160" t="s">
        <v>1018</v>
      </c>
      <c r="L740" s="179"/>
      <c r="M740" s="49" t="s">
        <v>1019</v>
      </c>
      <c r="N740" s="180">
        <v>44553</v>
      </c>
      <c r="O740" s="181" t="s">
        <v>507</v>
      </c>
      <c r="P740" s="182">
        <v>11700</v>
      </c>
      <c r="Q740" s="182">
        <v>4</v>
      </c>
      <c r="R740" s="118">
        <f t="shared" si="22"/>
        <v>46800</v>
      </c>
      <c r="S740" s="115">
        <v>202304</v>
      </c>
      <c r="T740" s="186" t="s">
        <v>1060</v>
      </c>
      <c r="U740" s="186"/>
      <c r="V740" s="165"/>
      <c r="W740" s="165"/>
      <c r="X740" s="116">
        <v>44211</v>
      </c>
      <c r="Y740" s="116">
        <v>46401</v>
      </c>
    </row>
    <row r="741" s="85" customFormat="1" customHeight="1" spans="1:25">
      <c r="A741" s="98" t="s">
        <v>448</v>
      </c>
      <c r="B741" s="98" t="s">
        <v>62</v>
      </c>
      <c r="C741" s="98" t="s">
        <v>238</v>
      </c>
      <c r="D741" s="98" t="s">
        <v>642</v>
      </c>
      <c r="E741" s="161" t="s">
        <v>982</v>
      </c>
      <c r="F741" s="98" t="s">
        <v>1016</v>
      </c>
      <c r="G741" s="172" t="s">
        <v>88</v>
      </c>
      <c r="H741" s="100" t="s">
        <v>1017</v>
      </c>
      <c r="I741" s="46" t="e">
        <f>VLOOKUP(H741,'合同高级查询数据-4月返'!A:A,1,FALSE)</f>
        <v>#N/A</v>
      </c>
      <c r="J741" s="47" t="s">
        <v>90</v>
      </c>
      <c r="K741" s="160" t="s">
        <v>1018</v>
      </c>
      <c r="L741" s="179"/>
      <c r="M741" s="49" t="s">
        <v>1019</v>
      </c>
      <c r="N741" s="180">
        <v>44556</v>
      </c>
      <c r="O741" s="181" t="s">
        <v>507</v>
      </c>
      <c r="P741" s="182">
        <v>11700</v>
      </c>
      <c r="Q741" s="182">
        <v>2</v>
      </c>
      <c r="R741" s="118">
        <f t="shared" si="22"/>
        <v>23400</v>
      </c>
      <c r="S741" s="115">
        <v>202304</v>
      </c>
      <c r="T741" s="186" t="s">
        <v>1061</v>
      </c>
      <c r="U741" s="186"/>
      <c r="V741" s="165"/>
      <c r="W741" s="165"/>
      <c r="X741" s="116">
        <v>44211</v>
      </c>
      <c r="Y741" s="116">
        <v>46401</v>
      </c>
    </row>
    <row r="742" s="85" customFormat="1" customHeight="1" spans="1:25">
      <c r="A742" s="98" t="s">
        <v>448</v>
      </c>
      <c r="B742" s="98" t="s">
        <v>62</v>
      </c>
      <c r="C742" s="98" t="s">
        <v>238</v>
      </c>
      <c r="D742" s="98" t="s">
        <v>642</v>
      </c>
      <c r="E742" s="161" t="s">
        <v>982</v>
      </c>
      <c r="F742" s="98" t="s">
        <v>1016</v>
      </c>
      <c r="G742" s="172" t="s">
        <v>88</v>
      </c>
      <c r="H742" s="100" t="s">
        <v>1017</v>
      </c>
      <c r="I742" s="46" t="e">
        <f>VLOOKUP(H742,'合同高级查询数据-4月返'!A:A,1,FALSE)</f>
        <v>#N/A</v>
      </c>
      <c r="J742" s="47" t="s">
        <v>90</v>
      </c>
      <c r="K742" s="160" t="s">
        <v>1018</v>
      </c>
      <c r="L742" s="179"/>
      <c r="M742" s="49" t="s">
        <v>1019</v>
      </c>
      <c r="N742" s="180">
        <v>44693</v>
      </c>
      <c r="O742" s="181" t="s">
        <v>606</v>
      </c>
      <c r="P742" s="182">
        <v>32400</v>
      </c>
      <c r="Q742" s="182">
        <v>2</v>
      </c>
      <c r="R742" s="118">
        <f t="shared" si="22"/>
        <v>64800</v>
      </c>
      <c r="S742" s="115">
        <v>202304</v>
      </c>
      <c r="T742" s="186" t="s">
        <v>1062</v>
      </c>
      <c r="U742" s="186"/>
      <c r="V742" s="165"/>
      <c r="W742" s="165"/>
      <c r="X742" s="116">
        <v>44211</v>
      </c>
      <c r="Y742" s="116">
        <v>46401</v>
      </c>
    </row>
    <row r="743" s="85" customFormat="1" customHeight="1" spans="1:25">
      <c r="A743" s="98" t="s">
        <v>448</v>
      </c>
      <c r="B743" s="98" t="s">
        <v>62</v>
      </c>
      <c r="C743" s="98" t="s">
        <v>238</v>
      </c>
      <c r="D743" s="98" t="s">
        <v>642</v>
      </c>
      <c r="E743" s="161" t="s">
        <v>982</v>
      </c>
      <c r="F743" s="98" t="s">
        <v>1016</v>
      </c>
      <c r="G743" s="172" t="s">
        <v>88</v>
      </c>
      <c r="H743" s="100" t="s">
        <v>1017</v>
      </c>
      <c r="I743" s="46" t="e">
        <f>VLOOKUP(H743,'合同高级查询数据-4月返'!A:A,1,FALSE)</f>
        <v>#N/A</v>
      </c>
      <c r="J743" s="47" t="s">
        <v>90</v>
      </c>
      <c r="K743" s="160" t="s">
        <v>1018</v>
      </c>
      <c r="L743" s="179"/>
      <c r="M743" s="49" t="s">
        <v>1019</v>
      </c>
      <c r="N743" s="180">
        <v>44844</v>
      </c>
      <c r="O743" s="181" t="s">
        <v>507</v>
      </c>
      <c r="P743" s="182">
        <v>11700</v>
      </c>
      <c r="Q743" s="182">
        <v>3</v>
      </c>
      <c r="R743" s="118">
        <f t="shared" si="22"/>
        <v>35100</v>
      </c>
      <c r="S743" s="115">
        <v>202304</v>
      </c>
      <c r="T743" s="186" t="s">
        <v>1063</v>
      </c>
      <c r="U743" s="186"/>
      <c r="V743" s="165"/>
      <c r="W743" s="165"/>
      <c r="X743" s="116">
        <v>44211</v>
      </c>
      <c r="Y743" s="116">
        <v>46401</v>
      </c>
    </row>
    <row r="744" s="85" customFormat="1" customHeight="1" spans="1:25">
      <c r="A744" s="98" t="s">
        <v>448</v>
      </c>
      <c r="B744" s="98" t="s">
        <v>62</v>
      </c>
      <c r="C744" s="98" t="s">
        <v>238</v>
      </c>
      <c r="D744" s="98" t="s">
        <v>642</v>
      </c>
      <c r="E744" s="161" t="s">
        <v>982</v>
      </c>
      <c r="F744" s="98" t="s">
        <v>1016</v>
      </c>
      <c r="G744" s="172" t="s">
        <v>88</v>
      </c>
      <c r="H744" s="100" t="s">
        <v>1017</v>
      </c>
      <c r="I744" s="46" t="e">
        <f>VLOOKUP(H744,'合同高级查询数据-4月返'!A:A,1,FALSE)</f>
        <v>#N/A</v>
      </c>
      <c r="J744" s="47" t="s">
        <v>90</v>
      </c>
      <c r="K744" s="160" t="s">
        <v>1018</v>
      </c>
      <c r="L744" s="179"/>
      <c r="M744" s="49" t="s">
        <v>1019</v>
      </c>
      <c r="N744" s="180">
        <v>44844</v>
      </c>
      <c r="O744" s="181" t="s">
        <v>507</v>
      </c>
      <c r="P744" s="182">
        <v>11700</v>
      </c>
      <c r="Q744" s="182">
        <v>-1</v>
      </c>
      <c r="R744" s="118">
        <f t="shared" si="22"/>
        <v>-11700</v>
      </c>
      <c r="S744" s="115">
        <v>202304</v>
      </c>
      <c r="T744" s="186" t="s">
        <v>1064</v>
      </c>
      <c r="U744" s="186"/>
      <c r="V744" s="165"/>
      <c r="W744" s="165"/>
      <c r="X744" s="116">
        <v>44211</v>
      </c>
      <c r="Y744" s="116">
        <v>46401</v>
      </c>
    </row>
    <row r="745" s="85" customFormat="1" customHeight="1" spans="1:25">
      <c r="A745" s="98" t="s">
        <v>448</v>
      </c>
      <c r="B745" s="98" t="s">
        <v>62</v>
      </c>
      <c r="C745" s="98" t="s">
        <v>238</v>
      </c>
      <c r="D745" s="98" t="s">
        <v>642</v>
      </c>
      <c r="E745" s="161" t="s">
        <v>982</v>
      </c>
      <c r="F745" s="98" t="s">
        <v>1016</v>
      </c>
      <c r="G745" s="172" t="s">
        <v>88</v>
      </c>
      <c r="H745" s="100" t="s">
        <v>1017</v>
      </c>
      <c r="I745" s="46" t="e">
        <f>VLOOKUP(H745,'合同高级查询数据-4月返'!A:A,1,FALSE)</f>
        <v>#N/A</v>
      </c>
      <c r="J745" s="47" t="s">
        <v>90</v>
      </c>
      <c r="K745" s="160" t="s">
        <v>1018</v>
      </c>
      <c r="L745" s="179"/>
      <c r="M745" s="49" t="s">
        <v>1019</v>
      </c>
      <c r="N745" s="180">
        <v>44874</v>
      </c>
      <c r="O745" s="181" t="s">
        <v>507</v>
      </c>
      <c r="P745" s="182">
        <v>11700</v>
      </c>
      <c r="Q745" s="182">
        <v>4</v>
      </c>
      <c r="R745" s="118">
        <f t="shared" si="22"/>
        <v>46800</v>
      </c>
      <c r="S745" s="115">
        <v>202304</v>
      </c>
      <c r="T745" s="186" t="s">
        <v>1065</v>
      </c>
      <c r="U745" s="186"/>
      <c r="V745" s="165"/>
      <c r="W745" s="165"/>
      <c r="X745" s="116">
        <v>44211</v>
      </c>
      <c r="Y745" s="116">
        <v>46401</v>
      </c>
    </row>
    <row r="746" s="85" customFormat="1" customHeight="1" spans="1:25">
      <c r="A746" s="98" t="s">
        <v>448</v>
      </c>
      <c r="B746" s="98" t="s">
        <v>62</v>
      </c>
      <c r="C746" s="98" t="s">
        <v>238</v>
      </c>
      <c r="D746" s="98" t="s">
        <v>642</v>
      </c>
      <c r="E746" s="161" t="s">
        <v>982</v>
      </c>
      <c r="F746" s="98" t="s">
        <v>1016</v>
      </c>
      <c r="G746" s="172" t="s">
        <v>88</v>
      </c>
      <c r="H746" s="100" t="s">
        <v>1017</v>
      </c>
      <c r="I746" s="46" t="e">
        <f>VLOOKUP(H746,'合同高级查询数据-4月返'!A:A,1,FALSE)</f>
        <v>#N/A</v>
      </c>
      <c r="J746" s="47" t="s">
        <v>90</v>
      </c>
      <c r="K746" s="160" t="s">
        <v>1018</v>
      </c>
      <c r="L746" s="179"/>
      <c r="M746" s="49" t="s">
        <v>1019</v>
      </c>
      <c r="N746" s="180">
        <v>44861</v>
      </c>
      <c r="O746" s="181" t="s">
        <v>507</v>
      </c>
      <c r="P746" s="182">
        <v>11700</v>
      </c>
      <c r="Q746" s="182">
        <v>-10</v>
      </c>
      <c r="R746" s="118">
        <f t="shared" si="22"/>
        <v>-117000</v>
      </c>
      <c r="S746" s="115">
        <v>202304</v>
      </c>
      <c r="T746" s="186" t="s">
        <v>1066</v>
      </c>
      <c r="U746" s="186"/>
      <c r="V746" s="165"/>
      <c r="W746" s="165"/>
      <c r="X746" s="116">
        <v>44211</v>
      </c>
      <c r="Y746" s="116">
        <v>46401</v>
      </c>
    </row>
    <row r="747" s="85" customFormat="1" customHeight="1" spans="1:25">
      <c r="A747" s="98" t="s">
        <v>448</v>
      </c>
      <c r="B747" s="98" t="s">
        <v>62</v>
      </c>
      <c r="C747" s="98" t="s">
        <v>238</v>
      </c>
      <c r="D747" s="98" t="s">
        <v>642</v>
      </c>
      <c r="E747" s="161" t="s">
        <v>982</v>
      </c>
      <c r="F747" s="98" t="s">
        <v>1016</v>
      </c>
      <c r="G747" s="172" t="s">
        <v>88</v>
      </c>
      <c r="H747" s="100" t="s">
        <v>1017</v>
      </c>
      <c r="I747" s="46" t="e">
        <f>VLOOKUP(H747,'合同高级查询数据-4月返'!A:A,1,FALSE)</f>
        <v>#N/A</v>
      </c>
      <c r="J747" s="47" t="s">
        <v>90</v>
      </c>
      <c r="K747" s="160" t="s">
        <v>1018</v>
      </c>
      <c r="L747" s="179"/>
      <c r="M747" s="49" t="s">
        <v>1019</v>
      </c>
      <c r="N747" s="180">
        <v>44869</v>
      </c>
      <c r="O747" s="181" t="s">
        <v>507</v>
      </c>
      <c r="P747" s="182">
        <v>11700</v>
      </c>
      <c r="Q747" s="182">
        <v>-1</v>
      </c>
      <c r="R747" s="118">
        <f t="shared" si="22"/>
        <v>-11700</v>
      </c>
      <c r="S747" s="115">
        <v>202304</v>
      </c>
      <c r="T747" s="186" t="s">
        <v>1067</v>
      </c>
      <c r="U747" s="186"/>
      <c r="V747" s="165"/>
      <c r="W747" s="165"/>
      <c r="X747" s="116">
        <v>44211</v>
      </c>
      <c r="Y747" s="116">
        <v>46401</v>
      </c>
    </row>
    <row r="748" s="85" customFormat="1" customHeight="1" spans="1:25">
      <c r="A748" s="98" t="s">
        <v>448</v>
      </c>
      <c r="B748" s="98" t="s">
        <v>62</v>
      </c>
      <c r="C748" s="98" t="s">
        <v>238</v>
      </c>
      <c r="D748" s="98" t="s">
        <v>642</v>
      </c>
      <c r="E748" s="161" t="s">
        <v>982</v>
      </c>
      <c r="F748" s="98" t="s">
        <v>1016</v>
      </c>
      <c r="G748" s="172" t="s">
        <v>88</v>
      </c>
      <c r="H748" s="100" t="s">
        <v>1017</v>
      </c>
      <c r="I748" s="46" t="e">
        <f>VLOOKUP(H748,'合同高级查询数据-4月返'!A:A,1,FALSE)</f>
        <v>#N/A</v>
      </c>
      <c r="J748" s="47" t="s">
        <v>90</v>
      </c>
      <c r="K748" s="160" t="s">
        <v>1018</v>
      </c>
      <c r="L748" s="210"/>
      <c r="M748" s="49" t="s">
        <v>1019</v>
      </c>
      <c r="N748" s="180">
        <v>44937</v>
      </c>
      <c r="O748" s="181" t="s">
        <v>507</v>
      </c>
      <c r="P748" s="182">
        <v>11700</v>
      </c>
      <c r="Q748" s="182">
        <v>3</v>
      </c>
      <c r="R748" s="118">
        <f t="shared" si="22"/>
        <v>35100</v>
      </c>
      <c r="S748" s="115">
        <v>202304</v>
      </c>
      <c r="T748" s="186" t="s">
        <v>1068</v>
      </c>
      <c r="U748" s="186"/>
      <c r="V748" s="165"/>
      <c r="W748" s="165"/>
      <c r="X748" s="116">
        <v>44211</v>
      </c>
      <c r="Y748" s="116">
        <v>46401</v>
      </c>
    </row>
    <row r="749" s="85" customFormat="1" customHeight="1" spans="1:25">
      <c r="A749" s="98" t="s">
        <v>448</v>
      </c>
      <c r="B749" s="98" t="s">
        <v>62</v>
      </c>
      <c r="C749" s="98" t="s">
        <v>238</v>
      </c>
      <c r="D749" s="98" t="s">
        <v>642</v>
      </c>
      <c r="E749" s="161" t="s">
        <v>982</v>
      </c>
      <c r="F749" s="98" t="s">
        <v>983</v>
      </c>
      <c r="G749" s="172" t="s">
        <v>88</v>
      </c>
      <c r="H749" s="100" t="s">
        <v>1069</v>
      </c>
      <c r="I749" s="46" t="e">
        <f>VLOOKUP(H749,'合同高级查询数据-4月返'!A:A,1,FALSE)</f>
        <v>#N/A</v>
      </c>
      <c r="J749" s="47" t="s">
        <v>90</v>
      </c>
      <c r="K749" s="160" t="s">
        <v>1070</v>
      </c>
      <c r="L749" s="179"/>
      <c r="M749" s="49" t="s">
        <v>986</v>
      </c>
      <c r="N749" s="180">
        <v>44331</v>
      </c>
      <c r="O749" s="181" t="s">
        <v>503</v>
      </c>
      <c r="P749" s="182">
        <v>5900</v>
      </c>
      <c r="Q749" s="182">
        <v>6</v>
      </c>
      <c r="R749" s="118">
        <f t="shared" si="22"/>
        <v>35400</v>
      </c>
      <c r="S749" s="115">
        <v>202304</v>
      </c>
      <c r="T749" s="186" t="s">
        <v>1071</v>
      </c>
      <c r="U749" s="186"/>
      <c r="V749" s="165"/>
      <c r="W749" s="165"/>
      <c r="X749" s="116">
        <v>44301</v>
      </c>
      <c r="Y749" s="116">
        <v>46491</v>
      </c>
    </row>
    <row r="750" s="85" customFormat="1" customHeight="1" spans="1:25">
      <c r="A750" s="98" t="s">
        <v>448</v>
      </c>
      <c r="B750" s="98" t="s">
        <v>62</v>
      </c>
      <c r="C750" s="98" t="s">
        <v>238</v>
      </c>
      <c r="D750" s="98" t="s">
        <v>642</v>
      </c>
      <c r="E750" s="161" t="s">
        <v>982</v>
      </c>
      <c r="F750" s="98" t="s">
        <v>983</v>
      </c>
      <c r="G750" s="172" t="s">
        <v>88</v>
      </c>
      <c r="H750" s="100" t="s">
        <v>1069</v>
      </c>
      <c r="I750" s="46" t="e">
        <f>VLOOKUP(H750,'合同高级查询数据-4月返'!A:A,1,FALSE)</f>
        <v>#N/A</v>
      </c>
      <c r="J750" s="47" t="s">
        <v>90</v>
      </c>
      <c r="K750" s="160" t="s">
        <v>1070</v>
      </c>
      <c r="L750" s="179"/>
      <c r="M750" s="49" t="s">
        <v>986</v>
      </c>
      <c r="N750" s="180">
        <v>44331</v>
      </c>
      <c r="O750" s="181" t="s">
        <v>507</v>
      </c>
      <c r="P750" s="182">
        <v>8595</v>
      </c>
      <c r="Q750" s="182">
        <v>367</v>
      </c>
      <c r="R750" s="118">
        <f t="shared" si="22"/>
        <v>3154365</v>
      </c>
      <c r="S750" s="115">
        <v>202304</v>
      </c>
      <c r="T750" s="186" t="s">
        <v>1072</v>
      </c>
      <c r="U750" s="186"/>
      <c r="V750" s="165"/>
      <c r="W750" s="165"/>
      <c r="X750" s="116">
        <v>44301</v>
      </c>
      <c r="Y750" s="116">
        <v>46491</v>
      </c>
    </row>
    <row r="751" s="85" customFormat="1" customHeight="1" spans="1:25">
      <c r="A751" s="98" t="s">
        <v>448</v>
      </c>
      <c r="B751" s="98" t="s">
        <v>62</v>
      </c>
      <c r="C751" s="98" t="s">
        <v>238</v>
      </c>
      <c r="D751" s="98" t="s">
        <v>642</v>
      </c>
      <c r="E751" s="161" t="s">
        <v>982</v>
      </c>
      <c r="F751" s="98" t="s">
        <v>983</v>
      </c>
      <c r="G751" s="172" t="s">
        <v>88</v>
      </c>
      <c r="H751" s="100" t="s">
        <v>1069</v>
      </c>
      <c r="I751" s="46" t="e">
        <f>VLOOKUP(H751,'合同高级查询数据-4月返'!A:A,1,FALSE)</f>
        <v>#N/A</v>
      </c>
      <c r="J751" s="47" t="s">
        <v>90</v>
      </c>
      <c r="K751" s="160" t="s">
        <v>1070</v>
      </c>
      <c r="L751" s="179"/>
      <c r="M751" s="49" t="s">
        <v>986</v>
      </c>
      <c r="N751" s="180">
        <v>44331</v>
      </c>
      <c r="O751" s="181" t="s">
        <v>507</v>
      </c>
      <c r="P751" s="182">
        <v>8595</v>
      </c>
      <c r="Q751" s="182">
        <v>170</v>
      </c>
      <c r="R751" s="118">
        <f t="shared" si="22"/>
        <v>1461150</v>
      </c>
      <c r="S751" s="115">
        <v>202304</v>
      </c>
      <c r="T751" s="186" t="s">
        <v>1073</v>
      </c>
      <c r="U751" s="186"/>
      <c r="V751" s="165"/>
      <c r="W751" s="165"/>
      <c r="X751" s="116">
        <v>44301</v>
      </c>
      <c r="Y751" s="116">
        <v>46491</v>
      </c>
    </row>
    <row r="752" s="85" customFormat="1" customHeight="1" spans="1:25">
      <c r="A752" s="98" t="s">
        <v>448</v>
      </c>
      <c r="B752" s="98" t="s">
        <v>62</v>
      </c>
      <c r="C752" s="98" t="s">
        <v>238</v>
      </c>
      <c r="D752" s="98" t="s">
        <v>642</v>
      </c>
      <c r="E752" s="161" t="s">
        <v>982</v>
      </c>
      <c r="F752" s="98" t="s">
        <v>983</v>
      </c>
      <c r="G752" s="172" t="s">
        <v>88</v>
      </c>
      <c r="H752" s="100" t="s">
        <v>1069</v>
      </c>
      <c r="I752" s="46" t="e">
        <f>VLOOKUP(H752,'合同高级查询数据-4月返'!A:A,1,FALSE)</f>
        <v>#N/A</v>
      </c>
      <c r="J752" s="47" t="s">
        <v>90</v>
      </c>
      <c r="K752" s="160" t="s">
        <v>1070</v>
      </c>
      <c r="L752" s="179"/>
      <c r="M752" s="49" t="s">
        <v>986</v>
      </c>
      <c r="N752" s="180">
        <v>44335</v>
      </c>
      <c r="O752" s="181" t="s">
        <v>507</v>
      </c>
      <c r="P752" s="182">
        <v>8595</v>
      </c>
      <c r="Q752" s="182">
        <v>4</v>
      </c>
      <c r="R752" s="118">
        <f t="shared" si="22"/>
        <v>34380</v>
      </c>
      <c r="S752" s="115">
        <v>202304</v>
      </c>
      <c r="T752" s="186" t="s">
        <v>1074</v>
      </c>
      <c r="U752" s="186"/>
      <c r="V752" s="165"/>
      <c r="W752" s="165"/>
      <c r="X752" s="116">
        <v>44301</v>
      </c>
      <c r="Y752" s="116">
        <v>46491</v>
      </c>
    </row>
    <row r="753" s="85" customFormat="1" customHeight="1" spans="1:25">
      <c r="A753" s="98" t="s">
        <v>448</v>
      </c>
      <c r="B753" s="98" t="s">
        <v>62</v>
      </c>
      <c r="C753" s="98" t="s">
        <v>238</v>
      </c>
      <c r="D753" s="98" t="s">
        <v>642</v>
      </c>
      <c r="E753" s="161" t="s">
        <v>982</v>
      </c>
      <c r="F753" s="98" t="s">
        <v>983</v>
      </c>
      <c r="G753" s="172" t="s">
        <v>88</v>
      </c>
      <c r="H753" s="100" t="s">
        <v>1069</v>
      </c>
      <c r="I753" s="46" t="e">
        <f>VLOOKUP(H753,'合同高级查询数据-4月返'!A:A,1,FALSE)</f>
        <v>#N/A</v>
      </c>
      <c r="J753" s="47" t="s">
        <v>90</v>
      </c>
      <c r="K753" s="160" t="s">
        <v>1070</v>
      </c>
      <c r="L753" s="179"/>
      <c r="M753" s="49" t="s">
        <v>986</v>
      </c>
      <c r="N753" s="180">
        <v>44336</v>
      </c>
      <c r="O753" s="181" t="s">
        <v>507</v>
      </c>
      <c r="P753" s="182">
        <v>8595</v>
      </c>
      <c r="Q753" s="182">
        <v>6</v>
      </c>
      <c r="R753" s="118">
        <f t="shared" si="22"/>
        <v>51570</v>
      </c>
      <c r="S753" s="115">
        <v>202304</v>
      </c>
      <c r="T753" s="186" t="s">
        <v>1075</v>
      </c>
      <c r="U753" s="186"/>
      <c r="V753" s="165"/>
      <c r="W753" s="165"/>
      <c r="X753" s="116">
        <v>44301</v>
      </c>
      <c r="Y753" s="116">
        <v>46491</v>
      </c>
    </row>
    <row r="754" s="85" customFormat="1" customHeight="1" spans="1:25">
      <c r="A754" s="98" t="s">
        <v>448</v>
      </c>
      <c r="B754" s="98" t="s">
        <v>62</v>
      </c>
      <c r="C754" s="98" t="s">
        <v>238</v>
      </c>
      <c r="D754" s="98" t="s">
        <v>642</v>
      </c>
      <c r="E754" s="161" t="s">
        <v>982</v>
      </c>
      <c r="F754" s="98" t="s">
        <v>983</v>
      </c>
      <c r="G754" s="172" t="s">
        <v>88</v>
      </c>
      <c r="H754" s="100" t="s">
        <v>1069</v>
      </c>
      <c r="I754" s="46" t="e">
        <f>VLOOKUP(H754,'合同高级查询数据-4月返'!A:A,1,FALSE)</f>
        <v>#N/A</v>
      </c>
      <c r="J754" s="47" t="s">
        <v>90</v>
      </c>
      <c r="K754" s="160" t="s">
        <v>1070</v>
      </c>
      <c r="L754" s="179"/>
      <c r="M754" s="49" t="s">
        <v>986</v>
      </c>
      <c r="N754" s="180">
        <v>44340</v>
      </c>
      <c r="O754" s="181" t="s">
        <v>507</v>
      </c>
      <c r="P754" s="182">
        <v>8595</v>
      </c>
      <c r="Q754" s="182">
        <v>2</v>
      </c>
      <c r="R754" s="118">
        <f t="shared" si="22"/>
        <v>17190</v>
      </c>
      <c r="S754" s="115">
        <v>202304</v>
      </c>
      <c r="T754" s="186" t="s">
        <v>1076</v>
      </c>
      <c r="U754" s="186"/>
      <c r="V754" s="165"/>
      <c r="W754" s="165"/>
      <c r="X754" s="116">
        <v>44301</v>
      </c>
      <c r="Y754" s="116">
        <v>46491</v>
      </c>
    </row>
    <row r="755" s="85" customFormat="1" customHeight="1" spans="1:25">
      <c r="A755" s="98" t="s">
        <v>448</v>
      </c>
      <c r="B755" s="98" t="s">
        <v>62</v>
      </c>
      <c r="C755" s="98" t="s">
        <v>238</v>
      </c>
      <c r="D755" s="98" t="s">
        <v>642</v>
      </c>
      <c r="E755" s="161" t="s">
        <v>982</v>
      </c>
      <c r="F755" s="98" t="s">
        <v>983</v>
      </c>
      <c r="G755" s="172" t="s">
        <v>88</v>
      </c>
      <c r="H755" s="100" t="s">
        <v>1069</v>
      </c>
      <c r="I755" s="46" t="e">
        <f>VLOOKUP(H755,'合同高级查询数据-4月返'!A:A,1,FALSE)</f>
        <v>#N/A</v>
      </c>
      <c r="J755" s="47" t="s">
        <v>90</v>
      </c>
      <c r="K755" s="160" t="s">
        <v>1070</v>
      </c>
      <c r="L755" s="179"/>
      <c r="M755" s="49" t="s">
        <v>986</v>
      </c>
      <c r="N755" s="180">
        <v>44341</v>
      </c>
      <c r="O755" s="181" t="s">
        <v>507</v>
      </c>
      <c r="P755" s="182">
        <v>8595</v>
      </c>
      <c r="Q755" s="182">
        <v>6</v>
      </c>
      <c r="R755" s="118">
        <f t="shared" si="22"/>
        <v>51570</v>
      </c>
      <c r="S755" s="115">
        <v>202304</v>
      </c>
      <c r="T755" s="186" t="s">
        <v>1077</v>
      </c>
      <c r="U755" s="186"/>
      <c r="V755" s="165"/>
      <c r="W755" s="165"/>
      <c r="X755" s="116">
        <v>44301</v>
      </c>
      <c r="Y755" s="116">
        <v>46491</v>
      </c>
    </row>
    <row r="756" s="85" customFormat="1" customHeight="1" spans="1:25">
      <c r="A756" s="98" t="s">
        <v>448</v>
      </c>
      <c r="B756" s="98" t="s">
        <v>62</v>
      </c>
      <c r="C756" s="98" t="s">
        <v>238</v>
      </c>
      <c r="D756" s="98" t="s">
        <v>642</v>
      </c>
      <c r="E756" s="161" t="s">
        <v>982</v>
      </c>
      <c r="F756" s="98" t="s">
        <v>983</v>
      </c>
      <c r="G756" s="172" t="s">
        <v>88</v>
      </c>
      <c r="H756" s="100" t="s">
        <v>1069</v>
      </c>
      <c r="I756" s="46" t="e">
        <f>VLOOKUP(H756,'合同高级查询数据-4月返'!A:A,1,FALSE)</f>
        <v>#N/A</v>
      </c>
      <c r="J756" s="47" t="s">
        <v>90</v>
      </c>
      <c r="K756" s="160" t="s">
        <v>1070</v>
      </c>
      <c r="L756" s="179"/>
      <c r="M756" s="49" t="s">
        <v>986</v>
      </c>
      <c r="N756" s="180">
        <v>44343</v>
      </c>
      <c r="O756" s="181" t="s">
        <v>507</v>
      </c>
      <c r="P756" s="182">
        <v>8595</v>
      </c>
      <c r="Q756" s="182">
        <v>16</v>
      </c>
      <c r="R756" s="118">
        <f t="shared" si="22"/>
        <v>137520</v>
      </c>
      <c r="S756" s="115">
        <v>202304</v>
      </c>
      <c r="T756" s="186" t="s">
        <v>1078</v>
      </c>
      <c r="U756" s="186"/>
      <c r="V756" s="165"/>
      <c r="W756" s="165"/>
      <c r="X756" s="116">
        <v>44301</v>
      </c>
      <c r="Y756" s="116">
        <v>46491</v>
      </c>
    </row>
    <row r="757" s="85" customFormat="1" customHeight="1" spans="1:25">
      <c r="A757" s="98" t="s">
        <v>448</v>
      </c>
      <c r="B757" s="98" t="s">
        <v>62</v>
      </c>
      <c r="C757" s="98" t="s">
        <v>238</v>
      </c>
      <c r="D757" s="98" t="s">
        <v>642</v>
      </c>
      <c r="E757" s="161" t="s">
        <v>982</v>
      </c>
      <c r="F757" s="98" t="s">
        <v>983</v>
      </c>
      <c r="G757" s="172" t="s">
        <v>88</v>
      </c>
      <c r="H757" s="100" t="s">
        <v>1069</v>
      </c>
      <c r="I757" s="46" t="e">
        <f>VLOOKUP(H757,'合同高级查询数据-4月返'!A:A,1,FALSE)</f>
        <v>#N/A</v>
      </c>
      <c r="J757" s="47" t="s">
        <v>90</v>
      </c>
      <c r="K757" s="160" t="s">
        <v>1070</v>
      </c>
      <c r="L757" s="179"/>
      <c r="M757" s="49" t="s">
        <v>986</v>
      </c>
      <c r="N757" s="180">
        <v>44344</v>
      </c>
      <c r="O757" s="181" t="s">
        <v>507</v>
      </c>
      <c r="P757" s="182">
        <v>8595</v>
      </c>
      <c r="Q757" s="182">
        <v>9</v>
      </c>
      <c r="R757" s="118">
        <f t="shared" si="22"/>
        <v>77355</v>
      </c>
      <c r="S757" s="115">
        <v>202304</v>
      </c>
      <c r="T757" s="186" t="s">
        <v>1079</v>
      </c>
      <c r="U757" s="186"/>
      <c r="V757" s="165"/>
      <c r="W757" s="165"/>
      <c r="X757" s="116">
        <v>44301</v>
      </c>
      <c r="Y757" s="116">
        <v>46491</v>
      </c>
    </row>
    <row r="758" s="85" customFormat="1" customHeight="1" spans="1:25">
      <c r="A758" s="98" t="s">
        <v>448</v>
      </c>
      <c r="B758" s="98" t="s">
        <v>62</v>
      </c>
      <c r="C758" s="98" t="s">
        <v>238</v>
      </c>
      <c r="D758" s="98" t="s">
        <v>642</v>
      </c>
      <c r="E758" s="161" t="s">
        <v>982</v>
      </c>
      <c r="F758" s="98" t="s">
        <v>983</v>
      </c>
      <c r="G758" s="172" t="s">
        <v>88</v>
      </c>
      <c r="H758" s="100" t="s">
        <v>1069</v>
      </c>
      <c r="I758" s="46" t="e">
        <f>VLOOKUP(H758,'合同高级查询数据-4月返'!A:A,1,FALSE)</f>
        <v>#N/A</v>
      </c>
      <c r="J758" s="47" t="s">
        <v>90</v>
      </c>
      <c r="K758" s="160" t="s">
        <v>1070</v>
      </c>
      <c r="L758" s="179"/>
      <c r="M758" s="49" t="s">
        <v>986</v>
      </c>
      <c r="N758" s="180">
        <v>44347</v>
      </c>
      <c r="O758" s="181" t="s">
        <v>507</v>
      </c>
      <c r="P758" s="182">
        <v>8595</v>
      </c>
      <c r="Q758" s="182">
        <v>2</v>
      </c>
      <c r="R758" s="118">
        <f t="shared" si="22"/>
        <v>17190</v>
      </c>
      <c r="S758" s="115">
        <v>202304</v>
      </c>
      <c r="T758" s="186" t="s">
        <v>1080</v>
      </c>
      <c r="U758" s="186"/>
      <c r="V758" s="165"/>
      <c r="W758" s="165"/>
      <c r="X758" s="116">
        <v>44301</v>
      </c>
      <c r="Y758" s="116">
        <v>46491</v>
      </c>
    </row>
    <row r="759" s="85" customFormat="1" customHeight="1" spans="1:25">
      <c r="A759" s="98" t="s">
        <v>448</v>
      </c>
      <c r="B759" s="98" t="s">
        <v>62</v>
      </c>
      <c r="C759" s="98" t="s">
        <v>238</v>
      </c>
      <c r="D759" s="98" t="s">
        <v>642</v>
      </c>
      <c r="E759" s="161" t="s">
        <v>982</v>
      </c>
      <c r="F759" s="98" t="s">
        <v>983</v>
      </c>
      <c r="G759" s="172" t="s">
        <v>88</v>
      </c>
      <c r="H759" s="100" t="s">
        <v>1069</v>
      </c>
      <c r="I759" s="46" t="e">
        <f>VLOOKUP(H759,'合同高级查询数据-4月返'!A:A,1,FALSE)</f>
        <v>#N/A</v>
      </c>
      <c r="J759" s="47" t="s">
        <v>90</v>
      </c>
      <c r="K759" s="160" t="s">
        <v>1070</v>
      </c>
      <c r="L759" s="179"/>
      <c r="M759" s="49" t="s">
        <v>986</v>
      </c>
      <c r="N759" s="180">
        <v>44344</v>
      </c>
      <c r="O759" s="181" t="s">
        <v>507</v>
      </c>
      <c r="P759" s="182">
        <v>8595</v>
      </c>
      <c r="Q759" s="182">
        <v>3</v>
      </c>
      <c r="R759" s="118">
        <f t="shared" si="22"/>
        <v>25785</v>
      </c>
      <c r="S759" s="115">
        <v>202304</v>
      </c>
      <c r="T759" s="186" t="s">
        <v>1081</v>
      </c>
      <c r="U759" s="186"/>
      <c r="V759" s="165"/>
      <c r="W759" s="165"/>
      <c r="X759" s="116">
        <v>44301</v>
      </c>
      <c r="Y759" s="116">
        <v>46491</v>
      </c>
    </row>
    <row r="760" s="85" customFormat="1" customHeight="1" spans="1:25">
      <c r="A760" s="98" t="s">
        <v>448</v>
      </c>
      <c r="B760" s="98" t="s">
        <v>62</v>
      </c>
      <c r="C760" s="98" t="s">
        <v>238</v>
      </c>
      <c r="D760" s="98" t="s">
        <v>642</v>
      </c>
      <c r="E760" s="161" t="s">
        <v>982</v>
      </c>
      <c r="F760" s="98" t="s">
        <v>983</v>
      </c>
      <c r="G760" s="172" t="s">
        <v>88</v>
      </c>
      <c r="H760" s="100" t="s">
        <v>1069</v>
      </c>
      <c r="I760" s="46" t="e">
        <f>VLOOKUP(H760,'合同高级查询数据-4月返'!A:A,1,FALSE)</f>
        <v>#N/A</v>
      </c>
      <c r="J760" s="47" t="s">
        <v>90</v>
      </c>
      <c r="K760" s="160" t="s">
        <v>1070</v>
      </c>
      <c r="L760" s="179"/>
      <c r="M760" s="49" t="s">
        <v>986</v>
      </c>
      <c r="N760" s="180">
        <v>44345</v>
      </c>
      <c r="O760" s="181" t="s">
        <v>507</v>
      </c>
      <c r="P760" s="182">
        <v>8595</v>
      </c>
      <c r="Q760" s="182">
        <v>1</v>
      </c>
      <c r="R760" s="118">
        <f t="shared" si="22"/>
        <v>8595</v>
      </c>
      <c r="S760" s="115">
        <v>202304</v>
      </c>
      <c r="T760" s="186" t="s">
        <v>1082</v>
      </c>
      <c r="U760" s="186"/>
      <c r="V760" s="165"/>
      <c r="W760" s="165"/>
      <c r="X760" s="116">
        <v>44301</v>
      </c>
      <c r="Y760" s="116">
        <v>46491</v>
      </c>
    </row>
    <row r="761" s="85" customFormat="1" customHeight="1" spans="1:25">
      <c r="A761" s="98" t="s">
        <v>448</v>
      </c>
      <c r="B761" s="98" t="s">
        <v>62</v>
      </c>
      <c r="C761" s="98" t="s">
        <v>238</v>
      </c>
      <c r="D761" s="98" t="s">
        <v>642</v>
      </c>
      <c r="E761" s="161" t="s">
        <v>982</v>
      </c>
      <c r="F761" s="98" t="s">
        <v>983</v>
      </c>
      <c r="G761" s="172" t="s">
        <v>88</v>
      </c>
      <c r="H761" s="100" t="s">
        <v>1069</v>
      </c>
      <c r="I761" s="46" t="e">
        <f>VLOOKUP(H761,'合同高级查询数据-4月返'!A:A,1,FALSE)</f>
        <v>#N/A</v>
      </c>
      <c r="J761" s="47" t="s">
        <v>90</v>
      </c>
      <c r="K761" s="160" t="s">
        <v>1070</v>
      </c>
      <c r="L761" s="179"/>
      <c r="M761" s="49" t="s">
        <v>986</v>
      </c>
      <c r="N761" s="180">
        <v>44349</v>
      </c>
      <c r="O761" s="181" t="s">
        <v>507</v>
      </c>
      <c r="P761" s="182">
        <v>8595</v>
      </c>
      <c r="Q761" s="182">
        <v>1</v>
      </c>
      <c r="R761" s="118">
        <f t="shared" si="22"/>
        <v>8595</v>
      </c>
      <c r="S761" s="115">
        <v>202304</v>
      </c>
      <c r="T761" s="186" t="s">
        <v>1083</v>
      </c>
      <c r="U761" s="186"/>
      <c r="V761" s="165"/>
      <c r="W761" s="165"/>
      <c r="X761" s="116">
        <v>44301</v>
      </c>
      <c r="Y761" s="116">
        <v>46491</v>
      </c>
    </row>
    <row r="762" s="85" customFormat="1" customHeight="1" spans="1:25">
      <c r="A762" s="98" t="s">
        <v>448</v>
      </c>
      <c r="B762" s="98" t="s">
        <v>62</v>
      </c>
      <c r="C762" s="98" t="s">
        <v>238</v>
      </c>
      <c r="D762" s="98" t="s">
        <v>642</v>
      </c>
      <c r="E762" s="161" t="s">
        <v>982</v>
      </c>
      <c r="F762" s="98" t="s">
        <v>983</v>
      </c>
      <c r="G762" s="172" t="s">
        <v>88</v>
      </c>
      <c r="H762" s="100" t="s">
        <v>1069</v>
      </c>
      <c r="I762" s="46" t="e">
        <f>VLOOKUP(H762,'合同高级查询数据-4月返'!A:A,1,FALSE)</f>
        <v>#N/A</v>
      </c>
      <c r="J762" s="47" t="s">
        <v>90</v>
      </c>
      <c r="K762" s="160" t="s">
        <v>1070</v>
      </c>
      <c r="L762" s="179"/>
      <c r="M762" s="49" t="s">
        <v>986</v>
      </c>
      <c r="N762" s="180">
        <v>44354</v>
      </c>
      <c r="O762" s="181" t="s">
        <v>507</v>
      </c>
      <c r="P762" s="182">
        <v>8595</v>
      </c>
      <c r="Q762" s="182">
        <v>13</v>
      </c>
      <c r="R762" s="118">
        <f t="shared" si="22"/>
        <v>111735</v>
      </c>
      <c r="S762" s="115">
        <v>202304</v>
      </c>
      <c r="T762" s="186" t="s">
        <v>1084</v>
      </c>
      <c r="U762" s="218"/>
      <c r="V762" s="165"/>
      <c r="W762" s="165"/>
      <c r="X762" s="116">
        <v>44301</v>
      </c>
      <c r="Y762" s="116">
        <v>46491</v>
      </c>
    </row>
    <row r="763" s="85" customFormat="1" customHeight="1" spans="1:25">
      <c r="A763" s="98" t="s">
        <v>448</v>
      </c>
      <c r="B763" s="98" t="s">
        <v>62</v>
      </c>
      <c r="C763" s="98" t="s">
        <v>238</v>
      </c>
      <c r="D763" s="98" t="s">
        <v>642</v>
      </c>
      <c r="E763" s="161" t="s">
        <v>982</v>
      </c>
      <c r="F763" s="98" t="s">
        <v>983</v>
      </c>
      <c r="G763" s="172" t="s">
        <v>88</v>
      </c>
      <c r="H763" s="100" t="s">
        <v>1069</v>
      </c>
      <c r="I763" s="46" t="e">
        <f>VLOOKUP(H763,'合同高级查询数据-4月返'!A:A,1,FALSE)</f>
        <v>#N/A</v>
      </c>
      <c r="J763" s="47" t="s">
        <v>90</v>
      </c>
      <c r="K763" s="160" t="s">
        <v>1070</v>
      </c>
      <c r="L763" s="179"/>
      <c r="M763" s="49" t="s">
        <v>986</v>
      </c>
      <c r="N763" s="180">
        <v>44363</v>
      </c>
      <c r="O763" s="181" t="s">
        <v>507</v>
      </c>
      <c r="P763" s="182">
        <v>8595</v>
      </c>
      <c r="Q763" s="182">
        <v>2</v>
      </c>
      <c r="R763" s="118">
        <f t="shared" si="22"/>
        <v>17190</v>
      </c>
      <c r="S763" s="115">
        <v>202304</v>
      </c>
      <c r="T763" s="186" t="s">
        <v>1085</v>
      </c>
      <c r="U763" s="186"/>
      <c r="V763" s="165"/>
      <c r="W763" s="165"/>
      <c r="X763" s="116">
        <v>44301</v>
      </c>
      <c r="Y763" s="116">
        <v>46491</v>
      </c>
    </row>
    <row r="764" s="85" customFormat="1" customHeight="1" spans="1:25">
      <c r="A764" s="98" t="s">
        <v>448</v>
      </c>
      <c r="B764" s="98" t="s">
        <v>62</v>
      </c>
      <c r="C764" s="98" t="s">
        <v>238</v>
      </c>
      <c r="D764" s="98" t="s">
        <v>642</v>
      </c>
      <c r="E764" s="161" t="s">
        <v>982</v>
      </c>
      <c r="F764" s="98" t="s">
        <v>983</v>
      </c>
      <c r="G764" s="172" t="s">
        <v>88</v>
      </c>
      <c r="H764" s="100" t="s">
        <v>1069</v>
      </c>
      <c r="I764" s="46" t="e">
        <f>VLOOKUP(H764,'合同高级查询数据-4月返'!A:A,1,FALSE)</f>
        <v>#N/A</v>
      </c>
      <c r="J764" s="47" t="s">
        <v>90</v>
      </c>
      <c r="K764" s="160" t="s">
        <v>1070</v>
      </c>
      <c r="L764" s="179"/>
      <c r="M764" s="49" t="s">
        <v>986</v>
      </c>
      <c r="N764" s="180">
        <v>44365</v>
      </c>
      <c r="O764" s="181" t="s">
        <v>507</v>
      </c>
      <c r="P764" s="182">
        <v>8595</v>
      </c>
      <c r="Q764" s="182">
        <v>2</v>
      </c>
      <c r="R764" s="118">
        <f t="shared" si="22"/>
        <v>17190</v>
      </c>
      <c r="S764" s="115">
        <v>202304</v>
      </c>
      <c r="T764" s="186" t="s">
        <v>1086</v>
      </c>
      <c r="U764" s="186"/>
      <c r="V764" s="165"/>
      <c r="W764" s="165"/>
      <c r="X764" s="116">
        <v>44301</v>
      </c>
      <c r="Y764" s="116">
        <v>46491</v>
      </c>
    </row>
    <row r="765" s="85" customFormat="1" customHeight="1" spans="1:25">
      <c r="A765" s="98" t="s">
        <v>448</v>
      </c>
      <c r="B765" s="98" t="s">
        <v>62</v>
      </c>
      <c r="C765" s="98" t="s">
        <v>238</v>
      </c>
      <c r="D765" s="98" t="s">
        <v>642</v>
      </c>
      <c r="E765" s="161" t="s">
        <v>982</v>
      </c>
      <c r="F765" s="98" t="s">
        <v>983</v>
      </c>
      <c r="G765" s="172" t="s">
        <v>88</v>
      </c>
      <c r="H765" s="100" t="s">
        <v>1069</v>
      </c>
      <c r="I765" s="46" t="e">
        <f>VLOOKUP(H765,'合同高级查询数据-4月返'!A:A,1,FALSE)</f>
        <v>#N/A</v>
      </c>
      <c r="J765" s="47" t="s">
        <v>90</v>
      </c>
      <c r="K765" s="160" t="s">
        <v>1070</v>
      </c>
      <c r="L765" s="179"/>
      <c r="M765" s="49" t="s">
        <v>986</v>
      </c>
      <c r="N765" s="180">
        <v>44377</v>
      </c>
      <c r="O765" s="181" t="s">
        <v>507</v>
      </c>
      <c r="P765" s="182">
        <v>8595</v>
      </c>
      <c r="Q765" s="182">
        <v>3</v>
      </c>
      <c r="R765" s="118">
        <f t="shared" si="22"/>
        <v>25785</v>
      </c>
      <c r="S765" s="115">
        <v>202304</v>
      </c>
      <c r="T765" s="186" t="s">
        <v>1087</v>
      </c>
      <c r="U765" s="186"/>
      <c r="V765" s="165"/>
      <c r="W765" s="165"/>
      <c r="X765" s="116">
        <v>44301</v>
      </c>
      <c r="Y765" s="116">
        <v>46491</v>
      </c>
    </row>
    <row r="766" s="85" customFormat="1" customHeight="1" spans="1:25">
      <c r="A766" s="98" t="s">
        <v>448</v>
      </c>
      <c r="B766" s="98" t="s">
        <v>62</v>
      </c>
      <c r="C766" s="98" t="s">
        <v>238</v>
      </c>
      <c r="D766" s="98" t="s">
        <v>642</v>
      </c>
      <c r="E766" s="161" t="s">
        <v>982</v>
      </c>
      <c r="F766" s="98" t="s">
        <v>983</v>
      </c>
      <c r="G766" s="172" t="s">
        <v>88</v>
      </c>
      <c r="H766" s="100" t="s">
        <v>1069</v>
      </c>
      <c r="I766" s="46" t="e">
        <f>VLOOKUP(H766,'合同高级查询数据-4月返'!A:A,1,FALSE)</f>
        <v>#N/A</v>
      </c>
      <c r="J766" s="47" t="s">
        <v>90</v>
      </c>
      <c r="K766" s="160" t="s">
        <v>1070</v>
      </c>
      <c r="L766" s="179"/>
      <c r="M766" s="49" t="s">
        <v>986</v>
      </c>
      <c r="N766" s="180">
        <v>44392</v>
      </c>
      <c r="O766" s="181" t="s">
        <v>507</v>
      </c>
      <c r="P766" s="182">
        <v>8595</v>
      </c>
      <c r="Q766" s="182">
        <v>3</v>
      </c>
      <c r="R766" s="118">
        <f t="shared" si="22"/>
        <v>25785</v>
      </c>
      <c r="S766" s="115">
        <v>202304</v>
      </c>
      <c r="T766" s="186" t="s">
        <v>1088</v>
      </c>
      <c r="U766" s="186"/>
      <c r="V766" s="165"/>
      <c r="W766" s="165"/>
      <c r="X766" s="116">
        <v>44301</v>
      </c>
      <c r="Y766" s="116">
        <v>46491</v>
      </c>
    </row>
    <row r="767" s="85" customFormat="1" customHeight="1" spans="1:25">
      <c r="A767" s="98" t="s">
        <v>448</v>
      </c>
      <c r="B767" s="98" t="s">
        <v>62</v>
      </c>
      <c r="C767" s="98" t="s">
        <v>238</v>
      </c>
      <c r="D767" s="98" t="s">
        <v>642</v>
      </c>
      <c r="E767" s="161" t="s">
        <v>982</v>
      </c>
      <c r="F767" s="98" t="s">
        <v>983</v>
      </c>
      <c r="G767" s="172" t="s">
        <v>88</v>
      </c>
      <c r="H767" s="100" t="s">
        <v>1069</v>
      </c>
      <c r="I767" s="46" t="e">
        <f>VLOOKUP(H767,'合同高级查询数据-4月返'!A:A,1,FALSE)</f>
        <v>#N/A</v>
      </c>
      <c r="J767" s="47" t="s">
        <v>90</v>
      </c>
      <c r="K767" s="160" t="s">
        <v>1070</v>
      </c>
      <c r="L767" s="179"/>
      <c r="M767" s="49" t="s">
        <v>986</v>
      </c>
      <c r="N767" s="180">
        <v>44399</v>
      </c>
      <c r="O767" s="181" t="s">
        <v>507</v>
      </c>
      <c r="P767" s="182">
        <v>8595</v>
      </c>
      <c r="Q767" s="182">
        <v>2</v>
      </c>
      <c r="R767" s="118">
        <f t="shared" si="22"/>
        <v>17190</v>
      </c>
      <c r="S767" s="115">
        <v>202304</v>
      </c>
      <c r="T767" s="186" t="s">
        <v>1089</v>
      </c>
      <c r="U767" s="186"/>
      <c r="V767" s="165"/>
      <c r="W767" s="165"/>
      <c r="X767" s="116">
        <v>44301</v>
      </c>
      <c r="Y767" s="116">
        <v>46491</v>
      </c>
    </row>
    <row r="768" s="85" customFormat="1" customHeight="1" spans="1:25">
      <c r="A768" s="98" t="s">
        <v>448</v>
      </c>
      <c r="B768" s="98" t="s">
        <v>62</v>
      </c>
      <c r="C768" s="98" t="s">
        <v>238</v>
      </c>
      <c r="D768" s="98" t="s">
        <v>642</v>
      </c>
      <c r="E768" s="161" t="s">
        <v>982</v>
      </c>
      <c r="F768" s="98" t="s">
        <v>983</v>
      </c>
      <c r="G768" s="172" t="s">
        <v>88</v>
      </c>
      <c r="H768" s="100" t="s">
        <v>1069</v>
      </c>
      <c r="I768" s="46" t="e">
        <f>VLOOKUP(H768,'合同高级查询数据-4月返'!A:A,1,FALSE)</f>
        <v>#N/A</v>
      </c>
      <c r="J768" s="47" t="s">
        <v>90</v>
      </c>
      <c r="K768" s="160" t="s">
        <v>1070</v>
      </c>
      <c r="L768" s="179"/>
      <c r="M768" s="49" t="s">
        <v>986</v>
      </c>
      <c r="N768" s="180">
        <v>44866</v>
      </c>
      <c r="O768" s="181" t="s">
        <v>600</v>
      </c>
      <c r="P768" s="182">
        <v>0</v>
      </c>
      <c r="Q768" s="182">
        <v>6</v>
      </c>
      <c r="R768" s="118">
        <f t="shared" si="22"/>
        <v>0</v>
      </c>
      <c r="S768" s="115">
        <v>202304</v>
      </c>
      <c r="T768" s="186" t="s">
        <v>1090</v>
      </c>
      <c r="U768" s="186"/>
      <c r="V768" s="165"/>
      <c r="W768" s="165"/>
      <c r="X768" s="116">
        <v>44301</v>
      </c>
      <c r="Y768" s="116">
        <v>46491</v>
      </c>
    </row>
    <row r="769" s="85" customFormat="1" customHeight="1" spans="1:25">
      <c r="A769" s="98" t="s">
        <v>448</v>
      </c>
      <c r="B769" s="98" t="s">
        <v>62</v>
      </c>
      <c r="C769" s="98" t="s">
        <v>238</v>
      </c>
      <c r="D769" s="98" t="s">
        <v>642</v>
      </c>
      <c r="E769" s="161" t="s">
        <v>982</v>
      </c>
      <c r="F769" s="98" t="s">
        <v>983</v>
      </c>
      <c r="G769" s="172" t="s">
        <v>88</v>
      </c>
      <c r="H769" s="100" t="s">
        <v>1069</v>
      </c>
      <c r="I769" s="46" t="e">
        <f>VLOOKUP(H769,'合同高级查询数据-4月返'!A:A,1,FALSE)</f>
        <v>#N/A</v>
      </c>
      <c r="J769" s="160" t="s">
        <v>357</v>
      </c>
      <c r="K769" s="160" t="s">
        <v>1070</v>
      </c>
      <c r="L769" s="179"/>
      <c r="M769" s="49" t="s">
        <v>986</v>
      </c>
      <c r="N769" s="180"/>
      <c r="O769" s="181"/>
      <c r="P769" s="182">
        <v>300</v>
      </c>
      <c r="Q769" s="182">
        <v>350</v>
      </c>
      <c r="R769" s="118">
        <f t="shared" ref="R769:R832" si="23">ROUND(P769*Q769,2)</f>
        <v>105000</v>
      </c>
      <c r="S769" s="115">
        <v>202304</v>
      </c>
      <c r="T769" s="186" t="s">
        <v>1091</v>
      </c>
      <c r="U769" s="186"/>
      <c r="V769" s="165"/>
      <c r="W769" s="165"/>
      <c r="X769" s="116">
        <v>44301</v>
      </c>
      <c r="Y769" s="116">
        <v>46491</v>
      </c>
    </row>
    <row r="770" s="85" customFormat="1" customHeight="1" spans="1:25">
      <c r="A770" s="98" t="s">
        <v>448</v>
      </c>
      <c r="B770" s="98" t="s">
        <v>62</v>
      </c>
      <c r="C770" s="98" t="s">
        <v>238</v>
      </c>
      <c r="D770" s="98" t="s">
        <v>642</v>
      </c>
      <c r="E770" s="161" t="s">
        <v>982</v>
      </c>
      <c r="F770" s="98" t="s">
        <v>983</v>
      </c>
      <c r="G770" s="172" t="s">
        <v>88</v>
      </c>
      <c r="H770" s="100" t="s">
        <v>1092</v>
      </c>
      <c r="I770" s="46" t="e">
        <f>VLOOKUP(H770,'合同高级查询数据-4月返'!A:A,1,FALSE)</f>
        <v>#N/A</v>
      </c>
      <c r="J770" s="47" t="s">
        <v>90</v>
      </c>
      <c r="K770" s="160" t="s">
        <v>1093</v>
      </c>
      <c r="L770" s="179"/>
      <c r="M770" s="49" t="s">
        <v>986</v>
      </c>
      <c r="N770" s="180">
        <v>44386</v>
      </c>
      <c r="O770" s="181" t="s">
        <v>503</v>
      </c>
      <c r="P770" s="182">
        <v>5900</v>
      </c>
      <c r="Q770" s="182">
        <v>7</v>
      </c>
      <c r="R770" s="118">
        <f t="shared" si="23"/>
        <v>41300</v>
      </c>
      <c r="S770" s="115">
        <v>202304</v>
      </c>
      <c r="T770" s="186" t="s">
        <v>1094</v>
      </c>
      <c r="U770" s="186"/>
      <c r="V770" s="165"/>
      <c r="W770" s="165"/>
      <c r="X770" s="116">
        <v>44356</v>
      </c>
      <c r="Y770" s="116">
        <v>46546</v>
      </c>
    </row>
    <row r="771" s="85" customFormat="1" customHeight="1" spans="1:25">
      <c r="A771" s="98" t="s">
        <v>448</v>
      </c>
      <c r="B771" s="98" t="s">
        <v>62</v>
      </c>
      <c r="C771" s="98" t="s">
        <v>238</v>
      </c>
      <c r="D771" s="98" t="s">
        <v>642</v>
      </c>
      <c r="E771" s="161" t="s">
        <v>982</v>
      </c>
      <c r="F771" s="98" t="s">
        <v>983</v>
      </c>
      <c r="G771" s="172" t="s">
        <v>88</v>
      </c>
      <c r="H771" s="100" t="s">
        <v>1092</v>
      </c>
      <c r="I771" s="46" t="e">
        <f>VLOOKUP(H771,'合同高级查询数据-4月返'!A:A,1,FALSE)</f>
        <v>#N/A</v>
      </c>
      <c r="J771" s="47" t="s">
        <v>90</v>
      </c>
      <c r="K771" s="160" t="s">
        <v>1093</v>
      </c>
      <c r="L771" s="179"/>
      <c r="M771" s="49" t="s">
        <v>986</v>
      </c>
      <c r="N771" s="180">
        <v>44386</v>
      </c>
      <c r="O771" s="181" t="s">
        <v>507</v>
      </c>
      <c r="P771" s="182">
        <v>8595</v>
      </c>
      <c r="Q771" s="182">
        <v>345</v>
      </c>
      <c r="R771" s="118">
        <f t="shared" si="23"/>
        <v>2965275</v>
      </c>
      <c r="S771" s="115">
        <v>202304</v>
      </c>
      <c r="T771" s="186" t="s">
        <v>1095</v>
      </c>
      <c r="U771" s="186"/>
      <c r="V771" s="165"/>
      <c r="W771" s="165"/>
      <c r="X771" s="116">
        <v>44356</v>
      </c>
      <c r="Y771" s="116">
        <v>46546</v>
      </c>
    </row>
    <row r="772" s="85" customFormat="1" customHeight="1" spans="1:25">
      <c r="A772" s="98" t="s">
        <v>448</v>
      </c>
      <c r="B772" s="98" t="s">
        <v>62</v>
      </c>
      <c r="C772" s="98" t="s">
        <v>238</v>
      </c>
      <c r="D772" s="98" t="s">
        <v>642</v>
      </c>
      <c r="E772" s="161" t="s">
        <v>982</v>
      </c>
      <c r="F772" s="98" t="s">
        <v>983</v>
      </c>
      <c r="G772" s="172" t="s">
        <v>88</v>
      </c>
      <c r="H772" s="100" t="s">
        <v>1092</v>
      </c>
      <c r="I772" s="46" t="e">
        <f>VLOOKUP(H772,'合同高级查询数据-4月返'!A:A,1,FALSE)</f>
        <v>#N/A</v>
      </c>
      <c r="J772" s="47" t="s">
        <v>90</v>
      </c>
      <c r="K772" s="160" t="s">
        <v>1093</v>
      </c>
      <c r="L772" s="179"/>
      <c r="M772" s="49" t="s">
        <v>986</v>
      </c>
      <c r="N772" s="180">
        <v>44386</v>
      </c>
      <c r="O772" s="181" t="s">
        <v>606</v>
      </c>
      <c r="P772" s="182">
        <v>11200</v>
      </c>
      <c r="Q772" s="182">
        <v>8</v>
      </c>
      <c r="R772" s="118">
        <f t="shared" si="23"/>
        <v>89600</v>
      </c>
      <c r="S772" s="115">
        <v>202304</v>
      </c>
      <c r="T772" s="186" t="s">
        <v>1096</v>
      </c>
      <c r="U772" s="186"/>
      <c r="V772" s="165"/>
      <c r="W772" s="165"/>
      <c r="X772" s="116">
        <v>44356</v>
      </c>
      <c r="Y772" s="116">
        <v>46546</v>
      </c>
    </row>
    <row r="773" s="85" customFormat="1" customHeight="1" spans="1:25">
      <c r="A773" s="98" t="s">
        <v>448</v>
      </c>
      <c r="B773" s="98" t="s">
        <v>62</v>
      </c>
      <c r="C773" s="98" t="s">
        <v>238</v>
      </c>
      <c r="D773" s="98" t="s">
        <v>642</v>
      </c>
      <c r="E773" s="161" t="s">
        <v>982</v>
      </c>
      <c r="F773" s="98" t="s">
        <v>983</v>
      </c>
      <c r="G773" s="172" t="s">
        <v>88</v>
      </c>
      <c r="H773" s="100" t="s">
        <v>1092</v>
      </c>
      <c r="I773" s="46" t="e">
        <f>VLOOKUP(H773,'合同高级查询数据-4月返'!A:A,1,FALSE)</f>
        <v>#N/A</v>
      </c>
      <c r="J773" s="47" t="s">
        <v>90</v>
      </c>
      <c r="K773" s="160" t="s">
        <v>1093</v>
      </c>
      <c r="L773" s="179"/>
      <c r="M773" s="49" t="s">
        <v>986</v>
      </c>
      <c r="N773" s="180">
        <v>44391</v>
      </c>
      <c r="O773" s="181" t="s">
        <v>507</v>
      </c>
      <c r="P773" s="182">
        <v>8595</v>
      </c>
      <c r="Q773" s="182">
        <v>14</v>
      </c>
      <c r="R773" s="118">
        <f t="shared" si="23"/>
        <v>120330</v>
      </c>
      <c r="S773" s="115">
        <v>202304</v>
      </c>
      <c r="T773" s="186" t="s">
        <v>1097</v>
      </c>
      <c r="U773" s="186"/>
      <c r="V773" s="165"/>
      <c r="W773" s="165"/>
      <c r="X773" s="116">
        <v>44356</v>
      </c>
      <c r="Y773" s="116">
        <v>46546</v>
      </c>
    </row>
    <row r="774" s="85" customFormat="1" customHeight="1" spans="1:25">
      <c r="A774" s="98" t="s">
        <v>448</v>
      </c>
      <c r="B774" s="98" t="s">
        <v>62</v>
      </c>
      <c r="C774" s="98" t="s">
        <v>238</v>
      </c>
      <c r="D774" s="98" t="s">
        <v>642</v>
      </c>
      <c r="E774" s="161" t="s">
        <v>982</v>
      </c>
      <c r="F774" s="98" t="s">
        <v>983</v>
      </c>
      <c r="G774" s="172" t="s">
        <v>88</v>
      </c>
      <c r="H774" s="100" t="s">
        <v>1092</v>
      </c>
      <c r="I774" s="46" t="e">
        <f>VLOOKUP(H774,'合同高级查询数据-4月返'!A:A,1,FALSE)</f>
        <v>#N/A</v>
      </c>
      <c r="J774" s="47" t="s">
        <v>90</v>
      </c>
      <c r="K774" s="160" t="s">
        <v>1093</v>
      </c>
      <c r="L774" s="179"/>
      <c r="M774" s="49" t="s">
        <v>986</v>
      </c>
      <c r="N774" s="180">
        <v>44393</v>
      </c>
      <c r="O774" s="181" t="s">
        <v>507</v>
      </c>
      <c r="P774" s="182">
        <v>8595</v>
      </c>
      <c r="Q774" s="182">
        <v>8</v>
      </c>
      <c r="R774" s="118">
        <f t="shared" si="23"/>
        <v>68760</v>
      </c>
      <c r="S774" s="115">
        <v>202304</v>
      </c>
      <c r="T774" s="186" t="s">
        <v>1098</v>
      </c>
      <c r="U774" s="186"/>
      <c r="V774" s="165"/>
      <c r="W774" s="165"/>
      <c r="X774" s="116">
        <v>44356</v>
      </c>
      <c r="Y774" s="116">
        <v>46546</v>
      </c>
    </row>
    <row r="775" s="85" customFormat="1" customHeight="1" spans="1:25">
      <c r="A775" s="98" t="s">
        <v>448</v>
      </c>
      <c r="B775" s="98" t="s">
        <v>62</v>
      </c>
      <c r="C775" s="98" t="s">
        <v>238</v>
      </c>
      <c r="D775" s="98" t="s">
        <v>642</v>
      </c>
      <c r="E775" s="161" t="s">
        <v>982</v>
      </c>
      <c r="F775" s="98" t="s">
        <v>983</v>
      </c>
      <c r="G775" s="172" t="s">
        <v>88</v>
      </c>
      <c r="H775" s="100" t="s">
        <v>1092</v>
      </c>
      <c r="I775" s="46" t="e">
        <f>VLOOKUP(H775,'合同高级查询数据-4月返'!A:A,1,FALSE)</f>
        <v>#N/A</v>
      </c>
      <c r="J775" s="47" t="s">
        <v>90</v>
      </c>
      <c r="K775" s="160" t="s">
        <v>1093</v>
      </c>
      <c r="L775" s="179"/>
      <c r="M775" s="49" t="s">
        <v>986</v>
      </c>
      <c r="N775" s="180">
        <v>44396</v>
      </c>
      <c r="O775" s="181" t="s">
        <v>507</v>
      </c>
      <c r="P775" s="182">
        <v>8595</v>
      </c>
      <c r="Q775" s="182">
        <v>7</v>
      </c>
      <c r="R775" s="118">
        <f t="shared" si="23"/>
        <v>60165</v>
      </c>
      <c r="S775" s="115">
        <v>202304</v>
      </c>
      <c r="T775" s="186" t="s">
        <v>1099</v>
      </c>
      <c r="U775" s="186"/>
      <c r="V775" s="165"/>
      <c r="W775" s="165"/>
      <c r="X775" s="116">
        <v>44356</v>
      </c>
      <c r="Y775" s="116">
        <v>46546</v>
      </c>
    </row>
    <row r="776" s="85" customFormat="1" customHeight="1" spans="1:25">
      <c r="A776" s="98" t="s">
        <v>448</v>
      </c>
      <c r="B776" s="98" t="s">
        <v>62</v>
      </c>
      <c r="C776" s="98" t="s">
        <v>238</v>
      </c>
      <c r="D776" s="98" t="s">
        <v>642</v>
      </c>
      <c r="E776" s="161" t="s">
        <v>982</v>
      </c>
      <c r="F776" s="98" t="s">
        <v>983</v>
      </c>
      <c r="G776" s="172" t="s">
        <v>88</v>
      </c>
      <c r="H776" s="100" t="s">
        <v>1092</v>
      </c>
      <c r="I776" s="46" t="e">
        <f>VLOOKUP(H776,'合同高级查询数据-4月返'!A:A,1,FALSE)</f>
        <v>#N/A</v>
      </c>
      <c r="J776" s="47" t="s">
        <v>90</v>
      </c>
      <c r="K776" s="160" t="s">
        <v>1093</v>
      </c>
      <c r="L776" s="179"/>
      <c r="M776" s="49" t="s">
        <v>986</v>
      </c>
      <c r="N776" s="180">
        <v>44398</v>
      </c>
      <c r="O776" s="181" t="s">
        <v>507</v>
      </c>
      <c r="P776" s="182">
        <v>8595</v>
      </c>
      <c r="Q776" s="182">
        <v>7</v>
      </c>
      <c r="R776" s="118">
        <f t="shared" si="23"/>
        <v>60165</v>
      </c>
      <c r="S776" s="115">
        <v>202304</v>
      </c>
      <c r="T776" s="186" t="s">
        <v>1100</v>
      </c>
      <c r="U776" s="186"/>
      <c r="V776" s="165"/>
      <c r="W776" s="165"/>
      <c r="X776" s="116">
        <v>44356</v>
      </c>
      <c r="Y776" s="116">
        <v>46546</v>
      </c>
    </row>
    <row r="777" s="85" customFormat="1" customHeight="1" spans="1:25">
      <c r="A777" s="98" t="s">
        <v>448</v>
      </c>
      <c r="B777" s="98" t="s">
        <v>62</v>
      </c>
      <c r="C777" s="98" t="s">
        <v>238</v>
      </c>
      <c r="D777" s="98" t="s">
        <v>642</v>
      </c>
      <c r="E777" s="161" t="s">
        <v>982</v>
      </c>
      <c r="F777" s="98" t="s">
        <v>983</v>
      </c>
      <c r="G777" s="172" t="s">
        <v>88</v>
      </c>
      <c r="H777" s="100" t="s">
        <v>1092</v>
      </c>
      <c r="I777" s="46" t="e">
        <f>VLOOKUP(H777,'合同高级查询数据-4月返'!A:A,1,FALSE)</f>
        <v>#N/A</v>
      </c>
      <c r="J777" s="47" t="s">
        <v>90</v>
      </c>
      <c r="K777" s="160" t="s">
        <v>1093</v>
      </c>
      <c r="L777" s="179"/>
      <c r="M777" s="49" t="s">
        <v>986</v>
      </c>
      <c r="N777" s="180">
        <v>44406</v>
      </c>
      <c r="O777" s="181" t="s">
        <v>507</v>
      </c>
      <c r="P777" s="182">
        <v>8595</v>
      </c>
      <c r="Q777" s="182">
        <v>17</v>
      </c>
      <c r="R777" s="118">
        <f t="shared" si="23"/>
        <v>146115</v>
      </c>
      <c r="S777" s="115">
        <v>202304</v>
      </c>
      <c r="T777" s="186" t="s">
        <v>1101</v>
      </c>
      <c r="U777" s="186"/>
      <c r="V777" s="165"/>
      <c r="W777" s="165"/>
      <c r="X777" s="116">
        <v>44356</v>
      </c>
      <c r="Y777" s="116">
        <v>46546</v>
      </c>
    </row>
    <row r="778" s="85" customFormat="1" customHeight="1" spans="1:25">
      <c r="A778" s="98" t="s">
        <v>448</v>
      </c>
      <c r="B778" s="98" t="s">
        <v>62</v>
      </c>
      <c r="C778" s="98" t="s">
        <v>238</v>
      </c>
      <c r="D778" s="98" t="s">
        <v>642</v>
      </c>
      <c r="E778" s="161" t="s">
        <v>982</v>
      </c>
      <c r="F778" s="98" t="s">
        <v>983</v>
      </c>
      <c r="G778" s="172" t="s">
        <v>88</v>
      </c>
      <c r="H778" s="100" t="s">
        <v>1092</v>
      </c>
      <c r="I778" s="46" t="e">
        <f>VLOOKUP(H778,'合同高级查询数据-4月返'!A:A,1,FALSE)</f>
        <v>#N/A</v>
      </c>
      <c r="J778" s="47" t="s">
        <v>90</v>
      </c>
      <c r="K778" s="160" t="s">
        <v>1093</v>
      </c>
      <c r="L778" s="179"/>
      <c r="M778" s="49" t="s">
        <v>986</v>
      </c>
      <c r="N778" s="180">
        <v>44407</v>
      </c>
      <c r="O778" s="181" t="s">
        <v>507</v>
      </c>
      <c r="P778" s="182">
        <v>8595</v>
      </c>
      <c r="Q778" s="182">
        <v>16</v>
      </c>
      <c r="R778" s="118">
        <f t="shared" si="23"/>
        <v>137520</v>
      </c>
      <c r="S778" s="115">
        <v>202304</v>
      </c>
      <c r="T778" s="186" t="s">
        <v>1102</v>
      </c>
      <c r="U778" s="186"/>
      <c r="V778" s="165"/>
      <c r="W778" s="165"/>
      <c r="X778" s="116">
        <v>44356</v>
      </c>
      <c r="Y778" s="116">
        <v>46546</v>
      </c>
    </row>
    <row r="779" s="85" customFormat="1" customHeight="1" spans="1:25">
      <c r="A779" s="98" t="s">
        <v>448</v>
      </c>
      <c r="B779" s="98" t="s">
        <v>62</v>
      </c>
      <c r="C779" s="98" t="s">
        <v>238</v>
      </c>
      <c r="D779" s="98" t="s">
        <v>642</v>
      </c>
      <c r="E779" s="161" t="s">
        <v>982</v>
      </c>
      <c r="F779" s="98" t="s">
        <v>983</v>
      </c>
      <c r="G779" s="172" t="s">
        <v>88</v>
      </c>
      <c r="H779" s="100" t="s">
        <v>1092</v>
      </c>
      <c r="I779" s="46" t="e">
        <f>VLOOKUP(H779,'合同高级查询数据-4月返'!A:A,1,FALSE)</f>
        <v>#N/A</v>
      </c>
      <c r="J779" s="47" t="s">
        <v>90</v>
      </c>
      <c r="K779" s="160" t="s">
        <v>1093</v>
      </c>
      <c r="L779" s="179"/>
      <c r="M779" s="49" t="s">
        <v>986</v>
      </c>
      <c r="N779" s="180">
        <v>44409</v>
      </c>
      <c r="O779" s="181" t="s">
        <v>507</v>
      </c>
      <c r="P779" s="182">
        <v>8595</v>
      </c>
      <c r="Q779" s="182">
        <v>11</v>
      </c>
      <c r="R779" s="118">
        <f t="shared" si="23"/>
        <v>94545</v>
      </c>
      <c r="S779" s="115">
        <v>202304</v>
      </c>
      <c r="T779" s="186" t="s">
        <v>1103</v>
      </c>
      <c r="U779" s="186"/>
      <c r="V779" s="165"/>
      <c r="W779" s="165"/>
      <c r="X779" s="116">
        <v>44356</v>
      </c>
      <c r="Y779" s="116">
        <v>46546</v>
      </c>
    </row>
    <row r="780" s="85" customFormat="1" customHeight="1" spans="1:25">
      <c r="A780" s="98" t="s">
        <v>448</v>
      </c>
      <c r="B780" s="98" t="s">
        <v>62</v>
      </c>
      <c r="C780" s="98" t="s">
        <v>238</v>
      </c>
      <c r="D780" s="98" t="s">
        <v>642</v>
      </c>
      <c r="E780" s="161" t="s">
        <v>982</v>
      </c>
      <c r="F780" s="98" t="s">
        <v>983</v>
      </c>
      <c r="G780" s="172" t="s">
        <v>88</v>
      </c>
      <c r="H780" s="100" t="s">
        <v>1092</v>
      </c>
      <c r="I780" s="46" t="e">
        <f>VLOOKUP(H780,'合同高级查询数据-4月返'!A:A,1,FALSE)</f>
        <v>#N/A</v>
      </c>
      <c r="J780" s="47" t="s">
        <v>90</v>
      </c>
      <c r="K780" s="160" t="s">
        <v>1093</v>
      </c>
      <c r="L780" s="179"/>
      <c r="M780" s="49" t="s">
        <v>986</v>
      </c>
      <c r="N780" s="180">
        <v>44417</v>
      </c>
      <c r="O780" s="181" t="s">
        <v>507</v>
      </c>
      <c r="P780" s="182">
        <v>8595</v>
      </c>
      <c r="Q780" s="182">
        <v>4</v>
      </c>
      <c r="R780" s="118">
        <f t="shared" si="23"/>
        <v>34380</v>
      </c>
      <c r="S780" s="115">
        <v>202304</v>
      </c>
      <c r="T780" s="217" t="s">
        <v>1104</v>
      </c>
      <c r="U780" s="165"/>
      <c r="V780" s="165"/>
      <c r="W780" s="165"/>
      <c r="X780" s="116">
        <v>44356</v>
      </c>
      <c r="Y780" s="116">
        <v>46546</v>
      </c>
    </row>
    <row r="781" s="85" customFormat="1" customHeight="1" spans="1:25">
      <c r="A781" s="98" t="s">
        <v>448</v>
      </c>
      <c r="B781" s="98" t="s">
        <v>62</v>
      </c>
      <c r="C781" s="98" t="s">
        <v>238</v>
      </c>
      <c r="D781" s="98" t="s">
        <v>642</v>
      </c>
      <c r="E781" s="161" t="s">
        <v>982</v>
      </c>
      <c r="F781" s="98" t="s">
        <v>983</v>
      </c>
      <c r="G781" s="172" t="s">
        <v>88</v>
      </c>
      <c r="H781" s="100" t="s">
        <v>1092</v>
      </c>
      <c r="I781" s="46" t="e">
        <f>VLOOKUP(H781,'合同高级查询数据-4月返'!A:A,1,FALSE)</f>
        <v>#N/A</v>
      </c>
      <c r="J781" s="47" t="s">
        <v>90</v>
      </c>
      <c r="K781" s="160" t="s">
        <v>1093</v>
      </c>
      <c r="L781" s="179"/>
      <c r="M781" s="49" t="s">
        <v>986</v>
      </c>
      <c r="N781" s="180">
        <v>44425</v>
      </c>
      <c r="O781" s="181" t="s">
        <v>507</v>
      </c>
      <c r="P781" s="182">
        <v>8595</v>
      </c>
      <c r="Q781" s="182">
        <v>7</v>
      </c>
      <c r="R781" s="118">
        <f t="shared" si="23"/>
        <v>60165</v>
      </c>
      <c r="S781" s="115">
        <v>202304</v>
      </c>
      <c r="T781" s="186" t="s">
        <v>1105</v>
      </c>
      <c r="U781" s="186"/>
      <c r="V781" s="165"/>
      <c r="W781" s="165"/>
      <c r="X781" s="116">
        <v>44356</v>
      </c>
      <c r="Y781" s="116">
        <v>46546</v>
      </c>
    </row>
    <row r="782" s="85" customFormat="1" customHeight="1" spans="1:25">
      <c r="A782" s="98" t="s">
        <v>448</v>
      </c>
      <c r="B782" s="98" t="s">
        <v>62</v>
      </c>
      <c r="C782" s="98" t="s">
        <v>238</v>
      </c>
      <c r="D782" s="98" t="s">
        <v>642</v>
      </c>
      <c r="E782" s="161" t="s">
        <v>982</v>
      </c>
      <c r="F782" s="98" t="s">
        <v>983</v>
      </c>
      <c r="G782" s="172" t="s">
        <v>88</v>
      </c>
      <c r="H782" s="100" t="s">
        <v>1092</v>
      </c>
      <c r="I782" s="46" t="e">
        <f>VLOOKUP(H782,'合同高级查询数据-4月返'!A:A,1,FALSE)</f>
        <v>#N/A</v>
      </c>
      <c r="J782" s="47" t="s">
        <v>90</v>
      </c>
      <c r="K782" s="160" t="s">
        <v>1093</v>
      </c>
      <c r="L782" s="179"/>
      <c r="M782" s="49" t="s">
        <v>986</v>
      </c>
      <c r="N782" s="180">
        <v>44415</v>
      </c>
      <c r="O782" s="181" t="s">
        <v>503</v>
      </c>
      <c r="P782" s="182">
        <v>5900</v>
      </c>
      <c r="Q782" s="182">
        <v>4</v>
      </c>
      <c r="R782" s="118">
        <f t="shared" si="23"/>
        <v>23600</v>
      </c>
      <c r="S782" s="115">
        <v>202304</v>
      </c>
      <c r="T782" s="186" t="s">
        <v>1106</v>
      </c>
      <c r="U782" s="186"/>
      <c r="V782" s="165"/>
      <c r="W782" s="165"/>
      <c r="X782" s="116">
        <v>44356</v>
      </c>
      <c r="Y782" s="116">
        <v>46546</v>
      </c>
    </row>
    <row r="783" s="85" customFormat="1" customHeight="1" spans="1:25">
      <c r="A783" s="98" t="s">
        <v>448</v>
      </c>
      <c r="B783" s="98" t="s">
        <v>62</v>
      </c>
      <c r="C783" s="98" t="s">
        <v>238</v>
      </c>
      <c r="D783" s="98" t="s">
        <v>642</v>
      </c>
      <c r="E783" s="161" t="s">
        <v>982</v>
      </c>
      <c r="F783" s="98" t="s">
        <v>983</v>
      </c>
      <c r="G783" s="172" t="s">
        <v>88</v>
      </c>
      <c r="H783" s="100" t="s">
        <v>1092</v>
      </c>
      <c r="I783" s="46" t="e">
        <f>VLOOKUP(H783,'合同高级查询数据-4月返'!A:A,1,FALSE)</f>
        <v>#N/A</v>
      </c>
      <c r="J783" s="47" t="s">
        <v>90</v>
      </c>
      <c r="K783" s="160" t="s">
        <v>1093</v>
      </c>
      <c r="L783" s="179"/>
      <c r="M783" s="49" t="s">
        <v>986</v>
      </c>
      <c r="N783" s="180">
        <v>44415</v>
      </c>
      <c r="O783" s="181" t="s">
        <v>507</v>
      </c>
      <c r="P783" s="182">
        <v>8595</v>
      </c>
      <c r="Q783" s="182">
        <v>167</v>
      </c>
      <c r="R783" s="118">
        <f t="shared" si="23"/>
        <v>1435365</v>
      </c>
      <c r="S783" s="115">
        <v>202304</v>
      </c>
      <c r="T783" s="217" t="s">
        <v>1107</v>
      </c>
      <c r="U783" s="165"/>
      <c r="V783" s="165"/>
      <c r="W783" s="165"/>
      <c r="X783" s="116">
        <v>44356</v>
      </c>
      <c r="Y783" s="116">
        <v>46546</v>
      </c>
    </row>
    <row r="784" s="85" customFormat="1" customHeight="1" spans="1:25">
      <c r="A784" s="98" t="s">
        <v>448</v>
      </c>
      <c r="B784" s="98" t="s">
        <v>62</v>
      </c>
      <c r="C784" s="98" t="s">
        <v>238</v>
      </c>
      <c r="D784" s="98" t="s">
        <v>642</v>
      </c>
      <c r="E784" s="161" t="s">
        <v>982</v>
      </c>
      <c r="F784" s="98" t="s">
        <v>983</v>
      </c>
      <c r="G784" s="172" t="s">
        <v>88</v>
      </c>
      <c r="H784" s="100" t="s">
        <v>1092</v>
      </c>
      <c r="I784" s="46" t="e">
        <f>VLOOKUP(H784,'合同高级查询数据-4月返'!A:A,1,FALSE)</f>
        <v>#N/A</v>
      </c>
      <c r="J784" s="47" t="s">
        <v>90</v>
      </c>
      <c r="K784" s="160" t="s">
        <v>1093</v>
      </c>
      <c r="L784" s="179"/>
      <c r="M784" s="49" t="s">
        <v>986</v>
      </c>
      <c r="N784" s="180">
        <v>44439</v>
      </c>
      <c r="O784" s="181" t="s">
        <v>507</v>
      </c>
      <c r="P784" s="182">
        <v>8595</v>
      </c>
      <c r="Q784" s="182">
        <v>13</v>
      </c>
      <c r="R784" s="118">
        <f t="shared" si="23"/>
        <v>111735</v>
      </c>
      <c r="S784" s="115">
        <v>202304</v>
      </c>
      <c r="T784" s="217" t="s">
        <v>1108</v>
      </c>
      <c r="U784" s="165"/>
      <c r="V784" s="165"/>
      <c r="W784" s="165"/>
      <c r="X784" s="116">
        <v>44356</v>
      </c>
      <c r="Y784" s="116">
        <v>46546</v>
      </c>
    </row>
    <row r="785" s="85" customFormat="1" customHeight="1" spans="1:25">
      <c r="A785" s="98" t="s">
        <v>448</v>
      </c>
      <c r="B785" s="98" t="s">
        <v>62</v>
      </c>
      <c r="C785" s="98" t="s">
        <v>238</v>
      </c>
      <c r="D785" s="98" t="s">
        <v>642</v>
      </c>
      <c r="E785" s="161" t="s">
        <v>982</v>
      </c>
      <c r="F785" s="98" t="s">
        <v>983</v>
      </c>
      <c r="G785" s="172" t="s">
        <v>88</v>
      </c>
      <c r="H785" s="100" t="s">
        <v>1092</v>
      </c>
      <c r="I785" s="46" t="e">
        <f>VLOOKUP(H785,'合同高级查询数据-4月返'!A:A,1,FALSE)</f>
        <v>#N/A</v>
      </c>
      <c r="J785" s="47" t="s">
        <v>90</v>
      </c>
      <c r="K785" s="160" t="s">
        <v>1093</v>
      </c>
      <c r="L785" s="179"/>
      <c r="M785" s="49" t="s">
        <v>986</v>
      </c>
      <c r="N785" s="180">
        <v>44452</v>
      </c>
      <c r="O785" s="181" t="s">
        <v>507</v>
      </c>
      <c r="P785" s="182">
        <v>8595</v>
      </c>
      <c r="Q785" s="182">
        <v>11</v>
      </c>
      <c r="R785" s="118">
        <f t="shared" si="23"/>
        <v>94545</v>
      </c>
      <c r="S785" s="115">
        <v>202304</v>
      </c>
      <c r="T785" s="217" t="s">
        <v>1109</v>
      </c>
      <c r="U785" s="165"/>
      <c r="V785" s="165"/>
      <c r="W785" s="165"/>
      <c r="X785" s="116">
        <v>44356</v>
      </c>
      <c r="Y785" s="116">
        <v>46546</v>
      </c>
    </row>
    <row r="786" s="85" customFormat="1" customHeight="1" spans="1:25">
      <c r="A786" s="98" t="s">
        <v>448</v>
      </c>
      <c r="B786" s="98" t="s">
        <v>62</v>
      </c>
      <c r="C786" s="98" t="s">
        <v>238</v>
      </c>
      <c r="D786" s="98" t="s">
        <v>642</v>
      </c>
      <c r="E786" s="161" t="s">
        <v>982</v>
      </c>
      <c r="F786" s="98" t="s">
        <v>983</v>
      </c>
      <c r="G786" s="172" t="s">
        <v>88</v>
      </c>
      <c r="H786" s="100" t="s">
        <v>1092</v>
      </c>
      <c r="I786" s="46" t="e">
        <f>VLOOKUP(H786,'合同高级查询数据-4月返'!A:A,1,FALSE)</f>
        <v>#N/A</v>
      </c>
      <c r="J786" s="47" t="s">
        <v>90</v>
      </c>
      <c r="K786" s="160" t="s">
        <v>1093</v>
      </c>
      <c r="L786" s="179"/>
      <c r="M786" s="49" t="s">
        <v>986</v>
      </c>
      <c r="N786" s="180">
        <v>44454</v>
      </c>
      <c r="O786" s="181" t="s">
        <v>507</v>
      </c>
      <c r="P786" s="182">
        <v>8595</v>
      </c>
      <c r="Q786" s="182">
        <v>19</v>
      </c>
      <c r="R786" s="118">
        <f t="shared" si="23"/>
        <v>163305</v>
      </c>
      <c r="S786" s="115">
        <v>202304</v>
      </c>
      <c r="T786" s="217" t="s">
        <v>1110</v>
      </c>
      <c r="U786" s="165"/>
      <c r="V786" s="165"/>
      <c r="W786" s="165"/>
      <c r="X786" s="116">
        <v>44356</v>
      </c>
      <c r="Y786" s="116">
        <v>46546</v>
      </c>
    </row>
    <row r="787" s="85" customFormat="1" customHeight="1" spans="1:25">
      <c r="A787" s="98" t="s">
        <v>448</v>
      </c>
      <c r="B787" s="98" t="s">
        <v>62</v>
      </c>
      <c r="C787" s="98" t="s">
        <v>238</v>
      </c>
      <c r="D787" s="98" t="s">
        <v>642</v>
      </c>
      <c r="E787" s="161" t="s">
        <v>982</v>
      </c>
      <c r="F787" s="98" t="s">
        <v>983</v>
      </c>
      <c r="G787" s="172" t="s">
        <v>88</v>
      </c>
      <c r="H787" s="100" t="s">
        <v>1092</v>
      </c>
      <c r="I787" s="46" t="e">
        <f>VLOOKUP(H787,'合同高级查询数据-4月返'!A:A,1,FALSE)</f>
        <v>#N/A</v>
      </c>
      <c r="J787" s="47" t="s">
        <v>90</v>
      </c>
      <c r="K787" s="160" t="s">
        <v>1093</v>
      </c>
      <c r="L787" s="179"/>
      <c r="M787" s="49" t="s">
        <v>986</v>
      </c>
      <c r="N787" s="180">
        <v>44461</v>
      </c>
      <c r="O787" s="181" t="s">
        <v>507</v>
      </c>
      <c r="P787" s="182">
        <v>8595</v>
      </c>
      <c r="Q787" s="182">
        <v>41</v>
      </c>
      <c r="R787" s="118">
        <f t="shared" si="23"/>
        <v>352395</v>
      </c>
      <c r="S787" s="115">
        <v>202304</v>
      </c>
      <c r="T787" s="186" t="s">
        <v>1111</v>
      </c>
      <c r="U787" s="186"/>
      <c r="V787" s="165"/>
      <c r="W787" s="165"/>
      <c r="X787" s="116">
        <v>44356</v>
      </c>
      <c r="Y787" s="116">
        <v>46546</v>
      </c>
    </row>
    <row r="788" s="85" customFormat="1" customHeight="1" spans="1:25">
      <c r="A788" s="98" t="s">
        <v>448</v>
      </c>
      <c r="B788" s="98" t="s">
        <v>62</v>
      </c>
      <c r="C788" s="98" t="s">
        <v>238</v>
      </c>
      <c r="D788" s="98" t="s">
        <v>642</v>
      </c>
      <c r="E788" s="161" t="s">
        <v>982</v>
      </c>
      <c r="F788" s="98" t="s">
        <v>983</v>
      </c>
      <c r="G788" s="172" t="s">
        <v>88</v>
      </c>
      <c r="H788" s="100" t="s">
        <v>1092</v>
      </c>
      <c r="I788" s="46" t="e">
        <f>VLOOKUP(H788,'合同高级查询数据-4月返'!A:A,1,FALSE)</f>
        <v>#N/A</v>
      </c>
      <c r="J788" s="47" t="s">
        <v>90</v>
      </c>
      <c r="K788" s="160" t="s">
        <v>1093</v>
      </c>
      <c r="L788" s="179"/>
      <c r="M788" s="49" t="s">
        <v>986</v>
      </c>
      <c r="N788" s="180">
        <v>44468</v>
      </c>
      <c r="O788" s="181" t="s">
        <v>507</v>
      </c>
      <c r="P788" s="182">
        <v>8595</v>
      </c>
      <c r="Q788" s="182">
        <v>69</v>
      </c>
      <c r="R788" s="118">
        <f t="shared" si="23"/>
        <v>593055</v>
      </c>
      <c r="S788" s="115">
        <v>202304</v>
      </c>
      <c r="T788" s="217" t="s">
        <v>1112</v>
      </c>
      <c r="U788" s="165"/>
      <c r="V788" s="165"/>
      <c r="W788" s="165"/>
      <c r="X788" s="116">
        <v>44356</v>
      </c>
      <c r="Y788" s="116">
        <v>46546</v>
      </c>
    </row>
    <row r="789" s="85" customFormat="1" customHeight="1" spans="1:25">
      <c r="A789" s="98" t="s">
        <v>448</v>
      </c>
      <c r="B789" s="98" t="s">
        <v>62</v>
      </c>
      <c r="C789" s="98" t="s">
        <v>238</v>
      </c>
      <c r="D789" s="98" t="s">
        <v>642</v>
      </c>
      <c r="E789" s="161" t="s">
        <v>982</v>
      </c>
      <c r="F789" s="98" t="s">
        <v>983</v>
      </c>
      <c r="G789" s="172" t="s">
        <v>88</v>
      </c>
      <c r="H789" s="100" t="s">
        <v>1092</v>
      </c>
      <c r="I789" s="46" t="e">
        <f>VLOOKUP(H789,'合同高级查询数据-4月返'!A:A,1,FALSE)</f>
        <v>#N/A</v>
      </c>
      <c r="J789" s="47" t="s">
        <v>90</v>
      </c>
      <c r="K789" s="160" t="s">
        <v>1093</v>
      </c>
      <c r="L789" s="179"/>
      <c r="M789" s="49" t="s">
        <v>986</v>
      </c>
      <c r="N789" s="180">
        <v>44468</v>
      </c>
      <c r="O789" s="181" t="s">
        <v>507</v>
      </c>
      <c r="P789" s="182">
        <v>8595</v>
      </c>
      <c r="Q789" s="182">
        <v>10</v>
      </c>
      <c r="R789" s="118">
        <f t="shared" si="23"/>
        <v>85950</v>
      </c>
      <c r="S789" s="115">
        <v>202304</v>
      </c>
      <c r="T789" s="217" t="s">
        <v>1113</v>
      </c>
      <c r="U789" s="165"/>
      <c r="V789" s="165"/>
      <c r="W789" s="165"/>
      <c r="X789" s="116">
        <v>44356</v>
      </c>
      <c r="Y789" s="116">
        <v>46546</v>
      </c>
    </row>
    <row r="790" s="85" customFormat="1" customHeight="1" spans="1:25">
      <c r="A790" s="98" t="s">
        <v>448</v>
      </c>
      <c r="B790" s="98" t="s">
        <v>62</v>
      </c>
      <c r="C790" s="98" t="s">
        <v>238</v>
      </c>
      <c r="D790" s="98" t="s">
        <v>642</v>
      </c>
      <c r="E790" s="161" t="s">
        <v>982</v>
      </c>
      <c r="F790" s="98" t="s">
        <v>983</v>
      </c>
      <c r="G790" s="172" t="s">
        <v>88</v>
      </c>
      <c r="H790" s="100" t="s">
        <v>1092</v>
      </c>
      <c r="I790" s="46" t="e">
        <f>VLOOKUP(H790,'合同高级查询数据-4月返'!A:A,1,FALSE)</f>
        <v>#N/A</v>
      </c>
      <c r="J790" s="47" t="s">
        <v>90</v>
      </c>
      <c r="K790" s="160" t="s">
        <v>1093</v>
      </c>
      <c r="L790" s="179"/>
      <c r="M790" s="49" t="s">
        <v>986</v>
      </c>
      <c r="N790" s="180">
        <v>44483</v>
      </c>
      <c r="O790" s="181" t="s">
        <v>507</v>
      </c>
      <c r="P790" s="182">
        <v>8595</v>
      </c>
      <c r="Q790" s="182">
        <v>10</v>
      </c>
      <c r="R790" s="118">
        <f t="shared" si="23"/>
        <v>85950</v>
      </c>
      <c r="S790" s="115">
        <v>202304</v>
      </c>
      <c r="T790" s="217" t="s">
        <v>1114</v>
      </c>
      <c r="U790" s="165"/>
      <c r="V790" s="165"/>
      <c r="W790" s="165"/>
      <c r="X790" s="116">
        <v>44356</v>
      </c>
      <c r="Y790" s="116">
        <v>46546</v>
      </c>
    </row>
    <row r="791" s="85" customFormat="1" customHeight="1" spans="1:25">
      <c r="A791" s="98" t="s">
        <v>448</v>
      </c>
      <c r="B791" s="98" t="s">
        <v>62</v>
      </c>
      <c r="C791" s="98" t="s">
        <v>238</v>
      </c>
      <c r="D791" s="98" t="s">
        <v>642</v>
      </c>
      <c r="E791" s="161" t="s">
        <v>982</v>
      </c>
      <c r="F791" s="98" t="s">
        <v>983</v>
      </c>
      <c r="G791" s="172" t="s">
        <v>88</v>
      </c>
      <c r="H791" s="100" t="s">
        <v>1092</v>
      </c>
      <c r="I791" s="46" t="e">
        <f>VLOOKUP(H791,'合同高级查询数据-4月返'!A:A,1,FALSE)</f>
        <v>#N/A</v>
      </c>
      <c r="J791" s="47" t="s">
        <v>90</v>
      </c>
      <c r="K791" s="160" t="s">
        <v>1093</v>
      </c>
      <c r="L791" s="179"/>
      <c r="M791" s="49" t="s">
        <v>986</v>
      </c>
      <c r="N791" s="180">
        <v>44483</v>
      </c>
      <c r="O791" s="181" t="s">
        <v>507</v>
      </c>
      <c r="P791" s="182">
        <v>8595</v>
      </c>
      <c r="Q791" s="182">
        <v>51</v>
      </c>
      <c r="R791" s="118">
        <f t="shared" si="23"/>
        <v>438345</v>
      </c>
      <c r="S791" s="115">
        <v>202304</v>
      </c>
      <c r="T791" s="186" t="s">
        <v>1115</v>
      </c>
      <c r="U791" s="186"/>
      <c r="V791" s="165"/>
      <c r="W791" s="165"/>
      <c r="X791" s="116">
        <v>44356</v>
      </c>
      <c r="Y791" s="116">
        <v>46546</v>
      </c>
    </row>
    <row r="792" s="85" customFormat="1" customHeight="1" spans="1:25">
      <c r="A792" s="98" t="s">
        <v>448</v>
      </c>
      <c r="B792" s="98" t="s">
        <v>62</v>
      </c>
      <c r="C792" s="98" t="s">
        <v>238</v>
      </c>
      <c r="D792" s="98" t="s">
        <v>642</v>
      </c>
      <c r="E792" s="161" t="s">
        <v>982</v>
      </c>
      <c r="F792" s="98" t="s">
        <v>983</v>
      </c>
      <c r="G792" s="172" t="s">
        <v>88</v>
      </c>
      <c r="H792" s="100" t="s">
        <v>1092</v>
      </c>
      <c r="I792" s="46" t="e">
        <f>VLOOKUP(H792,'合同高级查询数据-4月返'!A:A,1,FALSE)</f>
        <v>#N/A</v>
      </c>
      <c r="J792" s="47" t="s">
        <v>90</v>
      </c>
      <c r="K792" s="160" t="s">
        <v>1093</v>
      </c>
      <c r="L792" s="179"/>
      <c r="M792" s="49" t="s">
        <v>986</v>
      </c>
      <c r="N792" s="180">
        <v>44484</v>
      </c>
      <c r="O792" s="181" t="s">
        <v>507</v>
      </c>
      <c r="P792" s="182">
        <v>8595</v>
      </c>
      <c r="Q792" s="182">
        <v>31</v>
      </c>
      <c r="R792" s="118">
        <f t="shared" si="23"/>
        <v>266445</v>
      </c>
      <c r="S792" s="115">
        <v>202304</v>
      </c>
      <c r="T792" s="186" t="s">
        <v>1116</v>
      </c>
      <c r="U792" s="186"/>
      <c r="V792" s="165"/>
      <c r="W792" s="165"/>
      <c r="X792" s="116">
        <v>44356</v>
      </c>
      <c r="Y792" s="116">
        <v>46546</v>
      </c>
    </row>
    <row r="793" s="85" customFormat="1" customHeight="1" spans="1:25">
      <c r="A793" s="98" t="s">
        <v>448</v>
      </c>
      <c r="B793" s="98" t="s">
        <v>62</v>
      </c>
      <c r="C793" s="98" t="s">
        <v>238</v>
      </c>
      <c r="D793" s="98" t="s">
        <v>642</v>
      </c>
      <c r="E793" s="161" t="s">
        <v>982</v>
      </c>
      <c r="F793" s="98" t="s">
        <v>983</v>
      </c>
      <c r="G793" s="172" t="s">
        <v>88</v>
      </c>
      <c r="H793" s="100" t="s">
        <v>1092</v>
      </c>
      <c r="I793" s="46" t="e">
        <f>VLOOKUP(H793,'合同高级查询数据-4月返'!A:A,1,FALSE)</f>
        <v>#N/A</v>
      </c>
      <c r="J793" s="47" t="s">
        <v>90</v>
      </c>
      <c r="K793" s="160" t="s">
        <v>1093</v>
      </c>
      <c r="L793" s="179"/>
      <c r="M793" s="49" t="s">
        <v>986</v>
      </c>
      <c r="N793" s="180">
        <v>44487</v>
      </c>
      <c r="O793" s="181" t="s">
        <v>507</v>
      </c>
      <c r="P793" s="182">
        <v>8595</v>
      </c>
      <c r="Q793" s="182">
        <v>2</v>
      </c>
      <c r="R793" s="118">
        <f t="shared" si="23"/>
        <v>17190</v>
      </c>
      <c r="S793" s="115">
        <v>202304</v>
      </c>
      <c r="T793" s="217" t="s">
        <v>1117</v>
      </c>
      <c r="U793" s="165"/>
      <c r="V793" s="165"/>
      <c r="W793" s="165"/>
      <c r="X793" s="116">
        <v>44356</v>
      </c>
      <c r="Y793" s="116">
        <v>46546</v>
      </c>
    </row>
    <row r="794" s="85" customFormat="1" customHeight="1" spans="1:25">
      <c r="A794" s="98" t="s">
        <v>448</v>
      </c>
      <c r="B794" s="98" t="s">
        <v>62</v>
      </c>
      <c r="C794" s="98" t="s">
        <v>238</v>
      </c>
      <c r="D794" s="98" t="s">
        <v>642</v>
      </c>
      <c r="E794" s="161" t="s">
        <v>982</v>
      </c>
      <c r="F794" s="98" t="s">
        <v>983</v>
      </c>
      <c r="G794" s="172" t="s">
        <v>88</v>
      </c>
      <c r="H794" s="100" t="s">
        <v>1092</v>
      </c>
      <c r="I794" s="46" t="e">
        <f>VLOOKUP(H794,'合同高级查询数据-4月返'!A:A,1,FALSE)</f>
        <v>#N/A</v>
      </c>
      <c r="J794" s="47" t="s">
        <v>90</v>
      </c>
      <c r="K794" s="160" t="s">
        <v>1093</v>
      </c>
      <c r="L794" s="179"/>
      <c r="M794" s="49" t="s">
        <v>986</v>
      </c>
      <c r="N794" s="180">
        <v>44495</v>
      </c>
      <c r="O794" s="181" t="s">
        <v>507</v>
      </c>
      <c r="P794" s="182">
        <v>8595</v>
      </c>
      <c r="Q794" s="182">
        <v>4</v>
      </c>
      <c r="R794" s="118">
        <f t="shared" si="23"/>
        <v>34380</v>
      </c>
      <c r="S794" s="115">
        <v>202304</v>
      </c>
      <c r="T794" s="217" t="s">
        <v>1118</v>
      </c>
      <c r="U794" s="165"/>
      <c r="V794" s="165"/>
      <c r="W794" s="165"/>
      <c r="X794" s="116">
        <v>44356</v>
      </c>
      <c r="Y794" s="116">
        <v>46546</v>
      </c>
    </row>
    <row r="795" s="85" customFormat="1" customHeight="1" spans="1:25">
      <c r="A795" s="98" t="s">
        <v>448</v>
      </c>
      <c r="B795" s="98" t="s">
        <v>62</v>
      </c>
      <c r="C795" s="98" t="s">
        <v>238</v>
      </c>
      <c r="D795" s="98" t="s">
        <v>642</v>
      </c>
      <c r="E795" s="161" t="s">
        <v>982</v>
      </c>
      <c r="F795" s="98" t="s">
        <v>983</v>
      </c>
      <c r="G795" s="172" t="s">
        <v>88</v>
      </c>
      <c r="H795" s="100" t="s">
        <v>1092</v>
      </c>
      <c r="I795" s="46" t="e">
        <f>VLOOKUP(H795,'合同高级查询数据-4月返'!A:A,1,FALSE)</f>
        <v>#N/A</v>
      </c>
      <c r="J795" s="47" t="s">
        <v>90</v>
      </c>
      <c r="K795" s="160" t="s">
        <v>1093</v>
      </c>
      <c r="L795" s="179"/>
      <c r="M795" s="49" t="s">
        <v>986</v>
      </c>
      <c r="N795" s="180">
        <v>44501</v>
      </c>
      <c r="O795" s="181" t="s">
        <v>507</v>
      </c>
      <c r="P795" s="182">
        <v>8595</v>
      </c>
      <c r="Q795" s="182">
        <v>1</v>
      </c>
      <c r="R795" s="118">
        <f t="shared" si="23"/>
        <v>8595</v>
      </c>
      <c r="S795" s="115">
        <v>202304</v>
      </c>
      <c r="T795" s="217" t="s">
        <v>1119</v>
      </c>
      <c r="U795" s="165"/>
      <c r="V795" s="165"/>
      <c r="W795" s="165"/>
      <c r="X795" s="116">
        <v>44356</v>
      </c>
      <c r="Y795" s="116">
        <v>46546</v>
      </c>
    </row>
    <row r="796" s="85" customFormat="1" customHeight="1" spans="1:25">
      <c r="A796" s="98" t="s">
        <v>448</v>
      </c>
      <c r="B796" s="98" t="s">
        <v>62</v>
      </c>
      <c r="C796" s="98" t="s">
        <v>238</v>
      </c>
      <c r="D796" s="98" t="s">
        <v>642</v>
      </c>
      <c r="E796" s="161" t="s">
        <v>982</v>
      </c>
      <c r="F796" s="98" t="s">
        <v>983</v>
      </c>
      <c r="G796" s="172" t="s">
        <v>88</v>
      </c>
      <c r="H796" s="100" t="s">
        <v>1092</v>
      </c>
      <c r="I796" s="46" t="e">
        <f>VLOOKUP(H796,'合同高级查询数据-4月返'!A:A,1,FALSE)</f>
        <v>#N/A</v>
      </c>
      <c r="J796" s="47" t="s">
        <v>90</v>
      </c>
      <c r="K796" s="160" t="s">
        <v>1093</v>
      </c>
      <c r="L796" s="179"/>
      <c r="M796" s="49" t="s">
        <v>986</v>
      </c>
      <c r="N796" s="180">
        <v>44551</v>
      </c>
      <c r="O796" s="181" t="s">
        <v>507</v>
      </c>
      <c r="P796" s="182">
        <v>8595</v>
      </c>
      <c r="Q796" s="182">
        <v>-10</v>
      </c>
      <c r="R796" s="118">
        <f t="shared" si="23"/>
        <v>-85950</v>
      </c>
      <c r="S796" s="115">
        <v>202304</v>
      </c>
      <c r="T796" s="217" t="s">
        <v>1120</v>
      </c>
      <c r="U796" s="165"/>
      <c r="V796" s="165"/>
      <c r="W796" s="165"/>
      <c r="X796" s="116">
        <v>44356</v>
      </c>
      <c r="Y796" s="116">
        <v>46546</v>
      </c>
    </row>
    <row r="797" s="85" customFormat="1" customHeight="1" spans="1:25">
      <c r="A797" s="98" t="s">
        <v>448</v>
      </c>
      <c r="B797" s="98" t="s">
        <v>62</v>
      </c>
      <c r="C797" s="98" t="s">
        <v>238</v>
      </c>
      <c r="D797" s="98" t="s">
        <v>642</v>
      </c>
      <c r="E797" s="161" t="s">
        <v>982</v>
      </c>
      <c r="F797" s="98" t="s">
        <v>983</v>
      </c>
      <c r="G797" s="172" t="s">
        <v>88</v>
      </c>
      <c r="H797" s="100" t="s">
        <v>1092</v>
      </c>
      <c r="I797" s="46" t="e">
        <f>VLOOKUP(H797,'合同高级查询数据-4月返'!A:A,1,FALSE)</f>
        <v>#N/A</v>
      </c>
      <c r="J797" s="47" t="s">
        <v>90</v>
      </c>
      <c r="K797" s="160" t="s">
        <v>1093</v>
      </c>
      <c r="L797" s="179"/>
      <c r="M797" s="49" t="s">
        <v>986</v>
      </c>
      <c r="N797" s="180">
        <v>44560</v>
      </c>
      <c r="O797" s="181" t="s">
        <v>507</v>
      </c>
      <c r="P797" s="182">
        <v>8595</v>
      </c>
      <c r="Q797" s="182">
        <v>10</v>
      </c>
      <c r="R797" s="118">
        <f t="shared" si="23"/>
        <v>85950</v>
      </c>
      <c r="S797" s="115">
        <v>202304</v>
      </c>
      <c r="T797" s="217" t="s">
        <v>1121</v>
      </c>
      <c r="U797" s="165"/>
      <c r="V797" s="165"/>
      <c r="W797" s="165"/>
      <c r="X797" s="116">
        <v>44356</v>
      </c>
      <c r="Y797" s="116">
        <v>46546</v>
      </c>
    </row>
    <row r="798" s="85" customFormat="1" customHeight="1" spans="1:25">
      <c r="A798" s="98" t="s">
        <v>448</v>
      </c>
      <c r="B798" s="98" t="s">
        <v>62</v>
      </c>
      <c r="C798" s="98" t="s">
        <v>238</v>
      </c>
      <c r="D798" s="98" t="s">
        <v>642</v>
      </c>
      <c r="E798" s="161" t="s">
        <v>982</v>
      </c>
      <c r="F798" s="98" t="s">
        <v>983</v>
      </c>
      <c r="G798" s="172" t="s">
        <v>88</v>
      </c>
      <c r="H798" s="100" t="s">
        <v>1092</v>
      </c>
      <c r="I798" s="46" t="e">
        <f>VLOOKUP(H798,'合同高级查询数据-4月返'!A:A,1,FALSE)</f>
        <v>#N/A</v>
      </c>
      <c r="J798" s="47" t="s">
        <v>90</v>
      </c>
      <c r="K798" s="160" t="s">
        <v>1093</v>
      </c>
      <c r="L798" s="179"/>
      <c r="M798" s="49" t="s">
        <v>986</v>
      </c>
      <c r="N798" s="180">
        <v>44609</v>
      </c>
      <c r="O798" s="181" t="s">
        <v>507</v>
      </c>
      <c r="P798" s="182">
        <v>8595</v>
      </c>
      <c r="Q798" s="182">
        <v>2</v>
      </c>
      <c r="R798" s="118">
        <f t="shared" si="23"/>
        <v>17190</v>
      </c>
      <c r="S798" s="115">
        <v>202304</v>
      </c>
      <c r="T798" s="217" t="s">
        <v>1122</v>
      </c>
      <c r="U798" s="165"/>
      <c r="V798" s="165"/>
      <c r="W798" s="165"/>
      <c r="X798" s="116">
        <v>44356</v>
      </c>
      <c r="Y798" s="116">
        <v>46546</v>
      </c>
    </row>
    <row r="799" s="85" customFormat="1" customHeight="1" spans="1:25">
      <c r="A799" s="160" t="s">
        <v>448</v>
      </c>
      <c r="B799" s="24" t="s">
        <v>62</v>
      </c>
      <c r="C799" s="98" t="s">
        <v>238</v>
      </c>
      <c r="D799" s="98" t="s">
        <v>642</v>
      </c>
      <c r="E799" s="162" t="s">
        <v>982</v>
      </c>
      <c r="F799" s="160" t="s">
        <v>983</v>
      </c>
      <c r="G799" s="25" t="s">
        <v>88</v>
      </c>
      <c r="H799" s="99" t="s">
        <v>1092</v>
      </c>
      <c r="I799" s="46" t="e">
        <f>VLOOKUP(H799,'合同高级查询数据-4月返'!A:A,1,FALSE)</f>
        <v>#N/A</v>
      </c>
      <c r="J799" s="25" t="s">
        <v>90</v>
      </c>
      <c r="K799" s="160" t="s">
        <v>1093</v>
      </c>
      <c r="L799" s="107"/>
      <c r="M799" s="49" t="s">
        <v>986</v>
      </c>
      <c r="N799" s="73">
        <v>44620</v>
      </c>
      <c r="O799" s="107" t="s">
        <v>507</v>
      </c>
      <c r="P799" s="164">
        <v>8595</v>
      </c>
      <c r="Q799" s="164">
        <v>8</v>
      </c>
      <c r="R799" s="118">
        <f t="shared" si="23"/>
        <v>68760</v>
      </c>
      <c r="S799" s="115">
        <v>202304</v>
      </c>
      <c r="T799" s="115" t="s">
        <v>1123</v>
      </c>
      <c r="U799" s="166"/>
      <c r="V799" s="165"/>
      <c r="W799" s="165"/>
      <c r="X799" s="116">
        <v>44356</v>
      </c>
      <c r="Y799" s="116">
        <v>46546</v>
      </c>
    </row>
    <row r="800" s="85" customFormat="1" customHeight="1" spans="1:25">
      <c r="A800" s="98" t="s">
        <v>448</v>
      </c>
      <c r="B800" s="98" t="s">
        <v>62</v>
      </c>
      <c r="C800" s="98" t="s">
        <v>238</v>
      </c>
      <c r="D800" s="98" t="s">
        <v>642</v>
      </c>
      <c r="E800" s="161" t="s">
        <v>982</v>
      </c>
      <c r="F800" s="98" t="s">
        <v>983</v>
      </c>
      <c r="G800" s="172" t="s">
        <v>88</v>
      </c>
      <c r="H800" s="100" t="s">
        <v>1092</v>
      </c>
      <c r="I800" s="46" t="e">
        <f>VLOOKUP(H800,'合同高级查询数据-4月返'!A:A,1,FALSE)</f>
        <v>#N/A</v>
      </c>
      <c r="J800" s="47" t="s">
        <v>90</v>
      </c>
      <c r="K800" s="160" t="s">
        <v>1093</v>
      </c>
      <c r="L800" s="179"/>
      <c r="M800" s="49" t="s">
        <v>986</v>
      </c>
      <c r="N800" s="180">
        <v>44621</v>
      </c>
      <c r="O800" s="181" t="s">
        <v>507</v>
      </c>
      <c r="P800" s="182">
        <v>8595</v>
      </c>
      <c r="Q800" s="182">
        <v>1</v>
      </c>
      <c r="R800" s="118">
        <f t="shared" si="23"/>
        <v>8595</v>
      </c>
      <c r="S800" s="115">
        <v>202304</v>
      </c>
      <c r="T800" s="217" t="s">
        <v>1124</v>
      </c>
      <c r="U800" s="165"/>
      <c r="V800" s="165"/>
      <c r="W800" s="165"/>
      <c r="X800" s="116">
        <v>44356</v>
      </c>
      <c r="Y800" s="116">
        <v>46546</v>
      </c>
    </row>
    <row r="801" s="85" customFormat="1" customHeight="1" spans="1:25">
      <c r="A801" s="98" t="s">
        <v>448</v>
      </c>
      <c r="B801" s="98" t="s">
        <v>62</v>
      </c>
      <c r="C801" s="98" t="s">
        <v>238</v>
      </c>
      <c r="D801" s="98" t="s">
        <v>642</v>
      </c>
      <c r="E801" s="161" t="s">
        <v>982</v>
      </c>
      <c r="F801" s="98" t="s">
        <v>983</v>
      </c>
      <c r="G801" s="172" t="s">
        <v>88</v>
      </c>
      <c r="H801" s="100" t="s">
        <v>1092</v>
      </c>
      <c r="I801" s="46" t="e">
        <f>VLOOKUP(H801,'合同高级查询数据-4月返'!A:A,1,FALSE)</f>
        <v>#N/A</v>
      </c>
      <c r="J801" s="47" t="s">
        <v>90</v>
      </c>
      <c r="K801" s="160" t="s">
        <v>1093</v>
      </c>
      <c r="L801" s="179"/>
      <c r="M801" s="49" t="s">
        <v>986</v>
      </c>
      <c r="N801" s="180">
        <v>44630</v>
      </c>
      <c r="O801" s="181" t="s">
        <v>507</v>
      </c>
      <c r="P801" s="182">
        <v>8595</v>
      </c>
      <c r="Q801" s="182">
        <v>-6</v>
      </c>
      <c r="R801" s="118">
        <f t="shared" si="23"/>
        <v>-51570</v>
      </c>
      <c r="S801" s="115">
        <v>202304</v>
      </c>
      <c r="T801" s="217" t="s">
        <v>1125</v>
      </c>
      <c r="U801" s="165"/>
      <c r="V801" s="165"/>
      <c r="W801" s="165"/>
      <c r="X801" s="116">
        <v>44356</v>
      </c>
      <c r="Y801" s="116">
        <v>46546</v>
      </c>
    </row>
    <row r="802" s="85" customFormat="1" customHeight="1" spans="1:25">
      <c r="A802" s="98" t="s">
        <v>448</v>
      </c>
      <c r="B802" s="98" t="s">
        <v>62</v>
      </c>
      <c r="C802" s="98" t="s">
        <v>238</v>
      </c>
      <c r="D802" s="98" t="s">
        <v>642</v>
      </c>
      <c r="E802" s="161" t="s">
        <v>982</v>
      </c>
      <c r="F802" s="98" t="s">
        <v>983</v>
      </c>
      <c r="G802" s="172" t="s">
        <v>88</v>
      </c>
      <c r="H802" s="100" t="s">
        <v>1092</v>
      </c>
      <c r="I802" s="46" t="e">
        <f>VLOOKUP(H802,'合同高级查询数据-4月返'!A:A,1,FALSE)</f>
        <v>#N/A</v>
      </c>
      <c r="J802" s="47" t="s">
        <v>90</v>
      </c>
      <c r="K802" s="160" t="s">
        <v>1093</v>
      </c>
      <c r="L802" s="179"/>
      <c r="M802" s="49" t="s">
        <v>986</v>
      </c>
      <c r="N802" s="180">
        <v>44645</v>
      </c>
      <c r="O802" s="181" t="s">
        <v>507</v>
      </c>
      <c r="P802" s="182">
        <v>8595</v>
      </c>
      <c r="Q802" s="182">
        <v>3</v>
      </c>
      <c r="R802" s="118">
        <f t="shared" si="23"/>
        <v>25785</v>
      </c>
      <c r="S802" s="115">
        <v>202304</v>
      </c>
      <c r="T802" s="217" t="s">
        <v>1126</v>
      </c>
      <c r="U802" s="165"/>
      <c r="V802" s="165"/>
      <c r="W802" s="165"/>
      <c r="X802" s="116">
        <v>44356</v>
      </c>
      <c r="Y802" s="116">
        <v>46546</v>
      </c>
    </row>
    <row r="803" s="85" customFormat="1" customHeight="1" spans="1:25">
      <c r="A803" s="98" t="s">
        <v>448</v>
      </c>
      <c r="B803" s="98" t="s">
        <v>62</v>
      </c>
      <c r="C803" s="98" t="s">
        <v>238</v>
      </c>
      <c r="D803" s="98" t="s">
        <v>642</v>
      </c>
      <c r="E803" s="161" t="s">
        <v>982</v>
      </c>
      <c r="F803" s="98" t="s">
        <v>983</v>
      </c>
      <c r="G803" s="172" t="s">
        <v>88</v>
      </c>
      <c r="H803" s="100" t="s">
        <v>1092</v>
      </c>
      <c r="I803" s="46" t="e">
        <f>VLOOKUP(H803,'合同高级查询数据-4月返'!A:A,1,FALSE)</f>
        <v>#N/A</v>
      </c>
      <c r="J803" s="47" t="s">
        <v>90</v>
      </c>
      <c r="K803" s="160" t="s">
        <v>1093</v>
      </c>
      <c r="L803" s="179"/>
      <c r="M803" s="49" t="s">
        <v>986</v>
      </c>
      <c r="N803" s="180">
        <v>44755</v>
      </c>
      <c r="O803" s="181" t="s">
        <v>503</v>
      </c>
      <c r="P803" s="182">
        <v>5900</v>
      </c>
      <c r="Q803" s="182">
        <v>2</v>
      </c>
      <c r="R803" s="118">
        <f t="shared" si="23"/>
        <v>11800</v>
      </c>
      <c r="S803" s="115">
        <v>202304</v>
      </c>
      <c r="T803" s="217" t="s">
        <v>1127</v>
      </c>
      <c r="U803" s="165"/>
      <c r="V803" s="165"/>
      <c r="W803" s="165"/>
      <c r="X803" s="116">
        <v>44356</v>
      </c>
      <c r="Y803" s="116">
        <v>46546</v>
      </c>
    </row>
    <row r="804" s="85" customFormat="1" customHeight="1" spans="1:25">
      <c r="A804" s="98" t="s">
        <v>448</v>
      </c>
      <c r="B804" s="98" t="s">
        <v>62</v>
      </c>
      <c r="C804" s="98" t="s">
        <v>238</v>
      </c>
      <c r="D804" s="98" t="s">
        <v>642</v>
      </c>
      <c r="E804" s="161" t="s">
        <v>982</v>
      </c>
      <c r="F804" s="98" t="s">
        <v>983</v>
      </c>
      <c r="G804" s="172" t="s">
        <v>88</v>
      </c>
      <c r="H804" s="100" t="s">
        <v>1092</v>
      </c>
      <c r="I804" s="46" t="e">
        <f>VLOOKUP(H804,'合同高级查询数据-4月返'!A:A,1,FALSE)</f>
        <v>#N/A</v>
      </c>
      <c r="J804" s="47" t="s">
        <v>90</v>
      </c>
      <c r="K804" s="160" t="s">
        <v>1093</v>
      </c>
      <c r="L804" s="179"/>
      <c r="M804" s="49" t="s">
        <v>986</v>
      </c>
      <c r="N804" s="180">
        <v>44757</v>
      </c>
      <c r="O804" s="181" t="s">
        <v>606</v>
      </c>
      <c r="P804" s="182">
        <v>11200</v>
      </c>
      <c r="Q804" s="182">
        <v>4</v>
      </c>
      <c r="R804" s="118">
        <f t="shared" si="23"/>
        <v>44800</v>
      </c>
      <c r="S804" s="115">
        <v>202304</v>
      </c>
      <c r="T804" s="217" t="s">
        <v>1128</v>
      </c>
      <c r="U804" s="165"/>
      <c r="V804" s="165"/>
      <c r="W804" s="165"/>
      <c r="X804" s="116">
        <v>44356</v>
      </c>
      <c r="Y804" s="116">
        <v>46546</v>
      </c>
    </row>
    <row r="805" s="85" customFormat="1" customHeight="1" spans="1:25">
      <c r="A805" s="98" t="s">
        <v>448</v>
      </c>
      <c r="B805" s="98" t="s">
        <v>62</v>
      </c>
      <c r="C805" s="98" t="s">
        <v>238</v>
      </c>
      <c r="D805" s="98" t="s">
        <v>642</v>
      </c>
      <c r="E805" s="161" t="s">
        <v>982</v>
      </c>
      <c r="F805" s="98" t="s">
        <v>983</v>
      </c>
      <c r="G805" s="172" t="s">
        <v>88</v>
      </c>
      <c r="H805" s="100" t="s">
        <v>1092</v>
      </c>
      <c r="I805" s="46" t="e">
        <f>VLOOKUP(H805,'合同高级查询数据-4月返'!A:A,1,FALSE)</f>
        <v>#N/A</v>
      </c>
      <c r="J805" s="47" t="s">
        <v>90</v>
      </c>
      <c r="K805" s="160" t="s">
        <v>1093</v>
      </c>
      <c r="L805" s="179"/>
      <c r="M805" s="49" t="s">
        <v>986</v>
      </c>
      <c r="N805" s="180">
        <v>44862</v>
      </c>
      <c r="O805" s="181" t="s">
        <v>507</v>
      </c>
      <c r="P805" s="182">
        <v>8595</v>
      </c>
      <c r="Q805" s="182">
        <v>-13</v>
      </c>
      <c r="R805" s="118">
        <f t="shared" si="23"/>
        <v>-111735</v>
      </c>
      <c r="S805" s="115">
        <v>202304</v>
      </c>
      <c r="T805" s="217" t="s">
        <v>1129</v>
      </c>
      <c r="U805" s="165"/>
      <c r="V805" s="165"/>
      <c r="W805" s="165"/>
      <c r="X805" s="116">
        <v>44356</v>
      </c>
      <c r="Y805" s="116">
        <v>46546</v>
      </c>
    </row>
    <row r="806" s="85" customFormat="1" customHeight="1" spans="1:25">
      <c r="A806" s="98" t="s">
        <v>448</v>
      </c>
      <c r="B806" s="98" t="s">
        <v>62</v>
      </c>
      <c r="C806" s="98" t="s">
        <v>238</v>
      </c>
      <c r="D806" s="98" t="s">
        <v>642</v>
      </c>
      <c r="E806" s="161" t="s">
        <v>982</v>
      </c>
      <c r="F806" s="98" t="s">
        <v>983</v>
      </c>
      <c r="G806" s="172" t="s">
        <v>88</v>
      </c>
      <c r="H806" s="100" t="s">
        <v>1092</v>
      </c>
      <c r="I806" s="46" t="e">
        <f>VLOOKUP(H806,'合同高级查询数据-4月返'!A:A,1,FALSE)</f>
        <v>#N/A</v>
      </c>
      <c r="J806" s="47" t="s">
        <v>90</v>
      </c>
      <c r="K806" s="160" t="s">
        <v>1093</v>
      </c>
      <c r="L806" s="179"/>
      <c r="M806" s="49" t="s">
        <v>986</v>
      </c>
      <c r="N806" s="180">
        <v>44866</v>
      </c>
      <c r="O806" s="181" t="s">
        <v>600</v>
      </c>
      <c r="P806" s="182">
        <v>0</v>
      </c>
      <c r="Q806" s="182">
        <v>20</v>
      </c>
      <c r="R806" s="118">
        <f t="shared" si="23"/>
        <v>0</v>
      </c>
      <c r="S806" s="115">
        <v>202304</v>
      </c>
      <c r="T806" s="217" t="s">
        <v>1130</v>
      </c>
      <c r="U806" s="165"/>
      <c r="V806" s="165"/>
      <c r="W806" s="165"/>
      <c r="X806" s="116">
        <v>44356</v>
      </c>
      <c r="Y806" s="116">
        <v>46546</v>
      </c>
    </row>
    <row r="807" s="85" customFormat="1" customHeight="1" spans="1:25">
      <c r="A807" s="98" t="s">
        <v>448</v>
      </c>
      <c r="B807" s="98" t="s">
        <v>62</v>
      </c>
      <c r="C807" s="98" t="s">
        <v>238</v>
      </c>
      <c r="D807" s="98" t="s">
        <v>642</v>
      </c>
      <c r="E807" s="161" t="s">
        <v>982</v>
      </c>
      <c r="F807" s="98" t="s">
        <v>983</v>
      </c>
      <c r="G807" s="172" t="s">
        <v>88</v>
      </c>
      <c r="H807" s="100" t="s">
        <v>1092</v>
      </c>
      <c r="I807" s="46" t="e">
        <f>VLOOKUP(H807,'合同高级查询数据-4月返'!A:A,1,FALSE)</f>
        <v>#N/A</v>
      </c>
      <c r="J807" s="47" t="s">
        <v>357</v>
      </c>
      <c r="K807" s="160" t="s">
        <v>1093</v>
      </c>
      <c r="L807" s="179"/>
      <c r="M807" s="49" t="s">
        <v>986</v>
      </c>
      <c r="N807" s="180"/>
      <c r="O807" s="181"/>
      <c r="P807" s="182">
        <v>300</v>
      </c>
      <c r="Q807" s="182">
        <v>1100</v>
      </c>
      <c r="R807" s="118">
        <f t="shared" si="23"/>
        <v>330000</v>
      </c>
      <c r="S807" s="115">
        <v>202304</v>
      </c>
      <c r="T807" s="217" t="s">
        <v>1131</v>
      </c>
      <c r="U807" s="165"/>
      <c r="V807" s="165"/>
      <c r="W807" s="165"/>
      <c r="X807" s="116">
        <v>44356</v>
      </c>
      <c r="Y807" s="116">
        <v>46546</v>
      </c>
    </row>
    <row r="808" s="85" customFormat="1" customHeight="1" spans="1:25">
      <c r="A808" s="98" t="s">
        <v>448</v>
      </c>
      <c r="B808" s="98" t="s">
        <v>62</v>
      </c>
      <c r="C808" s="98" t="s">
        <v>238</v>
      </c>
      <c r="D808" s="98" t="s">
        <v>642</v>
      </c>
      <c r="E808" s="161" t="s">
        <v>982</v>
      </c>
      <c r="F808" s="98" t="s">
        <v>983</v>
      </c>
      <c r="G808" s="172" t="s">
        <v>88</v>
      </c>
      <c r="H808" s="100" t="s">
        <v>1132</v>
      </c>
      <c r="I808" s="46" t="e">
        <f>VLOOKUP(H808,'合同高级查询数据-4月返'!A:A,1,FALSE)</f>
        <v>#N/A</v>
      </c>
      <c r="J808" s="47" t="s">
        <v>90</v>
      </c>
      <c r="K808" s="160" t="s">
        <v>1133</v>
      </c>
      <c r="L808" s="179"/>
      <c r="M808" s="49" t="s">
        <v>986</v>
      </c>
      <c r="N808" s="180">
        <v>44637</v>
      </c>
      <c r="O808" s="181" t="s">
        <v>507</v>
      </c>
      <c r="P808" s="182">
        <v>8595</v>
      </c>
      <c r="Q808" s="182">
        <v>178</v>
      </c>
      <c r="R808" s="118">
        <f t="shared" si="23"/>
        <v>1529910</v>
      </c>
      <c r="S808" s="115">
        <v>202304</v>
      </c>
      <c r="T808" s="217" t="s">
        <v>1134</v>
      </c>
      <c r="U808" s="165"/>
      <c r="V808" s="165"/>
      <c r="W808" s="165"/>
      <c r="X808" s="116">
        <v>44593</v>
      </c>
      <c r="Y808" s="116">
        <v>46783</v>
      </c>
    </row>
    <row r="809" s="85" customFormat="1" customHeight="1" spans="1:25">
      <c r="A809" s="98" t="s">
        <v>448</v>
      </c>
      <c r="B809" s="98" t="s">
        <v>62</v>
      </c>
      <c r="C809" s="98" t="s">
        <v>238</v>
      </c>
      <c r="D809" s="98" t="s">
        <v>642</v>
      </c>
      <c r="E809" s="161" t="s">
        <v>982</v>
      </c>
      <c r="F809" s="98" t="s">
        <v>983</v>
      </c>
      <c r="G809" s="172" t="s">
        <v>88</v>
      </c>
      <c r="H809" s="100" t="s">
        <v>1132</v>
      </c>
      <c r="I809" s="46" t="e">
        <f>VLOOKUP(H809,'合同高级查询数据-4月返'!A:A,1,FALSE)</f>
        <v>#N/A</v>
      </c>
      <c r="J809" s="47" t="s">
        <v>90</v>
      </c>
      <c r="K809" s="160" t="s">
        <v>1133</v>
      </c>
      <c r="L809" s="179"/>
      <c r="M809" s="49" t="s">
        <v>986</v>
      </c>
      <c r="N809" s="180">
        <v>44637</v>
      </c>
      <c r="O809" s="181" t="s">
        <v>503</v>
      </c>
      <c r="P809" s="182">
        <v>5900</v>
      </c>
      <c r="Q809" s="182">
        <v>2</v>
      </c>
      <c r="R809" s="118">
        <f t="shared" si="23"/>
        <v>11800</v>
      </c>
      <c r="S809" s="115">
        <v>202304</v>
      </c>
      <c r="T809" s="217" t="s">
        <v>1135</v>
      </c>
      <c r="U809" s="165"/>
      <c r="V809" s="165"/>
      <c r="W809" s="165"/>
      <c r="X809" s="116">
        <v>44593</v>
      </c>
      <c r="Y809" s="116">
        <v>46783</v>
      </c>
    </row>
    <row r="810" s="85" customFormat="1" customHeight="1" spans="1:25">
      <c r="A810" s="98" t="s">
        <v>448</v>
      </c>
      <c r="B810" s="98" t="s">
        <v>62</v>
      </c>
      <c r="C810" s="98" t="s">
        <v>238</v>
      </c>
      <c r="D810" s="98" t="s">
        <v>642</v>
      </c>
      <c r="E810" s="161" t="s">
        <v>982</v>
      </c>
      <c r="F810" s="98" t="s">
        <v>983</v>
      </c>
      <c r="G810" s="172" t="s">
        <v>88</v>
      </c>
      <c r="H810" s="100" t="s">
        <v>1132</v>
      </c>
      <c r="I810" s="46" t="e">
        <f>VLOOKUP(H810,'合同高级查询数据-4月返'!A:A,1,FALSE)</f>
        <v>#N/A</v>
      </c>
      <c r="J810" s="47" t="s">
        <v>90</v>
      </c>
      <c r="K810" s="160" t="s">
        <v>1133</v>
      </c>
      <c r="L810" s="179"/>
      <c r="M810" s="49" t="s">
        <v>986</v>
      </c>
      <c r="N810" s="180">
        <v>44866</v>
      </c>
      <c r="O810" s="181" t="s">
        <v>600</v>
      </c>
      <c r="P810" s="182">
        <v>0</v>
      </c>
      <c r="Q810" s="182">
        <v>2</v>
      </c>
      <c r="R810" s="118">
        <f t="shared" si="23"/>
        <v>0</v>
      </c>
      <c r="S810" s="115">
        <v>202304</v>
      </c>
      <c r="T810" s="217" t="s">
        <v>1136</v>
      </c>
      <c r="U810" s="165"/>
      <c r="V810" s="165"/>
      <c r="W810" s="165"/>
      <c r="X810" s="116">
        <v>44593</v>
      </c>
      <c r="Y810" s="116">
        <v>46783</v>
      </c>
    </row>
    <row r="811" s="85" customFormat="1" customHeight="1" spans="1:25">
      <c r="A811" s="98" t="s">
        <v>448</v>
      </c>
      <c r="B811" s="98" t="s">
        <v>62</v>
      </c>
      <c r="C811" s="98" t="s">
        <v>238</v>
      </c>
      <c r="D811" s="98" t="s">
        <v>642</v>
      </c>
      <c r="E811" s="161" t="s">
        <v>982</v>
      </c>
      <c r="F811" s="98" t="s">
        <v>983</v>
      </c>
      <c r="G811" s="172" t="s">
        <v>88</v>
      </c>
      <c r="H811" s="100" t="s">
        <v>1132</v>
      </c>
      <c r="I811" s="46" t="e">
        <f>VLOOKUP(H811,'合同高级查询数据-4月返'!A:A,1,FALSE)</f>
        <v>#N/A</v>
      </c>
      <c r="J811" s="47" t="s">
        <v>357</v>
      </c>
      <c r="K811" s="160" t="s">
        <v>1133</v>
      </c>
      <c r="L811" s="179"/>
      <c r="M811" s="49" t="s">
        <v>986</v>
      </c>
      <c r="N811" s="180"/>
      <c r="O811" s="181"/>
      <c r="P811" s="182">
        <v>300</v>
      </c>
      <c r="Q811" s="182">
        <v>50</v>
      </c>
      <c r="R811" s="118">
        <f t="shared" si="23"/>
        <v>15000</v>
      </c>
      <c r="S811" s="115">
        <v>202304</v>
      </c>
      <c r="T811" s="217" t="s">
        <v>1137</v>
      </c>
      <c r="U811" s="165"/>
      <c r="V811" s="165"/>
      <c r="W811" s="165"/>
      <c r="X811" s="116">
        <v>44593</v>
      </c>
      <c r="Y811" s="116">
        <v>46783</v>
      </c>
    </row>
    <row r="812" s="85" customFormat="1" customHeight="1" spans="1:25">
      <c r="A812" s="98" t="s">
        <v>448</v>
      </c>
      <c r="B812" s="98" t="s">
        <v>62</v>
      </c>
      <c r="C812" s="98" t="s">
        <v>238</v>
      </c>
      <c r="D812" s="98" t="s">
        <v>642</v>
      </c>
      <c r="E812" s="161" t="s">
        <v>982</v>
      </c>
      <c r="F812" s="98" t="s">
        <v>983</v>
      </c>
      <c r="G812" s="172" t="s">
        <v>88</v>
      </c>
      <c r="H812" s="100" t="s">
        <v>1138</v>
      </c>
      <c r="I812" s="46" t="e">
        <f>VLOOKUP(H812,'合同高级查询数据-4月返'!A:A,1,FALSE)</f>
        <v>#N/A</v>
      </c>
      <c r="J812" s="47" t="s">
        <v>90</v>
      </c>
      <c r="K812" s="160" t="s">
        <v>1139</v>
      </c>
      <c r="L812" s="179"/>
      <c r="M812" s="49" t="s">
        <v>986</v>
      </c>
      <c r="N812" s="180">
        <v>44713</v>
      </c>
      <c r="O812" s="181" t="s">
        <v>503</v>
      </c>
      <c r="P812" s="182">
        <v>5900</v>
      </c>
      <c r="Q812" s="182">
        <v>1</v>
      </c>
      <c r="R812" s="118">
        <f t="shared" si="23"/>
        <v>5900</v>
      </c>
      <c r="S812" s="115">
        <v>202304</v>
      </c>
      <c r="T812" s="217" t="s">
        <v>1140</v>
      </c>
      <c r="U812" s="165"/>
      <c r="V812" s="165"/>
      <c r="W812" s="165"/>
      <c r="X812" s="116">
        <v>44679</v>
      </c>
      <c r="Y812" s="116">
        <v>46873</v>
      </c>
    </row>
    <row r="813" s="85" customFormat="1" customHeight="1" spans="1:25">
      <c r="A813" s="98" t="s">
        <v>448</v>
      </c>
      <c r="B813" s="98" t="s">
        <v>62</v>
      </c>
      <c r="C813" s="98" t="s">
        <v>238</v>
      </c>
      <c r="D813" s="98" t="s">
        <v>642</v>
      </c>
      <c r="E813" s="161" t="s">
        <v>982</v>
      </c>
      <c r="F813" s="98" t="s">
        <v>983</v>
      </c>
      <c r="G813" s="172" t="s">
        <v>88</v>
      </c>
      <c r="H813" s="100" t="s">
        <v>1138</v>
      </c>
      <c r="I813" s="46" t="e">
        <f>VLOOKUP(H813,'合同高级查询数据-4月返'!A:A,1,FALSE)</f>
        <v>#N/A</v>
      </c>
      <c r="J813" s="47" t="s">
        <v>90</v>
      </c>
      <c r="K813" s="160" t="s">
        <v>1139</v>
      </c>
      <c r="L813" s="179"/>
      <c r="M813" s="49" t="s">
        <v>986</v>
      </c>
      <c r="N813" s="180">
        <v>44713</v>
      </c>
      <c r="O813" s="181" t="s">
        <v>507</v>
      </c>
      <c r="P813" s="182">
        <v>8595</v>
      </c>
      <c r="Q813" s="182">
        <v>123</v>
      </c>
      <c r="R813" s="118">
        <f t="shared" si="23"/>
        <v>1057185</v>
      </c>
      <c r="S813" s="115">
        <v>202304</v>
      </c>
      <c r="T813" s="217" t="s">
        <v>1141</v>
      </c>
      <c r="U813" s="165"/>
      <c r="V813" s="165"/>
      <c r="W813" s="165"/>
      <c r="X813" s="116">
        <v>44679</v>
      </c>
      <c r="Y813" s="116">
        <v>46873</v>
      </c>
    </row>
    <row r="814" s="85" customFormat="1" customHeight="1" spans="1:25">
      <c r="A814" s="98" t="s">
        <v>448</v>
      </c>
      <c r="B814" s="98" t="s">
        <v>62</v>
      </c>
      <c r="C814" s="98" t="s">
        <v>238</v>
      </c>
      <c r="D814" s="98" t="s">
        <v>642</v>
      </c>
      <c r="E814" s="161" t="s">
        <v>982</v>
      </c>
      <c r="F814" s="98" t="s">
        <v>983</v>
      </c>
      <c r="G814" s="172" t="s">
        <v>88</v>
      </c>
      <c r="H814" s="100" t="s">
        <v>1138</v>
      </c>
      <c r="I814" s="46" t="e">
        <f>VLOOKUP(H814,'合同高级查询数据-4月返'!A:A,1,FALSE)</f>
        <v>#N/A</v>
      </c>
      <c r="J814" s="47" t="s">
        <v>90</v>
      </c>
      <c r="K814" s="160" t="s">
        <v>1139</v>
      </c>
      <c r="L814" s="179"/>
      <c r="M814" s="49" t="s">
        <v>986</v>
      </c>
      <c r="N814" s="180">
        <v>44866</v>
      </c>
      <c r="O814" s="181" t="s">
        <v>600</v>
      </c>
      <c r="P814" s="182">
        <v>0</v>
      </c>
      <c r="Q814" s="182">
        <v>2</v>
      </c>
      <c r="R814" s="118">
        <f t="shared" si="23"/>
        <v>0</v>
      </c>
      <c r="S814" s="115">
        <v>202304</v>
      </c>
      <c r="T814" s="217" t="s">
        <v>1142</v>
      </c>
      <c r="U814" s="165"/>
      <c r="V814" s="165"/>
      <c r="W814" s="165"/>
      <c r="X814" s="116">
        <v>44679</v>
      </c>
      <c r="Y814" s="116">
        <v>46873</v>
      </c>
    </row>
    <row r="815" s="85" customFormat="1" customHeight="1" spans="1:25">
      <c r="A815" s="98" t="s">
        <v>448</v>
      </c>
      <c r="B815" s="98" t="s">
        <v>62</v>
      </c>
      <c r="C815" s="98" t="s">
        <v>238</v>
      </c>
      <c r="D815" s="98" t="s">
        <v>642</v>
      </c>
      <c r="E815" s="161" t="s">
        <v>982</v>
      </c>
      <c r="F815" s="98" t="s">
        <v>983</v>
      </c>
      <c r="G815" s="172" t="s">
        <v>88</v>
      </c>
      <c r="H815" s="100" t="s">
        <v>1138</v>
      </c>
      <c r="I815" s="46" t="e">
        <f>VLOOKUP(H815,'合同高级查询数据-4月返'!A:A,1,FALSE)</f>
        <v>#N/A</v>
      </c>
      <c r="J815" s="47" t="s">
        <v>357</v>
      </c>
      <c r="K815" s="160" t="s">
        <v>1139</v>
      </c>
      <c r="L815" s="179"/>
      <c r="M815" s="49" t="s">
        <v>986</v>
      </c>
      <c r="N815" s="180"/>
      <c r="O815" s="181"/>
      <c r="P815" s="182">
        <v>300</v>
      </c>
      <c r="Q815" s="182">
        <v>150</v>
      </c>
      <c r="R815" s="118">
        <f t="shared" si="23"/>
        <v>45000</v>
      </c>
      <c r="S815" s="115">
        <v>202304</v>
      </c>
      <c r="T815" s="217" t="s">
        <v>1143</v>
      </c>
      <c r="U815" s="165"/>
      <c r="V815" s="165"/>
      <c r="W815" s="165"/>
      <c r="X815" s="116">
        <v>44679</v>
      </c>
      <c r="Y815" s="116">
        <v>46873</v>
      </c>
    </row>
    <row r="816" s="85" customFormat="1" customHeight="1" spans="1:25">
      <c r="A816" s="98" t="s">
        <v>448</v>
      </c>
      <c r="B816" s="98" t="s">
        <v>62</v>
      </c>
      <c r="C816" s="98" t="s">
        <v>238</v>
      </c>
      <c r="D816" s="98" t="s">
        <v>642</v>
      </c>
      <c r="E816" s="161" t="s">
        <v>982</v>
      </c>
      <c r="F816" s="98" t="s">
        <v>983</v>
      </c>
      <c r="G816" s="172" t="s">
        <v>88</v>
      </c>
      <c r="H816" s="100" t="s">
        <v>1144</v>
      </c>
      <c r="I816" s="46" t="e">
        <f>VLOOKUP(H816,'合同高级查询数据-4月返'!A:A,1,FALSE)</f>
        <v>#N/A</v>
      </c>
      <c r="J816" s="47" t="s">
        <v>90</v>
      </c>
      <c r="K816" s="160" t="s">
        <v>1145</v>
      </c>
      <c r="L816" s="179"/>
      <c r="M816" s="49" t="s">
        <v>986</v>
      </c>
      <c r="N816" s="180">
        <v>44713</v>
      </c>
      <c r="O816" s="181" t="s">
        <v>503</v>
      </c>
      <c r="P816" s="182">
        <v>5900</v>
      </c>
      <c r="Q816" s="182">
        <v>6</v>
      </c>
      <c r="R816" s="118">
        <f t="shared" si="23"/>
        <v>35400</v>
      </c>
      <c r="S816" s="115">
        <v>202304</v>
      </c>
      <c r="T816" s="217" t="s">
        <v>1146</v>
      </c>
      <c r="U816" s="165"/>
      <c r="V816" s="165"/>
      <c r="W816" s="165"/>
      <c r="X816" s="116">
        <v>44681</v>
      </c>
      <c r="Y816" s="116">
        <v>46873</v>
      </c>
    </row>
    <row r="817" s="85" customFormat="1" customHeight="1" spans="1:25">
      <c r="A817" s="98" t="s">
        <v>448</v>
      </c>
      <c r="B817" s="98" t="s">
        <v>62</v>
      </c>
      <c r="C817" s="98" t="s">
        <v>238</v>
      </c>
      <c r="D817" s="98" t="s">
        <v>642</v>
      </c>
      <c r="E817" s="161" t="s">
        <v>982</v>
      </c>
      <c r="F817" s="98" t="s">
        <v>983</v>
      </c>
      <c r="G817" s="172" t="s">
        <v>88</v>
      </c>
      <c r="H817" s="100" t="s">
        <v>1144</v>
      </c>
      <c r="I817" s="46" t="e">
        <f>VLOOKUP(H817,'合同高级查询数据-4月返'!A:A,1,FALSE)</f>
        <v>#N/A</v>
      </c>
      <c r="J817" s="47" t="s">
        <v>90</v>
      </c>
      <c r="K817" s="160" t="s">
        <v>1145</v>
      </c>
      <c r="L817" s="179"/>
      <c r="M817" s="49" t="s">
        <v>986</v>
      </c>
      <c r="N817" s="180">
        <v>44713</v>
      </c>
      <c r="O817" s="181" t="s">
        <v>507</v>
      </c>
      <c r="P817" s="182">
        <v>8595</v>
      </c>
      <c r="Q817" s="182">
        <v>301</v>
      </c>
      <c r="R817" s="118">
        <f t="shared" si="23"/>
        <v>2587095</v>
      </c>
      <c r="S817" s="115">
        <v>202304</v>
      </c>
      <c r="T817" s="217" t="s">
        <v>1147</v>
      </c>
      <c r="U817" s="165"/>
      <c r="V817" s="165"/>
      <c r="W817" s="165"/>
      <c r="X817" s="116">
        <v>44681</v>
      </c>
      <c r="Y817" s="116">
        <v>46873</v>
      </c>
    </row>
    <row r="818" s="85" customFormat="1" customHeight="1" spans="1:25">
      <c r="A818" s="98" t="s">
        <v>448</v>
      </c>
      <c r="B818" s="98" t="s">
        <v>62</v>
      </c>
      <c r="C818" s="98" t="s">
        <v>238</v>
      </c>
      <c r="D818" s="98" t="s">
        <v>642</v>
      </c>
      <c r="E818" s="161" t="s">
        <v>982</v>
      </c>
      <c r="F818" s="98" t="s">
        <v>983</v>
      </c>
      <c r="G818" s="172" t="s">
        <v>88</v>
      </c>
      <c r="H818" s="100" t="s">
        <v>1144</v>
      </c>
      <c r="I818" s="46" t="e">
        <f>VLOOKUP(H818,'合同高级查询数据-4月返'!A:A,1,FALSE)</f>
        <v>#N/A</v>
      </c>
      <c r="J818" s="47" t="s">
        <v>90</v>
      </c>
      <c r="K818" s="160" t="s">
        <v>1145</v>
      </c>
      <c r="L818" s="179"/>
      <c r="M818" s="49" t="s">
        <v>986</v>
      </c>
      <c r="N818" s="180">
        <v>44726</v>
      </c>
      <c r="O818" s="181" t="s">
        <v>507</v>
      </c>
      <c r="P818" s="182">
        <v>8595</v>
      </c>
      <c r="Q818" s="182">
        <v>17</v>
      </c>
      <c r="R818" s="118">
        <f t="shared" si="23"/>
        <v>146115</v>
      </c>
      <c r="S818" s="115">
        <v>202304</v>
      </c>
      <c r="T818" s="217" t="s">
        <v>1148</v>
      </c>
      <c r="U818" s="165"/>
      <c r="V818" s="165"/>
      <c r="W818" s="165"/>
      <c r="X818" s="116">
        <v>44681</v>
      </c>
      <c r="Y818" s="116">
        <v>46873</v>
      </c>
    </row>
    <row r="819" s="85" customFormat="1" customHeight="1" spans="1:25">
      <c r="A819" s="98" t="s">
        <v>448</v>
      </c>
      <c r="B819" s="98" t="s">
        <v>62</v>
      </c>
      <c r="C819" s="98" t="s">
        <v>238</v>
      </c>
      <c r="D819" s="98" t="s">
        <v>642</v>
      </c>
      <c r="E819" s="161" t="s">
        <v>982</v>
      </c>
      <c r="F819" s="98" t="s">
        <v>983</v>
      </c>
      <c r="G819" s="172" t="s">
        <v>88</v>
      </c>
      <c r="H819" s="100" t="s">
        <v>1144</v>
      </c>
      <c r="I819" s="46" t="e">
        <f>VLOOKUP(H819,'合同高级查询数据-4月返'!A:A,1,FALSE)</f>
        <v>#N/A</v>
      </c>
      <c r="J819" s="47" t="s">
        <v>90</v>
      </c>
      <c r="K819" s="160" t="s">
        <v>1145</v>
      </c>
      <c r="L819" s="179"/>
      <c r="M819" s="49" t="s">
        <v>986</v>
      </c>
      <c r="N819" s="180">
        <v>44733</v>
      </c>
      <c r="O819" s="181" t="s">
        <v>507</v>
      </c>
      <c r="P819" s="182">
        <v>8595</v>
      </c>
      <c r="Q819" s="182">
        <v>95</v>
      </c>
      <c r="R819" s="118">
        <f t="shared" si="23"/>
        <v>816525</v>
      </c>
      <c r="S819" s="115">
        <v>202304</v>
      </c>
      <c r="T819" s="217" t="s">
        <v>1149</v>
      </c>
      <c r="U819" s="165"/>
      <c r="V819" s="165"/>
      <c r="W819" s="165"/>
      <c r="X819" s="116">
        <v>44681</v>
      </c>
      <c r="Y819" s="116">
        <v>46873</v>
      </c>
    </row>
    <row r="820" s="85" customFormat="1" customHeight="1" spans="1:25">
      <c r="A820" s="98" t="s">
        <v>448</v>
      </c>
      <c r="B820" s="98" t="s">
        <v>62</v>
      </c>
      <c r="C820" s="98" t="s">
        <v>238</v>
      </c>
      <c r="D820" s="98" t="s">
        <v>642</v>
      </c>
      <c r="E820" s="161" t="s">
        <v>982</v>
      </c>
      <c r="F820" s="98" t="s">
        <v>983</v>
      </c>
      <c r="G820" s="172" t="s">
        <v>88</v>
      </c>
      <c r="H820" s="100" t="s">
        <v>1144</v>
      </c>
      <c r="I820" s="46" t="e">
        <f>VLOOKUP(H820,'合同高级查询数据-4月返'!A:A,1,FALSE)</f>
        <v>#N/A</v>
      </c>
      <c r="J820" s="47" t="s">
        <v>90</v>
      </c>
      <c r="K820" s="160" t="s">
        <v>1145</v>
      </c>
      <c r="L820" s="179"/>
      <c r="M820" s="49" t="s">
        <v>986</v>
      </c>
      <c r="N820" s="180">
        <v>44749</v>
      </c>
      <c r="O820" s="181" t="s">
        <v>507</v>
      </c>
      <c r="P820" s="182">
        <v>8595</v>
      </c>
      <c r="Q820" s="182">
        <v>26</v>
      </c>
      <c r="R820" s="118">
        <f t="shared" si="23"/>
        <v>223470</v>
      </c>
      <c r="S820" s="115">
        <v>202304</v>
      </c>
      <c r="T820" s="217" t="s">
        <v>1150</v>
      </c>
      <c r="U820" s="165"/>
      <c r="V820" s="165"/>
      <c r="W820" s="165"/>
      <c r="X820" s="116">
        <v>44681</v>
      </c>
      <c r="Y820" s="116">
        <v>46873</v>
      </c>
    </row>
    <row r="821" s="85" customFormat="1" customHeight="1" spans="1:25">
      <c r="A821" s="98" t="s">
        <v>448</v>
      </c>
      <c r="B821" s="98" t="s">
        <v>62</v>
      </c>
      <c r="C821" s="98" t="s">
        <v>238</v>
      </c>
      <c r="D821" s="98" t="s">
        <v>642</v>
      </c>
      <c r="E821" s="161" t="s">
        <v>982</v>
      </c>
      <c r="F821" s="98" t="s">
        <v>983</v>
      </c>
      <c r="G821" s="172" t="s">
        <v>88</v>
      </c>
      <c r="H821" s="100" t="s">
        <v>1144</v>
      </c>
      <c r="I821" s="46" t="e">
        <f>VLOOKUP(H821,'合同高级查询数据-4月返'!A:A,1,FALSE)</f>
        <v>#N/A</v>
      </c>
      <c r="J821" s="47" t="s">
        <v>90</v>
      </c>
      <c r="K821" s="160" t="s">
        <v>1145</v>
      </c>
      <c r="L821" s="179"/>
      <c r="M821" s="49" t="s">
        <v>986</v>
      </c>
      <c r="N821" s="180">
        <v>44750</v>
      </c>
      <c r="O821" s="181" t="s">
        <v>507</v>
      </c>
      <c r="P821" s="182">
        <v>8595</v>
      </c>
      <c r="Q821" s="182">
        <v>10</v>
      </c>
      <c r="R821" s="118">
        <f t="shared" si="23"/>
        <v>85950</v>
      </c>
      <c r="S821" s="115">
        <v>202304</v>
      </c>
      <c r="T821" s="217" t="s">
        <v>1151</v>
      </c>
      <c r="U821" s="165"/>
      <c r="V821" s="165"/>
      <c r="W821" s="165"/>
      <c r="X821" s="116">
        <v>44681</v>
      </c>
      <c r="Y821" s="116">
        <v>46873</v>
      </c>
    </row>
    <row r="822" s="85" customFormat="1" customHeight="1" spans="1:25">
      <c r="A822" s="98" t="s">
        <v>448</v>
      </c>
      <c r="B822" s="98" t="s">
        <v>62</v>
      </c>
      <c r="C822" s="98" t="s">
        <v>238</v>
      </c>
      <c r="D822" s="98" t="s">
        <v>642</v>
      </c>
      <c r="E822" s="161" t="s">
        <v>982</v>
      </c>
      <c r="F822" s="98" t="s">
        <v>983</v>
      </c>
      <c r="G822" s="172" t="s">
        <v>88</v>
      </c>
      <c r="H822" s="100" t="s">
        <v>1144</v>
      </c>
      <c r="I822" s="46" t="e">
        <f>VLOOKUP(H822,'合同高级查询数据-4月返'!A:A,1,FALSE)</f>
        <v>#N/A</v>
      </c>
      <c r="J822" s="47" t="s">
        <v>90</v>
      </c>
      <c r="K822" s="160" t="s">
        <v>1145</v>
      </c>
      <c r="L822" s="179"/>
      <c r="M822" s="49" t="s">
        <v>986</v>
      </c>
      <c r="N822" s="180">
        <v>44755</v>
      </c>
      <c r="O822" s="181" t="s">
        <v>507</v>
      </c>
      <c r="P822" s="182">
        <v>8595</v>
      </c>
      <c r="Q822" s="182">
        <v>1</v>
      </c>
      <c r="R822" s="118">
        <f t="shared" si="23"/>
        <v>8595</v>
      </c>
      <c r="S822" s="115">
        <v>202304</v>
      </c>
      <c r="T822" s="217" t="s">
        <v>1152</v>
      </c>
      <c r="U822" s="165"/>
      <c r="V822" s="165"/>
      <c r="W822" s="165"/>
      <c r="X822" s="116">
        <v>44681</v>
      </c>
      <c r="Y822" s="116">
        <v>46873</v>
      </c>
    </row>
    <row r="823" s="85" customFormat="1" customHeight="1" spans="1:25">
      <c r="A823" s="98" t="s">
        <v>448</v>
      </c>
      <c r="B823" s="98" t="s">
        <v>62</v>
      </c>
      <c r="C823" s="98" t="s">
        <v>238</v>
      </c>
      <c r="D823" s="98" t="s">
        <v>642</v>
      </c>
      <c r="E823" s="161" t="s">
        <v>982</v>
      </c>
      <c r="F823" s="98" t="s">
        <v>983</v>
      </c>
      <c r="G823" s="172" t="s">
        <v>88</v>
      </c>
      <c r="H823" s="100" t="s">
        <v>1144</v>
      </c>
      <c r="I823" s="46" t="e">
        <f>VLOOKUP(H823,'合同高级查询数据-4月返'!A:A,1,FALSE)</f>
        <v>#N/A</v>
      </c>
      <c r="J823" s="47" t="s">
        <v>90</v>
      </c>
      <c r="K823" s="160" t="s">
        <v>1145</v>
      </c>
      <c r="L823" s="179"/>
      <c r="M823" s="49" t="s">
        <v>986</v>
      </c>
      <c r="N823" s="180">
        <v>44757</v>
      </c>
      <c r="O823" s="181" t="s">
        <v>507</v>
      </c>
      <c r="P823" s="182">
        <v>8595</v>
      </c>
      <c r="Q823" s="182">
        <v>8</v>
      </c>
      <c r="R823" s="118">
        <f t="shared" si="23"/>
        <v>68760</v>
      </c>
      <c r="S823" s="115">
        <v>202304</v>
      </c>
      <c r="T823" s="217" t="s">
        <v>1153</v>
      </c>
      <c r="U823" s="165"/>
      <c r="V823" s="165"/>
      <c r="W823" s="165"/>
      <c r="X823" s="116">
        <v>44681</v>
      </c>
      <c r="Y823" s="116">
        <v>46873</v>
      </c>
    </row>
    <row r="824" s="85" customFormat="1" customHeight="1" spans="1:25">
      <c r="A824" s="98" t="s">
        <v>448</v>
      </c>
      <c r="B824" s="98" t="s">
        <v>62</v>
      </c>
      <c r="C824" s="98" t="s">
        <v>238</v>
      </c>
      <c r="D824" s="98" t="s">
        <v>642</v>
      </c>
      <c r="E824" s="161" t="s">
        <v>982</v>
      </c>
      <c r="F824" s="98" t="s">
        <v>983</v>
      </c>
      <c r="G824" s="172" t="s">
        <v>88</v>
      </c>
      <c r="H824" s="100" t="s">
        <v>1144</v>
      </c>
      <c r="I824" s="46" t="e">
        <f>VLOOKUP(H824,'合同高级查询数据-4月返'!A:A,1,FALSE)</f>
        <v>#N/A</v>
      </c>
      <c r="J824" s="47" t="s">
        <v>90</v>
      </c>
      <c r="K824" s="160" t="s">
        <v>1145</v>
      </c>
      <c r="L824" s="179"/>
      <c r="M824" s="49" t="s">
        <v>986</v>
      </c>
      <c r="N824" s="180">
        <v>44768</v>
      </c>
      <c r="O824" s="181" t="s">
        <v>507</v>
      </c>
      <c r="P824" s="182">
        <v>8595</v>
      </c>
      <c r="Q824" s="182">
        <v>1</v>
      </c>
      <c r="R824" s="118">
        <f t="shared" si="23"/>
        <v>8595</v>
      </c>
      <c r="S824" s="115">
        <v>202304</v>
      </c>
      <c r="T824" s="217" t="s">
        <v>1154</v>
      </c>
      <c r="U824" s="165"/>
      <c r="V824" s="165"/>
      <c r="W824" s="165"/>
      <c r="X824" s="116">
        <v>44681</v>
      </c>
      <c r="Y824" s="116">
        <v>46873</v>
      </c>
    </row>
    <row r="825" s="85" customFormat="1" customHeight="1" spans="1:25">
      <c r="A825" s="98" t="s">
        <v>448</v>
      </c>
      <c r="B825" s="98" t="s">
        <v>62</v>
      </c>
      <c r="C825" s="98" t="s">
        <v>238</v>
      </c>
      <c r="D825" s="98" t="s">
        <v>642</v>
      </c>
      <c r="E825" s="161" t="s">
        <v>982</v>
      </c>
      <c r="F825" s="98" t="s">
        <v>983</v>
      </c>
      <c r="G825" s="172" t="s">
        <v>88</v>
      </c>
      <c r="H825" s="100" t="s">
        <v>1144</v>
      </c>
      <c r="I825" s="46" t="e">
        <f>VLOOKUP(H825,'合同高级查询数据-4月返'!A:A,1,FALSE)</f>
        <v>#N/A</v>
      </c>
      <c r="J825" s="47" t="s">
        <v>90</v>
      </c>
      <c r="K825" s="160" t="s">
        <v>1145</v>
      </c>
      <c r="L825" s="179"/>
      <c r="M825" s="49" t="s">
        <v>986</v>
      </c>
      <c r="N825" s="180">
        <v>44777</v>
      </c>
      <c r="O825" s="181" t="s">
        <v>507</v>
      </c>
      <c r="P825" s="182">
        <v>8595</v>
      </c>
      <c r="Q825" s="182">
        <v>14</v>
      </c>
      <c r="R825" s="118">
        <f t="shared" si="23"/>
        <v>120330</v>
      </c>
      <c r="S825" s="115">
        <v>202304</v>
      </c>
      <c r="T825" s="217" t="s">
        <v>1155</v>
      </c>
      <c r="U825" s="165"/>
      <c r="V825" s="165"/>
      <c r="W825" s="165"/>
      <c r="X825" s="116">
        <v>44681</v>
      </c>
      <c r="Y825" s="116">
        <v>46873</v>
      </c>
    </row>
    <row r="826" s="85" customFormat="1" customHeight="1" spans="1:25">
      <c r="A826" s="98" t="s">
        <v>448</v>
      </c>
      <c r="B826" s="98" t="s">
        <v>62</v>
      </c>
      <c r="C826" s="98" t="s">
        <v>238</v>
      </c>
      <c r="D826" s="98" t="s">
        <v>642</v>
      </c>
      <c r="E826" s="161" t="s">
        <v>982</v>
      </c>
      <c r="F826" s="98" t="s">
        <v>983</v>
      </c>
      <c r="G826" s="172" t="s">
        <v>88</v>
      </c>
      <c r="H826" s="100" t="s">
        <v>1144</v>
      </c>
      <c r="I826" s="46" t="e">
        <f>VLOOKUP(H826,'合同高级查询数据-4月返'!A:A,1,FALSE)</f>
        <v>#N/A</v>
      </c>
      <c r="J826" s="47" t="s">
        <v>90</v>
      </c>
      <c r="K826" s="160" t="s">
        <v>1145</v>
      </c>
      <c r="L826" s="179"/>
      <c r="M826" s="49" t="s">
        <v>986</v>
      </c>
      <c r="N826" s="180">
        <v>44782</v>
      </c>
      <c r="O826" s="181" t="s">
        <v>507</v>
      </c>
      <c r="P826" s="182">
        <v>8595</v>
      </c>
      <c r="Q826" s="182">
        <v>78</v>
      </c>
      <c r="R826" s="118">
        <f t="shared" si="23"/>
        <v>670410</v>
      </c>
      <c r="S826" s="115">
        <v>202304</v>
      </c>
      <c r="T826" s="217" t="s">
        <v>1156</v>
      </c>
      <c r="U826" s="165"/>
      <c r="V826" s="165"/>
      <c r="W826" s="165"/>
      <c r="X826" s="116">
        <v>44681</v>
      </c>
      <c r="Y826" s="116">
        <v>46873</v>
      </c>
    </row>
    <row r="827" s="85" customFormat="1" customHeight="1" spans="1:25">
      <c r="A827" s="98" t="s">
        <v>448</v>
      </c>
      <c r="B827" s="98" t="s">
        <v>62</v>
      </c>
      <c r="C827" s="98" t="s">
        <v>238</v>
      </c>
      <c r="D827" s="98" t="s">
        <v>642</v>
      </c>
      <c r="E827" s="161" t="s">
        <v>982</v>
      </c>
      <c r="F827" s="98" t="s">
        <v>983</v>
      </c>
      <c r="G827" s="172" t="s">
        <v>88</v>
      </c>
      <c r="H827" s="100" t="s">
        <v>1144</v>
      </c>
      <c r="I827" s="46" t="e">
        <f>VLOOKUP(H827,'合同高级查询数据-4月返'!A:A,1,FALSE)</f>
        <v>#N/A</v>
      </c>
      <c r="J827" s="47" t="s">
        <v>90</v>
      </c>
      <c r="K827" s="160" t="s">
        <v>1145</v>
      </c>
      <c r="L827" s="179"/>
      <c r="M827" s="49" t="s">
        <v>986</v>
      </c>
      <c r="N827" s="180">
        <v>44813</v>
      </c>
      <c r="O827" s="181" t="s">
        <v>507</v>
      </c>
      <c r="P827" s="182">
        <v>8595</v>
      </c>
      <c r="Q827" s="182">
        <v>5</v>
      </c>
      <c r="R827" s="118">
        <f t="shared" si="23"/>
        <v>42975</v>
      </c>
      <c r="S827" s="115">
        <v>202304</v>
      </c>
      <c r="T827" s="217" t="s">
        <v>1157</v>
      </c>
      <c r="U827" s="165"/>
      <c r="V827" s="165"/>
      <c r="W827" s="165"/>
      <c r="X827" s="116">
        <v>44681</v>
      </c>
      <c r="Y827" s="116">
        <v>46873</v>
      </c>
    </row>
    <row r="828" s="85" customFormat="1" customHeight="1" spans="1:25">
      <c r="A828" s="98" t="s">
        <v>448</v>
      </c>
      <c r="B828" s="98" t="s">
        <v>62</v>
      </c>
      <c r="C828" s="98" t="s">
        <v>238</v>
      </c>
      <c r="D828" s="98" t="s">
        <v>642</v>
      </c>
      <c r="E828" s="161" t="s">
        <v>982</v>
      </c>
      <c r="F828" s="98" t="s">
        <v>983</v>
      </c>
      <c r="G828" s="172" t="s">
        <v>88</v>
      </c>
      <c r="H828" s="100" t="s">
        <v>1144</v>
      </c>
      <c r="I828" s="46" t="e">
        <f>VLOOKUP(H828,'合同高级查询数据-4月返'!A:A,1,FALSE)</f>
        <v>#N/A</v>
      </c>
      <c r="J828" s="47" t="s">
        <v>90</v>
      </c>
      <c r="K828" s="160" t="s">
        <v>1145</v>
      </c>
      <c r="L828" s="179"/>
      <c r="M828" s="49" t="s">
        <v>986</v>
      </c>
      <c r="N828" s="180">
        <v>44817</v>
      </c>
      <c r="O828" s="181" t="s">
        <v>507</v>
      </c>
      <c r="P828" s="182">
        <v>8595</v>
      </c>
      <c r="Q828" s="182">
        <v>1</v>
      </c>
      <c r="R828" s="118">
        <f t="shared" si="23"/>
        <v>8595</v>
      </c>
      <c r="S828" s="115">
        <v>202304</v>
      </c>
      <c r="T828" s="217" t="s">
        <v>1158</v>
      </c>
      <c r="U828" s="165"/>
      <c r="V828" s="165"/>
      <c r="W828" s="165"/>
      <c r="X828" s="116">
        <v>44681</v>
      </c>
      <c r="Y828" s="116">
        <v>46873</v>
      </c>
    </row>
    <row r="829" s="85" customFormat="1" customHeight="1" spans="1:25">
      <c r="A829" s="98" t="s">
        <v>448</v>
      </c>
      <c r="B829" s="98" t="s">
        <v>62</v>
      </c>
      <c r="C829" s="98" t="s">
        <v>238</v>
      </c>
      <c r="D829" s="98" t="s">
        <v>642</v>
      </c>
      <c r="E829" s="161" t="s">
        <v>982</v>
      </c>
      <c r="F829" s="98" t="s">
        <v>983</v>
      </c>
      <c r="G829" s="172" t="s">
        <v>88</v>
      </c>
      <c r="H829" s="100" t="s">
        <v>1144</v>
      </c>
      <c r="I829" s="46" t="e">
        <f>VLOOKUP(H829,'合同高级查询数据-4月返'!A:A,1,FALSE)</f>
        <v>#N/A</v>
      </c>
      <c r="J829" s="47" t="s">
        <v>90</v>
      </c>
      <c r="K829" s="160" t="s">
        <v>1145</v>
      </c>
      <c r="L829" s="179"/>
      <c r="M829" s="49" t="s">
        <v>986</v>
      </c>
      <c r="N829" s="180">
        <v>44866</v>
      </c>
      <c r="O829" s="181" t="s">
        <v>600</v>
      </c>
      <c r="P829" s="182">
        <v>0</v>
      </c>
      <c r="Q829" s="182">
        <v>14</v>
      </c>
      <c r="R829" s="118">
        <f t="shared" si="23"/>
        <v>0</v>
      </c>
      <c r="S829" s="115">
        <v>202304</v>
      </c>
      <c r="T829" s="217" t="s">
        <v>1159</v>
      </c>
      <c r="U829" s="165"/>
      <c r="V829" s="165"/>
      <c r="W829" s="165"/>
      <c r="X829" s="116">
        <v>44681</v>
      </c>
      <c r="Y829" s="116">
        <v>46873</v>
      </c>
    </row>
    <row r="830" s="85" customFormat="1" customHeight="1" spans="1:25">
      <c r="A830" s="98" t="s">
        <v>448</v>
      </c>
      <c r="B830" s="98" t="s">
        <v>62</v>
      </c>
      <c r="C830" s="98" t="s">
        <v>238</v>
      </c>
      <c r="D830" s="98" t="s">
        <v>642</v>
      </c>
      <c r="E830" s="161" t="s">
        <v>982</v>
      </c>
      <c r="F830" s="98" t="s">
        <v>983</v>
      </c>
      <c r="G830" s="172" t="s">
        <v>88</v>
      </c>
      <c r="H830" s="100" t="s">
        <v>1144</v>
      </c>
      <c r="I830" s="46" t="e">
        <f>VLOOKUP(H830,'合同高级查询数据-4月返'!A:A,1,FALSE)</f>
        <v>#N/A</v>
      </c>
      <c r="J830" s="47" t="s">
        <v>90</v>
      </c>
      <c r="K830" s="160" t="s">
        <v>1145</v>
      </c>
      <c r="L830" s="179"/>
      <c r="M830" s="49" t="s">
        <v>986</v>
      </c>
      <c r="N830" s="180">
        <v>44896</v>
      </c>
      <c r="O830" s="181" t="s">
        <v>507</v>
      </c>
      <c r="P830" s="182">
        <v>8595</v>
      </c>
      <c r="Q830" s="182">
        <v>13</v>
      </c>
      <c r="R830" s="118">
        <f t="shared" si="23"/>
        <v>111735</v>
      </c>
      <c r="S830" s="115">
        <v>202304</v>
      </c>
      <c r="T830" s="217" t="s">
        <v>1160</v>
      </c>
      <c r="U830" s="165"/>
      <c r="V830" s="165"/>
      <c r="W830" s="165"/>
      <c r="X830" s="116">
        <v>44681</v>
      </c>
      <c r="Y830" s="116">
        <v>46873</v>
      </c>
    </row>
    <row r="831" s="85" customFormat="1" customHeight="1" spans="1:25">
      <c r="A831" s="98" t="s">
        <v>448</v>
      </c>
      <c r="B831" s="98" t="s">
        <v>62</v>
      </c>
      <c r="C831" s="98" t="s">
        <v>238</v>
      </c>
      <c r="D831" s="98" t="s">
        <v>642</v>
      </c>
      <c r="E831" s="161" t="s">
        <v>982</v>
      </c>
      <c r="F831" s="98" t="s">
        <v>983</v>
      </c>
      <c r="G831" s="172" t="s">
        <v>88</v>
      </c>
      <c r="H831" s="100" t="s">
        <v>1144</v>
      </c>
      <c r="I831" s="46" t="e">
        <f>VLOOKUP(H831,'合同高级查询数据-4月返'!A:A,1,FALSE)</f>
        <v>#N/A</v>
      </c>
      <c r="J831" s="47" t="s">
        <v>357</v>
      </c>
      <c r="K831" s="160" t="s">
        <v>1145</v>
      </c>
      <c r="L831" s="179"/>
      <c r="M831" s="49" t="s">
        <v>986</v>
      </c>
      <c r="N831" s="180"/>
      <c r="O831" s="181"/>
      <c r="P831" s="182">
        <v>300</v>
      </c>
      <c r="Q831" s="182">
        <v>600</v>
      </c>
      <c r="R831" s="118">
        <f t="shared" si="23"/>
        <v>180000</v>
      </c>
      <c r="S831" s="115">
        <v>202304</v>
      </c>
      <c r="T831" s="217" t="s">
        <v>1161</v>
      </c>
      <c r="U831" s="165"/>
      <c r="V831" s="165"/>
      <c r="W831" s="165"/>
      <c r="X831" s="116">
        <v>44681</v>
      </c>
      <c r="Y831" s="116">
        <v>46873</v>
      </c>
    </row>
    <row r="832" s="85" customFormat="1" customHeight="1" spans="1:25">
      <c r="A832" s="98" t="s">
        <v>448</v>
      </c>
      <c r="B832" s="98" t="s">
        <v>62</v>
      </c>
      <c r="C832" s="98" t="s">
        <v>238</v>
      </c>
      <c r="D832" s="98" t="s">
        <v>642</v>
      </c>
      <c r="E832" s="161" t="s">
        <v>982</v>
      </c>
      <c r="F832" s="98" t="s">
        <v>983</v>
      </c>
      <c r="G832" s="172" t="s">
        <v>88</v>
      </c>
      <c r="H832" s="100" t="s">
        <v>1162</v>
      </c>
      <c r="I832" s="46" t="e">
        <f>VLOOKUP(H832,'合同高级查询数据-4月返'!A:A,1,FALSE)</f>
        <v>#N/A</v>
      </c>
      <c r="J832" s="47" t="s">
        <v>90</v>
      </c>
      <c r="K832" s="219" t="s">
        <v>1163</v>
      </c>
      <c r="L832" s="179"/>
      <c r="M832" s="49" t="s">
        <v>986</v>
      </c>
      <c r="N832" s="180">
        <v>44848</v>
      </c>
      <c r="O832" s="181" t="s">
        <v>503</v>
      </c>
      <c r="P832" s="182">
        <v>5900</v>
      </c>
      <c r="Q832" s="182">
        <v>2</v>
      </c>
      <c r="R832" s="118">
        <f t="shared" si="23"/>
        <v>11800</v>
      </c>
      <c r="S832" s="115">
        <v>202304</v>
      </c>
      <c r="T832" s="217" t="s">
        <v>1164</v>
      </c>
      <c r="U832" s="165"/>
      <c r="V832" s="165"/>
      <c r="W832" s="165"/>
      <c r="X832" s="116">
        <v>44844</v>
      </c>
      <c r="Y832" s="116">
        <v>47036</v>
      </c>
    </row>
    <row r="833" s="85" customFormat="1" customHeight="1" spans="1:25">
      <c r="A833" s="98" t="s">
        <v>448</v>
      </c>
      <c r="B833" s="98" t="s">
        <v>62</v>
      </c>
      <c r="C833" s="98" t="s">
        <v>238</v>
      </c>
      <c r="D833" s="98" t="s">
        <v>642</v>
      </c>
      <c r="E833" s="161" t="s">
        <v>982</v>
      </c>
      <c r="F833" s="98" t="s">
        <v>983</v>
      </c>
      <c r="G833" s="172" t="s">
        <v>88</v>
      </c>
      <c r="H833" s="100" t="s">
        <v>1162</v>
      </c>
      <c r="I833" s="46" t="e">
        <f>VLOOKUP(H833,'合同高级查询数据-4月返'!A:A,1,FALSE)</f>
        <v>#N/A</v>
      </c>
      <c r="J833" s="47" t="s">
        <v>90</v>
      </c>
      <c r="K833" s="219" t="s">
        <v>1163</v>
      </c>
      <c r="L833" s="179"/>
      <c r="M833" s="49" t="s">
        <v>986</v>
      </c>
      <c r="N833" s="180">
        <v>44848</v>
      </c>
      <c r="O833" s="181" t="s">
        <v>507</v>
      </c>
      <c r="P833" s="182">
        <v>8595</v>
      </c>
      <c r="Q833" s="182">
        <v>299</v>
      </c>
      <c r="R833" s="118">
        <f t="shared" ref="R833:R845" si="24">ROUND(P833*Q833,2)</f>
        <v>2569905</v>
      </c>
      <c r="S833" s="115">
        <v>202304</v>
      </c>
      <c r="T833" s="217" t="s">
        <v>1165</v>
      </c>
      <c r="U833" s="165"/>
      <c r="V833" s="165"/>
      <c r="W833" s="165"/>
      <c r="X833" s="116">
        <v>44844</v>
      </c>
      <c r="Y833" s="116">
        <v>47036</v>
      </c>
    </row>
    <row r="834" s="85" customFormat="1" customHeight="1" spans="1:25">
      <c r="A834" s="98" t="s">
        <v>448</v>
      </c>
      <c r="B834" s="98" t="s">
        <v>62</v>
      </c>
      <c r="C834" s="98" t="s">
        <v>238</v>
      </c>
      <c r="D834" s="98" t="s">
        <v>642</v>
      </c>
      <c r="E834" s="161" t="s">
        <v>982</v>
      </c>
      <c r="F834" s="98" t="s">
        <v>983</v>
      </c>
      <c r="G834" s="172" t="s">
        <v>88</v>
      </c>
      <c r="H834" s="100" t="s">
        <v>1162</v>
      </c>
      <c r="I834" s="46" t="e">
        <f>VLOOKUP(H834,'合同高级查询数据-4月返'!A:A,1,FALSE)</f>
        <v>#N/A</v>
      </c>
      <c r="J834" s="47" t="s">
        <v>90</v>
      </c>
      <c r="K834" s="219" t="s">
        <v>1166</v>
      </c>
      <c r="L834" s="179"/>
      <c r="M834" s="49" t="s">
        <v>986</v>
      </c>
      <c r="N834" s="180">
        <v>44875</v>
      </c>
      <c r="O834" s="181" t="s">
        <v>503</v>
      </c>
      <c r="P834" s="182">
        <v>5900</v>
      </c>
      <c r="Q834" s="182">
        <v>1</v>
      </c>
      <c r="R834" s="118">
        <f t="shared" si="24"/>
        <v>5900</v>
      </c>
      <c r="S834" s="115">
        <v>202304</v>
      </c>
      <c r="T834" s="217" t="s">
        <v>1167</v>
      </c>
      <c r="U834" s="165"/>
      <c r="V834" s="165"/>
      <c r="W834" s="165"/>
      <c r="X834" s="116">
        <v>44844</v>
      </c>
      <c r="Y834" s="116">
        <v>47036</v>
      </c>
    </row>
    <row r="835" s="85" customFormat="1" customHeight="1" spans="1:25">
      <c r="A835" s="98" t="s">
        <v>448</v>
      </c>
      <c r="B835" s="98" t="s">
        <v>62</v>
      </c>
      <c r="C835" s="98" t="s">
        <v>238</v>
      </c>
      <c r="D835" s="98" t="s">
        <v>642</v>
      </c>
      <c r="E835" s="161" t="s">
        <v>982</v>
      </c>
      <c r="F835" s="98" t="s">
        <v>983</v>
      </c>
      <c r="G835" s="172" t="s">
        <v>88</v>
      </c>
      <c r="H835" s="100" t="s">
        <v>1162</v>
      </c>
      <c r="I835" s="46" t="e">
        <f>VLOOKUP(H835,'合同高级查询数据-4月返'!A:A,1,FALSE)</f>
        <v>#N/A</v>
      </c>
      <c r="J835" s="47" t="s">
        <v>90</v>
      </c>
      <c r="K835" s="219" t="s">
        <v>1166</v>
      </c>
      <c r="L835" s="179"/>
      <c r="M835" s="49" t="s">
        <v>986</v>
      </c>
      <c r="N835" s="180">
        <v>44875</v>
      </c>
      <c r="O835" s="181" t="s">
        <v>507</v>
      </c>
      <c r="P835" s="182">
        <v>8595</v>
      </c>
      <c r="Q835" s="182">
        <v>87</v>
      </c>
      <c r="R835" s="118">
        <f t="shared" si="24"/>
        <v>747765</v>
      </c>
      <c r="S835" s="115">
        <v>202304</v>
      </c>
      <c r="T835" s="217" t="s">
        <v>1168</v>
      </c>
      <c r="U835" s="165"/>
      <c r="V835" s="165"/>
      <c r="W835" s="165"/>
      <c r="X835" s="116">
        <v>44844</v>
      </c>
      <c r="Y835" s="116">
        <v>47036</v>
      </c>
    </row>
    <row r="836" s="85" customFormat="1" customHeight="1" spans="1:25">
      <c r="A836" s="98" t="s">
        <v>448</v>
      </c>
      <c r="B836" s="98" t="s">
        <v>62</v>
      </c>
      <c r="C836" s="98" t="s">
        <v>238</v>
      </c>
      <c r="D836" s="98" t="s">
        <v>642</v>
      </c>
      <c r="E836" s="161" t="s">
        <v>982</v>
      </c>
      <c r="F836" s="98" t="s">
        <v>983</v>
      </c>
      <c r="G836" s="172" t="s">
        <v>88</v>
      </c>
      <c r="H836" s="100" t="s">
        <v>1162</v>
      </c>
      <c r="I836" s="46" t="e">
        <f>VLOOKUP(H836,'合同高级查询数据-4月返'!A:A,1,FALSE)</f>
        <v>#N/A</v>
      </c>
      <c r="J836" s="47" t="s">
        <v>90</v>
      </c>
      <c r="K836" s="219" t="s">
        <v>1166</v>
      </c>
      <c r="L836" s="179"/>
      <c r="M836" s="49" t="s">
        <v>986</v>
      </c>
      <c r="N836" s="180">
        <v>44875</v>
      </c>
      <c r="O836" s="181" t="s">
        <v>503</v>
      </c>
      <c r="P836" s="182">
        <v>5900</v>
      </c>
      <c r="Q836" s="182">
        <v>1</v>
      </c>
      <c r="R836" s="118">
        <f t="shared" si="24"/>
        <v>5900</v>
      </c>
      <c r="S836" s="115">
        <v>202304</v>
      </c>
      <c r="T836" s="217" t="s">
        <v>1169</v>
      </c>
      <c r="U836" s="165"/>
      <c r="V836" s="165"/>
      <c r="W836" s="165"/>
      <c r="X836" s="116">
        <v>44844</v>
      </c>
      <c r="Y836" s="116">
        <v>47036</v>
      </c>
    </row>
    <row r="837" s="85" customFormat="1" customHeight="1" spans="1:25">
      <c r="A837" s="98" t="s">
        <v>448</v>
      </c>
      <c r="B837" s="98" t="s">
        <v>62</v>
      </c>
      <c r="C837" s="98" t="s">
        <v>238</v>
      </c>
      <c r="D837" s="98" t="s">
        <v>642</v>
      </c>
      <c r="E837" s="161" t="s">
        <v>982</v>
      </c>
      <c r="F837" s="98" t="s">
        <v>983</v>
      </c>
      <c r="G837" s="172" t="s">
        <v>88</v>
      </c>
      <c r="H837" s="100" t="s">
        <v>1162</v>
      </c>
      <c r="I837" s="46" t="e">
        <f>VLOOKUP(H837,'合同高级查询数据-4月返'!A:A,1,FALSE)</f>
        <v>#N/A</v>
      </c>
      <c r="J837" s="47" t="s">
        <v>90</v>
      </c>
      <c r="K837" s="219" t="s">
        <v>1166</v>
      </c>
      <c r="L837" s="179"/>
      <c r="M837" s="49" t="s">
        <v>986</v>
      </c>
      <c r="N837" s="180">
        <v>44935</v>
      </c>
      <c r="O837" s="181" t="s">
        <v>507</v>
      </c>
      <c r="P837" s="182">
        <v>8595</v>
      </c>
      <c r="Q837" s="182">
        <v>14</v>
      </c>
      <c r="R837" s="118">
        <f t="shared" si="24"/>
        <v>120330</v>
      </c>
      <c r="S837" s="115">
        <v>202304</v>
      </c>
      <c r="T837" s="217" t="s">
        <v>1170</v>
      </c>
      <c r="U837" s="165"/>
      <c r="V837" s="165"/>
      <c r="W837" s="165"/>
      <c r="X837" s="116">
        <v>44844</v>
      </c>
      <c r="Y837" s="116">
        <v>47036</v>
      </c>
    </row>
    <row r="838" s="85" customFormat="1" customHeight="1" spans="1:25">
      <c r="A838" s="98" t="s">
        <v>448</v>
      </c>
      <c r="B838" s="98" t="s">
        <v>62</v>
      </c>
      <c r="C838" s="98" t="s">
        <v>238</v>
      </c>
      <c r="D838" s="98" t="s">
        <v>642</v>
      </c>
      <c r="E838" s="161" t="s">
        <v>982</v>
      </c>
      <c r="F838" s="98" t="s">
        <v>983</v>
      </c>
      <c r="G838" s="172" t="s">
        <v>88</v>
      </c>
      <c r="H838" s="100" t="s">
        <v>1162</v>
      </c>
      <c r="I838" s="46" t="e">
        <f>VLOOKUP(H838,'合同高级查询数据-4月返'!A:A,1,FALSE)</f>
        <v>#N/A</v>
      </c>
      <c r="J838" s="47" t="s">
        <v>90</v>
      </c>
      <c r="K838" s="219" t="s">
        <v>1166</v>
      </c>
      <c r="L838" s="179"/>
      <c r="M838" s="49" t="s">
        <v>986</v>
      </c>
      <c r="N838" s="180">
        <v>44965</v>
      </c>
      <c r="O838" s="181" t="s">
        <v>507</v>
      </c>
      <c r="P838" s="182">
        <v>8595</v>
      </c>
      <c r="Q838" s="182">
        <v>6</v>
      </c>
      <c r="R838" s="118">
        <f t="shared" si="24"/>
        <v>51570</v>
      </c>
      <c r="S838" s="115">
        <v>202304</v>
      </c>
      <c r="T838" s="217" t="s">
        <v>1171</v>
      </c>
      <c r="U838" s="165"/>
      <c r="V838" s="165"/>
      <c r="W838" s="165"/>
      <c r="X838" s="116">
        <v>44844</v>
      </c>
      <c r="Y838" s="116">
        <v>47036</v>
      </c>
    </row>
    <row r="839" s="85" customFormat="1" customHeight="1" spans="1:25">
      <c r="A839" s="98" t="s">
        <v>448</v>
      </c>
      <c r="B839" s="98" t="s">
        <v>62</v>
      </c>
      <c r="C839" s="98" t="s">
        <v>238</v>
      </c>
      <c r="D839" s="98" t="s">
        <v>642</v>
      </c>
      <c r="E839" s="161" t="s">
        <v>982</v>
      </c>
      <c r="F839" s="98" t="s">
        <v>983</v>
      </c>
      <c r="G839" s="172" t="s">
        <v>88</v>
      </c>
      <c r="H839" s="100" t="s">
        <v>1162</v>
      </c>
      <c r="I839" s="46" t="e">
        <f>VLOOKUP(H839,'合同高级查询数据-4月返'!A:A,1,FALSE)</f>
        <v>#N/A</v>
      </c>
      <c r="J839" s="47" t="s">
        <v>90</v>
      </c>
      <c r="K839" s="219" t="s">
        <v>1166</v>
      </c>
      <c r="L839" s="179"/>
      <c r="M839" s="49" t="s">
        <v>986</v>
      </c>
      <c r="N839" s="180">
        <v>44967</v>
      </c>
      <c r="O839" s="181" t="s">
        <v>507</v>
      </c>
      <c r="P839" s="182">
        <v>8595</v>
      </c>
      <c r="Q839" s="182">
        <v>12</v>
      </c>
      <c r="R839" s="118">
        <f t="shared" si="24"/>
        <v>103140</v>
      </c>
      <c r="S839" s="115">
        <v>202304</v>
      </c>
      <c r="T839" s="217" t="s">
        <v>1172</v>
      </c>
      <c r="U839" s="165"/>
      <c r="V839" s="165"/>
      <c r="W839" s="165"/>
      <c r="X839" s="116">
        <v>44844</v>
      </c>
      <c r="Y839" s="116">
        <v>47036</v>
      </c>
    </row>
    <row r="840" s="85" customFormat="1" customHeight="1" spans="1:25">
      <c r="A840" s="98" t="s">
        <v>448</v>
      </c>
      <c r="B840" s="98" t="s">
        <v>62</v>
      </c>
      <c r="C840" s="98" t="s">
        <v>238</v>
      </c>
      <c r="D840" s="98" t="s">
        <v>642</v>
      </c>
      <c r="E840" s="161" t="s">
        <v>982</v>
      </c>
      <c r="F840" s="98" t="s">
        <v>983</v>
      </c>
      <c r="G840" s="172" t="s">
        <v>88</v>
      </c>
      <c r="H840" s="100" t="s">
        <v>1162</v>
      </c>
      <c r="I840" s="46" t="e">
        <f>VLOOKUP(H840,'合同高级查询数据-4月返'!A:A,1,FALSE)</f>
        <v>#N/A</v>
      </c>
      <c r="J840" s="47" t="s">
        <v>90</v>
      </c>
      <c r="K840" s="219" t="s">
        <v>1166</v>
      </c>
      <c r="L840" s="179"/>
      <c r="M840" s="49" t="s">
        <v>986</v>
      </c>
      <c r="N840" s="180">
        <v>44971</v>
      </c>
      <c r="O840" s="181" t="s">
        <v>507</v>
      </c>
      <c r="P840" s="182">
        <v>8595</v>
      </c>
      <c r="Q840" s="182">
        <v>9</v>
      </c>
      <c r="R840" s="118">
        <f t="shared" si="24"/>
        <v>77355</v>
      </c>
      <c r="S840" s="115">
        <v>202304</v>
      </c>
      <c r="T840" s="217" t="s">
        <v>1173</v>
      </c>
      <c r="U840" s="165"/>
      <c r="V840" s="165"/>
      <c r="W840" s="165"/>
      <c r="X840" s="116">
        <v>44844</v>
      </c>
      <c r="Y840" s="116">
        <v>47036</v>
      </c>
    </row>
    <row r="841" s="85" customFormat="1" customHeight="1" spans="1:25">
      <c r="A841" s="98" t="s">
        <v>448</v>
      </c>
      <c r="B841" s="98" t="s">
        <v>62</v>
      </c>
      <c r="C841" s="98" t="s">
        <v>238</v>
      </c>
      <c r="D841" s="98" t="s">
        <v>642</v>
      </c>
      <c r="E841" s="161" t="s">
        <v>982</v>
      </c>
      <c r="F841" s="98" t="s">
        <v>983</v>
      </c>
      <c r="G841" s="172" t="s">
        <v>88</v>
      </c>
      <c r="H841" s="100" t="s">
        <v>1162</v>
      </c>
      <c r="I841" s="46" t="e">
        <f>VLOOKUP(H841,'合同高级查询数据-4月返'!A:A,1,FALSE)</f>
        <v>#N/A</v>
      </c>
      <c r="J841" s="47" t="s">
        <v>90</v>
      </c>
      <c r="K841" s="219" t="s">
        <v>1166</v>
      </c>
      <c r="L841" s="179"/>
      <c r="M841" s="49" t="s">
        <v>986</v>
      </c>
      <c r="N841" s="180">
        <v>44973</v>
      </c>
      <c r="O841" s="181" t="s">
        <v>507</v>
      </c>
      <c r="P841" s="182">
        <v>8595</v>
      </c>
      <c r="Q841" s="182">
        <v>18</v>
      </c>
      <c r="R841" s="118">
        <f t="shared" si="24"/>
        <v>154710</v>
      </c>
      <c r="S841" s="115">
        <v>202304</v>
      </c>
      <c r="T841" s="217" t="s">
        <v>1174</v>
      </c>
      <c r="U841" s="165"/>
      <c r="V841" s="165"/>
      <c r="W841" s="165"/>
      <c r="X841" s="116">
        <v>44844</v>
      </c>
      <c r="Y841" s="116">
        <v>47036</v>
      </c>
    </row>
    <row r="842" s="85" customFormat="1" customHeight="1" spans="1:25">
      <c r="A842" s="98" t="s">
        <v>448</v>
      </c>
      <c r="B842" s="98" t="s">
        <v>62</v>
      </c>
      <c r="C842" s="98" t="s">
        <v>238</v>
      </c>
      <c r="D842" s="98" t="s">
        <v>642</v>
      </c>
      <c r="E842" s="161" t="s">
        <v>982</v>
      </c>
      <c r="F842" s="98" t="s">
        <v>983</v>
      </c>
      <c r="G842" s="172" t="s">
        <v>88</v>
      </c>
      <c r="H842" s="100" t="s">
        <v>1162</v>
      </c>
      <c r="I842" s="46" t="e">
        <f>VLOOKUP(H842,'合同高级查询数据-4月返'!A:A,1,FALSE)</f>
        <v>#N/A</v>
      </c>
      <c r="J842" s="47" t="s">
        <v>90</v>
      </c>
      <c r="K842" s="219" t="s">
        <v>1166</v>
      </c>
      <c r="L842" s="179"/>
      <c r="M842" s="49" t="s">
        <v>986</v>
      </c>
      <c r="N842" s="180">
        <v>44986</v>
      </c>
      <c r="O842" s="181" t="s">
        <v>507</v>
      </c>
      <c r="P842" s="182">
        <v>8595</v>
      </c>
      <c r="Q842" s="182">
        <v>11</v>
      </c>
      <c r="R842" s="118">
        <f t="shared" si="24"/>
        <v>94545</v>
      </c>
      <c r="S842" s="115">
        <v>202304</v>
      </c>
      <c r="T842" s="217" t="s">
        <v>1175</v>
      </c>
      <c r="U842" s="165"/>
      <c r="V842" s="165"/>
      <c r="W842" s="165"/>
      <c r="X842" s="116">
        <v>44844</v>
      </c>
      <c r="Y842" s="116">
        <v>47036</v>
      </c>
    </row>
    <row r="843" s="85" customFormat="1" customHeight="1" spans="1:25">
      <c r="A843" s="98" t="s">
        <v>448</v>
      </c>
      <c r="B843" s="98" t="s">
        <v>62</v>
      </c>
      <c r="C843" s="98" t="s">
        <v>238</v>
      </c>
      <c r="D843" s="98" t="s">
        <v>642</v>
      </c>
      <c r="E843" s="161" t="s">
        <v>982</v>
      </c>
      <c r="F843" s="98" t="s">
        <v>983</v>
      </c>
      <c r="G843" s="172" t="s">
        <v>88</v>
      </c>
      <c r="H843" s="100" t="s">
        <v>1162</v>
      </c>
      <c r="I843" s="46" t="e">
        <f>VLOOKUP(H843,'合同高级查询数据-4月返'!A:A,1,FALSE)</f>
        <v>#N/A</v>
      </c>
      <c r="J843" s="47" t="s">
        <v>90</v>
      </c>
      <c r="K843" s="219" t="s">
        <v>1166</v>
      </c>
      <c r="L843" s="179"/>
      <c r="M843" s="49" t="s">
        <v>986</v>
      </c>
      <c r="N843" s="180">
        <v>44994</v>
      </c>
      <c r="O843" s="181" t="s">
        <v>507</v>
      </c>
      <c r="P843" s="182">
        <v>8595</v>
      </c>
      <c r="Q843" s="182">
        <v>4</v>
      </c>
      <c r="R843" s="118">
        <f t="shared" si="24"/>
        <v>34380</v>
      </c>
      <c r="S843" s="115">
        <v>202304</v>
      </c>
      <c r="T843" s="217" t="s">
        <v>1176</v>
      </c>
      <c r="U843" s="165"/>
      <c r="V843" s="165"/>
      <c r="W843" s="165"/>
      <c r="X843" s="116">
        <v>44844</v>
      </c>
      <c r="Y843" s="116">
        <v>47036</v>
      </c>
    </row>
    <row r="844" s="85" customFormat="1" customHeight="1" spans="1:25">
      <c r="A844" s="98" t="s">
        <v>448</v>
      </c>
      <c r="B844" s="98" t="s">
        <v>62</v>
      </c>
      <c r="C844" s="98" t="s">
        <v>238</v>
      </c>
      <c r="D844" s="98" t="s">
        <v>642</v>
      </c>
      <c r="E844" s="161" t="s">
        <v>982</v>
      </c>
      <c r="F844" s="98" t="s">
        <v>983</v>
      </c>
      <c r="G844" s="172" t="s">
        <v>88</v>
      </c>
      <c r="H844" s="100" t="s">
        <v>1162</v>
      </c>
      <c r="I844" s="46" t="e">
        <f>VLOOKUP(H844,'合同高级查询数据-4月返'!A:A,1,FALSE)</f>
        <v>#N/A</v>
      </c>
      <c r="J844" s="47" t="s">
        <v>90</v>
      </c>
      <c r="K844" s="219" t="s">
        <v>1166</v>
      </c>
      <c r="L844" s="179"/>
      <c r="M844" s="49" t="s">
        <v>986</v>
      </c>
      <c r="N844" s="180">
        <v>44998</v>
      </c>
      <c r="O844" s="181" t="s">
        <v>507</v>
      </c>
      <c r="P844" s="182">
        <v>8595</v>
      </c>
      <c r="Q844" s="182">
        <v>30</v>
      </c>
      <c r="R844" s="118">
        <f t="shared" si="24"/>
        <v>257850</v>
      </c>
      <c r="S844" s="115">
        <v>202304</v>
      </c>
      <c r="T844" s="217" t="s">
        <v>1177</v>
      </c>
      <c r="U844" s="165"/>
      <c r="V844" s="165"/>
      <c r="W844" s="165"/>
      <c r="X844" s="116">
        <v>44844</v>
      </c>
      <c r="Y844" s="116">
        <v>47036</v>
      </c>
    </row>
    <row r="845" s="85" customFormat="1" customHeight="1" spans="1:25">
      <c r="A845" s="98" t="s">
        <v>448</v>
      </c>
      <c r="B845" s="98" t="s">
        <v>62</v>
      </c>
      <c r="C845" s="98" t="s">
        <v>238</v>
      </c>
      <c r="D845" s="98" t="s">
        <v>642</v>
      </c>
      <c r="E845" s="161" t="s">
        <v>982</v>
      </c>
      <c r="F845" s="98" t="s">
        <v>983</v>
      </c>
      <c r="G845" s="172" t="s">
        <v>88</v>
      </c>
      <c r="H845" s="100" t="s">
        <v>1162</v>
      </c>
      <c r="I845" s="46" t="e">
        <f>VLOOKUP(H845,'合同高级查询数据-4月返'!A:A,1,FALSE)</f>
        <v>#N/A</v>
      </c>
      <c r="J845" s="47" t="s">
        <v>90</v>
      </c>
      <c r="K845" s="219" t="s">
        <v>1166</v>
      </c>
      <c r="L845" s="179"/>
      <c r="M845" s="49" t="s">
        <v>986</v>
      </c>
      <c r="N845" s="180">
        <v>45000</v>
      </c>
      <c r="O845" s="181" t="s">
        <v>507</v>
      </c>
      <c r="P845" s="182">
        <v>8595</v>
      </c>
      <c r="Q845" s="182">
        <v>3</v>
      </c>
      <c r="R845" s="118">
        <f t="shared" si="24"/>
        <v>25785</v>
      </c>
      <c r="S845" s="115">
        <v>202304</v>
      </c>
      <c r="T845" s="217" t="s">
        <v>1178</v>
      </c>
      <c r="U845" s="165"/>
      <c r="V845" s="165"/>
      <c r="W845" s="165"/>
      <c r="X845" s="116">
        <v>44844</v>
      </c>
      <c r="Y845" s="116">
        <v>47036</v>
      </c>
    </row>
    <row r="846" s="85" customFormat="1" customHeight="1" spans="1:25">
      <c r="A846" s="98" t="s">
        <v>448</v>
      </c>
      <c r="B846" s="98" t="s">
        <v>62</v>
      </c>
      <c r="C846" s="98" t="s">
        <v>238</v>
      </c>
      <c r="D846" s="98" t="s">
        <v>642</v>
      </c>
      <c r="E846" s="161" t="s">
        <v>982</v>
      </c>
      <c r="F846" s="98" t="s">
        <v>983</v>
      </c>
      <c r="G846" s="172" t="s">
        <v>88</v>
      </c>
      <c r="H846" s="100" t="s">
        <v>1162</v>
      </c>
      <c r="I846" s="46" t="e">
        <f>VLOOKUP(H846,'合同高级查询数据-4月返'!A:A,1,FALSE)</f>
        <v>#N/A</v>
      </c>
      <c r="J846" s="47" t="s">
        <v>90</v>
      </c>
      <c r="K846" s="219" t="s">
        <v>1166</v>
      </c>
      <c r="L846" s="179"/>
      <c r="M846" s="49" t="s">
        <v>986</v>
      </c>
      <c r="N846" s="180">
        <v>45027</v>
      </c>
      <c r="O846" s="181" t="s">
        <v>507</v>
      </c>
      <c r="P846" s="182">
        <v>8595</v>
      </c>
      <c r="Q846" s="182">
        <v>5</v>
      </c>
      <c r="R846" s="118">
        <f>ROUND(P846*Q846*20/30,2)</f>
        <v>28650</v>
      </c>
      <c r="S846" s="115">
        <v>202304</v>
      </c>
      <c r="T846" s="221" t="s">
        <v>1179</v>
      </c>
      <c r="U846" s="165"/>
      <c r="V846" s="165"/>
      <c r="W846" s="165"/>
      <c r="X846" s="116">
        <v>44844</v>
      </c>
      <c r="Y846" s="116">
        <v>47036</v>
      </c>
    </row>
    <row r="847" s="85" customFormat="1" customHeight="1" spans="1:25">
      <c r="A847" s="98" t="s">
        <v>448</v>
      </c>
      <c r="B847" s="98" t="s">
        <v>62</v>
      </c>
      <c r="C847" s="98" t="s">
        <v>238</v>
      </c>
      <c r="D847" s="98" t="s">
        <v>642</v>
      </c>
      <c r="E847" s="161" t="s">
        <v>982</v>
      </c>
      <c r="F847" s="98" t="s">
        <v>983</v>
      </c>
      <c r="G847" s="172" t="s">
        <v>88</v>
      </c>
      <c r="H847" s="100" t="s">
        <v>1162</v>
      </c>
      <c r="I847" s="46" t="e">
        <f>VLOOKUP(H847,'合同高级查询数据-4月返'!A:A,1,FALSE)</f>
        <v>#N/A</v>
      </c>
      <c r="J847" s="47" t="s">
        <v>90</v>
      </c>
      <c r="K847" s="219" t="s">
        <v>1166</v>
      </c>
      <c r="L847" s="179"/>
      <c r="M847" s="49" t="s">
        <v>986</v>
      </c>
      <c r="N847" s="180">
        <v>45040</v>
      </c>
      <c r="O847" s="181" t="s">
        <v>507</v>
      </c>
      <c r="P847" s="182">
        <v>8595</v>
      </c>
      <c r="Q847" s="182">
        <v>4</v>
      </c>
      <c r="R847" s="118">
        <f>ROUND(P847*Q847*7/30,2)</f>
        <v>8022</v>
      </c>
      <c r="S847" s="115">
        <v>202304</v>
      </c>
      <c r="T847" s="221" t="s">
        <v>1180</v>
      </c>
      <c r="U847" s="165"/>
      <c r="V847" s="165"/>
      <c r="W847" s="165"/>
      <c r="X847" s="116">
        <v>44844</v>
      </c>
      <c r="Y847" s="116">
        <v>47036</v>
      </c>
    </row>
    <row r="848" s="85" customFormat="1" customHeight="1" spans="1:25">
      <c r="A848" s="98" t="s">
        <v>448</v>
      </c>
      <c r="B848" s="98" t="s">
        <v>62</v>
      </c>
      <c r="C848" s="98" t="s">
        <v>238</v>
      </c>
      <c r="D848" s="98" t="s">
        <v>642</v>
      </c>
      <c r="E848" s="161" t="s">
        <v>982</v>
      </c>
      <c r="F848" s="98" t="s">
        <v>983</v>
      </c>
      <c r="G848" s="172" t="s">
        <v>88</v>
      </c>
      <c r="H848" s="100" t="s">
        <v>1162</v>
      </c>
      <c r="I848" s="46" t="e">
        <f>VLOOKUP(H848,'合同高级查询数据-4月返'!A:A,1,FALSE)</f>
        <v>#N/A</v>
      </c>
      <c r="J848" s="47" t="s">
        <v>90</v>
      </c>
      <c r="K848" s="219" t="s">
        <v>1166</v>
      </c>
      <c r="L848" s="179"/>
      <c r="M848" s="49" t="s">
        <v>986</v>
      </c>
      <c r="N848" s="180">
        <v>44875</v>
      </c>
      <c r="O848" s="181" t="s">
        <v>507</v>
      </c>
      <c r="P848" s="182">
        <v>-8595</v>
      </c>
      <c r="Q848" s="182"/>
      <c r="R848" s="118">
        <f>ROUND(P848*25,2)</f>
        <v>-214875</v>
      </c>
      <c r="S848" s="115">
        <v>202304</v>
      </c>
      <c r="T848" s="217" t="s">
        <v>1181</v>
      </c>
      <c r="U848" s="165"/>
      <c r="V848" s="165"/>
      <c r="W848" s="165"/>
      <c r="X848" s="116">
        <v>44844</v>
      </c>
      <c r="Y848" s="116">
        <v>47036</v>
      </c>
    </row>
    <row r="849" s="85" customFormat="1" customHeight="1" spans="1:25">
      <c r="A849" s="98" t="s">
        <v>448</v>
      </c>
      <c r="B849" s="98" t="s">
        <v>62</v>
      </c>
      <c r="C849" s="98" t="s">
        <v>238</v>
      </c>
      <c r="D849" s="98" t="s">
        <v>642</v>
      </c>
      <c r="E849" s="161" t="s">
        <v>982</v>
      </c>
      <c r="F849" s="98" t="s">
        <v>983</v>
      </c>
      <c r="G849" s="172" t="s">
        <v>88</v>
      </c>
      <c r="H849" s="100" t="s">
        <v>1162</v>
      </c>
      <c r="I849" s="46" t="e">
        <f>VLOOKUP(H849,'合同高级查询数据-4月返'!A:A,1,FALSE)</f>
        <v>#N/A</v>
      </c>
      <c r="J849" s="47" t="s">
        <v>357</v>
      </c>
      <c r="K849" s="160" t="s">
        <v>1182</v>
      </c>
      <c r="L849" s="179"/>
      <c r="M849" s="49" t="s">
        <v>986</v>
      </c>
      <c r="N849" s="180"/>
      <c r="O849" s="181"/>
      <c r="P849" s="182">
        <v>300</v>
      </c>
      <c r="Q849" s="182">
        <v>800</v>
      </c>
      <c r="R849" s="118">
        <f>ROUND(P849*Q849,2)</f>
        <v>240000</v>
      </c>
      <c r="S849" s="115">
        <v>202304</v>
      </c>
      <c r="T849" s="217" t="s">
        <v>1183</v>
      </c>
      <c r="U849" s="165"/>
      <c r="V849" s="165"/>
      <c r="W849" s="165"/>
      <c r="X849" s="116">
        <v>44844</v>
      </c>
      <c r="Y849" s="116">
        <v>47036</v>
      </c>
    </row>
    <row r="850" s="85" customFormat="1" customHeight="1" spans="1:25">
      <c r="A850" s="98" t="s">
        <v>448</v>
      </c>
      <c r="B850" s="98" t="s">
        <v>62</v>
      </c>
      <c r="C850" s="98" t="s">
        <v>238</v>
      </c>
      <c r="D850" s="98" t="s">
        <v>642</v>
      </c>
      <c r="E850" s="161" t="s">
        <v>982</v>
      </c>
      <c r="F850" s="98" t="s">
        <v>983</v>
      </c>
      <c r="G850" s="172" t="s">
        <v>88</v>
      </c>
      <c r="H850" s="100" t="s">
        <v>1162</v>
      </c>
      <c r="I850" s="46" t="e">
        <f>VLOOKUP(H850,'合同高级查询数据-4月返'!A:A,1,FALSE)</f>
        <v>#N/A</v>
      </c>
      <c r="J850" s="47" t="s">
        <v>90</v>
      </c>
      <c r="K850" s="219" t="s">
        <v>1163</v>
      </c>
      <c r="L850" s="179"/>
      <c r="M850" s="49" t="s">
        <v>986</v>
      </c>
      <c r="N850" s="180">
        <v>45016</v>
      </c>
      <c r="O850" s="181" t="s">
        <v>507</v>
      </c>
      <c r="P850" s="182">
        <v>8595</v>
      </c>
      <c r="Q850" s="182">
        <v>3</v>
      </c>
      <c r="R850" s="118">
        <f>ROUND(P850*Q850,2)</f>
        <v>25785</v>
      </c>
      <c r="S850" s="115">
        <v>202304</v>
      </c>
      <c r="T850" s="217" t="s">
        <v>1184</v>
      </c>
      <c r="U850" s="165"/>
      <c r="V850" s="165"/>
      <c r="W850" s="165"/>
      <c r="X850" s="116">
        <v>44844</v>
      </c>
      <c r="Y850" s="116">
        <v>47036</v>
      </c>
    </row>
    <row r="851" s="85" customFormat="1" customHeight="1" spans="1:25">
      <c r="A851" s="98" t="s">
        <v>448</v>
      </c>
      <c r="B851" s="98" t="s">
        <v>62</v>
      </c>
      <c r="C851" s="98" t="s">
        <v>238</v>
      </c>
      <c r="D851" s="98" t="s">
        <v>642</v>
      </c>
      <c r="E851" s="161" t="s">
        <v>982</v>
      </c>
      <c r="F851" s="98" t="s">
        <v>1016</v>
      </c>
      <c r="G851" s="172" t="s">
        <v>88</v>
      </c>
      <c r="H851" s="100" t="s">
        <v>1185</v>
      </c>
      <c r="I851" s="46" t="e">
        <f>VLOOKUP(H851,'合同高级查询数据-4月返'!A:A,1,FALSE)</f>
        <v>#N/A</v>
      </c>
      <c r="J851" s="47" t="s">
        <v>90</v>
      </c>
      <c r="K851" s="160" t="s">
        <v>1186</v>
      </c>
      <c r="L851" s="179"/>
      <c r="M851" s="49" t="s">
        <v>1019</v>
      </c>
      <c r="N851" s="180">
        <v>44652</v>
      </c>
      <c r="O851" s="181" t="s">
        <v>503</v>
      </c>
      <c r="P851" s="182">
        <v>5900</v>
      </c>
      <c r="Q851" s="182">
        <v>18</v>
      </c>
      <c r="R851" s="118">
        <f t="shared" ref="R851:R871" si="25">ROUND(P851*Q851,2)</f>
        <v>106200</v>
      </c>
      <c r="S851" s="115">
        <v>202304</v>
      </c>
      <c r="T851" s="222" t="s">
        <v>1187</v>
      </c>
      <c r="U851" s="223"/>
      <c r="V851" s="165"/>
      <c r="W851" s="165"/>
      <c r="X851" s="116">
        <v>44637</v>
      </c>
      <c r="Y851" s="116">
        <v>46828</v>
      </c>
    </row>
    <row r="852" s="85" customFormat="1" customHeight="1" spans="1:25">
      <c r="A852" s="98" t="s">
        <v>448</v>
      </c>
      <c r="B852" s="98" t="s">
        <v>62</v>
      </c>
      <c r="C852" s="98" t="s">
        <v>238</v>
      </c>
      <c r="D852" s="98" t="s">
        <v>642</v>
      </c>
      <c r="E852" s="161" t="s">
        <v>982</v>
      </c>
      <c r="F852" s="98" t="s">
        <v>1016</v>
      </c>
      <c r="G852" s="172" t="s">
        <v>88</v>
      </c>
      <c r="H852" s="100" t="s">
        <v>1185</v>
      </c>
      <c r="I852" s="46" t="e">
        <f>VLOOKUP(H852,'合同高级查询数据-4月返'!A:A,1,FALSE)</f>
        <v>#N/A</v>
      </c>
      <c r="J852" s="47" t="s">
        <v>90</v>
      </c>
      <c r="K852" s="160" t="s">
        <v>1186</v>
      </c>
      <c r="L852" s="179"/>
      <c r="M852" s="49" t="s">
        <v>1019</v>
      </c>
      <c r="N852" s="180">
        <v>44652</v>
      </c>
      <c r="O852" s="181" t="s">
        <v>507</v>
      </c>
      <c r="P852" s="182">
        <v>8595</v>
      </c>
      <c r="Q852" s="182">
        <v>42</v>
      </c>
      <c r="R852" s="118">
        <f t="shared" si="25"/>
        <v>360990</v>
      </c>
      <c r="S852" s="115">
        <v>202304</v>
      </c>
      <c r="T852" s="222" t="s">
        <v>1188</v>
      </c>
      <c r="U852" s="223"/>
      <c r="V852" s="165"/>
      <c r="W852" s="165"/>
      <c r="X852" s="116">
        <v>44637</v>
      </c>
      <c r="Y852" s="116">
        <v>46828</v>
      </c>
    </row>
    <row r="853" s="85" customFormat="1" customHeight="1" spans="1:25">
      <c r="A853" s="98" t="s">
        <v>448</v>
      </c>
      <c r="B853" s="98" t="s">
        <v>62</v>
      </c>
      <c r="C853" s="98" t="s">
        <v>238</v>
      </c>
      <c r="D853" s="98" t="s">
        <v>642</v>
      </c>
      <c r="E853" s="161" t="s">
        <v>982</v>
      </c>
      <c r="F853" s="98" t="s">
        <v>1016</v>
      </c>
      <c r="G853" s="172" t="s">
        <v>88</v>
      </c>
      <c r="H853" s="100" t="s">
        <v>1185</v>
      </c>
      <c r="I853" s="46" t="e">
        <f>VLOOKUP(H853,'合同高级查询数据-4月返'!A:A,1,FALSE)</f>
        <v>#N/A</v>
      </c>
      <c r="J853" s="47" t="s">
        <v>90</v>
      </c>
      <c r="K853" s="160" t="s">
        <v>1186</v>
      </c>
      <c r="L853" s="179"/>
      <c r="M853" s="49" t="s">
        <v>1019</v>
      </c>
      <c r="N853" s="180">
        <v>44652</v>
      </c>
      <c r="O853" s="181" t="s">
        <v>1189</v>
      </c>
      <c r="P853" s="182">
        <v>11200</v>
      </c>
      <c r="Q853" s="182">
        <v>12</v>
      </c>
      <c r="R853" s="118">
        <f t="shared" si="25"/>
        <v>134400</v>
      </c>
      <c r="S853" s="115">
        <v>202304</v>
      </c>
      <c r="T853" s="222" t="s">
        <v>1190</v>
      </c>
      <c r="U853" s="223"/>
      <c r="V853" s="165"/>
      <c r="W853" s="165"/>
      <c r="X853" s="116">
        <v>44637</v>
      </c>
      <c r="Y853" s="116">
        <v>46828</v>
      </c>
    </row>
    <row r="854" s="85" customFormat="1" customHeight="1" spans="1:25">
      <c r="A854" s="98" t="s">
        <v>448</v>
      </c>
      <c r="B854" s="98" t="s">
        <v>62</v>
      </c>
      <c r="C854" s="98" t="s">
        <v>238</v>
      </c>
      <c r="D854" s="98" t="s">
        <v>642</v>
      </c>
      <c r="E854" s="161" t="s">
        <v>982</v>
      </c>
      <c r="F854" s="98" t="s">
        <v>1016</v>
      </c>
      <c r="G854" s="172" t="s">
        <v>88</v>
      </c>
      <c r="H854" s="100" t="s">
        <v>1185</v>
      </c>
      <c r="I854" s="46" t="e">
        <f>VLOOKUP(H854,'合同高级查询数据-4月返'!A:A,1,FALSE)</f>
        <v>#N/A</v>
      </c>
      <c r="J854" s="47" t="s">
        <v>90</v>
      </c>
      <c r="K854" s="160" t="s">
        <v>1186</v>
      </c>
      <c r="L854" s="179"/>
      <c r="M854" s="49" t="s">
        <v>1019</v>
      </c>
      <c r="N854" s="180">
        <v>44652</v>
      </c>
      <c r="O854" s="181" t="s">
        <v>606</v>
      </c>
      <c r="P854" s="182">
        <v>11200</v>
      </c>
      <c r="Q854" s="182">
        <v>6</v>
      </c>
      <c r="R854" s="118">
        <f t="shared" si="25"/>
        <v>67200</v>
      </c>
      <c r="S854" s="115">
        <v>202304</v>
      </c>
      <c r="T854" s="222" t="s">
        <v>1191</v>
      </c>
      <c r="U854" s="223"/>
      <c r="V854" s="165"/>
      <c r="W854" s="165"/>
      <c r="X854" s="116">
        <v>44637</v>
      </c>
      <c r="Y854" s="116">
        <v>46828</v>
      </c>
    </row>
    <row r="855" s="85" customFormat="1" customHeight="1" spans="1:25">
      <c r="A855" s="98" t="s">
        <v>448</v>
      </c>
      <c r="B855" s="98" t="s">
        <v>62</v>
      </c>
      <c r="C855" s="98" t="s">
        <v>238</v>
      </c>
      <c r="D855" s="98" t="s">
        <v>642</v>
      </c>
      <c r="E855" s="161" t="s">
        <v>982</v>
      </c>
      <c r="F855" s="98" t="s">
        <v>1016</v>
      </c>
      <c r="G855" s="172" t="s">
        <v>88</v>
      </c>
      <c r="H855" s="100" t="s">
        <v>1185</v>
      </c>
      <c r="I855" s="46" t="e">
        <f>VLOOKUP(H855,'合同高级查询数据-4月返'!A:A,1,FALSE)</f>
        <v>#N/A</v>
      </c>
      <c r="J855" s="47" t="s">
        <v>90</v>
      </c>
      <c r="K855" s="160" t="s">
        <v>1186</v>
      </c>
      <c r="L855" s="179"/>
      <c r="M855" s="49" t="s">
        <v>1019</v>
      </c>
      <c r="N855" s="180">
        <v>44671</v>
      </c>
      <c r="O855" s="181" t="s">
        <v>503</v>
      </c>
      <c r="P855" s="182">
        <v>5900</v>
      </c>
      <c r="Q855" s="182">
        <v>6</v>
      </c>
      <c r="R855" s="118">
        <f t="shared" si="25"/>
        <v>35400</v>
      </c>
      <c r="S855" s="115">
        <v>202304</v>
      </c>
      <c r="T855" s="222" t="s">
        <v>1192</v>
      </c>
      <c r="U855" s="223"/>
      <c r="V855" s="165"/>
      <c r="W855" s="165"/>
      <c r="X855" s="116">
        <v>44637</v>
      </c>
      <c r="Y855" s="116">
        <v>46828</v>
      </c>
    </row>
    <row r="856" s="85" customFormat="1" customHeight="1" spans="1:25">
      <c r="A856" s="98" t="s">
        <v>448</v>
      </c>
      <c r="B856" s="98" t="s">
        <v>62</v>
      </c>
      <c r="C856" s="98" t="s">
        <v>238</v>
      </c>
      <c r="D856" s="98" t="s">
        <v>642</v>
      </c>
      <c r="E856" s="161" t="s">
        <v>982</v>
      </c>
      <c r="F856" s="98" t="s">
        <v>1016</v>
      </c>
      <c r="G856" s="172" t="s">
        <v>88</v>
      </c>
      <c r="H856" s="100" t="s">
        <v>1185</v>
      </c>
      <c r="I856" s="46" t="e">
        <f>VLOOKUP(H856,'合同高级查询数据-4月返'!A:A,1,FALSE)</f>
        <v>#N/A</v>
      </c>
      <c r="J856" s="47" t="s">
        <v>90</v>
      </c>
      <c r="K856" s="160" t="s">
        <v>1186</v>
      </c>
      <c r="L856" s="179"/>
      <c r="M856" s="49" t="s">
        <v>1019</v>
      </c>
      <c r="N856" s="180">
        <v>44671</v>
      </c>
      <c r="O856" s="181" t="s">
        <v>507</v>
      </c>
      <c r="P856" s="182">
        <v>8595</v>
      </c>
      <c r="Q856" s="182">
        <v>2</v>
      </c>
      <c r="R856" s="118">
        <f t="shared" si="25"/>
        <v>17190</v>
      </c>
      <c r="S856" s="115">
        <v>202304</v>
      </c>
      <c r="T856" s="222" t="s">
        <v>1193</v>
      </c>
      <c r="U856" s="223"/>
      <c r="V856" s="165"/>
      <c r="W856" s="165"/>
      <c r="X856" s="116">
        <v>44637</v>
      </c>
      <c r="Y856" s="116">
        <v>46828</v>
      </c>
    </row>
    <row r="857" s="85" customFormat="1" customHeight="1" spans="1:25">
      <c r="A857" s="98" t="s">
        <v>448</v>
      </c>
      <c r="B857" s="98" t="s">
        <v>62</v>
      </c>
      <c r="C857" s="98" t="s">
        <v>238</v>
      </c>
      <c r="D857" s="98" t="s">
        <v>642</v>
      </c>
      <c r="E857" s="161" t="s">
        <v>982</v>
      </c>
      <c r="F857" s="98" t="s">
        <v>1016</v>
      </c>
      <c r="G857" s="172" t="s">
        <v>88</v>
      </c>
      <c r="H857" s="100" t="s">
        <v>1185</v>
      </c>
      <c r="I857" s="46" t="e">
        <f>VLOOKUP(H857,'合同高级查询数据-4月返'!A:A,1,FALSE)</f>
        <v>#N/A</v>
      </c>
      <c r="J857" s="47" t="s">
        <v>90</v>
      </c>
      <c r="K857" s="160" t="s">
        <v>1186</v>
      </c>
      <c r="L857" s="179"/>
      <c r="M857" s="49" t="s">
        <v>1019</v>
      </c>
      <c r="N857" s="180">
        <v>44677</v>
      </c>
      <c r="O857" s="181" t="s">
        <v>507</v>
      </c>
      <c r="P857" s="182">
        <v>8595</v>
      </c>
      <c r="Q857" s="182">
        <v>6</v>
      </c>
      <c r="R857" s="118">
        <f t="shared" si="25"/>
        <v>51570</v>
      </c>
      <c r="S857" s="115">
        <v>202304</v>
      </c>
      <c r="T857" s="222" t="s">
        <v>1194</v>
      </c>
      <c r="U857" s="223"/>
      <c r="V857" s="165"/>
      <c r="W857" s="165"/>
      <c r="X857" s="116">
        <v>44637</v>
      </c>
      <c r="Y857" s="116">
        <v>46828</v>
      </c>
    </row>
    <row r="858" s="85" customFormat="1" customHeight="1" spans="1:25">
      <c r="A858" s="98" t="s">
        <v>448</v>
      </c>
      <c r="B858" s="98" t="s">
        <v>62</v>
      </c>
      <c r="C858" s="98" t="s">
        <v>238</v>
      </c>
      <c r="D858" s="98" t="s">
        <v>642</v>
      </c>
      <c r="E858" s="161" t="s">
        <v>982</v>
      </c>
      <c r="F858" s="98" t="s">
        <v>1016</v>
      </c>
      <c r="G858" s="172" t="s">
        <v>88</v>
      </c>
      <c r="H858" s="100" t="s">
        <v>1185</v>
      </c>
      <c r="I858" s="46" t="e">
        <f>VLOOKUP(H858,'合同高级查询数据-4月返'!A:A,1,FALSE)</f>
        <v>#N/A</v>
      </c>
      <c r="J858" s="47" t="s">
        <v>90</v>
      </c>
      <c r="K858" s="160" t="s">
        <v>1186</v>
      </c>
      <c r="L858" s="179"/>
      <c r="M858" s="49" t="s">
        <v>1019</v>
      </c>
      <c r="N858" s="180">
        <v>44697</v>
      </c>
      <c r="O858" s="181" t="s">
        <v>507</v>
      </c>
      <c r="P858" s="182">
        <v>8595</v>
      </c>
      <c r="Q858" s="182">
        <v>4</v>
      </c>
      <c r="R858" s="118">
        <f t="shared" si="25"/>
        <v>34380</v>
      </c>
      <c r="S858" s="115">
        <v>202304</v>
      </c>
      <c r="T858" s="222" t="s">
        <v>1195</v>
      </c>
      <c r="U858" s="223"/>
      <c r="V858" s="165"/>
      <c r="W858" s="165"/>
      <c r="X858" s="116">
        <v>44637</v>
      </c>
      <c r="Y858" s="116">
        <v>46828</v>
      </c>
    </row>
    <row r="859" s="85" customFormat="1" customHeight="1" spans="1:25">
      <c r="A859" s="98" t="s">
        <v>448</v>
      </c>
      <c r="B859" s="98" t="s">
        <v>62</v>
      </c>
      <c r="C859" s="98" t="s">
        <v>238</v>
      </c>
      <c r="D859" s="98" t="s">
        <v>642</v>
      </c>
      <c r="E859" s="161" t="s">
        <v>982</v>
      </c>
      <c r="F859" s="98" t="s">
        <v>1016</v>
      </c>
      <c r="G859" s="172" t="s">
        <v>88</v>
      </c>
      <c r="H859" s="100" t="s">
        <v>1185</v>
      </c>
      <c r="I859" s="46" t="e">
        <f>VLOOKUP(H859,'合同高级查询数据-4月返'!A:A,1,FALSE)</f>
        <v>#N/A</v>
      </c>
      <c r="J859" s="47" t="s">
        <v>90</v>
      </c>
      <c r="K859" s="160" t="s">
        <v>1186</v>
      </c>
      <c r="L859" s="179"/>
      <c r="M859" s="49" t="s">
        <v>1019</v>
      </c>
      <c r="N859" s="180">
        <v>44713</v>
      </c>
      <c r="O859" s="181" t="s">
        <v>507</v>
      </c>
      <c r="P859" s="182">
        <v>8595</v>
      </c>
      <c r="Q859" s="182">
        <v>3</v>
      </c>
      <c r="R859" s="118">
        <f t="shared" si="25"/>
        <v>25785</v>
      </c>
      <c r="S859" s="115">
        <v>202304</v>
      </c>
      <c r="T859" s="222" t="s">
        <v>1196</v>
      </c>
      <c r="U859" s="223"/>
      <c r="V859" s="165"/>
      <c r="W859" s="165"/>
      <c r="X859" s="116">
        <v>44637</v>
      </c>
      <c r="Y859" s="116">
        <v>46828</v>
      </c>
    </row>
    <row r="860" s="85" customFormat="1" customHeight="1" spans="1:25">
      <c r="A860" s="98" t="s">
        <v>448</v>
      </c>
      <c r="B860" s="98" t="s">
        <v>62</v>
      </c>
      <c r="C860" s="98" t="s">
        <v>238</v>
      </c>
      <c r="D860" s="98" t="s">
        <v>642</v>
      </c>
      <c r="E860" s="161" t="s">
        <v>982</v>
      </c>
      <c r="F860" s="98" t="s">
        <v>1016</v>
      </c>
      <c r="G860" s="172" t="s">
        <v>88</v>
      </c>
      <c r="H860" s="100" t="s">
        <v>1185</v>
      </c>
      <c r="I860" s="46" t="e">
        <f>VLOOKUP(H860,'合同高级查询数据-4月返'!A:A,1,FALSE)</f>
        <v>#N/A</v>
      </c>
      <c r="J860" s="47" t="s">
        <v>90</v>
      </c>
      <c r="K860" s="160" t="s">
        <v>1186</v>
      </c>
      <c r="L860" s="179"/>
      <c r="M860" s="49" t="s">
        <v>1019</v>
      </c>
      <c r="N860" s="180">
        <v>44741</v>
      </c>
      <c r="O860" s="181" t="s">
        <v>507</v>
      </c>
      <c r="P860" s="182">
        <v>8595</v>
      </c>
      <c r="Q860" s="182">
        <v>8</v>
      </c>
      <c r="R860" s="118">
        <f t="shared" si="25"/>
        <v>68760</v>
      </c>
      <c r="S860" s="115">
        <v>202304</v>
      </c>
      <c r="T860" s="222" t="s">
        <v>1197</v>
      </c>
      <c r="U860" s="223"/>
      <c r="V860" s="165"/>
      <c r="W860" s="165"/>
      <c r="X860" s="116">
        <v>44637</v>
      </c>
      <c r="Y860" s="116">
        <v>46828</v>
      </c>
    </row>
    <row r="861" s="85" customFormat="1" customHeight="1" spans="1:25">
      <c r="A861" s="98" t="s">
        <v>448</v>
      </c>
      <c r="B861" s="98" t="s">
        <v>62</v>
      </c>
      <c r="C861" s="98" t="s">
        <v>238</v>
      </c>
      <c r="D861" s="98" t="s">
        <v>642</v>
      </c>
      <c r="E861" s="161" t="s">
        <v>982</v>
      </c>
      <c r="F861" s="98" t="s">
        <v>1016</v>
      </c>
      <c r="G861" s="172" t="s">
        <v>88</v>
      </c>
      <c r="H861" s="100" t="s">
        <v>1185</v>
      </c>
      <c r="I861" s="46" t="e">
        <f>VLOOKUP(H861,'合同高级查询数据-4月返'!A:A,1,FALSE)</f>
        <v>#N/A</v>
      </c>
      <c r="J861" s="47" t="s">
        <v>90</v>
      </c>
      <c r="K861" s="160" t="s">
        <v>1186</v>
      </c>
      <c r="L861" s="179"/>
      <c r="M861" s="49" t="s">
        <v>1019</v>
      </c>
      <c r="N861" s="180">
        <v>44742</v>
      </c>
      <c r="O861" s="181" t="s">
        <v>507</v>
      </c>
      <c r="P861" s="182">
        <v>8595</v>
      </c>
      <c r="Q861" s="182">
        <v>9</v>
      </c>
      <c r="R861" s="118">
        <f t="shared" si="25"/>
        <v>77355</v>
      </c>
      <c r="S861" s="115">
        <v>202304</v>
      </c>
      <c r="T861" s="222" t="s">
        <v>1198</v>
      </c>
      <c r="U861" s="223"/>
      <c r="V861" s="165"/>
      <c r="W861" s="165"/>
      <c r="X861" s="116">
        <v>44637</v>
      </c>
      <c r="Y861" s="116">
        <v>46828</v>
      </c>
    </row>
    <row r="862" s="85" customFormat="1" customHeight="1" spans="1:25">
      <c r="A862" s="98" t="s">
        <v>448</v>
      </c>
      <c r="B862" s="98" t="s">
        <v>62</v>
      </c>
      <c r="C862" s="98" t="s">
        <v>238</v>
      </c>
      <c r="D862" s="98" t="s">
        <v>642</v>
      </c>
      <c r="E862" s="161" t="s">
        <v>982</v>
      </c>
      <c r="F862" s="98" t="s">
        <v>1016</v>
      </c>
      <c r="G862" s="172" t="s">
        <v>88</v>
      </c>
      <c r="H862" s="100" t="s">
        <v>1185</v>
      </c>
      <c r="I862" s="46" t="e">
        <f>VLOOKUP(H862,'合同高级查询数据-4月返'!A:A,1,FALSE)</f>
        <v>#N/A</v>
      </c>
      <c r="J862" s="47" t="s">
        <v>90</v>
      </c>
      <c r="K862" s="160" t="s">
        <v>1186</v>
      </c>
      <c r="L862" s="179"/>
      <c r="M862" s="49" t="s">
        <v>1019</v>
      </c>
      <c r="N862" s="180">
        <v>44761</v>
      </c>
      <c r="O862" s="181" t="s">
        <v>507</v>
      </c>
      <c r="P862" s="182">
        <v>8595</v>
      </c>
      <c r="Q862" s="182">
        <v>4</v>
      </c>
      <c r="R862" s="118">
        <f t="shared" si="25"/>
        <v>34380</v>
      </c>
      <c r="S862" s="115">
        <v>202304</v>
      </c>
      <c r="T862" s="222" t="s">
        <v>1199</v>
      </c>
      <c r="U862" s="223"/>
      <c r="V862" s="165"/>
      <c r="W862" s="165"/>
      <c r="X862" s="116">
        <v>44637</v>
      </c>
      <c r="Y862" s="116">
        <v>46828</v>
      </c>
    </row>
    <row r="863" s="85" customFormat="1" customHeight="1" spans="1:25">
      <c r="A863" s="98" t="s">
        <v>448</v>
      </c>
      <c r="B863" s="98" t="s">
        <v>62</v>
      </c>
      <c r="C863" s="98" t="s">
        <v>238</v>
      </c>
      <c r="D863" s="98" t="s">
        <v>642</v>
      </c>
      <c r="E863" s="161" t="s">
        <v>982</v>
      </c>
      <c r="F863" s="98" t="s">
        <v>1016</v>
      </c>
      <c r="G863" s="172" t="s">
        <v>88</v>
      </c>
      <c r="H863" s="100" t="s">
        <v>1185</v>
      </c>
      <c r="I863" s="46" t="e">
        <f>VLOOKUP(H863,'合同高级查询数据-4月返'!A:A,1,FALSE)</f>
        <v>#N/A</v>
      </c>
      <c r="J863" s="47" t="s">
        <v>90</v>
      </c>
      <c r="K863" s="160" t="s">
        <v>1186</v>
      </c>
      <c r="L863" s="179"/>
      <c r="M863" s="49" t="s">
        <v>1019</v>
      </c>
      <c r="N863" s="180">
        <v>44770</v>
      </c>
      <c r="O863" s="181" t="s">
        <v>507</v>
      </c>
      <c r="P863" s="182">
        <v>8595</v>
      </c>
      <c r="Q863" s="182">
        <v>15</v>
      </c>
      <c r="R863" s="118">
        <f t="shared" si="25"/>
        <v>128925</v>
      </c>
      <c r="S863" s="115">
        <v>202304</v>
      </c>
      <c r="T863" s="222" t="s">
        <v>1200</v>
      </c>
      <c r="U863" s="223"/>
      <c r="V863" s="165"/>
      <c r="W863" s="165"/>
      <c r="X863" s="116">
        <v>44637</v>
      </c>
      <c r="Y863" s="116">
        <v>46828</v>
      </c>
    </row>
    <row r="864" s="85" customFormat="1" customHeight="1" spans="1:25">
      <c r="A864" s="98" t="s">
        <v>448</v>
      </c>
      <c r="B864" s="98" t="s">
        <v>62</v>
      </c>
      <c r="C864" s="98" t="s">
        <v>238</v>
      </c>
      <c r="D864" s="98" t="s">
        <v>642</v>
      </c>
      <c r="E864" s="161" t="s">
        <v>982</v>
      </c>
      <c r="F864" s="98" t="s">
        <v>1016</v>
      </c>
      <c r="G864" s="172" t="s">
        <v>88</v>
      </c>
      <c r="H864" s="100" t="s">
        <v>1185</v>
      </c>
      <c r="I864" s="46" t="e">
        <f>VLOOKUP(H864,'合同高级查询数据-4月返'!A:A,1,FALSE)</f>
        <v>#N/A</v>
      </c>
      <c r="J864" s="47" t="s">
        <v>90</v>
      </c>
      <c r="K864" s="160" t="s">
        <v>1186</v>
      </c>
      <c r="L864" s="179"/>
      <c r="M864" s="49" t="s">
        <v>1019</v>
      </c>
      <c r="N864" s="180">
        <v>44792</v>
      </c>
      <c r="O864" s="181" t="s">
        <v>507</v>
      </c>
      <c r="P864" s="182">
        <v>8595</v>
      </c>
      <c r="Q864" s="182">
        <v>18</v>
      </c>
      <c r="R864" s="118">
        <f t="shared" si="25"/>
        <v>154710</v>
      </c>
      <c r="S864" s="115">
        <v>202304</v>
      </c>
      <c r="T864" s="222" t="s">
        <v>1201</v>
      </c>
      <c r="U864" s="223"/>
      <c r="V864" s="165"/>
      <c r="W864" s="165"/>
      <c r="X864" s="116">
        <v>44637</v>
      </c>
      <c r="Y864" s="116">
        <v>46828</v>
      </c>
    </row>
    <row r="865" s="85" customFormat="1" customHeight="1" spans="1:25">
      <c r="A865" s="98" t="s">
        <v>448</v>
      </c>
      <c r="B865" s="98" t="s">
        <v>62</v>
      </c>
      <c r="C865" s="98" t="s">
        <v>238</v>
      </c>
      <c r="D865" s="98" t="s">
        <v>642</v>
      </c>
      <c r="E865" s="161" t="s">
        <v>982</v>
      </c>
      <c r="F865" s="98" t="s">
        <v>1016</v>
      </c>
      <c r="G865" s="172" t="s">
        <v>88</v>
      </c>
      <c r="H865" s="100" t="s">
        <v>1185</v>
      </c>
      <c r="I865" s="46" t="e">
        <f>VLOOKUP(H865,'合同高级查询数据-4月返'!A:A,1,FALSE)</f>
        <v>#N/A</v>
      </c>
      <c r="J865" s="47" t="s">
        <v>90</v>
      </c>
      <c r="K865" s="160" t="s">
        <v>1186</v>
      </c>
      <c r="L865" s="179"/>
      <c r="M865" s="49" t="s">
        <v>1019</v>
      </c>
      <c r="N865" s="180">
        <v>44806</v>
      </c>
      <c r="O865" s="181" t="s">
        <v>507</v>
      </c>
      <c r="P865" s="182">
        <v>8595</v>
      </c>
      <c r="Q865" s="182">
        <v>11</v>
      </c>
      <c r="R865" s="118">
        <f t="shared" si="25"/>
        <v>94545</v>
      </c>
      <c r="S865" s="115">
        <v>202304</v>
      </c>
      <c r="T865" s="222" t="s">
        <v>1202</v>
      </c>
      <c r="U865" s="223"/>
      <c r="V865" s="165"/>
      <c r="W865" s="165"/>
      <c r="X865" s="116">
        <v>44637</v>
      </c>
      <c r="Y865" s="116">
        <v>46828</v>
      </c>
    </row>
    <row r="866" s="85" customFormat="1" customHeight="1" spans="1:25">
      <c r="A866" s="98" t="s">
        <v>448</v>
      </c>
      <c r="B866" s="98" t="s">
        <v>62</v>
      </c>
      <c r="C866" s="98" t="s">
        <v>238</v>
      </c>
      <c r="D866" s="98" t="s">
        <v>642</v>
      </c>
      <c r="E866" s="161" t="s">
        <v>982</v>
      </c>
      <c r="F866" s="98" t="s">
        <v>1016</v>
      </c>
      <c r="G866" s="172" t="s">
        <v>88</v>
      </c>
      <c r="H866" s="100" t="s">
        <v>1185</v>
      </c>
      <c r="I866" s="46" t="e">
        <f>VLOOKUP(H866,'合同高级查询数据-4月返'!A:A,1,FALSE)</f>
        <v>#N/A</v>
      </c>
      <c r="J866" s="47" t="s">
        <v>90</v>
      </c>
      <c r="K866" s="160" t="s">
        <v>1186</v>
      </c>
      <c r="L866" s="179"/>
      <c r="M866" s="49" t="s">
        <v>1019</v>
      </c>
      <c r="N866" s="180">
        <v>44869</v>
      </c>
      <c r="O866" s="181" t="s">
        <v>503</v>
      </c>
      <c r="P866" s="182">
        <v>5900</v>
      </c>
      <c r="Q866" s="182">
        <v>-9</v>
      </c>
      <c r="R866" s="118">
        <f t="shared" si="25"/>
        <v>-53100</v>
      </c>
      <c r="S866" s="115">
        <v>202304</v>
      </c>
      <c r="T866" s="222" t="s">
        <v>1203</v>
      </c>
      <c r="U866" s="223"/>
      <c r="V866" s="165"/>
      <c r="W866" s="165"/>
      <c r="X866" s="116">
        <v>44637</v>
      </c>
      <c r="Y866" s="116">
        <v>46828</v>
      </c>
    </row>
    <row r="867" s="85" customFormat="1" customHeight="1" spans="1:25">
      <c r="A867" s="98" t="s">
        <v>448</v>
      </c>
      <c r="B867" s="98" t="s">
        <v>62</v>
      </c>
      <c r="C867" s="98" t="s">
        <v>238</v>
      </c>
      <c r="D867" s="98" t="s">
        <v>642</v>
      </c>
      <c r="E867" s="161" t="s">
        <v>982</v>
      </c>
      <c r="F867" s="98" t="s">
        <v>1016</v>
      </c>
      <c r="G867" s="172" t="s">
        <v>88</v>
      </c>
      <c r="H867" s="100" t="s">
        <v>1185</v>
      </c>
      <c r="I867" s="46" t="e">
        <f>VLOOKUP(H867,'合同高级查询数据-4月返'!A:A,1,FALSE)</f>
        <v>#N/A</v>
      </c>
      <c r="J867" s="47" t="s">
        <v>90</v>
      </c>
      <c r="K867" s="160" t="s">
        <v>1186</v>
      </c>
      <c r="L867" s="179"/>
      <c r="M867" s="49" t="s">
        <v>1019</v>
      </c>
      <c r="N867" s="180">
        <v>44869</v>
      </c>
      <c r="O867" s="181" t="s">
        <v>1189</v>
      </c>
      <c r="P867" s="182">
        <v>11200</v>
      </c>
      <c r="Q867" s="182">
        <v>-3</v>
      </c>
      <c r="R867" s="118">
        <f t="shared" si="25"/>
        <v>-33600</v>
      </c>
      <c r="S867" s="115">
        <v>202304</v>
      </c>
      <c r="T867" s="222" t="s">
        <v>1204</v>
      </c>
      <c r="U867" s="223"/>
      <c r="V867" s="165"/>
      <c r="W867" s="165"/>
      <c r="X867" s="116">
        <v>44637</v>
      </c>
      <c r="Y867" s="116">
        <v>46828</v>
      </c>
    </row>
    <row r="868" s="85" customFormat="1" customHeight="1" spans="1:25">
      <c r="A868" s="98" t="s">
        <v>448</v>
      </c>
      <c r="B868" s="98" t="s">
        <v>62</v>
      </c>
      <c r="C868" s="98" t="s">
        <v>238</v>
      </c>
      <c r="D868" s="98" t="s">
        <v>642</v>
      </c>
      <c r="E868" s="161" t="s">
        <v>982</v>
      </c>
      <c r="F868" s="98" t="s">
        <v>1016</v>
      </c>
      <c r="G868" s="172" t="s">
        <v>88</v>
      </c>
      <c r="H868" s="100" t="s">
        <v>1185</v>
      </c>
      <c r="I868" s="46" t="e">
        <f>VLOOKUP(H868,'合同高级查询数据-4月返'!A:A,1,FALSE)</f>
        <v>#N/A</v>
      </c>
      <c r="J868" s="47" t="s">
        <v>90</v>
      </c>
      <c r="K868" s="160" t="s">
        <v>1186</v>
      </c>
      <c r="L868" s="179"/>
      <c r="M868" s="49" t="s">
        <v>1019</v>
      </c>
      <c r="N868" s="180">
        <v>44904</v>
      </c>
      <c r="O868" s="181" t="s">
        <v>503</v>
      </c>
      <c r="P868" s="182">
        <v>5900</v>
      </c>
      <c r="Q868" s="182">
        <v>2</v>
      </c>
      <c r="R868" s="118">
        <f t="shared" si="25"/>
        <v>11800</v>
      </c>
      <c r="S868" s="115">
        <v>202304</v>
      </c>
      <c r="T868" s="222" t="s">
        <v>1205</v>
      </c>
      <c r="U868" s="223"/>
      <c r="V868" s="165"/>
      <c r="W868" s="165"/>
      <c r="X868" s="116">
        <v>44637</v>
      </c>
      <c r="Y868" s="116">
        <v>46828</v>
      </c>
    </row>
    <row r="869" s="85" customFormat="1" customHeight="1" spans="1:25">
      <c r="A869" s="98" t="s">
        <v>448</v>
      </c>
      <c r="B869" s="98" t="s">
        <v>62</v>
      </c>
      <c r="C869" s="98" t="s">
        <v>238</v>
      </c>
      <c r="D869" s="98" t="s">
        <v>642</v>
      </c>
      <c r="E869" s="161" t="s">
        <v>982</v>
      </c>
      <c r="F869" s="98" t="s">
        <v>1016</v>
      </c>
      <c r="G869" s="172" t="s">
        <v>88</v>
      </c>
      <c r="H869" s="100" t="s">
        <v>1185</v>
      </c>
      <c r="I869" s="46" t="e">
        <f>VLOOKUP(H869,'合同高级查询数据-4月返'!A:A,1,FALSE)</f>
        <v>#N/A</v>
      </c>
      <c r="J869" s="47" t="s">
        <v>90</v>
      </c>
      <c r="K869" s="160" t="s">
        <v>1206</v>
      </c>
      <c r="L869" s="179"/>
      <c r="M869" s="49" t="s">
        <v>1019</v>
      </c>
      <c r="N869" s="180">
        <v>44974</v>
      </c>
      <c r="O869" s="181" t="s">
        <v>503</v>
      </c>
      <c r="P869" s="182">
        <v>5900</v>
      </c>
      <c r="Q869" s="182">
        <v>1</v>
      </c>
      <c r="R869" s="118">
        <f t="shared" si="25"/>
        <v>5900</v>
      </c>
      <c r="S869" s="115">
        <v>202304</v>
      </c>
      <c r="T869" s="222" t="s">
        <v>1207</v>
      </c>
      <c r="U869" s="223"/>
      <c r="V869" s="165"/>
      <c r="W869" s="165"/>
      <c r="X869" s="116">
        <v>44637</v>
      </c>
      <c r="Y869" s="116">
        <v>46828</v>
      </c>
    </row>
    <row r="870" s="85" customFormat="1" customHeight="1" spans="1:25">
      <c r="A870" s="98" t="s">
        <v>448</v>
      </c>
      <c r="B870" s="98" t="s">
        <v>62</v>
      </c>
      <c r="C870" s="98" t="s">
        <v>238</v>
      </c>
      <c r="D870" s="98" t="s">
        <v>642</v>
      </c>
      <c r="E870" s="161" t="s">
        <v>982</v>
      </c>
      <c r="F870" s="98" t="s">
        <v>1016</v>
      </c>
      <c r="G870" s="172" t="s">
        <v>88</v>
      </c>
      <c r="H870" s="100" t="s">
        <v>1185</v>
      </c>
      <c r="I870" s="46" t="e">
        <f>VLOOKUP(H870,'合同高级查询数据-4月返'!A:A,1,FALSE)</f>
        <v>#N/A</v>
      </c>
      <c r="J870" s="47" t="s">
        <v>90</v>
      </c>
      <c r="K870" s="160" t="s">
        <v>1206</v>
      </c>
      <c r="L870" s="179"/>
      <c r="M870" s="49" t="s">
        <v>1019</v>
      </c>
      <c r="N870" s="180">
        <v>44974</v>
      </c>
      <c r="O870" s="181" t="s">
        <v>507</v>
      </c>
      <c r="P870" s="182">
        <v>8595</v>
      </c>
      <c r="Q870" s="182">
        <v>4</v>
      </c>
      <c r="R870" s="118">
        <f t="shared" si="25"/>
        <v>34380</v>
      </c>
      <c r="S870" s="115">
        <v>202304</v>
      </c>
      <c r="T870" s="222" t="s">
        <v>1208</v>
      </c>
      <c r="U870" s="223"/>
      <c r="V870" s="165"/>
      <c r="W870" s="165"/>
      <c r="X870" s="116">
        <v>44637</v>
      </c>
      <c r="Y870" s="116">
        <v>46828</v>
      </c>
    </row>
    <row r="871" s="85" customFormat="1" customHeight="1" spans="1:25">
      <c r="A871" s="98" t="s">
        <v>448</v>
      </c>
      <c r="B871" s="98" t="s">
        <v>62</v>
      </c>
      <c r="C871" s="98" t="s">
        <v>238</v>
      </c>
      <c r="D871" s="98" t="s">
        <v>642</v>
      </c>
      <c r="E871" s="161" t="s">
        <v>982</v>
      </c>
      <c r="F871" s="98" t="s">
        <v>1016</v>
      </c>
      <c r="G871" s="172" t="s">
        <v>88</v>
      </c>
      <c r="H871" s="100" t="s">
        <v>1185</v>
      </c>
      <c r="I871" s="46" t="e">
        <f>VLOOKUP(H871,'合同高级查询数据-4月返'!A:A,1,FALSE)</f>
        <v>#N/A</v>
      </c>
      <c r="J871" s="47" t="s">
        <v>90</v>
      </c>
      <c r="K871" s="160" t="s">
        <v>1206</v>
      </c>
      <c r="L871" s="179"/>
      <c r="M871" s="49" t="s">
        <v>1019</v>
      </c>
      <c r="N871" s="180">
        <v>45001</v>
      </c>
      <c r="O871" s="181" t="s">
        <v>507</v>
      </c>
      <c r="P871" s="182">
        <v>8595</v>
      </c>
      <c r="Q871" s="182">
        <v>17</v>
      </c>
      <c r="R871" s="118">
        <f t="shared" si="25"/>
        <v>146115</v>
      </c>
      <c r="S871" s="115">
        <v>202304</v>
      </c>
      <c r="T871" s="222" t="s">
        <v>1209</v>
      </c>
      <c r="U871" s="223"/>
      <c r="V871" s="165"/>
      <c r="W871" s="165"/>
      <c r="X871" s="116">
        <v>44637</v>
      </c>
      <c r="Y871" s="116">
        <v>46828</v>
      </c>
    </row>
    <row r="872" s="85" customFormat="1" customHeight="1" spans="1:25">
      <c r="A872" s="98" t="s">
        <v>448</v>
      </c>
      <c r="B872" s="98" t="s">
        <v>62</v>
      </c>
      <c r="C872" s="98" t="s">
        <v>238</v>
      </c>
      <c r="D872" s="98" t="s">
        <v>642</v>
      </c>
      <c r="E872" s="161" t="s">
        <v>982</v>
      </c>
      <c r="F872" s="98" t="s">
        <v>1016</v>
      </c>
      <c r="G872" s="172" t="s">
        <v>88</v>
      </c>
      <c r="H872" s="100" t="s">
        <v>1185</v>
      </c>
      <c r="I872" s="46" t="e">
        <f>VLOOKUP(H872,'合同高级查询数据-4月返'!A:A,1,FALSE)</f>
        <v>#N/A</v>
      </c>
      <c r="J872" s="47" t="s">
        <v>90</v>
      </c>
      <c r="K872" s="160" t="s">
        <v>1206</v>
      </c>
      <c r="L872" s="179"/>
      <c r="M872" s="49" t="s">
        <v>1019</v>
      </c>
      <c r="N872" s="180">
        <v>45033</v>
      </c>
      <c r="O872" s="181" t="s">
        <v>507</v>
      </c>
      <c r="P872" s="182">
        <v>8595</v>
      </c>
      <c r="Q872" s="182">
        <v>6</v>
      </c>
      <c r="R872" s="118">
        <f>ROUND(P872*Q872*14/30,2)</f>
        <v>24066</v>
      </c>
      <c r="S872" s="115">
        <v>202304</v>
      </c>
      <c r="T872" s="224" t="s">
        <v>1210</v>
      </c>
      <c r="U872" s="223"/>
      <c r="V872" s="165"/>
      <c r="W872" s="165"/>
      <c r="X872" s="116">
        <v>44637</v>
      </c>
      <c r="Y872" s="116">
        <v>46828</v>
      </c>
    </row>
    <row r="873" s="85" customFormat="1" customHeight="1" spans="1:25">
      <c r="A873" s="98" t="s">
        <v>448</v>
      </c>
      <c r="B873" s="98" t="s">
        <v>62</v>
      </c>
      <c r="C873" s="98" t="s">
        <v>238</v>
      </c>
      <c r="D873" s="98" t="s">
        <v>642</v>
      </c>
      <c r="E873" s="161" t="s">
        <v>982</v>
      </c>
      <c r="F873" s="98" t="s">
        <v>1016</v>
      </c>
      <c r="G873" s="172" t="s">
        <v>88</v>
      </c>
      <c r="H873" s="100" t="s">
        <v>1185</v>
      </c>
      <c r="I873" s="46" t="e">
        <f>VLOOKUP(H873,'合同高级查询数据-4月返'!A:A,1,FALSE)</f>
        <v>#N/A</v>
      </c>
      <c r="J873" s="47" t="s">
        <v>90</v>
      </c>
      <c r="K873" s="160" t="s">
        <v>1206</v>
      </c>
      <c r="L873" s="179"/>
      <c r="M873" s="49" t="s">
        <v>1019</v>
      </c>
      <c r="N873" s="180">
        <v>45035</v>
      </c>
      <c r="O873" s="181" t="s">
        <v>507</v>
      </c>
      <c r="P873" s="182">
        <v>8595</v>
      </c>
      <c r="Q873" s="182">
        <v>2</v>
      </c>
      <c r="R873" s="118">
        <f>ROUND(P873*Q873*12/30,2)</f>
        <v>6876</v>
      </c>
      <c r="S873" s="115">
        <v>202304</v>
      </c>
      <c r="T873" s="224" t="s">
        <v>1211</v>
      </c>
      <c r="U873" s="223"/>
      <c r="V873" s="165"/>
      <c r="W873" s="165"/>
      <c r="X873" s="116">
        <v>44637</v>
      </c>
      <c r="Y873" s="116">
        <v>46828</v>
      </c>
    </row>
    <row r="874" s="85" customFormat="1" customHeight="1" spans="1:25">
      <c r="A874" s="98" t="s">
        <v>448</v>
      </c>
      <c r="B874" s="98" t="s">
        <v>62</v>
      </c>
      <c r="C874" s="98" t="s">
        <v>238</v>
      </c>
      <c r="D874" s="98" t="s">
        <v>642</v>
      </c>
      <c r="E874" s="161" t="s">
        <v>982</v>
      </c>
      <c r="F874" s="98" t="s">
        <v>1016</v>
      </c>
      <c r="G874" s="172" t="s">
        <v>88</v>
      </c>
      <c r="H874" s="100" t="s">
        <v>1185</v>
      </c>
      <c r="I874" s="46" t="e">
        <f>VLOOKUP(H874,'合同高级查询数据-4月返'!A:A,1,FALSE)</f>
        <v>#N/A</v>
      </c>
      <c r="J874" s="47" t="s">
        <v>357</v>
      </c>
      <c r="K874" s="160" t="s">
        <v>1212</v>
      </c>
      <c r="L874" s="179"/>
      <c r="M874" s="49" t="s">
        <v>1019</v>
      </c>
      <c r="N874" s="180"/>
      <c r="O874" s="181"/>
      <c r="P874" s="182">
        <v>300</v>
      </c>
      <c r="Q874" s="182">
        <v>150</v>
      </c>
      <c r="R874" s="118">
        <f t="shared" ref="R874:R924" si="26">ROUND(P874*Q874,2)</f>
        <v>45000</v>
      </c>
      <c r="S874" s="115">
        <v>202304</v>
      </c>
      <c r="T874" s="217" t="s">
        <v>1213</v>
      </c>
      <c r="U874" s="165"/>
      <c r="V874" s="165"/>
      <c r="W874" s="165"/>
      <c r="X874" s="116">
        <v>44637</v>
      </c>
      <c r="Y874" s="116">
        <v>46828</v>
      </c>
    </row>
    <row r="875" s="86" customFormat="1" customHeight="1" spans="1:25">
      <c r="A875" s="135" t="s">
        <v>448</v>
      </c>
      <c r="B875" s="135" t="s">
        <v>62</v>
      </c>
      <c r="C875" s="135" t="s">
        <v>238</v>
      </c>
      <c r="D875" s="135" t="s">
        <v>642</v>
      </c>
      <c r="E875" s="170" t="s">
        <v>982</v>
      </c>
      <c r="F875" s="135" t="s">
        <v>983</v>
      </c>
      <c r="G875" s="171" t="s">
        <v>88</v>
      </c>
      <c r="H875" s="103" t="s">
        <v>1214</v>
      </c>
      <c r="I875" s="30" t="e">
        <f>VLOOKUP(H875,'合同高级查询数据-4月返'!A:A,1,FALSE)</f>
        <v>#N/A</v>
      </c>
      <c r="J875" s="31" t="s">
        <v>90</v>
      </c>
      <c r="K875" s="134" t="s">
        <v>985</v>
      </c>
      <c r="L875" s="174"/>
      <c r="M875" s="113" t="s">
        <v>986</v>
      </c>
      <c r="N875" s="175">
        <v>44392</v>
      </c>
      <c r="O875" s="142" t="s">
        <v>1215</v>
      </c>
      <c r="P875" s="145">
        <v>11200</v>
      </c>
      <c r="Q875" s="145">
        <v>2</v>
      </c>
      <c r="R875" s="130">
        <f t="shared" si="26"/>
        <v>22400</v>
      </c>
      <c r="S875" s="127">
        <v>202304</v>
      </c>
      <c r="T875" s="211" t="s">
        <v>1216</v>
      </c>
      <c r="U875" s="211"/>
      <c r="V875" s="149"/>
      <c r="W875" s="149"/>
      <c r="X875" s="131"/>
      <c r="Y875" s="131"/>
    </row>
    <row r="876" s="86" customFormat="1" customHeight="1" spans="1:25">
      <c r="A876" s="135" t="s">
        <v>448</v>
      </c>
      <c r="B876" s="135" t="s">
        <v>62</v>
      </c>
      <c r="C876" s="135" t="s">
        <v>238</v>
      </c>
      <c r="D876" s="135" t="s">
        <v>642</v>
      </c>
      <c r="E876" s="170" t="s">
        <v>982</v>
      </c>
      <c r="F876" s="135" t="s">
        <v>1016</v>
      </c>
      <c r="G876" s="171" t="s">
        <v>31</v>
      </c>
      <c r="H876" s="202" t="s">
        <v>1217</v>
      </c>
      <c r="I876" s="30" t="e">
        <f>VLOOKUP(H876,'合同高级查询数据-4月返'!A:A,1,FALSE)</f>
        <v>#N/A</v>
      </c>
      <c r="J876" s="134" t="s">
        <v>497</v>
      </c>
      <c r="K876" s="134" t="s">
        <v>1218</v>
      </c>
      <c r="L876" s="174" t="s">
        <v>1219</v>
      </c>
      <c r="M876" s="113"/>
      <c r="N876" s="175">
        <v>44099</v>
      </c>
      <c r="O876" s="176" t="s">
        <v>37</v>
      </c>
      <c r="P876" s="177">
        <v>0</v>
      </c>
      <c r="Q876" s="177">
        <v>4640</v>
      </c>
      <c r="R876" s="130">
        <f t="shared" si="26"/>
        <v>0</v>
      </c>
      <c r="S876" s="127">
        <v>202304</v>
      </c>
      <c r="T876" s="211" t="s">
        <v>1220</v>
      </c>
      <c r="U876" s="211"/>
      <c r="V876" s="149"/>
      <c r="W876" s="149"/>
      <c r="X876" s="131"/>
      <c r="Y876" s="131"/>
    </row>
    <row r="877" s="86" customFormat="1" customHeight="1" spans="1:25">
      <c r="A877" s="135" t="s">
        <v>448</v>
      </c>
      <c r="B877" s="135" t="s">
        <v>62</v>
      </c>
      <c r="C877" s="135" t="s">
        <v>238</v>
      </c>
      <c r="D877" s="135" t="s">
        <v>642</v>
      </c>
      <c r="E877" s="170" t="s">
        <v>982</v>
      </c>
      <c r="F877" s="135" t="s">
        <v>1016</v>
      </c>
      <c r="G877" s="171" t="s">
        <v>31</v>
      </c>
      <c r="H877" s="202" t="s">
        <v>1217</v>
      </c>
      <c r="I877" s="30" t="e">
        <f>VLOOKUP(H877,'合同高级查询数据-4月返'!A:A,1,FALSE)</f>
        <v>#N/A</v>
      </c>
      <c r="J877" s="134" t="s">
        <v>497</v>
      </c>
      <c r="K877" s="134" t="s">
        <v>1218</v>
      </c>
      <c r="L877" s="174" t="s">
        <v>1219</v>
      </c>
      <c r="M877" s="113"/>
      <c r="N877" s="175">
        <v>44099</v>
      </c>
      <c r="O877" s="176" t="s">
        <v>37</v>
      </c>
      <c r="P877" s="177">
        <v>10</v>
      </c>
      <c r="Q877" s="177">
        <v>3552</v>
      </c>
      <c r="R877" s="130">
        <f t="shared" si="26"/>
        <v>35520</v>
      </c>
      <c r="S877" s="127">
        <v>202304</v>
      </c>
      <c r="T877" s="211" t="s">
        <v>1220</v>
      </c>
      <c r="U877" s="211"/>
      <c r="V877" s="149"/>
      <c r="W877" s="149"/>
      <c r="X877" s="131"/>
      <c r="Y877" s="131"/>
    </row>
    <row r="878" s="86" customFormat="1" customHeight="1" spans="1:25">
      <c r="A878" s="135" t="s">
        <v>448</v>
      </c>
      <c r="B878" s="135" t="s">
        <v>62</v>
      </c>
      <c r="C878" s="135" t="s">
        <v>238</v>
      </c>
      <c r="D878" s="135" t="s">
        <v>642</v>
      </c>
      <c r="E878" s="170" t="s">
        <v>982</v>
      </c>
      <c r="F878" s="135" t="s">
        <v>1016</v>
      </c>
      <c r="G878" s="171" t="s">
        <v>31</v>
      </c>
      <c r="H878" s="202" t="s">
        <v>1217</v>
      </c>
      <c r="I878" s="30" t="e">
        <f>VLOOKUP(H878,'合同高级查询数据-4月返'!A:A,1,FALSE)</f>
        <v>#N/A</v>
      </c>
      <c r="J878" s="171" t="s">
        <v>800</v>
      </c>
      <c r="K878" s="171" t="s">
        <v>556</v>
      </c>
      <c r="L878" s="192"/>
      <c r="M878" s="113" t="s">
        <v>582</v>
      </c>
      <c r="N878" s="220">
        <v>43874</v>
      </c>
      <c r="O878" s="220" t="s">
        <v>1221</v>
      </c>
      <c r="P878" s="145">
        <v>12.5</v>
      </c>
      <c r="Q878" s="145">
        <v>512</v>
      </c>
      <c r="R878" s="130">
        <f t="shared" si="26"/>
        <v>6400</v>
      </c>
      <c r="S878" s="127">
        <v>202304</v>
      </c>
      <c r="T878" s="194" t="s">
        <v>1222</v>
      </c>
      <c r="U878" s="195"/>
      <c r="V878" s="149"/>
      <c r="W878" s="149"/>
      <c r="X878" s="131"/>
      <c r="Y878" s="131"/>
    </row>
    <row r="879" s="86" customFormat="1" customHeight="1" spans="1:25">
      <c r="A879" s="135" t="s">
        <v>448</v>
      </c>
      <c r="B879" s="135" t="s">
        <v>62</v>
      </c>
      <c r="C879" s="135" t="s">
        <v>238</v>
      </c>
      <c r="D879" s="135" t="s">
        <v>642</v>
      </c>
      <c r="E879" s="170" t="s">
        <v>982</v>
      </c>
      <c r="F879" s="135" t="s">
        <v>1016</v>
      </c>
      <c r="G879" s="171" t="s">
        <v>31</v>
      </c>
      <c r="H879" s="202" t="s">
        <v>1217</v>
      </c>
      <c r="I879" s="30" t="e">
        <f>VLOOKUP(H879,'合同高级查询数据-4月返'!A:A,1,FALSE)</f>
        <v>#N/A</v>
      </c>
      <c r="J879" s="171" t="s">
        <v>800</v>
      </c>
      <c r="K879" s="171" t="s">
        <v>556</v>
      </c>
      <c r="L879" s="192"/>
      <c r="M879" s="113" t="s">
        <v>582</v>
      </c>
      <c r="N879" s="220">
        <v>44140</v>
      </c>
      <c r="O879" s="220" t="s">
        <v>1221</v>
      </c>
      <c r="P879" s="145">
        <v>12.5</v>
      </c>
      <c r="Q879" s="145">
        <v>512</v>
      </c>
      <c r="R879" s="130">
        <f t="shared" si="26"/>
        <v>6400</v>
      </c>
      <c r="S879" s="127">
        <v>202304</v>
      </c>
      <c r="T879" s="194" t="s">
        <v>1223</v>
      </c>
      <c r="U879" s="195"/>
      <c r="V879" s="149"/>
      <c r="W879" s="149"/>
      <c r="X879" s="131"/>
      <c r="Y879" s="131"/>
    </row>
    <row r="880" s="86" customFormat="1" customHeight="1" spans="1:25">
      <c r="A880" s="135" t="s">
        <v>448</v>
      </c>
      <c r="B880" s="135" t="s">
        <v>62</v>
      </c>
      <c r="C880" s="135" t="s">
        <v>238</v>
      </c>
      <c r="D880" s="135" t="s">
        <v>642</v>
      </c>
      <c r="E880" s="170" t="s">
        <v>982</v>
      </c>
      <c r="F880" s="135" t="s">
        <v>1016</v>
      </c>
      <c r="G880" s="171" t="s">
        <v>31</v>
      </c>
      <c r="H880" s="202" t="s">
        <v>1217</v>
      </c>
      <c r="I880" s="30" t="e">
        <f>VLOOKUP(H880,'合同高级查询数据-4月返'!A:A,1,FALSE)</f>
        <v>#N/A</v>
      </c>
      <c r="J880" s="171" t="s">
        <v>800</v>
      </c>
      <c r="K880" s="171" t="s">
        <v>556</v>
      </c>
      <c r="L880" s="192"/>
      <c r="M880" s="113" t="s">
        <v>582</v>
      </c>
      <c r="N880" s="220">
        <v>44183</v>
      </c>
      <c r="O880" s="220" t="s">
        <v>1224</v>
      </c>
      <c r="P880" s="145">
        <v>12.5</v>
      </c>
      <c r="Q880" s="145">
        <f>256*4</f>
        <v>1024</v>
      </c>
      <c r="R880" s="130">
        <f t="shared" si="26"/>
        <v>12800</v>
      </c>
      <c r="S880" s="127">
        <v>202304</v>
      </c>
      <c r="T880" s="194" t="s">
        <v>1225</v>
      </c>
      <c r="U880" s="195"/>
      <c r="V880" s="149"/>
      <c r="W880" s="149"/>
      <c r="X880" s="131"/>
      <c r="Y880" s="131"/>
    </row>
    <row r="881" s="86" customFormat="1" customHeight="1" spans="1:25">
      <c r="A881" s="135" t="s">
        <v>448</v>
      </c>
      <c r="B881" s="135" t="s">
        <v>62</v>
      </c>
      <c r="C881" s="135" t="s">
        <v>238</v>
      </c>
      <c r="D881" s="135" t="s">
        <v>642</v>
      </c>
      <c r="E881" s="170" t="s">
        <v>982</v>
      </c>
      <c r="F881" s="135" t="s">
        <v>1016</v>
      </c>
      <c r="G881" s="110" t="s">
        <v>31</v>
      </c>
      <c r="H881" s="202" t="s">
        <v>1217</v>
      </c>
      <c r="I881" s="30" t="e">
        <f>VLOOKUP(H881,'合同高级查询数据-4月返'!A:A,1,FALSE)</f>
        <v>#N/A</v>
      </c>
      <c r="J881" s="110" t="s">
        <v>800</v>
      </c>
      <c r="K881" s="171" t="s">
        <v>556</v>
      </c>
      <c r="L881" s="192"/>
      <c r="M881" s="113" t="s">
        <v>582</v>
      </c>
      <c r="N881" s="193">
        <v>44536</v>
      </c>
      <c r="O881" s="193" t="s">
        <v>1226</v>
      </c>
      <c r="P881" s="157">
        <v>12.5</v>
      </c>
      <c r="Q881" s="157">
        <v>3072</v>
      </c>
      <c r="R881" s="130">
        <f t="shared" si="26"/>
        <v>38400</v>
      </c>
      <c r="S881" s="127">
        <v>202304</v>
      </c>
      <c r="T881" s="194" t="s">
        <v>1227</v>
      </c>
      <c r="U881" s="195"/>
      <c r="V881" s="149"/>
      <c r="W881" s="149"/>
      <c r="X881" s="131"/>
      <c r="Y881" s="131"/>
    </row>
    <row r="882" s="86" customFormat="1" customHeight="1" spans="1:25">
      <c r="A882" s="135" t="s">
        <v>448</v>
      </c>
      <c r="B882" s="135" t="s">
        <v>62</v>
      </c>
      <c r="C882" s="135" t="s">
        <v>238</v>
      </c>
      <c r="D882" s="135" t="s">
        <v>642</v>
      </c>
      <c r="E882" s="170" t="s">
        <v>982</v>
      </c>
      <c r="F882" s="135" t="s">
        <v>983</v>
      </c>
      <c r="G882" s="171" t="s">
        <v>31</v>
      </c>
      <c r="H882" s="202" t="s">
        <v>1228</v>
      </c>
      <c r="I882" s="30" t="e">
        <f>VLOOKUP(H882,'合同高级查询数据-4月返'!A:A,1,FALSE)</f>
        <v>#N/A</v>
      </c>
      <c r="J882" s="134" t="s">
        <v>497</v>
      </c>
      <c r="K882" s="134" t="s">
        <v>1229</v>
      </c>
      <c r="L882" s="174" t="s">
        <v>1230</v>
      </c>
      <c r="M882" s="113"/>
      <c r="N882" s="111">
        <v>44099</v>
      </c>
      <c r="O882" s="142" t="s">
        <v>37</v>
      </c>
      <c r="P882" s="177">
        <v>0</v>
      </c>
      <c r="Q882" s="177">
        <v>960</v>
      </c>
      <c r="R882" s="130">
        <f t="shared" si="26"/>
        <v>0</v>
      </c>
      <c r="S882" s="127">
        <v>202304</v>
      </c>
      <c r="T882" s="211" t="s">
        <v>1231</v>
      </c>
      <c r="U882" s="211"/>
      <c r="V882" s="149"/>
      <c r="W882" s="149"/>
      <c r="X882" s="131"/>
      <c r="Y882" s="131"/>
    </row>
    <row r="883" s="86" customFormat="1" customHeight="1" spans="1:25">
      <c r="A883" s="135" t="s">
        <v>448</v>
      </c>
      <c r="B883" s="135" t="s">
        <v>62</v>
      </c>
      <c r="C883" s="135" t="s">
        <v>238</v>
      </c>
      <c r="D883" s="135" t="s">
        <v>642</v>
      </c>
      <c r="E883" s="170" t="s">
        <v>982</v>
      </c>
      <c r="F883" s="135" t="s">
        <v>983</v>
      </c>
      <c r="G883" s="171" t="s">
        <v>31</v>
      </c>
      <c r="H883" s="202" t="s">
        <v>1228</v>
      </c>
      <c r="I883" s="30" t="e">
        <f>VLOOKUP(H883,'合同高级查询数据-4月返'!A:A,1,FALSE)</f>
        <v>#N/A</v>
      </c>
      <c r="J883" s="134" t="s">
        <v>497</v>
      </c>
      <c r="K883" s="134" t="s">
        <v>1229</v>
      </c>
      <c r="L883" s="174" t="s">
        <v>1230</v>
      </c>
      <c r="M883" s="113"/>
      <c r="N883" s="111">
        <v>44099</v>
      </c>
      <c r="O883" s="142" t="s">
        <v>37</v>
      </c>
      <c r="P883" s="177">
        <v>10</v>
      </c>
      <c r="Q883" s="177">
        <v>5184</v>
      </c>
      <c r="R883" s="130">
        <f t="shared" si="26"/>
        <v>51840</v>
      </c>
      <c r="S883" s="127">
        <v>202304</v>
      </c>
      <c r="T883" s="211" t="s">
        <v>1231</v>
      </c>
      <c r="U883" s="211"/>
      <c r="V883" s="149"/>
      <c r="W883" s="149"/>
      <c r="X883" s="131"/>
      <c r="Y883" s="131"/>
    </row>
    <row r="884" s="86" customFormat="1" customHeight="1" spans="1:25">
      <c r="A884" s="135" t="s">
        <v>448</v>
      </c>
      <c r="B884" s="135" t="s">
        <v>62</v>
      </c>
      <c r="C884" s="135" t="s">
        <v>238</v>
      </c>
      <c r="D884" s="135" t="s">
        <v>642</v>
      </c>
      <c r="E884" s="170" t="s">
        <v>982</v>
      </c>
      <c r="F884" s="135" t="s">
        <v>1232</v>
      </c>
      <c r="G884" s="171" t="s">
        <v>31</v>
      </c>
      <c r="H884" s="103" t="s">
        <v>1233</v>
      </c>
      <c r="I884" s="30" t="e">
        <f>VLOOKUP(H884,'合同高级查询数据-4月返'!A:A,1,FALSE)</f>
        <v>#N/A</v>
      </c>
      <c r="J884" s="155" t="s">
        <v>33</v>
      </c>
      <c r="K884" s="134" t="s">
        <v>1234</v>
      </c>
      <c r="L884" s="110" t="s">
        <v>1235</v>
      </c>
      <c r="M884" s="113"/>
      <c r="N884" s="175">
        <v>44470</v>
      </c>
      <c r="O884" s="134" t="s">
        <v>37</v>
      </c>
      <c r="P884" s="177">
        <v>0</v>
      </c>
      <c r="Q884" s="177">
        <v>768</v>
      </c>
      <c r="R884" s="130">
        <f t="shared" si="26"/>
        <v>0</v>
      </c>
      <c r="S884" s="127">
        <v>202304</v>
      </c>
      <c r="T884" s="211" t="s">
        <v>1236</v>
      </c>
      <c r="U884" s="211"/>
      <c r="V884" s="149"/>
      <c r="W884" s="149"/>
      <c r="X884" s="131"/>
      <c r="Y884" s="131"/>
    </row>
    <row r="885" s="86" customFormat="1" customHeight="1" spans="1:25">
      <c r="A885" s="135" t="s">
        <v>448</v>
      </c>
      <c r="B885" s="135" t="s">
        <v>62</v>
      </c>
      <c r="C885" s="135" t="s">
        <v>238</v>
      </c>
      <c r="D885" s="135" t="s">
        <v>642</v>
      </c>
      <c r="E885" s="170" t="s">
        <v>982</v>
      </c>
      <c r="F885" s="135" t="s">
        <v>1232</v>
      </c>
      <c r="G885" s="171" t="s">
        <v>31</v>
      </c>
      <c r="H885" s="103" t="s">
        <v>1233</v>
      </c>
      <c r="I885" s="30" t="e">
        <f>VLOOKUP(H885,'合同高级查询数据-4月返'!A:A,1,FALSE)</f>
        <v>#N/A</v>
      </c>
      <c r="J885" s="155" t="s">
        <v>33</v>
      </c>
      <c r="K885" s="134" t="s">
        <v>1234</v>
      </c>
      <c r="L885" s="110" t="s">
        <v>1235</v>
      </c>
      <c r="M885" s="113"/>
      <c r="N885" s="175">
        <v>44912</v>
      </c>
      <c r="O885" s="134" t="s">
        <v>37</v>
      </c>
      <c r="P885" s="177">
        <v>30</v>
      </c>
      <c r="Q885" s="177">
        <v>-256</v>
      </c>
      <c r="R885" s="130">
        <f t="shared" si="26"/>
        <v>-7680</v>
      </c>
      <c r="S885" s="127">
        <v>202304</v>
      </c>
      <c r="T885" s="211" t="s">
        <v>1237</v>
      </c>
      <c r="U885" s="211"/>
      <c r="V885" s="149"/>
      <c r="W885" s="149"/>
      <c r="X885" s="131"/>
      <c r="Y885" s="131"/>
    </row>
    <row r="886" s="86" customFormat="1" customHeight="1" spans="1:25">
      <c r="A886" s="135" t="s">
        <v>448</v>
      </c>
      <c r="B886" s="135" t="s">
        <v>62</v>
      </c>
      <c r="C886" s="135" t="s">
        <v>238</v>
      </c>
      <c r="D886" s="135" t="s">
        <v>642</v>
      </c>
      <c r="E886" s="170" t="s">
        <v>982</v>
      </c>
      <c r="F886" s="135" t="s">
        <v>1232</v>
      </c>
      <c r="G886" s="171" t="s">
        <v>31</v>
      </c>
      <c r="H886" s="103" t="s">
        <v>1233</v>
      </c>
      <c r="I886" s="30" t="e">
        <f>VLOOKUP(H886,'合同高级查询数据-4月返'!A:A,1,FALSE)</f>
        <v>#N/A</v>
      </c>
      <c r="J886" s="134" t="s">
        <v>497</v>
      </c>
      <c r="K886" s="134" t="s">
        <v>1234</v>
      </c>
      <c r="L886" s="174" t="s">
        <v>1238</v>
      </c>
      <c r="M886" s="113"/>
      <c r="N886" s="175">
        <v>44470</v>
      </c>
      <c r="O886" s="134" t="s">
        <v>37</v>
      </c>
      <c r="P886" s="177">
        <v>0</v>
      </c>
      <c r="Q886" s="177">
        <f>1536-256*2</f>
        <v>1024</v>
      </c>
      <c r="R886" s="130">
        <f t="shared" si="26"/>
        <v>0</v>
      </c>
      <c r="S886" s="127">
        <v>202304</v>
      </c>
      <c r="T886" s="211" t="s">
        <v>1239</v>
      </c>
      <c r="U886" s="211"/>
      <c r="V886" s="149"/>
      <c r="W886" s="149"/>
      <c r="X886" s="131"/>
      <c r="Y886" s="131"/>
    </row>
    <row r="887" s="86" customFormat="1" customHeight="1" spans="1:25">
      <c r="A887" s="135" t="s">
        <v>448</v>
      </c>
      <c r="B887" s="135" t="s">
        <v>62</v>
      </c>
      <c r="C887" s="135" t="s">
        <v>238</v>
      </c>
      <c r="D887" s="135" t="s">
        <v>642</v>
      </c>
      <c r="E887" s="170" t="s">
        <v>982</v>
      </c>
      <c r="F887" s="135" t="s">
        <v>1232</v>
      </c>
      <c r="G887" s="171" t="s">
        <v>31</v>
      </c>
      <c r="H887" s="103" t="s">
        <v>1233</v>
      </c>
      <c r="I887" s="30" t="e">
        <f>VLOOKUP(H887,'合同高级查询数据-4月返'!A:A,1,FALSE)</f>
        <v>#N/A</v>
      </c>
      <c r="J887" s="134" t="s">
        <v>33</v>
      </c>
      <c r="K887" s="134" t="s">
        <v>1240</v>
      </c>
      <c r="L887" s="174" t="s">
        <v>1241</v>
      </c>
      <c r="M887" s="113"/>
      <c r="N887" s="175">
        <v>44470</v>
      </c>
      <c r="O887" s="134" t="s">
        <v>37</v>
      </c>
      <c r="P887" s="177">
        <v>0</v>
      </c>
      <c r="Q887" s="177">
        <f>256*2</f>
        <v>512</v>
      </c>
      <c r="R887" s="130">
        <f t="shared" si="26"/>
        <v>0</v>
      </c>
      <c r="S887" s="127">
        <v>202304</v>
      </c>
      <c r="T887" s="211" t="s">
        <v>1242</v>
      </c>
      <c r="U887" s="211"/>
      <c r="V887" s="149"/>
      <c r="W887" s="149"/>
      <c r="X887" s="131"/>
      <c r="Y887" s="131"/>
    </row>
    <row r="888" s="86" customFormat="1" customHeight="1" spans="1:25">
      <c r="A888" s="135" t="s">
        <v>448</v>
      </c>
      <c r="B888" s="135" t="s">
        <v>62</v>
      </c>
      <c r="C888" s="135" t="s">
        <v>238</v>
      </c>
      <c r="D888" s="135" t="s">
        <v>642</v>
      </c>
      <c r="E888" s="170" t="s">
        <v>982</v>
      </c>
      <c r="F888" s="135" t="s">
        <v>1232</v>
      </c>
      <c r="G888" s="171" t="s">
        <v>31</v>
      </c>
      <c r="H888" s="103" t="s">
        <v>1233</v>
      </c>
      <c r="I888" s="30" t="e">
        <f>VLOOKUP(H888,'合同高级查询数据-4月返'!A:A,1,FALSE)</f>
        <v>#N/A</v>
      </c>
      <c r="J888" s="134" t="s">
        <v>497</v>
      </c>
      <c r="K888" s="134" t="s">
        <v>1234</v>
      </c>
      <c r="L888" s="174" t="s">
        <v>1238</v>
      </c>
      <c r="M888" s="113"/>
      <c r="N888" s="175">
        <v>44470</v>
      </c>
      <c r="O888" s="134" t="s">
        <v>37</v>
      </c>
      <c r="P888" s="177">
        <v>30</v>
      </c>
      <c r="Q888" s="177">
        <v>768</v>
      </c>
      <c r="R888" s="130">
        <f t="shared" si="26"/>
        <v>23040</v>
      </c>
      <c r="S888" s="127">
        <v>202304</v>
      </c>
      <c r="T888" s="211" t="s">
        <v>1243</v>
      </c>
      <c r="U888" s="211"/>
      <c r="V888" s="149"/>
      <c r="W888" s="149"/>
      <c r="X888" s="131"/>
      <c r="Y888" s="131"/>
    </row>
    <row r="889" s="86" customFormat="1" customHeight="1" spans="1:25">
      <c r="A889" s="135" t="s">
        <v>448</v>
      </c>
      <c r="B889" s="135" t="s">
        <v>62</v>
      </c>
      <c r="C889" s="135" t="s">
        <v>238</v>
      </c>
      <c r="D889" s="135" t="s">
        <v>642</v>
      </c>
      <c r="E889" s="170" t="s">
        <v>982</v>
      </c>
      <c r="F889" s="135" t="s">
        <v>1232</v>
      </c>
      <c r="G889" s="171" t="s">
        <v>31</v>
      </c>
      <c r="H889" s="103" t="s">
        <v>1233</v>
      </c>
      <c r="I889" s="30" t="e">
        <f>VLOOKUP(H889,'合同高级查询数据-4月返'!A:A,1,FALSE)</f>
        <v>#N/A</v>
      </c>
      <c r="J889" s="134" t="s">
        <v>497</v>
      </c>
      <c r="K889" s="134" t="s">
        <v>1234</v>
      </c>
      <c r="L889" s="174" t="s">
        <v>1238</v>
      </c>
      <c r="M889" s="113"/>
      <c r="N889" s="146">
        <v>44748</v>
      </c>
      <c r="O889" s="134" t="s">
        <v>37</v>
      </c>
      <c r="P889" s="177">
        <v>30</v>
      </c>
      <c r="Q889" s="145">
        <v>512</v>
      </c>
      <c r="R889" s="130">
        <f t="shared" si="26"/>
        <v>15360</v>
      </c>
      <c r="S889" s="127">
        <v>202304</v>
      </c>
      <c r="T889" s="198" t="s">
        <v>1244</v>
      </c>
      <c r="U889" s="211"/>
      <c r="V889" s="149"/>
      <c r="W889" s="149"/>
      <c r="X889" s="131"/>
      <c r="Y889" s="131"/>
    </row>
    <row r="890" s="86" customFormat="1" customHeight="1" spans="1:25">
      <c r="A890" s="135" t="s">
        <v>448</v>
      </c>
      <c r="B890" s="135" t="s">
        <v>62</v>
      </c>
      <c r="C890" s="135" t="s">
        <v>238</v>
      </c>
      <c r="D890" s="135" t="s">
        <v>642</v>
      </c>
      <c r="E890" s="170" t="s">
        <v>982</v>
      </c>
      <c r="F890" s="135" t="s">
        <v>1232</v>
      </c>
      <c r="G890" s="171" t="s">
        <v>31</v>
      </c>
      <c r="H890" s="103" t="s">
        <v>1233</v>
      </c>
      <c r="I890" s="30" t="e">
        <f>VLOOKUP(H890,'合同高级查询数据-4月返'!A:A,1,FALSE)</f>
        <v>#N/A</v>
      </c>
      <c r="J890" s="155" t="s">
        <v>33</v>
      </c>
      <c r="K890" s="134" t="s">
        <v>1234</v>
      </c>
      <c r="L890" s="110" t="s">
        <v>1235</v>
      </c>
      <c r="M890" s="113"/>
      <c r="N890" s="175">
        <v>44555</v>
      </c>
      <c r="O890" s="134" t="s">
        <v>37</v>
      </c>
      <c r="P890" s="177">
        <v>30</v>
      </c>
      <c r="Q890" s="177">
        <v>256</v>
      </c>
      <c r="R890" s="130">
        <f t="shared" si="26"/>
        <v>7680</v>
      </c>
      <c r="S890" s="127">
        <v>202304</v>
      </c>
      <c r="T890" s="211" t="s">
        <v>1245</v>
      </c>
      <c r="U890" s="211"/>
      <c r="V890" s="149"/>
      <c r="W890" s="149"/>
      <c r="X890" s="131"/>
      <c r="Y890" s="131"/>
    </row>
    <row r="891" s="86" customFormat="1" customHeight="1" spans="1:25">
      <c r="A891" s="135" t="s">
        <v>448</v>
      </c>
      <c r="B891" s="135" t="s">
        <v>62</v>
      </c>
      <c r="C891" s="135" t="s">
        <v>238</v>
      </c>
      <c r="D891" s="135" t="s">
        <v>642</v>
      </c>
      <c r="E891" s="170" t="s">
        <v>982</v>
      </c>
      <c r="F891" s="135" t="s">
        <v>1232</v>
      </c>
      <c r="G891" s="171" t="s">
        <v>31</v>
      </c>
      <c r="H891" s="103" t="s">
        <v>1233</v>
      </c>
      <c r="I891" s="30" t="e">
        <f>VLOOKUP(H891,'合同高级查询数据-4月返'!A:A,1,FALSE)</f>
        <v>#N/A</v>
      </c>
      <c r="J891" s="155" t="s">
        <v>33</v>
      </c>
      <c r="K891" s="134" t="s">
        <v>1234</v>
      </c>
      <c r="L891" s="110" t="s">
        <v>1235</v>
      </c>
      <c r="M891" s="113"/>
      <c r="N891" s="175">
        <v>44925</v>
      </c>
      <c r="O891" s="134" t="s">
        <v>37</v>
      </c>
      <c r="P891" s="177">
        <v>30</v>
      </c>
      <c r="Q891" s="177">
        <v>-256</v>
      </c>
      <c r="R891" s="130">
        <f t="shared" si="26"/>
        <v>-7680</v>
      </c>
      <c r="S891" s="127">
        <v>202304</v>
      </c>
      <c r="T891" s="211" t="s">
        <v>1246</v>
      </c>
      <c r="U891" s="211"/>
      <c r="V891" s="149"/>
      <c r="W891" s="149"/>
      <c r="X891" s="131"/>
      <c r="Y891" s="131"/>
    </row>
    <row r="892" s="86" customFormat="1" customHeight="1" spans="1:25">
      <c r="A892" s="135" t="s">
        <v>448</v>
      </c>
      <c r="B892" s="135" t="s">
        <v>62</v>
      </c>
      <c r="C892" s="135" t="s">
        <v>238</v>
      </c>
      <c r="D892" s="135" t="s">
        <v>642</v>
      </c>
      <c r="E892" s="170" t="s">
        <v>982</v>
      </c>
      <c r="F892" s="135" t="s">
        <v>1232</v>
      </c>
      <c r="G892" s="171" t="s">
        <v>88</v>
      </c>
      <c r="H892" s="103" t="s">
        <v>1233</v>
      </c>
      <c r="I892" s="30" t="e">
        <f>VLOOKUP(H892,'合同高级查询数据-4月返'!A:A,1,FALSE)</f>
        <v>#N/A</v>
      </c>
      <c r="J892" s="134" t="s">
        <v>162</v>
      </c>
      <c r="K892" s="134" t="s">
        <v>1234</v>
      </c>
      <c r="L892" s="110" t="s">
        <v>1235</v>
      </c>
      <c r="M892" s="113" t="s">
        <v>1247</v>
      </c>
      <c r="N892" s="175">
        <v>44470</v>
      </c>
      <c r="O892" s="176" t="s">
        <v>525</v>
      </c>
      <c r="P892" s="177">
        <v>5900</v>
      </c>
      <c r="Q892" s="177">
        <v>19</v>
      </c>
      <c r="R892" s="130">
        <f t="shared" si="26"/>
        <v>112100</v>
      </c>
      <c r="S892" s="127">
        <v>202304</v>
      </c>
      <c r="T892" s="211" t="s">
        <v>1248</v>
      </c>
      <c r="U892" s="211"/>
      <c r="V892" s="149"/>
      <c r="W892" s="149"/>
      <c r="X892" s="131"/>
      <c r="Y892" s="131"/>
    </row>
    <row r="893" s="86" customFormat="1" customHeight="1" spans="1:25">
      <c r="A893" s="135" t="s">
        <v>448</v>
      </c>
      <c r="B893" s="135" t="s">
        <v>62</v>
      </c>
      <c r="C893" s="135" t="s">
        <v>238</v>
      </c>
      <c r="D893" s="135" t="s">
        <v>642</v>
      </c>
      <c r="E893" s="170" t="s">
        <v>982</v>
      </c>
      <c r="F893" s="135" t="s">
        <v>1232</v>
      </c>
      <c r="G893" s="171" t="s">
        <v>88</v>
      </c>
      <c r="H893" s="103" t="s">
        <v>1233</v>
      </c>
      <c r="I893" s="30" t="e">
        <f>VLOOKUP(H893,'合同高级查询数据-4月返'!A:A,1,FALSE)</f>
        <v>#N/A</v>
      </c>
      <c r="J893" s="134" t="s">
        <v>162</v>
      </c>
      <c r="K893" s="134" t="s">
        <v>1240</v>
      </c>
      <c r="L893" s="110" t="s">
        <v>1249</v>
      </c>
      <c r="M893" s="113" t="s">
        <v>1247</v>
      </c>
      <c r="N893" s="175">
        <v>44523</v>
      </c>
      <c r="O893" s="176" t="s">
        <v>525</v>
      </c>
      <c r="P893" s="177">
        <v>5900</v>
      </c>
      <c r="Q893" s="177">
        <v>8</v>
      </c>
      <c r="R893" s="130">
        <f t="shared" si="26"/>
        <v>47200</v>
      </c>
      <c r="S893" s="127">
        <v>202304</v>
      </c>
      <c r="T893" s="211" t="s">
        <v>1250</v>
      </c>
      <c r="U893" s="211"/>
      <c r="V893" s="149"/>
      <c r="W893" s="149"/>
      <c r="X893" s="131"/>
      <c r="Y893" s="131"/>
    </row>
    <row r="894" s="86" customFormat="1" customHeight="1" spans="1:25">
      <c r="A894" s="35" t="s">
        <v>448</v>
      </c>
      <c r="B894" s="135" t="s">
        <v>62</v>
      </c>
      <c r="C894" s="11" t="s">
        <v>238</v>
      </c>
      <c r="D894" s="11" t="s">
        <v>642</v>
      </c>
      <c r="E894" s="30" t="s">
        <v>982</v>
      </c>
      <c r="F894" s="35" t="s">
        <v>1251</v>
      </c>
      <c r="G894" s="35" t="s">
        <v>31</v>
      </c>
      <c r="H894" s="103" t="s">
        <v>1252</v>
      </c>
      <c r="I894" s="30" t="e">
        <f>VLOOKUP(H894,'合同高级查询数据-4月返'!A:A,1,FALSE)</f>
        <v>#N/A</v>
      </c>
      <c r="J894" s="155" t="s">
        <v>33</v>
      </c>
      <c r="K894" s="35" t="s">
        <v>1253</v>
      </c>
      <c r="L894" s="110" t="s">
        <v>1254</v>
      </c>
      <c r="M894" s="35"/>
      <c r="N894" s="111">
        <v>43364</v>
      </c>
      <c r="O894" s="35"/>
      <c r="P894" s="125">
        <v>0</v>
      </c>
      <c r="Q894" s="112">
        <v>544</v>
      </c>
      <c r="R894" s="126">
        <f t="shared" si="26"/>
        <v>0</v>
      </c>
      <c r="S894" s="127">
        <v>202304</v>
      </c>
      <c r="T894" s="150" t="s">
        <v>1255</v>
      </c>
      <c r="U894" s="150"/>
      <c r="V894" s="225"/>
      <c r="W894" s="225"/>
      <c r="X894" s="131"/>
      <c r="Y894" s="131"/>
    </row>
    <row r="895" s="86" customFormat="1" customHeight="1" spans="1:25">
      <c r="A895" s="35" t="s">
        <v>448</v>
      </c>
      <c r="B895" s="135" t="s">
        <v>62</v>
      </c>
      <c r="C895" s="11" t="s">
        <v>238</v>
      </c>
      <c r="D895" s="11" t="s">
        <v>642</v>
      </c>
      <c r="E895" s="30" t="s">
        <v>982</v>
      </c>
      <c r="F895" s="35" t="s">
        <v>1251</v>
      </c>
      <c r="G895" s="35" t="s">
        <v>31</v>
      </c>
      <c r="H895" s="103" t="s">
        <v>1252</v>
      </c>
      <c r="I895" s="30" t="e">
        <f>VLOOKUP(H895,'合同高级查询数据-4月返'!A:A,1,FALSE)</f>
        <v>#N/A</v>
      </c>
      <c r="J895" s="155" t="s">
        <v>33</v>
      </c>
      <c r="K895" s="35" t="s">
        <v>1256</v>
      </c>
      <c r="L895" s="110" t="s">
        <v>1254</v>
      </c>
      <c r="M895" s="35"/>
      <c r="N895" s="111">
        <v>44730</v>
      </c>
      <c r="O895" s="35"/>
      <c r="P895" s="125">
        <v>0</v>
      </c>
      <c r="Q895" s="112">
        <v>256</v>
      </c>
      <c r="R895" s="126">
        <f t="shared" si="26"/>
        <v>0</v>
      </c>
      <c r="S895" s="127">
        <v>202304</v>
      </c>
      <c r="T895" s="150" t="s">
        <v>1257</v>
      </c>
      <c r="U895" s="150"/>
      <c r="V895" s="225"/>
      <c r="W895" s="225"/>
      <c r="X895" s="131"/>
      <c r="Y895" s="131"/>
    </row>
    <row r="896" s="86" customFormat="1" customHeight="1" spans="1:25">
      <c r="A896" s="35" t="s">
        <v>448</v>
      </c>
      <c r="B896" s="135" t="s">
        <v>62</v>
      </c>
      <c r="C896" s="11" t="s">
        <v>238</v>
      </c>
      <c r="D896" s="11" t="s">
        <v>642</v>
      </c>
      <c r="E896" s="30" t="s">
        <v>982</v>
      </c>
      <c r="F896" s="35" t="s">
        <v>1251</v>
      </c>
      <c r="G896" s="35" t="s">
        <v>31</v>
      </c>
      <c r="H896" s="103" t="s">
        <v>1252</v>
      </c>
      <c r="I896" s="30" t="e">
        <f>VLOOKUP(H896,'合同高级查询数据-4月返'!A:A,1,FALSE)</f>
        <v>#N/A</v>
      </c>
      <c r="J896" s="155" t="s">
        <v>33</v>
      </c>
      <c r="K896" s="35" t="s">
        <v>1258</v>
      </c>
      <c r="L896" s="110" t="s">
        <v>1254</v>
      </c>
      <c r="M896" s="35"/>
      <c r="N896" s="111">
        <v>43364</v>
      </c>
      <c r="O896" s="35"/>
      <c r="P896" s="125">
        <v>0</v>
      </c>
      <c r="Q896" s="112">
        <v>32</v>
      </c>
      <c r="R896" s="126">
        <f t="shared" si="26"/>
        <v>0</v>
      </c>
      <c r="S896" s="127">
        <v>202304</v>
      </c>
      <c r="T896" s="150" t="s">
        <v>1259</v>
      </c>
      <c r="U896" s="150"/>
      <c r="V896" s="225"/>
      <c r="W896" s="225"/>
      <c r="X896" s="131"/>
      <c r="Y896" s="131"/>
    </row>
    <row r="897" s="86" customFormat="1" customHeight="1" spans="1:25">
      <c r="A897" s="35" t="s">
        <v>448</v>
      </c>
      <c r="B897" s="135" t="s">
        <v>62</v>
      </c>
      <c r="C897" s="11" t="s">
        <v>238</v>
      </c>
      <c r="D897" s="11" t="s">
        <v>642</v>
      </c>
      <c r="E897" s="30" t="s">
        <v>982</v>
      </c>
      <c r="F897" s="35" t="s">
        <v>1251</v>
      </c>
      <c r="G897" s="35" t="s">
        <v>31</v>
      </c>
      <c r="H897" s="103" t="s">
        <v>1252</v>
      </c>
      <c r="I897" s="30" t="e">
        <f>VLOOKUP(H897,'合同高级查询数据-4月返'!A:A,1,FALSE)</f>
        <v>#N/A</v>
      </c>
      <c r="J897" s="155" t="s">
        <v>33</v>
      </c>
      <c r="K897" s="35" t="s">
        <v>1258</v>
      </c>
      <c r="L897" s="110" t="s">
        <v>1254</v>
      </c>
      <c r="M897" s="35"/>
      <c r="N897" s="111">
        <v>43364</v>
      </c>
      <c r="O897" s="35"/>
      <c r="P897" s="125">
        <v>0</v>
      </c>
      <c r="Q897" s="112">
        <v>256</v>
      </c>
      <c r="R897" s="126">
        <f t="shared" si="26"/>
        <v>0</v>
      </c>
      <c r="S897" s="127">
        <v>202304</v>
      </c>
      <c r="T897" s="150" t="s">
        <v>1260</v>
      </c>
      <c r="U897" s="150"/>
      <c r="V897" s="225"/>
      <c r="W897" s="225"/>
      <c r="X897" s="131"/>
      <c r="Y897" s="131"/>
    </row>
    <row r="898" s="86" customFormat="1" customHeight="1" spans="1:25">
      <c r="A898" s="35" t="s">
        <v>448</v>
      </c>
      <c r="B898" s="135" t="s">
        <v>62</v>
      </c>
      <c r="C898" s="11" t="s">
        <v>238</v>
      </c>
      <c r="D898" s="11" t="s">
        <v>642</v>
      </c>
      <c r="E898" s="30" t="s">
        <v>982</v>
      </c>
      <c r="F898" s="35" t="s">
        <v>1251</v>
      </c>
      <c r="G898" s="35" t="s">
        <v>31</v>
      </c>
      <c r="H898" s="103" t="s">
        <v>1252</v>
      </c>
      <c r="I898" s="30" t="e">
        <f>VLOOKUP(H898,'合同高级查询数据-4月返'!A:A,1,FALSE)</f>
        <v>#N/A</v>
      </c>
      <c r="J898" s="155" t="s">
        <v>33</v>
      </c>
      <c r="K898" s="35" t="s">
        <v>1258</v>
      </c>
      <c r="L898" s="110" t="s">
        <v>1254</v>
      </c>
      <c r="M898" s="35"/>
      <c r="N898" s="111">
        <v>44730</v>
      </c>
      <c r="O898" s="35"/>
      <c r="P898" s="125">
        <v>0</v>
      </c>
      <c r="Q898" s="112">
        <v>256</v>
      </c>
      <c r="R898" s="126">
        <f t="shared" si="26"/>
        <v>0</v>
      </c>
      <c r="S898" s="127">
        <v>202304</v>
      </c>
      <c r="T898" s="150" t="s">
        <v>1261</v>
      </c>
      <c r="U898" s="150"/>
      <c r="V898" s="225"/>
      <c r="W898" s="225"/>
      <c r="X898" s="131"/>
      <c r="Y898" s="131"/>
    </row>
    <row r="899" s="86" customFormat="1" customHeight="1" spans="1:25">
      <c r="A899" s="35" t="s">
        <v>448</v>
      </c>
      <c r="B899" s="135" t="s">
        <v>62</v>
      </c>
      <c r="C899" s="11" t="s">
        <v>238</v>
      </c>
      <c r="D899" s="11" t="s">
        <v>642</v>
      </c>
      <c r="E899" s="30" t="s">
        <v>982</v>
      </c>
      <c r="F899" s="35" t="s">
        <v>1251</v>
      </c>
      <c r="G899" s="35" t="s">
        <v>88</v>
      </c>
      <c r="H899" s="103" t="s">
        <v>1252</v>
      </c>
      <c r="I899" s="30" t="e">
        <f>VLOOKUP(H899,'合同高级查询数据-4月返'!A:A,1,FALSE)</f>
        <v>#N/A</v>
      </c>
      <c r="J899" s="155" t="s">
        <v>162</v>
      </c>
      <c r="K899" s="35" t="s">
        <v>1262</v>
      </c>
      <c r="L899" s="110" t="s">
        <v>1263</v>
      </c>
      <c r="M899" s="35" t="s">
        <v>1264</v>
      </c>
      <c r="N899" s="111"/>
      <c r="O899" s="35" t="s">
        <v>92</v>
      </c>
      <c r="P899" s="125">
        <v>0</v>
      </c>
      <c r="Q899" s="112">
        <v>8</v>
      </c>
      <c r="R899" s="126">
        <f t="shared" si="26"/>
        <v>0</v>
      </c>
      <c r="S899" s="127">
        <v>202304</v>
      </c>
      <c r="T899" s="150" t="s">
        <v>1265</v>
      </c>
      <c r="U899" s="150"/>
      <c r="V899" s="225"/>
      <c r="W899" s="225"/>
      <c r="X899" s="131"/>
      <c r="Y899" s="131"/>
    </row>
    <row r="900" s="86" customFormat="1" customHeight="1" spans="1:25">
      <c r="A900" s="35" t="s">
        <v>448</v>
      </c>
      <c r="B900" s="135" t="s">
        <v>62</v>
      </c>
      <c r="C900" s="11" t="s">
        <v>238</v>
      </c>
      <c r="D900" s="11" t="s">
        <v>642</v>
      </c>
      <c r="E900" s="30" t="s">
        <v>982</v>
      </c>
      <c r="F900" s="35" t="s">
        <v>1251</v>
      </c>
      <c r="G900" s="35" t="s">
        <v>88</v>
      </c>
      <c r="H900" s="103" t="s">
        <v>1252</v>
      </c>
      <c r="I900" s="30" t="e">
        <f>VLOOKUP(H900,'合同高级查询数据-4月返'!A:A,1,FALSE)</f>
        <v>#N/A</v>
      </c>
      <c r="J900" s="155" t="s">
        <v>162</v>
      </c>
      <c r="K900" s="35" t="s">
        <v>1262</v>
      </c>
      <c r="L900" s="110" t="s">
        <v>1263</v>
      </c>
      <c r="M900" s="35" t="s">
        <v>1264</v>
      </c>
      <c r="N900" s="111">
        <v>44391</v>
      </c>
      <c r="O900" s="35" t="s">
        <v>92</v>
      </c>
      <c r="P900" s="125">
        <v>0</v>
      </c>
      <c r="Q900" s="112">
        <v>-3</v>
      </c>
      <c r="R900" s="126">
        <f t="shared" si="26"/>
        <v>0</v>
      </c>
      <c r="S900" s="127">
        <v>202304</v>
      </c>
      <c r="T900" s="150" t="s">
        <v>1266</v>
      </c>
      <c r="U900" s="150"/>
      <c r="V900" s="225"/>
      <c r="W900" s="225"/>
      <c r="X900" s="131"/>
      <c r="Y900" s="131"/>
    </row>
    <row r="901" s="86" customFormat="1" customHeight="1" spans="1:25">
      <c r="A901" s="35" t="s">
        <v>448</v>
      </c>
      <c r="B901" s="135" t="s">
        <v>62</v>
      </c>
      <c r="C901" s="11" t="s">
        <v>238</v>
      </c>
      <c r="D901" s="11" t="s">
        <v>642</v>
      </c>
      <c r="E901" s="30" t="s">
        <v>982</v>
      </c>
      <c r="F901" s="35" t="s">
        <v>1251</v>
      </c>
      <c r="G901" s="35" t="s">
        <v>88</v>
      </c>
      <c r="H901" s="103" t="s">
        <v>1252</v>
      </c>
      <c r="I901" s="30" t="e">
        <f>VLOOKUP(H901,'合同高级查询数据-4月返'!A:A,1,FALSE)</f>
        <v>#N/A</v>
      </c>
      <c r="J901" s="155" t="s">
        <v>162</v>
      </c>
      <c r="K901" s="35" t="s">
        <v>1262</v>
      </c>
      <c r="L901" s="110" t="s">
        <v>1263</v>
      </c>
      <c r="M901" s="35" t="s">
        <v>1264</v>
      </c>
      <c r="N901" s="111"/>
      <c r="O901" s="35" t="s">
        <v>92</v>
      </c>
      <c r="P901" s="125">
        <v>0</v>
      </c>
      <c r="Q901" s="112">
        <v>1</v>
      </c>
      <c r="R901" s="126">
        <f t="shared" si="26"/>
        <v>0</v>
      </c>
      <c r="S901" s="127">
        <v>202304</v>
      </c>
      <c r="T901" s="150" t="s">
        <v>1267</v>
      </c>
      <c r="U901" s="150"/>
      <c r="V901" s="225"/>
      <c r="W901" s="225"/>
      <c r="X901" s="131"/>
      <c r="Y901" s="131"/>
    </row>
    <row r="902" s="86" customFormat="1" customHeight="1" spans="1:25">
      <c r="A902" s="35" t="s">
        <v>448</v>
      </c>
      <c r="B902" s="135" t="s">
        <v>62</v>
      </c>
      <c r="C902" s="11" t="s">
        <v>238</v>
      </c>
      <c r="D902" s="11" t="s">
        <v>642</v>
      </c>
      <c r="E902" s="30" t="s">
        <v>982</v>
      </c>
      <c r="F902" s="35" t="s">
        <v>1251</v>
      </c>
      <c r="G902" s="35" t="s">
        <v>88</v>
      </c>
      <c r="H902" s="103" t="s">
        <v>1252</v>
      </c>
      <c r="I902" s="30" t="e">
        <f>VLOOKUP(H902,'合同高级查询数据-4月返'!A:A,1,FALSE)</f>
        <v>#N/A</v>
      </c>
      <c r="J902" s="155" t="s">
        <v>162</v>
      </c>
      <c r="K902" s="35" t="s">
        <v>1262</v>
      </c>
      <c r="L902" s="110" t="s">
        <v>1251</v>
      </c>
      <c r="M902" s="35" t="s">
        <v>1264</v>
      </c>
      <c r="N902" s="111"/>
      <c r="O902" s="35" t="s">
        <v>92</v>
      </c>
      <c r="P902" s="125">
        <v>0</v>
      </c>
      <c r="Q902" s="112">
        <v>3</v>
      </c>
      <c r="R902" s="126">
        <f t="shared" si="26"/>
        <v>0</v>
      </c>
      <c r="S902" s="127">
        <v>202304</v>
      </c>
      <c r="T902" s="150" t="s">
        <v>1268</v>
      </c>
      <c r="U902" s="150"/>
      <c r="V902" s="225"/>
      <c r="W902" s="225"/>
      <c r="X902" s="131"/>
      <c r="Y902" s="131"/>
    </row>
    <row r="903" s="86" customFormat="1" customHeight="1" spans="1:25">
      <c r="A903" s="35" t="s">
        <v>448</v>
      </c>
      <c r="B903" s="135" t="s">
        <v>62</v>
      </c>
      <c r="C903" s="11" t="s">
        <v>238</v>
      </c>
      <c r="D903" s="11" t="s">
        <v>642</v>
      </c>
      <c r="E903" s="30" t="s">
        <v>982</v>
      </c>
      <c r="F903" s="35" t="s">
        <v>1251</v>
      </c>
      <c r="G903" s="35" t="s">
        <v>88</v>
      </c>
      <c r="H903" s="103" t="s">
        <v>1252</v>
      </c>
      <c r="I903" s="30" t="e">
        <f>VLOOKUP(H903,'合同高级查询数据-4月返'!A:A,1,FALSE)</f>
        <v>#N/A</v>
      </c>
      <c r="J903" s="155" t="s">
        <v>162</v>
      </c>
      <c r="K903" s="35" t="s">
        <v>1262</v>
      </c>
      <c r="L903" s="110" t="s">
        <v>1251</v>
      </c>
      <c r="M903" s="35" t="s">
        <v>1264</v>
      </c>
      <c r="N903" s="111">
        <v>44389</v>
      </c>
      <c r="O903" s="35" t="s">
        <v>92</v>
      </c>
      <c r="P903" s="125">
        <v>0</v>
      </c>
      <c r="Q903" s="112">
        <v>-3</v>
      </c>
      <c r="R903" s="126">
        <f t="shared" si="26"/>
        <v>0</v>
      </c>
      <c r="S903" s="127">
        <v>202304</v>
      </c>
      <c r="T903" s="150" t="s">
        <v>1269</v>
      </c>
      <c r="U903" s="150"/>
      <c r="V903" s="225"/>
      <c r="W903" s="225"/>
      <c r="X903" s="131"/>
      <c r="Y903" s="131"/>
    </row>
    <row r="904" s="86" customFormat="1" customHeight="1" spans="1:25">
      <c r="A904" s="35" t="s">
        <v>448</v>
      </c>
      <c r="B904" s="135" t="s">
        <v>62</v>
      </c>
      <c r="C904" s="11" t="s">
        <v>238</v>
      </c>
      <c r="D904" s="11" t="s">
        <v>642</v>
      </c>
      <c r="E904" s="30" t="s">
        <v>982</v>
      </c>
      <c r="F904" s="35" t="s">
        <v>1251</v>
      </c>
      <c r="G904" s="35" t="s">
        <v>88</v>
      </c>
      <c r="H904" s="103" t="s">
        <v>1252</v>
      </c>
      <c r="I904" s="30" t="e">
        <f>VLOOKUP(H904,'合同高级查询数据-4月返'!A:A,1,FALSE)</f>
        <v>#N/A</v>
      </c>
      <c r="J904" s="155" t="s">
        <v>162</v>
      </c>
      <c r="K904" s="35" t="s">
        <v>1256</v>
      </c>
      <c r="L904" s="110" t="s">
        <v>1254</v>
      </c>
      <c r="M904" s="35" t="s">
        <v>1264</v>
      </c>
      <c r="N904" s="111">
        <v>44730</v>
      </c>
      <c r="O904" s="35" t="s">
        <v>92</v>
      </c>
      <c r="P904" s="125">
        <v>0</v>
      </c>
      <c r="Q904" s="112">
        <v>23</v>
      </c>
      <c r="R904" s="126">
        <f t="shared" si="26"/>
        <v>0</v>
      </c>
      <c r="S904" s="127">
        <v>202304</v>
      </c>
      <c r="T904" s="150" t="s">
        <v>1270</v>
      </c>
      <c r="U904" s="150"/>
      <c r="V904" s="225"/>
      <c r="W904" s="225"/>
      <c r="X904" s="131"/>
      <c r="Y904" s="131"/>
    </row>
    <row r="905" s="86" customFormat="1" customHeight="1" spans="1:25">
      <c r="A905" s="35" t="s">
        <v>448</v>
      </c>
      <c r="B905" s="135" t="s">
        <v>62</v>
      </c>
      <c r="C905" s="11" t="s">
        <v>238</v>
      </c>
      <c r="D905" s="11" t="s">
        <v>642</v>
      </c>
      <c r="E905" s="30" t="s">
        <v>982</v>
      </c>
      <c r="F905" s="35" t="s">
        <v>1251</v>
      </c>
      <c r="G905" s="35" t="s">
        <v>88</v>
      </c>
      <c r="H905" s="103" t="s">
        <v>1252</v>
      </c>
      <c r="I905" s="30" t="e">
        <f>VLOOKUP(H905,'合同高级查询数据-4月返'!A:A,1,FALSE)</f>
        <v>#N/A</v>
      </c>
      <c r="J905" s="155" t="s">
        <v>162</v>
      </c>
      <c r="K905" s="35" t="s">
        <v>1256</v>
      </c>
      <c r="L905" s="110" t="s">
        <v>1254</v>
      </c>
      <c r="M905" s="35" t="s">
        <v>1264</v>
      </c>
      <c r="N905" s="111">
        <v>44873</v>
      </c>
      <c r="O905" s="35" t="s">
        <v>92</v>
      </c>
      <c r="P905" s="125">
        <v>0</v>
      </c>
      <c r="Q905" s="112">
        <v>1</v>
      </c>
      <c r="R905" s="126">
        <f t="shared" si="26"/>
        <v>0</v>
      </c>
      <c r="S905" s="127">
        <v>202304</v>
      </c>
      <c r="T905" s="150" t="s">
        <v>1271</v>
      </c>
      <c r="U905" s="150"/>
      <c r="V905" s="225"/>
      <c r="W905" s="225"/>
      <c r="X905" s="131"/>
      <c r="Y905" s="131"/>
    </row>
    <row r="906" s="86" customFormat="1" customHeight="1" spans="1:25">
      <c r="A906" s="11" t="s">
        <v>448</v>
      </c>
      <c r="B906" s="135" t="s">
        <v>62</v>
      </c>
      <c r="C906" s="11" t="s">
        <v>238</v>
      </c>
      <c r="D906" s="11" t="s">
        <v>642</v>
      </c>
      <c r="E906" s="13" t="s">
        <v>982</v>
      </c>
      <c r="F906" s="11" t="s">
        <v>983</v>
      </c>
      <c r="G906" s="171" t="s">
        <v>31</v>
      </c>
      <c r="H906" s="103" t="s">
        <v>1272</v>
      </c>
      <c r="I906" s="30" t="e">
        <f>VLOOKUP(H906,'合同高级查询数据-4月返'!A:A,1,FALSE)</f>
        <v>#N/A</v>
      </c>
      <c r="J906" s="110" t="s">
        <v>1273</v>
      </c>
      <c r="K906" s="35" t="s">
        <v>1274</v>
      </c>
      <c r="L906" s="174" t="s">
        <v>1275</v>
      </c>
      <c r="M906" s="113" t="s">
        <v>1276</v>
      </c>
      <c r="N906" s="111" t="s">
        <v>558</v>
      </c>
      <c r="O906" s="35"/>
      <c r="P906" s="227">
        <v>0</v>
      </c>
      <c r="Q906" s="126">
        <v>768</v>
      </c>
      <c r="R906" s="126">
        <f t="shared" si="26"/>
        <v>0</v>
      </c>
      <c r="S906" s="127">
        <v>202304</v>
      </c>
      <c r="T906" s="194" t="s">
        <v>1277</v>
      </c>
      <c r="U906" s="194"/>
      <c r="V906" s="159"/>
      <c r="W906" s="159"/>
      <c r="X906" s="131"/>
      <c r="Y906" s="131"/>
    </row>
    <row r="907" s="86" customFormat="1" customHeight="1" spans="1:25">
      <c r="A907" s="11" t="s">
        <v>448</v>
      </c>
      <c r="B907" s="135" t="s">
        <v>62</v>
      </c>
      <c r="C907" s="11" t="s">
        <v>238</v>
      </c>
      <c r="D907" s="11" t="s">
        <v>642</v>
      </c>
      <c r="E907" s="13" t="s">
        <v>982</v>
      </c>
      <c r="F907" s="11" t="s">
        <v>983</v>
      </c>
      <c r="G907" s="171" t="s">
        <v>31</v>
      </c>
      <c r="H907" s="103" t="s">
        <v>1272</v>
      </c>
      <c r="I907" s="30" t="e">
        <f>VLOOKUP(H907,'合同高级查询数据-4月返'!A:A,1,FALSE)</f>
        <v>#N/A</v>
      </c>
      <c r="J907" s="110" t="s">
        <v>1273</v>
      </c>
      <c r="K907" s="35" t="s">
        <v>1274</v>
      </c>
      <c r="L907" s="174" t="s">
        <v>1275</v>
      </c>
      <c r="M907" s="113" t="s">
        <v>1276</v>
      </c>
      <c r="N907" s="146">
        <v>44454</v>
      </c>
      <c r="O907" s="35"/>
      <c r="P907" s="227">
        <v>0</v>
      </c>
      <c r="Q907" s="126">
        <v>-768</v>
      </c>
      <c r="R907" s="126">
        <f t="shared" si="26"/>
        <v>0</v>
      </c>
      <c r="S907" s="127">
        <v>202304</v>
      </c>
      <c r="T907" s="194" t="s">
        <v>1278</v>
      </c>
      <c r="U907" s="194"/>
      <c r="V907" s="159"/>
      <c r="W907" s="159"/>
      <c r="X907" s="131"/>
      <c r="Y907" s="131"/>
    </row>
    <row r="908" s="86" customFormat="1" customHeight="1" spans="1:25">
      <c r="A908" s="11" t="s">
        <v>448</v>
      </c>
      <c r="B908" s="135" t="s">
        <v>62</v>
      </c>
      <c r="C908" s="11" t="s">
        <v>238</v>
      </c>
      <c r="D908" s="11" t="s">
        <v>642</v>
      </c>
      <c r="E908" s="13" t="s">
        <v>982</v>
      </c>
      <c r="F908" s="11" t="s">
        <v>983</v>
      </c>
      <c r="G908" s="171" t="s">
        <v>31</v>
      </c>
      <c r="H908" s="103" t="s">
        <v>1272</v>
      </c>
      <c r="I908" s="30" t="e">
        <f>VLOOKUP(H908,'合同高级查询数据-4月返'!A:A,1,FALSE)</f>
        <v>#N/A</v>
      </c>
      <c r="J908" s="110" t="s">
        <v>1273</v>
      </c>
      <c r="K908" s="35" t="s">
        <v>844</v>
      </c>
      <c r="L908" s="174" t="s">
        <v>1275</v>
      </c>
      <c r="M908" s="113" t="s">
        <v>1279</v>
      </c>
      <c r="N908" s="146">
        <v>44462</v>
      </c>
      <c r="O908" s="35"/>
      <c r="P908" s="227">
        <v>0</v>
      </c>
      <c r="Q908" s="126">
        <v>768</v>
      </c>
      <c r="R908" s="130">
        <f t="shared" si="26"/>
        <v>0</v>
      </c>
      <c r="S908" s="127">
        <v>202304</v>
      </c>
      <c r="T908" s="194" t="s">
        <v>1280</v>
      </c>
      <c r="U908" s="194"/>
      <c r="V908" s="159"/>
      <c r="W908" s="159"/>
      <c r="X908" s="131"/>
      <c r="Y908" s="131"/>
    </row>
    <row r="909" s="86" customFormat="1" customHeight="1" spans="1:25">
      <c r="A909" s="35" t="s">
        <v>448</v>
      </c>
      <c r="B909" s="135" t="s">
        <v>62</v>
      </c>
      <c r="C909" s="11" t="s">
        <v>238</v>
      </c>
      <c r="D909" s="11" t="s">
        <v>642</v>
      </c>
      <c r="E909" s="30" t="s">
        <v>982</v>
      </c>
      <c r="F909" s="35" t="s">
        <v>983</v>
      </c>
      <c r="G909" s="142" t="s">
        <v>31</v>
      </c>
      <c r="H909" s="103" t="s">
        <v>1272</v>
      </c>
      <c r="I909" s="30" t="e">
        <f>VLOOKUP(H909,'合同高级查询数据-4月返'!A:A,1,FALSE)</f>
        <v>#N/A</v>
      </c>
      <c r="J909" s="155" t="s">
        <v>33</v>
      </c>
      <c r="K909" s="35" t="s">
        <v>1281</v>
      </c>
      <c r="L909" s="110" t="s">
        <v>983</v>
      </c>
      <c r="M909" s="113"/>
      <c r="N909" s="146"/>
      <c r="O909" s="142"/>
      <c r="P909" s="156">
        <v>0</v>
      </c>
      <c r="Q909" s="231">
        <v>512</v>
      </c>
      <c r="R909" s="130">
        <f t="shared" si="26"/>
        <v>0</v>
      </c>
      <c r="S909" s="127">
        <v>202304</v>
      </c>
      <c r="T909" s="150" t="s">
        <v>1282</v>
      </c>
      <c r="U909" s="150"/>
      <c r="V909" s="159"/>
      <c r="W909" s="159"/>
      <c r="X909" s="131"/>
      <c r="Y909" s="131"/>
    </row>
    <row r="910" s="86" customFormat="1" customHeight="1" spans="1:25">
      <c r="A910" s="35" t="s">
        <v>448</v>
      </c>
      <c r="B910" s="135" t="s">
        <v>62</v>
      </c>
      <c r="C910" s="11" t="s">
        <v>238</v>
      </c>
      <c r="D910" s="11" t="s">
        <v>642</v>
      </c>
      <c r="E910" s="30" t="s">
        <v>982</v>
      </c>
      <c r="F910" s="35" t="s">
        <v>983</v>
      </c>
      <c r="G910" s="142" t="s">
        <v>31</v>
      </c>
      <c r="H910" s="103" t="s">
        <v>1272</v>
      </c>
      <c r="I910" s="30" t="e">
        <f>VLOOKUP(H910,'合同高级查询数据-4月返'!A:A,1,FALSE)</f>
        <v>#N/A</v>
      </c>
      <c r="J910" s="155" t="s">
        <v>33</v>
      </c>
      <c r="K910" s="35" t="s">
        <v>1281</v>
      </c>
      <c r="L910" s="110" t="s">
        <v>983</v>
      </c>
      <c r="M910" s="113"/>
      <c r="N910" s="146"/>
      <c r="O910" s="142"/>
      <c r="P910" s="156">
        <v>0</v>
      </c>
      <c r="Q910" s="231">
        <v>512</v>
      </c>
      <c r="R910" s="130">
        <f t="shared" si="26"/>
        <v>0</v>
      </c>
      <c r="S910" s="127">
        <v>202304</v>
      </c>
      <c r="T910" s="150" t="s">
        <v>1283</v>
      </c>
      <c r="U910" s="150"/>
      <c r="V910" s="159"/>
      <c r="W910" s="159"/>
      <c r="X910" s="131"/>
      <c r="Y910" s="131"/>
    </row>
    <row r="911" s="86" customFormat="1" customHeight="1" spans="1:25">
      <c r="A911" s="35" t="s">
        <v>448</v>
      </c>
      <c r="B911" s="135" t="s">
        <v>62</v>
      </c>
      <c r="C911" s="11" t="s">
        <v>238</v>
      </c>
      <c r="D911" s="11" t="s">
        <v>642</v>
      </c>
      <c r="E911" s="30" t="s">
        <v>982</v>
      </c>
      <c r="F911" s="35" t="s">
        <v>983</v>
      </c>
      <c r="G911" s="142" t="s">
        <v>31</v>
      </c>
      <c r="H911" s="103" t="s">
        <v>1272</v>
      </c>
      <c r="I911" s="30" t="e">
        <f>VLOOKUP(H911,'合同高级查询数据-4月返'!A:A,1,FALSE)</f>
        <v>#N/A</v>
      </c>
      <c r="J911" s="155" t="s">
        <v>33</v>
      </c>
      <c r="K911" s="35" t="s">
        <v>1284</v>
      </c>
      <c r="L911" s="110" t="s">
        <v>1285</v>
      </c>
      <c r="M911" s="113"/>
      <c r="N911" s="146"/>
      <c r="O911" s="142"/>
      <c r="P911" s="156">
        <v>0</v>
      </c>
      <c r="Q911" s="231">
        <v>512</v>
      </c>
      <c r="R911" s="130">
        <f t="shared" si="26"/>
        <v>0</v>
      </c>
      <c r="S911" s="127">
        <v>202304</v>
      </c>
      <c r="T911" s="150" t="s">
        <v>1286</v>
      </c>
      <c r="U911" s="150"/>
      <c r="V911" s="159"/>
      <c r="W911" s="159"/>
      <c r="X911" s="131"/>
      <c r="Y911" s="131"/>
    </row>
    <row r="912" s="86" customFormat="1" customHeight="1" spans="1:25">
      <c r="A912" s="11" t="s">
        <v>448</v>
      </c>
      <c r="B912" s="135" t="s">
        <v>62</v>
      </c>
      <c r="C912" s="11" t="s">
        <v>238</v>
      </c>
      <c r="D912" s="11" t="s">
        <v>642</v>
      </c>
      <c r="E912" s="13" t="s">
        <v>982</v>
      </c>
      <c r="F912" s="11" t="s">
        <v>983</v>
      </c>
      <c r="G912" s="171" t="s">
        <v>88</v>
      </c>
      <c r="H912" s="103" t="s">
        <v>1272</v>
      </c>
      <c r="I912" s="30" t="e">
        <f>VLOOKUP(H912,'合同高级查询数据-4月返'!A:A,1,FALSE)</f>
        <v>#N/A</v>
      </c>
      <c r="J912" s="155" t="s">
        <v>1287</v>
      </c>
      <c r="K912" s="35" t="s">
        <v>1274</v>
      </c>
      <c r="L912" s="35" t="s">
        <v>1275</v>
      </c>
      <c r="M912" s="113" t="s">
        <v>1276</v>
      </c>
      <c r="N912" s="111" t="s">
        <v>558</v>
      </c>
      <c r="O912" s="35" t="s">
        <v>702</v>
      </c>
      <c r="P912" s="227">
        <v>4000</v>
      </c>
      <c r="Q912" s="126">
        <v>2</v>
      </c>
      <c r="R912" s="126">
        <f t="shared" si="26"/>
        <v>8000</v>
      </c>
      <c r="S912" s="127">
        <v>202304</v>
      </c>
      <c r="T912" s="194" t="s">
        <v>1288</v>
      </c>
      <c r="U912" s="194"/>
      <c r="V912" s="128"/>
      <c r="W912" s="128"/>
      <c r="X912" s="131"/>
      <c r="Y912" s="131"/>
    </row>
    <row r="913" s="86" customFormat="1" customHeight="1" spans="1:25">
      <c r="A913" s="11" t="s">
        <v>448</v>
      </c>
      <c r="B913" s="135" t="s">
        <v>62</v>
      </c>
      <c r="C913" s="11" t="s">
        <v>238</v>
      </c>
      <c r="D913" s="11" t="s">
        <v>642</v>
      </c>
      <c r="E913" s="13" t="s">
        <v>982</v>
      </c>
      <c r="F913" s="11" t="s">
        <v>983</v>
      </c>
      <c r="G913" s="171" t="s">
        <v>88</v>
      </c>
      <c r="H913" s="103" t="s">
        <v>1272</v>
      </c>
      <c r="I913" s="30" t="e">
        <f>VLOOKUP(H913,'合同高级查询数据-4月返'!A:A,1,FALSE)</f>
        <v>#N/A</v>
      </c>
      <c r="J913" s="155" t="s">
        <v>1287</v>
      </c>
      <c r="K913" s="35" t="s">
        <v>1274</v>
      </c>
      <c r="L913" s="35" t="s">
        <v>1275</v>
      </c>
      <c r="M913" s="113" t="s">
        <v>1276</v>
      </c>
      <c r="N913" s="111" t="s">
        <v>558</v>
      </c>
      <c r="O913" s="35" t="s">
        <v>702</v>
      </c>
      <c r="P913" s="227">
        <v>0</v>
      </c>
      <c r="Q913" s="126">
        <v>4</v>
      </c>
      <c r="R913" s="126">
        <f t="shared" si="26"/>
        <v>0</v>
      </c>
      <c r="S913" s="127">
        <v>202304</v>
      </c>
      <c r="T913" s="194" t="s">
        <v>1289</v>
      </c>
      <c r="U913" s="194"/>
      <c r="V913" s="128"/>
      <c r="W913" s="128"/>
      <c r="X913" s="131"/>
      <c r="Y913" s="131"/>
    </row>
    <row r="914" s="86" customFormat="1" customHeight="1" spans="1:25">
      <c r="A914" s="11" t="s">
        <v>448</v>
      </c>
      <c r="B914" s="135" t="s">
        <v>62</v>
      </c>
      <c r="C914" s="11" t="s">
        <v>238</v>
      </c>
      <c r="D914" s="11" t="s">
        <v>642</v>
      </c>
      <c r="E914" s="13" t="s">
        <v>982</v>
      </c>
      <c r="F914" s="11" t="s">
        <v>983</v>
      </c>
      <c r="G914" s="171" t="s">
        <v>88</v>
      </c>
      <c r="H914" s="103" t="s">
        <v>1272</v>
      </c>
      <c r="I914" s="30" t="e">
        <f>VLOOKUP(H914,'合同高级查询数据-4月返'!A:A,1,FALSE)</f>
        <v>#N/A</v>
      </c>
      <c r="J914" s="155" t="s">
        <v>1287</v>
      </c>
      <c r="K914" s="35" t="s">
        <v>1274</v>
      </c>
      <c r="L914" s="35" t="s">
        <v>1275</v>
      </c>
      <c r="M914" s="113" t="s">
        <v>1276</v>
      </c>
      <c r="N914" s="146">
        <v>44454</v>
      </c>
      <c r="O914" s="35" t="s">
        <v>702</v>
      </c>
      <c r="P914" s="227">
        <v>4000</v>
      </c>
      <c r="Q914" s="126">
        <v>-2</v>
      </c>
      <c r="R914" s="130">
        <f t="shared" si="26"/>
        <v>-8000</v>
      </c>
      <c r="S914" s="127">
        <v>202304</v>
      </c>
      <c r="T914" s="194" t="s">
        <v>1290</v>
      </c>
      <c r="U914" s="194"/>
      <c r="V914" s="128"/>
      <c r="W914" s="128"/>
      <c r="X914" s="131"/>
      <c r="Y914" s="131"/>
    </row>
    <row r="915" s="86" customFormat="1" customHeight="1" spans="1:25">
      <c r="A915" s="11" t="s">
        <v>448</v>
      </c>
      <c r="B915" s="135" t="s">
        <v>62</v>
      </c>
      <c r="C915" s="11" t="s">
        <v>238</v>
      </c>
      <c r="D915" s="11" t="s">
        <v>642</v>
      </c>
      <c r="E915" s="13" t="s">
        <v>982</v>
      </c>
      <c r="F915" s="11" t="s">
        <v>983</v>
      </c>
      <c r="G915" s="171" t="s">
        <v>88</v>
      </c>
      <c r="H915" s="103" t="s">
        <v>1272</v>
      </c>
      <c r="I915" s="30" t="e">
        <f>VLOOKUP(H915,'合同高级查询数据-4月返'!A:A,1,FALSE)</f>
        <v>#N/A</v>
      </c>
      <c r="J915" s="155" t="s">
        <v>1287</v>
      </c>
      <c r="K915" s="35" t="s">
        <v>1274</v>
      </c>
      <c r="L915" s="35" t="s">
        <v>1275</v>
      </c>
      <c r="M915" s="113" t="s">
        <v>1276</v>
      </c>
      <c r="N915" s="146">
        <v>44454</v>
      </c>
      <c r="O915" s="35" t="s">
        <v>702</v>
      </c>
      <c r="P915" s="227">
        <v>0</v>
      </c>
      <c r="Q915" s="126">
        <v>-4</v>
      </c>
      <c r="R915" s="126">
        <f t="shared" si="26"/>
        <v>0</v>
      </c>
      <c r="S915" s="127">
        <v>202304</v>
      </c>
      <c r="T915" s="194" t="s">
        <v>1291</v>
      </c>
      <c r="U915" s="194"/>
      <c r="V915" s="128"/>
      <c r="W915" s="128"/>
      <c r="X915" s="131"/>
      <c r="Y915" s="131"/>
    </row>
    <row r="916" s="86" customFormat="1" customHeight="1" spans="1:25">
      <c r="A916" s="11" t="s">
        <v>448</v>
      </c>
      <c r="B916" s="135" t="s">
        <v>62</v>
      </c>
      <c r="C916" s="11" t="s">
        <v>238</v>
      </c>
      <c r="D916" s="11" t="s">
        <v>642</v>
      </c>
      <c r="E916" s="13" t="s">
        <v>982</v>
      </c>
      <c r="F916" s="11" t="s">
        <v>983</v>
      </c>
      <c r="G916" s="171" t="s">
        <v>88</v>
      </c>
      <c r="H916" s="103" t="s">
        <v>1272</v>
      </c>
      <c r="I916" s="30" t="e">
        <f>VLOOKUP(H916,'合同高级查询数据-4月返'!A:A,1,FALSE)</f>
        <v>#N/A</v>
      </c>
      <c r="J916" s="155" t="s">
        <v>1287</v>
      </c>
      <c r="K916" s="35" t="s">
        <v>1292</v>
      </c>
      <c r="L916" s="174" t="s">
        <v>1275</v>
      </c>
      <c r="M916" s="113" t="s">
        <v>1279</v>
      </c>
      <c r="N916" s="146">
        <v>44462</v>
      </c>
      <c r="O916" s="35" t="s">
        <v>702</v>
      </c>
      <c r="P916" s="227">
        <v>0</v>
      </c>
      <c r="Q916" s="126">
        <v>2</v>
      </c>
      <c r="R916" s="130">
        <f t="shared" si="26"/>
        <v>0</v>
      </c>
      <c r="S916" s="127">
        <v>202304</v>
      </c>
      <c r="T916" s="194" t="s">
        <v>1293</v>
      </c>
      <c r="U916" s="194"/>
      <c r="V916" s="128"/>
      <c r="W916" s="128"/>
      <c r="X916" s="131"/>
      <c r="Y916" s="131"/>
    </row>
    <row r="917" s="86" customFormat="1" customHeight="1" spans="1:25">
      <c r="A917" s="11" t="s">
        <v>448</v>
      </c>
      <c r="B917" s="135" t="s">
        <v>62</v>
      </c>
      <c r="C917" s="11" t="s">
        <v>238</v>
      </c>
      <c r="D917" s="11" t="s">
        <v>642</v>
      </c>
      <c r="E917" s="13" t="s">
        <v>982</v>
      </c>
      <c r="F917" s="11" t="s">
        <v>983</v>
      </c>
      <c r="G917" s="171" t="s">
        <v>88</v>
      </c>
      <c r="H917" s="103" t="s">
        <v>1272</v>
      </c>
      <c r="I917" s="30" t="e">
        <f>VLOOKUP(H917,'合同高级查询数据-4月返'!A:A,1,FALSE)</f>
        <v>#N/A</v>
      </c>
      <c r="J917" s="155" t="s">
        <v>1287</v>
      </c>
      <c r="K917" s="35" t="s">
        <v>1292</v>
      </c>
      <c r="L917" s="174" t="s">
        <v>1275</v>
      </c>
      <c r="M917" s="113" t="s">
        <v>1279</v>
      </c>
      <c r="N917" s="146">
        <v>44462</v>
      </c>
      <c r="O917" s="35" t="s">
        <v>702</v>
      </c>
      <c r="P917" s="227">
        <v>0</v>
      </c>
      <c r="Q917" s="126">
        <v>4</v>
      </c>
      <c r="R917" s="130">
        <f t="shared" si="26"/>
        <v>0</v>
      </c>
      <c r="S917" s="127">
        <v>202304</v>
      </c>
      <c r="T917" s="194" t="s">
        <v>1294</v>
      </c>
      <c r="U917" s="194"/>
      <c r="V917" s="128"/>
      <c r="W917" s="128"/>
      <c r="X917" s="131"/>
      <c r="Y917" s="131"/>
    </row>
    <row r="918" s="86" customFormat="1" customHeight="1" spans="1:25">
      <c r="A918" s="11" t="s">
        <v>448</v>
      </c>
      <c r="B918" s="135" t="s">
        <v>62</v>
      </c>
      <c r="C918" s="11" t="s">
        <v>238</v>
      </c>
      <c r="D918" s="11" t="s">
        <v>642</v>
      </c>
      <c r="E918" s="13" t="s">
        <v>982</v>
      </c>
      <c r="F918" s="11" t="s">
        <v>983</v>
      </c>
      <c r="G918" s="171" t="s">
        <v>88</v>
      </c>
      <c r="H918" s="103" t="s">
        <v>1272</v>
      </c>
      <c r="I918" s="30" t="e">
        <f>VLOOKUP(H918,'合同高级查询数据-4月返'!A:A,1,FALSE)</f>
        <v>#N/A</v>
      </c>
      <c r="J918" s="155" t="s">
        <v>162</v>
      </c>
      <c r="K918" s="35" t="s">
        <v>844</v>
      </c>
      <c r="L918" s="110" t="s">
        <v>1285</v>
      </c>
      <c r="M918" s="113" t="s">
        <v>1295</v>
      </c>
      <c r="N918" s="111" t="s">
        <v>558</v>
      </c>
      <c r="O918" s="35" t="s">
        <v>503</v>
      </c>
      <c r="P918" s="227">
        <v>0</v>
      </c>
      <c r="Q918" s="126">
        <v>9</v>
      </c>
      <c r="R918" s="130">
        <f t="shared" si="26"/>
        <v>0</v>
      </c>
      <c r="S918" s="127">
        <v>202304</v>
      </c>
      <c r="T918" s="194" t="s">
        <v>1296</v>
      </c>
      <c r="U918" s="194"/>
      <c r="V918" s="128"/>
      <c r="W918" s="128"/>
      <c r="X918" s="131"/>
      <c r="Y918" s="131"/>
    </row>
    <row r="919" s="86" customFormat="1" customHeight="1" spans="1:25">
      <c r="A919" s="11" t="s">
        <v>448</v>
      </c>
      <c r="B919" s="135" t="s">
        <v>62</v>
      </c>
      <c r="C919" s="11" t="s">
        <v>238</v>
      </c>
      <c r="D919" s="11" t="s">
        <v>642</v>
      </c>
      <c r="E919" s="13" t="s">
        <v>982</v>
      </c>
      <c r="F919" s="11" t="s">
        <v>983</v>
      </c>
      <c r="G919" s="171" t="s">
        <v>88</v>
      </c>
      <c r="H919" s="103" t="s">
        <v>1272</v>
      </c>
      <c r="I919" s="30" t="e">
        <f>VLOOKUP(H919,'合同高级查询数据-4月返'!A:A,1,FALSE)</f>
        <v>#N/A</v>
      </c>
      <c r="J919" s="155" t="s">
        <v>162</v>
      </c>
      <c r="K919" s="35" t="s">
        <v>844</v>
      </c>
      <c r="L919" s="110" t="s">
        <v>983</v>
      </c>
      <c r="M919" s="113" t="s">
        <v>1295</v>
      </c>
      <c r="N919" s="111" t="s">
        <v>558</v>
      </c>
      <c r="O919" s="35" t="s">
        <v>503</v>
      </c>
      <c r="P919" s="227">
        <v>0</v>
      </c>
      <c r="Q919" s="126">
        <v>6</v>
      </c>
      <c r="R919" s="130">
        <f t="shared" si="26"/>
        <v>0</v>
      </c>
      <c r="S919" s="127">
        <v>202304</v>
      </c>
      <c r="T919" s="194" t="s">
        <v>1297</v>
      </c>
      <c r="U919" s="194"/>
      <c r="V919" s="128"/>
      <c r="W919" s="128"/>
      <c r="X919" s="131"/>
      <c r="Y919" s="131"/>
    </row>
    <row r="920" s="86" customFormat="1" customHeight="1" spans="1:25">
      <c r="A920" s="11" t="s">
        <v>448</v>
      </c>
      <c r="B920" s="135" t="s">
        <v>62</v>
      </c>
      <c r="C920" s="11" t="s">
        <v>238</v>
      </c>
      <c r="D920" s="11" t="s">
        <v>642</v>
      </c>
      <c r="E920" s="13" t="s">
        <v>982</v>
      </c>
      <c r="F920" s="11" t="s">
        <v>983</v>
      </c>
      <c r="G920" s="171" t="s">
        <v>88</v>
      </c>
      <c r="H920" s="103" t="s">
        <v>1272</v>
      </c>
      <c r="I920" s="30" t="e">
        <f>VLOOKUP(H920,'合同高级查询数据-4月返'!A:A,1,FALSE)</f>
        <v>#N/A</v>
      </c>
      <c r="J920" s="155" t="s">
        <v>162</v>
      </c>
      <c r="K920" s="35" t="s">
        <v>844</v>
      </c>
      <c r="L920" s="110" t="s">
        <v>983</v>
      </c>
      <c r="M920" s="113" t="s">
        <v>1295</v>
      </c>
      <c r="N920" s="111" t="s">
        <v>558</v>
      </c>
      <c r="O920" s="35" t="s">
        <v>503</v>
      </c>
      <c r="P920" s="227">
        <v>0</v>
      </c>
      <c r="Q920" s="126">
        <v>3</v>
      </c>
      <c r="R920" s="130">
        <f t="shared" si="26"/>
        <v>0</v>
      </c>
      <c r="S920" s="127">
        <v>202304</v>
      </c>
      <c r="T920" s="232" t="s">
        <v>1298</v>
      </c>
      <c r="U920" s="194"/>
      <c r="V920" s="128"/>
      <c r="W920" s="128"/>
      <c r="X920" s="131"/>
      <c r="Y920" s="131"/>
    </row>
    <row r="921" s="86" customFormat="1" customHeight="1" spans="1:25">
      <c r="A921" s="11" t="s">
        <v>448</v>
      </c>
      <c r="B921" s="135" t="s">
        <v>62</v>
      </c>
      <c r="C921" s="11" t="s">
        <v>238</v>
      </c>
      <c r="D921" s="11" t="s">
        <v>642</v>
      </c>
      <c r="E921" s="13" t="s">
        <v>982</v>
      </c>
      <c r="F921" s="11" t="s">
        <v>983</v>
      </c>
      <c r="G921" s="171" t="s">
        <v>88</v>
      </c>
      <c r="H921" s="103" t="s">
        <v>1272</v>
      </c>
      <c r="I921" s="30" t="e">
        <f>VLOOKUP(H921,'合同高级查询数据-4月返'!A:A,1,FALSE)</f>
        <v>#N/A</v>
      </c>
      <c r="J921" s="155" t="s">
        <v>162</v>
      </c>
      <c r="K921" s="35" t="s">
        <v>844</v>
      </c>
      <c r="L921" s="110" t="s">
        <v>983</v>
      </c>
      <c r="M921" s="113" t="s">
        <v>1295</v>
      </c>
      <c r="N921" s="111">
        <v>44178</v>
      </c>
      <c r="O921" s="35" t="s">
        <v>503</v>
      </c>
      <c r="P921" s="227">
        <v>5400</v>
      </c>
      <c r="Q921" s="126">
        <v>1</v>
      </c>
      <c r="R921" s="130">
        <f t="shared" si="26"/>
        <v>5400</v>
      </c>
      <c r="S921" s="127">
        <v>202304</v>
      </c>
      <c r="T921" s="194" t="s">
        <v>1299</v>
      </c>
      <c r="U921" s="194"/>
      <c r="V921" s="128"/>
      <c r="W921" s="128"/>
      <c r="X921" s="131"/>
      <c r="Y921" s="131"/>
    </row>
    <row r="922" s="86" customFormat="1" customHeight="1" spans="1:25">
      <c r="A922" s="35" t="s">
        <v>448</v>
      </c>
      <c r="B922" s="135" t="s">
        <v>62</v>
      </c>
      <c r="C922" s="11" t="s">
        <v>238</v>
      </c>
      <c r="D922" s="11" t="s">
        <v>642</v>
      </c>
      <c r="E922" s="30" t="s">
        <v>1300</v>
      </c>
      <c r="F922" s="35" t="s">
        <v>1301</v>
      </c>
      <c r="G922" s="35" t="s">
        <v>88</v>
      </c>
      <c r="H922" s="103" t="s">
        <v>1302</v>
      </c>
      <c r="I922" s="30" t="e">
        <f>VLOOKUP(H922,'合同高级查询数据-4月返'!A:A,1,FALSE)</f>
        <v>#N/A</v>
      </c>
      <c r="J922" s="155" t="s">
        <v>162</v>
      </c>
      <c r="K922" s="35" t="s">
        <v>1303</v>
      </c>
      <c r="L922" s="110" t="s">
        <v>1304</v>
      </c>
      <c r="M922" s="35" t="s">
        <v>1305</v>
      </c>
      <c r="N922" s="111">
        <v>44971</v>
      </c>
      <c r="O922" s="35" t="s">
        <v>1306</v>
      </c>
      <c r="P922" s="125">
        <v>0</v>
      </c>
      <c r="Q922" s="112">
        <v>1</v>
      </c>
      <c r="R922" s="126">
        <f t="shared" si="26"/>
        <v>0</v>
      </c>
      <c r="S922" s="127">
        <v>202304</v>
      </c>
      <c r="T922" s="150" t="s">
        <v>1307</v>
      </c>
      <c r="U922" s="150"/>
      <c r="V922" s="225"/>
      <c r="W922" s="225"/>
      <c r="X922" s="131"/>
      <c r="Y922" s="131"/>
    </row>
    <row r="923" s="86" customFormat="1" customHeight="1" spans="1:25">
      <c r="A923" s="35" t="s">
        <v>448</v>
      </c>
      <c r="B923" s="135" t="s">
        <v>62</v>
      </c>
      <c r="C923" s="11" t="s">
        <v>238</v>
      </c>
      <c r="D923" s="11" t="s">
        <v>642</v>
      </c>
      <c r="E923" s="30" t="s">
        <v>1300</v>
      </c>
      <c r="F923" s="35" t="s">
        <v>1301</v>
      </c>
      <c r="G923" s="35" t="s">
        <v>31</v>
      </c>
      <c r="H923" s="103" t="s">
        <v>1302</v>
      </c>
      <c r="I923" s="30" t="e">
        <f>VLOOKUP(H923,'合同高级查询数据-4月返'!A:A,1,FALSE)</f>
        <v>#N/A</v>
      </c>
      <c r="J923" s="155" t="s">
        <v>33</v>
      </c>
      <c r="K923" s="35" t="s">
        <v>1303</v>
      </c>
      <c r="L923" s="110" t="s">
        <v>1304</v>
      </c>
      <c r="M923" s="35" t="s">
        <v>1305</v>
      </c>
      <c r="N923" s="111">
        <v>44971</v>
      </c>
      <c r="O923" s="35"/>
      <c r="P923" s="125">
        <v>0</v>
      </c>
      <c r="Q923" s="112">
        <v>160</v>
      </c>
      <c r="R923" s="126">
        <f t="shared" si="26"/>
        <v>0</v>
      </c>
      <c r="S923" s="127">
        <v>202304</v>
      </c>
      <c r="T923" s="150" t="s">
        <v>1308</v>
      </c>
      <c r="U923" s="150"/>
      <c r="V923" s="225"/>
      <c r="W923" s="225"/>
      <c r="X923" s="131"/>
      <c r="Y923" s="131"/>
    </row>
    <row r="924" s="85" customFormat="1" customHeight="1" spans="1:25">
      <c r="A924" s="98" t="s">
        <v>448</v>
      </c>
      <c r="B924" s="98" t="s">
        <v>62</v>
      </c>
      <c r="C924" s="98" t="s">
        <v>238</v>
      </c>
      <c r="D924" s="98" t="s">
        <v>642</v>
      </c>
      <c r="E924" s="161" t="s">
        <v>1309</v>
      </c>
      <c r="F924" s="98" t="s">
        <v>1016</v>
      </c>
      <c r="G924" s="25" t="s">
        <v>67</v>
      </c>
      <c r="H924" s="226" t="s">
        <v>1310</v>
      </c>
      <c r="I924" s="46" t="e">
        <f>VLOOKUP(H924,'合同高级查询数据-4月返'!A:A,1,FALSE)</f>
        <v>#N/A</v>
      </c>
      <c r="J924" s="25" t="s">
        <v>69</v>
      </c>
      <c r="K924" s="172" t="s">
        <v>1311</v>
      </c>
      <c r="L924" s="228"/>
      <c r="M924" s="49"/>
      <c r="N924" s="229">
        <v>42293</v>
      </c>
      <c r="O924" s="229" t="s">
        <v>71</v>
      </c>
      <c r="P924" s="207">
        <v>13200</v>
      </c>
      <c r="Q924" s="117">
        <v>1</v>
      </c>
      <c r="R924" s="118">
        <f t="shared" si="26"/>
        <v>13200</v>
      </c>
      <c r="S924" s="115">
        <v>202304</v>
      </c>
      <c r="T924" s="233" t="s">
        <v>1312</v>
      </c>
      <c r="U924" s="223"/>
      <c r="V924" s="165"/>
      <c r="W924" s="165"/>
      <c r="X924" s="116">
        <v>42217</v>
      </c>
      <c r="Y924" s="116">
        <v>45138</v>
      </c>
    </row>
    <row r="925" s="85" customFormat="1" customHeight="1" spans="1:25">
      <c r="A925" s="98" t="s">
        <v>448</v>
      </c>
      <c r="B925" s="98" t="s">
        <v>62</v>
      </c>
      <c r="C925" s="98" t="s">
        <v>238</v>
      </c>
      <c r="D925" s="98" t="s">
        <v>642</v>
      </c>
      <c r="E925" s="161" t="s">
        <v>1309</v>
      </c>
      <c r="F925" s="98" t="s">
        <v>1016</v>
      </c>
      <c r="G925" s="172" t="s">
        <v>88</v>
      </c>
      <c r="H925" s="100" t="s">
        <v>1313</v>
      </c>
      <c r="I925" s="46" t="e">
        <f>VLOOKUP(H925,'合同高级查询数据-4月返'!A:A,1,FALSE)</f>
        <v>#N/A</v>
      </c>
      <c r="J925" s="47" t="s">
        <v>90</v>
      </c>
      <c r="K925" s="172" t="s">
        <v>1314</v>
      </c>
      <c r="L925" s="228"/>
      <c r="M925" s="49" t="s">
        <v>1019</v>
      </c>
      <c r="N925" s="229">
        <v>43094</v>
      </c>
      <c r="O925" s="229" t="s">
        <v>503</v>
      </c>
      <c r="P925" s="207">
        <v>6000</v>
      </c>
      <c r="Q925" s="207">
        <v>238</v>
      </c>
      <c r="R925" s="118">
        <f t="shared" ref="R925:R988" si="27">ROUND(P925*Q925,2)</f>
        <v>1428000</v>
      </c>
      <c r="S925" s="115">
        <v>202304</v>
      </c>
      <c r="T925" s="222" t="s">
        <v>1315</v>
      </c>
      <c r="U925" s="223"/>
      <c r="V925" s="165"/>
      <c r="W925" s="165"/>
      <c r="X925" s="116">
        <v>43008</v>
      </c>
      <c r="Y925" s="116">
        <v>45199</v>
      </c>
    </row>
    <row r="926" s="85" customFormat="1" customHeight="1" spans="1:25">
      <c r="A926" s="98" t="s">
        <v>448</v>
      </c>
      <c r="B926" s="98" t="s">
        <v>62</v>
      </c>
      <c r="C926" s="98" t="s">
        <v>238</v>
      </c>
      <c r="D926" s="98" t="s">
        <v>642</v>
      </c>
      <c r="E926" s="161" t="s">
        <v>1309</v>
      </c>
      <c r="F926" s="98" t="s">
        <v>1016</v>
      </c>
      <c r="G926" s="172" t="s">
        <v>88</v>
      </c>
      <c r="H926" s="100" t="s">
        <v>1313</v>
      </c>
      <c r="I926" s="46" t="e">
        <f>VLOOKUP(H926,'合同高级查询数据-4月返'!A:A,1,FALSE)</f>
        <v>#N/A</v>
      </c>
      <c r="J926" s="47" t="s">
        <v>90</v>
      </c>
      <c r="K926" s="172" t="s">
        <v>1314</v>
      </c>
      <c r="L926" s="228"/>
      <c r="M926" s="49" t="s">
        <v>1019</v>
      </c>
      <c r="N926" s="229">
        <v>43094</v>
      </c>
      <c r="O926" s="229" t="s">
        <v>503</v>
      </c>
      <c r="P926" s="207">
        <v>6000</v>
      </c>
      <c r="Q926" s="207">
        <v>88</v>
      </c>
      <c r="R926" s="118">
        <f t="shared" si="27"/>
        <v>528000</v>
      </c>
      <c r="S926" s="115">
        <v>202304</v>
      </c>
      <c r="T926" s="222" t="s">
        <v>1316</v>
      </c>
      <c r="U926" s="223"/>
      <c r="V926" s="165"/>
      <c r="W926" s="165"/>
      <c r="X926" s="116">
        <v>43008</v>
      </c>
      <c r="Y926" s="116">
        <v>45199</v>
      </c>
    </row>
    <row r="927" s="85" customFormat="1" customHeight="1" spans="1:25">
      <c r="A927" s="98" t="s">
        <v>448</v>
      </c>
      <c r="B927" s="98" t="s">
        <v>62</v>
      </c>
      <c r="C927" s="98" t="s">
        <v>238</v>
      </c>
      <c r="D927" s="98" t="s">
        <v>642</v>
      </c>
      <c r="E927" s="161" t="s">
        <v>1309</v>
      </c>
      <c r="F927" s="98" t="s">
        <v>1016</v>
      </c>
      <c r="G927" s="172" t="s">
        <v>88</v>
      </c>
      <c r="H927" s="100" t="s">
        <v>1313</v>
      </c>
      <c r="I927" s="46" t="e">
        <f>VLOOKUP(H927,'合同高级查询数据-4月返'!A:A,1,FALSE)</f>
        <v>#N/A</v>
      </c>
      <c r="J927" s="47" t="s">
        <v>90</v>
      </c>
      <c r="K927" s="172" t="s">
        <v>1314</v>
      </c>
      <c r="L927" s="228"/>
      <c r="M927" s="49" t="s">
        <v>1019</v>
      </c>
      <c r="N927" s="229">
        <v>43101</v>
      </c>
      <c r="O927" s="229" t="s">
        <v>503</v>
      </c>
      <c r="P927" s="207">
        <v>6000</v>
      </c>
      <c r="Q927" s="207">
        <v>78</v>
      </c>
      <c r="R927" s="118">
        <f t="shared" si="27"/>
        <v>468000</v>
      </c>
      <c r="S927" s="115">
        <v>202304</v>
      </c>
      <c r="T927" s="222" t="s">
        <v>1317</v>
      </c>
      <c r="U927" s="223"/>
      <c r="V927" s="165"/>
      <c r="W927" s="165"/>
      <c r="X927" s="116">
        <v>43008</v>
      </c>
      <c r="Y927" s="116">
        <v>45199</v>
      </c>
    </row>
    <row r="928" s="85" customFormat="1" customHeight="1" spans="1:25">
      <c r="A928" s="98" t="s">
        <v>448</v>
      </c>
      <c r="B928" s="98" t="s">
        <v>62</v>
      </c>
      <c r="C928" s="98" t="s">
        <v>238</v>
      </c>
      <c r="D928" s="98" t="s">
        <v>642</v>
      </c>
      <c r="E928" s="161" t="s">
        <v>1309</v>
      </c>
      <c r="F928" s="98" t="s">
        <v>1016</v>
      </c>
      <c r="G928" s="172" t="s">
        <v>88</v>
      </c>
      <c r="H928" s="100" t="s">
        <v>1313</v>
      </c>
      <c r="I928" s="46" t="e">
        <f>VLOOKUP(H928,'合同高级查询数据-4月返'!A:A,1,FALSE)</f>
        <v>#N/A</v>
      </c>
      <c r="J928" s="47" t="s">
        <v>90</v>
      </c>
      <c r="K928" s="172" t="s">
        <v>1314</v>
      </c>
      <c r="L928" s="228"/>
      <c r="M928" s="49" t="s">
        <v>1019</v>
      </c>
      <c r="N928" s="229">
        <v>43118</v>
      </c>
      <c r="O928" s="229" t="s">
        <v>503</v>
      </c>
      <c r="P928" s="207">
        <v>6000</v>
      </c>
      <c r="Q928" s="207">
        <v>3</v>
      </c>
      <c r="R928" s="118">
        <f t="shared" si="27"/>
        <v>18000</v>
      </c>
      <c r="S928" s="115">
        <v>202304</v>
      </c>
      <c r="T928" s="222" t="s">
        <v>1316</v>
      </c>
      <c r="U928" s="223"/>
      <c r="V928" s="165"/>
      <c r="W928" s="165"/>
      <c r="X928" s="116">
        <v>43008</v>
      </c>
      <c r="Y928" s="116">
        <v>45199</v>
      </c>
    </row>
    <row r="929" s="85" customFormat="1" customHeight="1" spans="1:25">
      <c r="A929" s="98" t="s">
        <v>448</v>
      </c>
      <c r="B929" s="98" t="s">
        <v>62</v>
      </c>
      <c r="C929" s="98" t="s">
        <v>238</v>
      </c>
      <c r="D929" s="98" t="s">
        <v>642</v>
      </c>
      <c r="E929" s="161" t="s">
        <v>1309</v>
      </c>
      <c r="F929" s="98" t="s">
        <v>1016</v>
      </c>
      <c r="G929" s="172" t="s">
        <v>88</v>
      </c>
      <c r="H929" s="100" t="s">
        <v>1313</v>
      </c>
      <c r="I929" s="46" t="e">
        <f>VLOOKUP(H929,'合同高级查询数据-4月返'!A:A,1,FALSE)</f>
        <v>#N/A</v>
      </c>
      <c r="J929" s="47" t="s">
        <v>90</v>
      </c>
      <c r="K929" s="172" t="s">
        <v>1314</v>
      </c>
      <c r="L929" s="228"/>
      <c r="M929" s="49" t="s">
        <v>1019</v>
      </c>
      <c r="N929" s="229">
        <v>43118</v>
      </c>
      <c r="O929" s="229" t="s">
        <v>503</v>
      </c>
      <c r="P929" s="207">
        <v>6000</v>
      </c>
      <c r="Q929" s="207">
        <v>5</v>
      </c>
      <c r="R929" s="118">
        <f t="shared" si="27"/>
        <v>30000</v>
      </c>
      <c r="S929" s="115">
        <v>202304</v>
      </c>
      <c r="T929" s="222"/>
      <c r="U929" s="223"/>
      <c r="V929" s="165"/>
      <c r="W929" s="165"/>
      <c r="X929" s="116">
        <v>43008</v>
      </c>
      <c r="Y929" s="116">
        <v>45199</v>
      </c>
    </row>
    <row r="930" s="85" customFormat="1" customHeight="1" spans="1:25">
      <c r="A930" s="98" t="s">
        <v>448</v>
      </c>
      <c r="B930" s="98" t="s">
        <v>62</v>
      </c>
      <c r="C930" s="98" t="s">
        <v>238</v>
      </c>
      <c r="D930" s="98" t="s">
        <v>642</v>
      </c>
      <c r="E930" s="161" t="s">
        <v>1309</v>
      </c>
      <c r="F930" s="98" t="s">
        <v>1016</v>
      </c>
      <c r="G930" s="172" t="s">
        <v>88</v>
      </c>
      <c r="H930" s="100" t="s">
        <v>1313</v>
      </c>
      <c r="I930" s="46" t="e">
        <f>VLOOKUP(H930,'合同高级查询数据-4月返'!A:A,1,FALSE)</f>
        <v>#N/A</v>
      </c>
      <c r="J930" s="47" t="s">
        <v>90</v>
      </c>
      <c r="K930" s="172" t="s">
        <v>1314</v>
      </c>
      <c r="L930" s="228"/>
      <c r="M930" s="49" t="s">
        <v>1019</v>
      </c>
      <c r="N930" s="229">
        <v>43130</v>
      </c>
      <c r="O930" s="229" t="s">
        <v>503</v>
      </c>
      <c r="P930" s="207">
        <v>6000</v>
      </c>
      <c r="Q930" s="207">
        <v>8</v>
      </c>
      <c r="R930" s="118">
        <f t="shared" si="27"/>
        <v>48000</v>
      </c>
      <c r="S930" s="115">
        <v>202304</v>
      </c>
      <c r="T930" s="222"/>
      <c r="U930" s="223"/>
      <c r="V930" s="165"/>
      <c r="W930" s="165"/>
      <c r="X930" s="116">
        <v>43008</v>
      </c>
      <c r="Y930" s="116">
        <v>45199</v>
      </c>
    </row>
    <row r="931" s="85" customFormat="1" customHeight="1" spans="1:25">
      <c r="A931" s="98" t="s">
        <v>448</v>
      </c>
      <c r="B931" s="98" t="s">
        <v>62</v>
      </c>
      <c r="C931" s="98" t="s">
        <v>238</v>
      </c>
      <c r="D931" s="98" t="s">
        <v>642</v>
      </c>
      <c r="E931" s="161" t="s">
        <v>1309</v>
      </c>
      <c r="F931" s="98" t="s">
        <v>1016</v>
      </c>
      <c r="G931" s="172" t="s">
        <v>88</v>
      </c>
      <c r="H931" s="100" t="s">
        <v>1313</v>
      </c>
      <c r="I931" s="46" t="e">
        <f>VLOOKUP(H931,'合同高级查询数据-4月返'!A:A,1,FALSE)</f>
        <v>#N/A</v>
      </c>
      <c r="J931" s="47" t="s">
        <v>90</v>
      </c>
      <c r="K931" s="172" t="s">
        <v>1314</v>
      </c>
      <c r="L931" s="228"/>
      <c r="M931" s="49" t="s">
        <v>1019</v>
      </c>
      <c r="N931" s="229">
        <v>43131</v>
      </c>
      <c r="O931" s="229" t="s">
        <v>503</v>
      </c>
      <c r="P931" s="207">
        <v>6000</v>
      </c>
      <c r="Q931" s="207">
        <v>1</v>
      </c>
      <c r="R931" s="118">
        <f t="shared" si="27"/>
        <v>6000</v>
      </c>
      <c r="S931" s="115">
        <v>202304</v>
      </c>
      <c r="T931" s="222"/>
      <c r="U931" s="223"/>
      <c r="V931" s="165"/>
      <c r="W931" s="165"/>
      <c r="X931" s="116">
        <v>43008</v>
      </c>
      <c r="Y931" s="116">
        <v>45199</v>
      </c>
    </row>
    <row r="932" s="85" customFormat="1" customHeight="1" spans="1:25">
      <c r="A932" s="98" t="s">
        <v>448</v>
      </c>
      <c r="B932" s="98" t="s">
        <v>62</v>
      </c>
      <c r="C932" s="98" t="s">
        <v>238</v>
      </c>
      <c r="D932" s="98" t="s">
        <v>642</v>
      </c>
      <c r="E932" s="161" t="s">
        <v>1309</v>
      </c>
      <c r="F932" s="98" t="s">
        <v>1016</v>
      </c>
      <c r="G932" s="172" t="s">
        <v>88</v>
      </c>
      <c r="H932" s="100" t="s">
        <v>1313</v>
      </c>
      <c r="I932" s="46" t="e">
        <f>VLOOKUP(H932,'合同高级查询数据-4月返'!A:A,1,FALSE)</f>
        <v>#N/A</v>
      </c>
      <c r="J932" s="47" t="s">
        <v>90</v>
      </c>
      <c r="K932" s="172" t="s">
        <v>1314</v>
      </c>
      <c r="L932" s="228"/>
      <c r="M932" s="49" t="s">
        <v>1019</v>
      </c>
      <c r="N932" s="229">
        <v>43138</v>
      </c>
      <c r="O932" s="229" t="s">
        <v>503</v>
      </c>
      <c r="P932" s="207">
        <v>6000</v>
      </c>
      <c r="Q932" s="207">
        <v>7</v>
      </c>
      <c r="R932" s="118">
        <f t="shared" si="27"/>
        <v>42000</v>
      </c>
      <c r="S932" s="115">
        <v>202304</v>
      </c>
      <c r="T932" s="222"/>
      <c r="U932" s="223"/>
      <c r="V932" s="165"/>
      <c r="W932" s="165"/>
      <c r="X932" s="116">
        <v>43008</v>
      </c>
      <c r="Y932" s="116">
        <v>45199</v>
      </c>
    </row>
    <row r="933" s="85" customFormat="1" customHeight="1" spans="1:25">
      <c r="A933" s="98" t="s">
        <v>448</v>
      </c>
      <c r="B933" s="98" t="s">
        <v>62</v>
      </c>
      <c r="C933" s="98" t="s">
        <v>238</v>
      </c>
      <c r="D933" s="98" t="s">
        <v>642</v>
      </c>
      <c r="E933" s="161" t="s">
        <v>1309</v>
      </c>
      <c r="F933" s="98" t="s">
        <v>1016</v>
      </c>
      <c r="G933" s="172" t="s">
        <v>88</v>
      </c>
      <c r="H933" s="100" t="s">
        <v>1313</v>
      </c>
      <c r="I933" s="46" t="e">
        <f>VLOOKUP(H933,'合同高级查询数据-4月返'!A:A,1,FALSE)</f>
        <v>#N/A</v>
      </c>
      <c r="J933" s="47" t="s">
        <v>90</v>
      </c>
      <c r="K933" s="172" t="s">
        <v>1314</v>
      </c>
      <c r="L933" s="228"/>
      <c r="M933" s="49" t="s">
        <v>1019</v>
      </c>
      <c r="N933" s="229">
        <v>43143</v>
      </c>
      <c r="O933" s="229" t="s">
        <v>503</v>
      </c>
      <c r="P933" s="207">
        <v>6000</v>
      </c>
      <c r="Q933" s="207">
        <v>6</v>
      </c>
      <c r="R933" s="118">
        <f t="shared" si="27"/>
        <v>36000</v>
      </c>
      <c r="S933" s="115">
        <v>202304</v>
      </c>
      <c r="T933" s="222"/>
      <c r="U933" s="223"/>
      <c r="V933" s="165"/>
      <c r="W933" s="165"/>
      <c r="X933" s="116">
        <v>43008</v>
      </c>
      <c r="Y933" s="116">
        <v>45199</v>
      </c>
    </row>
    <row r="934" s="85" customFormat="1" customHeight="1" spans="1:25">
      <c r="A934" s="98" t="s">
        <v>448</v>
      </c>
      <c r="B934" s="98" t="s">
        <v>62</v>
      </c>
      <c r="C934" s="98" t="s">
        <v>238</v>
      </c>
      <c r="D934" s="98" t="s">
        <v>642</v>
      </c>
      <c r="E934" s="161" t="s">
        <v>1309</v>
      </c>
      <c r="F934" s="98" t="s">
        <v>1016</v>
      </c>
      <c r="G934" s="172" t="s">
        <v>88</v>
      </c>
      <c r="H934" s="100" t="s">
        <v>1313</v>
      </c>
      <c r="I934" s="46" t="e">
        <f>VLOOKUP(H934,'合同高级查询数据-4月返'!A:A,1,FALSE)</f>
        <v>#N/A</v>
      </c>
      <c r="J934" s="47" t="s">
        <v>90</v>
      </c>
      <c r="K934" s="172" t="s">
        <v>1314</v>
      </c>
      <c r="L934" s="228"/>
      <c r="M934" s="49" t="s">
        <v>1019</v>
      </c>
      <c r="N934" s="229">
        <v>43143</v>
      </c>
      <c r="O934" s="229" t="s">
        <v>503</v>
      </c>
      <c r="P934" s="207">
        <v>6000</v>
      </c>
      <c r="Q934" s="207">
        <v>21</v>
      </c>
      <c r="R934" s="118">
        <f t="shared" si="27"/>
        <v>126000</v>
      </c>
      <c r="S934" s="115">
        <v>202304</v>
      </c>
      <c r="T934" s="222"/>
      <c r="U934" s="223"/>
      <c r="V934" s="165"/>
      <c r="W934" s="165"/>
      <c r="X934" s="116">
        <v>43008</v>
      </c>
      <c r="Y934" s="116">
        <v>45199</v>
      </c>
    </row>
    <row r="935" s="85" customFormat="1" customHeight="1" spans="1:25">
      <c r="A935" s="98" t="s">
        <v>448</v>
      </c>
      <c r="B935" s="98" t="s">
        <v>62</v>
      </c>
      <c r="C935" s="98" t="s">
        <v>238</v>
      </c>
      <c r="D935" s="98" t="s">
        <v>642</v>
      </c>
      <c r="E935" s="161" t="s">
        <v>1309</v>
      </c>
      <c r="F935" s="98" t="s">
        <v>1016</v>
      </c>
      <c r="G935" s="172" t="s">
        <v>88</v>
      </c>
      <c r="H935" s="100" t="s">
        <v>1313</v>
      </c>
      <c r="I935" s="46" t="e">
        <f>VLOOKUP(H935,'合同高级查询数据-4月返'!A:A,1,FALSE)</f>
        <v>#N/A</v>
      </c>
      <c r="J935" s="47" t="s">
        <v>90</v>
      </c>
      <c r="K935" s="172" t="s">
        <v>1314</v>
      </c>
      <c r="L935" s="228"/>
      <c r="M935" s="49" t="s">
        <v>1019</v>
      </c>
      <c r="N935" s="229">
        <v>43158</v>
      </c>
      <c r="O935" s="229" t="s">
        <v>503</v>
      </c>
      <c r="P935" s="207">
        <v>6000</v>
      </c>
      <c r="Q935" s="207">
        <v>1</v>
      </c>
      <c r="R935" s="118">
        <f t="shared" si="27"/>
        <v>6000</v>
      </c>
      <c r="S935" s="115">
        <v>202304</v>
      </c>
      <c r="T935" s="222"/>
      <c r="U935" s="223"/>
      <c r="V935" s="165"/>
      <c r="W935" s="165"/>
      <c r="X935" s="116">
        <v>43008</v>
      </c>
      <c r="Y935" s="116">
        <v>45199</v>
      </c>
    </row>
    <row r="936" s="85" customFormat="1" customHeight="1" spans="1:25">
      <c r="A936" s="98" t="s">
        <v>448</v>
      </c>
      <c r="B936" s="98" t="s">
        <v>62</v>
      </c>
      <c r="C936" s="98" t="s">
        <v>238</v>
      </c>
      <c r="D936" s="98" t="s">
        <v>642</v>
      </c>
      <c r="E936" s="161" t="s">
        <v>1309</v>
      </c>
      <c r="F936" s="98" t="s">
        <v>1016</v>
      </c>
      <c r="G936" s="172" t="s">
        <v>88</v>
      </c>
      <c r="H936" s="100" t="s">
        <v>1313</v>
      </c>
      <c r="I936" s="46" t="e">
        <f>VLOOKUP(H936,'合同高级查询数据-4月返'!A:A,1,FALSE)</f>
        <v>#N/A</v>
      </c>
      <c r="J936" s="47" t="s">
        <v>90</v>
      </c>
      <c r="K936" s="172" t="s">
        <v>1314</v>
      </c>
      <c r="L936" s="228"/>
      <c r="M936" s="49" t="s">
        <v>1019</v>
      </c>
      <c r="N936" s="229">
        <v>43160</v>
      </c>
      <c r="O936" s="229" t="s">
        <v>503</v>
      </c>
      <c r="P936" s="207">
        <v>6000</v>
      </c>
      <c r="Q936" s="207">
        <v>7</v>
      </c>
      <c r="R936" s="118">
        <f t="shared" si="27"/>
        <v>42000</v>
      </c>
      <c r="S936" s="115">
        <v>202304</v>
      </c>
      <c r="T936" s="222"/>
      <c r="U936" s="223"/>
      <c r="V936" s="165"/>
      <c r="W936" s="165"/>
      <c r="X936" s="116">
        <v>43008</v>
      </c>
      <c r="Y936" s="116">
        <v>45199</v>
      </c>
    </row>
    <row r="937" s="85" customFormat="1" customHeight="1" spans="1:25">
      <c r="A937" s="98" t="s">
        <v>448</v>
      </c>
      <c r="B937" s="98" t="s">
        <v>62</v>
      </c>
      <c r="C937" s="98" t="s">
        <v>238</v>
      </c>
      <c r="D937" s="98" t="s">
        <v>642</v>
      </c>
      <c r="E937" s="161" t="s">
        <v>1309</v>
      </c>
      <c r="F937" s="98" t="s">
        <v>1016</v>
      </c>
      <c r="G937" s="172" t="s">
        <v>88</v>
      </c>
      <c r="H937" s="100" t="s">
        <v>1313</v>
      </c>
      <c r="I937" s="46" t="e">
        <f>VLOOKUP(H937,'合同高级查询数据-4月返'!A:A,1,FALSE)</f>
        <v>#N/A</v>
      </c>
      <c r="J937" s="47" t="s">
        <v>90</v>
      </c>
      <c r="K937" s="172" t="s">
        <v>1314</v>
      </c>
      <c r="L937" s="228"/>
      <c r="M937" s="49" t="s">
        <v>1019</v>
      </c>
      <c r="N937" s="229">
        <v>43161</v>
      </c>
      <c r="O937" s="229" t="s">
        <v>503</v>
      </c>
      <c r="P937" s="207">
        <v>6000</v>
      </c>
      <c r="Q937" s="207">
        <v>6</v>
      </c>
      <c r="R937" s="118">
        <f t="shared" si="27"/>
        <v>36000</v>
      </c>
      <c r="S937" s="115">
        <v>202304</v>
      </c>
      <c r="T937" s="222"/>
      <c r="U937" s="223"/>
      <c r="V937" s="165"/>
      <c r="W937" s="165"/>
      <c r="X937" s="116">
        <v>43008</v>
      </c>
      <c r="Y937" s="116">
        <v>45199</v>
      </c>
    </row>
    <row r="938" s="85" customFormat="1" customHeight="1" spans="1:25">
      <c r="A938" s="98" t="s">
        <v>448</v>
      </c>
      <c r="B938" s="98" t="s">
        <v>62</v>
      </c>
      <c r="C938" s="98" t="s">
        <v>238</v>
      </c>
      <c r="D938" s="98" t="s">
        <v>642</v>
      </c>
      <c r="E938" s="161" t="s">
        <v>1309</v>
      </c>
      <c r="F938" s="98" t="s">
        <v>1016</v>
      </c>
      <c r="G938" s="172" t="s">
        <v>88</v>
      </c>
      <c r="H938" s="100" t="s">
        <v>1313</v>
      </c>
      <c r="I938" s="46" t="e">
        <f>VLOOKUP(H938,'合同高级查询数据-4月返'!A:A,1,FALSE)</f>
        <v>#N/A</v>
      </c>
      <c r="J938" s="47" t="s">
        <v>90</v>
      </c>
      <c r="K938" s="172" t="s">
        <v>1314</v>
      </c>
      <c r="L938" s="228"/>
      <c r="M938" s="49" t="s">
        <v>1019</v>
      </c>
      <c r="N938" s="229">
        <v>43167</v>
      </c>
      <c r="O938" s="229" t="s">
        <v>503</v>
      </c>
      <c r="P938" s="207">
        <v>6000</v>
      </c>
      <c r="Q938" s="207">
        <v>7</v>
      </c>
      <c r="R938" s="118">
        <f t="shared" si="27"/>
        <v>42000</v>
      </c>
      <c r="S938" s="115">
        <v>202304</v>
      </c>
      <c r="T938" s="222"/>
      <c r="U938" s="223"/>
      <c r="V938" s="165"/>
      <c r="W938" s="165"/>
      <c r="X938" s="116">
        <v>43008</v>
      </c>
      <c r="Y938" s="116">
        <v>45199</v>
      </c>
    </row>
    <row r="939" s="85" customFormat="1" customHeight="1" spans="1:25">
      <c r="A939" s="98" t="s">
        <v>448</v>
      </c>
      <c r="B939" s="98" t="s">
        <v>62</v>
      </c>
      <c r="C939" s="98" t="s">
        <v>238</v>
      </c>
      <c r="D939" s="98" t="s">
        <v>642</v>
      </c>
      <c r="E939" s="161" t="s">
        <v>1309</v>
      </c>
      <c r="F939" s="98" t="s">
        <v>1016</v>
      </c>
      <c r="G939" s="172" t="s">
        <v>88</v>
      </c>
      <c r="H939" s="100" t="s">
        <v>1313</v>
      </c>
      <c r="I939" s="46" t="e">
        <f>VLOOKUP(H939,'合同高级查询数据-4月返'!A:A,1,FALSE)</f>
        <v>#N/A</v>
      </c>
      <c r="J939" s="47" t="s">
        <v>90</v>
      </c>
      <c r="K939" s="172" t="s">
        <v>1314</v>
      </c>
      <c r="L939" s="228"/>
      <c r="M939" s="49" t="s">
        <v>1019</v>
      </c>
      <c r="N939" s="229">
        <v>43168</v>
      </c>
      <c r="O939" s="229" t="s">
        <v>503</v>
      </c>
      <c r="P939" s="207">
        <v>6000</v>
      </c>
      <c r="Q939" s="207">
        <v>1</v>
      </c>
      <c r="R939" s="118">
        <f t="shared" si="27"/>
        <v>6000</v>
      </c>
      <c r="S939" s="115">
        <v>202304</v>
      </c>
      <c r="T939" s="222"/>
      <c r="U939" s="223"/>
      <c r="V939" s="165"/>
      <c r="W939" s="165"/>
      <c r="X939" s="116">
        <v>43008</v>
      </c>
      <c r="Y939" s="116">
        <v>45199</v>
      </c>
    </row>
    <row r="940" s="85" customFormat="1" customHeight="1" spans="1:25">
      <c r="A940" s="98" t="s">
        <v>448</v>
      </c>
      <c r="B940" s="98" t="s">
        <v>62</v>
      </c>
      <c r="C940" s="98" t="s">
        <v>238</v>
      </c>
      <c r="D940" s="98" t="s">
        <v>642</v>
      </c>
      <c r="E940" s="161" t="s">
        <v>1309</v>
      </c>
      <c r="F940" s="98" t="s">
        <v>1016</v>
      </c>
      <c r="G940" s="172" t="s">
        <v>88</v>
      </c>
      <c r="H940" s="100" t="s">
        <v>1313</v>
      </c>
      <c r="I940" s="46" t="e">
        <f>VLOOKUP(H940,'合同高级查询数据-4月返'!A:A,1,FALSE)</f>
        <v>#N/A</v>
      </c>
      <c r="J940" s="47" t="s">
        <v>90</v>
      </c>
      <c r="K940" s="172" t="s">
        <v>1314</v>
      </c>
      <c r="L940" s="228"/>
      <c r="M940" s="49" t="s">
        <v>1019</v>
      </c>
      <c r="N940" s="229">
        <v>43173</v>
      </c>
      <c r="O940" s="229" t="s">
        <v>503</v>
      </c>
      <c r="P940" s="207">
        <v>6000</v>
      </c>
      <c r="Q940" s="207">
        <v>1</v>
      </c>
      <c r="R940" s="118">
        <f t="shared" si="27"/>
        <v>6000</v>
      </c>
      <c r="S940" s="115">
        <v>202304</v>
      </c>
      <c r="T940" s="222"/>
      <c r="U940" s="223"/>
      <c r="V940" s="165"/>
      <c r="W940" s="165"/>
      <c r="X940" s="116">
        <v>43008</v>
      </c>
      <c r="Y940" s="116">
        <v>45199</v>
      </c>
    </row>
    <row r="941" s="85" customFormat="1" customHeight="1" spans="1:25">
      <c r="A941" s="98" t="s">
        <v>448</v>
      </c>
      <c r="B941" s="98" t="s">
        <v>62</v>
      </c>
      <c r="C941" s="98" t="s">
        <v>238</v>
      </c>
      <c r="D941" s="98" t="s">
        <v>642</v>
      </c>
      <c r="E941" s="161" t="s">
        <v>1309</v>
      </c>
      <c r="F941" s="98" t="s">
        <v>1016</v>
      </c>
      <c r="G941" s="172" t="s">
        <v>88</v>
      </c>
      <c r="H941" s="100" t="s">
        <v>1313</v>
      </c>
      <c r="I941" s="46" t="e">
        <f>VLOOKUP(H941,'合同高级查询数据-4月返'!A:A,1,FALSE)</f>
        <v>#N/A</v>
      </c>
      <c r="J941" s="47" t="s">
        <v>90</v>
      </c>
      <c r="K941" s="172" t="s">
        <v>1314</v>
      </c>
      <c r="L941" s="228"/>
      <c r="M941" s="49" t="s">
        <v>1019</v>
      </c>
      <c r="N941" s="229">
        <v>43174</v>
      </c>
      <c r="O941" s="229" t="s">
        <v>503</v>
      </c>
      <c r="P941" s="207">
        <v>6000</v>
      </c>
      <c r="Q941" s="207">
        <v>1</v>
      </c>
      <c r="R941" s="118">
        <f t="shared" si="27"/>
        <v>6000</v>
      </c>
      <c r="S941" s="115">
        <v>202304</v>
      </c>
      <c r="T941" s="222"/>
      <c r="U941" s="223"/>
      <c r="V941" s="165"/>
      <c r="W941" s="165"/>
      <c r="X941" s="116">
        <v>43008</v>
      </c>
      <c r="Y941" s="116">
        <v>45199</v>
      </c>
    </row>
    <row r="942" s="85" customFormat="1" customHeight="1" spans="1:25">
      <c r="A942" s="98" t="s">
        <v>448</v>
      </c>
      <c r="B942" s="98" t="s">
        <v>62</v>
      </c>
      <c r="C942" s="98" t="s">
        <v>238</v>
      </c>
      <c r="D942" s="98" t="s">
        <v>642</v>
      </c>
      <c r="E942" s="161" t="s">
        <v>1309</v>
      </c>
      <c r="F942" s="98" t="s">
        <v>1016</v>
      </c>
      <c r="G942" s="172" t="s">
        <v>88</v>
      </c>
      <c r="H942" s="100" t="s">
        <v>1313</v>
      </c>
      <c r="I942" s="46" t="e">
        <f>VLOOKUP(H942,'合同高级查询数据-4月返'!A:A,1,FALSE)</f>
        <v>#N/A</v>
      </c>
      <c r="J942" s="47" t="s">
        <v>90</v>
      </c>
      <c r="K942" s="172" t="s">
        <v>1314</v>
      </c>
      <c r="L942" s="228"/>
      <c r="M942" s="49" t="s">
        <v>1019</v>
      </c>
      <c r="N942" s="229">
        <v>43179</v>
      </c>
      <c r="O942" s="229" t="s">
        <v>503</v>
      </c>
      <c r="P942" s="207">
        <v>6000</v>
      </c>
      <c r="Q942" s="207">
        <v>2</v>
      </c>
      <c r="R942" s="118">
        <f t="shared" si="27"/>
        <v>12000</v>
      </c>
      <c r="S942" s="115">
        <v>202304</v>
      </c>
      <c r="T942" s="222"/>
      <c r="U942" s="223"/>
      <c r="V942" s="165"/>
      <c r="W942" s="165"/>
      <c r="X942" s="116">
        <v>43008</v>
      </c>
      <c r="Y942" s="116">
        <v>45199</v>
      </c>
    </row>
    <row r="943" s="85" customFormat="1" customHeight="1" spans="1:25">
      <c r="A943" s="98" t="s">
        <v>448</v>
      </c>
      <c r="B943" s="98" t="s">
        <v>62</v>
      </c>
      <c r="C943" s="98" t="s">
        <v>238</v>
      </c>
      <c r="D943" s="98" t="s">
        <v>642</v>
      </c>
      <c r="E943" s="161" t="s">
        <v>1309</v>
      </c>
      <c r="F943" s="98" t="s">
        <v>1016</v>
      </c>
      <c r="G943" s="172" t="s">
        <v>88</v>
      </c>
      <c r="H943" s="100" t="s">
        <v>1313</v>
      </c>
      <c r="I943" s="46" t="e">
        <f>VLOOKUP(H943,'合同高级查询数据-4月返'!A:A,1,FALSE)</f>
        <v>#N/A</v>
      </c>
      <c r="J943" s="47" t="s">
        <v>90</v>
      </c>
      <c r="K943" s="172" t="s">
        <v>1314</v>
      </c>
      <c r="L943" s="228"/>
      <c r="M943" s="49" t="s">
        <v>1019</v>
      </c>
      <c r="N943" s="229">
        <v>43218</v>
      </c>
      <c r="O943" s="229" t="s">
        <v>503</v>
      </c>
      <c r="P943" s="207">
        <v>6000</v>
      </c>
      <c r="Q943" s="207">
        <v>20</v>
      </c>
      <c r="R943" s="118">
        <f t="shared" si="27"/>
        <v>120000</v>
      </c>
      <c r="S943" s="115">
        <v>202304</v>
      </c>
      <c r="T943" s="222"/>
      <c r="U943" s="223"/>
      <c r="V943" s="165"/>
      <c r="W943" s="165"/>
      <c r="X943" s="116">
        <v>43008</v>
      </c>
      <c r="Y943" s="116">
        <v>45199</v>
      </c>
    </row>
    <row r="944" s="85" customFormat="1" customHeight="1" spans="1:25">
      <c r="A944" s="98" t="s">
        <v>448</v>
      </c>
      <c r="B944" s="98" t="s">
        <v>62</v>
      </c>
      <c r="C944" s="98" t="s">
        <v>238</v>
      </c>
      <c r="D944" s="98" t="s">
        <v>642</v>
      </c>
      <c r="E944" s="161" t="s">
        <v>1309</v>
      </c>
      <c r="F944" s="98" t="s">
        <v>1016</v>
      </c>
      <c r="G944" s="172" t="s">
        <v>88</v>
      </c>
      <c r="H944" s="100" t="s">
        <v>1313</v>
      </c>
      <c r="I944" s="46" t="e">
        <f>VLOOKUP(H944,'合同高级查询数据-4月返'!A:A,1,FALSE)</f>
        <v>#N/A</v>
      </c>
      <c r="J944" s="47" t="s">
        <v>90</v>
      </c>
      <c r="K944" s="172" t="s">
        <v>1314</v>
      </c>
      <c r="L944" s="228"/>
      <c r="M944" s="49" t="s">
        <v>1019</v>
      </c>
      <c r="N944" s="229">
        <v>43225</v>
      </c>
      <c r="O944" s="229" t="s">
        <v>503</v>
      </c>
      <c r="P944" s="207">
        <v>6000</v>
      </c>
      <c r="Q944" s="207">
        <v>17</v>
      </c>
      <c r="R944" s="118">
        <f t="shared" si="27"/>
        <v>102000</v>
      </c>
      <c r="S944" s="115">
        <v>202304</v>
      </c>
      <c r="T944" s="222"/>
      <c r="U944" s="223"/>
      <c r="V944" s="165"/>
      <c r="W944" s="165"/>
      <c r="X944" s="116">
        <v>43008</v>
      </c>
      <c r="Y944" s="116">
        <v>45199</v>
      </c>
    </row>
    <row r="945" s="85" customFormat="1" customHeight="1" spans="1:25">
      <c r="A945" s="98" t="s">
        <v>448</v>
      </c>
      <c r="B945" s="98" t="s">
        <v>62</v>
      </c>
      <c r="C945" s="98" t="s">
        <v>238</v>
      </c>
      <c r="D945" s="98" t="s">
        <v>642</v>
      </c>
      <c r="E945" s="161" t="s">
        <v>1309</v>
      </c>
      <c r="F945" s="98" t="s">
        <v>1016</v>
      </c>
      <c r="G945" s="172" t="s">
        <v>88</v>
      </c>
      <c r="H945" s="100" t="s">
        <v>1313</v>
      </c>
      <c r="I945" s="46" t="e">
        <f>VLOOKUP(H945,'合同高级查询数据-4月返'!A:A,1,FALSE)</f>
        <v>#N/A</v>
      </c>
      <c r="J945" s="47" t="s">
        <v>90</v>
      </c>
      <c r="K945" s="172" t="s">
        <v>1314</v>
      </c>
      <c r="L945" s="228"/>
      <c r="M945" s="49" t="s">
        <v>1019</v>
      </c>
      <c r="N945" s="229">
        <v>43252</v>
      </c>
      <c r="O945" s="229" t="s">
        <v>503</v>
      </c>
      <c r="P945" s="207">
        <v>6000</v>
      </c>
      <c r="Q945" s="207">
        <v>3</v>
      </c>
      <c r="R945" s="118">
        <f t="shared" si="27"/>
        <v>18000</v>
      </c>
      <c r="S945" s="115">
        <v>202304</v>
      </c>
      <c r="T945" s="222"/>
      <c r="U945" s="223"/>
      <c r="V945" s="165"/>
      <c r="W945" s="165"/>
      <c r="X945" s="116">
        <v>43008</v>
      </c>
      <c r="Y945" s="116">
        <v>45199</v>
      </c>
    </row>
    <row r="946" s="85" customFormat="1" customHeight="1" spans="1:25">
      <c r="A946" s="98" t="s">
        <v>448</v>
      </c>
      <c r="B946" s="98" t="s">
        <v>62</v>
      </c>
      <c r="C946" s="98" t="s">
        <v>238</v>
      </c>
      <c r="D946" s="98" t="s">
        <v>642</v>
      </c>
      <c r="E946" s="161" t="s">
        <v>1309</v>
      </c>
      <c r="F946" s="98" t="s">
        <v>1016</v>
      </c>
      <c r="G946" s="172" t="s">
        <v>88</v>
      </c>
      <c r="H946" s="100" t="s">
        <v>1313</v>
      </c>
      <c r="I946" s="46" t="e">
        <f>VLOOKUP(H946,'合同高级查询数据-4月返'!A:A,1,FALSE)</f>
        <v>#N/A</v>
      </c>
      <c r="J946" s="47" t="s">
        <v>90</v>
      </c>
      <c r="K946" s="172" t="s">
        <v>1314</v>
      </c>
      <c r="L946" s="228"/>
      <c r="M946" s="49" t="s">
        <v>1019</v>
      </c>
      <c r="N946" s="229">
        <v>43327</v>
      </c>
      <c r="O946" s="229" t="s">
        <v>503</v>
      </c>
      <c r="P946" s="207">
        <v>6000</v>
      </c>
      <c r="Q946" s="207">
        <v>-8</v>
      </c>
      <c r="R946" s="118">
        <f t="shared" si="27"/>
        <v>-48000</v>
      </c>
      <c r="S946" s="115">
        <v>202304</v>
      </c>
      <c r="T946" s="222" t="s">
        <v>1318</v>
      </c>
      <c r="U946" s="223"/>
      <c r="V946" s="165"/>
      <c r="W946" s="165"/>
      <c r="X946" s="116">
        <v>43008</v>
      </c>
      <c r="Y946" s="116">
        <v>45199</v>
      </c>
    </row>
    <row r="947" s="85" customFormat="1" customHeight="1" spans="1:25">
      <c r="A947" s="98" t="s">
        <v>448</v>
      </c>
      <c r="B947" s="98" t="s">
        <v>62</v>
      </c>
      <c r="C947" s="98" t="s">
        <v>238</v>
      </c>
      <c r="D947" s="98" t="s">
        <v>642</v>
      </c>
      <c r="E947" s="161" t="s">
        <v>1309</v>
      </c>
      <c r="F947" s="98" t="s">
        <v>1016</v>
      </c>
      <c r="G947" s="172" t="s">
        <v>88</v>
      </c>
      <c r="H947" s="100" t="s">
        <v>1313</v>
      </c>
      <c r="I947" s="46" t="e">
        <f>VLOOKUP(H947,'合同高级查询数据-4月返'!A:A,1,FALSE)</f>
        <v>#N/A</v>
      </c>
      <c r="J947" s="47" t="s">
        <v>90</v>
      </c>
      <c r="K947" s="172" t="s">
        <v>1314</v>
      </c>
      <c r="L947" s="228"/>
      <c r="M947" s="49" t="s">
        <v>1019</v>
      </c>
      <c r="N947" s="229">
        <v>43332</v>
      </c>
      <c r="O947" s="229" t="s">
        <v>503</v>
      </c>
      <c r="P947" s="207">
        <v>6000</v>
      </c>
      <c r="Q947" s="207">
        <v>3</v>
      </c>
      <c r="R947" s="118">
        <f t="shared" si="27"/>
        <v>18000</v>
      </c>
      <c r="S947" s="115">
        <v>202304</v>
      </c>
      <c r="T947" s="222" t="s">
        <v>1319</v>
      </c>
      <c r="U947" s="223"/>
      <c r="V947" s="165"/>
      <c r="W947" s="165"/>
      <c r="X947" s="116">
        <v>43008</v>
      </c>
      <c r="Y947" s="116">
        <v>45199</v>
      </c>
    </row>
    <row r="948" s="85" customFormat="1" customHeight="1" spans="1:25">
      <c r="A948" s="98" t="s">
        <v>448</v>
      </c>
      <c r="B948" s="98" t="s">
        <v>62</v>
      </c>
      <c r="C948" s="98" t="s">
        <v>238</v>
      </c>
      <c r="D948" s="98" t="s">
        <v>642</v>
      </c>
      <c r="E948" s="161" t="s">
        <v>1309</v>
      </c>
      <c r="F948" s="98" t="s">
        <v>1016</v>
      </c>
      <c r="G948" s="172" t="s">
        <v>88</v>
      </c>
      <c r="H948" s="100" t="s">
        <v>1313</v>
      </c>
      <c r="I948" s="46" t="e">
        <f>VLOOKUP(H948,'合同高级查询数据-4月返'!A:A,1,FALSE)</f>
        <v>#N/A</v>
      </c>
      <c r="J948" s="47" t="s">
        <v>90</v>
      </c>
      <c r="K948" s="172" t="s">
        <v>1314</v>
      </c>
      <c r="L948" s="228"/>
      <c r="M948" s="49" t="s">
        <v>1019</v>
      </c>
      <c r="N948" s="229">
        <v>43349</v>
      </c>
      <c r="O948" s="229" t="s">
        <v>503</v>
      </c>
      <c r="P948" s="207">
        <v>6000</v>
      </c>
      <c r="Q948" s="207">
        <v>1</v>
      </c>
      <c r="R948" s="118">
        <f t="shared" si="27"/>
        <v>6000</v>
      </c>
      <c r="S948" s="115">
        <v>202304</v>
      </c>
      <c r="T948" s="222" t="s">
        <v>1320</v>
      </c>
      <c r="U948" s="223"/>
      <c r="V948" s="165"/>
      <c r="W948" s="165"/>
      <c r="X948" s="116">
        <v>43008</v>
      </c>
      <c r="Y948" s="116">
        <v>45199</v>
      </c>
    </row>
    <row r="949" s="85" customFormat="1" customHeight="1" spans="1:25">
      <c r="A949" s="98" t="s">
        <v>448</v>
      </c>
      <c r="B949" s="98" t="s">
        <v>62</v>
      </c>
      <c r="C949" s="98" t="s">
        <v>238</v>
      </c>
      <c r="D949" s="98" t="s">
        <v>642</v>
      </c>
      <c r="E949" s="161" t="s">
        <v>1309</v>
      </c>
      <c r="F949" s="98" t="s">
        <v>1016</v>
      </c>
      <c r="G949" s="172" t="s">
        <v>88</v>
      </c>
      <c r="H949" s="100" t="s">
        <v>1313</v>
      </c>
      <c r="I949" s="46" t="e">
        <f>VLOOKUP(H949,'合同高级查询数据-4月返'!A:A,1,FALSE)</f>
        <v>#N/A</v>
      </c>
      <c r="J949" s="47" t="s">
        <v>90</v>
      </c>
      <c r="K949" s="172" t="s">
        <v>1314</v>
      </c>
      <c r="L949" s="228"/>
      <c r="M949" s="49" t="s">
        <v>1019</v>
      </c>
      <c r="N949" s="229">
        <v>43354</v>
      </c>
      <c r="O949" s="229" t="s">
        <v>503</v>
      </c>
      <c r="P949" s="207">
        <v>6000</v>
      </c>
      <c r="Q949" s="207">
        <v>2</v>
      </c>
      <c r="R949" s="118">
        <f t="shared" si="27"/>
        <v>12000</v>
      </c>
      <c r="S949" s="115">
        <v>202304</v>
      </c>
      <c r="T949" s="222" t="s">
        <v>1321</v>
      </c>
      <c r="U949" s="223"/>
      <c r="V949" s="165"/>
      <c r="W949" s="165"/>
      <c r="X949" s="116">
        <v>43008</v>
      </c>
      <c r="Y949" s="116">
        <v>45199</v>
      </c>
    </row>
    <row r="950" s="85" customFormat="1" customHeight="1" spans="1:25">
      <c r="A950" s="98" t="s">
        <v>448</v>
      </c>
      <c r="B950" s="98" t="s">
        <v>62</v>
      </c>
      <c r="C950" s="98" t="s">
        <v>238</v>
      </c>
      <c r="D950" s="98" t="s">
        <v>642</v>
      </c>
      <c r="E950" s="161" t="s">
        <v>1309</v>
      </c>
      <c r="F950" s="98" t="s">
        <v>1016</v>
      </c>
      <c r="G950" s="172" t="s">
        <v>88</v>
      </c>
      <c r="H950" s="100" t="s">
        <v>1313</v>
      </c>
      <c r="I950" s="46" t="e">
        <f>VLOOKUP(H950,'合同高级查询数据-4月返'!A:A,1,FALSE)</f>
        <v>#N/A</v>
      </c>
      <c r="J950" s="47" t="s">
        <v>90</v>
      </c>
      <c r="K950" s="172" t="s">
        <v>1314</v>
      </c>
      <c r="L950" s="228"/>
      <c r="M950" s="49" t="s">
        <v>1019</v>
      </c>
      <c r="N950" s="229">
        <v>43340</v>
      </c>
      <c r="O950" s="229" t="s">
        <v>503</v>
      </c>
      <c r="P950" s="207">
        <v>6000</v>
      </c>
      <c r="Q950" s="207">
        <v>2</v>
      </c>
      <c r="R950" s="118">
        <f t="shared" si="27"/>
        <v>12000</v>
      </c>
      <c r="S950" s="115">
        <v>202304</v>
      </c>
      <c r="T950" s="222" t="s">
        <v>1322</v>
      </c>
      <c r="U950" s="223"/>
      <c r="V950" s="165"/>
      <c r="W950" s="165"/>
      <c r="X950" s="116">
        <v>43008</v>
      </c>
      <c r="Y950" s="116">
        <v>45199</v>
      </c>
    </row>
    <row r="951" s="85" customFormat="1" customHeight="1" spans="1:25">
      <c r="A951" s="98" t="s">
        <v>448</v>
      </c>
      <c r="B951" s="98" t="s">
        <v>62</v>
      </c>
      <c r="C951" s="98" t="s">
        <v>238</v>
      </c>
      <c r="D951" s="98" t="s">
        <v>642</v>
      </c>
      <c r="E951" s="161" t="s">
        <v>1309</v>
      </c>
      <c r="F951" s="98" t="s">
        <v>1016</v>
      </c>
      <c r="G951" s="172" t="s">
        <v>88</v>
      </c>
      <c r="H951" s="100" t="s">
        <v>1313</v>
      </c>
      <c r="I951" s="46" t="e">
        <f>VLOOKUP(H951,'合同高级查询数据-4月返'!A:A,1,FALSE)</f>
        <v>#N/A</v>
      </c>
      <c r="J951" s="47" t="s">
        <v>90</v>
      </c>
      <c r="K951" s="172" t="s">
        <v>1314</v>
      </c>
      <c r="L951" s="228"/>
      <c r="M951" s="49" t="s">
        <v>1019</v>
      </c>
      <c r="N951" s="229">
        <v>43342</v>
      </c>
      <c r="O951" s="229" t="s">
        <v>503</v>
      </c>
      <c r="P951" s="207">
        <v>6000</v>
      </c>
      <c r="Q951" s="207">
        <v>1</v>
      </c>
      <c r="R951" s="118">
        <f t="shared" si="27"/>
        <v>6000</v>
      </c>
      <c r="S951" s="115">
        <v>202304</v>
      </c>
      <c r="T951" s="222" t="s">
        <v>1323</v>
      </c>
      <c r="U951" s="223"/>
      <c r="V951" s="165"/>
      <c r="W951" s="165"/>
      <c r="X951" s="116">
        <v>43008</v>
      </c>
      <c r="Y951" s="116">
        <v>45199</v>
      </c>
    </row>
    <row r="952" s="85" customFormat="1" customHeight="1" spans="1:25">
      <c r="A952" s="98" t="s">
        <v>448</v>
      </c>
      <c r="B952" s="98" t="s">
        <v>62</v>
      </c>
      <c r="C952" s="98" t="s">
        <v>238</v>
      </c>
      <c r="D952" s="98" t="s">
        <v>642</v>
      </c>
      <c r="E952" s="161" t="s">
        <v>1309</v>
      </c>
      <c r="F952" s="98" t="s">
        <v>1016</v>
      </c>
      <c r="G952" s="172" t="s">
        <v>88</v>
      </c>
      <c r="H952" s="100" t="s">
        <v>1313</v>
      </c>
      <c r="I952" s="46" t="e">
        <f>VLOOKUP(H952,'合同高级查询数据-4月返'!A:A,1,FALSE)</f>
        <v>#N/A</v>
      </c>
      <c r="J952" s="47" t="s">
        <v>90</v>
      </c>
      <c r="K952" s="172" t="s">
        <v>1314</v>
      </c>
      <c r="L952" s="228"/>
      <c r="M952" s="49" t="s">
        <v>1019</v>
      </c>
      <c r="N952" s="229">
        <v>43347</v>
      </c>
      <c r="O952" s="229" t="s">
        <v>503</v>
      </c>
      <c r="P952" s="207">
        <v>6000</v>
      </c>
      <c r="Q952" s="207">
        <v>8</v>
      </c>
      <c r="R952" s="118">
        <f t="shared" si="27"/>
        <v>48000</v>
      </c>
      <c r="S952" s="115">
        <v>202304</v>
      </c>
      <c r="T952" s="222" t="s">
        <v>1324</v>
      </c>
      <c r="U952" s="223"/>
      <c r="V952" s="165"/>
      <c r="W952" s="165"/>
      <c r="X952" s="116">
        <v>43008</v>
      </c>
      <c r="Y952" s="116">
        <v>45199</v>
      </c>
    </row>
    <row r="953" s="85" customFormat="1" customHeight="1" spans="1:25">
      <c r="A953" s="98" t="s">
        <v>448</v>
      </c>
      <c r="B953" s="98" t="s">
        <v>62</v>
      </c>
      <c r="C953" s="98" t="s">
        <v>238</v>
      </c>
      <c r="D953" s="98" t="s">
        <v>642</v>
      </c>
      <c r="E953" s="161" t="s">
        <v>1309</v>
      </c>
      <c r="F953" s="98" t="s">
        <v>1016</v>
      </c>
      <c r="G953" s="172" t="s">
        <v>88</v>
      </c>
      <c r="H953" s="100" t="s">
        <v>1313</v>
      </c>
      <c r="I953" s="46" t="e">
        <f>VLOOKUP(H953,'合同高级查询数据-4月返'!A:A,1,FALSE)</f>
        <v>#N/A</v>
      </c>
      <c r="J953" s="47" t="s">
        <v>90</v>
      </c>
      <c r="K953" s="172" t="s">
        <v>1314</v>
      </c>
      <c r="L953" s="228"/>
      <c r="M953" s="49" t="s">
        <v>1019</v>
      </c>
      <c r="N953" s="229">
        <v>43347</v>
      </c>
      <c r="O953" s="229" t="s">
        <v>503</v>
      </c>
      <c r="P953" s="207">
        <v>6000</v>
      </c>
      <c r="Q953" s="207">
        <v>3</v>
      </c>
      <c r="R953" s="118">
        <f t="shared" si="27"/>
        <v>18000</v>
      </c>
      <c r="S953" s="115">
        <v>202304</v>
      </c>
      <c r="T953" s="222" t="s">
        <v>1325</v>
      </c>
      <c r="U953" s="223"/>
      <c r="V953" s="165"/>
      <c r="W953" s="165"/>
      <c r="X953" s="116">
        <v>43008</v>
      </c>
      <c r="Y953" s="116">
        <v>45199</v>
      </c>
    </row>
    <row r="954" s="85" customFormat="1" customHeight="1" spans="1:25">
      <c r="A954" s="98" t="s">
        <v>448</v>
      </c>
      <c r="B954" s="98" t="s">
        <v>62</v>
      </c>
      <c r="C954" s="98" t="s">
        <v>238</v>
      </c>
      <c r="D954" s="98" t="s">
        <v>642</v>
      </c>
      <c r="E954" s="161" t="s">
        <v>1309</v>
      </c>
      <c r="F954" s="98" t="s">
        <v>1016</v>
      </c>
      <c r="G954" s="172" t="s">
        <v>88</v>
      </c>
      <c r="H954" s="100" t="s">
        <v>1313</v>
      </c>
      <c r="I954" s="46" t="e">
        <f>VLOOKUP(H954,'合同高级查询数据-4月返'!A:A,1,FALSE)</f>
        <v>#N/A</v>
      </c>
      <c r="J954" s="47" t="s">
        <v>90</v>
      </c>
      <c r="K954" s="172" t="s">
        <v>1314</v>
      </c>
      <c r="L954" s="228"/>
      <c r="M954" s="49" t="s">
        <v>1019</v>
      </c>
      <c r="N954" s="230">
        <v>43363</v>
      </c>
      <c r="O954" s="181" t="s">
        <v>503</v>
      </c>
      <c r="P954" s="207">
        <v>6000</v>
      </c>
      <c r="Q954" s="207">
        <v>3</v>
      </c>
      <c r="R954" s="118">
        <f t="shared" si="27"/>
        <v>18000</v>
      </c>
      <c r="S954" s="115">
        <v>202304</v>
      </c>
      <c r="T954" s="222" t="s">
        <v>1326</v>
      </c>
      <c r="U954" s="223"/>
      <c r="V954" s="165"/>
      <c r="W954" s="165"/>
      <c r="X954" s="116">
        <v>43008</v>
      </c>
      <c r="Y954" s="116">
        <v>45199</v>
      </c>
    </row>
    <row r="955" s="85" customFormat="1" customHeight="1" spans="1:25">
      <c r="A955" s="98" t="s">
        <v>448</v>
      </c>
      <c r="B955" s="98" t="s">
        <v>62</v>
      </c>
      <c r="C955" s="98" t="s">
        <v>238</v>
      </c>
      <c r="D955" s="98" t="s">
        <v>642</v>
      </c>
      <c r="E955" s="161" t="s">
        <v>1309</v>
      </c>
      <c r="F955" s="98" t="s">
        <v>1016</v>
      </c>
      <c r="G955" s="172" t="s">
        <v>88</v>
      </c>
      <c r="H955" s="100" t="s">
        <v>1313</v>
      </c>
      <c r="I955" s="46" t="e">
        <f>VLOOKUP(H955,'合同高级查询数据-4月返'!A:A,1,FALSE)</f>
        <v>#N/A</v>
      </c>
      <c r="J955" s="47" t="s">
        <v>90</v>
      </c>
      <c r="K955" s="172" t="s">
        <v>1314</v>
      </c>
      <c r="L955" s="228"/>
      <c r="M955" s="49" t="s">
        <v>1019</v>
      </c>
      <c r="N955" s="230">
        <v>43382</v>
      </c>
      <c r="O955" s="181" t="s">
        <v>503</v>
      </c>
      <c r="P955" s="207">
        <v>6000</v>
      </c>
      <c r="Q955" s="207">
        <v>9</v>
      </c>
      <c r="R955" s="118">
        <f t="shared" si="27"/>
        <v>54000</v>
      </c>
      <c r="S955" s="115">
        <v>202304</v>
      </c>
      <c r="T955" s="222" t="s">
        <v>1327</v>
      </c>
      <c r="U955" s="223"/>
      <c r="V955" s="165"/>
      <c r="W955" s="165"/>
      <c r="X955" s="116">
        <v>43008</v>
      </c>
      <c r="Y955" s="116">
        <v>45199</v>
      </c>
    </row>
    <row r="956" s="85" customFormat="1" customHeight="1" spans="1:25">
      <c r="A956" s="98" t="s">
        <v>448</v>
      </c>
      <c r="B956" s="98" t="s">
        <v>62</v>
      </c>
      <c r="C956" s="98" t="s">
        <v>238</v>
      </c>
      <c r="D956" s="98" t="s">
        <v>642</v>
      </c>
      <c r="E956" s="161" t="s">
        <v>1309</v>
      </c>
      <c r="F956" s="98" t="s">
        <v>1016</v>
      </c>
      <c r="G956" s="172" t="s">
        <v>88</v>
      </c>
      <c r="H956" s="100" t="s">
        <v>1313</v>
      </c>
      <c r="I956" s="46" t="e">
        <f>VLOOKUP(H956,'合同高级查询数据-4月返'!A:A,1,FALSE)</f>
        <v>#N/A</v>
      </c>
      <c r="J956" s="47" t="s">
        <v>90</v>
      </c>
      <c r="K956" s="172" t="s">
        <v>1314</v>
      </c>
      <c r="L956" s="228"/>
      <c r="M956" s="49" t="s">
        <v>1019</v>
      </c>
      <c r="N956" s="230">
        <v>43485</v>
      </c>
      <c r="O956" s="181" t="s">
        <v>503</v>
      </c>
      <c r="P956" s="207">
        <v>6000</v>
      </c>
      <c r="Q956" s="207">
        <v>2</v>
      </c>
      <c r="R956" s="118">
        <f t="shared" si="27"/>
        <v>12000</v>
      </c>
      <c r="S956" s="115">
        <v>202304</v>
      </c>
      <c r="T956" s="222"/>
      <c r="U956" s="223"/>
      <c r="V956" s="165"/>
      <c r="W956" s="165"/>
      <c r="X956" s="116">
        <v>43008</v>
      </c>
      <c r="Y956" s="116">
        <v>45199</v>
      </c>
    </row>
    <row r="957" s="85" customFormat="1" customHeight="1" spans="1:25">
      <c r="A957" s="98" t="s">
        <v>448</v>
      </c>
      <c r="B957" s="98" t="s">
        <v>62</v>
      </c>
      <c r="C957" s="98" t="s">
        <v>238</v>
      </c>
      <c r="D957" s="98" t="s">
        <v>642</v>
      </c>
      <c r="E957" s="161" t="s">
        <v>1309</v>
      </c>
      <c r="F957" s="98" t="s">
        <v>1016</v>
      </c>
      <c r="G957" s="172" t="s">
        <v>88</v>
      </c>
      <c r="H957" s="100" t="s">
        <v>1313</v>
      </c>
      <c r="I957" s="46" t="e">
        <f>VLOOKUP(H957,'合同高级查询数据-4月返'!A:A,1,FALSE)</f>
        <v>#N/A</v>
      </c>
      <c r="J957" s="47" t="s">
        <v>90</v>
      </c>
      <c r="K957" s="172" t="s">
        <v>1314</v>
      </c>
      <c r="L957" s="228"/>
      <c r="M957" s="49" t="s">
        <v>1019</v>
      </c>
      <c r="N957" s="229">
        <v>43492</v>
      </c>
      <c r="O957" s="229" t="s">
        <v>503</v>
      </c>
      <c r="P957" s="207">
        <v>6000</v>
      </c>
      <c r="Q957" s="207">
        <v>3</v>
      </c>
      <c r="R957" s="118">
        <f t="shared" si="27"/>
        <v>18000</v>
      </c>
      <c r="S957" s="115">
        <v>202304</v>
      </c>
      <c r="T957" s="222"/>
      <c r="U957" s="223"/>
      <c r="V957" s="165"/>
      <c r="W957" s="165"/>
      <c r="X957" s="116">
        <v>43008</v>
      </c>
      <c r="Y957" s="116">
        <v>45199</v>
      </c>
    </row>
    <row r="958" s="85" customFormat="1" customHeight="1" spans="1:25">
      <c r="A958" s="98" t="s">
        <v>448</v>
      </c>
      <c r="B958" s="98" t="s">
        <v>62</v>
      </c>
      <c r="C958" s="98" t="s">
        <v>238</v>
      </c>
      <c r="D958" s="98" t="s">
        <v>642</v>
      </c>
      <c r="E958" s="161" t="s">
        <v>1309</v>
      </c>
      <c r="F958" s="98" t="s">
        <v>1016</v>
      </c>
      <c r="G958" s="172" t="s">
        <v>88</v>
      </c>
      <c r="H958" s="100" t="s">
        <v>1313</v>
      </c>
      <c r="I958" s="46" t="e">
        <f>VLOOKUP(H958,'合同高级查询数据-4月返'!A:A,1,FALSE)</f>
        <v>#N/A</v>
      </c>
      <c r="J958" s="47" t="s">
        <v>90</v>
      </c>
      <c r="K958" s="172" t="s">
        <v>1314</v>
      </c>
      <c r="L958" s="228"/>
      <c r="M958" s="49" t="s">
        <v>1019</v>
      </c>
      <c r="N958" s="229">
        <v>43514</v>
      </c>
      <c r="O958" s="229" t="s">
        <v>503</v>
      </c>
      <c r="P958" s="207">
        <v>6000</v>
      </c>
      <c r="Q958" s="207">
        <v>1</v>
      </c>
      <c r="R958" s="118">
        <f t="shared" si="27"/>
        <v>6000</v>
      </c>
      <c r="S958" s="115">
        <v>202304</v>
      </c>
      <c r="T958" s="222" t="s">
        <v>1328</v>
      </c>
      <c r="U958" s="223"/>
      <c r="V958" s="165"/>
      <c r="W958" s="165"/>
      <c r="X958" s="116">
        <v>43008</v>
      </c>
      <c r="Y958" s="116">
        <v>45199</v>
      </c>
    </row>
    <row r="959" s="85" customFormat="1" customHeight="1" spans="1:25">
      <c r="A959" s="98" t="s">
        <v>448</v>
      </c>
      <c r="B959" s="98" t="s">
        <v>62</v>
      </c>
      <c r="C959" s="98" t="s">
        <v>238</v>
      </c>
      <c r="D959" s="98" t="s">
        <v>642</v>
      </c>
      <c r="E959" s="161" t="s">
        <v>1309</v>
      </c>
      <c r="F959" s="98" t="s">
        <v>1016</v>
      </c>
      <c r="G959" s="172" t="s">
        <v>88</v>
      </c>
      <c r="H959" s="100" t="s">
        <v>1313</v>
      </c>
      <c r="I959" s="46" t="e">
        <f>VLOOKUP(H959,'合同高级查询数据-4月返'!A:A,1,FALSE)</f>
        <v>#N/A</v>
      </c>
      <c r="J959" s="47" t="s">
        <v>90</v>
      </c>
      <c r="K959" s="172" t="s">
        <v>1314</v>
      </c>
      <c r="L959" s="228"/>
      <c r="M959" s="49" t="s">
        <v>1019</v>
      </c>
      <c r="N959" s="229" t="s">
        <v>1329</v>
      </c>
      <c r="O959" s="229" t="s">
        <v>503</v>
      </c>
      <c r="P959" s="207">
        <v>6000</v>
      </c>
      <c r="Q959" s="207">
        <v>4</v>
      </c>
      <c r="R959" s="118">
        <f t="shared" si="27"/>
        <v>24000</v>
      </c>
      <c r="S959" s="115">
        <v>202304</v>
      </c>
      <c r="T959" s="222" t="s">
        <v>1330</v>
      </c>
      <c r="U959" s="223"/>
      <c r="V959" s="165"/>
      <c r="W959" s="165"/>
      <c r="X959" s="116">
        <v>43008</v>
      </c>
      <c r="Y959" s="116">
        <v>45199</v>
      </c>
    </row>
    <row r="960" s="85" customFormat="1" customHeight="1" spans="1:25">
      <c r="A960" s="98" t="s">
        <v>448</v>
      </c>
      <c r="B960" s="98" t="s">
        <v>62</v>
      </c>
      <c r="C960" s="98" t="s">
        <v>238</v>
      </c>
      <c r="D960" s="98" t="s">
        <v>642</v>
      </c>
      <c r="E960" s="161" t="s">
        <v>1309</v>
      </c>
      <c r="F960" s="98" t="s">
        <v>1016</v>
      </c>
      <c r="G960" s="172" t="s">
        <v>88</v>
      </c>
      <c r="H960" s="100" t="s">
        <v>1313</v>
      </c>
      <c r="I960" s="46" t="e">
        <f>VLOOKUP(H960,'合同高级查询数据-4月返'!A:A,1,FALSE)</f>
        <v>#N/A</v>
      </c>
      <c r="J960" s="47" t="s">
        <v>90</v>
      </c>
      <c r="K960" s="172" t="s">
        <v>1314</v>
      </c>
      <c r="L960" s="228"/>
      <c r="M960" s="49" t="s">
        <v>1019</v>
      </c>
      <c r="N960" s="229">
        <v>44029</v>
      </c>
      <c r="O960" s="229" t="s">
        <v>503</v>
      </c>
      <c r="P960" s="207">
        <v>6000</v>
      </c>
      <c r="Q960" s="207">
        <v>15</v>
      </c>
      <c r="R960" s="118">
        <f t="shared" si="27"/>
        <v>90000</v>
      </c>
      <c r="S960" s="115">
        <v>202304</v>
      </c>
      <c r="T960" s="222" t="s">
        <v>1331</v>
      </c>
      <c r="U960" s="223"/>
      <c r="V960" s="165"/>
      <c r="W960" s="165"/>
      <c r="X960" s="116">
        <v>43008</v>
      </c>
      <c r="Y960" s="116">
        <v>45199</v>
      </c>
    </row>
    <row r="961" s="85" customFormat="1" customHeight="1" spans="1:25">
      <c r="A961" s="98" t="s">
        <v>448</v>
      </c>
      <c r="B961" s="98" t="s">
        <v>62</v>
      </c>
      <c r="C961" s="98" t="s">
        <v>238</v>
      </c>
      <c r="D961" s="98" t="s">
        <v>642</v>
      </c>
      <c r="E961" s="161" t="s">
        <v>1309</v>
      </c>
      <c r="F961" s="98" t="s">
        <v>1016</v>
      </c>
      <c r="G961" s="172" t="s">
        <v>88</v>
      </c>
      <c r="H961" s="100" t="s">
        <v>1313</v>
      </c>
      <c r="I961" s="46" t="e">
        <f>VLOOKUP(H961,'合同高级查询数据-4月返'!A:A,1,FALSE)</f>
        <v>#N/A</v>
      </c>
      <c r="J961" s="47" t="s">
        <v>90</v>
      </c>
      <c r="K961" s="172" t="s">
        <v>1314</v>
      </c>
      <c r="L961" s="228"/>
      <c r="M961" s="49" t="s">
        <v>1019</v>
      </c>
      <c r="N961" s="229">
        <v>44035</v>
      </c>
      <c r="O961" s="229" t="s">
        <v>507</v>
      </c>
      <c r="P961" s="207">
        <v>6000</v>
      </c>
      <c r="Q961" s="207">
        <v>1</v>
      </c>
      <c r="R961" s="118">
        <f t="shared" si="27"/>
        <v>6000</v>
      </c>
      <c r="S961" s="115">
        <v>202304</v>
      </c>
      <c r="T961" s="222" t="s">
        <v>1332</v>
      </c>
      <c r="U961" s="223"/>
      <c r="V961" s="165"/>
      <c r="W961" s="165"/>
      <c r="X961" s="116">
        <v>43008</v>
      </c>
      <c r="Y961" s="116">
        <v>45199</v>
      </c>
    </row>
    <row r="962" s="85" customFormat="1" customHeight="1" spans="1:25">
      <c r="A962" s="98" t="s">
        <v>448</v>
      </c>
      <c r="B962" s="98" t="s">
        <v>62</v>
      </c>
      <c r="C962" s="98" t="s">
        <v>238</v>
      </c>
      <c r="D962" s="98" t="s">
        <v>642</v>
      </c>
      <c r="E962" s="161" t="s">
        <v>1309</v>
      </c>
      <c r="F962" s="98" t="s">
        <v>1016</v>
      </c>
      <c r="G962" s="172" t="s">
        <v>88</v>
      </c>
      <c r="H962" s="100" t="s">
        <v>1313</v>
      </c>
      <c r="I962" s="46" t="e">
        <f>VLOOKUP(H962,'合同高级查询数据-4月返'!A:A,1,FALSE)</f>
        <v>#N/A</v>
      </c>
      <c r="J962" s="47" t="s">
        <v>90</v>
      </c>
      <c r="K962" s="172" t="s">
        <v>1314</v>
      </c>
      <c r="L962" s="228"/>
      <c r="M962" s="49" t="s">
        <v>1019</v>
      </c>
      <c r="N962" s="229">
        <v>44861</v>
      </c>
      <c r="O962" s="229" t="s">
        <v>503</v>
      </c>
      <c r="P962" s="207">
        <v>0</v>
      </c>
      <c r="Q962" s="207">
        <v>-4</v>
      </c>
      <c r="R962" s="118">
        <f t="shared" si="27"/>
        <v>0</v>
      </c>
      <c r="S962" s="115">
        <v>202304</v>
      </c>
      <c r="T962" s="222" t="s">
        <v>1333</v>
      </c>
      <c r="U962" s="223"/>
      <c r="V962" s="165"/>
      <c r="W962" s="165"/>
      <c r="X962" s="116">
        <v>43008</v>
      </c>
      <c r="Y962" s="116">
        <v>45199</v>
      </c>
    </row>
    <row r="963" s="85" customFormat="1" customHeight="1" spans="1:25">
      <c r="A963" s="98" t="s">
        <v>448</v>
      </c>
      <c r="B963" s="98" t="s">
        <v>62</v>
      </c>
      <c r="C963" s="98" t="s">
        <v>238</v>
      </c>
      <c r="D963" s="98" t="s">
        <v>642</v>
      </c>
      <c r="E963" s="161" t="s">
        <v>1309</v>
      </c>
      <c r="F963" s="98" t="s">
        <v>1016</v>
      </c>
      <c r="G963" s="172" t="s">
        <v>88</v>
      </c>
      <c r="H963" s="100" t="s">
        <v>1313</v>
      </c>
      <c r="I963" s="46" t="e">
        <f>VLOOKUP(H963,'合同高级查询数据-4月返'!A:A,1,FALSE)</f>
        <v>#N/A</v>
      </c>
      <c r="J963" s="47" t="s">
        <v>357</v>
      </c>
      <c r="K963" s="160" t="s">
        <v>1334</v>
      </c>
      <c r="L963" s="179"/>
      <c r="M963" s="49" t="s">
        <v>1019</v>
      </c>
      <c r="N963" s="180">
        <v>43094</v>
      </c>
      <c r="O963" s="181" t="s">
        <v>1335</v>
      </c>
      <c r="P963" s="182">
        <v>300</v>
      </c>
      <c r="Q963" s="182">
        <v>3000</v>
      </c>
      <c r="R963" s="118">
        <f t="shared" si="27"/>
        <v>900000</v>
      </c>
      <c r="S963" s="115">
        <v>202304</v>
      </c>
      <c r="T963" s="217" t="s">
        <v>1336</v>
      </c>
      <c r="U963" s="165"/>
      <c r="V963" s="165"/>
      <c r="W963" s="165"/>
      <c r="X963" s="116">
        <v>43008</v>
      </c>
      <c r="Y963" s="116">
        <v>45199</v>
      </c>
    </row>
    <row r="964" s="85" customFormat="1" customHeight="1" spans="1:25">
      <c r="A964" s="98" t="s">
        <v>448</v>
      </c>
      <c r="B964" s="98" t="s">
        <v>62</v>
      </c>
      <c r="C964" s="98" t="s">
        <v>238</v>
      </c>
      <c r="D964" s="98" t="s">
        <v>642</v>
      </c>
      <c r="E964" s="161" t="s">
        <v>1309</v>
      </c>
      <c r="F964" s="98" t="s">
        <v>1016</v>
      </c>
      <c r="G964" s="25" t="s">
        <v>67</v>
      </c>
      <c r="H964" s="226" t="s">
        <v>1337</v>
      </c>
      <c r="I964" s="46" t="e">
        <f>VLOOKUP(H964,'合同高级查询数据-4月返'!A:A,1,FALSE)</f>
        <v>#N/A</v>
      </c>
      <c r="J964" s="25" t="s">
        <v>69</v>
      </c>
      <c r="K964" s="172" t="s">
        <v>1338</v>
      </c>
      <c r="L964" s="228"/>
      <c r="M964" s="49"/>
      <c r="N964" s="229">
        <v>43000</v>
      </c>
      <c r="O964" s="229" t="s">
        <v>71</v>
      </c>
      <c r="P964" s="207">
        <v>1600</v>
      </c>
      <c r="Q964" s="117">
        <v>1</v>
      </c>
      <c r="R964" s="118">
        <f t="shared" si="27"/>
        <v>1600</v>
      </c>
      <c r="S964" s="115">
        <v>202304</v>
      </c>
      <c r="T964" s="222" t="s">
        <v>1339</v>
      </c>
      <c r="U964" s="223"/>
      <c r="V964" s="165"/>
      <c r="W964" s="165"/>
      <c r="X964" s="116">
        <v>42948</v>
      </c>
      <c r="Y964" s="116">
        <v>45138</v>
      </c>
    </row>
    <row r="965" s="85" customFormat="1" customHeight="1" spans="1:25">
      <c r="A965" s="98" t="s">
        <v>448</v>
      </c>
      <c r="B965" s="98" t="s">
        <v>62</v>
      </c>
      <c r="C965" s="98" t="s">
        <v>238</v>
      </c>
      <c r="D965" s="98" t="s">
        <v>642</v>
      </c>
      <c r="E965" s="161" t="s">
        <v>1309</v>
      </c>
      <c r="F965" s="98" t="s">
        <v>1016</v>
      </c>
      <c r="G965" s="172" t="s">
        <v>88</v>
      </c>
      <c r="H965" s="100" t="s">
        <v>1340</v>
      </c>
      <c r="I965" s="46" t="e">
        <f>VLOOKUP(H965,'合同高级查询数据-4月返'!A:A,1,FALSE)</f>
        <v>#N/A</v>
      </c>
      <c r="J965" s="47" t="s">
        <v>90</v>
      </c>
      <c r="K965" s="172" t="s">
        <v>1341</v>
      </c>
      <c r="L965" s="228"/>
      <c r="M965" s="49" t="s">
        <v>1019</v>
      </c>
      <c r="N965" s="229">
        <v>43352</v>
      </c>
      <c r="O965" s="229" t="s">
        <v>503</v>
      </c>
      <c r="P965" s="207">
        <v>5950</v>
      </c>
      <c r="Q965" s="207">
        <v>44</v>
      </c>
      <c r="R965" s="118">
        <f t="shared" si="27"/>
        <v>261800</v>
      </c>
      <c r="S965" s="115">
        <v>202304</v>
      </c>
      <c r="T965" s="222" t="s">
        <v>1342</v>
      </c>
      <c r="U965" s="223"/>
      <c r="V965" s="165"/>
      <c r="W965" s="165"/>
      <c r="X965" s="116">
        <v>43358</v>
      </c>
      <c r="Y965" s="116">
        <v>45549</v>
      </c>
    </row>
    <row r="966" s="85" customFormat="1" customHeight="1" spans="1:25">
      <c r="A966" s="98" t="s">
        <v>448</v>
      </c>
      <c r="B966" s="98" t="s">
        <v>62</v>
      </c>
      <c r="C966" s="98" t="s">
        <v>238</v>
      </c>
      <c r="D966" s="98" t="s">
        <v>642</v>
      </c>
      <c r="E966" s="161" t="s">
        <v>1309</v>
      </c>
      <c r="F966" s="98" t="s">
        <v>1016</v>
      </c>
      <c r="G966" s="172" t="s">
        <v>88</v>
      </c>
      <c r="H966" s="100" t="s">
        <v>1340</v>
      </c>
      <c r="I966" s="46" t="e">
        <f>VLOOKUP(H966,'合同高级查询数据-4月返'!A:A,1,FALSE)</f>
        <v>#N/A</v>
      </c>
      <c r="J966" s="47" t="s">
        <v>90</v>
      </c>
      <c r="K966" s="172" t="s">
        <v>1341</v>
      </c>
      <c r="L966" s="228"/>
      <c r="M966" s="49" t="s">
        <v>1019</v>
      </c>
      <c r="N966" s="229">
        <v>43352</v>
      </c>
      <c r="O966" s="229" t="s">
        <v>503</v>
      </c>
      <c r="P966" s="207">
        <v>5950</v>
      </c>
      <c r="Q966" s="207">
        <v>-1</v>
      </c>
      <c r="R966" s="118">
        <f t="shared" si="27"/>
        <v>-5950</v>
      </c>
      <c r="S966" s="115">
        <v>202304</v>
      </c>
      <c r="T966" s="222" t="s">
        <v>1343</v>
      </c>
      <c r="U966" s="223"/>
      <c r="V966" s="165"/>
      <c r="W966" s="165"/>
      <c r="X966" s="116">
        <v>43358</v>
      </c>
      <c r="Y966" s="116">
        <v>45549</v>
      </c>
    </row>
    <row r="967" s="85" customFormat="1" customHeight="1" spans="1:25">
      <c r="A967" s="98" t="s">
        <v>448</v>
      </c>
      <c r="B967" s="98" t="s">
        <v>62</v>
      </c>
      <c r="C967" s="98" t="s">
        <v>238</v>
      </c>
      <c r="D967" s="98" t="s">
        <v>642</v>
      </c>
      <c r="E967" s="161" t="s">
        <v>1309</v>
      </c>
      <c r="F967" s="98" t="s">
        <v>1016</v>
      </c>
      <c r="G967" s="172" t="s">
        <v>88</v>
      </c>
      <c r="H967" s="100" t="s">
        <v>1340</v>
      </c>
      <c r="I967" s="46" t="e">
        <f>VLOOKUP(H967,'合同高级查询数据-4月返'!A:A,1,FALSE)</f>
        <v>#N/A</v>
      </c>
      <c r="J967" s="47" t="s">
        <v>90</v>
      </c>
      <c r="K967" s="172" t="s">
        <v>1341</v>
      </c>
      <c r="L967" s="228"/>
      <c r="M967" s="49" t="s">
        <v>1019</v>
      </c>
      <c r="N967" s="229">
        <v>43347</v>
      </c>
      <c r="O967" s="229" t="s">
        <v>503</v>
      </c>
      <c r="P967" s="207">
        <v>5950</v>
      </c>
      <c r="Q967" s="207">
        <v>1</v>
      </c>
      <c r="R967" s="118">
        <f t="shared" si="27"/>
        <v>5950</v>
      </c>
      <c r="S967" s="115">
        <v>202304</v>
      </c>
      <c r="T967" s="222" t="s">
        <v>1344</v>
      </c>
      <c r="U967" s="223"/>
      <c r="V967" s="165"/>
      <c r="W967" s="165"/>
      <c r="X967" s="116">
        <v>43358</v>
      </c>
      <c r="Y967" s="116">
        <v>45549</v>
      </c>
    </row>
    <row r="968" s="85" customFormat="1" customHeight="1" spans="1:25">
      <c r="A968" s="98" t="s">
        <v>448</v>
      </c>
      <c r="B968" s="98" t="s">
        <v>62</v>
      </c>
      <c r="C968" s="98" t="s">
        <v>238</v>
      </c>
      <c r="D968" s="98" t="s">
        <v>642</v>
      </c>
      <c r="E968" s="161" t="s">
        <v>1309</v>
      </c>
      <c r="F968" s="98" t="s">
        <v>1016</v>
      </c>
      <c r="G968" s="172" t="s">
        <v>88</v>
      </c>
      <c r="H968" s="100" t="s">
        <v>1340</v>
      </c>
      <c r="I968" s="46" t="e">
        <f>VLOOKUP(H968,'合同高级查询数据-4月返'!A:A,1,FALSE)</f>
        <v>#N/A</v>
      </c>
      <c r="J968" s="47" t="s">
        <v>90</v>
      </c>
      <c r="K968" s="172" t="s">
        <v>1341</v>
      </c>
      <c r="L968" s="228"/>
      <c r="M968" s="49" t="s">
        <v>1019</v>
      </c>
      <c r="N968" s="229">
        <v>43363</v>
      </c>
      <c r="O968" s="229" t="s">
        <v>503</v>
      </c>
      <c r="P968" s="207">
        <v>5950</v>
      </c>
      <c r="Q968" s="207">
        <v>3</v>
      </c>
      <c r="R968" s="118">
        <f t="shared" si="27"/>
        <v>17850</v>
      </c>
      <c r="S968" s="115">
        <v>202304</v>
      </c>
      <c r="T968" s="222" t="s">
        <v>1345</v>
      </c>
      <c r="U968" s="223"/>
      <c r="V968" s="165"/>
      <c r="W968" s="165"/>
      <c r="X968" s="116">
        <v>43358</v>
      </c>
      <c r="Y968" s="116">
        <v>45549</v>
      </c>
    </row>
    <row r="969" s="85" customFormat="1" customHeight="1" spans="1:25">
      <c r="A969" s="98" t="s">
        <v>448</v>
      </c>
      <c r="B969" s="98" t="s">
        <v>62</v>
      </c>
      <c r="C969" s="98" t="s">
        <v>238</v>
      </c>
      <c r="D969" s="98" t="s">
        <v>642</v>
      </c>
      <c r="E969" s="161" t="s">
        <v>1309</v>
      </c>
      <c r="F969" s="98" t="s">
        <v>1016</v>
      </c>
      <c r="G969" s="172" t="s">
        <v>88</v>
      </c>
      <c r="H969" s="100" t="s">
        <v>1340</v>
      </c>
      <c r="I969" s="46" t="e">
        <f>VLOOKUP(H969,'合同高级查询数据-4月返'!A:A,1,FALSE)</f>
        <v>#N/A</v>
      </c>
      <c r="J969" s="47" t="s">
        <v>90</v>
      </c>
      <c r="K969" s="172" t="s">
        <v>1341</v>
      </c>
      <c r="L969" s="228"/>
      <c r="M969" s="49" t="s">
        <v>1019</v>
      </c>
      <c r="N969" s="229">
        <v>43365</v>
      </c>
      <c r="O969" s="229" t="s">
        <v>503</v>
      </c>
      <c r="P969" s="207">
        <v>5950</v>
      </c>
      <c r="Q969" s="207">
        <v>30</v>
      </c>
      <c r="R969" s="118">
        <f t="shared" si="27"/>
        <v>178500</v>
      </c>
      <c r="S969" s="115">
        <v>202304</v>
      </c>
      <c r="T969" s="222" t="s">
        <v>1346</v>
      </c>
      <c r="U969" s="223"/>
      <c r="V969" s="165"/>
      <c r="W969" s="165"/>
      <c r="X969" s="116">
        <v>43358</v>
      </c>
      <c r="Y969" s="116">
        <v>45549</v>
      </c>
    </row>
    <row r="970" s="85" customFormat="1" customHeight="1" spans="1:25">
      <c r="A970" s="98" t="s">
        <v>448</v>
      </c>
      <c r="B970" s="98" t="s">
        <v>62</v>
      </c>
      <c r="C970" s="98" t="s">
        <v>238</v>
      </c>
      <c r="D970" s="98" t="s">
        <v>642</v>
      </c>
      <c r="E970" s="161" t="s">
        <v>1309</v>
      </c>
      <c r="F970" s="98" t="s">
        <v>1016</v>
      </c>
      <c r="G970" s="172" t="s">
        <v>88</v>
      </c>
      <c r="H970" s="100" t="s">
        <v>1340</v>
      </c>
      <c r="I970" s="46" t="e">
        <f>VLOOKUP(H970,'合同高级查询数据-4月返'!A:A,1,FALSE)</f>
        <v>#N/A</v>
      </c>
      <c r="J970" s="47" t="s">
        <v>90</v>
      </c>
      <c r="K970" s="172" t="s">
        <v>1341</v>
      </c>
      <c r="L970" s="228"/>
      <c r="M970" s="49" t="s">
        <v>1019</v>
      </c>
      <c r="N970" s="229">
        <v>43368</v>
      </c>
      <c r="O970" s="229" t="s">
        <v>503</v>
      </c>
      <c r="P970" s="207">
        <v>5950</v>
      </c>
      <c r="Q970" s="207">
        <v>30</v>
      </c>
      <c r="R970" s="118">
        <f t="shared" si="27"/>
        <v>178500</v>
      </c>
      <c r="S970" s="115">
        <v>202304</v>
      </c>
      <c r="T970" s="222" t="s">
        <v>1347</v>
      </c>
      <c r="U970" s="223"/>
      <c r="V970" s="165"/>
      <c r="W970" s="165"/>
      <c r="X970" s="116">
        <v>43358</v>
      </c>
      <c r="Y970" s="116">
        <v>45549</v>
      </c>
    </row>
    <row r="971" s="85" customFormat="1" customHeight="1" spans="1:25">
      <c r="A971" s="98" t="s">
        <v>448</v>
      </c>
      <c r="B971" s="98" t="s">
        <v>62</v>
      </c>
      <c r="C971" s="98" t="s">
        <v>238</v>
      </c>
      <c r="D971" s="98" t="s">
        <v>642</v>
      </c>
      <c r="E971" s="161" t="s">
        <v>1309</v>
      </c>
      <c r="F971" s="98" t="s">
        <v>1016</v>
      </c>
      <c r="G971" s="172" t="s">
        <v>88</v>
      </c>
      <c r="H971" s="100" t="s">
        <v>1340</v>
      </c>
      <c r="I971" s="46" t="e">
        <f>VLOOKUP(H971,'合同高级查询数据-4月返'!A:A,1,FALSE)</f>
        <v>#N/A</v>
      </c>
      <c r="J971" s="47" t="s">
        <v>90</v>
      </c>
      <c r="K971" s="172" t="s">
        <v>1341</v>
      </c>
      <c r="L971" s="228"/>
      <c r="M971" s="49" t="s">
        <v>1019</v>
      </c>
      <c r="N971" s="229">
        <v>43370</v>
      </c>
      <c r="O971" s="229" t="s">
        <v>503</v>
      </c>
      <c r="P971" s="207">
        <v>5950</v>
      </c>
      <c r="Q971" s="207">
        <v>31</v>
      </c>
      <c r="R971" s="118">
        <f t="shared" si="27"/>
        <v>184450</v>
      </c>
      <c r="S971" s="115">
        <v>202304</v>
      </c>
      <c r="T971" s="222" t="s">
        <v>1348</v>
      </c>
      <c r="U971" s="223"/>
      <c r="V971" s="165"/>
      <c r="W971" s="165"/>
      <c r="X971" s="116">
        <v>43358</v>
      </c>
      <c r="Y971" s="116">
        <v>45549</v>
      </c>
    </row>
    <row r="972" s="85" customFormat="1" customHeight="1" spans="1:25">
      <c r="A972" s="98" t="s">
        <v>448</v>
      </c>
      <c r="B972" s="98" t="s">
        <v>62</v>
      </c>
      <c r="C972" s="98" t="s">
        <v>238</v>
      </c>
      <c r="D972" s="98" t="s">
        <v>642</v>
      </c>
      <c r="E972" s="161" t="s">
        <v>1309</v>
      </c>
      <c r="F972" s="98" t="s">
        <v>1016</v>
      </c>
      <c r="G972" s="172" t="s">
        <v>88</v>
      </c>
      <c r="H972" s="100" t="s">
        <v>1340</v>
      </c>
      <c r="I972" s="46" t="e">
        <f>VLOOKUP(H972,'合同高级查询数据-4月返'!A:A,1,FALSE)</f>
        <v>#N/A</v>
      </c>
      <c r="J972" s="47" t="s">
        <v>90</v>
      </c>
      <c r="K972" s="172" t="s">
        <v>1341</v>
      </c>
      <c r="L972" s="228"/>
      <c r="M972" s="49" t="s">
        <v>1019</v>
      </c>
      <c r="N972" s="229">
        <v>43371</v>
      </c>
      <c r="O972" s="229" t="s">
        <v>503</v>
      </c>
      <c r="P972" s="207">
        <v>5950</v>
      </c>
      <c r="Q972" s="207">
        <v>8</v>
      </c>
      <c r="R972" s="118">
        <f t="shared" si="27"/>
        <v>47600</v>
      </c>
      <c r="S972" s="115">
        <v>202304</v>
      </c>
      <c r="T972" s="222" t="s">
        <v>1349</v>
      </c>
      <c r="U972" s="223"/>
      <c r="V972" s="165"/>
      <c r="W972" s="165"/>
      <c r="X972" s="116">
        <v>43358</v>
      </c>
      <c r="Y972" s="116">
        <v>45549</v>
      </c>
    </row>
    <row r="973" s="85" customFormat="1" customHeight="1" spans="1:25">
      <c r="A973" s="98" t="s">
        <v>448</v>
      </c>
      <c r="B973" s="98" t="s">
        <v>62</v>
      </c>
      <c r="C973" s="98" t="s">
        <v>238</v>
      </c>
      <c r="D973" s="98" t="s">
        <v>642</v>
      </c>
      <c r="E973" s="161" t="s">
        <v>1309</v>
      </c>
      <c r="F973" s="98" t="s">
        <v>1016</v>
      </c>
      <c r="G973" s="172" t="s">
        <v>88</v>
      </c>
      <c r="H973" s="100" t="s">
        <v>1340</v>
      </c>
      <c r="I973" s="46" t="e">
        <f>VLOOKUP(H973,'合同高级查询数据-4月返'!A:A,1,FALSE)</f>
        <v>#N/A</v>
      </c>
      <c r="J973" s="47" t="s">
        <v>90</v>
      </c>
      <c r="K973" s="172" t="s">
        <v>1341</v>
      </c>
      <c r="L973" s="228"/>
      <c r="M973" s="49" t="s">
        <v>1019</v>
      </c>
      <c r="N973" s="229">
        <v>43382</v>
      </c>
      <c r="O973" s="229" t="s">
        <v>503</v>
      </c>
      <c r="P973" s="207">
        <v>5950</v>
      </c>
      <c r="Q973" s="207">
        <v>169</v>
      </c>
      <c r="R973" s="118">
        <f t="shared" si="27"/>
        <v>1005550</v>
      </c>
      <c r="S973" s="115">
        <v>202304</v>
      </c>
      <c r="T973" s="222" t="s">
        <v>1350</v>
      </c>
      <c r="U973" s="223"/>
      <c r="V973" s="165"/>
      <c r="W973" s="165"/>
      <c r="X973" s="116">
        <v>43358</v>
      </c>
      <c r="Y973" s="116">
        <v>45549</v>
      </c>
    </row>
    <row r="974" s="85" customFormat="1" customHeight="1" spans="1:25">
      <c r="A974" s="98" t="s">
        <v>448</v>
      </c>
      <c r="B974" s="98" t="s">
        <v>62</v>
      </c>
      <c r="C974" s="98" t="s">
        <v>238</v>
      </c>
      <c r="D974" s="98" t="s">
        <v>642</v>
      </c>
      <c r="E974" s="161" t="s">
        <v>1309</v>
      </c>
      <c r="F974" s="98" t="s">
        <v>1016</v>
      </c>
      <c r="G974" s="172" t="s">
        <v>88</v>
      </c>
      <c r="H974" s="100" t="s">
        <v>1340</v>
      </c>
      <c r="I974" s="46" t="e">
        <f>VLOOKUP(H974,'合同高级查询数据-4月返'!A:A,1,FALSE)</f>
        <v>#N/A</v>
      </c>
      <c r="J974" s="47" t="s">
        <v>90</v>
      </c>
      <c r="K974" s="172" t="s">
        <v>1341</v>
      </c>
      <c r="L974" s="228"/>
      <c r="M974" s="49" t="s">
        <v>1019</v>
      </c>
      <c r="N974" s="229">
        <v>43389</v>
      </c>
      <c r="O974" s="229" t="s">
        <v>503</v>
      </c>
      <c r="P974" s="207">
        <v>5950</v>
      </c>
      <c r="Q974" s="207">
        <v>3</v>
      </c>
      <c r="R974" s="118">
        <f t="shared" si="27"/>
        <v>17850</v>
      </c>
      <c r="S974" s="115">
        <v>202304</v>
      </c>
      <c r="T974" s="222" t="s">
        <v>1351</v>
      </c>
      <c r="U974" s="223"/>
      <c r="V974" s="165"/>
      <c r="W974" s="165"/>
      <c r="X974" s="116">
        <v>43358</v>
      </c>
      <c r="Y974" s="116">
        <v>45549</v>
      </c>
    </row>
    <row r="975" s="85" customFormat="1" customHeight="1" spans="1:25">
      <c r="A975" s="98" t="s">
        <v>448</v>
      </c>
      <c r="B975" s="98" t="s">
        <v>62</v>
      </c>
      <c r="C975" s="98" t="s">
        <v>238</v>
      </c>
      <c r="D975" s="98" t="s">
        <v>642</v>
      </c>
      <c r="E975" s="161" t="s">
        <v>1309</v>
      </c>
      <c r="F975" s="98" t="s">
        <v>1016</v>
      </c>
      <c r="G975" s="172" t="s">
        <v>88</v>
      </c>
      <c r="H975" s="100" t="s">
        <v>1340</v>
      </c>
      <c r="I975" s="46" t="e">
        <f>VLOOKUP(H975,'合同高级查询数据-4月返'!A:A,1,FALSE)</f>
        <v>#N/A</v>
      </c>
      <c r="J975" s="47" t="s">
        <v>90</v>
      </c>
      <c r="K975" s="172" t="s">
        <v>1341</v>
      </c>
      <c r="L975" s="228"/>
      <c r="M975" s="49" t="s">
        <v>1019</v>
      </c>
      <c r="N975" s="229">
        <v>43391</v>
      </c>
      <c r="O975" s="229" t="s">
        <v>503</v>
      </c>
      <c r="P975" s="207">
        <v>5950</v>
      </c>
      <c r="Q975" s="207">
        <v>6</v>
      </c>
      <c r="R975" s="118">
        <f t="shared" si="27"/>
        <v>35700</v>
      </c>
      <c r="S975" s="115">
        <v>202304</v>
      </c>
      <c r="T975" s="222" t="s">
        <v>1352</v>
      </c>
      <c r="U975" s="223"/>
      <c r="V975" s="165"/>
      <c r="W975" s="165"/>
      <c r="X975" s="116">
        <v>43358</v>
      </c>
      <c r="Y975" s="116">
        <v>45549</v>
      </c>
    </row>
    <row r="976" s="85" customFormat="1" customHeight="1" spans="1:25">
      <c r="A976" s="98" t="s">
        <v>448</v>
      </c>
      <c r="B976" s="98" t="s">
        <v>62</v>
      </c>
      <c r="C976" s="98" t="s">
        <v>238</v>
      </c>
      <c r="D976" s="98" t="s">
        <v>642</v>
      </c>
      <c r="E976" s="161" t="s">
        <v>1309</v>
      </c>
      <c r="F976" s="98" t="s">
        <v>1016</v>
      </c>
      <c r="G976" s="172" t="s">
        <v>88</v>
      </c>
      <c r="H976" s="100" t="s">
        <v>1340</v>
      </c>
      <c r="I976" s="46" t="e">
        <f>VLOOKUP(H976,'合同高级查询数据-4月返'!A:A,1,FALSE)</f>
        <v>#N/A</v>
      </c>
      <c r="J976" s="47" t="s">
        <v>90</v>
      </c>
      <c r="K976" s="172" t="s">
        <v>1341</v>
      </c>
      <c r="L976" s="228"/>
      <c r="M976" s="49" t="s">
        <v>1019</v>
      </c>
      <c r="N976" s="229">
        <v>43397</v>
      </c>
      <c r="O976" s="229" t="s">
        <v>503</v>
      </c>
      <c r="P976" s="207">
        <v>5950</v>
      </c>
      <c r="Q976" s="207">
        <v>1</v>
      </c>
      <c r="R976" s="118">
        <f t="shared" si="27"/>
        <v>5950</v>
      </c>
      <c r="S976" s="115">
        <v>202304</v>
      </c>
      <c r="T976" s="222" t="s">
        <v>1353</v>
      </c>
      <c r="U976" s="223"/>
      <c r="V976" s="165"/>
      <c r="W976" s="165"/>
      <c r="X976" s="116">
        <v>43358</v>
      </c>
      <c r="Y976" s="116">
        <v>45549</v>
      </c>
    </row>
    <row r="977" s="85" customFormat="1" customHeight="1" spans="1:25">
      <c r="A977" s="98" t="s">
        <v>448</v>
      </c>
      <c r="B977" s="98" t="s">
        <v>62</v>
      </c>
      <c r="C977" s="98" t="s">
        <v>238</v>
      </c>
      <c r="D977" s="98" t="s">
        <v>642</v>
      </c>
      <c r="E977" s="161" t="s">
        <v>1309</v>
      </c>
      <c r="F977" s="98" t="s">
        <v>1016</v>
      </c>
      <c r="G977" s="172" t="s">
        <v>88</v>
      </c>
      <c r="H977" s="100" t="s">
        <v>1340</v>
      </c>
      <c r="I977" s="46" t="e">
        <f>VLOOKUP(H977,'合同高级查询数据-4月返'!A:A,1,FALSE)</f>
        <v>#N/A</v>
      </c>
      <c r="J977" s="47" t="s">
        <v>90</v>
      </c>
      <c r="K977" s="172" t="s">
        <v>1341</v>
      </c>
      <c r="L977" s="228"/>
      <c r="M977" s="49" t="s">
        <v>1019</v>
      </c>
      <c r="N977" s="229">
        <v>43383</v>
      </c>
      <c r="O977" s="229" t="s">
        <v>503</v>
      </c>
      <c r="P977" s="207">
        <v>5950</v>
      </c>
      <c r="Q977" s="207">
        <v>12</v>
      </c>
      <c r="R977" s="118">
        <f t="shared" si="27"/>
        <v>71400</v>
      </c>
      <c r="S977" s="115">
        <v>202304</v>
      </c>
      <c r="T977" s="222" t="s">
        <v>1354</v>
      </c>
      <c r="U977" s="223"/>
      <c r="V977" s="165"/>
      <c r="W977" s="165"/>
      <c r="X977" s="116">
        <v>43358</v>
      </c>
      <c r="Y977" s="116">
        <v>45549</v>
      </c>
    </row>
    <row r="978" s="85" customFormat="1" customHeight="1" spans="1:25">
      <c r="A978" s="98" t="s">
        <v>448</v>
      </c>
      <c r="B978" s="98" t="s">
        <v>62</v>
      </c>
      <c r="C978" s="98" t="s">
        <v>238</v>
      </c>
      <c r="D978" s="98" t="s">
        <v>642</v>
      </c>
      <c r="E978" s="161" t="s">
        <v>1309</v>
      </c>
      <c r="F978" s="98" t="s">
        <v>1016</v>
      </c>
      <c r="G978" s="172" t="s">
        <v>88</v>
      </c>
      <c r="H978" s="100" t="s">
        <v>1340</v>
      </c>
      <c r="I978" s="46" t="e">
        <f>VLOOKUP(H978,'合同高级查询数据-4月返'!A:A,1,FALSE)</f>
        <v>#N/A</v>
      </c>
      <c r="J978" s="47" t="s">
        <v>90</v>
      </c>
      <c r="K978" s="172" t="s">
        <v>1341</v>
      </c>
      <c r="L978" s="228"/>
      <c r="M978" s="49" t="s">
        <v>1019</v>
      </c>
      <c r="N978" s="229">
        <v>43384</v>
      </c>
      <c r="O978" s="229" t="s">
        <v>503</v>
      </c>
      <c r="P978" s="207">
        <v>5950</v>
      </c>
      <c r="Q978" s="207">
        <v>1</v>
      </c>
      <c r="R978" s="118">
        <f t="shared" si="27"/>
        <v>5950</v>
      </c>
      <c r="S978" s="115">
        <v>202304</v>
      </c>
      <c r="T978" s="222" t="s">
        <v>1355</v>
      </c>
      <c r="U978" s="223"/>
      <c r="V978" s="165"/>
      <c r="W978" s="165"/>
      <c r="X978" s="116">
        <v>43358</v>
      </c>
      <c r="Y978" s="116">
        <v>45549</v>
      </c>
    </row>
    <row r="979" s="85" customFormat="1" customHeight="1" spans="1:25">
      <c r="A979" s="98" t="s">
        <v>448</v>
      </c>
      <c r="B979" s="98" t="s">
        <v>62</v>
      </c>
      <c r="C979" s="98" t="s">
        <v>238</v>
      </c>
      <c r="D979" s="98" t="s">
        <v>642</v>
      </c>
      <c r="E979" s="161" t="s">
        <v>1309</v>
      </c>
      <c r="F979" s="98" t="s">
        <v>1016</v>
      </c>
      <c r="G979" s="172" t="s">
        <v>88</v>
      </c>
      <c r="H979" s="100" t="s">
        <v>1340</v>
      </c>
      <c r="I979" s="46" t="e">
        <f>VLOOKUP(H979,'合同高级查询数据-4月返'!A:A,1,FALSE)</f>
        <v>#N/A</v>
      </c>
      <c r="J979" s="47" t="s">
        <v>90</v>
      </c>
      <c r="K979" s="172" t="s">
        <v>1341</v>
      </c>
      <c r="L979" s="228"/>
      <c r="M979" s="49" t="s">
        <v>1019</v>
      </c>
      <c r="N979" s="229">
        <v>43385</v>
      </c>
      <c r="O979" s="229" t="s">
        <v>503</v>
      </c>
      <c r="P979" s="207">
        <v>5950</v>
      </c>
      <c r="Q979" s="207">
        <v>4</v>
      </c>
      <c r="R979" s="118">
        <f t="shared" si="27"/>
        <v>23800</v>
      </c>
      <c r="S979" s="115">
        <v>202304</v>
      </c>
      <c r="T979" s="222" t="s">
        <v>1356</v>
      </c>
      <c r="U979" s="223"/>
      <c r="V979" s="165"/>
      <c r="W979" s="165"/>
      <c r="X979" s="116">
        <v>43358</v>
      </c>
      <c r="Y979" s="116">
        <v>45549</v>
      </c>
    </row>
    <row r="980" s="85" customFormat="1" customHeight="1" spans="1:25">
      <c r="A980" s="98" t="s">
        <v>448</v>
      </c>
      <c r="B980" s="98" t="s">
        <v>62</v>
      </c>
      <c r="C980" s="98" t="s">
        <v>238</v>
      </c>
      <c r="D980" s="98" t="s">
        <v>642</v>
      </c>
      <c r="E980" s="161" t="s">
        <v>1309</v>
      </c>
      <c r="F980" s="98" t="s">
        <v>1016</v>
      </c>
      <c r="G980" s="172" t="s">
        <v>88</v>
      </c>
      <c r="H980" s="100" t="s">
        <v>1340</v>
      </c>
      <c r="I980" s="46" t="e">
        <f>VLOOKUP(H980,'合同高级查询数据-4月返'!A:A,1,FALSE)</f>
        <v>#N/A</v>
      </c>
      <c r="J980" s="47" t="s">
        <v>90</v>
      </c>
      <c r="K980" s="172" t="s">
        <v>1341</v>
      </c>
      <c r="L980" s="228"/>
      <c r="M980" s="49" t="s">
        <v>1019</v>
      </c>
      <c r="N980" s="229">
        <v>43389</v>
      </c>
      <c r="O980" s="229" t="s">
        <v>503</v>
      </c>
      <c r="P980" s="207">
        <v>5950</v>
      </c>
      <c r="Q980" s="207">
        <v>1</v>
      </c>
      <c r="R980" s="118">
        <f t="shared" si="27"/>
        <v>5950</v>
      </c>
      <c r="S980" s="115">
        <v>202304</v>
      </c>
      <c r="T980" s="222" t="s">
        <v>1357</v>
      </c>
      <c r="U980" s="223"/>
      <c r="V980" s="165"/>
      <c r="W980" s="165"/>
      <c r="X980" s="116">
        <v>43358</v>
      </c>
      <c r="Y980" s="116">
        <v>45549</v>
      </c>
    </row>
    <row r="981" s="85" customFormat="1" customHeight="1" spans="1:25">
      <c r="A981" s="98" t="s">
        <v>448</v>
      </c>
      <c r="B981" s="98" t="s">
        <v>62</v>
      </c>
      <c r="C981" s="98" t="s">
        <v>238</v>
      </c>
      <c r="D981" s="98" t="s">
        <v>642</v>
      </c>
      <c r="E981" s="161" t="s">
        <v>1309</v>
      </c>
      <c r="F981" s="98" t="s">
        <v>1016</v>
      </c>
      <c r="G981" s="172" t="s">
        <v>88</v>
      </c>
      <c r="H981" s="100" t="s">
        <v>1340</v>
      </c>
      <c r="I981" s="46" t="e">
        <f>VLOOKUP(H981,'合同高级查询数据-4月返'!A:A,1,FALSE)</f>
        <v>#N/A</v>
      </c>
      <c r="J981" s="47" t="s">
        <v>90</v>
      </c>
      <c r="K981" s="172" t="s">
        <v>1341</v>
      </c>
      <c r="L981" s="228"/>
      <c r="M981" s="49" t="s">
        <v>1019</v>
      </c>
      <c r="N981" s="229">
        <v>43391</v>
      </c>
      <c r="O981" s="229" t="s">
        <v>503</v>
      </c>
      <c r="P981" s="207">
        <v>5950</v>
      </c>
      <c r="Q981" s="207">
        <v>4</v>
      </c>
      <c r="R981" s="118">
        <f t="shared" si="27"/>
        <v>23800</v>
      </c>
      <c r="S981" s="115">
        <v>202304</v>
      </c>
      <c r="T981" s="222" t="s">
        <v>1358</v>
      </c>
      <c r="U981" s="223"/>
      <c r="V981" s="165"/>
      <c r="W981" s="165"/>
      <c r="X981" s="116">
        <v>43358</v>
      </c>
      <c r="Y981" s="116">
        <v>45549</v>
      </c>
    </row>
    <row r="982" s="85" customFormat="1" customHeight="1" spans="1:25">
      <c r="A982" s="98" t="s">
        <v>448</v>
      </c>
      <c r="B982" s="98" t="s">
        <v>62</v>
      </c>
      <c r="C982" s="98" t="s">
        <v>238</v>
      </c>
      <c r="D982" s="98" t="s">
        <v>642</v>
      </c>
      <c r="E982" s="161" t="s">
        <v>1309</v>
      </c>
      <c r="F982" s="98" t="s">
        <v>1016</v>
      </c>
      <c r="G982" s="172" t="s">
        <v>88</v>
      </c>
      <c r="H982" s="100" t="s">
        <v>1340</v>
      </c>
      <c r="I982" s="46" t="e">
        <f>VLOOKUP(H982,'合同高级查询数据-4月返'!A:A,1,FALSE)</f>
        <v>#N/A</v>
      </c>
      <c r="J982" s="47" t="s">
        <v>90</v>
      </c>
      <c r="K982" s="172" t="s">
        <v>1341</v>
      </c>
      <c r="L982" s="228"/>
      <c r="M982" s="49" t="s">
        <v>1019</v>
      </c>
      <c r="N982" s="229">
        <v>43404</v>
      </c>
      <c r="O982" s="229" t="s">
        <v>503</v>
      </c>
      <c r="P982" s="207">
        <v>5950</v>
      </c>
      <c r="Q982" s="207">
        <v>26</v>
      </c>
      <c r="R982" s="118">
        <f t="shared" si="27"/>
        <v>154700</v>
      </c>
      <c r="S982" s="115">
        <v>202304</v>
      </c>
      <c r="T982" s="222" t="s">
        <v>1359</v>
      </c>
      <c r="U982" s="223"/>
      <c r="V982" s="165"/>
      <c r="W982" s="165"/>
      <c r="X982" s="116">
        <v>43358</v>
      </c>
      <c r="Y982" s="116">
        <v>45549</v>
      </c>
    </row>
    <row r="983" s="85" customFormat="1" customHeight="1" spans="1:25">
      <c r="A983" s="98" t="s">
        <v>448</v>
      </c>
      <c r="B983" s="98" t="s">
        <v>62</v>
      </c>
      <c r="C983" s="98" t="s">
        <v>238</v>
      </c>
      <c r="D983" s="98" t="s">
        <v>642</v>
      </c>
      <c r="E983" s="161" t="s">
        <v>1309</v>
      </c>
      <c r="F983" s="98" t="s">
        <v>1016</v>
      </c>
      <c r="G983" s="172" t="s">
        <v>88</v>
      </c>
      <c r="H983" s="100" t="s">
        <v>1340</v>
      </c>
      <c r="I983" s="46" t="e">
        <f>VLOOKUP(H983,'合同高级查询数据-4月返'!A:A,1,FALSE)</f>
        <v>#N/A</v>
      </c>
      <c r="J983" s="47" t="s">
        <v>90</v>
      </c>
      <c r="K983" s="172" t="s">
        <v>1341</v>
      </c>
      <c r="L983" s="228"/>
      <c r="M983" s="49" t="s">
        <v>1019</v>
      </c>
      <c r="N983" s="229">
        <v>43411</v>
      </c>
      <c r="O983" s="229" t="s">
        <v>503</v>
      </c>
      <c r="P983" s="207">
        <v>5950</v>
      </c>
      <c r="Q983" s="207">
        <v>5</v>
      </c>
      <c r="R983" s="118">
        <f t="shared" si="27"/>
        <v>29750</v>
      </c>
      <c r="S983" s="115">
        <v>202304</v>
      </c>
      <c r="T983" s="222" t="s">
        <v>1360</v>
      </c>
      <c r="U983" s="223"/>
      <c r="V983" s="165"/>
      <c r="W983" s="165"/>
      <c r="X983" s="116">
        <v>43358</v>
      </c>
      <c r="Y983" s="116">
        <v>45549</v>
      </c>
    </row>
    <row r="984" s="85" customFormat="1" customHeight="1" spans="1:25">
      <c r="A984" s="98" t="s">
        <v>448</v>
      </c>
      <c r="B984" s="98" t="s">
        <v>62</v>
      </c>
      <c r="C984" s="98" t="s">
        <v>238</v>
      </c>
      <c r="D984" s="98" t="s">
        <v>642</v>
      </c>
      <c r="E984" s="161" t="s">
        <v>1309</v>
      </c>
      <c r="F984" s="98" t="s">
        <v>1016</v>
      </c>
      <c r="G984" s="172" t="s">
        <v>88</v>
      </c>
      <c r="H984" s="100" t="s">
        <v>1340</v>
      </c>
      <c r="I984" s="46" t="e">
        <f>VLOOKUP(H984,'合同高级查询数据-4月返'!A:A,1,FALSE)</f>
        <v>#N/A</v>
      </c>
      <c r="J984" s="47" t="s">
        <v>90</v>
      </c>
      <c r="K984" s="172" t="s">
        <v>1341</v>
      </c>
      <c r="L984" s="228"/>
      <c r="M984" s="49" t="s">
        <v>1019</v>
      </c>
      <c r="N984" s="230">
        <v>43420</v>
      </c>
      <c r="O984" s="181" t="s">
        <v>503</v>
      </c>
      <c r="P984" s="207">
        <v>5950</v>
      </c>
      <c r="Q984" s="207">
        <v>9</v>
      </c>
      <c r="R984" s="118">
        <f t="shared" si="27"/>
        <v>53550</v>
      </c>
      <c r="S984" s="115">
        <v>202304</v>
      </c>
      <c r="T984" s="222" t="s">
        <v>1361</v>
      </c>
      <c r="U984" s="223"/>
      <c r="V984" s="165"/>
      <c r="W984" s="165"/>
      <c r="X984" s="116">
        <v>43358</v>
      </c>
      <c r="Y984" s="116">
        <v>45549</v>
      </c>
    </row>
    <row r="985" s="85" customFormat="1" customHeight="1" spans="1:25">
      <c r="A985" s="98" t="s">
        <v>448</v>
      </c>
      <c r="B985" s="98" t="s">
        <v>62</v>
      </c>
      <c r="C985" s="98" t="s">
        <v>238</v>
      </c>
      <c r="D985" s="98" t="s">
        <v>642</v>
      </c>
      <c r="E985" s="161" t="s">
        <v>1309</v>
      </c>
      <c r="F985" s="98" t="s">
        <v>1016</v>
      </c>
      <c r="G985" s="172" t="s">
        <v>88</v>
      </c>
      <c r="H985" s="100" t="s">
        <v>1340</v>
      </c>
      <c r="I985" s="46" t="e">
        <f>VLOOKUP(H985,'合同高级查询数据-4月返'!A:A,1,FALSE)</f>
        <v>#N/A</v>
      </c>
      <c r="J985" s="47" t="s">
        <v>90</v>
      </c>
      <c r="K985" s="172" t="s">
        <v>1341</v>
      </c>
      <c r="L985" s="228"/>
      <c r="M985" s="49" t="s">
        <v>1019</v>
      </c>
      <c r="N985" s="230">
        <v>43429</v>
      </c>
      <c r="O985" s="181" t="s">
        <v>503</v>
      </c>
      <c r="P985" s="207">
        <v>5900</v>
      </c>
      <c r="Q985" s="207">
        <v>21</v>
      </c>
      <c r="R985" s="118">
        <f t="shared" si="27"/>
        <v>123900</v>
      </c>
      <c r="S985" s="115">
        <v>202304</v>
      </c>
      <c r="T985" s="222" t="s">
        <v>1362</v>
      </c>
      <c r="U985" s="223"/>
      <c r="V985" s="165"/>
      <c r="W985" s="165"/>
      <c r="X985" s="116">
        <v>43358</v>
      </c>
      <c r="Y985" s="116">
        <v>45549</v>
      </c>
    </row>
    <row r="986" s="85" customFormat="1" customHeight="1" spans="1:25">
      <c r="A986" s="98" t="s">
        <v>448</v>
      </c>
      <c r="B986" s="98" t="s">
        <v>62</v>
      </c>
      <c r="C986" s="98" t="s">
        <v>238</v>
      </c>
      <c r="D986" s="98" t="s">
        <v>642</v>
      </c>
      <c r="E986" s="161" t="s">
        <v>1309</v>
      </c>
      <c r="F986" s="98" t="s">
        <v>1016</v>
      </c>
      <c r="G986" s="172" t="s">
        <v>88</v>
      </c>
      <c r="H986" s="100" t="s">
        <v>1340</v>
      </c>
      <c r="I986" s="46" t="e">
        <f>VLOOKUP(H986,'合同高级查询数据-4月返'!A:A,1,FALSE)</f>
        <v>#N/A</v>
      </c>
      <c r="J986" s="47" t="s">
        <v>90</v>
      </c>
      <c r="K986" s="172" t="s">
        <v>1341</v>
      </c>
      <c r="L986" s="228"/>
      <c r="M986" s="49" t="s">
        <v>1019</v>
      </c>
      <c r="N986" s="230">
        <v>43432</v>
      </c>
      <c r="O986" s="181" t="s">
        <v>503</v>
      </c>
      <c r="P986" s="207">
        <v>5950</v>
      </c>
      <c r="Q986" s="207">
        <v>11</v>
      </c>
      <c r="R986" s="118">
        <f t="shared" si="27"/>
        <v>65450</v>
      </c>
      <c r="S986" s="115">
        <v>202304</v>
      </c>
      <c r="T986" s="222" t="s">
        <v>1363</v>
      </c>
      <c r="U986" s="223"/>
      <c r="V986" s="165"/>
      <c r="W986" s="165"/>
      <c r="X986" s="116">
        <v>43358</v>
      </c>
      <c r="Y986" s="116">
        <v>45549</v>
      </c>
    </row>
    <row r="987" s="85" customFormat="1" customHeight="1" spans="1:25">
      <c r="A987" s="98" t="s">
        <v>448</v>
      </c>
      <c r="B987" s="98" t="s">
        <v>62</v>
      </c>
      <c r="C987" s="98" t="s">
        <v>238</v>
      </c>
      <c r="D987" s="98" t="s">
        <v>642</v>
      </c>
      <c r="E987" s="161" t="s">
        <v>1309</v>
      </c>
      <c r="F987" s="98" t="s">
        <v>1016</v>
      </c>
      <c r="G987" s="172" t="s">
        <v>88</v>
      </c>
      <c r="H987" s="100" t="s">
        <v>1340</v>
      </c>
      <c r="I987" s="46" t="e">
        <f>VLOOKUP(H987,'合同高级查询数据-4月返'!A:A,1,FALSE)</f>
        <v>#N/A</v>
      </c>
      <c r="J987" s="47" t="s">
        <v>90</v>
      </c>
      <c r="K987" s="172" t="s">
        <v>1341</v>
      </c>
      <c r="L987" s="228"/>
      <c r="M987" s="49" t="s">
        <v>1019</v>
      </c>
      <c r="N987" s="230">
        <v>43434</v>
      </c>
      <c r="O987" s="181" t="s">
        <v>503</v>
      </c>
      <c r="P987" s="207">
        <v>5950</v>
      </c>
      <c r="Q987" s="207">
        <v>31</v>
      </c>
      <c r="R987" s="118">
        <f t="shared" si="27"/>
        <v>184450</v>
      </c>
      <c r="S987" s="115">
        <v>202304</v>
      </c>
      <c r="T987" s="222" t="s">
        <v>1364</v>
      </c>
      <c r="U987" s="223"/>
      <c r="V987" s="165"/>
      <c r="W987" s="165"/>
      <c r="X987" s="116">
        <v>43358</v>
      </c>
      <c r="Y987" s="116">
        <v>45549</v>
      </c>
    </row>
    <row r="988" s="85" customFormat="1" customHeight="1" spans="1:25">
      <c r="A988" s="98" t="s">
        <v>448</v>
      </c>
      <c r="B988" s="98" t="s">
        <v>62</v>
      </c>
      <c r="C988" s="98" t="s">
        <v>238</v>
      </c>
      <c r="D988" s="98" t="s">
        <v>642</v>
      </c>
      <c r="E988" s="161" t="s">
        <v>1309</v>
      </c>
      <c r="F988" s="98" t="s">
        <v>1016</v>
      </c>
      <c r="G988" s="172" t="s">
        <v>88</v>
      </c>
      <c r="H988" s="100" t="s">
        <v>1340</v>
      </c>
      <c r="I988" s="46" t="e">
        <f>VLOOKUP(H988,'合同高级查询数据-4月返'!A:A,1,FALSE)</f>
        <v>#N/A</v>
      </c>
      <c r="J988" s="47" t="s">
        <v>90</v>
      </c>
      <c r="K988" s="172" t="s">
        <v>1341</v>
      </c>
      <c r="L988" s="228"/>
      <c r="M988" s="49" t="s">
        <v>1019</v>
      </c>
      <c r="N988" s="230">
        <v>43438</v>
      </c>
      <c r="O988" s="181" t="s">
        <v>503</v>
      </c>
      <c r="P988" s="207">
        <v>5950</v>
      </c>
      <c r="Q988" s="207">
        <v>2</v>
      </c>
      <c r="R988" s="118">
        <f t="shared" si="27"/>
        <v>11900</v>
      </c>
      <c r="S988" s="115">
        <v>202304</v>
      </c>
      <c r="T988" s="222" t="s">
        <v>1365</v>
      </c>
      <c r="U988" s="223"/>
      <c r="V988" s="165"/>
      <c r="W988" s="165"/>
      <c r="X988" s="116">
        <v>43358</v>
      </c>
      <c r="Y988" s="116">
        <v>45549</v>
      </c>
    </row>
    <row r="989" s="85" customFormat="1" customHeight="1" spans="1:25">
      <c r="A989" s="98" t="s">
        <v>448</v>
      </c>
      <c r="B989" s="98" t="s">
        <v>62</v>
      </c>
      <c r="C989" s="98" t="s">
        <v>238</v>
      </c>
      <c r="D989" s="98" t="s">
        <v>642</v>
      </c>
      <c r="E989" s="161" t="s">
        <v>1309</v>
      </c>
      <c r="F989" s="98" t="s">
        <v>1016</v>
      </c>
      <c r="G989" s="172" t="s">
        <v>88</v>
      </c>
      <c r="H989" s="100" t="s">
        <v>1340</v>
      </c>
      <c r="I989" s="46" t="e">
        <f>VLOOKUP(H989,'合同高级查询数据-4月返'!A:A,1,FALSE)</f>
        <v>#N/A</v>
      </c>
      <c r="J989" s="47" t="s">
        <v>90</v>
      </c>
      <c r="K989" s="172" t="s">
        <v>1341</v>
      </c>
      <c r="L989" s="228"/>
      <c r="M989" s="49" t="s">
        <v>1019</v>
      </c>
      <c r="N989" s="230">
        <v>43445</v>
      </c>
      <c r="O989" s="181" t="s">
        <v>503</v>
      </c>
      <c r="P989" s="207">
        <v>5950</v>
      </c>
      <c r="Q989" s="207">
        <v>4</v>
      </c>
      <c r="R989" s="118">
        <f t="shared" ref="R989:R1052" si="28">ROUND(P989*Q989,2)</f>
        <v>23800</v>
      </c>
      <c r="S989" s="115">
        <v>202304</v>
      </c>
      <c r="T989" s="222" t="s">
        <v>1366</v>
      </c>
      <c r="U989" s="223"/>
      <c r="V989" s="165"/>
      <c r="W989" s="165"/>
      <c r="X989" s="116">
        <v>43358</v>
      </c>
      <c r="Y989" s="116">
        <v>45549</v>
      </c>
    </row>
    <row r="990" s="85" customFormat="1" customHeight="1" spans="1:25">
      <c r="A990" s="98" t="s">
        <v>448</v>
      </c>
      <c r="B990" s="98" t="s">
        <v>62</v>
      </c>
      <c r="C990" s="98" t="s">
        <v>238</v>
      </c>
      <c r="D990" s="98" t="s">
        <v>642</v>
      </c>
      <c r="E990" s="161" t="s">
        <v>1309</v>
      </c>
      <c r="F990" s="98" t="s">
        <v>1016</v>
      </c>
      <c r="G990" s="172" t="s">
        <v>88</v>
      </c>
      <c r="H990" s="100" t="s">
        <v>1340</v>
      </c>
      <c r="I990" s="46" t="e">
        <f>VLOOKUP(H990,'合同高级查询数据-4月返'!A:A,1,FALSE)</f>
        <v>#N/A</v>
      </c>
      <c r="J990" s="47" t="s">
        <v>90</v>
      </c>
      <c r="K990" s="172" t="s">
        <v>1341</v>
      </c>
      <c r="L990" s="228"/>
      <c r="M990" s="49" t="s">
        <v>1019</v>
      </c>
      <c r="N990" s="230">
        <v>43447</v>
      </c>
      <c r="O990" s="181" t="s">
        <v>503</v>
      </c>
      <c r="P990" s="207">
        <v>5950</v>
      </c>
      <c r="Q990" s="207">
        <v>6</v>
      </c>
      <c r="R990" s="118">
        <f t="shared" si="28"/>
        <v>35700</v>
      </c>
      <c r="S990" s="115">
        <v>202304</v>
      </c>
      <c r="T990" s="222" t="s">
        <v>1367</v>
      </c>
      <c r="U990" s="223"/>
      <c r="V990" s="165"/>
      <c r="W990" s="165"/>
      <c r="X990" s="116">
        <v>43358</v>
      </c>
      <c r="Y990" s="116">
        <v>45549</v>
      </c>
    </row>
    <row r="991" s="85" customFormat="1" customHeight="1" spans="1:25">
      <c r="A991" s="98" t="s">
        <v>448</v>
      </c>
      <c r="B991" s="98" t="s">
        <v>62</v>
      </c>
      <c r="C991" s="98" t="s">
        <v>238</v>
      </c>
      <c r="D991" s="98" t="s">
        <v>642</v>
      </c>
      <c r="E991" s="161" t="s">
        <v>1309</v>
      </c>
      <c r="F991" s="98" t="s">
        <v>1016</v>
      </c>
      <c r="G991" s="172" t="s">
        <v>88</v>
      </c>
      <c r="H991" s="100" t="s">
        <v>1340</v>
      </c>
      <c r="I991" s="46" t="e">
        <f>VLOOKUP(H991,'合同高级查询数据-4月返'!A:A,1,FALSE)</f>
        <v>#N/A</v>
      </c>
      <c r="J991" s="47" t="s">
        <v>90</v>
      </c>
      <c r="K991" s="172" t="s">
        <v>1341</v>
      </c>
      <c r="L991" s="228"/>
      <c r="M991" s="49" t="s">
        <v>1019</v>
      </c>
      <c r="N991" s="230">
        <v>43458</v>
      </c>
      <c r="O991" s="181" t="s">
        <v>503</v>
      </c>
      <c r="P991" s="207">
        <v>5950</v>
      </c>
      <c r="Q991" s="207">
        <v>6</v>
      </c>
      <c r="R991" s="118">
        <f t="shared" si="28"/>
        <v>35700</v>
      </c>
      <c r="S991" s="115">
        <v>202304</v>
      </c>
      <c r="T991" s="222" t="s">
        <v>1368</v>
      </c>
      <c r="U991" s="223"/>
      <c r="V991" s="165"/>
      <c r="W991" s="165"/>
      <c r="X991" s="116">
        <v>43358</v>
      </c>
      <c r="Y991" s="116">
        <v>45549</v>
      </c>
    </row>
    <row r="992" s="85" customFormat="1" customHeight="1" spans="1:25">
      <c r="A992" s="98" t="s">
        <v>448</v>
      </c>
      <c r="B992" s="98" t="s">
        <v>62</v>
      </c>
      <c r="C992" s="98" t="s">
        <v>238</v>
      </c>
      <c r="D992" s="98" t="s">
        <v>642</v>
      </c>
      <c r="E992" s="161" t="s">
        <v>1309</v>
      </c>
      <c r="F992" s="98" t="s">
        <v>1016</v>
      </c>
      <c r="G992" s="172" t="s">
        <v>88</v>
      </c>
      <c r="H992" s="100" t="s">
        <v>1340</v>
      </c>
      <c r="I992" s="46" t="e">
        <f>VLOOKUP(H992,'合同高级查询数据-4月返'!A:A,1,FALSE)</f>
        <v>#N/A</v>
      </c>
      <c r="J992" s="47" t="s">
        <v>90</v>
      </c>
      <c r="K992" s="172" t="s">
        <v>1341</v>
      </c>
      <c r="L992" s="228"/>
      <c r="M992" s="49" t="s">
        <v>1019</v>
      </c>
      <c r="N992" s="230">
        <v>43451</v>
      </c>
      <c r="O992" s="181" t="s">
        <v>503</v>
      </c>
      <c r="P992" s="207">
        <v>5950</v>
      </c>
      <c r="Q992" s="207">
        <v>-3</v>
      </c>
      <c r="R992" s="118">
        <f t="shared" si="28"/>
        <v>-17850</v>
      </c>
      <c r="S992" s="115">
        <v>202304</v>
      </c>
      <c r="T992" s="222" t="s">
        <v>1345</v>
      </c>
      <c r="U992" s="223"/>
      <c r="V992" s="165"/>
      <c r="W992" s="165"/>
      <c r="X992" s="116">
        <v>43358</v>
      </c>
      <c r="Y992" s="116">
        <v>45549</v>
      </c>
    </row>
    <row r="993" s="85" customFormat="1" customHeight="1" spans="1:25">
      <c r="A993" s="98" t="s">
        <v>448</v>
      </c>
      <c r="B993" s="98" t="s">
        <v>62</v>
      </c>
      <c r="C993" s="98" t="s">
        <v>238</v>
      </c>
      <c r="D993" s="98" t="s">
        <v>642</v>
      </c>
      <c r="E993" s="161" t="s">
        <v>1309</v>
      </c>
      <c r="F993" s="98" t="s">
        <v>1016</v>
      </c>
      <c r="G993" s="172" t="s">
        <v>88</v>
      </c>
      <c r="H993" s="100" t="s">
        <v>1340</v>
      </c>
      <c r="I993" s="46" t="e">
        <f>VLOOKUP(H993,'合同高级查询数据-4月返'!A:A,1,FALSE)</f>
        <v>#N/A</v>
      </c>
      <c r="J993" s="47" t="s">
        <v>90</v>
      </c>
      <c r="K993" s="172" t="s">
        <v>1341</v>
      </c>
      <c r="L993" s="228"/>
      <c r="M993" s="49" t="s">
        <v>1019</v>
      </c>
      <c r="N993" s="230">
        <v>43476</v>
      </c>
      <c r="O993" s="181" t="s">
        <v>503</v>
      </c>
      <c r="P993" s="207">
        <v>5950</v>
      </c>
      <c r="Q993" s="207">
        <v>2</v>
      </c>
      <c r="R993" s="118">
        <f t="shared" si="28"/>
        <v>11900</v>
      </c>
      <c r="S993" s="115">
        <v>202304</v>
      </c>
      <c r="T993" s="222"/>
      <c r="U993" s="223"/>
      <c r="V993" s="165"/>
      <c r="W993" s="165"/>
      <c r="X993" s="116">
        <v>43358</v>
      </c>
      <c r="Y993" s="116">
        <v>45549</v>
      </c>
    </row>
    <row r="994" s="85" customFormat="1" customHeight="1" spans="1:25">
      <c r="A994" s="98" t="s">
        <v>448</v>
      </c>
      <c r="B994" s="98" t="s">
        <v>62</v>
      </c>
      <c r="C994" s="98" t="s">
        <v>238</v>
      </c>
      <c r="D994" s="98" t="s">
        <v>642</v>
      </c>
      <c r="E994" s="161" t="s">
        <v>1309</v>
      </c>
      <c r="F994" s="98" t="s">
        <v>1016</v>
      </c>
      <c r="G994" s="172" t="s">
        <v>88</v>
      </c>
      <c r="H994" s="100" t="s">
        <v>1340</v>
      </c>
      <c r="I994" s="46" t="e">
        <f>VLOOKUP(H994,'合同高级查询数据-4月返'!A:A,1,FALSE)</f>
        <v>#N/A</v>
      </c>
      <c r="J994" s="47" t="s">
        <v>90</v>
      </c>
      <c r="K994" s="172" t="s">
        <v>1341</v>
      </c>
      <c r="L994" s="228"/>
      <c r="M994" s="49" t="s">
        <v>1019</v>
      </c>
      <c r="N994" s="230">
        <v>43481</v>
      </c>
      <c r="O994" s="181" t="s">
        <v>503</v>
      </c>
      <c r="P994" s="207">
        <v>5950</v>
      </c>
      <c r="Q994" s="207">
        <f>187-Q995</f>
        <v>129</v>
      </c>
      <c r="R994" s="118">
        <f t="shared" si="28"/>
        <v>767550</v>
      </c>
      <c r="S994" s="115">
        <v>202304</v>
      </c>
      <c r="T994" s="222" t="s">
        <v>1369</v>
      </c>
      <c r="U994" s="223"/>
      <c r="V994" s="165"/>
      <c r="W994" s="165"/>
      <c r="X994" s="116">
        <v>43358</v>
      </c>
      <c r="Y994" s="116">
        <v>45549</v>
      </c>
    </row>
    <row r="995" s="85" customFormat="1" customHeight="1" spans="1:25">
      <c r="A995" s="98" t="s">
        <v>448</v>
      </c>
      <c r="B995" s="98" t="s">
        <v>62</v>
      </c>
      <c r="C995" s="98" t="s">
        <v>238</v>
      </c>
      <c r="D995" s="98" t="s">
        <v>642</v>
      </c>
      <c r="E995" s="161" t="s">
        <v>1309</v>
      </c>
      <c r="F995" s="98" t="s">
        <v>1016</v>
      </c>
      <c r="G995" s="172" t="s">
        <v>88</v>
      </c>
      <c r="H995" s="100" t="s">
        <v>1340</v>
      </c>
      <c r="I995" s="46" t="e">
        <f>VLOOKUP(H995,'合同高级查询数据-4月返'!A:A,1,FALSE)</f>
        <v>#N/A</v>
      </c>
      <c r="J995" s="47" t="s">
        <v>90</v>
      </c>
      <c r="K995" s="172" t="s">
        <v>1341</v>
      </c>
      <c r="L995" s="228"/>
      <c r="M995" s="49" t="s">
        <v>1019</v>
      </c>
      <c r="N995" s="230">
        <v>43481</v>
      </c>
      <c r="O995" s="181" t="s">
        <v>503</v>
      </c>
      <c r="P995" s="207">
        <v>5900</v>
      </c>
      <c r="Q995" s="207">
        <v>58</v>
      </c>
      <c r="R995" s="118">
        <f t="shared" si="28"/>
        <v>342200</v>
      </c>
      <c r="S995" s="115">
        <v>202304</v>
      </c>
      <c r="T995" s="222" t="s">
        <v>1370</v>
      </c>
      <c r="U995" s="223"/>
      <c r="V995" s="165"/>
      <c r="W995" s="165"/>
      <c r="X995" s="116">
        <v>43358</v>
      </c>
      <c r="Y995" s="116">
        <v>45549</v>
      </c>
    </row>
    <row r="996" s="85" customFormat="1" customHeight="1" spans="1:25">
      <c r="A996" s="98" t="s">
        <v>448</v>
      </c>
      <c r="B996" s="98" t="s">
        <v>62</v>
      </c>
      <c r="C996" s="98" t="s">
        <v>238</v>
      </c>
      <c r="D996" s="98" t="s">
        <v>642</v>
      </c>
      <c r="E996" s="161" t="s">
        <v>1309</v>
      </c>
      <c r="F996" s="98" t="s">
        <v>1016</v>
      </c>
      <c r="G996" s="172" t="s">
        <v>88</v>
      </c>
      <c r="H996" s="100" t="s">
        <v>1340</v>
      </c>
      <c r="I996" s="46" t="e">
        <f>VLOOKUP(H996,'合同高级查询数据-4月返'!A:A,1,FALSE)</f>
        <v>#N/A</v>
      </c>
      <c r="J996" s="47" t="s">
        <v>90</v>
      </c>
      <c r="K996" s="172" t="s">
        <v>1341</v>
      </c>
      <c r="L996" s="228"/>
      <c r="M996" s="49" t="s">
        <v>1019</v>
      </c>
      <c r="N996" s="230">
        <v>43485</v>
      </c>
      <c r="O996" s="181" t="s">
        <v>503</v>
      </c>
      <c r="P996" s="207">
        <v>5900</v>
      </c>
      <c r="Q996" s="207">
        <v>37</v>
      </c>
      <c r="R996" s="118">
        <f t="shared" si="28"/>
        <v>218300</v>
      </c>
      <c r="S996" s="115">
        <v>202304</v>
      </c>
      <c r="T996" s="222" t="s">
        <v>1370</v>
      </c>
      <c r="U996" s="223"/>
      <c r="V996" s="165"/>
      <c r="W996" s="165"/>
      <c r="X996" s="116">
        <v>43358</v>
      </c>
      <c r="Y996" s="116">
        <v>45549</v>
      </c>
    </row>
    <row r="997" s="85" customFormat="1" customHeight="1" spans="1:25">
      <c r="A997" s="98" t="s">
        <v>448</v>
      </c>
      <c r="B997" s="98" t="s">
        <v>62</v>
      </c>
      <c r="C997" s="98" t="s">
        <v>238</v>
      </c>
      <c r="D997" s="98" t="s">
        <v>642</v>
      </c>
      <c r="E997" s="161" t="s">
        <v>1309</v>
      </c>
      <c r="F997" s="98" t="s">
        <v>1016</v>
      </c>
      <c r="G997" s="172" t="s">
        <v>88</v>
      </c>
      <c r="H997" s="100" t="s">
        <v>1340</v>
      </c>
      <c r="I997" s="46" t="e">
        <f>VLOOKUP(H997,'合同高级查询数据-4月返'!A:A,1,FALSE)</f>
        <v>#N/A</v>
      </c>
      <c r="J997" s="47" t="s">
        <v>90</v>
      </c>
      <c r="K997" s="172" t="s">
        <v>1341</v>
      </c>
      <c r="L997" s="228"/>
      <c r="M997" s="49" t="s">
        <v>1019</v>
      </c>
      <c r="N997" s="234">
        <v>43486</v>
      </c>
      <c r="O997" s="234" t="s">
        <v>503</v>
      </c>
      <c r="P997" s="207">
        <v>5900</v>
      </c>
      <c r="Q997" s="164">
        <v>70</v>
      </c>
      <c r="R997" s="118">
        <f t="shared" si="28"/>
        <v>413000</v>
      </c>
      <c r="S997" s="115">
        <v>202304</v>
      </c>
      <c r="T997" s="222" t="s">
        <v>1370</v>
      </c>
      <c r="U997" s="223"/>
      <c r="V997" s="165"/>
      <c r="W997" s="165"/>
      <c r="X997" s="116">
        <v>43358</v>
      </c>
      <c r="Y997" s="116">
        <v>45549</v>
      </c>
    </row>
    <row r="998" s="85" customFormat="1" customHeight="1" spans="1:25">
      <c r="A998" s="98" t="s">
        <v>448</v>
      </c>
      <c r="B998" s="98" t="s">
        <v>62</v>
      </c>
      <c r="C998" s="98" t="s">
        <v>238</v>
      </c>
      <c r="D998" s="98" t="s">
        <v>642</v>
      </c>
      <c r="E998" s="161" t="s">
        <v>1309</v>
      </c>
      <c r="F998" s="98" t="s">
        <v>1016</v>
      </c>
      <c r="G998" s="172" t="s">
        <v>88</v>
      </c>
      <c r="H998" s="100" t="s">
        <v>1340</v>
      </c>
      <c r="I998" s="46" t="e">
        <f>VLOOKUP(H998,'合同高级查询数据-4月返'!A:A,1,FALSE)</f>
        <v>#N/A</v>
      </c>
      <c r="J998" s="47" t="s">
        <v>90</v>
      </c>
      <c r="K998" s="172" t="s">
        <v>1341</v>
      </c>
      <c r="L998" s="228"/>
      <c r="M998" s="49" t="s">
        <v>1019</v>
      </c>
      <c r="N998" s="234">
        <v>43487</v>
      </c>
      <c r="O998" s="234" t="s">
        <v>503</v>
      </c>
      <c r="P998" s="207">
        <v>5900</v>
      </c>
      <c r="Q998" s="164">
        <v>46</v>
      </c>
      <c r="R998" s="118">
        <f t="shared" si="28"/>
        <v>271400</v>
      </c>
      <c r="S998" s="115">
        <v>202304</v>
      </c>
      <c r="T998" s="222" t="s">
        <v>1370</v>
      </c>
      <c r="U998" s="223"/>
      <c r="V998" s="165"/>
      <c r="W998" s="165"/>
      <c r="X998" s="116">
        <v>43358</v>
      </c>
      <c r="Y998" s="116">
        <v>45549</v>
      </c>
    </row>
    <row r="999" s="85" customFormat="1" customHeight="1" spans="1:25">
      <c r="A999" s="98" t="s">
        <v>448</v>
      </c>
      <c r="B999" s="98" t="s">
        <v>62</v>
      </c>
      <c r="C999" s="98" t="s">
        <v>238</v>
      </c>
      <c r="D999" s="98" t="s">
        <v>642</v>
      </c>
      <c r="E999" s="161" t="s">
        <v>1309</v>
      </c>
      <c r="F999" s="98" t="s">
        <v>1016</v>
      </c>
      <c r="G999" s="172" t="s">
        <v>88</v>
      </c>
      <c r="H999" s="100" t="s">
        <v>1340</v>
      </c>
      <c r="I999" s="46" t="e">
        <f>VLOOKUP(H999,'合同高级查询数据-4月返'!A:A,1,FALSE)</f>
        <v>#N/A</v>
      </c>
      <c r="J999" s="47" t="s">
        <v>90</v>
      </c>
      <c r="K999" s="172" t="s">
        <v>1341</v>
      </c>
      <c r="L999" s="228"/>
      <c r="M999" s="49" t="s">
        <v>1019</v>
      </c>
      <c r="N999" s="234">
        <v>43565</v>
      </c>
      <c r="O999" s="234" t="s">
        <v>507</v>
      </c>
      <c r="P999" s="207">
        <v>5900</v>
      </c>
      <c r="Q999" s="164">
        <v>8</v>
      </c>
      <c r="R999" s="118">
        <f t="shared" si="28"/>
        <v>47200</v>
      </c>
      <c r="S999" s="115">
        <v>202304</v>
      </c>
      <c r="T999" s="222" t="s">
        <v>1370</v>
      </c>
      <c r="U999" s="223"/>
      <c r="V999" s="165"/>
      <c r="W999" s="165"/>
      <c r="X999" s="116">
        <v>43358</v>
      </c>
      <c r="Y999" s="116">
        <v>45549</v>
      </c>
    </row>
    <row r="1000" s="85" customFormat="1" customHeight="1" spans="1:25">
      <c r="A1000" s="98" t="s">
        <v>448</v>
      </c>
      <c r="B1000" s="98" t="s">
        <v>62</v>
      </c>
      <c r="C1000" s="98" t="s">
        <v>238</v>
      </c>
      <c r="D1000" s="98" t="s">
        <v>642</v>
      </c>
      <c r="E1000" s="161" t="s">
        <v>1309</v>
      </c>
      <c r="F1000" s="98" t="s">
        <v>1016</v>
      </c>
      <c r="G1000" s="172" t="s">
        <v>88</v>
      </c>
      <c r="H1000" s="100" t="s">
        <v>1340</v>
      </c>
      <c r="I1000" s="46" t="e">
        <f>VLOOKUP(H1000,'合同高级查询数据-4月返'!A:A,1,FALSE)</f>
        <v>#N/A</v>
      </c>
      <c r="J1000" s="47" t="s">
        <v>90</v>
      </c>
      <c r="K1000" s="172" t="s">
        <v>1341</v>
      </c>
      <c r="L1000" s="228"/>
      <c r="M1000" s="49" t="s">
        <v>1019</v>
      </c>
      <c r="N1000" s="234">
        <v>43577</v>
      </c>
      <c r="O1000" s="234" t="s">
        <v>507</v>
      </c>
      <c r="P1000" s="207">
        <v>5900</v>
      </c>
      <c r="Q1000" s="164">
        <v>3</v>
      </c>
      <c r="R1000" s="118">
        <f t="shared" si="28"/>
        <v>17700</v>
      </c>
      <c r="S1000" s="115">
        <v>202304</v>
      </c>
      <c r="T1000" s="222" t="s">
        <v>1371</v>
      </c>
      <c r="U1000" s="223"/>
      <c r="V1000" s="165"/>
      <c r="W1000" s="165"/>
      <c r="X1000" s="116">
        <v>43358</v>
      </c>
      <c r="Y1000" s="116">
        <v>45549</v>
      </c>
    </row>
    <row r="1001" s="85" customFormat="1" customHeight="1" spans="1:25">
      <c r="A1001" s="98" t="s">
        <v>448</v>
      </c>
      <c r="B1001" s="98" t="s">
        <v>62</v>
      </c>
      <c r="C1001" s="98" t="s">
        <v>238</v>
      </c>
      <c r="D1001" s="98" t="s">
        <v>642</v>
      </c>
      <c r="E1001" s="161" t="s">
        <v>1309</v>
      </c>
      <c r="F1001" s="98" t="s">
        <v>1016</v>
      </c>
      <c r="G1001" s="172" t="s">
        <v>88</v>
      </c>
      <c r="H1001" s="100" t="s">
        <v>1340</v>
      </c>
      <c r="I1001" s="46" t="e">
        <f>VLOOKUP(H1001,'合同高级查询数据-4月返'!A:A,1,FALSE)</f>
        <v>#N/A</v>
      </c>
      <c r="J1001" s="47" t="s">
        <v>90</v>
      </c>
      <c r="K1001" s="172" t="s">
        <v>1341</v>
      </c>
      <c r="L1001" s="228"/>
      <c r="M1001" s="49" t="s">
        <v>1019</v>
      </c>
      <c r="N1001" s="234">
        <v>43579</v>
      </c>
      <c r="O1001" s="234" t="s">
        <v>507</v>
      </c>
      <c r="P1001" s="207">
        <v>5900</v>
      </c>
      <c r="Q1001" s="164">
        <v>1</v>
      </c>
      <c r="R1001" s="118">
        <f t="shared" si="28"/>
        <v>5900</v>
      </c>
      <c r="S1001" s="115">
        <v>202304</v>
      </c>
      <c r="T1001" s="222" t="s">
        <v>1372</v>
      </c>
      <c r="U1001" s="223"/>
      <c r="V1001" s="165"/>
      <c r="W1001" s="165"/>
      <c r="X1001" s="116">
        <v>43358</v>
      </c>
      <c r="Y1001" s="116">
        <v>45549</v>
      </c>
    </row>
    <row r="1002" s="85" customFormat="1" customHeight="1" spans="1:25">
      <c r="A1002" s="98" t="s">
        <v>448</v>
      </c>
      <c r="B1002" s="98" t="s">
        <v>62</v>
      </c>
      <c r="C1002" s="98" t="s">
        <v>238</v>
      </c>
      <c r="D1002" s="98" t="s">
        <v>642</v>
      </c>
      <c r="E1002" s="161" t="s">
        <v>1309</v>
      </c>
      <c r="F1002" s="98" t="s">
        <v>1016</v>
      </c>
      <c r="G1002" s="172" t="s">
        <v>88</v>
      </c>
      <c r="H1002" s="100" t="s">
        <v>1340</v>
      </c>
      <c r="I1002" s="46" t="e">
        <f>VLOOKUP(H1002,'合同高级查询数据-4月返'!A:A,1,FALSE)</f>
        <v>#N/A</v>
      </c>
      <c r="J1002" s="47" t="s">
        <v>90</v>
      </c>
      <c r="K1002" s="172" t="s">
        <v>1341</v>
      </c>
      <c r="L1002" s="228"/>
      <c r="M1002" s="49" t="s">
        <v>1019</v>
      </c>
      <c r="N1002" s="234">
        <v>43585</v>
      </c>
      <c r="O1002" s="234" t="s">
        <v>507</v>
      </c>
      <c r="P1002" s="207">
        <v>5900</v>
      </c>
      <c r="Q1002" s="164">
        <v>5</v>
      </c>
      <c r="R1002" s="118">
        <f t="shared" si="28"/>
        <v>29500</v>
      </c>
      <c r="S1002" s="115">
        <v>202304</v>
      </c>
      <c r="T1002" s="222" t="s">
        <v>1373</v>
      </c>
      <c r="U1002" s="223"/>
      <c r="V1002" s="165"/>
      <c r="W1002" s="165"/>
      <c r="X1002" s="116">
        <v>43358</v>
      </c>
      <c r="Y1002" s="116">
        <v>45549</v>
      </c>
    </row>
    <row r="1003" s="85" customFormat="1" customHeight="1" spans="1:25">
      <c r="A1003" s="98" t="s">
        <v>448</v>
      </c>
      <c r="B1003" s="98" t="s">
        <v>62</v>
      </c>
      <c r="C1003" s="98" t="s">
        <v>238</v>
      </c>
      <c r="D1003" s="98" t="s">
        <v>642</v>
      </c>
      <c r="E1003" s="161" t="s">
        <v>1309</v>
      </c>
      <c r="F1003" s="98" t="s">
        <v>1016</v>
      </c>
      <c r="G1003" s="172" t="s">
        <v>88</v>
      </c>
      <c r="H1003" s="100" t="s">
        <v>1340</v>
      </c>
      <c r="I1003" s="46" t="e">
        <f>VLOOKUP(H1003,'合同高级查询数据-4月返'!A:A,1,FALSE)</f>
        <v>#N/A</v>
      </c>
      <c r="J1003" s="47" t="s">
        <v>90</v>
      </c>
      <c r="K1003" s="172" t="s">
        <v>1341</v>
      </c>
      <c r="L1003" s="228"/>
      <c r="M1003" s="49" t="s">
        <v>1019</v>
      </c>
      <c r="N1003" s="234">
        <v>43595</v>
      </c>
      <c r="O1003" s="234" t="s">
        <v>507</v>
      </c>
      <c r="P1003" s="207">
        <v>5900</v>
      </c>
      <c r="Q1003" s="164">
        <v>2</v>
      </c>
      <c r="R1003" s="118">
        <f t="shared" si="28"/>
        <v>11800</v>
      </c>
      <c r="S1003" s="115">
        <v>202304</v>
      </c>
      <c r="T1003" s="222" t="s">
        <v>1374</v>
      </c>
      <c r="U1003" s="223"/>
      <c r="V1003" s="165"/>
      <c r="W1003" s="165"/>
      <c r="X1003" s="116">
        <v>43358</v>
      </c>
      <c r="Y1003" s="116">
        <v>45549</v>
      </c>
    </row>
    <row r="1004" s="85" customFormat="1" customHeight="1" spans="1:25">
      <c r="A1004" s="98" t="s">
        <v>448</v>
      </c>
      <c r="B1004" s="98" t="s">
        <v>62</v>
      </c>
      <c r="C1004" s="98" t="s">
        <v>238</v>
      </c>
      <c r="D1004" s="98" t="s">
        <v>642</v>
      </c>
      <c r="E1004" s="161" t="s">
        <v>1309</v>
      </c>
      <c r="F1004" s="98" t="s">
        <v>1016</v>
      </c>
      <c r="G1004" s="172" t="s">
        <v>88</v>
      </c>
      <c r="H1004" s="100" t="s">
        <v>1340</v>
      </c>
      <c r="I1004" s="46" t="e">
        <f>VLOOKUP(H1004,'合同高级查询数据-4月返'!A:A,1,FALSE)</f>
        <v>#N/A</v>
      </c>
      <c r="J1004" s="47" t="s">
        <v>90</v>
      </c>
      <c r="K1004" s="172" t="s">
        <v>1341</v>
      </c>
      <c r="L1004" s="228"/>
      <c r="M1004" s="49" t="s">
        <v>1019</v>
      </c>
      <c r="N1004" s="229">
        <v>43591</v>
      </c>
      <c r="O1004" s="229" t="s">
        <v>507</v>
      </c>
      <c r="P1004" s="207">
        <v>5900</v>
      </c>
      <c r="Q1004" s="207">
        <v>16</v>
      </c>
      <c r="R1004" s="118">
        <f t="shared" si="28"/>
        <v>94400</v>
      </c>
      <c r="S1004" s="115">
        <v>202304</v>
      </c>
      <c r="T1004" s="222" t="s">
        <v>1375</v>
      </c>
      <c r="U1004" s="223"/>
      <c r="V1004" s="165"/>
      <c r="W1004" s="165"/>
      <c r="X1004" s="116">
        <v>43358</v>
      </c>
      <c r="Y1004" s="116">
        <v>45549</v>
      </c>
    </row>
    <row r="1005" s="85" customFormat="1" customHeight="1" spans="1:25">
      <c r="A1005" s="98" t="s">
        <v>448</v>
      </c>
      <c r="B1005" s="98" t="s">
        <v>62</v>
      </c>
      <c r="C1005" s="98" t="s">
        <v>238</v>
      </c>
      <c r="D1005" s="98" t="s">
        <v>642</v>
      </c>
      <c r="E1005" s="161" t="s">
        <v>1309</v>
      </c>
      <c r="F1005" s="98" t="s">
        <v>1016</v>
      </c>
      <c r="G1005" s="172" t="s">
        <v>88</v>
      </c>
      <c r="H1005" s="100" t="s">
        <v>1340</v>
      </c>
      <c r="I1005" s="46" t="e">
        <f>VLOOKUP(H1005,'合同高级查询数据-4月返'!A:A,1,FALSE)</f>
        <v>#N/A</v>
      </c>
      <c r="J1005" s="47" t="s">
        <v>90</v>
      </c>
      <c r="K1005" s="172" t="s">
        <v>1341</v>
      </c>
      <c r="L1005" s="228"/>
      <c r="M1005" s="49" t="s">
        <v>1019</v>
      </c>
      <c r="N1005" s="234">
        <v>43593</v>
      </c>
      <c r="O1005" s="234" t="s">
        <v>507</v>
      </c>
      <c r="P1005" s="207">
        <v>5900</v>
      </c>
      <c r="Q1005" s="164">
        <v>5</v>
      </c>
      <c r="R1005" s="118">
        <f t="shared" si="28"/>
        <v>29500</v>
      </c>
      <c r="S1005" s="115">
        <v>202304</v>
      </c>
      <c r="T1005" s="222" t="s">
        <v>1376</v>
      </c>
      <c r="U1005" s="223"/>
      <c r="V1005" s="165"/>
      <c r="W1005" s="165"/>
      <c r="X1005" s="116">
        <v>43358</v>
      </c>
      <c r="Y1005" s="116">
        <v>45549</v>
      </c>
    </row>
    <row r="1006" s="85" customFormat="1" customHeight="1" spans="1:25">
      <c r="A1006" s="98" t="s">
        <v>448</v>
      </c>
      <c r="B1006" s="98" t="s">
        <v>62</v>
      </c>
      <c r="C1006" s="98" t="s">
        <v>238</v>
      </c>
      <c r="D1006" s="98" t="s">
        <v>642</v>
      </c>
      <c r="E1006" s="161" t="s">
        <v>1309</v>
      </c>
      <c r="F1006" s="98" t="s">
        <v>1016</v>
      </c>
      <c r="G1006" s="172" t="s">
        <v>88</v>
      </c>
      <c r="H1006" s="100" t="s">
        <v>1340</v>
      </c>
      <c r="I1006" s="46" t="e">
        <f>VLOOKUP(H1006,'合同高级查询数据-4月返'!A:A,1,FALSE)</f>
        <v>#N/A</v>
      </c>
      <c r="J1006" s="47" t="s">
        <v>90</v>
      </c>
      <c r="K1006" s="172" t="s">
        <v>1341</v>
      </c>
      <c r="L1006" s="228"/>
      <c r="M1006" s="49" t="s">
        <v>1019</v>
      </c>
      <c r="N1006" s="234">
        <v>43643</v>
      </c>
      <c r="O1006" s="234" t="s">
        <v>507</v>
      </c>
      <c r="P1006" s="207">
        <v>5900</v>
      </c>
      <c r="Q1006" s="164">
        <v>85</v>
      </c>
      <c r="R1006" s="118">
        <f t="shared" si="28"/>
        <v>501500</v>
      </c>
      <c r="S1006" s="115">
        <v>202304</v>
      </c>
      <c r="T1006" s="222" t="s">
        <v>1377</v>
      </c>
      <c r="U1006" s="223"/>
      <c r="V1006" s="165"/>
      <c r="W1006" s="165"/>
      <c r="X1006" s="116">
        <v>43358</v>
      </c>
      <c r="Y1006" s="116">
        <v>45549</v>
      </c>
    </row>
    <row r="1007" s="85" customFormat="1" customHeight="1" spans="1:25">
      <c r="A1007" s="98" t="s">
        <v>448</v>
      </c>
      <c r="B1007" s="98" t="s">
        <v>62</v>
      </c>
      <c r="C1007" s="98" t="s">
        <v>238</v>
      </c>
      <c r="D1007" s="98" t="s">
        <v>642</v>
      </c>
      <c r="E1007" s="161" t="s">
        <v>1309</v>
      </c>
      <c r="F1007" s="98" t="s">
        <v>1016</v>
      </c>
      <c r="G1007" s="172" t="s">
        <v>88</v>
      </c>
      <c r="H1007" s="100" t="s">
        <v>1340</v>
      </c>
      <c r="I1007" s="46" t="e">
        <f>VLOOKUP(H1007,'合同高级查询数据-4月返'!A:A,1,FALSE)</f>
        <v>#N/A</v>
      </c>
      <c r="J1007" s="47" t="s">
        <v>90</v>
      </c>
      <c r="K1007" s="172" t="s">
        <v>1341</v>
      </c>
      <c r="L1007" s="228"/>
      <c r="M1007" s="49" t="s">
        <v>1019</v>
      </c>
      <c r="N1007" s="234">
        <v>43711</v>
      </c>
      <c r="O1007" s="234" t="s">
        <v>507</v>
      </c>
      <c r="P1007" s="207">
        <v>5900</v>
      </c>
      <c r="Q1007" s="164">
        <v>30</v>
      </c>
      <c r="R1007" s="118">
        <f t="shared" si="28"/>
        <v>177000</v>
      </c>
      <c r="S1007" s="115">
        <v>202304</v>
      </c>
      <c r="T1007" s="222" t="s">
        <v>1378</v>
      </c>
      <c r="U1007" s="223"/>
      <c r="V1007" s="165"/>
      <c r="W1007" s="165"/>
      <c r="X1007" s="116">
        <v>43358</v>
      </c>
      <c r="Y1007" s="116">
        <v>45549</v>
      </c>
    </row>
    <row r="1008" s="85" customFormat="1" customHeight="1" spans="1:25">
      <c r="A1008" s="98" t="s">
        <v>448</v>
      </c>
      <c r="B1008" s="98" t="s">
        <v>62</v>
      </c>
      <c r="C1008" s="98" t="s">
        <v>238</v>
      </c>
      <c r="D1008" s="98" t="s">
        <v>642</v>
      </c>
      <c r="E1008" s="161" t="s">
        <v>1309</v>
      </c>
      <c r="F1008" s="98" t="s">
        <v>1016</v>
      </c>
      <c r="G1008" s="172" t="s">
        <v>88</v>
      </c>
      <c r="H1008" s="100" t="s">
        <v>1340</v>
      </c>
      <c r="I1008" s="46" t="e">
        <f>VLOOKUP(H1008,'合同高级查询数据-4月返'!A:A,1,FALSE)</f>
        <v>#N/A</v>
      </c>
      <c r="J1008" s="47" t="s">
        <v>90</v>
      </c>
      <c r="K1008" s="172" t="s">
        <v>1341</v>
      </c>
      <c r="L1008" s="228"/>
      <c r="M1008" s="49" t="s">
        <v>1019</v>
      </c>
      <c r="N1008" s="234">
        <v>43747</v>
      </c>
      <c r="O1008" s="234" t="s">
        <v>507</v>
      </c>
      <c r="P1008" s="207">
        <v>5900</v>
      </c>
      <c r="Q1008" s="164">
        <v>5</v>
      </c>
      <c r="R1008" s="118">
        <f t="shared" si="28"/>
        <v>29500</v>
      </c>
      <c r="S1008" s="115">
        <v>202304</v>
      </c>
      <c r="T1008" s="233" t="s">
        <v>1379</v>
      </c>
      <c r="U1008" s="223"/>
      <c r="V1008" s="165"/>
      <c r="W1008" s="165"/>
      <c r="X1008" s="116">
        <v>43358</v>
      </c>
      <c r="Y1008" s="116">
        <v>45549</v>
      </c>
    </row>
    <row r="1009" s="85" customFormat="1" customHeight="1" spans="1:25">
      <c r="A1009" s="98" t="s">
        <v>448</v>
      </c>
      <c r="B1009" s="98" t="s">
        <v>62</v>
      </c>
      <c r="C1009" s="98" t="s">
        <v>238</v>
      </c>
      <c r="D1009" s="98" t="s">
        <v>642</v>
      </c>
      <c r="E1009" s="161" t="s">
        <v>1309</v>
      </c>
      <c r="F1009" s="98" t="s">
        <v>1016</v>
      </c>
      <c r="G1009" s="172" t="s">
        <v>88</v>
      </c>
      <c r="H1009" s="100" t="s">
        <v>1340</v>
      </c>
      <c r="I1009" s="46" t="e">
        <f>VLOOKUP(H1009,'合同高级查询数据-4月返'!A:A,1,FALSE)</f>
        <v>#N/A</v>
      </c>
      <c r="J1009" s="47" t="s">
        <v>90</v>
      </c>
      <c r="K1009" s="172" t="s">
        <v>1341</v>
      </c>
      <c r="L1009" s="228"/>
      <c r="M1009" s="49" t="s">
        <v>1019</v>
      </c>
      <c r="N1009" s="234" t="s">
        <v>1329</v>
      </c>
      <c r="O1009" s="234" t="s">
        <v>507</v>
      </c>
      <c r="P1009" s="164">
        <v>5900</v>
      </c>
      <c r="Q1009" s="164">
        <v>37</v>
      </c>
      <c r="R1009" s="118">
        <f t="shared" si="28"/>
        <v>218300</v>
      </c>
      <c r="S1009" s="115">
        <v>202304</v>
      </c>
      <c r="T1009" s="222" t="s">
        <v>1380</v>
      </c>
      <c r="U1009" s="223"/>
      <c r="V1009" s="165"/>
      <c r="W1009" s="165"/>
      <c r="X1009" s="116">
        <v>43358</v>
      </c>
      <c r="Y1009" s="116">
        <v>45549</v>
      </c>
    </row>
    <row r="1010" s="85" customFormat="1" customHeight="1" spans="1:25">
      <c r="A1010" s="98" t="s">
        <v>448</v>
      </c>
      <c r="B1010" s="98" t="s">
        <v>62</v>
      </c>
      <c r="C1010" s="98" t="s">
        <v>238</v>
      </c>
      <c r="D1010" s="98" t="s">
        <v>642</v>
      </c>
      <c r="E1010" s="161" t="s">
        <v>1309</v>
      </c>
      <c r="F1010" s="98" t="s">
        <v>1016</v>
      </c>
      <c r="G1010" s="172" t="s">
        <v>88</v>
      </c>
      <c r="H1010" s="100" t="s">
        <v>1340</v>
      </c>
      <c r="I1010" s="46" t="e">
        <f>VLOOKUP(H1010,'合同高级查询数据-4月返'!A:A,1,FALSE)</f>
        <v>#N/A</v>
      </c>
      <c r="J1010" s="47" t="s">
        <v>90</v>
      </c>
      <c r="K1010" s="172" t="s">
        <v>1341</v>
      </c>
      <c r="L1010" s="228"/>
      <c r="M1010" s="49" t="s">
        <v>1019</v>
      </c>
      <c r="N1010" s="234">
        <v>43849</v>
      </c>
      <c r="O1010" s="234" t="s">
        <v>507</v>
      </c>
      <c r="P1010" s="164">
        <v>5900</v>
      </c>
      <c r="Q1010" s="164">
        <v>1</v>
      </c>
      <c r="R1010" s="118">
        <f t="shared" si="28"/>
        <v>5900</v>
      </c>
      <c r="S1010" s="115">
        <v>202304</v>
      </c>
      <c r="T1010" s="222" t="s">
        <v>1381</v>
      </c>
      <c r="U1010" s="223"/>
      <c r="V1010" s="165"/>
      <c r="W1010" s="165"/>
      <c r="X1010" s="116">
        <v>43358</v>
      </c>
      <c r="Y1010" s="116">
        <v>45549</v>
      </c>
    </row>
    <row r="1011" s="85" customFormat="1" customHeight="1" spans="1:25">
      <c r="A1011" s="98" t="s">
        <v>448</v>
      </c>
      <c r="B1011" s="98" t="s">
        <v>62</v>
      </c>
      <c r="C1011" s="98" t="s">
        <v>238</v>
      </c>
      <c r="D1011" s="98" t="s">
        <v>642</v>
      </c>
      <c r="E1011" s="161" t="s">
        <v>1309</v>
      </c>
      <c r="F1011" s="98" t="s">
        <v>1016</v>
      </c>
      <c r="G1011" s="172" t="s">
        <v>88</v>
      </c>
      <c r="H1011" s="100" t="s">
        <v>1340</v>
      </c>
      <c r="I1011" s="46" t="e">
        <f>VLOOKUP(H1011,'合同高级查询数据-4月返'!A:A,1,FALSE)</f>
        <v>#N/A</v>
      </c>
      <c r="J1011" s="47" t="s">
        <v>90</v>
      </c>
      <c r="K1011" s="172" t="s">
        <v>1341</v>
      </c>
      <c r="L1011" s="228"/>
      <c r="M1011" s="49" t="s">
        <v>1019</v>
      </c>
      <c r="N1011" s="234">
        <v>43851</v>
      </c>
      <c r="O1011" s="234" t="s">
        <v>507</v>
      </c>
      <c r="P1011" s="164">
        <v>5900</v>
      </c>
      <c r="Q1011" s="164">
        <v>5</v>
      </c>
      <c r="R1011" s="118">
        <f t="shared" si="28"/>
        <v>29500</v>
      </c>
      <c r="S1011" s="115">
        <v>202304</v>
      </c>
      <c r="T1011" s="222" t="s">
        <v>1382</v>
      </c>
      <c r="U1011" s="223"/>
      <c r="V1011" s="165"/>
      <c r="W1011" s="165"/>
      <c r="X1011" s="116">
        <v>43358</v>
      </c>
      <c r="Y1011" s="116">
        <v>45549</v>
      </c>
    </row>
    <row r="1012" s="85" customFormat="1" customHeight="1" spans="1:25">
      <c r="A1012" s="98" t="s">
        <v>448</v>
      </c>
      <c r="B1012" s="98" t="s">
        <v>62</v>
      </c>
      <c r="C1012" s="98" t="s">
        <v>238</v>
      </c>
      <c r="D1012" s="98" t="s">
        <v>642</v>
      </c>
      <c r="E1012" s="161" t="s">
        <v>1309</v>
      </c>
      <c r="F1012" s="98" t="s">
        <v>1016</v>
      </c>
      <c r="G1012" s="172" t="s">
        <v>88</v>
      </c>
      <c r="H1012" s="100" t="s">
        <v>1340</v>
      </c>
      <c r="I1012" s="46" t="e">
        <f>VLOOKUP(H1012,'合同高级查询数据-4月返'!A:A,1,FALSE)</f>
        <v>#N/A</v>
      </c>
      <c r="J1012" s="47" t="s">
        <v>90</v>
      </c>
      <c r="K1012" s="172" t="s">
        <v>1341</v>
      </c>
      <c r="L1012" s="228"/>
      <c r="M1012" s="49" t="s">
        <v>1019</v>
      </c>
      <c r="N1012" s="234">
        <v>43915</v>
      </c>
      <c r="O1012" s="234" t="s">
        <v>507</v>
      </c>
      <c r="P1012" s="164">
        <v>5900</v>
      </c>
      <c r="Q1012" s="164">
        <v>4</v>
      </c>
      <c r="R1012" s="118">
        <f t="shared" si="28"/>
        <v>23600</v>
      </c>
      <c r="S1012" s="115">
        <v>202304</v>
      </c>
      <c r="T1012" s="222" t="s">
        <v>1383</v>
      </c>
      <c r="U1012" s="223"/>
      <c r="V1012" s="165"/>
      <c r="W1012" s="165"/>
      <c r="X1012" s="116">
        <v>43358</v>
      </c>
      <c r="Y1012" s="116">
        <v>45549</v>
      </c>
    </row>
    <row r="1013" s="85" customFormat="1" customHeight="1" spans="1:25">
      <c r="A1013" s="98" t="s">
        <v>448</v>
      </c>
      <c r="B1013" s="98" t="s">
        <v>62</v>
      </c>
      <c r="C1013" s="98" t="s">
        <v>238</v>
      </c>
      <c r="D1013" s="98" t="s">
        <v>642</v>
      </c>
      <c r="E1013" s="161" t="s">
        <v>1309</v>
      </c>
      <c r="F1013" s="98" t="s">
        <v>1016</v>
      </c>
      <c r="G1013" s="172" t="s">
        <v>88</v>
      </c>
      <c r="H1013" s="100" t="s">
        <v>1340</v>
      </c>
      <c r="I1013" s="46" t="e">
        <f>VLOOKUP(H1013,'合同高级查询数据-4月返'!A:A,1,FALSE)</f>
        <v>#N/A</v>
      </c>
      <c r="J1013" s="47" t="s">
        <v>90</v>
      </c>
      <c r="K1013" s="172" t="s">
        <v>1341</v>
      </c>
      <c r="L1013" s="228"/>
      <c r="M1013" s="49" t="s">
        <v>1019</v>
      </c>
      <c r="N1013" s="234">
        <v>43918</v>
      </c>
      <c r="O1013" s="234" t="s">
        <v>507</v>
      </c>
      <c r="P1013" s="164">
        <v>5900</v>
      </c>
      <c r="Q1013" s="164">
        <v>1</v>
      </c>
      <c r="R1013" s="118">
        <f t="shared" si="28"/>
        <v>5900</v>
      </c>
      <c r="S1013" s="115">
        <v>202304</v>
      </c>
      <c r="T1013" s="222" t="s">
        <v>1384</v>
      </c>
      <c r="U1013" s="223"/>
      <c r="V1013" s="165"/>
      <c r="W1013" s="165"/>
      <c r="X1013" s="116">
        <v>43358</v>
      </c>
      <c r="Y1013" s="116">
        <v>45549</v>
      </c>
    </row>
    <row r="1014" s="85" customFormat="1" customHeight="1" spans="1:25">
      <c r="A1014" s="98" t="s">
        <v>448</v>
      </c>
      <c r="B1014" s="98" t="s">
        <v>62</v>
      </c>
      <c r="C1014" s="98" t="s">
        <v>238</v>
      </c>
      <c r="D1014" s="98" t="s">
        <v>642</v>
      </c>
      <c r="E1014" s="161" t="s">
        <v>1309</v>
      </c>
      <c r="F1014" s="98" t="s">
        <v>1016</v>
      </c>
      <c r="G1014" s="172" t="s">
        <v>88</v>
      </c>
      <c r="H1014" s="100" t="s">
        <v>1340</v>
      </c>
      <c r="I1014" s="46" t="e">
        <f>VLOOKUP(H1014,'合同高级查询数据-4月返'!A:A,1,FALSE)</f>
        <v>#N/A</v>
      </c>
      <c r="J1014" s="47" t="s">
        <v>90</v>
      </c>
      <c r="K1014" s="172" t="s">
        <v>1341</v>
      </c>
      <c r="L1014" s="228"/>
      <c r="M1014" s="49" t="s">
        <v>1019</v>
      </c>
      <c r="N1014" s="234">
        <v>43936</v>
      </c>
      <c r="O1014" s="234" t="s">
        <v>507</v>
      </c>
      <c r="P1014" s="164">
        <v>5900</v>
      </c>
      <c r="Q1014" s="164">
        <v>1</v>
      </c>
      <c r="R1014" s="118">
        <f t="shared" si="28"/>
        <v>5900</v>
      </c>
      <c r="S1014" s="115">
        <v>202304</v>
      </c>
      <c r="T1014" s="222" t="s">
        <v>1385</v>
      </c>
      <c r="U1014" s="223"/>
      <c r="V1014" s="165"/>
      <c r="W1014" s="165"/>
      <c r="X1014" s="116">
        <v>43358</v>
      </c>
      <c r="Y1014" s="116">
        <v>45549</v>
      </c>
    </row>
    <row r="1015" s="85" customFormat="1" customHeight="1" spans="1:25">
      <c r="A1015" s="98" t="s">
        <v>448</v>
      </c>
      <c r="B1015" s="98" t="s">
        <v>62</v>
      </c>
      <c r="C1015" s="98" t="s">
        <v>238</v>
      </c>
      <c r="D1015" s="98" t="s">
        <v>642</v>
      </c>
      <c r="E1015" s="161" t="s">
        <v>1309</v>
      </c>
      <c r="F1015" s="98" t="s">
        <v>1016</v>
      </c>
      <c r="G1015" s="172" t="s">
        <v>88</v>
      </c>
      <c r="H1015" s="100" t="s">
        <v>1340</v>
      </c>
      <c r="I1015" s="46" t="e">
        <f>VLOOKUP(H1015,'合同高级查询数据-4月返'!A:A,1,FALSE)</f>
        <v>#N/A</v>
      </c>
      <c r="J1015" s="47" t="s">
        <v>90</v>
      </c>
      <c r="K1015" s="172" t="s">
        <v>1341</v>
      </c>
      <c r="L1015" s="228"/>
      <c r="M1015" s="49" t="s">
        <v>1019</v>
      </c>
      <c r="N1015" s="234">
        <v>43940</v>
      </c>
      <c r="O1015" s="234" t="s">
        <v>507</v>
      </c>
      <c r="P1015" s="164">
        <v>5900</v>
      </c>
      <c r="Q1015" s="164">
        <v>1</v>
      </c>
      <c r="R1015" s="118">
        <f t="shared" si="28"/>
        <v>5900</v>
      </c>
      <c r="S1015" s="115">
        <v>202304</v>
      </c>
      <c r="T1015" s="222" t="s">
        <v>1386</v>
      </c>
      <c r="U1015" s="223"/>
      <c r="V1015" s="165"/>
      <c r="W1015" s="165"/>
      <c r="X1015" s="116">
        <v>43358</v>
      </c>
      <c r="Y1015" s="116">
        <v>45549</v>
      </c>
    </row>
    <row r="1016" s="85" customFormat="1" customHeight="1" spans="1:25">
      <c r="A1016" s="98" t="s">
        <v>448</v>
      </c>
      <c r="B1016" s="98" t="s">
        <v>62</v>
      </c>
      <c r="C1016" s="98" t="s">
        <v>238</v>
      </c>
      <c r="D1016" s="98" t="s">
        <v>642</v>
      </c>
      <c r="E1016" s="161" t="s">
        <v>1309</v>
      </c>
      <c r="F1016" s="98" t="s">
        <v>1016</v>
      </c>
      <c r="G1016" s="172" t="s">
        <v>88</v>
      </c>
      <c r="H1016" s="100" t="s">
        <v>1340</v>
      </c>
      <c r="I1016" s="46" t="e">
        <f>VLOOKUP(H1016,'合同高级查询数据-4月返'!A:A,1,FALSE)</f>
        <v>#N/A</v>
      </c>
      <c r="J1016" s="47" t="s">
        <v>90</v>
      </c>
      <c r="K1016" s="172" t="s">
        <v>1341</v>
      </c>
      <c r="L1016" s="228"/>
      <c r="M1016" s="49" t="s">
        <v>1019</v>
      </c>
      <c r="N1016" s="234">
        <v>43984</v>
      </c>
      <c r="O1016" s="234" t="s">
        <v>507</v>
      </c>
      <c r="P1016" s="164">
        <v>5900</v>
      </c>
      <c r="Q1016" s="164">
        <v>12</v>
      </c>
      <c r="R1016" s="118">
        <f t="shared" si="28"/>
        <v>70800</v>
      </c>
      <c r="S1016" s="115">
        <v>202304</v>
      </c>
      <c r="T1016" s="222" t="s">
        <v>1387</v>
      </c>
      <c r="U1016" s="223"/>
      <c r="V1016" s="165"/>
      <c r="W1016" s="165"/>
      <c r="X1016" s="116">
        <v>43358</v>
      </c>
      <c r="Y1016" s="116">
        <v>45549</v>
      </c>
    </row>
    <row r="1017" s="85" customFormat="1" customHeight="1" spans="1:25">
      <c r="A1017" s="98" t="s">
        <v>448</v>
      </c>
      <c r="B1017" s="98" t="s">
        <v>62</v>
      </c>
      <c r="C1017" s="98" t="s">
        <v>238</v>
      </c>
      <c r="D1017" s="98" t="s">
        <v>642</v>
      </c>
      <c r="E1017" s="161" t="s">
        <v>1309</v>
      </c>
      <c r="F1017" s="98" t="s">
        <v>1016</v>
      </c>
      <c r="G1017" s="172" t="s">
        <v>88</v>
      </c>
      <c r="H1017" s="100" t="s">
        <v>1340</v>
      </c>
      <c r="I1017" s="46" t="e">
        <f>VLOOKUP(H1017,'合同高级查询数据-4月返'!A:A,1,FALSE)</f>
        <v>#N/A</v>
      </c>
      <c r="J1017" s="47" t="s">
        <v>90</v>
      </c>
      <c r="K1017" s="172" t="s">
        <v>1341</v>
      </c>
      <c r="L1017" s="228"/>
      <c r="M1017" s="49" t="s">
        <v>1019</v>
      </c>
      <c r="N1017" s="234">
        <v>43990</v>
      </c>
      <c r="O1017" s="234" t="s">
        <v>507</v>
      </c>
      <c r="P1017" s="164">
        <v>5900</v>
      </c>
      <c r="Q1017" s="164">
        <v>2</v>
      </c>
      <c r="R1017" s="118">
        <f t="shared" si="28"/>
        <v>11800</v>
      </c>
      <c r="S1017" s="115">
        <v>202304</v>
      </c>
      <c r="T1017" s="222" t="s">
        <v>1388</v>
      </c>
      <c r="U1017" s="223"/>
      <c r="V1017" s="165"/>
      <c r="W1017" s="165"/>
      <c r="X1017" s="116">
        <v>43358</v>
      </c>
      <c r="Y1017" s="116">
        <v>45549</v>
      </c>
    </row>
    <row r="1018" s="85" customFormat="1" customHeight="1" spans="1:25">
      <c r="A1018" s="98" t="s">
        <v>448</v>
      </c>
      <c r="B1018" s="98" t="s">
        <v>62</v>
      </c>
      <c r="C1018" s="98" t="s">
        <v>238</v>
      </c>
      <c r="D1018" s="98" t="s">
        <v>642</v>
      </c>
      <c r="E1018" s="161" t="s">
        <v>1309</v>
      </c>
      <c r="F1018" s="98" t="s">
        <v>1016</v>
      </c>
      <c r="G1018" s="172" t="s">
        <v>88</v>
      </c>
      <c r="H1018" s="100" t="s">
        <v>1340</v>
      </c>
      <c r="I1018" s="46" t="e">
        <f>VLOOKUP(H1018,'合同高级查询数据-4月返'!A:A,1,FALSE)</f>
        <v>#N/A</v>
      </c>
      <c r="J1018" s="47" t="s">
        <v>90</v>
      </c>
      <c r="K1018" s="172" t="s">
        <v>1341</v>
      </c>
      <c r="L1018" s="228"/>
      <c r="M1018" s="49" t="s">
        <v>1019</v>
      </c>
      <c r="N1018" s="234">
        <v>44029</v>
      </c>
      <c r="O1018" s="234" t="s">
        <v>507</v>
      </c>
      <c r="P1018" s="164">
        <v>5900</v>
      </c>
      <c r="Q1018" s="164">
        <v>7</v>
      </c>
      <c r="R1018" s="118">
        <f t="shared" si="28"/>
        <v>41300</v>
      </c>
      <c r="S1018" s="115">
        <v>202304</v>
      </c>
      <c r="T1018" s="222" t="s">
        <v>1389</v>
      </c>
      <c r="U1018" s="223"/>
      <c r="V1018" s="165"/>
      <c r="W1018" s="165"/>
      <c r="X1018" s="116">
        <v>43358</v>
      </c>
      <c r="Y1018" s="116">
        <v>45549</v>
      </c>
    </row>
    <row r="1019" s="85" customFormat="1" customHeight="1" spans="1:25">
      <c r="A1019" s="98" t="s">
        <v>448</v>
      </c>
      <c r="B1019" s="98" t="s">
        <v>62</v>
      </c>
      <c r="C1019" s="98" t="s">
        <v>238</v>
      </c>
      <c r="D1019" s="98" t="s">
        <v>642</v>
      </c>
      <c r="E1019" s="161" t="s">
        <v>1309</v>
      </c>
      <c r="F1019" s="98" t="s">
        <v>1016</v>
      </c>
      <c r="G1019" s="172" t="s">
        <v>88</v>
      </c>
      <c r="H1019" s="100" t="s">
        <v>1340</v>
      </c>
      <c r="I1019" s="46" t="e">
        <f>VLOOKUP(H1019,'合同高级查询数据-4月返'!A:A,1,FALSE)</f>
        <v>#N/A</v>
      </c>
      <c r="J1019" s="47" t="s">
        <v>90</v>
      </c>
      <c r="K1019" s="172" t="s">
        <v>1341</v>
      </c>
      <c r="L1019" s="228"/>
      <c r="M1019" s="49" t="s">
        <v>1019</v>
      </c>
      <c r="N1019" s="234">
        <v>44035</v>
      </c>
      <c r="O1019" s="234" t="s">
        <v>507</v>
      </c>
      <c r="P1019" s="164">
        <v>5900</v>
      </c>
      <c r="Q1019" s="164">
        <v>5</v>
      </c>
      <c r="R1019" s="118">
        <f t="shared" si="28"/>
        <v>29500</v>
      </c>
      <c r="S1019" s="115">
        <v>202304</v>
      </c>
      <c r="T1019" s="222" t="s">
        <v>1390</v>
      </c>
      <c r="U1019" s="223"/>
      <c r="V1019" s="165"/>
      <c r="W1019" s="165"/>
      <c r="X1019" s="116">
        <v>43358</v>
      </c>
      <c r="Y1019" s="116">
        <v>45549</v>
      </c>
    </row>
    <row r="1020" s="85" customFormat="1" customHeight="1" spans="1:25">
      <c r="A1020" s="98" t="s">
        <v>448</v>
      </c>
      <c r="B1020" s="98" t="s">
        <v>62</v>
      </c>
      <c r="C1020" s="98" t="s">
        <v>238</v>
      </c>
      <c r="D1020" s="98" t="s">
        <v>642</v>
      </c>
      <c r="E1020" s="161" t="s">
        <v>1309</v>
      </c>
      <c r="F1020" s="98" t="s">
        <v>1016</v>
      </c>
      <c r="G1020" s="172" t="s">
        <v>88</v>
      </c>
      <c r="H1020" s="100" t="s">
        <v>1340</v>
      </c>
      <c r="I1020" s="46" t="e">
        <f>VLOOKUP(H1020,'合同高级查询数据-4月返'!A:A,1,FALSE)</f>
        <v>#N/A</v>
      </c>
      <c r="J1020" s="47" t="s">
        <v>90</v>
      </c>
      <c r="K1020" s="172" t="s">
        <v>1341</v>
      </c>
      <c r="L1020" s="228"/>
      <c r="M1020" s="49" t="s">
        <v>1019</v>
      </c>
      <c r="N1020" s="234">
        <v>44035</v>
      </c>
      <c r="O1020" s="234" t="s">
        <v>507</v>
      </c>
      <c r="P1020" s="207">
        <v>5950</v>
      </c>
      <c r="Q1020" s="164">
        <v>10</v>
      </c>
      <c r="R1020" s="118">
        <f t="shared" si="28"/>
        <v>59500</v>
      </c>
      <c r="S1020" s="115">
        <v>202304</v>
      </c>
      <c r="T1020" s="222" t="s">
        <v>1391</v>
      </c>
      <c r="U1020" s="223"/>
      <c r="V1020" s="165"/>
      <c r="W1020" s="165"/>
      <c r="X1020" s="116">
        <v>43358</v>
      </c>
      <c r="Y1020" s="116">
        <v>45549</v>
      </c>
    </row>
    <row r="1021" s="85" customFormat="1" customHeight="1" spans="1:25">
      <c r="A1021" s="98" t="s">
        <v>448</v>
      </c>
      <c r="B1021" s="98" t="s">
        <v>62</v>
      </c>
      <c r="C1021" s="98" t="s">
        <v>238</v>
      </c>
      <c r="D1021" s="98" t="s">
        <v>642</v>
      </c>
      <c r="E1021" s="161" t="s">
        <v>1309</v>
      </c>
      <c r="F1021" s="98" t="s">
        <v>1016</v>
      </c>
      <c r="G1021" s="172" t="s">
        <v>88</v>
      </c>
      <c r="H1021" s="100" t="s">
        <v>1340</v>
      </c>
      <c r="I1021" s="46" t="e">
        <f>VLOOKUP(H1021,'合同高级查询数据-4月返'!A:A,1,FALSE)</f>
        <v>#N/A</v>
      </c>
      <c r="J1021" s="47" t="s">
        <v>90</v>
      </c>
      <c r="K1021" s="172" t="s">
        <v>1341</v>
      </c>
      <c r="L1021" s="228"/>
      <c r="M1021" s="49" t="s">
        <v>1019</v>
      </c>
      <c r="N1021" s="234">
        <v>44043</v>
      </c>
      <c r="O1021" s="234" t="s">
        <v>507</v>
      </c>
      <c r="P1021" s="207">
        <v>5900</v>
      </c>
      <c r="Q1021" s="164">
        <v>17</v>
      </c>
      <c r="R1021" s="118">
        <f t="shared" si="28"/>
        <v>100300</v>
      </c>
      <c r="S1021" s="115">
        <v>202304</v>
      </c>
      <c r="T1021" s="222" t="s">
        <v>1392</v>
      </c>
      <c r="U1021" s="223"/>
      <c r="V1021" s="165"/>
      <c r="W1021" s="165"/>
      <c r="X1021" s="116">
        <v>43358</v>
      </c>
      <c r="Y1021" s="116">
        <v>45549</v>
      </c>
    </row>
    <row r="1022" s="85" customFormat="1" customHeight="1" spans="1:25">
      <c r="A1022" s="98" t="s">
        <v>448</v>
      </c>
      <c r="B1022" s="98" t="s">
        <v>62</v>
      </c>
      <c r="C1022" s="98" t="s">
        <v>238</v>
      </c>
      <c r="D1022" s="98" t="s">
        <v>642</v>
      </c>
      <c r="E1022" s="161" t="s">
        <v>1309</v>
      </c>
      <c r="F1022" s="98" t="s">
        <v>1016</v>
      </c>
      <c r="G1022" s="172" t="s">
        <v>88</v>
      </c>
      <c r="H1022" s="100" t="s">
        <v>1340</v>
      </c>
      <c r="I1022" s="46" t="e">
        <f>VLOOKUP(H1022,'合同高级查询数据-4月返'!A:A,1,FALSE)</f>
        <v>#N/A</v>
      </c>
      <c r="J1022" s="47" t="s">
        <v>90</v>
      </c>
      <c r="K1022" s="172" t="s">
        <v>1341</v>
      </c>
      <c r="L1022" s="228"/>
      <c r="M1022" s="49" t="s">
        <v>1019</v>
      </c>
      <c r="N1022" s="234">
        <v>44052</v>
      </c>
      <c r="O1022" s="234" t="s">
        <v>507</v>
      </c>
      <c r="P1022" s="207">
        <v>5900</v>
      </c>
      <c r="Q1022" s="164">
        <v>13</v>
      </c>
      <c r="R1022" s="118">
        <f t="shared" si="28"/>
        <v>76700</v>
      </c>
      <c r="S1022" s="115">
        <v>202304</v>
      </c>
      <c r="T1022" s="222" t="s">
        <v>1393</v>
      </c>
      <c r="U1022" s="223"/>
      <c r="V1022" s="165"/>
      <c r="W1022" s="165"/>
      <c r="X1022" s="116">
        <v>43358</v>
      </c>
      <c r="Y1022" s="116">
        <v>45549</v>
      </c>
    </row>
    <row r="1023" s="85" customFormat="1" customHeight="1" spans="1:25">
      <c r="A1023" s="98" t="s">
        <v>448</v>
      </c>
      <c r="B1023" s="98" t="s">
        <v>62</v>
      </c>
      <c r="C1023" s="98" t="s">
        <v>238</v>
      </c>
      <c r="D1023" s="98" t="s">
        <v>642</v>
      </c>
      <c r="E1023" s="161" t="s">
        <v>1309</v>
      </c>
      <c r="F1023" s="98" t="s">
        <v>1016</v>
      </c>
      <c r="G1023" s="172" t="s">
        <v>88</v>
      </c>
      <c r="H1023" s="100" t="s">
        <v>1340</v>
      </c>
      <c r="I1023" s="46" t="e">
        <f>VLOOKUP(H1023,'合同高级查询数据-4月返'!A:A,1,FALSE)</f>
        <v>#N/A</v>
      </c>
      <c r="J1023" s="47" t="s">
        <v>90</v>
      </c>
      <c r="K1023" s="172" t="s">
        <v>1341</v>
      </c>
      <c r="L1023" s="228"/>
      <c r="M1023" s="49" t="s">
        <v>1019</v>
      </c>
      <c r="N1023" s="234">
        <v>44053</v>
      </c>
      <c r="O1023" s="234" t="s">
        <v>507</v>
      </c>
      <c r="P1023" s="207">
        <v>5900</v>
      </c>
      <c r="Q1023" s="164">
        <v>12</v>
      </c>
      <c r="R1023" s="118">
        <f t="shared" si="28"/>
        <v>70800</v>
      </c>
      <c r="S1023" s="115">
        <v>202304</v>
      </c>
      <c r="T1023" s="222" t="s">
        <v>1394</v>
      </c>
      <c r="U1023" s="223"/>
      <c r="V1023" s="165"/>
      <c r="W1023" s="165"/>
      <c r="X1023" s="116">
        <v>43358</v>
      </c>
      <c r="Y1023" s="116">
        <v>45549</v>
      </c>
    </row>
    <row r="1024" s="85" customFormat="1" customHeight="1" spans="1:25">
      <c r="A1024" s="98" t="s">
        <v>448</v>
      </c>
      <c r="B1024" s="98" t="s">
        <v>62</v>
      </c>
      <c r="C1024" s="98" t="s">
        <v>238</v>
      </c>
      <c r="D1024" s="98" t="s">
        <v>642</v>
      </c>
      <c r="E1024" s="161" t="s">
        <v>1309</v>
      </c>
      <c r="F1024" s="98" t="s">
        <v>1016</v>
      </c>
      <c r="G1024" s="172" t="s">
        <v>88</v>
      </c>
      <c r="H1024" s="100" t="s">
        <v>1340</v>
      </c>
      <c r="I1024" s="46" t="e">
        <f>VLOOKUP(H1024,'合同高级查询数据-4月返'!A:A,1,FALSE)</f>
        <v>#N/A</v>
      </c>
      <c r="J1024" s="47" t="s">
        <v>90</v>
      </c>
      <c r="K1024" s="172" t="s">
        <v>1341</v>
      </c>
      <c r="L1024" s="228"/>
      <c r="M1024" s="49" t="s">
        <v>1019</v>
      </c>
      <c r="N1024" s="234">
        <v>44060</v>
      </c>
      <c r="O1024" s="234" t="s">
        <v>507</v>
      </c>
      <c r="P1024" s="207">
        <v>5900</v>
      </c>
      <c r="Q1024" s="164">
        <v>1</v>
      </c>
      <c r="R1024" s="118">
        <f t="shared" si="28"/>
        <v>5900</v>
      </c>
      <c r="S1024" s="115">
        <v>202304</v>
      </c>
      <c r="T1024" s="222" t="s">
        <v>1395</v>
      </c>
      <c r="U1024" s="223"/>
      <c r="V1024" s="165"/>
      <c r="W1024" s="165"/>
      <c r="X1024" s="116">
        <v>43358</v>
      </c>
      <c r="Y1024" s="116">
        <v>45549</v>
      </c>
    </row>
    <row r="1025" s="85" customFormat="1" customHeight="1" spans="1:25">
      <c r="A1025" s="98" t="s">
        <v>448</v>
      </c>
      <c r="B1025" s="98" t="s">
        <v>62</v>
      </c>
      <c r="C1025" s="98" t="s">
        <v>238</v>
      </c>
      <c r="D1025" s="98" t="s">
        <v>642</v>
      </c>
      <c r="E1025" s="161" t="s">
        <v>1309</v>
      </c>
      <c r="F1025" s="98" t="s">
        <v>1016</v>
      </c>
      <c r="G1025" s="172" t="s">
        <v>88</v>
      </c>
      <c r="H1025" s="100" t="s">
        <v>1340</v>
      </c>
      <c r="I1025" s="46" t="e">
        <f>VLOOKUP(H1025,'合同高级查询数据-4月返'!A:A,1,FALSE)</f>
        <v>#N/A</v>
      </c>
      <c r="J1025" s="47" t="s">
        <v>90</v>
      </c>
      <c r="K1025" s="172" t="s">
        <v>1341</v>
      </c>
      <c r="L1025" s="228"/>
      <c r="M1025" s="49" t="s">
        <v>1019</v>
      </c>
      <c r="N1025" s="234">
        <v>44279</v>
      </c>
      <c r="O1025" s="234" t="s">
        <v>507</v>
      </c>
      <c r="P1025" s="207">
        <v>5950</v>
      </c>
      <c r="Q1025" s="164">
        <v>2</v>
      </c>
      <c r="R1025" s="118">
        <f t="shared" si="28"/>
        <v>11900</v>
      </c>
      <c r="S1025" s="115">
        <v>202304</v>
      </c>
      <c r="T1025" s="222" t="s">
        <v>1396</v>
      </c>
      <c r="U1025" s="223"/>
      <c r="V1025" s="165"/>
      <c r="W1025" s="165"/>
      <c r="X1025" s="116">
        <v>43358</v>
      </c>
      <c r="Y1025" s="116">
        <v>45549</v>
      </c>
    </row>
    <row r="1026" s="85" customFormat="1" customHeight="1" spans="1:25">
      <c r="A1026" s="98" t="s">
        <v>448</v>
      </c>
      <c r="B1026" s="98" t="s">
        <v>62</v>
      </c>
      <c r="C1026" s="98" t="s">
        <v>238</v>
      </c>
      <c r="D1026" s="98" t="s">
        <v>642</v>
      </c>
      <c r="E1026" s="161" t="s">
        <v>1309</v>
      </c>
      <c r="F1026" s="98" t="s">
        <v>1016</v>
      </c>
      <c r="G1026" s="172" t="s">
        <v>88</v>
      </c>
      <c r="H1026" s="100" t="s">
        <v>1340</v>
      </c>
      <c r="I1026" s="46" t="e">
        <f>VLOOKUP(H1026,'合同高级查询数据-4月返'!A:A,1,FALSE)</f>
        <v>#N/A</v>
      </c>
      <c r="J1026" s="47" t="s">
        <v>90</v>
      </c>
      <c r="K1026" s="172" t="s">
        <v>1341</v>
      </c>
      <c r="L1026" s="228"/>
      <c r="M1026" s="49" t="s">
        <v>1019</v>
      </c>
      <c r="N1026" s="234">
        <v>44136</v>
      </c>
      <c r="O1026" s="234" t="s">
        <v>507</v>
      </c>
      <c r="P1026" s="207">
        <v>5900</v>
      </c>
      <c r="Q1026" s="164">
        <v>1</v>
      </c>
      <c r="R1026" s="118">
        <f t="shared" si="28"/>
        <v>5900</v>
      </c>
      <c r="S1026" s="115">
        <v>202304</v>
      </c>
      <c r="T1026" s="222" t="s">
        <v>1397</v>
      </c>
      <c r="U1026" s="223"/>
      <c r="V1026" s="165"/>
      <c r="W1026" s="165"/>
      <c r="X1026" s="116">
        <v>43358</v>
      </c>
      <c r="Y1026" s="116">
        <v>45549</v>
      </c>
    </row>
    <row r="1027" s="85" customFormat="1" customHeight="1" spans="1:25">
      <c r="A1027" s="98" t="s">
        <v>448</v>
      </c>
      <c r="B1027" s="98" t="s">
        <v>62</v>
      </c>
      <c r="C1027" s="98" t="s">
        <v>238</v>
      </c>
      <c r="D1027" s="98" t="s">
        <v>642</v>
      </c>
      <c r="E1027" s="161" t="s">
        <v>1309</v>
      </c>
      <c r="F1027" s="98" t="s">
        <v>1016</v>
      </c>
      <c r="G1027" s="172" t="s">
        <v>88</v>
      </c>
      <c r="H1027" s="100" t="s">
        <v>1340</v>
      </c>
      <c r="I1027" s="46" t="e">
        <f>VLOOKUP(H1027,'合同高级查询数据-4月返'!A:A,1,FALSE)</f>
        <v>#N/A</v>
      </c>
      <c r="J1027" s="47" t="s">
        <v>90</v>
      </c>
      <c r="K1027" s="172" t="s">
        <v>1341</v>
      </c>
      <c r="L1027" s="228"/>
      <c r="M1027" s="49" t="s">
        <v>1019</v>
      </c>
      <c r="N1027" s="234">
        <v>44136</v>
      </c>
      <c r="O1027" s="234" t="s">
        <v>525</v>
      </c>
      <c r="P1027" s="207">
        <v>5950</v>
      </c>
      <c r="Q1027" s="164">
        <v>2</v>
      </c>
      <c r="R1027" s="118">
        <f t="shared" si="28"/>
        <v>11900</v>
      </c>
      <c r="S1027" s="115">
        <v>202304</v>
      </c>
      <c r="T1027" s="222" t="s">
        <v>1398</v>
      </c>
      <c r="U1027" s="223"/>
      <c r="V1027" s="165"/>
      <c r="W1027" s="165"/>
      <c r="X1027" s="116">
        <v>43358</v>
      </c>
      <c r="Y1027" s="116">
        <v>45549</v>
      </c>
    </row>
    <row r="1028" s="85" customFormat="1" customHeight="1" spans="1:25">
      <c r="A1028" s="98" t="s">
        <v>448</v>
      </c>
      <c r="B1028" s="98" t="s">
        <v>62</v>
      </c>
      <c r="C1028" s="98" t="s">
        <v>238</v>
      </c>
      <c r="D1028" s="98" t="s">
        <v>642</v>
      </c>
      <c r="E1028" s="161" t="s">
        <v>1309</v>
      </c>
      <c r="F1028" s="98" t="s">
        <v>1016</v>
      </c>
      <c r="G1028" s="172" t="s">
        <v>88</v>
      </c>
      <c r="H1028" s="100" t="s">
        <v>1340</v>
      </c>
      <c r="I1028" s="46" t="e">
        <f>VLOOKUP(H1028,'合同高级查询数据-4月返'!A:A,1,FALSE)</f>
        <v>#N/A</v>
      </c>
      <c r="J1028" s="47" t="s">
        <v>90</v>
      </c>
      <c r="K1028" s="172" t="s">
        <v>1341</v>
      </c>
      <c r="L1028" s="228"/>
      <c r="M1028" s="49" t="s">
        <v>1019</v>
      </c>
      <c r="N1028" s="234">
        <v>44136</v>
      </c>
      <c r="O1028" s="234" t="s">
        <v>503</v>
      </c>
      <c r="P1028" s="207">
        <v>5950</v>
      </c>
      <c r="Q1028" s="164">
        <v>1</v>
      </c>
      <c r="R1028" s="118">
        <f t="shared" si="28"/>
        <v>5950</v>
      </c>
      <c r="S1028" s="115">
        <v>202304</v>
      </c>
      <c r="T1028" s="222" t="s">
        <v>1399</v>
      </c>
      <c r="U1028" s="223"/>
      <c r="V1028" s="165"/>
      <c r="W1028" s="165"/>
      <c r="X1028" s="116">
        <v>43358</v>
      </c>
      <c r="Y1028" s="116">
        <v>45549</v>
      </c>
    </row>
    <row r="1029" s="85" customFormat="1" customHeight="1" spans="1:25">
      <c r="A1029" s="98" t="s">
        <v>448</v>
      </c>
      <c r="B1029" s="98" t="s">
        <v>62</v>
      </c>
      <c r="C1029" s="98" t="s">
        <v>238</v>
      </c>
      <c r="D1029" s="98" t="s">
        <v>642</v>
      </c>
      <c r="E1029" s="161" t="s">
        <v>1309</v>
      </c>
      <c r="F1029" s="98" t="s">
        <v>1016</v>
      </c>
      <c r="G1029" s="172" t="s">
        <v>88</v>
      </c>
      <c r="H1029" s="100" t="s">
        <v>1340</v>
      </c>
      <c r="I1029" s="46" t="e">
        <f>VLOOKUP(H1029,'合同高级查询数据-4月返'!A:A,1,FALSE)</f>
        <v>#N/A</v>
      </c>
      <c r="J1029" s="47" t="s">
        <v>90</v>
      </c>
      <c r="K1029" s="172" t="s">
        <v>1341</v>
      </c>
      <c r="L1029" s="228"/>
      <c r="M1029" s="49" t="s">
        <v>1019</v>
      </c>
      <c r="N1029" s="234">
        <v>44335</v>
      </c>
      <c r="O1029" s="234" t="s">
        <v>507</v>
      </c>
      <c r="P1029" s="207">
        <v>5950</v>
      </c>
      <c r="Q1029" s="164">
        <v>2</v>
      </c>
      <c r="R1029" s="118">
        <f t="shared" si="28"/>
        <v>11900</v>
      </c>
      <c r="S1029" s="115">
        <v>202304</v>
      </c>
      <c r="T1029" s="222" t="s">
        <v>1400</v>
      </c>
      <c r="U1029" s="223"/>
      <c r="V1029" s="165"/>
      <c r="W1029" s="165"/>
      <c r="X1029" s="116">
        <v>43358</v>
      </c>
      <c r="Y1029" s="116">
        <v>45549</v>
      </c>
    </row>
    <row r="1030" s="85" customFormat="1" customHeight="1" spans="1:25">
      <c r="A1030" s="98" t="s">
        <v>448</v>
      </c>
      <c r="B1030" s="98" t="s">
        <v>62</v>
      </c>
      <c r="C1030" s="98" t="s">
        <v>238</v>
      </c>
      <c r="D1030" s="98" t="s">
        <v>642</v>
      </c>
      <c r="E1030" s="161" t="s">
        <v>1309</v>
      </c>
      <c r="F1030" s="98" t="s">
        <v>1016</v>
      </c>
      <c r="G1030" s="172" t="s">
        <v>88</v>
      </c>
      <c r="H1030" s="100" t="s">
        <v>1340</v>
      </c>
      <c r="I1030" s="46" t="e">
        <f>VLOOKUP(H1030,'合同高级查询数据-4月返'!A:A,1,FALSE)</f>
        <v>#N/A</v>
      </c>
      <c r="J1030" s="47" t="s">
        <v>90</v>
      </c>
      <c r="K1030" s="172" t="s">
        <v>1341</v>
      </c>
      <c r="L1030" s="228"/>
      <c r="M1030" s="49" t="s">
        <v>1019</v>
      </c>
      <c r="N1030" s="234">
        <v>44861</v>
      </c>
      <c r="O1030" s="234" t="s">
        <v>507</v>
      </c>
      <c r="P1030" s="207">
        <v>5900</v>
      </c>
      <c r="Q1030" s="164">
        <v>-2</v>
      </c>
      <c r="R1030" s="118">
        <f t="shared" si="28"/>
        <v>-11800</v>
      </c>
      <c r="S1030" s="115">
        <v>202304</v>
      </c>
      <c r="T1030" s="222" t="s">
        <v>1401</v>
      </c>
      <c r="U1030" s="223"/>
      <c r="V1030" s="165"/>
      <c r="W1030" s="165"/>
      <c r="X1030" s="116">
        <v>43358</v>
      </c>
      <c r="Y1030" s="116">
        <v>45549</v>
      </c>
    </row>
    <row r="1031" s="85" customFormat="1" customHeight="1" spans="1:25">
      <c r="A1031" s="98" t="s">
        <v>448</v>
      </c>
      <c r="B1031" s="98" t="s">
        <v>62</v>
      </c>
      <c r="C1031" s="98" t="s">
        <v>238</v>
      </c>
      <c r="D1031" s="98" t="s">
        <v>642</v>
      </c>
      <c r="E1031" s="161" t="s">
        <v>1309</v>
      </c>
      <c r="F1031" s="98" t="s">
        <v>1016</v>
      </c>
      <c r="G1031" s="172" t="s">
        <v>88</v>
      </c>
      <c r="H1031" s="100" t="s">
        <v>1340</v>
      </c>
      <c r="I1031" s="46" t="e">
        <f>VLOOKUP(H1031,'合同高级查询数据-4月返'!A:A,1,FALSE)</f>
        <v>#N/A</v>
      </c>
      <c r="J1031" s="47" t="s">
        <v>90</v>
      </c>
      <c r="K1031" s="172" t="s">
        <v>1341</v>
      </c>
      <c r="L1031" s="228"/>
      <c r="M1031" s="49" t="s">
        <v>1019</v>
      </c>
      <c r="N1031" s="234">
        <v>44869</v>
      </c>
      <c r="O1031" s="234" t="s">
        <v>503</v>
      </c>
      <c r="P1031" s="207">
        <v>5950</v>
      </c>
      <c r="Q1031" s="164">
        <v>-2</v>
      </c>
      <c r="R1031" s="118">
        <f t="shared" si="28"/>
        <v>-11900</v>
      </c>
      <c r="S1031" s="115">
        <v>202304</v>
      </c>
      <c r="T1031" s="222" t="s">
        <v>1402</v>
      </c>
      <c r="U1031" s="223"/>
      <c r="V1031" s="165"/>
      <c r="W1031" s="165"/>
      <c r="X1031" s="116">
        <v>43358</v>
      </c>
      <c r="Y1031" s="116">
        <v>45549</v>
      </c>
    </row>
    <row r="1032" s="85" customFormat="1" customHeight="1" spans="1:25">
      <c r="A1032" s="98" t="s">
        <v>448</v>
      </c>
      <c r="B1032" s="98" t="s">
        <v>62</v>
      </c>
      <c r="C1032" s="98" t="s">
        <v>238</v>
      </c>
      <c r="D1032" s="98" t="s">
        <v>642</v>
      </c>
      <c r="E1032" s="161" t="s">
        <v>1309</v>
      </c>
      <c r="F1032" s="98" t="s">
        <v>1016</v>
      </c>
      <c r="G1032" s="172" t="s">
        <v>88</v>
      </c>
      <c r="H1032" s="100" t="s">
        <v>1340</v>
      </c>
      <c r="I1032" s="46" t="e">
        <f>VLOOKUP(H1032,'合同高级查询数据-4月返'!A:A,1,FALSE)</f>
        <v>#N/A</v>
      </c>
      <c r="J1032" s="47" t="s">
        <v>357</v>
      </c>
      <c r="K1032" s="160" t="s">
        <v>1334</v>
      </c>
      <c r="L1032" s="179"/>
      <c r="M1032" s="49" t="s">
        <v>1019</v>
      </c>
      <c r="N1032" s="180">
        <v>43094</v>
      </c>
      <c r="O1032" s="181" t="s">
        <v>1335</v>
      </c>
      <c r="P1032" s="182">
        <v>300</v>
      </c>
      <c r="Q1032" s="182">
        <v>6500</v>
      </c>
      <c r="R1032" s="118">
        <f t="shared" si="28"/>
        <v>1950000</v>
      </c>
      <c r="S1032" s="115">
        <v>202304</v>
      </c>
      <c r="T1032" s="217" t="s">
        <v>1403</v>
      </c>
      <c r="U1032" s="165"/>
      <c r="V1032" s="165"/>
      <c r="W1032" s="165"/>
      <c r="X1032" s="116">
        <v>43358</v>
      </c>
      <c r="Y1032" s="116">
        <v>45549</v>
      </c>
    </row>
    <row r="1033" s="85" customFormat="1" customHeight="1" spans="1:25">
      <c r="A1033" s="98" t="s">
        <v>448</v>
      </c>
      <c r="B1033" s="98" t="s">
        <v>62</v>
      </c>
      <c r="C1033" s="98" t="s">
        <v>238</v>
      </c>
      <c r="D1033" s="98" t="s">
        <v>642</v>
      </c>
      <c r="E1033" s="161" t="s">
        <v>1309</v>
      </c>
      <c r="F1033" s="98" t="s">
        <v>1016</v>
      </c>
      <c r="G1033" s="25" t="s">
        <v>67</v>
      </c>
      <c r="H1033" s="226" t="s">
        <v>1404</v>
      </c>
      <c r="I1033" s="46" t="e">
        <f>VLOOKUP(H1033,'合同高级查询数据-4月返'!A:A,1,FALSE)</f>
        <v>#N/A</v>
      </c>
      <c r="J1033" s="25" t="s">
        <v>69</v>
      </c>
      <c r="K1033" s="172" t="s">
        <v>1405</v>
      </c>
      <c r="L1033" s="228"/>
      <c r="M1033" s="49"/>
      <c r="N1033" s="234">
        <v>44335</v>
      </c>
      <c r="O1033" s="234" t="s">
        <v>71</v>
      </c>
      <c r="P1033" s="164">
        <v>10800</v>
      </c>
      <c r="Q1033" s="118">
        <v>1</v>
      </c>
      <c r="R1033" s="118">
        <f t="shared" si="28"/>
        <v>10800</v>
      </c>
      <c r="S1033" s="115">
        <v>202304</v>
      </c>
      <c r="T1033" s="222" t="s">
        <v>1406</v>
      </c>
      <c r="U1033" s="223"/>
      <c r="V1033" s="165"/>
      <c r="W1033" s="165"/>
      <c r="X1033" s="116">
        <v>44335</v>
      </c>
      <c r="Y1033" s="116">
        <v>45077</v>
      </c>
    </row>
    <row r="1034" s="85" customFormat="1" customHeight="1" spans="1:25">
      <c r="A1034" s="98" t="s">
        <v>448</v>
      </c>
      <c r="B1034" s="98" t="s">
        <v>62</v>
      </c>
      <c r="C1034" s="98" t="s">
        <v>238</v>
      </c>
      <c r="D1034" s="98" t="s">
        <v>642</v>
      </c>
      <c r="E1034" s="161" t="s">
        <v>1309</v>
      </c>
      <c r="F1034" s="98" t="s">
        <v>1016</v>
      </c>
      <c r="G1034" s="25" t="s">
        <v>67</v>
      </c>
      <c r="H1034" s="226" t="s">
        <v>1404</v>
      </c>
      <c r="I1034" s="46" t="e">
        <f>VLOOKUP(H1034,'合同高级查询数据-4月返'!A:A,1,FALSE)</f>
        <v>#N/A</v>
      </c>
      <c r="J1034" s="25" t="s">
        <v>69</v>
      </c>
      <c r="K1034" s="172" t="s">
        <v>1407</v>
      </c>
      <c r="L1034" s="228"/>
      <c r="M1034" s="49"/>
      <c r="N1034" s="234">
        <v>44335</v>
      </c>
      <c r="O1034" s="234" t="s">
        <v>71</v>
      </c>
      <c r="P1034" s="164">
        <v>6400</v>
      </c>
      <c r="Q1034" s="118">
        <v>1</v>
      </c>
      <c r="R1034" s="118">
        <f t="shared" si="28"/>
        <v>6400</v>
      </c>
      <c r="S1034" s="115">
        <v>202304</v>
      </c>
      <c r="T1034" s="222" t="s">
        <v>1408</v>
      </c>
      <c r="U1034" s="223"/>
      <c r="V1034" s="165"/>
      <c r="W1034" s="165"/>
      <c r="X1034" s="116">
        <v>44335</v>
      </c>
      <c r="Y1034" s="116">
        <v>45077</v>
      </c>
    </row>
    <row r="1035" s="85" customFormat="1" customHeight="1" spans="1:25">
      <c r="A1035" s="98" t="s">
        <v>448</v>
      </c>
      <c r="B1035" s="98" t="s">
        <v>62</v>
      </c>
      <c r="C1035" s="98" t="s">
        <v>238</v>
      </c>
      <c r="D1035" s="98" t="s">
        <v>642</v>
      </c>
      <c r="E1035" s="161" t="s">
        <v>1309</v>
      </c>
      <c r="F1035" s="98" t="s">
        <v>1016</v>
      </c>
      <c r="G1035" s="25" t="s">
        <v>67</v>
      </c>
      <c r="H1035" s="226" t="s">
        <v>1404</v>
      </c>
      <c r="I1035" s="46" t="e">
        <f>VLOOKUP(H1035,'合同高级查询数据-4月返'!A:A,1,FALSE)</f>
        <v>#N/A</v>
      </c>
      <c r="J1035" s="25" t="s">
        <v>69</v>
      </c>
      <c r="K1035" s="172" t="s">
        <v>1409</v>
      </c>
      <c r="L1035" s="228"/>
      <c r="M1035" s="49"/>
      <c r="N1035" s="234">
        <v>44335</v>
      </c>
      <c r="O1035" s="234" t="s">
        <v>71</v>
      </c>
      <c r="P1035" s="164">
        <v>20000</v>
      </c>
      <c r="Q1035" s="118">
        <v>1</v>
      </c>
      <c r="R1035" s="118">
        <f t="shared" si="28"/>
        <v>20000</v>
      </c>
      <c r="S1035" s="115">
        <v>202304</v>
      </c>
      <c r="T1035" s="222" t="s">
        <v>1410</v>
      </c>
      <c r="U1035" s="223"/>
      <c r="V1035" s="165"/>
      <c r="W1035" s="165"/>
      <c r="X1035" s="116">
        <v>44335</v>
      </c>
      <c r="Y1035" s="116">
        <v>45077</v>
      </c>
    </row>
    <row r="1036" s="85" customFormat="1" customHeight="1" spans="1:25">
      <c r="A1036" s="98" t="s">
        <v>448</v>
      </c>
      <c r="B1036" s="98" t="s">
        <v>62</v>
      </c>
      <c r="C1036" s="98" t="s">
        <v>238</v>
      </c>
      <c r="D1036" s="98" t="s">
        <v>642</v>
      </c>
      <c r="E1036" s="161" t="s">
        <v>1309</v>
      </c>
      <c r="F1036" s="98" t="s">
        <v>1016</v>
      </c>
      <c r="G1036" s="25" t="s">
        <v>67</v>
      </c>
      <c r="H1036" s="226" t="s">
        <v>1404</v>
      </c>
      <c r="I1036" s="46" t="e">
        <f>VLOOKUP(H1036,'合同高级查询数据-4月返'!A:A,1,FALSE)</f>
        <v>#N/A</v>
      </c>
      <c r="J1036" s="25" t="s">
        <v>69</v>
      </c>
      <c r="K1036" s="172" t="s">
        <v>1409</v>
      </c>
      <c r="L1036" s="228"/>
      <c r="M1036" s="49"/>
      <c r="N1036" s="234">
        <v>44335</v>
      </c>
      <c r="O1036" s="234" t="s">
        <v>71</v>
      </c>
      <c r="P1036" s="164">
        <v>18800</v>
      </c>
      <c r="Q1036" s="118">
        <v>1</v>
      </c>
      <c r="R1036" s="118">
        <f t="shared" si="28"/>
        <v>18800</v>
      </c>
      <c r="S1036" s="115">
        <v>202304</v>
      </c>
      <c r="T1036" s="222" t="s">
        <v>1411</v>
      </c>
      <c r="U1036" s="223"/>
      <c r="V1036" s="165"/>
      <c r="W1036" s="165"/>
      <c r="X1036" s="116">
        <v>44335</v>
      </c>
      <c r="Y1036" s="116">
        <v>45077</v>
      </c>
    </row>
    <row r="1037" s="85" customFormat="1" customHeight="1" spans="1:25">
      <c r="A1037" s="98" t="s">
        <v>448</v>
      </c>
      <c r="B1037" s="98" t="s">
        <v>62</v>
      </c>
      <c r="C1037" s="98" t="s">
        <v>238</v>
      </c>
      <c r="D1037" s="98" t="s">
        <v>642</v>
      </c>
      <c r="E1037" s="161" t="s">
        <v>1309</v>
      </c>
      <c r="F1037" s="98" t="s">
        <v>1016</v>
      </c>
      <c r="G1037" s="172" t="s">
        <v>88</v>
      </c>
      <c r="H1037" s="100" t="s">
        <v>1412</v>
      </c>
      <c r="I1037" s="46" t="e">
        <f>VLOOKUP(H1037,'合同高级查询数据-4月返'!A:A,1,FALSE)</f>
        <v>#N/A</v>
      </c>
      <c r="J1037" s="47" t="s">
        <v>90</v>
      </c>
      <c r="K1037" s="172" t="s">
        <v>1413</v>
      </c>
      <c r="L1037" s="228"/>
      <c r="M1037" s="49" t="s">
        <v>1414</v>
      </c>
      <c r="N1037" s="229" t="s">
        <v>558</v>
      </c>
      <c r="O1037" s="229" t="s">
        <v>503</v>
      </c>
      <c r="P1037" s="207">
        <v>4450</v>
      </c>
      <c r="Q1037" s="207">
        <v>480</v>
      </c>
      <c r="R1037" s="118">
        <f t="shared" si="28"/>
        <v>2136000</v>
      </c>
      <c r="S1037" s="115">
        <v>202304</v>
      </c>
      <c r="T1037" s="222"/>
      <c r="U1037" s="223"/>
      <c r="V1037" s="165"/>
      <c r="W1037" s="165"/>
      <c r="X1037" s="116">
        <v>44728</v>
      </c>
      <c r="Y1037" s="116">
        <v>45184</v>
      </c>
    </row>
    <row r="1038" s="85" customFormat="1" customHeight="1" spans="1:25">
      <c r="A1038" s="98" t="s">
        <v>448</v>
      </c>
      <c r="B1038" s="98" t="s">
        <v>62</v>
      </c>
      <c r="C1038" s="98" t="s">
        <v>238</v>
      </c>
      <c r="D1038" s="98" t="s">
        <v>642</v>
      </c>
      <c r="E1038" s="161" t="s">
        <v>1309</v>
      </c>
      <c r="F1038" s="98" t="s">
        <v>1016</v>
      </c>
      <c r="G1038" s="172" t="s">
        <v>88</v>
      </c>
      <c r="H1038" s="100" t="s">
        <v>1412</v>
      </c>
      <c r="I1038" s="46" t="e">
        <f>VLOOKUP(H1038,'合同高级查询数据-4月返'!A:A,1,FALSE)</f>
        <v>#N/A</v>
      </c>
      <c r="J1038" s="47" t="s">
        <v>90</v>
      </c>
      <c r="K1038" s="172" t="s">
        <v>1413</v>
      </c>
      <c r="L1038" s="228"/>
      <c r="M1038" s="49" t="s">
        <v>1414</v>
      </c>
      <c r="N1038" s="229">
        <v>43224</v>
      </c>
      <c r="O1038" s="229" t="s">
        <v>503</v>
      </c>
      <c r="P1038" s="207">
        <v>4450</v>
      </c>
      <c r="Q1038" s="207">
        <v>4</v>
      </c>
      <c r="R1038" s="118">
        <f t="shared" si="28"/>
        <v>17800</v>
      </c>
      <c r="S1038" s="115">
        <v>202304</v>
      </c>
      <c r="T1038" s="222" t="s">
        <v>1415</v>
      </c>
      <c r="U1038" s="223"/>
      <c r="V1038" s="165"/>
      <c r="W1038" s="165"/>
      <c r="X1038" s="116">
        <v>44728</v>
      </c>
      <c r="Y1038" s="116">
        <v>45184</v>
      </c>
    </row>
    <row r="1039" s="85" customFormat="1" customHeight="1" spans="1:25">
      <c r="A1039" s="98" t="s">
        <v>448</v>
      </c>
      <c r="B1039" s="98" t="s">
        <v>62</v>
      </c>
      <c r="C1039" s="98" t="s">
        <v>238</v>
      </c>
      <c r="D1039" s="98" t="s">
        <v>642</v>
      </c>
      <c r="E1039" s="161" t="s">
        <v>1309</v>
      </c>
      <c r="F1039" s="98" t="s">
        <v>1016</v>
      </c>
      <c r="G1039" s="172" t="s">
        <v>88</v>
      </c>
      <c r="H1039" s="100" t="s">
        <v>1412</v>
      </c>
      <c r="I1039" s="46" t="e">
        <f>VLOOKUP(H1039,'合同高级查询数据-4月返'!A:A,1,FALSE)</f>
        <v>#N/A</v>
      </c>
      <c r="J1039" s="47" t="s">
        <v>90</v>
      </c>
      <c r="K1039" s="172" t="s">
        <v>1413</v>
      </c>
      <c r="L1039" s="228"/>
      <c r="M1039" s="49" t="s">
        <v>1414</v>
      </c>
      <c r="N1039" s="229">
        <v>43262</v>
      </c>
      <c r="O1039" s="229" t="s">
        <v>503</v>
      </c>
      <c r="P1039" s="207">
        <v>4450</v>
      </c>
      <c r="Q1039" s="207">
        <v>1</v>
      </c>
      <c r="R1039" s="118">
        <f t="shared" si="28"/>
        <v>4450</v>
      </c>
      <c r="S1039" s="115">
        <v>202304</v>
      </c>
      <c r="T1039" s="222" t="s">
        <v>1416</v>
      </c>
      <c r="U1039" s="223"/>
      <c r="V1039" s="165"/>
      <c r="W1039" s="165"/>
      <c r="X1039" s="116">
        <v>44728</v>
      </c>
      <c r="Y1039" s="116">
        <v>45184</v>
      </c>
    </row>
    <row r="1040" s="85" customFormat="1" customHeight="1" spans="1:25">
      <c r="A1040" s="98" t="s">
        <v>448</v>
      </c>
      <c r="B1040" s="98" t="s">
        <v>62</v>
      </c>
      <c r="C1040" s="98" t="s">
        <v>238</v>
      </c>
      <c r="D1040" s="98" t="s">
        <v>642</v>
      </c>
      <c r="E1040" s="161" t="s">
        <v>1309</v>
      </c>
      <c r="F1040" s="98" t="s">
        <v>1016</v>
      </c>
      <c r="G1040" s="172" t="s">
        <v>88</v>
      </c>
      <c r="H1040" s="100" t="s">
        <v>1412</v>
      </c>
      <c r="I1040" s="46" t="e">
        <f>VLOOKUP(H1040,'合同高级查询数据-4月返'!A:A,1,FALSE)</f>
        <v>#N/A</v>
      </c>
      <c r="J1040" s="47" t="s">
        <v>90</v>
      </c>
      <c r="K1040" s="172" t="s">
        <v>1413</v>
      </c>
      <c r="L1040" s="228"/>
      <c r="M1040" s="49" t="s">
        <v>1414</v>
      </c>
      <c r="N1040" s="229">
        <v>44136</v>
      </c>
      <c r="O1040" s="229" t="s">
        <v>561</v>
      </c>
      <c r="P1040" s="207">
        <v>4450</v>
      </c>
      <c r="Q1040" s="207">
        <v>1</v>
      </c>
      <c r="R1040" s="118">
        <f t="shared" si="28"/>
        <v>4450</v>
      </c>
      <c r="S1040" s="115">
        <v>202304</v>
      </c>
      <c r="T1040" s="222" t="s">
        <v>1417</v>
      </c>
      <c r="U1040" s="223"/>
      <c r="V1040" s="165"/>
      <c r="W1040" s="165"/>
      <c r="X1040" s="116">
        <v>44728</v>
      </c>
      <c r="Y1040" s="116">
        <v>45184</v>
      </c>
    </row>
    <row r="1041" s="85" customFormat="1" customHeight="1" spans="1:25">
      <c r="A1041" s="98" t="s">
        <v>448</v>
      </c>
      <c r="B1041" s="98" t="s">
        <v>62</v>
      </c>
      <c r="C1041" s="98" t="s">
        <v>238</v>
      </c>
      <c r="D1041" s="98" t="s">
        <v>642</v>
      </c>
      <c r="E1041" s="161" t="s">
        <v>1309</v>
      </c>
      <c r="F1041" s="98" t="s">
        <v>1016</v>
      </c>
      <c r="G1041" s="172" t="s">
        <v>88</v>
      </c>
      <c r="H1041" s="100" t="s">
        <v>1412</v>
      </c>
      <c r="I1041" s="46" t="e">
        <f>VLOOKUP(H1041,'合同高级查询数据-4月返'!A:A,1,FALSE)</f>
        <v>#N/A</v>
      </c>
      <c r="J1041" s="47" t="s">
        <v>90</v>
      </c>
      <c r="K1041" s="172" t="s">
        <v>1413</v>
      </c>
      <c r="L1041" s="228"/>
      <c r="M1041" s="49" t="s">
        <v>1414</v>
      </c>
      <c r="N1041" s="229">
        <v>44136</v>
      </c>
      <c r="O1041" s="229" t="s">
        <v>574</v>
      </c>
      <c r="P1041" s="207">
        <v>4450</v>
      </c>
      <c r="Q1041" s="207">
        <v>6</v>
      </c>
      <c r="R1041" s="118">
        <f t="shared" si="28"/>
        <v>26700</v>
      </c>
      <c r="S1041" s="115">
        <v>202304</v>
      </c>
      <c r="T1041" s="222" t="s">
        <v>1418</v>
      </c>
      <c r="U1041" s="223"/>
      <c r="V1041" s="165"/>
      <c r="W1041" s="165"/>
      <c r="X1041" s="116">
        <v>44728</v>
      </c>
      <c r="Y1041" s="116">
        <v>45184</v>
      </c>
    </row>
    <row r="1042" s="85" customFormat="1" customHeight="1" spans="1:25">
      <c r="A1042" s="98" t="s">
        <v>448</v>
      </c>
      <c r="B1042" s="98" t="s">
        <v>62</v>
      </c>
      <c r="C1042" s="98" t="s">
        <v>238</v>
      </c>
      <c r="D1042" s="98" t="s">
        <v>642</v>
      </c>
      <c r="E1042" s="161" t="s">
        <v>1309</v>
      </c>
      <c r="F1042" s="98" t="s">
        <v>1016</v>
      </c>
      <c r="G1042" s="172" t="s">
        <v>88</v>
      </c>
      <c r="H1042" s="100" t="s">
        <v>1412</v>
      </c>
      <c r="I1042" s="46" t="e">
        <f>VLOOKUP(H1042,'合同高级查询数据-4月返'!A:A,1,FALSE)</f>
        <v>#N/A</v>
      </c>
      <c r="J1042" s="47" t="s">
        <v>90</v>
      </c>
      <c r="K1042" s="172" t="s">
        <v>1413</v>
      </c>
      <c r="L1042" s="228"/>
      <c r="M1042" s="49" t="s">
        <v>1414</v>
      </c>
      <c r="N1042" s="229">
        <v>44136</v>
      </c>
      <c r="O1042" s="229" t="s">
        <v>1419</v>
      </c>
      <c r="P1042" s="207">
        <v>4450</v>
      </c>
      <c r="Q1042" s="207">
        <v>2</v>
      </c>
      <c r="R1042" s="118">
        <f t="shared" si="28"/>
        <v>8900</v>
      </c>
      <c r="S1042" s="115">
        <v>202304</v>
      </c>
      <c r="T1042" s="222" t="s">
        <v>1420</v>
      </c>
      <c r="U1042" s="223"/>
      <c r="V1042" s="165"/>
      <c r="W1042" s="165"/>
      <c r="X1042" s="116">
        <v>44728</v>
      </c>
      <c r="Y1042" s="116">
        <v>45184</v>
      </c>
    </row>
    <row r="1043" s="85" customFormat="1" customHeight="1" spans="1:25">
      <c r="A1043" s="98" t="s">
        <v>448</v>
      </c>
      <c r="B1043" s="98" t="s">
        <v>62</v>
      </c>
      <c r="C1043" s="98" t="s">
        <v>238</v>
      </c>
      <c r="D1043" s="98" t="s">
        <v>642</v>
      </c>
      <c r="E1043" s="161" t="s">
        <v>1309</v>
      </c>
      <c r="F1043" s="98" t="s">
        <v>1016</v>
      </c>
      <c r="G1043" s="25" t="s">
        <v>88</v>
      </c>
      <c r="H1043" s="100" t="s">
        <v>1412</v>
      </c>
      <c r="I1043" s="46" t="e">
        <f>VLOOKUP(H1043,'合同高级查询数据-4月返'!A:A,1,FALSE)</f>
        <v>#N/A</v>
      </c>
      <c r="J1043" s="47" t="s">
        <v>90</v>
      </c>
      <c r="K1043" s="172" t="s">
        <v>1413</v>
      </c>
      <c r="L1043" s="228"/>
      <c r="M1043" s="49" t="s">
        <v>1414</v>
      </c>
      <c r="N1043" s="229">
        <v>43224</v>
      </c>
      <c r="O1043" s="229" t="s">
        <v>92</v>
      </c>
      <c r="P1043" s="207">
        <v>2950</v>
      </c>
      <c r="Q1043" s="207">
        <v>5</v>
      </c>
      <c r="R1043" s="118">
        <f t="shared" si="28"/>
        <v>14750</v>
      </c>
      <c r="S1043" s="115">
        <v>202304</v>
      </c>
      <c r="T1043" s="222" t="s">
        <v>1421</v>
      </c>
      <c r="U1043" s="223"/>
      <c r="V1043" s="165"/>
      <c r="W1043" s="165"/>
      <c r="X1043" s="116">
        <v>44728</v>
      </c>
      <c r="Y1043" s="116">
        <v>45184</v>
      </c>
    </row>
    <row r="1044" s="85" customFormat="1" customHeight="1" spans="1:25">
      <c r="A1044" s="98" t="s">
        <v>448</v>
      </c>
      <c r="B1044" s="98" t="s">
        <v>62</v>
      </c>
      <c r="C1044" s="98" t="s">
        <v>238</v>
      </c>
      <c r="D1044" s="98" t="s">
        <v>642</v>
      </c>
      <c r="E1044" s="161" t="s">
        <v>1309</v>
      </c>
      <c r="F1044" s="98" t="s">
        <v>1016</v>
      </c>
      <c r="G1044" s="25" t="s">
        <v>88</v>
      </c>
      <c r="H1044" s="100" t="s">
        <v>1412</v>
      </c>
      <c r="I1044" s="46" t="e">
        <f>VLOOKUP(H1044,'合同高级查询数据-4月返'!A:A,1,FALSE)</f>
        <v>#N/A</v>
      </c>
      <c r="J1044" s="47" t="s">
        <v>90</v>
      </c>
      <c r="K1044" s="172" t="s">
        <v>1413</v>
      </c>
      <c r="L1044" s="228"/>
      <c r="M1044" s="49" t="s">
        <v>1414</v>
      </c>
      <c r="N1044" s="229">
        <v>43928</v>
      </c>
      <c r="O1044" s="229" t="s">
        <v>92</v>
      </c>
      <c r="P1044" s="207">
        <v>2950</v>
      </c>
      <c r="Q1044" s="207">
        <v>-2</v>
      </c>
      <c r="R1044" s="118">
        <f t="shared" si="28"/>
        <v>-5900</v>
      </c>
      <c r="S1044" s="115">
        <v>202304</v>
      </c>
      <c r="T1044" s="222" t="s">
        <v>1422</v>
      </c>
      <c r="U1044" s="223"/>
      <c r="V1044" s="165"/>
      <c r="W1044" s="165"/>
      <c r="X1044" s="116">
        <v>44728</v>
      </c>
      <c r="Y1044" s="116">
        <v>45184</v>
      </c>
    </row>
    <row r="1045" s="85" customFormat="1" customHeight="1" spans="1:25">
      <c r="A1045" s="98" t="s">
        <v>448</v>
      </c>
      <c r="B1045" s="98" t="s">
        <v>62</v>
      </c>
      <c r="C1045" s="98" t="s">
        <v>238</v>
      </c>
      <c r="D1045" s="98" t="s">
        <v>642</v>
      </c>
      <c r="E1045" s="161" t="s">
        <v>1309</v>
      </c>
      <c r="F1045" s="98" t="s">
        <v>1016</v>
      </c>
      <c r="G1045" s="25" t="s">
        <v>88</v>
      </c>
      <c r="H1045" s="100" t="s">
        <v>1412</v>
      </c>
      <c r="I1045" s="46" t="e">
        <f>VLOOKUP(H1045,'合同高级查询数据-4月返'!A:A,1,FALSE)</f>
        <v>#N/A</v>
      </c>
      <c r="J1045" s="47" t="s">
        <v>90</v>
      </c>
      <c r="K1045" s="172" t="s">
        <v>1413</v>
      </c>
      <c r="L1045" s="228"/>
      <c r="M1045" s="49" t="s">
        <v>1414</v>
      </c>
      <c r="N1045" s="229">
        <v>44136</v>
      </c>
      <c r="O1045" s="229"/>
      <c r="P1045" s="207">
        <v>2950</v>
      </c>
      <c r="Q1045" s="207">
        <v>6</v>
      </c>
      <c r="R1045" s="118">
        <f t="shared" si="28"/>
        <v>17700</v>
      </c>
      <c r="S1045" s="115">
        <v>202304</v>
      </c>
      <c r="T1045" s="222" t="s">
        <v>1418</v>
      </c>
      <c r="U1045" s="223"/>
      <c r="V1045" s="165"/>
      <c r="W1045" s="165"/>
      <c r="X1045" s="116">
        <v>44728</v>
      </c>
      <c r="Y1045" s="116">
        <v>45184</v>
      </c>
    </row>
    <row r="1046" s="85" customFormat="1" customHeight="1" spans="1:25">
      <c r="A1046" s="98" t="s">
        <v>448</v>
      </c>
      <c r="B1046" s="98" t="s">
        <v>62</v>
      </c>
      <c r="C1046" s="98" t="s">
        <v>238</v>
      </c>
      <c r="D1046" s="98" t="s">
        <v>642</v>
      </c>
      <c r="E1046" s="161" t="s">
        <v>1309</v>
      </c>
      <c r="F1046" s="98" t="s">
        <v>1016</v>
      </c>
      <c r="G1046" s="25" t="s">
        <v>88</v>
      </c>
      <c r="H1046" s="100" t="s">
        <v>1412</v>
      </c>
      <c r="I1046" s="46" t="e">
        <f>VLOOKUP(H1046,'合同高级查询数据-4月返'!A:A,1,FALSE)</f>
        <v>#N/A</v>
      </c>
      <c r="J1046" s="47" t="s">
        <v>90</v>
      </c>
      <c r="K1046" s="172" t="s">
        <v>1413</v>
      </c>
      <c r="L1046" s="228"/>
      <c r="M1046" s="49" t="s">
        <v>1414</v>
      </c>
      <c r="N1046" s="229" t="s">
        <v>558</v>
      </c>
      <c r="O1046" s="229" t="s">
        <v>92</v>
      </c>
      <c r="P1046" s="207">
        <v>2950</v>
      </c>
      <c r="Q1046" s="207">
        <v>1180</v>
      </c>
      <c r="R1046" s="118">
        <f t="shared" si="28"/>
        <v>3481000</v>
      </c>
      <c r="S1046" s="115">
        <v>202304</v>
      </c>
      <c r="T1046" s="222" t="s">
        <v>1423</v>
      </c>
      <c r="U1046" s="223"/>
      <c r="V1046" s="165"/>
      <c r="W1046" s="165"/>
      <c r="X1046" s="116">
        <v>44728</v>
      </c>
      <c r="Y1046" s="116">
        <v>45184</v>
      </c>
    </row>
    <row r="1047" s="85" customFormat="1" customHeight="1" spans="1:25">
      <c r="A1047" s="98" t="s">
        <v>448</v>
      </c>
      <c r="B1047" s="98" t="s">
        <v>62</v>
      </c>
      <c r="C1047" s="98" t="s">
        <v>238</v>
      </c>
      <c r="D1047" s="98" t="s">
        <v>642</v>
      </c>
      <c r="E1047" s="161" t="s">
        <v>1309</v>
      </c>
      <c r="F1047" s="98" t="s">
        <v>1016</v>
      </c>
      <c r="G1047" s="25" t="s">
        <v>88</v>
      </c>
      <c r="H1047" s="100" t="s">
        <v>1412</v>
      </c>
      <c r="I1047" s="46" t="e">
        <f>VLOOKUP(H1047,'合同高级查询数据-4月返'!A:A,1,FALSE)</f>
        <v>#N/A</v>
      </c>
      <c r="J1047" s="47" t="s">
        <v>90</v>
      </c>
      <c r="K1047" s="172" t="s">
        <v>1413</v>
      </c>
      <c r="L1047" s="228"/>
      <c r="M1047" s="49" t="s">
        <v>1414</v>
      </c>
      <c r="N1047" s="229"/>
      <c r="O1047" s="229" t="s">
        <v>600</v>
      </c>
      <c r="P1047" s="207">
        <v>0</v>
      </c>
      <c r="Q1047" s="207">
        <v>8</v>
      </c>
      <c r="R1047" s="118">
        <f t="shared" si="28"/>
        <v>0</v>
      </c>
      <c r="S1047" s="115">
        <v>202304</v>
      </c>
      <c r="T1047" s="222" t="s">
        <v>1423</v>
      </c>
      <c r="U1047" s="223"/>
      <c r="V1047" s="165"/>
      <c r="W1047" s="165"/>
      <c r="X1047" s="116">
        <v>44728</v>
      </c>
      <c r="Y1047" s="116">
        <v>45184</v>
      </c>
    </row>
    <row r="1048" s="85" customFormat="1" customHeight="1" spans="1:25">
      <c r="A1048" s="98" t="s">
        <v>448</v>
      </c>
      <c r="B1048" s="98" t="s">
        <v>62</v>
      </c>
      <c r="C1048" s="98" t="s">
        <v>238</v>
      </c>
      <c r="D1048" s="98" t="s">
        <v>642</v>
      </c>
      <c r="E1048" s="161" t="s">
        <v>1309</v>
      </c>
      <c r="F1048" s="98" t="s">
        <v>1016</v>
      </c>
      <c r="G1048" s="25" t="s">
        <v>88</v>
      </c>
      <c r="H1048" s="100" t="s">
        <v>1412</v>
      </c>
      <c r="I1048" s="46" t="e">
        <f>VLOOKUP(H1048,'合同高级查询数据-4月返'!A:A,1,FALSE)</f>
        <v>#N/A</v>
      </c>
      <c r="J1048" s="47" t="s">
        <v>90</v>
      </c>
      <c r="K1048" s="172" t="s">
        <v>1413</v>
      </c>
      <c r="L1048" s="228"/>
      <c r="M1048" s="49" t="s">
        <v>1414</v>
      </c>
      <c r="N1048" s="229">
        <v>44334</v>
      </c>
      <c r="O1048" s="229" t="s">
        <v>503</v>
      </c>
      <c r="P1048" s="207">
        <v>4450</v>
      </c>
      <c r="Q1048" s="207">
        <v>1</v>
      </c>
      <c r="R1048" s="118">
        <f t="shared" si="28"/>
        <v>4450</v>
      </c>
      <c r="S1048" s="115">
        <v>202304</v>
      </c>
      <c r="T1048" s="222" t="s">
        <v>1424</v>
      </c>
      <c r="U1048" s="223"/>
      <c r="V1048" s="165"/>
      <c r="W1048" s="165"/>
      <c r="X1048" s="116">
        <v>44728</v>
      </c>
      <c r="Y1048" s="116">
        <v>45184</v>
      </c>
    </row>
    <row r="1049" s="85" customFormat="1" customHeight="1" spans="1:25">
      <c r="A1049" s="98" t="s">
        <v>448</v>
      </c>
      <c r="B1049" s="98" t="s">
        <v>62</v>
      </c>
      <c r="C1049" s="98" t="s">
        <v>238</v>
      </c>
      <c r="D1049" s="98" t="s">
        <v>642</v>
      </c>
      <c r="E1049" s="161" t="s">
        <v>1309</v>
      </c>
      <c r="F1049" s="98" t="s">
        <v>1016</v>
      </c>
      <c r="G1049" s="25" t="s">
        <v>88</v>
      </c>
      <c r="H1049" s="100" t="s">
        <v>1412</v>
      </c>
      <c r="I1049" s="46" t="e">
        <f>VLOOKUP(H1049,'合同高级查询数据-4月返'!A:A,1,FALSE)</f>
        <v>#N/A</v>
      </c>
      <c r="J1049" s="47" t="s">
        <v>90</v>
      </c>
      <c r="K1049" s="172" t="s">
        <v>1413</v>
      </c>
      <c r="L1049" s="228"/>
      <c r="M1049" s="49" t="s">
        <v>1414</v>
      </c>
      <c r="N1049" s="229">
        <v>44334</v>
      </c>
      <c r="O1049" s="229" t="s">
        <v>1419</v>
      </c>
      <c r="P1049" s="207">
        <v>4450</v>
      </c>
      <c r="Q1049" s="207">
        <v>1</v>
      </c>
      <c r="R1049" s="118">
        <f t="shared" si="28"/>
        <v>4450</v>
      </c>
      <c r="S1049" s="115">
        <v>202304</v>
      </c>
      <c r="T1049" s="222" t="s">
        <v>1425</v>
      </c>
      <c r="U1049" s="223"/>
      <c r="V1049" s="165"/>
      <c r="W1049" s="165"/>
      <c r="X1049" s="116">
        <v>44728</v>
      </c>
      <c r="Y1049" s="116">
        <v>45184</v>
      </c>
    </row>
    <row r="1050" s="85" customFormat="1" customHeight="1" spans="1:25">
      <c r="A1050" s="98" t="s">
        <v>448</v>
      </c>
      <c r="B1050" s="98" t="s">
        <v>62</v>
      </c>
      <c r="C1050" s="98" t="s">
        <v>238</v>
      </c>
      <c r="D1050" s="98" t="s">
        <v>642</v>
      </c>
      <c r="E1050" s="161" t="s">
        <v>1309</v>
      </c>
      <c r="F1050" s="98" t="s">
        <v>1016</v>
      </c>
      <c r="G1050" s="25" t="s">
        <v>88</v>
      </c>
      <c r="H1050" s="100" t="s">
        <v>1412</v>
      </c>
      <c r="I1050" s="46" t="e">
        <f>VLOOKUP(H1050,'合同高级查询数据-4月返'!A:A,1,FALSE)</f>
        <v>#N/A</v>
      </c>
      <c r="J1050" s="47" t="s">
        <v>90</v>
      </c>
      <c r="K1050" s="172" t="s">
        <v>1413</v>
      </c>
      <c r="L1050" s="228"/>
      <c r="M1050" s="49" t="s">
        <v>1414</v>
      </c>
      <c r="N1050" s="229">
        <v>44477</v>
      </c>
      <c r="O1050" s="229" t="s">
        <v>1426</v>
      </c>
      <c r="P1050" s="207">
        <v>4450</v>
      </c>
      <c r="Q1050" s="207">
        <v>1</v>
      </c>
      <c r="R1050" s="118">
        <f t="shared" si="28"/>
        <v>4450</v>
      </c>
      <c r="S1050" s="115">
        <v>202304</v>
      </c>
      <c r="T1050" s="222" t="s">
        <v>1427</v>
      </c>
      <c r="U1050" s="223"/>
      <c r="V1050" s="165"/>
      <c r="W1050" s="165"/>
      <c r="X1050" s="116">
        <v>44728</v>
      </c>
      <c r="Y1050" s="116">
        <v>45184</v>
      </c>
    </row>
    <row r="1051" s="85" customFormat="1" customHeight="1" spans="1:25">
      <c r="A1051" s="98" t="s">
        <v>448</v>
      </c>
      <c r="B1051" s="98" t="s">
        <v>62</v>
      </c>
      <c r="C1051" s="98" t="s">
        <v>238</v>
      </c>
      <c r="D1051" s="98" t="s">
        <v>642</v>
      </c>
      <c r="E1051" s="161" t="s">
        <v>1309</v>
      </c>
      <c r="F1051" s="98" t="s">
        <v>1016</v>
      </c>
      <c r="G1051" s="25" t="s">
        <v>88</v>
      </c>
      <c r="H1051" s="100" t="s">
        <v>1412</v>
      </c>
      <c r="I1051" s="46" t="e">
        <f>VLOOKUP(H1051,'合同高级查询数据-4月返'!A:A,1,FALSE)</f>
        <v>#N/A</v>
      </c>
      <c r="J1051" s="47" t="s">
        <v>90</v>
      </c>
      <c r="K1051" s="172" t="s">
        <v>1413</v>
      </c>
      <c r="L1051" s="228"/>
      <c r="M1051" s="49" t="s">
        <v>1414</v>
      </c>
      <c r="N1051" s="229">
        <v>44671</v>
      </c>
      <c r="O1051" s="229" t="s">
        <v>561</v>
      </c>
      <c r="P1051" s="207">
        <v>4450</v>
      </c>
      <c r="Q1051" s="207">
        <v>2</v>
      </c>
      <c r="R1051" s="118">
        <f t="shared" si="28"/>
        <v>8900</v>
      </c>
      <c r="S1051" s="115">
        <v>202304</v>
      </c>
      <c r="T1051" s="222" t="s">
        <v>1428</v>
      </c>
      <c r="U1051" s="223"/>
      <c r="V1051" s="165"/>
      <c r="W1051" s="165"/>
      <c r="X1051" s="116">
        <v>44728</v>
      </c>
      <c r="Y1051" s="116">
        <v>45184</v>
      </c>
    </row>
    <row r="1052" s="85" customFormat="1" customHeight="1" spans="1:25">
      <c r="A1052" s="98" t="s">
        <v>448</v>
      </c>
      <c r="B1052" s="98" t="s">
        <v>62</v>
      </c>
      <c r="C1052" s="98" t="s">
        <v>238</v>
      </c>
      <c r="D1052" s="98" t="s">
        <v>642</v>
      </c>
      <c r="E1052" s="161" t="s">
        <v>1309</v>
      </c>
      <c r="F1052" s="98" t="s">
        <v>1016</v>
      </c>
      <c r="G1052" s="25" t="s">
        <v>88</v>
      </c>
      <c r="H1052" s="100" t="s">
        <v>1412</v>
      </c>
      <c r="I1052" s="46" t="e">
        <f>VLOOKUP(H1052,'合同高级查询数据-4月返'!A:A,1,FALSE)</f>
        <v>#N/A</v>
      </c>
      <c r="J1052" s="47" t="s">
        <v>90</v>
      </c>
      <c r="K1052" s="172" t="s">
        <v>1413</v>
      </c>
      <c r="L1052" s="228"/>
      <c r="M1052" s="49" t="s">
        <v>1414</v>
      </c>
      <c r="N1052" s="229">
        <v>44673</v>
      </c>
      <c r="O1052" s="229" t="s">
        <v>561</v>
      </c>
      <c r="P1052" s="207">
        <v>4450</v>
      </c>
      <c r="Q1052" s="207">
        <v>-2</v>
      </c>
      <c r="R1052" s="118">
        <f t="shared" si="28"/>
        <v>-8900</v>
      </c>
      <c r="S1052" s="115">
        <v>202304</v>
      </c>
      <c r="T1052" s="222" t="s">
        <v>1428</v>
      </c>
      <c r="U1052" s="223"/>
      <c r="V1052" s="165"/>
      <c r="W1052" s="165"/>
      <c r="X1052" s="116">
        <v>44728</v>
      </c>
      <c r="Y1052" s="116">
        <v>45184</v>
      </c>
    </row>
    <row r="1053" s="85" customFormat="1" customHeight="1" spans="1:25">
      <c r="A1053" s="98" t="s">
        <v>448</v>
      </c>
      <c r="B1053" s="98" t="s">
        <v>62</v>
      </c>
      <c r="C1053" s="98" t="s">
        <v>238</v>
      </c>
      <c r="D1053" s="98" t="s">
        <v>642</v>
      </c>
      <c r="E1053" s="161" t="s">
        <v>1309</v>
      </c>
      <c r="F1053" s="98" t="s">
        <v>1016</v>
      </c>
      <c r="G1053" s="25" t="s">
        <v>88</v>
      </c>
      <c r="H1053" s="100" t="s">
        <v>1412</v>
      </c>
      <c r="I1053" s="46" t="e">
        <f>VLOOKUP(H1053,'合同高级查询数据-4月返'!A:A,1,FALSE)</f>
        <v>#N/A</v>
      </c>
      <c r="J1053" s="47" t="s">
        <v>90</v>
      </c>
      <c r="K1053" s="172" t="s">
        <v>1413</v>
      </c>
      <c r="L1053" s="228"/>
      <c r="M1053" s="49" t="s">
        <v>1414</v>
      </c>
      <c r="N1053" s="229">
        <v>44700</v>
      </c>
      <c r="O1053" s="229" t="s">
        <v>1426</v>
      </c>
      <c r="P1053" s="207">
        <v>4450</v>
      </c>
      <c r="Q1053" s="207">
        <v>1</v>
      </c>
      <c r="R1053" s="118">
        <f t="shared" ref="R1053:R1116" si="29">ROUND(P1053*Q1053,2)</f>
        <v>4450</v>
      </c>
      <c r="S1053" s="115">
        <v>202304</v>
      </c>
      <c r="T1053" s="222" t="s">
        <v>1429</v>
      </c>
      <c r="U1053" s="223"/>
      <c r="V1053" s="165"/>
      <c r="W1053" s="165"/>
      <c r="X1053" s="116">
        <v>44728</v>
      </c>
      <c r="Y1053" s="116">
        <v>45184</v>
      </c>
    </row>
    <row r="1054" s="85" customFormat="1" customHeight="1" spans="1:25">
      <c r="A1054" s="98" t="s">
        <v>448</v>
      </c>
      <c r="B1054" s="98" t="s">
        <v>62</v>
      </c>
      <c r="C1054" s="98" t="s">
        <v>238</v>
      </c>
      <c r="D1054" s="98" t="s">
        <v>642</v>
      </c>
      <c r="E1054" s="161" t="s">
        <v>1309</v>
      </c>
      <c r="F1054" s="98" t="s">
        <v>1016</v>
      </c>
      <c r="G1054" s="25" t="s">
        <v>88</v>
      </c>
      <c r="H1054" s="100" t="s">
        <v>1412</v>
      </c>
      <c r="I1054" s="46" t="e">
        <f>VLOOKUP(H1054,'合同高级查询数据-4月返'!A:A,1,FALSE)</f>
        <v>#N/A</v>
      </c>
      <c r="J1054" s="47" t="s">
        <v>90</v>
      </c>
      <c r="K1054" s="172" t="s">
        <v>1413</v>
      </c>
      <c r="L1054" s="228"/>
      <c r="M1054" s="49" t="s">
        <v>1414</v>
      </c>
      <c r="N1054" s="229">
        <v>44694</v>
      </c>
      <c r="O1054" s="229" t="s">
        <v>503</v>
      </c>
      <c r="P1054" s="207">
        <v>4450</v>
      </c>
      <c r="Q1054" s="207">
        <v>1</v>
      </c>
      <c r="R1054" s="118">
        <f t="shared" si="29"/>
        <v>4450</v>
      </c>
      <c r="S1054" s="115">
        <v>202304</v>
      </c>
      <c r="T1054" s="222" t="s">
        <v>1430</v>
      </c>
      <c r="U1054" s="223"/>
      <c r="V1054" s="165"/>
      <c r="W1054" s="165"/>
      <c r="X1054" s="116">
        <v>44728</v>
      </c>
      <c r="Y1054" s="116">
        <v>45184</v>
      </c>
    </row>
    <row r="1055" s="85" customFormat="1" customHeight="1" spans="1:25">
      <c r="A1055" s="98" t="s">
        <v>448</v>
      </c>
      <c r="B1055" s="98" t="s">
        <v>62</v>
      </c>
      <c r="C1055" s="98" t="s">
        <v>238</v>
      </c>
      <c r="D1055" s="98" t="s">
        <v>642</v>
      </c>
      <c r="E1055" s="161" t="s">
        <v>1309</v>
      </c>
      <c r="F1055" s="98" t="s">
        <v>1016</v>
      </c>
      <c r="G1055" s="25" t="s">
        <v>88</v>
      </c>
      <c r="H1055" s="100" t="s">
        <v>1412</v>
      </c>
      <c r="I1055" s="46" t="e">
        <f>VLOOKUP(H1055,'合同高级查询数据-4月返'!A:A,1,FALSE)</f>
        <v>#N/A</v>
      </c>
      <c r="J1055" s="47" t="s">
        <v>90</v>
      </c>
      <c r="K1055" s="172" t="s">
        <v>1413</v>
      </c>
      <c r="L1055" s="228"/>
      <c r="M1055" s="49" t="s">
        <v>1414</v>
      </c>
      <c r="N1055" s="229">
        <v>44701</v>
      </c>
      <c r="O1055" s="229" t="s">
        <v>503</v>
      </c>
      <c r="P1055" s="207">
        <v>4450</v>
      </c>
      <c r="Q1055" s="207">
        <v>1</v>
      </c>
      <c r="R1055" s="118">
        <f t="shared" si="29"/>
        <v>4450</v>
      </c>
      <c r="S1055" s="115">
        <v>202304</v>
      </c>
      <c r="T1055" s="222" t="s">
        <v>1431</v>
      </c>
      <c r="U1055" s="223"/>
      <c r="V1055" s="165"/>
      <c r="W1055" s="165"/>
      <c r="X1055" s="116">
        <v>44728</v>
      </c>
      <c r="Y1055" s="116">
        <v>45184</v>
      </c>
    </row>
    <row r="1056" s="86" customFormat="1" customHeight="1" spans="1:25">
      <c r="A1056" s="135" t="s">
        <v>448</v>
      </c>
      <c r="B1056" s="135" t="s">
        <v>62</v>
      </c>
      <c r="C1056" s="135" t="s">
        <v>238</v>
      </c>
      <c r="D1056" s="135" t="s">
        <v>642</v>
      </c>
      <c r="E1056" s="170" t="s">
        <v>1309</v>
      </c>
      <c r="F1056" s="135" t="s">
        <v>1016</v>
      </c>
      <c r="G1056" s="171" t="s">
        <v>346</v>
      </c>
      <c r="H1056" s="235" t="s">
        <v>1432</v>
      </c>
      <c r="I1056" s="30" t="e">
        <f>VLOOKUP(H1056,'合同高级查询数据-4月返'!A:A,1,FALSE)</f>
        <v>#N/A</v>
      </c>
      <c r="J1056" s="171" t="s">
        <v>346</v>
      </c>
      <c r="K1056" s="171" t="s">
        <v>1433</v>
      </c>
      <c r="L1056" s="192"/>
      <c r="M1056" s="113"/>
      <c r="N1056" s="220"/>
      <c r="O1056" s="193" t="s">
        <v>486</v>
      </c>
      <c r="P1056" s="145">
        <v>5800</v>
      </c>
      <c r="Q1056" s="130">
        <v>1</v>
      </c>
      <c r="R1056" s="130">
        <f t="shared" si="29"/>
        <v>5800</v>
      </c>
      <c r="S1056" s="127">
        <v>202304</v>
      </c>
      <c r="T1056" s="194" t="s">
        <v>1434</v>
      </c>
      <c r="U1056" s="195"/>
      <c r="V1056" s="149"/>
      <c r="W1056" s="149"/>
      <c r="X1056" s="131"/>
      <c r="Y1056" s="131"/>
    </row>
    <row r="1057" s="86" customFormat="1" customHeight="1" spans="1:25">
      <c r="A1057" s="135" t="s">
        <v>448</v>
      </c>
      <c r="B1057" s="135" t="s">
        <v>62</v>
      </c>
      <c r="C1057" s="135" t="s">
        <v>238</v>
      </c>
      <c r="D1057" s="135" t="s">
        <v>642</v>
      </c>
      <c r="E1057" s="170" t="s">
        <v>1309</v>
      </c>
      <c r="F1057" s="135" t="s">
        <v>1016</v>
      </c>
      <c r="G1057" s="171" t="s">
        <v>346</v>
      </c>
      <c r="H1057" s="235" t="s">
        <v>1432</v>
      </c>
      <c r="I1057" s="30" t="e">
        <f>VLOOKUP(H1057,'合同高级查询数据-4月返'!A:A,1,FALSE)</f>
        <v>#N/A</v>
      </c>
      <c r="J1057" s="171" t="s">
        <v>346</v>
      </c>
      <c r="K1057" s="171" t="s">
        <v>1435</v>
      </c>
      <c r="L1057" s="192"/>
      <c r="M1057" s="113"/>
      <c r="N1057" s="220"/>
      <c r="O1057" s="193" t="s">
        <v>486</v>
      </c>
      <c r="P1057" s="145">
        <v>5800</v>
      </c>
      <c r="Q1057" s="130">
        <v>1</v>
      </c>
      <c r="R1057" s="130">
        <f t="shared" si="29"/>
        <v>5800</v>
      </c>
      <c r="S1057" s="127">
        <v>202304</v>
      </c>
      <c r="T1057" s="194" t="s">
        <v>1436</v>
      </c>
      <c r="U1057" s="195"/>
      <c r="V1057" s="149"/>
      <c r="W1057" s="149"/>
      <c r="X1057" s="131"/>
      <c r="Y1057" s="131"/>
    </row>
    <row r="1058" s="86" customFormat="1" customHeight="1" spans="1:25">
      <c r="A1058" s="135" t="s">
        <v>448</v>
      </c>
      <c r="B1058" s="135" t="s">
        <v>62</v>
      </c>
      <c r="C1058" s="135" t="s">
        <v>238</v>
      </c>
      <c r="D1058" s="135" t="s">
        <v>642</v>
      </c>
      <c r="E1058" s="170" t="s">
        <v>1309</v>
      </c>
      <c r="F1058" s="135" t="s">
        <v>1016</v>
      </c>
      <c r="G1058" s="171" t="s">
        <v>346</v>
      </c>
      <c r="H1058" s="235" t="s">
        <v>1432</v>
      </c>
      <c r="I1058" s="30" t="e">
        <f>VLOOKUP(H1058,'合同高级查询数据-4月返'!A:A,1,FALSE)</f>
        <v>#N/A</v>
      </c>
      <c r="J1058" s="110" t="s">
        <v>346</v>
      </c>
      <c r="K1058" s="171" t="s">
        <v>1437</v>
      </c>
      <c r="L1058" s="192"/>
      <c r="M1058" s="113"/>
      <c r="N1058" s="193"/>
      <c r="O1058" s="193" t="s">
        <v>486</v>
      </c>
      <c r="P1058" s="145">
        <v>5800</v>
      </c>
      <c r="Q1058" s="126">
        <v>1</v>
      </c>
      <c r="R1058" s="130">
        <f t="shared" si="29"/>
        <v>5800</v>
      </c>
      <c r="S1058" s="127">
        <v>202304</v>
      </c>
      <c r="T1058" s="194" t="s">
        <v>1438</v>
      </c>
      <c r="U1058" s="195"/>
      <c r="V1058" s="149"/>
      <c r="W1058" s="149"/>
      <c r="X1058" s="131"/>
      <c r="Y1058" s="131"/>
    </row>
    <row r="1059" s="86" customFormat="1" customHeight="1" spans="1:25">
      <c r="A1059" s="135" t="s">
        <v>448</v>
      </c>
      <c r="B1059" s="135" t="s">
        <v>62</v>
      </c>
      <c r="C1059" s="135" t="s">
        <v>238</v>
      </c>
      <c r="D1059" s="135" t="s">
        <v>642</v>
      </c>
      <c r="E1059" s="170" t="s">
        <v>1309</v>
      </c>
      <c r="F1059" s="135" t="s">
        <v>1016</v>
      </c>
      <c r="G1059" s="171" t="s">
        <v>346</v>
      </c>
      <c r="H1059" s="235" t="s">
        <v>1432</v>
      </c>
      <c r="I1059" s="30" t="e">
        <f>VLOOKUP(H1059,'合同高级查询数据-4月返'!A:A,1,FALSE)</f>
        <v>#N/A</v>
      </c>
      <c r="J1059" s="171" t="s">
        <v>346</v>
      </c>
      <c r="K1059" s="171" t="s">
        <v>1439</v>
      </c>
      <c r="L1059" s="192"/>
      <c r="M1059" s="113"/>
      <c r="N1059" s="220"/>
      <c r="O1059" s="193" t="s">
        <v>486</v>
      </c>
      <c r="P1059" s="145">
        <v>5800</v>
      </c>
      <c r="Q1059" s="130">
        <v>1</v>
      </c>
      <c r="R1059" s="130">
        <f t="shared" si="29"/>
        <v>5800</v>
      </c>
      <c r="S1059" s="127">
        <v>202304</v>
      </c>
      <c r="T1059" s="194" t="s">
        <v>1440</v>
      </c>
      <c r="U1059" s="195"/>
      <c r="V1059" s="149"/>
      <c r="W1059" s="149"/>
      <c r="X1059" s="131"/>
      <c r="Y1059" s="131"/>
    </row>
    <row r="1060" s="86" customFormat="1" customHeight="1" spans="1:25">
      <c r="A1060" s="135" t="s">
        <v>448</v>
      </c>
      <c r="B1060" s="135" t="s">
        <v>62</v>
      </c>
      <c r="C1060" s="135" t="s">
        <v>238</v>
      </c>
      <c r="D1060" s="135" t="s">
        <v>642</v>
      </c>
      <c r="E1060" s="170" t="s">
        <v>1309</v>
      </c>
      <c r="F1060" s="135" t="s">
        <v>1016</v>
      </c>
      <c r="G1060" s="171" t="s">
        <v>346</v>
      </c>
      <c r="H1060" s="235" t="s">
        <v>1432</v>
      </c>
      <c r="I1060" s="30" t="e">
        <f>VLOOKUP(H1060,'合同高级查询数据-4月返'!A:A,1,FALSE)</f>
        <v>#N/A</v>
      </c>
      <c r="J1060" s="31" t="s">
        <v>346</v>
      </c>
      <c r="K1060" s="171" t="s">
        <v>1441</v>
      </c>
      <c r="L1060" s="192"/>
      <c r="M1060" s="113"/>
      <c r="N1060" s="193">
        <v>43516</v>
      </c>
      <c r="O1060" s="193" t="s">
        <v>486</v>
      </c>
      <c r="P1060" s="145">
        <v>5800</v>
      </c>
      <c r="Q1060" s="126">
        <v>1</v>
      </c>
      <c r="R1060" s="130">
        <f t="shared" si="29"/>
        <v>5800</v>
      </c>
      <c r="S1060" s="127">
        <v>202304</v>
      </c>
      <c r="T1060" s="194" t="s">
        <v>1442</v>
      </c>
      <c r="U1060" s="195"/>
      <c r="V1060" s="149"/>
      <c r="W1060" s="149"/>
      <c r="X1060" s="131"/>
      <c r="Y1060" s="131"/>
    </row>
    <row r="1061" s="85" customFormat="1" customHeight="1" spans="1:25">
      <c r="A1061" s="98" t="s">
        <v>448</v>
      </c>
      <c r="B1061" s="98" t="s">
        <v>62</v>
      </c>
      <c r="C1061" s="98" t="s">
        <v>238</v>
      </c>
      <c r="D1061" s="98" t="s">
        <v>642</v>
      </c>
      <c r="E1061" s="161" t="s">
        <v>1309</v>
      </c>
      <c r="F1061" s="98" t="s">
        <v>1016</v>
      </c>
      <c r="G1061" s="25" t="s">
        <v>67</v>
      </c>
      <c r="H1061" s="226" t="s">
        <v>1443</v>
      </c>
      <c r="I1061" s="46" t="e">
        <f>VLOOKUP(H1061,'合同高级查询数据-4月返'!A:A,1,FALSE)</f>
        <v>#N/A</v>
      </c>
      <c r="J1061" s="25" t="s">
        <v>69</v>
      </c>
      <c r="K1061" s="172" t="s">
        <v>1444</v>
      </c>
      <c r="L1061" s="228"/>
      <c r="M1061" s="49"/>
      <c r="N1061" s="234">
        <v>44697</v>
      </c>
      <c r="O1061" s="234" t="s">
        <v>71</v>
      </c>
      <c r="P1061" s="164">
        <v>400</v>
      </c>
      <c r="Q1061" s="118">
        <v>49.2</v>
      </c>
      <c r="R1061" s="118">
        <f t="shared" si="29"/>
        <v>19680</v>
      </c>
      <c r="S1061" s="115">
        <v>202304</v>
      </c>
      <c r="T1061" s="222" t="s">
        <v>1445</v>
      </c>
      <c r="U1061" s="223"/>
      <c r="V1061" s="165"/>
      <c r="W1061" s="165"/>
      <c r="X1061" s="116">
        <v>44697</v>
      </c>
      <c r="Y1061" s="116">
        <v>45199</v>
      </c>
    </row>
    <row r="1062" s="85" customFormat="1" customHeight="1" spans="1:25">
      <c r="A1062" s="98" t="s">
        <v>448</v>
      </c>
      <c r="B1062" s="98" t="s">
        <v>62</v>
      </c>
      <c r="C1062" s="98" t="s">
        <v>238</v>
      </c>
      <c r="D1062" s="98" t="s">
        <v>642</v>
      </c>
      <c r="E1062" s="161" t="s">
        <v>1309</v>
      </c>
      <c r="F1062" s="98" t="s">
        <v>1016</v>
      </c>
      <c r="G1062" s="25" t="s">
        <v>67</v>
      </c>
      <c r="H1062" s="226" t="s">
        <v>1443</v>
      </c>
      <c r="I1062" s="46" t="e">
        <f>VLOOKUP(H1062,'合同高级查询数据-4月返'!A:A,1,FALSE)</f>
        <v>#N/A</v>
      </c>
      <c r="J1062" s="25" t="s">
        <v>69</v>
      </c>
      <c r="K1062" s="172" t="s">
        <v>1444</v>
      </c>
      <c r="L1062" s="228"/>
      <c r="M1062" s="49"/>
      <c r="N1062" s="234">
        <v>44697</v>
      </c>
      <c r="O1062" s="234" t="s">
        <v>71</v>
      </c>
      <c r="P1062" s="164">
        <v>400</v>
      </c>
      <c r="Q1062" s="118">
        <v>41</v>
      </c>
      <c r="R1062" s="118">
        <f t="shared" si="29"/>
        <v>16400</v>
      </c>
      <c r="S1062" s="115">
        <v>202304</v>
      </c>
      <c r="T1062" s="222" t="s">
        <v>1446</v>
      </c>
      <c r="U1062" s="223"/>
      <c r="V1062" s="165"/>
      <c r="W1062" s="165"/>
      <c r="X1062" s="116">
        <v>44697</v>
      </c>
      <c r="Y1062" s="116">
        <v>45199</v>
      </c>
    </row>
    <row r="1063" s="85" customFormat="1" customHeight="1" spans="1:25">
      <c r="A1063" s="98" t="s">
        <v>448</v>
      </c>
      <c r="B1063" s="98" t="s">
        <v>62</v>
      </c>
      <c r="C1063" s="98" t="s">
        <v>238</v>
      </c>
      <c r="D1063" s="98" t="s">
        <v>642</v>
      </c>
      <c r="E1063" s="161" t="s">
        <v>1309</v>
      </c>
      <c r="F1063" s="98" t="s">
        <v>1016</v>
      </c>
      <c r="G1063" s="25" t="s">
        <v>67</v>
      </c>
      <c r="H1063" s="226" t="s">
        <v>1443</v>
      </c>
      <c r="I1063" s="46" t="e">
        <f>VLOOKUP(H1063,'合同高级查询数据-4月返'!A:A,1,FALSE)</f>
        <v>#N/A</v>
      </c>
      <c r="J1063" s="25" t="s">
        <v>69</v>
      </c>
      <c r="K1063" s="172" t="s">
        <v>1447</v>
      </c>
      <c r="L1063" s="228"/>
      <c r="M1063" s="49"/>
      <c r="N1063" s="234">
        <v>44707</v>
      </c>
      <c r="O1063" s="234" t="s">
        <v>71</v>
      </c>
      <c r="P1063" s="164">
        <v>400</v>
      </c>
      <c r="Q1063" s="118">
        <v>74.5</v>
      </c>
      <c r="R1063" s="118">
        <f t="shared" si="29"/>
        <v>29800</v>
      </c>
      <c r="S1063" s="115">
        <v>202304</v>
      </c>
      <c r="T1063" s="222" t="s">
        <v>1447</v>
      </c>
      <c r="U1063" s="223"/>
      <c r="V1063" s="165"/>
      <c r="W1063" s="165"/>
      <c r="X1063" s="116">
        <v>44697</v>
      </c>
      <c r="Y1063" s="116">
        <v>45199</v>
      </c>
    </row>
    <row r="1064" s="85" customFormat="1" customHeight="1" spans="1:25">
      <c r="A1064" s="98" t="s">
        <v>448</v>
      </c>
      <c r="B1064" s="98" t="s">
        <v>62</v>
      </c>
      <c r="C1064" s="98" t="s">
        <v>238</v>
      </c>
      <c r="D1064" s="98" t="s">
        <v>642</v>
      </c>
      <c r="E1064" s="161" t="s">
        <v>1309</v>
      </c>
      <c r="F1064" s="98" t="s">
        <v>1016</v>
      </c>
      <c r="G1064" s="25" t="s">
        <v>67</v>
      </c>
      <c r="H1064" s="226" t="s">
        <v>1443</v>
      </c>
      <c r="I1064" s="46" t="e">
        <f>VLOOKUP(H1064,'合同高级查询数据-4月返'!A:A,1,FALSE)</f>
        <v>#N/A</v>
      </c>
      <c r="J1064" s="25" t="s">
        <v>69</v>
      </c>
      <c r="K1064" s="172" t="s">
        <v>1447</v>
      </c>
      <c r="L1064" s="228"/>
      <c r="M1064" s="49"/>
      <c r="N1064" s="234">
        <v>44707</v>
      </c>
      <c r="O1064" s="234" t="s">
        <v>71</v>
      </c>
      <c r="P1064" s="164">
        <v>400</v>
      </c>
      <c r="Q1064" s="118">
        <v>93.8</v>
      </c>
      <c r="R1064" s="118">
        <f t="shared" si="29"/>
        <v>37520</v>
      </c>
      <c r="S1064" s="115">
        <v>202304</v>
      </c>
      <c r="T1064" s="222" t="s">
        <v>1447</v>
      </c>
      <c r="U1064" s="223"/>
      <c r="V1064" s="165"/>
      <c r="W1064" s="165"/>
      <c r="X1064" s="116">
        <v>44697</v>
      </c>
      <c r="Y1064" s="116">
        <v>45199</v>
      </c>
    </row>
    <row r="1065" s="86" customFormat="1" customHeight="1" spans="1:25">
      <c r="A1065" s="135" t="s">
        <v>448</v>
      </c>
      <c r="B1065" s="135" t="s">
        <v>62</v>
      </c>
      <c r="C1065" s="135" t="s">
        <v>238</v>
      </c>
      <c r="D1065" s="135" t="s">
        <v>642</v>
      </c>
      <c r="E1065" s="170" t="s">
        <v>1309</v>
      </c>
      <c r="F1065" s="135" t="s">
        <v>1016</v>
      </c>
      <c r="G1065" s="171" t="s">
        <v>346</v>
      </c>
      <c r="H1065" s="235" t="s">
        <v>1448</v>
      </c>
      <c r="I1065" s="30" t="e">
        <f>VLOOKUP(H1065,'合同高级查询数据-4月返'!A:A,1,FALSE)</f>
        <v>#N/A</v>
      </c>
      <c r="J1065" s="171" t="s">
        <v>346</v>
      </c>
      <c r="K1065" s="171" t="s">
        <v>1449</v>
      </c>
      <c r="L1065" s="192"/>
      <c r="M1065" s="113"/>
      <c r="N1065" s="220">
        <v>43654</v>
      </c>
      <c r="O1065" s="220" t="s">
        <v>353</v>
      </c>
      <c r="P1065" s="145">
        <v>3000</v>
      </c>
      <c r="Q1065" s="130">
        <v>1</v>
      </c>
      <c r="R1065" s="130">
        <f t="shared" si="29"/>
        <v>3000</v>
      </c>
      <c r="S1065" s="127">
        <v>202304</v>
      </c>
      <c r="T1065" s="194" t="s">
        <v>1450</v>
      </c>
      <c r="U1065" s="195"/>
      <c r="V1065" s="149"/>
      <c r="W1065" s="149"/>
      <c r="X1065" s="131"/>
      <c r="Y1065" s="131"/>
    </row>
    <row r="1066" s="86" customFormat="1" customHeight="1" spans="1:25">
      <c r="A1066" s="135" t="s">
        <v>448</v>
      </c>
      <c r="B1066" s="135" t="s">
        <v>62</v>
      </c>
      <c r="C1066" s="135" t="s">
        <v>238</v>
      </c>
      <c r="D1066" s="135" t="s">
        <v>642</v>
      </c>
      <c r="E1066" s="170" t="s">
        <v>1309</v>
      </c>
      <c r="F1066" s="135" t="s">
        <v>1016</v>
      </c>
      <c r="G1066" s="171" t="s">
        <v>346</v>
      </c>
      <c r="H1066" s="235" t="s">
        <v>1448</v>
      </c>
      <c r="I1066" s="30" t="e">
        <f>VLOOKUP(H1066,'合同高级查询数据-4月返'!A:A,1,FALSE)</f>
        <v>#N/A</v>
      </c>
      <c r="J1066" s="171" t="s">
        <v>346</v>
      </c>
      <c r="K1066" s="171" t="s">
        <v>1449</v>
      </c>
      <c r="L1066" s="192"/>
      <c r="M1066" s="113"/>
      <c r="N1066" s="220">
        <v>43654</v>
      </c>
      <c r="O1066" s="220" t="s">
        <v>353</v>
      </c>
      <c r="P1066" s="145">
        <v>3000</v>
      </c>
      <c r="Q1066" s="130">
        <v>-1</v>
      </c>
      <c r="R1066" s="130">
        <f t="shared" si="29"/>
        <v>-3000</v>
      </c>
      <c r="S1066" s="127">
        <v>202304</v>
      </c>
      <c r="T1066" s="194" t="s">
        <v>1450</v>
      </c>
      <c r="U1066" s="195"/>
      <c r="V1066" s="149"/>
      <c r="W1066" s="149"/>
      <c r="X1066" s="131"/>
      <c r="Y1066" s="131"/>
    </row>
    <row r="1067" s="86" customFormat="1" customHeight="1" spans="1:25">
      <c r="A1067" s="135" t="s">
        <v>448</v>
      </c>
      <c r="B1067" s="135" t="s">
        <v>62</v>
      </c>
      <c r="C1067" s="135" t="s">
        <v>238</v>
      </c>
      <c r="D1067" s="135" t="s">
        <v>642</v>
      </c>
      <c r="E1067" s="170" t="s">
        <v>1309</v>
      </c>
      <c r="F1067" s="135" t="s">
        <v>1016</v>
      </c>
      <c r="G1067" s="171" t="s">
        <v>346</v>
      </c>
      <c r="H1067" s="235" t="s">
        <v>1451</v>
      </c>
      <c r="I1067" s="30" t="e">
        <f>VLOOKUP(H1067,'合同高级查询数据-4月返'!A:A,1,FALSE)</f>
        <v>#N/A</v>
      </c>
      <c r="J1067" s="171" t="s">
        <v>346</v>
      </c>
      <c r="K1067" s="171" t="s">
        <v>1452</v>
      </c>
      <c r="L1067" s="192"/>
      <c r="M1067" s="113"/>
      <c r="N1067" s="220"/>
      <c r="O1067" s="193" t="s">
        <v>486</v>
      </c>
      <c r="P1067" s="145">
        <v>6000</v>
      </c>
      <c r="Q1067" s="130">
        <v>1</v>
      </c>
      <c r="R1067" s="130">
        <f t="shared" si="29"/>
        <v>6000</v>
      </c>
      <c r="S1067" s="127">
        <v>202304</v>
      </c>
      <c r="T1067" s="194" t="s">
        <v>1453</v>
      </c>
      <c r="U1067" s="195"/>
      <c r="V1067" s="149"/>
      <c r="W1067" s="149"/>
      <c r="X1067" s="131"/>
      <c r="Y1067" s="131"/>
    </row>
    <row r="1068" s="86" customFormat="1" customHeight="1" spans="1:25">
      <c r="A1068" s="135" t="s">
        <v>448</v>
      </c>
      <c r="B1068" s="135" t="s">
        <v>62</v>
      </c>
      <c r="C1068" s="135" t="s">
        <v>238</v>
      </c>
      <c r="D1068" s="135" t="s">
        <v>642</v>
      </c>
      <c r="E1068" s="170" t="s">
        <v>1309</v>
      </c>
      <c r="F1068" s="135" t="s">
        <v>1016</v>
      </c>
      <c r="G1068" s="171" t="s">
        <v>346</v>
      </c>
      <c r="H1068" s="235" t="s">
        <v>1451</v>
      </c>
      <c r="I1068" s="30" t="e">
        <f>VLOOKUP(H1068,'合同高级查询数据-4月返'!A:A,1,FALSE)</f>
        <v>#N/A</v>
      </c>
      <c r="J1068" s="171" t="s">
        <v>346</v>
      </c>
      <c r="K1068" s="171" t="s">
        <v>1452</v>
      </c>
      <c r="L1068" s="192"/>
      <c r="M1068" s="113"/>
      <c r="N1068" s="220">
        <v>43678</v>
      </c>
      <c r="O1068" s="193" t="s">
        <v>486</v>
      </c>
      <c r="P1068" s="145">
        <v>6000</v>
      </c>
      <c r="Q1068" s="130">
        <v>-1</v>
      </c>
      <c r="R1068" s="130">
        <f t="shared" si="29"/>
        <v>-6000</v>
      </c>
      <c r="S1068" s="127">
        <v>202304</v>
      </c>
      <c r="T1068" s="194" t="s">
        <v>1453</v>
      </c>
      <c r="U1068" s="195"/>
      <c r="V1068" s="149"/>
      <c r="W1068" s="149"/>
      <c r="X1068" s="131"/>
      <c r="Y1068" s="131"/>
    </row>
    <row r="1069" s="86" customFormat="1" customHeight="1" spans="1:25">
      <c r="A1069" s="135" t="s">
        <v>448</v>
      </c>
      <c r="B1069" s="135" t="s">
        <v>62</v>
      </c>
      <c r="C1069" s="135" t="s">
        <v>238</v>
      </c>
      <c r="D1069" s="135" t="s">
        <v>642</v>
      </c>
      <c r="E1069" s="170" t="s">
        <v>1309</v>
      </c>
      <c r="F1069" s="135" t="s">
        <v>1016</v>
      </c>
      <c r="G1069" s="171" t="s">
        <v>88</v>
      </c>
      <c r="H1069" s="103" t="s">
        <v>1454</v>
      </c>
      <c r="I1069" s="30" t="e">
        <f>VLOOKUP(H1069,'合同高级查询数据-4月返'!A:A,1,FALSE)</f>
        <v>#N/A</v>
      </c>
      <c r="J1069" s="31" t="s">
        <v>90</v>
      </c>
      <c r="K1069" s="171" t="s">
        <v>1455</v>
      </c>
      <c r="L1069" s="192"/>
      <c r="M1069" s="113" t="s">
        <v>582</v>
      </c>
      <c r="N1069" s="193" t="s">
        <v>558</v>
      </c>
      <c r="O1069" s="193" t="s">
        <v>503</v>
      </c>
      <c r="P1069" s="157">
        <v>5745</v>
      </c>
      <c r="Q1069" s="157">
        <v>1800</v>
      </c>
      <c r="R1069" s="130">
        <f t="shared" si="29"/>
        <v>10341000</v>
      </c>
      <c r="S1069" s="127">
        <v>202304</v>
      </c>
      <c r="T1069" s="194"/>
      <c r="U1069" s="195"/>
      <c r="V1069" s="149"/>
      <c r="W1069" s="149"/>
      <c r="X1069" s="131"/>
      <c r="Y1069" s="131"/>
    </row>
    <row r="1070" s="86" customFormat="1" customHeight="1" spans="1:25">
      <c r="A1070" s="135" t="s">
        <v>448</v>
      </c>
      <c r="B1070" s="135" t="s">
        <v>62</v>
      </c>
      <c r="C1070" s="135" t="s">
        <v>238</v>
      </c>
      <c r="D1070" s="135" t="s">
        <v>642</v>
      </c>
      <c r="E1070" s="170" t="s">
        <v>1309</v>
      </c>
      <c r="F1070" s="135" t="s">
        <v>1016</v>
      </c>
      <c r="G1070" s="171" t="s">
        <v>88</v>
      </c>
      <c r="H1070" s="103" t="s">
        <v>1454</v>
      </c>
      <c r="I1070" s="30" t="e">
        <f>VLOOKUP(H1070,'合同高级查询数据-4月返'!A:A,1,FALSE)</f>
        <v>#N/A</v>
      </c>
      <c r="J1070" s="31" t="s">
        <v>90</v>
      </c>
      <c r="K1070" s="171" t="s">
        <v>1455</v>
      </c>
      <c r="L1070" s="192"/>
      <c r="M1070" s="113" t="s">
        <v>582</v>
      </c>
      <c r="N1070" s="193">
        <v>44658</v>
      </c>
      <c r="O1070" s="193" t="s">
        <v>503</v>
      </c>
      <c r="P1070" s="157">
        <v>5745</v>
      </c>
      <c r="Q1070" s="157">
        <v>-2</v>
      </c>
      <c r="R1070" s="130">
        <f t="shared" si="29"/>
        <v>-11490</v>
      </c>
      <c r="S1070" s="127">
        <v>202304</v>
      </c>
      <c r="T1070" s="194" t="s">
        <v>1456</v>
      </c>
      <c r="U1070" s="195"/>
      <c r="V1070" s="149"/>
      <c r="W1070" s="149"/>
      <c r="X1070" s="131"/>
      <c r="Y1070" s="131"/>
    </row>
    <row r="1071" s="86" customFormat="1" customHeight="1" spans="1:25">
      <c r="A1071" s="135" t="s">
        <v>448</v>
      </c>
      <c r="B1071" s="135" t="s">
        <v>62</v>
      </c>
      <c r="C1071" s="135" t="s">
        <v>238</v>
      </c>
      <c r="D1071" s="135" t="s">
        <v>642</v>
      </c>
      <c r="E1071" s="170" t="s">
        <v>1309</v>
      </c>
      <c r="F1071" s="135" t="s">
        <v>1016</v>
      </c>
      <c r="G1071" s="171" t="s">
        <v>88</v>
      </c>
      <c r="H1071" s="103" t="s">
        <v>1454</v>
      </c>
      <c r="I1071" s="30" t="e">
        <f>VLOOKUP(H1071,'合同高级查询数据-4月返'!A:A,1,FALSE)</f>
        <v>#N/A</v>
      </c>
      <c r="J1071" s="31" t="s">
        <v>90</v>
      </c>
      <c r="K1071" s="171" t="s">
        <v>1455</v>
      </c>
      <c r="L1071" s="192"/>
      <c r="M1071" s="113" t="s">
        <v>582</v>
      </c>
      <c r="N1071" s="193">
        <v>44865</v>
      </c>
      <c r="O1071" s="193" t="s">
        <v>503</v>
      </c>
      <c r="P1071" s="157">
        <v>5745</v>
      </c>
      <c r="Q1071" s="157">
        <v>-10</v>
      </c>
      <c r="R1071" s="130">
        <f t="shared" si="29"/>
        <v>-57450</v>
      </c>
      <c r="S1071" s="127">
        <v>202304</v>
      </c>
      <c r="T1071" s="194" t="s">
        <v>1457</v>
      </c>
      <c r="U1071" s="195"/>
      <c r="V1071" s="149"/>
      <c r="W1071" s="149"/>
      <c r="X1071" s="131"/>
      <c r="Y1071" s="131"/>
    </row>
    <row r="1072" s="86" customFormat="1" customHeight="1" spans="1:25">
      <c r="A1072" s="135" t="s">
        <v>448</v>
      </c>
      <c r="B1072" s="135" t="s">
        <v>62</v>
      </c>
      <c r="C1072" s="135" t="s">
        <v>238</v>
      </c>
      <c r="D1072" s="135" t="s">
        <v>642</v>
      </c>
      <c r="E1072" s="170" t="s">
        <v>1309</v>
      </c>
      <c r="F1072" s="135" t="s">
        <v>1016</v>
      </c>
      <c r="G1072" s="171" t="s">
        <v>88</v>
      </c>
      <c r="H1072" s="103" t="s">
        <v>1454</v>
      </c>
      <c r="I1072" s="30" t="e">
        <f>VLOOKUP(H1072,'合同高级查询数据-4月返'!A:A,1,FALSE)</f>
        <v>#N/A</v>
      </c>
      <c r="J1072" s="31" t="s">
        <v>90</v>
      </c>
      <c r="K1072" s="171" t="s">
        <v>1455</v>
      </c>
      <c r="L1072" s="192"/>
      <c r="M1072" s="113" t="s">
        <v>582</v>
      </c>
      <c r="N1072" s="193">
        <v>44875</v>
      </c>
      <c r="O1072" s="193" t="s">
        <v>503</v>
      </c>
      <c r="P1072" s="157">
        <v>5745</v>
      </c>
      <c r="Q1072" s="157">
        <v>-59</v>
      </c>
      <c r="R1072" s="130">
        <f t="shared" si="29"/>
        <v>-338955</v>
      </c>
      <c r="S1072" s="127">
        <v>202304</v>
      </c>
      <c r="T1072" s="194" t="s">
        <v>1458</v>
      </c>
      <c r="U1072" s="195"/>
      <c r="V1072" s="149"/>
      <c r="W1072" s="149"/>
      <c r="X1072" s="131"/>
      <c r="Y1072" s="131"/>
    </row>
    <row r="1073" s="86" customFormat="1" customHeight="1" spans="1:25">
      <c r="A1073" s="135" t="s">
        <v>448</v>
      </c>
      <c r="B1073" s="135" t="s">
        <v>62</v>
      </c>
      <c r="C1073" s="135" t="s">
        <v>238</v>
      </c>
      <c r="D1073" s="135" t="s">
        <v>642</v>
      </c>
      <c r="E1073" s="170" t="s">
        <v>1309</v>
      </c>
      <c r="F1073" s="135" t="s">
        <v>1016</v>
      </c>
      <c r="G1073" s="171" t="s">
        <v>88</v>
      </c>
      <c r="H1073" s="103" t="s">
        <v>1454</v>
      </c>
      <c r="I1073" s="30" t="e">
        <f>VLOOKUP(H1073,'合同高级查询数据-4月返'!A:A,1,FALSE)</f>
        <v>#N/A</v>
      </c>
      <c r="J1073" s="31" t="s">
        <v>90</v>
      </c>
      <c r="K1073" s="171" t="s">
        <v>1455</v>
      </c>
      <c r="L1073" s="192"/>
      <c r="M1073" s="113" t="s">
        <v>582</v>
      </c>
      <c r="N1073" s="193">
        <v>44880</v>
      </c>
      <c r="O1073" s="193" t="s">
        <v>503</v>
      </c>
      <c r="P1073" s="157">
        <v>5745</v>
      </c>
      <c r="Q1073" s="157">
        <v>-24</v>
      </c>
      <c r="R1073" s="130">
        <f t="shared" si="29"/>
        <v>-137880</v>
      </c>
      <c r="S1073" s="127">
        <v>202304</v>
      </c>
      <c r="T1073" s="194" t="s">
        <v>1459</v>
      </c>
      <c r="U1073" s="195"/>
      <c r="V1073" s="149"/>
      <c r="W1073" s="149"/>
      <c r="X1073" s="131"/>
      <c r="Y1073" s="131"/>
    </row>
    <row r="1074" s="86" customFormat="1" customHeight="1" spans="1:25">
      <c r="A1074" s="135" t="s">
        <v>448</v>
      </c>
      <c r="B1074" s="135" t="s">
        <v>62</v>
      </c>
      <c r="C1074" s="135" t="s">
        <v>238</v>
      </c>
      <c r="D1074" s="135" t="s">
        <v>642</v>
      </c>
      <c r="E1074" s="170" t="s">
        <v>1309</v>
      </c>
      <c r="F1074" s="135" t="s">
        <v>1016</v>
      </c>
      <c r="G1074" s="171" t="s">
        <v>88</v>
      </c>
      <c r="H1074" s="103" t="s">
        <v>1454</v>
      </c>
      <c r="I1074" s="30" t="e">
        <f>VLOOKUP(H1074,'合同高级查询数据-4月返'!A:A,1,FALSE)</f>
        <v>#N/A</v>
      </c>
      <c r="J1074" s="31" t="s">
        <v>357</v>
      </c>
      <c r="K1074" s="134" t="s">
        <v>1455</v>
      </c>
      <c r="L1074" s="174"/>
      <c r="M1074" s="113" t="s">
        <v>582</v>
      </c>
      <c r="N1074" s="175"/>
      <c r="O1074" s="176"/>
      <c r="P1074" s="177">
        <v>300</v>
      </c>
      <c r="Q1074" s="177">
        <v>500</v>
      </c>
      <c r="R1074" s="130">
        <f t="shared" si="29"/>
        <v>150000</v>
      </c>
      <c r="S1074" s="127">
        <v>202304</v>
      </c>
      <c r="T1074" s="183" t="s">
        <v>1460</v>
      </c>
      <c r="U1074" s="149"/>
      <c r="V1074" s="149"/>
      <c r="W1074" s="149"/>
      <c r="X1074" s="131"/>
      <c r="Y1074" s="131"/>
    </row>
    <row r="1075" s="86" customFormat="1" customHeight="1" spans="1:25">
      <c r="A1075" s="135" t="s">
        <v>448</v>
      </c>
      <c r="B1075" s="135" t="s">
        <v>62</v>
      </c>
      <c r="C1075" s="135" t="s">
        <v>238</v>
      </c>
      <c r="D1075" s="135" t="s">
        <v>642</v>
      </c>
      <c r="E1075" s="170" t="s">
        <v>1309</v>
      </c>
      <c r="F1075" s="135" t="s">
        <v>1016</v>
      </c>
      <c r="G1075" s="110" t="s">
        <v>67</v>
      </c>
      <c r="H1075" s="235" t="s">
        <v>1461</v>
      </c>
      <c r="I1075" s="30" t="e">
        <f>VLOOKUP(H1075,'合同高级查询数据-4月返'!A:A,1,FALSE)</f>
        <v>#N/A</v>
      </c>
      <c r="J1075" s="110" t="s">
        <v>69</v>
      </c>
      <c r="K1075" s="171" t="s">
        <v>1462</v>
      </c>
      <c r="L1075" s="192"/>
      <c r="M1075" s="113"/>
      <c r="N1075" s="220">
        <v>43101</v>
      </c>
      <c r="O1075" s="220"/>
      <c r="P1075" s="145">
        <v>400</v>
      </c>
      <c r="Q1075" s="145">
        <v>72.3</v>
      </c>
      <c r="R1075" s="130">
        <f t="shared" si="29"/>
        <v>28920</v>
      </c>
      <c r="S1075" s="127">
        <v>202304</v>
      </c>
      <c r="T1075" s="194" t="s">
        <v>1463</v>
      </c>
      <c r="U1075" s="195"/>
      <c r="V1075" s="149"/>
      <c r="W1075" s="149"/>
      <c r="X1075" s="131"/>
      <c r="Y1075" s="131"/>
    </row>
    <row r="1076" s="86" customFormat="1" customHeight="1" spans="1:25">
      <c r="A1076" s="135" t="s">
        <v>448</v>
      </c>
      <c r="B1076" s="135" t="s">
        <v>62</v>
      </c>
      <c r="C1076" s="135" t="s">
        <v>238</v>
      </c>
      <c r="D1076" s="135" t="s">
        <v>642</v>
      </c>
      <c r="E1076" s="170" t="s">
        <v>1309</v>
      </c>
      <c r="F1076" s="135" t="s">
        <v>1016</v>
      </c>
      <c r="G1076" s="110" t="s">
        <v>67</v>
      </c>
      <c r="H1076" s="235" t="s">
        <v>1461</v>
      </c>
      <c r="I1076" s="30" t="e">
        <f>VLOOKUP(H1076,'合同高级查询数据-4月返'!A:A,1,FALSE)</f>
        <v>#N/A</v>
      </c>
      <c r="J1076" s="110" t="s">
        <v>69</v>
      </c>
      <c r="K1076" s="171" t="s">
        <v>1462</v>
      </c>
      <c r="L1076" s="192"/>
      <c r="M1076" s="113"/>
      <c r="N1076" s="220">
        <v>43101</v>
      </c>
      <c r="O1076" s="220"/>
      <c r="P1076" s="145">
        <v>400</v>
      </c>
      <c r="Q1076" s="145">
        <v>49.1</v>
      </c>
      <c r="R1076" s="130">
        <f t="shared" si="29"/>
        <v>19640</v>
      </c>
      <c r="S1076" s="127">
        <v>202304</v>
      </c>
      <c r="T1076" s="194" t="s">
        <v>1464</v>
      </c>
      <c r="U1076" s="195"/>
      <c r="V1076" s="149"/>
      <c r="W1076" s="149"/>
      <c r="X1076" s="131"/>
      <c r="Y1076" s="131"/>
    </row>
    <row r="1077" s="86" customFormat="1" customHeight="1" spans="1:25">
      <c r="A1077" s="135" t="s">
        <v>448</v>
      </c>
      <c r="B1077" s="135" t="s">
        <v>62</v>
      </c>
      <c r="C1077" s="135" t="s">
        <v>238</v>
      </c>
      <c r="D1077" s="135" t="s">
        <v>642</v>
      </c>
      <c r="E1077" s="170" t="s">
        <v>1309</v>
      </c>
      <c r="F1077" s="135" t="s">
        <v>1016</v>
      </c>
      <c r="G1077" s="110" t="s">
        <v>67</v>
      </c>
      <c r="H1077" s="235" t="s">
        <v>1461</v>
      </c>
      <c r="I1077" s="30" t="e">
        <f>VLOOKUP(H1077,'合同高级查询数据-4月返'!A:A,1,FALSE)</f>
        <v>#N/A</v>
      </c>
      <c r="J1077" s="110" t="s">
        <v>69</v>
      </c>
      <c r="K1077" s="171" t="s">
        <v>1462</v>
      </c>
      <c r="L1077" s="192"/>
      <c r="M1077" s="113"/>
      <c r="N1077" s="220">
        <v>43101</v>
      </c>
      <c r="O1077" s="220"/>
      <c r="P1077" s="145">
        <v>400</v>
      </c>
      <c r="Q1077" s="145">
        <v>47.8</v>
      </c>
      <c r="R1077" s="130">
        <f t="shared" si="29"/>
        <v>19120</v>
      </c>
      <c r="S1077" s="127">
        <v>202304</v>
      </c>
      <c r="T1077" s="194" t="s">
        <v>1465</v>
      </c>
      <c r="U1077" s="195"/>
      <c r="V1077" s="149"/>
      <c r="W1077" s="149"/>
      <c r="X1077" s="131"/>
      <c r="Y1077" s="131"/>
    </row>
    <row r="1078" s="85" customFormat="1" customHeight="1" spans="1:25">
      <c r="A1078" s="98" t="s">
        <v>448</v>
      </c>
      <c r="B1078" s="24" t="s">
        <v>62</v>
      </c>
      <c r="C1078" s="98" t="s">
        <v>153</v>
      </c>
      <c r="D1078" s="98" t="s">
        <v>951</v>
      </c>
      <c r="E1078" s="161" t="s">
        <v>1466</v>
      </c>
      <c r="F1078" s="98" t="s">
        <v>1467</v>
      </c>
      <c r="G1078" s="172" t="s">
        <v>346</v>
      </c>
      <c r="H1078" s="100" t="s">
        <v>1468</v>
      </c>
      <c r="I1078" s="46" t="e">
        <f>VLOOKUP(H1078,'合同高级查询数据-4月返'!A:A,1,FALSE)</f>
        <v>#N/A</v>
      </c>
      <c r="J1078" s="160" t="s">
        <v>346</v>
      </c>
      <c r="K1078" s="160" t="s">
        <v>1469</v>
      </c>
      <c r="L1078" s="179"/>
      <c r="M1078" s="49"/>
      <c r="N1078" s="180">
        <v>44085</v>
      </c>
      <c r="O1078" s="181" t="s">
        <v>1470</v>
      </c>
      <c r="P1078" s="208">
        <v>115000</v>
      </c>
      <c r="Q1078" s="208">
        <v>2</v>
      </c>
      <c r="R1078" s="118">
        <f t="shared" si="29"/>
        <v>230000</v>
      </c>
      <c r="S1078" s="115">
        <v>202304</v>
      </c>
      <c r="T1078" s="191" t="s">
        <v>1471</v>
      </c>
      <c r="U1078" s="186"/>
      <c r="V1078" s="120"/>
      <c r="W1078" s="120"/>
      <c r="X1078" s="116">
        <v>44085</v>
      </c>
      <c r="Y1078" s="116">
        <v>45179</v>
      </c>
    </row>
    <row r="1079" s="86" customFormat="1" customHeight="1" spans="1:25">
      <c r="A1079" s="135" t="s">
        <v>448</v>
      </c>
      <c r="B1079" s="11" t="s">
        <v>62</v>
      </c>
      <c r="C1079" s="135" t="s">
        <v>153</v>
      </c>
      <c r="D1079" s="135" t="s">
        <v>951</v>
      </c>
      <c r="E1079" s="170" t="s">
        <v>1466</v>
      </c>
      <c r="F1079" s="135" t="s">
        <v>1467</v>
      </c>
      <c r="G1079" s="171" t="s">
        <v>67</v>
      </c>
      <c r="H1079" s="103" t="s">
        <v>1472</v>
      </c>
      <c r="I1079" s="30" t="e">
        <f>VLOOKUP(H1079,'合同高级查询数据-4月返'!A:A,1,FALSE)</f>
        <v>#N/A</v>
      </c>
      <c r="J1079" s="134" t="s">
        <v>69</v>
      </c>
      <c r="K1079" s="134" t="s">
        <v>1467</v>
      </c>
      <c r="L1079" s="174"/>
      <c r="M1079" s="113"/>
      <c r="N1079" s="175">
        <v>42575</v>
      </c>
      <c r="O1079" s="176" t="s">
        <v>71</v>
      </c>
      <c r="P1079" s="209">
        <v>1000</v>
      </c>
      <c r="Q1079" s="209">
        <v>16</v>
      </c>
      <c r="R1079" s="130">
        <f t="shared" si="29"/>
        <v>16000</v>
      </c>
      <c r="S1079" s="127">
        <v>202304</v>
      </c>
      <c r="T1079" s="211" t="s">
        <v>1473</v>
      </c>
      <c r="U1079" s="211"/>
      <c r="V1079" s="159"/>
      <c r="W1079" s="159"/>
      <c r="X1079" s="131"/>
      <c r="Y1079" s="131"/>
    </row>
    <row r="1080" s="86" customFormat="1" customHeight="1" spans="1:25">
      <c r="A1080" s="135" t="s">
        <v>448</v>
      </c>
      <c r="B1080" s="11" t="s">
        <v>62</v>
      </c>
      <c r="C1080" s="135" t="s">
        <v>153</v>
      </c>
      <c r="D1080" s="135" t="s">
        <v>951</v>
      </c>
      <c r="E1080" s="170" t="s">
        <v>1466</v>
      </c>
      <c r="F1080" s="135" t="s">
        <v>1467</v>
      </c>
      <c r="G1080" s="171" t="s">
        <v>67</v>
      </c>
      <c r="H1080" s="103" t="s">
        <v>1472</v>
      </c>
      <c r="I1080" s="30" t="e">
        <f>VLOOKUP(H1080,'合同高级查询数据-4月返'!A:A,1,FALSE)</f>
        <v>#N/A</v>
      </c>
      <c r="J1080" s="134" t="s">
        <v>69</v>
      </c>
      <c r="K1080" s="134" t="s">
        <v>1467</v>
      </c>
      <c r="L1080" s="174"/>
      <c r="M1080" s="113"/>
      <c r="N1080" s="175">
        <v>43671</v>
      </c>
      <c r="O1080" s="176" t="s">
        <v>71</v>
      </c>
      <c r="P1080" s="209">
        <v>1000</v>
      </c>
      <c r="Q1080" s="209">
        <v>12</v>
      </c>
      <c r="R1080" s="130">
        <f t="shared" si="29"/>
        <v>12000</v>
      </c>
      <c r="S1080" s="127">
        <v>202304</v>
      </c>
      <c r="T1080" s="211" t="s">
        <v>1474</v>
      </c>
      <c r="U1080" s="211"/>
      <c r="V1080" s="159"/>
      <c r="W1080" s="159"/>
      <c r="X1080" s="131"/>
      <c r="Y1080" s="131"/>
    </row>
    <row r="1081" s="86" customFormat="1" customHeight="1" spans="1:25">
      <c r="A1081" s="135" t="s">
        <v>448</v>
      </c>
      <c r="B1081" s="11" t="s">
        <v>62</v>
      </c>
      <c r="C1081" s="135" t="s">
        <v>153</v>
      </c>
      <c r="D1081" s="135" t="s">
        <v>951</v>
      </c>
      <c r="E1081" s="170" t="s">
        <v>1466</v>
      </c>
      <c r="F1081" s="135" t="s">
        <v>1467</v>
      </c>
      <c r="G1081" s="171" t="s">
        <v>67</v>
      </c>
      <c r="H1081" s="103" t="s">
        <v>1472</v>
      </c>
      <c r="I1081" s="30" t="e">
        <f>VLOOKUP(H1081,'合同高级查询数据-4月返'!A:A,1,FALSE)</f>
        <v>#N/A</v>
      </c>
      <c r="J1081" s="134" t="s">
        <v>69</v>
      </c>
      <c r="K1081" s="134" t="s">
        <v>1467</v>
      </c>
      <c r="L1081" s="174"/>
      <c r="M1081" s="113"/>
      <c r="N1081" s="175">
        <v>43831</v>
      </c>
      <c r="O1081" s="176" t="s">
        <v>71</v>
      </c>
      <c r="P1081" s="209">
        <v>1000</v>
      </c>
      <c r="Q1081" s="209">
        <v>10</v>
      </c>
      <c r="R1081" s="130">
        <f t="shared" si="29"/>
        <v>10000</v>
      </c>
      <c r="S1081" s="127">
        <v>202304</v>
      </c>
      <c r="T1081" s="211" t="s">
        <v>1475</v>
      </c>
      <c r="U1081" s="211"/>
      <c r="V1081" s="159"/>
      <c r="W1081" s="159"/>
      <c r="X1081" s="131"/>
      <c r="Y1081" s="131"/>
    </row>
    <row r="1082" s="86" customFormat="1" customHeight="1" spans="1:25">
      <c r="A1082" s="135" t="s">
        <v>448</v>
      </c>
      <c r="B1082" s="11" t="s">
        <v>62</v>
      </c>
      <c r="C1082" s="135" t="s">
        <v>153</v>
      </c>
      <c r="D1082" s="135" t="s">
        <v>951</v>
      </c>
      <c r="E1082" s="170" t="s">
        <v>1466</v>
      </c>
      <c r="F1082" s="135" t="s">
        <v>1467</v>
      </c>
      <c r="G1082" s="171" t="s">
        <v>67</v>
      </c>
      <c r="H1082" s="103" t="s">
        <v>1472</v>
      </c>
      <c r="I1082" s="30" t="e">
        <f>VLOOKUP(H1082,'合同高级查询数据-4月返'!A:A,1,FALSE)</f>
        <v>#N/A</v>
      </c>
      <c r="J1082" s="134" t="s">
        <v>69</v>
      </c>
      <c r="K1082" s="134" t="s">
        <v>1467</v>
      </c>
      <c r="L1082" s="174"/>
      <c r="M1082" s="113"/>
      <c r="N1082" s="175">
        <v>44440</v>
      </c>
      <c r="O1082" s="176" t="s">
        <v>71</v>
      </c>
      <c r="P1082" s="209">
        <v>1000</v>
      </c>
      <c r="Q1082" s="209">
        <v>6</v>
      </c>
      <c r="R1082" s="130">
        <f t="shared" si="29"/>
        <v>6000</v>
      </c>
      <c r="S1082" s="127">
        <v>202304</v>
      </c>
      <c r="T1082" s="211" t="s">
        <v>1476</v>
      </c>
      <c r="U1082" s="211"/>
      <c r="V1082" s="159"/>
      <c r="W1082" s="159"/>
      <c r="X1082" s="131"/>
      <c r="Y1082" s="131"/>
    </row>
    <row r="1083" s="86" customFormat="1" customHeight="1" spans="1:25">
      <c r="A1083" s="135" t="s">
        <v>448</v>
      </c>
      <c r="B1083" s="11" t="s">
        <v>62</v>
      </c>
      <c r="C1083" s="135" t="s">
        <v>153</v>
      </c>
      <c r="D1083" s="135" t="s">
        <v>951</v>
      </c>
      <c r="E1083" s="170" t="s">
        <v>1466</v>
      </c>
      <c r="F1083" s="135" t="s">
        <v>1467</v>
      </c>
      <c r="G1083" s="171" t="s">
        <v>88</v>
      </c>
      <c r="H1083" s="103" t="s">
        <v>1472</v>
      </c>
      <c r="I1083" s="30" t="e">
        <f>VLOOKUP(H1083,'合同高级查询数据-4月返'!A:A,1,FALSE)</f>
        <v>#N/A</v>
      </c>
      <c r="J1083" s="134" t="s">
        <v>1287</v>
      </c>
      <c r="K1083" s="134" t="s">
        <v>1467</v>
      </c>
      <c r="L1083" s="174" t="s">
        <v>1477</v>
      </c>
      <c r="M1083" s="113" t="s">
        <v>1478</v>
      </c>
      <c r="N1083" s="175" t="s">
        <v>1479</v>
      </c>
      <c r="O1083" s="176" t="s">
        <v>92</v>
      </c>
      <c r="P1083" s="209">
        <v>4500</v>
      </c>
      <c r="Q1083" s="209">
        <v>2</v>
      </c>
      <c r="R1083" s="130">
        <f t="shared" si="29"/>
        <v>9000</v>
      </c>
      <c r="S1083" s="127">
        <v>202304</v>
      </c>
      <c r="T1083" s="211" t="s">
        <v>1480</v>
      </c>
      <c r="U1083" s="211"/>
      <c r="V1083" s="159"/>
      <c r="W1083" s="159"/>
      <c r="X1083" s="131"/>
      <c r="Y1083" s="131"/>
    </row>
    <row r="1084" s="86" customFormat="1" customHeight="1" spans="1:25">
      <c r="A1084" s="135" t="s">
        <v>448</v>
      </c>
      <c r="B1084" s="11" t="s">
        <v>62</v>
      </c>
      <c r="C1084" s="135" t="s">
        <v>153</v>
      </c>
      <c r="D1084" s="135" t="s">
        <v>951</v>
      </c>
      <c r="E1084" s="170" t="s">
        <v>1466</v>
      </c>
      <c r="F1084" s="135" t="s">
        <v>1467</v>
      </c>
      <c r="G1084" s="171" t="s">
        <v>88</v>
      </c>
      <c r="H1084" s="103" t="s">
        <v>1472</v>
      </c>
      <c r="I1084" s="30" t="e">
        <f>VLOOKUP(H1084,'合同高级查询数据-4月返'!A:A,1,FALSE)</f>
        <v>#N/A</v>
      </c>
      <c r="J1084" s="134" t="s">
        <v>1287</v>
      </c>
      <c r="K1084" s="134" t="s">
        <v>1467</v>
      </c>
      <c r="L1084" s="174" t="s">
        <v>1477</v>
      </c>
      <c r="M1084" s="113" t="s">
        <v>1478</v>
      </c>
      <c r="N1084" s="175">
        <v>44197</v>
      </c>
      <c r="O1084" s="176" t="s">
        <v>92</v>
      </c>
      <c r="P1084" s="209">
        <v>4500</v>
      </c>
      <c r="Q1084" s="209">
        <v>1</v>
      </c>
      <c r="R1084" s="130">
        <f t="shared" si="29"/>
        <v>4500</v>
      </c>
      <c r="S1084" s="127">
        <v>202304</v>
      </c>
      <c r="T1084" s="236" t="s">
        <v>1481</v>
      </c>
      <c r="U1084" s="211"/>
      <c r="V1084" s="159"/>
      <c r="W1084" s="159"/>
      <c r="X1084" s="131"/>
      <c r="Y1084" s="131"/>
    </row>
    <row r="1085" s="86" customFormat="1" customHeight="1" spans="1:25">
      <c r="A1085" s="135" t="s">
        <v>448</v>
      </c>
      <c r="B1085" s="11" t="s">
        <v>62</v>
      </c>
      <c r="C1085" s="135" t="s">
        <v>153</v>
      </c>
      <c r="D1085" s="135" t="s">
        <v>951</v>
      </c>
      <c r="E1085" s="170" t="s">
        <v>1466</v>
      </c>
      <c r="F1085" s="135" t="s">
        <v>1467</v>
      </c>
      <c r="G1085" s="171" t="s">
        <v>88</v>
      </c>
      <c r="H1085" s="103" t="s">
        <v>1472</v>
      </c>
      <c r="I1085" s="30" t="e">
        <f>VLOOKUP(H1085,'合同高级查询数据-4月返'!A:A,1,FALSE)</f>
        <v>#N/A</v>
      </c>
      <c r="J1085" s="134" t="s">
        <v>1287</v>
      </c>
      <c r="K1085" s="134" t="s">
        <v>1467</v>
      </c>
      <c r="L1085" s="174" t="s">
        <v>1477</v>
      </c>
      <c r="M1085" s="113" t="s">
        <v>1478</v>
      </c>
      <c r="N1085" s="175" t="s">
        <v>1329</v>
      </c>
      <c r="O1085" s="176" t="s">
        <v>92</v>
      </c>
      <c r="P1085" s="209">
        <v>0</v>
      </c>
      <c r="Q1085" s="209">
        <v>1</v>
      </c>
      <c r="R1085" s="130">
        <f t="shared" si="29"/>
        <v>0</v>
      </c>
      <c r="S1085" s="127">
        <v>202304</v>
      </c>
      <c r="T1085" s="211" t="s">
        <v>1482</v>
      </c>
      <c r="U1085" s="211"/>
      <c r="V1085" s="159"/>
      <c r="W1085" s="159"/>
      <c r="X1085" s="131"/>
      <c r="Y1085" s="131"/>
    </row>
    <row r="1086" s="86" customFormat="1" customHeight="1" spans="1:25">
      <c r="A1086" s="135" t="s">
        <v>448</v>
      </c>
      <c r="B1086" s="11" t="s">
        <v>62</v>
      </c>
      <c r="C1086" s="135" t="s">
        <v>153</v>
      </c>
      <c r="D1086" s="135" t="s">
        <v>951</v>
      </c>
      <c r="E1086" s="170" t="s">
        <v>1466</v>
      </c>
      <c r="F1086" s="135" t="s">
        <v>1467</v>
      </c>
      <c r="G1086" s="171" t="s">
        <v>31</v>
      </c>
      <c r="H1086" s="103" t="s">
        <v>1472</v>
      </c>
      <c r="I1086" s="30" t="e">
        <f>VLOOKUP(H1086,'合同高级查询数据-4月返'!A:A,1,FALSE)</f>
        <v>#N/A</v>
      </c>
      <c r="J1086" s="134" t="s">
        <v>1273</v>
      </c>
      <c r="K1086" s="134" t="s">
        <v>1467</v>
      </c>
      <c r="L1086" s="174" t="s">
        <v>1477</v>
      </c>
      <c r="M1086" s="113"/>
      <c r="N1086" s="175"/>
      <c r="O1086" s="176"/>
      <c r="P1086" s="209">
        <v>0</v>
      </c>
      <c r="Q1086" s="209">
        <v>32</v>
      </c>
      <c r="R1086" s="130">
        <f t="shared" si="29"/>
        <v>0</v>
      </c>
      <c r="S1086" s="127">
        <v>202304</v>
      </c>
      <c r="T1086" s="211" t="s">
        <v>1483</v>
      </c>
      <c r="U1086" s="211"/>
      <c r="V1086" s="159"/>
      <c r="W1086" s="159"/>
      <c r="X1086" s="131"/>
      <c r="Y1086" s="131"/>
    </row>
    <row r="1087" s="86" customFormat="1" customHeight="1" spans="1:25">
      <c r="A1087" s="135" t="s">
        <v>448</v>
      </c>
      <c r="B1087" s="11" t="s">
        <v>62</v>
      </c>
      <c r="C1087" s="135" t="s">
        <v>153</v>
      </c>
      <c r="D1087" s="135" t="s">
        <v>951</v>
      </c>
      <c r="E1087" s="170" t="s">
        <v>1466</v>
      </c>
      <c r="F1087" s="135" t="s">
        <v>1467</v>
      </c>
      <c r="G1087" s="171" t="s">
        <v>31</v>
      </c>
      <c r="H1087" s="103" t="s">
        <v>1472</v>
      </c>
      <c r="I1087" s="30" t="e">
        <f>VLOOKUP(H1087,'合同高级查询数据-4月返'!A:A,1,FALSE)</f>
        <v>#N/A</v>
      </c>
      <c r="J1087" s="134" t="s">
        <v>1273</v>
      </c>
      <c r="K1087" s="134" t="s">
        <v>1467</v>
      </c>
      <c r="L1087" s="174" t="s">
        <v>1477</v>
      </c>
      <c r="M1087" s="113"/>
      <c r="N1087" s="175"/>
      <c r="O1087" s="176"/>
      <c r="P1087" s="209">
        <v>30</v>
      </c>
      <c r="Q1087" s="209">
        <v>736</v>
      </c>
      <c r="R1087" s="130">
        <f t="shared" si="29"/>
        <v>22080</v>
      </c>
      <c r="S1087" s="127">
        <v>202304</v>
      </c>
      <c r="T1087" s="211" t="s">
        <v>1483</v>
      </c>
      <c r="U1087" s="211"/>
      <c r="V1087" s="159"/>
      <c r="W1087" s="159"/>
      <c r="X1087" s="131"/>
      <c r="Y1087" s="131"/>
    </row>
    <row r="1088" s="86" customFormat="1" customHeight="1" spans="1:25">
      <c r="A1088" s="135" t="s">
        <v>448</v>
      </c>
      <c r="B1088" s="11" t="s">
        <v>62</v>
      </c>
      <c r="C1088" s="135" t="s">
        <v>153</v>
      </c>
      <c r="D1088" s="135" t="s">
        <v>951</v>
      </c>
      <c r="E1088" s="170" t="s">
        <v>1466</v>
      </c>
      <c r="F1088" s="135" t="s">
        <v>1467</v>
      </c>
      <c r="G1088" s="171" t="s">
        <v>88</v>
      </c>
      <c r="H1088" s="103" t="s">
        <v>1472</v>
      </c>
      <c r="I1088" s="30" t="e">
        <f>VLOOKUP(H1088,'合同高级查询数据-4月返'!A:A,1,FALSE)</f>
        <v>#N/A</v>
      </c>
      <c r="J1088" s="134" t="s">
        <v>162</v>
      </c>
      <c r="K1088" s="134" t="s">
        <v>1484</v>
      </c>
      <c r="L1088" s="110" t="s">
        <v>1484</v>
      </c>
      <c r="M1088" s="113" t="s">
        <v>1485</v>
      </c>
      <c r="N1088" s="175">
        <v>43671</v>
      </c>
      <c r="O1088" s="176" t="s">
        <v>92</v>
      </c>
      <c r="P1088" s="209"/>
      <c r="Q1088" s="209">
        <v>8</v>
      </c>
      <c r="R1088" s="130">
        <f t="shared" si="29"/>
        <v>0</v>
      </c>
      <c r="S1088" s="127">
        <v>202304</v>
      </c>
      <c r="T1088" s="211" t="s">
        <v>1486</v>
      </c>
      <c r="U1088" s="211"/>
      <c r="V1088" s="159"/>
      <c r="W1088" s="159"/>
      <c r="X1088" s="131"/>
      <c r="Y1088" s="131"/>
    </row>
    <row r="1089" s="86" customFormat="1" customHeight="1" spans="1:25">
      <c r="A1089" s="135" t="s">
        <v>448</v>
      </c>
      <c r="B1089" s="11" t="s">
        <v>62</v>
      </c>
      <c r="C1089" s="135" t="s">
        <v>153</v>
      </c>
      <c r="D1089" s="135" t="s">
        <v>951</v>
      </c>
      <c r="E1089" s="170" t="s">
        <v>1466</v>
      </c>
      <c r="F1089" s="135" t="s">
        <v>1467</v>
      </c>
      <c r="G1089" s="171" t="s">
        <v>88</v>
      </c>
      <c r="H1089" s="103" t="s">
        <v>1472</v>
      </c>
      <c r="I1089" s="30" t="e">
        <f>VLOOKUP(H1089,'合同高级查询数据-4月返'!A:A,1,FALSE)</f>
        <v>#N/A</v>
      </c>
      <c r="J1089" s="134" t="s">
        <v>162</v>
      </c>
      <c r="K1089" s="134" t="s">
        <v>1487</v>
      </c>
      <c r="L1089" s="110" t="s">
        <v>1488</v>
      </c>
      <c r="M1089" s="113" t="s">
        <v>1489</v>
      </c>
      <c r="N1089" s="175"/>
      <c r="O1089" s="176" t="s">
        <v>92</v>
      </c>
      <c r="P1089" s="209"/>
      <c r="Q1089" s="209">
        <v>10</v>
      </c>
      <c r="R1089" s="130">
        <f t="shared" si="29"/>
        <v>0</v>
      </c>
      <c r="S1089" s="127">
        <v>202304</v>
      </c>
      <c r="T1089" s="211" t="s">
        <v>1490</v>
      </c>
      <c r="U1089" s="211"/>
      <c r="V1089" s="159"/>
      <c r="W1089" s="159"/>
      <c r="X1089" s="131"/>
      <c r="Y1089" s="131"/>
    </row>
    <row r="1090" s="86" customFormat="1" customHeight="1" spans="1:25">
      <c r="A1090" s="135" t="s">
        <v>448</v>
      </c>
      <c r="B1090" s="11" t="s">
        <v>62</v>
      </c>
      <c r="C1090" s="135" t="s">
        <v>153</v>
      </c>
      <c r="D1090" s="135" t="s">
        <v>951</v>
      </c>
      <c r="E1090" s="170" t="s">
        <v>1466</v>
      </c>
      <c r="F1090" s="135" t="s">
        <v>1467</v>
      </c>
      <c r="G1090" s="171" t="s">
        <v>88</v>
      </c>
      <c r="H1090" s="103" t="s">
        <v>1472</v>
      </c>
      <c r="I1090" s="30" t="e">
        <f>VLOOKUP(H1090,'合同高级查询数据-4月返'!A:A,1,FALSE)</f>
        <v>#N/A</v>
      </c>
      <c r="J1090" s="134" t="s">
        <v>162</v>
      </c>
      <c r="K1090" s="134" t="s">
        <v>1487</v>
      </c>
      <c r="L1090" s="110" t="s">
        <v>1488</v>
      </c>
      <c r="M1090" s="113" t="s">
        <v>1489</v>
      </c>
      <c r="N1090" s="175">
        <v>44377</v>
      </c>
      <c r="O1090" s="176" t="s">
        <v>92</v>
      </c>
      <c r="P1090" s="209"/>
      <c r="Q1090" s="209">
        <v>-7</v>
      </c>
      <c r="R1090" s="130">
        <f t="shared" si="29"/>
        <v>0</v>
      </c>
      <c r="S1090" s="127">
        <v>202304</v>
      </c>
      <c r="T1090" s="211" t="s">
        <v>1491</v>
      </c>
      <c r="U1090" s="211"/>
      <c r="V1090" s="159"/>
      <c r="W1090" s="159"/>
      <c r="X1090" s="131"/>
      <c r="Y1090" s="131"/>
    </row>
    <row r="1091" s="86" customFormat="1" customHeight="1" spans="1:25">
      <c r="A1091" s="135" t="s">
        <v>448</v>
      </c>
      <c r="B1091" s="11" t="s">
        <v>62</v>
      </c>
      <c r="C1091" s="135" t="s">
        <v>153</v>
      </c>
      <c r="D1091" s="135" t="s">
        <v>951</v>
      </c>
      <c r="E1091" s="170" t="s">
        <v>1466</v>
      </c>
      <c r="F1091" s="135" t="s">
        <v>1467</v>
      </c>
      <c r="G1091" s="171" t="s">
        <v>31</v>
      </c>
      <c r="H1091" s="103" t="s">
        <v>1472</v>
      </c>
      <c r="I1091" s="30" t="e">
        <f>VLOOKUP(H1091,'合同高级查询数据-4月返'!A:A,1,FALSE)</f>
        <v>#N/A</v>
      </c>
      <c r="J1091" s="134" t="s">
        <v>33</v>
      </c>
      <c r="K1091" s="134" t="s">
        <v>1492</v>
      </c>
      <c r="L1091" s="174" t="s">
        <v>1493</v>
      </c>
      <c r="M1091" s="113" t="s">
        <v>1489</v>
      </c>
      <c r="N1091" s="175" t="s">
        <v>1329</v>
      </c>
      <c r="O1091" s="176" t="s">
        <v>37</v>
      </c>
      <c r="P1091" s="209"/>
      <c r="Q1091" s="209">
        <v>288</v>
      </c>
      <c r="R1091" s="130">
        <f t="shared" si="29"/>
        <v>0</v>
      </c>
      <c r="S1091" s="127">
        <v>202304</v>
      </c>
      <c r="T1091" s="211" t="s">
        <v>1494</v>
      </c>
      <c r="U1091" s="211"/>
      <c r="V1091" s="159"/>
      <c r="W1091" s="159"/>
      <c r="X1091" s="131"/>
      <c r="Y1091" s="131"/>
    </row>
    <row r="1092" s="86" customFormat="1" customHeight="1" spans="1:25">
      <c r="A1092" s="135" t="s">
        <v>448</v>
      </c>
      <c r="B1092" s="11" t="s">
        <v>62</v>
      </c>
      <c r="C1092" s="135" t="s">
        <v>153</v>
      </c>
      <c r="D1092" s="135" t="s">
        <v>951</v>
      </c>
      <c r="E1092" s="170" t="s">
        <v>1466</v>
      </c>
      <c r="F1092" s="135" t="s">
        <v>1467</v>
      </c>
      <c r="G1092" s="171" t="s">
        <v>31</v>
      </c>
      <c r="H1092" s="103" t="s">
        <v>1472</v>
      </c>
      <c r="I1092" s="30" t="e">
        <f>VLOOKUP(H1092,'合同高级查询数据-4月返'!A:A,1,FALSE)</f>
        <v>#N/A</v>
      </c>
      <c r="J1092" s="134" t="s">
        <v>33</v>
      </c>
      <c r="K1092" s="134" t="s">
        <v>1492</v>
      </c>
      <c r="L1092" s="174" t="s">
        <v>1493</v>
      </c>
      <c r="M1092" s="113" t="s">
        <v>1489</v>
      </c>
      <c r="N1092" s="175">
        <v>44377</v>
      </c>
      <c r="O1092" s="176" t="s">
        <v>37</v>
      </c>
      <c r="P1092" s="209"/>
      <c r="Q1092" s="209">
        <v>-288</v>
      </c>
      <c r="R1092" s="130">
        <f t="shared" si="29"/>
        <v>0</v>
      </c>
      <c r="S1092" s="127">
        <v>202304</v>
      </c>
      <c r="T1092" s="236" t="s">
        <v>1495</v>
      </c>
      <c r="U1092" s="211"/>
      <c r="V1092" s="159"/>
      <c r="W1092" s="159"/>
      <c r="X1092" s="131"/>
      <c r="Y1092" s="131"/>
    </row>
    <row r="1093" s="86" customFormat="1" customHeight="1" spans="1:25">
      <c r="A1093" s="135" t="s">
        <v>448</v>
      </c>
      <c r="B1093" s="11" t="s">
        <v>62</v>
      </c>
      <c r="C1093" s="135" t="s">
        <v>153</v>
      </c>
      <c r="D1093" s="135" t="s">
        <v>951</v>
      </c>
      <c r="E1093" s="170" t="s">
        <v>1466</v>
      </c>
      <c r="F1093" s="135" t="s">
        <v>1467</v>
      </c>
      <c r="G1093" s="171" t="s">
        <v>88</v>
      </c>
      <c r="H1093" s="103" t="s">
        <v>1472</v>
      </c>
      <c r="I1093" s="30" t="e">
        <f>VLOOKUP(H1093,'合同高级查询数据-4月返'!A:A,1,FALSE)</f>
        <v>#N/A</v>
      </c>
      <c r="J1093" s="134" t="s">
        <v>162</v>
      </c>
      <c r="K1093" s="134" t="s">
        <v>1487</v>
      </c>
      <c r="L1093" s="110" t="s">
        <v>1488</v>
      </c>
      <c r="M1093" s="113" t="s">
        <v>1489</v>
      </c>
      <c r="N1093" s="175"/>
      <c r="O1093" s="176" t="s">
        <v>92</v>
      </c>
      <c r="P1093" s="209"/>
      <c r="Q1093" s="209">
        <v>17</v>
      </c>
      <c r="R1093" s="130">
        <f t="shared" si="29"/>
        <v>0</v>
      </c>
      <c r="S1093" s="127">
        <v>202304</v>
      </c>
      <c r="T1093" s="211" t="s">
        <v>1496</v>
      </c>
      <c r="U1093" s="211"/>
      <c r="V1093" s="159"/>
      <c r="W1093" s="159"/>
      <c r="X1093" s="131"/>
      <c r="Y1093" s="131"/>
    </row>
    <row r="1094" s="86" customFormat="1" customHeight="1" spans="1:25">
      <c r="A1094" s="135" t="s">
        <v>448</v>
      </c>
      <c r="B1094" s="11" t="s">
        <v>62</v>
      </c>
      <c r="C1094" s="135" t="s">
        <v>153</v>
      </c>
      <c r="D1094" s="135" t="s">
        <v>951</v>
      </c>
      <c r="E1094" s="170" t="s">
        <v>1466</v>
      </c>
      <c r="F1094" s="135" t="s">
        <v>1467</v>
      </c>
      <c r="G1094" s="171" t="s">
        <v>31</v>
      </c>
      <c r="H1094" s="103" t="s">
        <v>1472</v>
      </c>
      <c r="I1094" s="30" t="e">
        <f>VLOOKUP(H1094,'合同高级查询数据-4月返'!A:A,1,FALSE)</f>
        <v>#N/A</v>
      </c>
      <c r="J1094" s="134" t="s">
        <v>33</v>
      </c>
      <c r="K1094" s="134" t="s">
        <v>1487</v>
      </c>
      <c r="L1094" s="134" t="s">
        <v>1487</v>
      </c>
      <c r="M1094" s="113" t="s">
        <v>1489</v>
      </c>
      <c r="N1094" s="175" t="s">
        <v>1329</v>
      </c>
      <c r="O1094" s="176" t="s">
        <v>37</v>
      </c>
      <c r="P1094" s="209"/>
      <c r="Q1094" s="209">
        <v>512</v>
      </c>
      <c r="R1094" s="130">
        <f t="shared" si="29"/>
        <v>0</v>
      </c>
      <c r="S1094" s="127">
        <v>202304</v>
      </c>
      <c r="T1094" s="211" t="s">
        <v>1497</v>
      </c>
      <c r="U1094" s="211"/>
      <c r="V1094" s="159"/>
      <c r="W1094" s="159"/>
      <c r="X1094" s="131"/>
      <c r="Y1094" s="131"/>
    </row>
    <row r="1095" s="86" customFormat="1" customHeight="1" spans="1:25">
      <c r="A1095" s="135" t="s">
        <v>448</v>
      </c>
      <c r="B1095" s="11" t="s">
        <v>62</v>
      </c>
      <c r="C1095" s="135" t="s">
        <v>153</v>
      </c>
      <c r="D1095" s="135" t="s">
        <v>951</v>
      </c>
      <c r="E1095" s="170" t="s">
        <v>1466</v>
      </c>
      <c r="F1095" s="135" t="s">
        <v>1467</v>
      </c>
      <c r="G1095" s="171" t="s">
        <v>31</v>
      </c>
      <c r="H1095" s="103" t="s">
        <v>1472</v>
      </c>
      <c r="I1095" s="30" t="e">
        <f>VLOOKUP(H1095,'合同高级查询数据-4月返'!A:A,1,FALSE)</f>
        <v>#N/A</v>
      </c>
      <c r="J1095" s="134" t="s">
        <v>33</v>
      </c>
      <c r="K1095" s="134" t="s">
        <v>1487</v>
      </c>
      <c r="L1095" s="134" t="s">
        <v>1487</v>
      </c>
      <c r="M1095" s="113" t="s">
        <v>1489</v>
      </c>
      <c r="N1095" s="175">
        <v>44153</v>
      </c>
      <c r="O1095" s="176" t="s">
        <v>37</v>
      </c>
      <c r="P1095" s="209"/>
      <c r="Q1095" s="209">
        <v>256</v>
      </c>
      <c r="R1095" s="130">
        <f t="shared" si="29"/>
        <v>0</v>
      </c>
      <c r="S1095" s="127">
        <v>202304</v>
      </c>
      <c r="T1095" s="211" t="s">
        <v>1498</v>
      </c>
      <c r="U1095" s="211"/>
      <c r="V1095" s="159"/>
      <c r="W1095" s="159"/>
      <c r="X1095" s="131"/>
      <c r="Y1095" s="131"/>
    </row>
    <row r="1096" s="86" customFormat="1" customHeight="1" spans="1:25">
      <c r="A1096" s="135" t="s">
        <v>448</v>
      </c>
      <c r="B1096" s="11" t="s">
        <v>62</v>
      </c>
      <c r="C1096" s="135" t="s">
        <v>153</v>
      </c>
      <c r="D1096" s="135" t="s">
        <v>951</v>
      </c>
      <c r="E1096" s="170" t="s">
        <v>1466</v>
      </c>
      <c r="F1096" s="135" t="s">
        <v>1467</v>
      </c>
      <c r="G1096" s="171" t="s">
        <v>88</v>
      </c>
      <c r="H1096" s="103" t="s">
        <v>1472</v>
      </c>
      <c r="I1096" s="30" t="e">
        <f>VLOOKUP(H1096,'合同高级查询数据-4月返'!A:A,1,FALSE)</f>
        <v>#N/A</v>
      </c>
      <c r="J1096" s="134" t="s">
        <v>162</v>
      </c>
      <c r="K1096" s="134" t="s">
        <v>1484</v>
      </c>
      <c r="L1096" s="110" t="s">
        <v>1484</v>
      </c>
      <c r="M1096" s="113" t="s">
        <v>1485</v>
      </c>
      <c r="N1096" s="175">
        <v>44158</v>
      </c>
      <c r="O1096" s="176" t="s">
        <v>92</v>
      </c>
      <c r="P1096" s="209"/>
      <c r="Q1096" s="209">
        <v>-3</v>
      </c>
      <c r="R1096" s="130">
        <f t="shared" si="29"/>
        <v>0</v>
      </c>
      <c r="S1096" s="127">
        <v>202304</v>
      </c>
      <c r="T1096" s="211" t="s">
        <v>1499</v>
      </c>
      <c r="U1096" s="211"/>
      <c r="V1096" s="159"/>
      <c r="W1096" s="159"/>
      <c r="X1096" s="131"/>
      <c r="Y1096" s="131"/>
    </row>
    <row r="1097" s="86" customFormat="1" customHeight="1" spans="1:25">
      <c r="A1097" s="135" t="s">
        <v>448</v>
      </c>
      <c r="B1097" s="11" t="s">
        <v>62</v>
      </c>
      <c r="C1097" s="135" t="s">
        <v>153</v>
      </c>
      <c r="D1097" s="135" t="s">
        <v>951</v>
      </c>
      <c r="E1097" s="170" t="s">
        <v>1466</v>
      </c>
      <c r="F1097" s="135" t="s">
        <v>1467</v>
      </c>
      <c r="G1097" s="171" t="s">
        <v>88</v>
      </c>
      <c r="H1097" s="103" t="s">
        <v>1472</v>
      </c>
      <c r="I1097" s="30" t="e">
        <f>VLOOKUP(H1097,'合同高级查询数据-4月返'!A:A,1,FALSE)</f>
        <v>#N/A</v>
      </c>
      <c r="J1097" s="134" t="s">
        <v>162</v>
      </c>
      <c r="K1097" s="134" t="s">
        <v>1484</v>
      </c>
      <c r="L1097" s="110" t="s">
        <v>1484</v>
      </c>
      <c r="M1097" s="113" t="s">
        <v>1485</v>
      </c>
      <c r="N1097" s="175">
        <v>44295</v>
      </c>
      <c r="O1097" s="176" t="s">
        <v>92</v>
      </c>
      <c r="P1097" s="209"/>
      <c r="Q1097" s="209">
        <v>2</v>
      </c>
      <c r="R1097" s="130">
        <f t="shared" si="29"/>
        <v>0</v>
      </c>
      <c r="S1097" s="127">
        <v>202304</v>
      </c>
      <c r="T1097" s="211" t="s">
        <v>1500</v>
      </c>
      <c r="U1097" s="211"/>
      <c r="V1097" s="159"/>
      <c r="W1097" s="159"/>
      <c r="X1097" s="131"/>
      <c r="Y1097" s="131"/>
    </row>
    <row r="1098" s="86" customFormat="1" customHeight="1" spans="1:25">
      <c r="A1098" s="135" t="s">
        <v>448</v>
      </c>
      <c r="B1098" s="11" t="s">
        <v>62</v>
      </c>
      <c r="C1098" s="135" t="s">
        <v>153</v>
      </c>
      <c r="D1098" s="135" t="s">
        <v>951</v>
      </c>
      <c r="E1098" s="170" t="s">
        <v>1466</v>
      </c>
      <c r="F1098" s="135" t="s">
        <v>1467</v>
      </c>
      <c r="G1098" s="171" t="s">
        <v>31</v>
      </c>
      <c r="H1098" s="103" t="s">
        <v>1472</v>
      </c>
      <c r="I1098" s="30" t="e">
        <f>VLOOKUP(H1098,'合同高级查询数据-4月返'!A:A,1,FALSE)</f>
        <v>#N/A</v>
      </c>
      <c r="J1098" s="134" t="s">
        <v>33</v>
      </c>
      <c r="K1098" s="134" t="s">
        <v>1484</v>
      </c>
      <c r="L1098" s="134" t="s">
        <v>1484</v>
      </c>
      <c r="M1098" s="113" t="s">
        <v>1489</v>
      </c>
      <c r="N1098" s="175" t="s">
        <v>1329</v>
      </c>
      <c r="O1098" s="176" t="s">
        <v>37</v>
      </c>
      <c r="P1098" s="209"/>
      <c r="Q1098" s="209">
        <v>544</v>
      </c>
      <c r="R1098" s="130">
        <f t="shared" si="29"/>
        <v>0</v>
      </c>
      <c r="S1098" s="127">
        <v>202304</v>
      </c>
      <c r="T1098" s="211" t="s">
        <v>1501</v>
      </c>
      <c r="U1098" s="211"/>
      <c r="V1098" s="159"/>
      <c r="W1098" s="159"/>
      <c r="X1098" s="131"/>
      <c r="Y1098" s="131"/>
    </row>
    <row r="1099" s="86" customFormat="1" customHeight="1" spans="1:25">
      <c r="A1099" s="135" t="s">
        <v>448</v>
      </c>
      <c r="B1099" s="11" t="s">
        <v>62</v>
      </c>
      <c r="C1099" s="135" t="s">
        <v>153</v>
      </c>
      <c r="D1099" s="135" t="s">
        <v>951</v>
      </c>
      <c r="E1099" s="170" t="s">
        <v>1466</v>
      </c>
      <c r="F1099" s="135" t="s">
        <v>1467</v>
      </c>
      <c r="G1099" s="171" t="s">
        <v>31</v>
      </c>
      <c r="H1099" s="103" t="s">
        <v>1472</v>
      </c>
      <c r="I1099" s="30" t="e">
        <f>VLOOKUP(H1099,'合同高级查询数据-4月返'!A:A,1,FALSE)</f>
        <v>#N/A</v>
      </c>
      <c r="J1099" s="134" t="s">
        <v>33</v>
      </c>
      <c r="K1099" s="134" t="s">
        <v>1484</v>
      </c>
      <c r="L1099" s="134" t="s">
        <v>1484</v>
      </c>
      <c r="M1099" s="113" t="s">
        <v>1489</v>
      </c>
      <c r="N1099" s="175">
        <v>44295</v>
      </c>
      <c r="O1099" s="176" t="s">
        <v>37</v>
      </c>
      <c r="P1099" s="209"/>
      <c r="Q1099" s="209">
        <v>128</v>
      </c>
      <c r="R1099" s="130">
        <f t="shared" si="29"/>
        <v>0</v>
      </c>
      <c r="S1099" s="127">
        <v>202304</v>
      </c>
      <c r="T1099" s="211" t="s">
        <v>1502</v>
      </c>
      <c r="U1099" s="211"/>
      <c r="V1099" s="159"/>
      <c r="W1099" s="159"/>
      <c r="X1099" s="131"/>
      <c r="Y1099" s="131"/>
    </row>
    <row r="1100" s="86" customFormat="1" customHeight="1" spans="1:25">
      <c r="A1100" s="135" t="s">
        <v>448</v>
      </c>
      <c r="B1100" s="11" t="s">
        <v>62</v>
      </c>
      <c r="C1100" s="135" t="s">
        <v>153</v>
      </c>
      <c r="D1100" s="135" t="s">
        <v>951</v>
      </c>
      <c r="E1100" s="170" t="s">
        <v>1466</v>
      </c>
      <c r="F1100" s="135" t="s">
        <v>1467</v>
      </c>
      <c r="G1100" s="171" t="s">
        <v>31</v>
      </c>
      <c r="H1100" s="103" t="s">
        <v>1472</v>
      </c>
      <c r="I1100" s="30" t="e">
        <f>VLOOKUP(H1100,'合同高级查询数据-4月返'!A:A,1,FALSE)</f>
        <v>#N/A</v>
      </c>
      <c r="J1100" s="134" t="s">
        <v>33</v>
      </c>
      <c r="K1100" s="134" t="s">
        <v>1484</v>
      </c>
      <c r="L1100" s="134" t="s">
        <v>1484</v>
      </c>
      <c r="M1100" s="113" t="s">
        <v>1489</v>
      </c>
      <c r="N1100" s="175">
        <v>44421</v>
      </c>
      <c r="O1100" s="176" t="s">
        <v>37</v>
      </c>
      <c r="P1100" s="209"/>
      <c r="Q1100" s="209">
        <v>128</v>
      </c>
      <c r="R1100" s="130">
        <f t="shared" si="29"/>
        <v>0</v>
      </c>
      <c r="S1100" s="127">
        <v>202304</v>
      </c>
      <c r="T1100" s="211" t="s">
        <v>1503</v>
      </c>
      <c r="U1100" s="211"/>
      <c r="V1100" s="159"/>
      <c r="W1100" s="159"/>
      <c r="X1100" s="131"/>
      <c r="Y1100" s="131"/>
    </row>
    <row r="1101" s="86" customFormat="1" customHeight="1" spans="1:25">
      <c r="A1101" s="135" t="s">
        <v>448</v>
      </c>
      <c r="B1101" s="11" t="s">
        <v>62</v>
      </c>
      <c r="C1101" s="135" t="s">
        <v>153</v>
      </c>
      <c r="D1101" s="135" t="s">
        <v>951</v>
      </c>
      <c r="E1101" s="170" t="s">
        <v>1466</v>
      </c>
      <c r="F1101" s="135" t="s">
        <v>1467</v>
      </c>
      <c r="G1101" s="171" t="s">
        <v>31</v>
      </c>
      <c r="H1101" s="103" t="s">
        <v>1472</v>
      </c>
      <c r="I1101" s="30" t="e">
        <f>VLOOKUP(H1101,'合同高级查询数据-4月返'!A:A,1,FALSE)</f>
        <v>#N/A</v>
      </c>
      <c r="J1101" s="134" t="s">
        <v>497</v>
      </c>
      <c r="K1101" s="134" t="s">
        <v>1504</v>
      </c>
      <c r="L1101" s="134" t="s">
        <v>1504</v>
      </c>
      <c r="M1101" s="113" t="s">
        <v>1505</v>
      </c>
      <c r="N1101" s="175" t="s">
        <v>1329</v>
      </c>
      <c r="O1101" s="176" t="s">
        <v>37</v>
      </c>
      <c r="P1101" s="209"/>
      <c r="Q1101" s="209">
        <v>768</v>
      </c>
      <c r="R1101" s="130">
        <f t="shared" si="29"/>
        <v>0</v>
      </c>
      <c r="S1101" s="127">
        <v>202304</v>
      </c>
      <c r="T1101" s="211" t="s">
        <v>1506</v>
      </c>
      <c r="U1101" s="211"/>
      <c r="V1101" s="159"/>
      <c r="W1101" s="159"/>
      <c r="X1101" s="131"/>
      <c r="Y1101" s="131"/>
    </row>
    <row r="1102" s="86" customFormat="1" customHeight="1" spans="1:25">
      <c r="A1102" s="135" t="s">
        <v>448</v>
      </c>
      <c r="B1102" s="11" t="s">
        <v>62</v>
      </c>
      <c r="C1102" s="135" t="s">
        <v>153</v>
      </c>
      <c r="D1102" s="135" t="s">
        <v>951</v>
      </c>
      <c r="E1102" s="170" t="s">
        <v>1466</v>
      </c>
      <c r="F1102" s="135" t="s">
        <v>1467</v>
      </c>
      <c r="G1102" s="171" t="s">
        <v>346</v>
      </c>
      <c r="H1102" s="202" t="s">
        <v>1507</v>
      </c>
      <c r="I1102" s="30" t="e">
        <f>VLOOKUP(H1102,'合同高级查询数据-4月返'!A:A,1,FALSE)</f>
        <v>#N/A</v>
      </c>
      <c r="J1102" s="134" t="s">
        <v>346</v>
      </c>
      <c r="K1102" s="134" t="s">
        <v>1508</v>
      </c>
      <c r="L1102" s="174"/>
      <c r="M1102" s="113"/>
      <c r="N1102" s="175">
        <v>43544</v>
      </c>
      <c r="O1102" s="176" t="s">
        <v>1470</v>
      </c>
      <c r="P1102" s="209">
        <v>75000</v>
      </c>
      <c r="Q1102" s="209">
        <v>2</v>
      </c>
      <c r="R1102" s="130">
        <f t="shared" si="29"/>
        <v>150000</v>
      </c>
      <c r="S1102" s="127">
        <v>202304</v>
      </c>
      <c r="T1102" s="236" t="s">
        <v>1509</v>
      </c>
      <c r="U1102" s="211"/>
      <c r="V1102" s="159"/>
      <c r="W1102" s="159"/>
      <c r="X1102" s="131"/>
      <c r="Y1102" s="131"/>
    </row>
    <row r="1103" s="85" customFormat="1" customHeight="1" spans="1:25">
      <c r="A1103" s="24" t="s">
        <v>448</v>
      </c>
      <c r="B1103" s="98" t="s">
        <v>62</v>
      </c>
      <c r="C1103" s="24" t="s">
        <v>813</v>
      </c>
      <c r="D1103" s="24" t="s">
        <v>642</v>
      </c>
      <c r="E1103" s="23" t="s">
        <v>1510</v>
      </c>
      <c r="F1103" s="24" t="s">
        <v>1511</v>
      </c>
      <c r="G1103" s="24" t="s">
        <v>88</v>
      </c>
      <c r="H1103" s="23" t="s">
        <v>1512</v>
      </c>
      <c r="I1103" s="46" t="e">
        <f>VLOOKUP(H1103,'合同高级查询数据-4月返'!A:A,1,FALSE)</f>
        <v>#N/A</v>
      </c>
      <c r="J1103" s="178" t="s">
        <v>1287</v>
      </c>
      <c r="K1103" s="22" t="s">
        <v>813</v>
      </c>
      <c r="L1103" s="24" t="s">
        <v>1511</v>
      </c>
      <c r="M1103" s="49" t="s">
        <v>1513</v>
      </c>
      <c r="N1103" s="229">
        <v>43040</v>
      </c>
      <c r="O1103" s="237" t="s">
        <v>702</v>
      </c>
      <c r="P1103" s="238">
        <v>5300</v>
      </c>
      <c r="Q1103" s="117">
        <v>10</v>
      </c>
      <c r="R1103" s="117">
        <f t="shared" si="29"/>
        <v>53000</v>
      </c>
      <c r="S1103" s="115">
        <v>202304</v>
      </c>
      <c r="T1103" s="222" t="s">
        <v>1514</v>
      </c>
      <c r="U1103" s="222"/>
      <c r="V1103" s="120"/>
      <c r="W1103" s="120"/>
      <c r="X1103" s="116">
        <v>44197</v>
      </c>
      <c r="Y1103" s="116">
        <v>44926</v>
      </c>
    </row>
    <row r="1104" s="85" customFormat="1" customHeight="1" spans="1:25">
      <c r="A1104" s="24" t="s">
        <v>448</v>
      </c>
      <c r="B1104" s="98" t="s">
        <v>62</v>
      </c>
      <c r="C1104" s="24" t="s">
        <v>813</v>
      </c>
      <c r="D1104" s="24" t="s">
        <v>642</v>
      </c>
      <c r="E1104" s="23" t="s">
        <v>1510</v>
      </c>
      <c r="F1104" s="24" t="s">
        <v>1511</v>
      </c>
      <c r="G1104" s="24" t="s">
        <v>88</v>
      </c>
      <c r="H1104" s="23" t="s">
        <v>1512</v>
      </c>
      <c r="I1104" s="46" t="e">
        <f>VLOOKUP(H1104,'合同高级查询数据-4月返'!A:A,1,FALSE)</f>
        <v>#N/A</v>
      </c>
      <c r="J1104" s="178" t="s">
        <v>1287</v>
      </c>
      <c r="K1104" s="22" t="s">
        <v>813</v>
      </c>
      <c r="L1104" s="24" t="s">
        <v>1511</v>
      </c>
      <c r="M1104" s="49" t="s">
        <v>1513</v>
      </c>
      <c r="N1104" s="229">
        <v>43040</v>
      </c>
      <c r="O1104" s="237" t="s">
        <v>702</v>
      </c>
      <c r="P1104" s="238">
        <v>5300</v>
      </c>
      <c r="Q1104" s="117">
        <v>6</v>
      </c>
      <c r="R1104" s="117">
        <f t="shared" si="29"/>
        <v>31800</v>
      </c>
      <c r="S1104" s="115">
        <v>202304</v>
      </c>
      <c r="T1104" s="200" t="s">
        <v>1515</v>
      </c>
      <c r="U1104" s="200"/>
      <c r="V1104" s="120"/>
      <c r="W1104" s="120"/>
      <c r="X1104" s="116">
        <v>44197</v>
      </c>
      <c r="Y1104" s="116">
        <v>44926</v>
      </c>
    </row>
    <row r="1105" s="85" customFormat="1" customHeight="1" spans="1:25">
      <c r="A1105" s="24" t="s">
        <v>448</v>
      </c>
      <c r="B1105" s="98" t="s">
        <v>62</v>
      </c>
      <c r="C1105" s="24" t="s">
        <v>813</v>
      </c>
      <c r="D1105" s="24" t="s">
        <v>642</v>
      </c>
      <c r="E1105" s="23" t="s">
        <v>1510</v>
      </c>
      <c r="F1105" s="24" t="s">
        <v>1511</v>
      </c>
      <c r="G1105" s="24" t="s">
        <v>88</v>
      </c>
      <c r="H1105" s="23" t="s">
        <v>1512</v>
      </c>
      <c r="I1105" s="46" t="e">
        <f>VLOOKUP(H1105,'合同高级查询数据-4月返'!A:A,1,FALSE)</f>
        <v>#N/A</v>
      </c>
      <c r="J1105" s="178" t="s">
        <v>1287</v>
      </c>
      <c r="K1105" s="22" t="s">
        <v>813</v>
      </c>
      <c r="L1105" s="24" t="s">
        <v>1511</v>
      </c>
      <c r="M1105" s="49" t="s">
        <v>1513</v>
      </c>
      <c r="N1105" s="229">
        <v>43793</v>
      </c>
      <c r="O1105" s="237" t="s">
        <v>702</v>
      </c>
      <c r="P1105" s="238">
        <v>5300</v>
      </c>
      <c r="Q1105" s="117">
        <v>-3</v>
      </c>
      <c r="R1105" s="117">
        <f t="shared" si="29"/>
        <v>-15900</v>
      </c>
      <c r="S1105" s="115">
        <v>202304</v>
      </c>
      <c r="T1105" s="242" t="s">
        <v>1516</v>
      </c>
      <c r="U1105" s="242"/>
      <c r="V1105" s="120"/>
      <c r="W1105" s="120"/>
      <c r="X1105" s="116">
        <v>44197</v>
      </c>
      <c r="Y1105" s="116">
        <v>44926</v>
      </c>
    </row>
    <row r="1106" s="85" customFormat="1" customHeight="1" spans="1:25">
      <c r="A1106" s="24" t="s">
        <v>448</v>
      </c>
      <c r="B1106" s="98" t="s">
        <v>62</v>
      </c>
      <c r="C1106" s="24" t="s">
        <v>813</v>
      </c>
      <c r="D1106" s="24" t="s">
        <v>642</v>
      </c>
      <c r="E1106" s="23" t="s">
        <v>1510</v>
      </c>
      <c r="F1106" s="24" t="s">
        <v>1511</v>
      </c>
      <c r="G1106" s="24" t="s">
        <v>88</v>
      </c>
      <c r="H1106" s="23" t="s">
        <v>1512</v>
      </c>
      <c r="I1106" s="46" t="e">
        <f>VLOOKUP(H1106,'合同高级查询数据-4月返'!A:A,1,FALSE)</f>
        <v>#N/A</v>
      </c>
      <c r="J1106" s="178" t="s">
        <v>1287</v>
      </c>
      <c r="K1106" s="22" t="s">
        <v>813</v>
      </c>
      <c r="L1106" s="24" t="s">
        <v>1511</v>
      </c>
      <c r="M1106" s="49" t="s">
        <v>1513</v>
      </c>
      <c r="N1106" s="229">
        <v>44773</v>
      </c>
      <c r="O1106" s="237" t="s">
        <v>702</v>
      </c>
      <c r="P1106" s="238">
        <v>5300</v>
      </c>
      <c r="Q1106" s="117">
        <v>-13</v>
      </c>
      <c r="R1106" s="117">
        <f t="shared" si="29"/>
        <v>-68900</v>
      </c>
      <c r="S1106" s="115">
        <v>202304</v>
      </c>
      <c r="T1106" s="242" t="s">
        <v>1517</v>
      </c>
      <c r="U1106" s="242"/>
      <c r="V1106" s="120"/>
      <c r="W1106" s="120"/>
      <c r="X1106" s="116">
        <v>44197</v>
      </c>
      <c r="Y1106" s="116">
        <v>44926</v>
      </c>
    </row>
    <row r="1107" s="85" customFormat="1" customHeight="1" spans="1:25">
      <c r="A1107" s="22" t="s">
        <v>448</v>
      </c>
      <c r="B1107" s="98" t="s">
        <v>62</v>
      </c>
      <c r="C1107" s="24" t="s">
        <v>813</v>
      </c>
      <c r="D1107" s="24" t="s">
        <v>642</v>
      </c>
      <c r="E1107" s="46" t="s">
        <v>1510</v>
      </c>
      <c r="F1107" s="22" t="s">
        <v>1518</v>
      </c>
      <c r="G1107" s="25" t="s">
        <v>346</v>
      </c>
      <c r="H1107" s="99" t="s">
        <v>1519</v>
      </c>
      <c r="I1107" s="46" t="e">
        <f>VLOOKUP(H1107,'合同高级查询数据-4月返'!A:A,1,FALSE)</f>
        <v>#N/A</v>
      </c>
      <c r="J1107" s="25" t="s">
        <v>346</v>
      </c>
      <c r="K1107" s="25" t="s">
        <v>1520</v>
      </c>
      <c r="L1107" s="107"/>
      <c r="M1107" s="49"/>
      <c r="N1107" s="73">
        <v>44333</v>
      </c>
      <c r="O1107" s="107" t="s">
        <v>1521</v>
      </c>
      <c r="P1107" s="108">
        <v>4338.6</v>
      </c>
      <c r="Q1107" s="118">
        <v>1</v>
      </c>
      <c r="R1107" s="118">
        <f t="shared" si="29"/>
        <v>4338.6</v>
      </c>
      <c r="S1107" s="115">
        <v>202304</v>
      </c>
      <c r="T1107" s="119" t="s">
        <v>1522</v>
      </c>
      <c r="U1107" s="119"/>
      <c r="V1107" s="121"/>
      <c r="W1107" s="121"/>
      <c r="X1107" s="116">
        <v>44317</v>
      </c>
      <c r="Y1107" s="116">
        <v>45077</v>
      </c>
    </row>
    <row r="1108" s="85" customFormat="1" customHeight="1" spans="1:25">
      <c r="A1108" s="22" t="s">
        <v>448</v>
      </c>
      <c r="B1108" s="98" t="s">
        <v>62</v>
      </c>
      <c r="C1108" s="24" t="s">
        <v>813</v>
      </c>
      <c r="D1108" s="24" t="s">
        <v>642</v>
      </c>
      <c r="E1108" s="46" t="s">
        <v>1510</v>
      </c>
      <c r="F1108" s="22" t="s">
        <v>1518</v>
      </c>
      <c r="G1108" s="25" t="s">
        <v>346</v>
      </c>
      <c r="H1108" s="99" t="s">
        <v>1519</v>
      </c>
      <c r="I1108" s="46" t="e">
        <f>VLOOKUP(H1108,'合同高级查询数据-4月返'!A:A,1,FALSE)</f>
        <v>#N/A</v>
      </c>
      <c r="J1108" s="25" t="s">
        <v>346</v>
      </c>
      <c r="K1108" s="25" t="s">
        <v>1523</v>
      </c>
      <c r="L1108" s="107"/>
      <c r="M1108" s="49"/>
      <c r="N1108" s="73">
        <v>44436</v>
      </c>
      <c r="O1108" s="107" t="s">
        <v>1524</v>
      </c>
      <c r="P1108" s="108">
        <v>3184.5</v>
      </c>
      <c r="Q1108" s="118">
        <v>1</v>
      </c>
      <c r="R1108" s="117">
        <f t="shared" si="29"/>
        <v>3184.5</v>
      </c>
      <c r="S1108" s="115">
        <v>202304</v>
      </c>
      <c r="T1108" s="119" t="s">
        <v>1525</v>
      </c>
      <c r="U1108" s="119"/>
      <c r="V1108" s="121"/>
      <c r="W1108" s="121"/>
      <c r="X1108" s="116">
        <v>44317</v>
      </c>
      <c r="Y1108" s="116">
        <v>45077</v>
      </c>
    </row>
    <row r="1109" s="85" customFormat="1" customHeight="1" spans="1:25">
      <c r="A1109" s="22" t="s">
        <v>448</v>
      </c>
      <c r="B1109" s="98" t="s">
        <v>62</v>
      </c>
      <c r="C1109" s="24" t="s">
        <v>813</v>
      </c>
      <c r="D1109" s="98" t="s">
        <v>642</v>
      </c>
      <c r="E1109" s="46" t="s">
        <v>1510</v>
      </c>
      <c r="F1109" s="22" t="s">
        <v>1518</v>
      </c>
      <c r="G1109" s="25" t="s">
        <v>346</v>
      </c>
      <c r="H1109" s="99" t="s">
        <v>1526</v>
      </c>
      <c r="I1109" s="46" t="e">
        <f>VLOOKUP(H1109,'合同高级查询数据-4月返'!A:A,1,FALSE)</f>
        <v>#N/A</v>
      </c>
      <c r="J1109" s="25" t="s">
        <v>346</v>
      </c>
      <c r="K1109" s="25" t="s">
        <v>1527</v>
      </c>
      <c r="L1109" s="107"/>
      <c r="M1109" s="49"/>
      <c r="N1109" s="73">
        <v>44743</v>
      </c>
      <c r="O1109" s="107" t="s">
        <v>1528</v>
      </c>
      <c r="P1109" s="108">
        <v>47000</v>
      </c>
      <c r="Q1109" s="118">
        <v>1</v>
      </c>
      <c r="R1109" s="117">
        <f t="shared" si="29"/>
        <v>47000</v>
      </c>
      <c r="S1109" s="115">
        <v>202304</v>
      </c>
      <c r="T1109" s="119" t="s">
        <v>1529</v>
      </c>
      <c r="U1109" s="119"/>
      <c r="V1109" s="121"/>
      <c r="W1109" s="121"/>
      <c r="X1109" s="116">
        <v>44743</v>
      </c>
      <c r="Y1109" s="116">
        <v>45107</v>
      </c>
    </row>
    <row r="1110" s="85" customFormat="1" customHeight="1" spans="1:25">
      <c r="A1110" s="24" t="s">
        <v>448</v>
      </c>
      <c r="B1110" s="98" t="s">
        <v>62</v>
      </c>
      <c r="C1110" s="24" t="s">
        <v>813</v>
      </c>
      <c r="D1110" s="24" t="s">
        <v>642</v>
      </c>
      <c r="E1110" s="23" t="s">
        <v>1510</v>
      </c>
      <c r="F1110" s="24" t="s">
        <v>1530</v>
      </c>
      <c r="G1110" s="24" t="s">
        <v>88</v>
      </c>
      <c r="H1110" s="23" t="s">
        <v>1531</v>
      </c>
      <c r="I1110" s="46" t="e">
        <f>VLOOKUP(H1110,'合同高级查询数据-4月返'!A:A,1,FALSE)</f>
        <v>#N/A</v>
      </c>
      <c r="J1110" s="178" t="s">
        <v>162</v>
      </c>
      <c r="K1110" s="22" t="s">
        <v>1532</v>
      </c>
      <c r="L1110" s="24" t="s">
        <v>1533</v>
      </c>
      <c r="M1110" s="49" t="s">
        <v>1534</v>
      </c>
      <c r="N1110" s="229">
        <v>42915</v>
      </c>
      <c r="O1110" s="239" t="s">
        <v>1535</v>
      </c>
      <c r="P1110" s="238">
        <v>6000</v>
      </c>
      <c r="Q1110" s="117">
        <v>4</v>
      </c>
      <c r="R1110" s="117">
        <f t="shared" si="29"/>
        <v>24000</v>
      </c>
      <c r="S1110" s="115">
        <v>202304</v>
      </c>
      <c r="T1110" s="222" t="s">
        <v>1536</v>
      </c>
      <c r="U1110" s="222"/>
      <c r="V1110" s="120"/>
      <c r="W1110" s="120"/>
      <c r="X1110" s="116">
        <v>44774</v>
      </c>
      <c r="Y1110" s="116">
        <v>45077</v>
      </c>
    </row>
    <row r="1111" s="85" customFormat="1" customHeight="1" spans="1:25">
      <c r="A1111" s="24" t="s">
        <v>448</v>
      </c>
      <c r="B1111" s="98" t="s">
        <v>62</v>
      </c>
      <c r="C1111" s="24" t="s">
        <v>813</v>
      </c>
      <c r="D1111" s="24" t="s">
        <v>642</v>
      </c>
      <c r="E1111" s="23" t="s">
        <v>1510</v>
      </c>
      <c r="F1111" s="24" t="s">
        <v>1530</v>
      </c>
      <c r="G1111" s="24" t="s">
        <v>88</v>
      </c>
      <c r="H1111" s="23" t="s">
        <v>1531</v>
      </c>
      <c r="I1111" s="46" t="e">
        <f>VLOOKUP(H1111,'合同高级查询数据-4月返'!A:A,1,FALSE)</f>
        <v>#N/A</v>
      </c>
      <c r="J1111" s="178" t="s">
        <v>1287</v>
      </c>
      <c r="K1111" s="22" t="s">
        <v>1532</v>
      </c>
      <c r="L1111" s="24" t="s">
        <v>1533</v>
      </c>
      <c r="M1111" s="49" t="s">
        <v>1534</v>
      </c>
      <c r="N1111" s="229">
        <v>42915</v>
      </c>
      <c r="O1111" s="239" t="s">
        <v>1535</v>
      </c>
      <c r="P1111" s="238">
        <v>6000</v>
      </c>
      <c r="Q1111" s="117">
        <v>5</v>
      </c>
      <c r="R1111" s="117">
        <f t="shared" si="29"/>
        <v>30000</v>
      </c>
      <c r="S1111" s="115">
        <v>202304</v>
      </c>
      <c r="T1111" s="222" t="s">
        <v>1537</v>
      </c>
      <c r="U1111" s="222"/>
      <c r="V1111" s="120"/>
      <c r="W1111" s="120"/>
      <c r="X1111" s="116">
        <v>44774</v>
      </c>
      <c r="Y1111" s="116">
        <v>45077</v>
      </c>
    </row>
    <row r="1112" s="85" customFormat="1" customHeight="1" spans="1:25">
      <c r="A1112" s="24" t="s">
        <v>448</v>
      </c>
      <c r="B1112" s="98" t="s">
        <v>62</v>
      </c>
      <c r="C1112" s="24" t="s">
        <v>813</v>
      </c>
      <c r="D1112" s="24" t="s">
        <v>642</v>
      </c>
      <c r="E1112" s="23" t="s">
        <v>1510</v>
      </c>
      <c r="F1112" s="24" t="s">
        <v>1530</v>
      </c>
      <c r="G1112" s="24" t="s">
        <v>88</v>
      </c>
      <c r="H1112" s="23" t="s">
        <v>1531</v>
      </c>
      <c r="I1112" s="46" t="e">
        <f>VLOOKUP(H1112,'合同高级查询数据-4月返'!A:A,1,FALSE)</f>
        <v>#N/A</v>
      </c>
      <c r="J1112" s="178" t="s">
        <v>162</v>
      </c>
      <c r="K1112" s="22" t="s">
        <v>1532</v>
      </c>
      <c r="L1112" s="24" t="s">
        <v>1533</v>
      </c>
      <c r="M1112" s="49" t="s">
        <v>1534</v>
      </c>
      <c r="N1112" s="229">
        <v>43654</v>
      </c>
      <c r="O1112" s="239" t="s">
        <v>1535</v>
      </c>
      <c r="P1112" s="238">
        <v>6000</v>
      </c>
      <c r="Q1112" s="117">
        <v>4</v>
      </c>
      <c r="R1112" s="117">
        <f t="shared" si="29"/>
        <v>24000</v>
      </c>
      <c r="S1112" s="115">
        <v>202304</v>
      </c>
      <c r="T1112" s="222" t="s">
        <v>1538</v>
      </c>
      <c r="U1112" s="222"/>
      <c r="V1112" s="120"/>
      <c r="W1112" s="120"/>
      <c r="X1112" s="116">
        <v>44774</v>
      </c>
      <c r="Y1112" s="116">
        <v>45077</v>
      </c>
    </row>
    <row r="1113" s="85" customFormat="1" customHeight="1" spans="1:25">
      <c r="A1113" s="24" t="s">
        <v>448</v>
      </c>
      <c r="B1113" s="98" t="s">
        <v>62</v>
      </c>
      <c r="C1113" s="24" t="s">
        <v>813</v>
      </c>
      <c r="D1113" s="24" t="s">
        <v>642</v>
      </c>
      <c r="E1113" s="23" t="s">
        <v>1510</v>
      </c>
      <c r="F1113" s="24" t="s">
        <v>1530</v>
      </c>
      <c r="G1113" s="24" t="s">
        <v>88</v>
      </c>
      <c r="H1113" s="23" t="s">
        <v>1531</v>
      </c>
      <c r="I1113" s="46" t="e">
        <f>VLOOKUP(H1113,'合同高级查询数据-4月返'!A:A,1,FALSE)</f>
        <v>#N/A</v>
      </c>
      <c r="J1113" s="178" t="s">
        <v>162</v>
      </c>
      <c r="K1113" s="22" t="s">
        <v>1532</v>
      </c>
      <c r="L1113" s="25" t="s">
        <v>1539</v>
      </c>
      <c r="M1113" s="49" t="s">
        <v>1534</v>
      </c>
      <c r="N1113" s="229">
        <v>43654</v>
      </c>
      <c r="O1113" s="239" t="s">
        <v>1535</v>
      </c>
      <c r="P1113" s="238">
        <v>6000</v>
      </c>
      <c r="Q1113" s="117">
        <v>6</v>
      </c>
      <c r="R1113" s="117">
        <f t="shared" si="29"/>
        <v>36000</v>
      </c>
      <c r="S1113" s="115">
        <v>202304</v>
      </c>
      <c r="T1113" s="222" t="s">
        <v>1540</v>
      </c>
      <c r="U1113" s="222"/>
      <c r="V1113" s="120"/>
      <c r="W1113" s="120"/>
      <c r="X1113" s="116">
        <v>44774</v>
      </c>
      <c r="Y1113" s="116">
        <v>45077</v>
      </c>
    </row>
    <row r="1114" s="85" customFormat="1" customHeight="1" spans="1:25">
      <c r="A1114" s="24" t="s">
        <v>448</v>
      </c>
      <c r="B1114" s="98" t="s">
        <v>62</v>
      </c>
      <c r="C1114" s="24" t="s">
        <v>813</v>
      </c>
      <c r="D1114" s="24" t="s">
        <v>642</v>
      </c>
      <c r="E1114" s="23" t="s">
        <v>1510</v>
      </c>
      <c r="F1114" s="24" t="s">
        <v>1530</v>
      </c>
      <c r="G1114" s="24" t="s">
        <v>88</v>
      </c>
      <c r="H1114" s="23" t="s">
        <v>1531</v>
      </c>
      <c r="I1114" s="46" t="e">
        <f>VLOOKUP(H1114,'合同高级查询数据-4月返'!A:A,1,FALSE)</f>
        <v>#N/A</v>
      </c>
      <c r="J1114" s="178" t="s">
        <v>162</v>
      </c>
      <c r="K1114" s="22" t="s">
        <v>1532</v>
      </c>
      <c r="L1114" s="25" t="s">
        <v>1539</v>
      </c>
      <c r="M1114" s="49" t="s">
        <v>1534</v>
      </c>
      <c r="N1114" s="229">
        <v>44804</v>
      </c>
      <c r="O1114" s="239" t="s">
        <v>1535</v>
      </c>
      <c r="P1114" s="238">
        <v>6000</v>
      </c>
      <c r="Q1114" s="117">
        <v>-4</v>
      </c>
      <c r="R1114" s="117">
        <f t="shared" si="29"/>
        <v>-24000</v>
      </c>
      <c r="S1114" s="115">
        <v>202304</v>
      </c>
      <c r="T1114" s="222" t="s">
        <v>1541</v>
      </c>
      <c r="U1114" s="222"/>
      <c r="V1114" s="120"/>
      <c r="W1114" s="120"/>
      <c r="X1114" s="116">
        <v>44774</v>
      </c>
      <c r="Y1114" s="116">
        <v>45077</v>
      </c>
    </row>
    <row r="1115" s="85" customFormat="1" customHeight="1" spans="1:25">
      <c r="A1115" s="24" t="s">
        <v>448</v>
      </c>
      <c r="B1115" s="98" t="s">
        <v>62</v>
      </c>
      <c r="C1115" s="24" t="s">
        <v>813</v>
      </c>
      <c r="D1115" s="24" t="s">
        <v>642</v>
      </c>
      <c r="E1115" s="23" t="s">
        <v>1510</v>
      </c>
      <c r="F1115" s="24" t="s">
        <v>1530</v>
      </c>
      <c r="G1115" s="24" t="s">
        <v>88</v>
      </c>
      <c r="H1115" s="23" t="s">
        <v>1531</v>
      </c>
      <c r="I1115" s="46" t="e">
        <f>VLOOKUP(H1115,'合同高级查询数据-4月返'!A:A,1,FALSE)</f>
        <v>#N/A</v>
      </c>
      <c r="J1115" s="178" t="s">
        <v>162</v>
      </c>
      <c r="K1115" s="22" t="s">
        <v>1532</v>
      </c>
      <c r="L1115" s="25" t="s">
        <v>1539</v>
      </c>
      <c r="M1115" s="49" t="s">
        <v>1534</v>
      </c>
      <c r="N1115" s="229">
        <v>43952</v>
      </c>
      <c r="O1115" s="239" t="s">
        <v>1535</v>
      </c>
      <c r="P1115" s="238">
        <v>6000</v>
      </c>
      <c r="Q1115" s="117">
        <v>2</v>
      </c>
      <c r="R1115" s="117">
        <f t="shared" si="29"/>
        <v>12000</v>
      </c>
      <c r="S1115" s="115">
        <v>202304</v>
      </c>
      <c r="T1115" s="222" t="s">
        <v>1542</v>
      </c>
      <c r="U1115" s="222"/>
      <c r="V1115" s="120"/>
      <c r="W1115" s="120"/>
      <c r="X1115" s="116">
        <v>44774</v>
      </c>
      <c r="Y1115" s="116">
        <v>45077</v>
      </c>
    </row>
    <row r="1116" s="85" customFormat="1" customHeight="1" spans="1:25">
      <c r="A1116" s="24" t="s">
        <v>448</v>
      </c>
      <c r="B1116" s="98" t="s">
        <v>62</v>
      </c>
      <c r="C1116" s="24" t="s">
        <v>813</v>
      </c>
      <c r="D1116" s="24" t="s">
        <v>642</v>
      </c>
      <c r="E1116" s="23" t="s">
        <v>1510</v>
      </c>
      <c r="F1116" s="24" t="s">
        <v>1530</v>
      </c>
      <c r="G1116" s="24" t="s">
        <v>88</v>
      </c>
      <c r="H1116" s="23" t="s">
        <v>1531</v>
      </c>
      <c r="I1116" s="46" t="e">
        <f>VLOOKUP(H1116,'合同高级查询数据-4月返'!A:A,1,FALSE)</f>
        <v>#N/A</v>
      </c>
      <c r="J1116" s="178" t="s">
        <v>162</v>
      </c>
      <c r="K1116" s="22" t="s">
        <v>1532</v>
      </c>
      <c r="L1116" s="25" t="s">
        <v>1539</v>
      </c>
      <c r="M1116" s="49" t="s">
        <v>1534</v>
      </c>
      <c r="N1116" s="229">
        <v>44532</v>
      </c>
      <c r="O1116" s="239" t="s">
        <v>1535</v>
      </c>
      <c r="P1116" s="238">
        <v>6000</v>
      </c>
      <c r="Q1116" s="117">
        <v>1</v>
      </c>
      <c r="R1116" s="118">
        <f t="shared" si="29"/>
        <v>6000</v>
      </c>
      <c r="S1116" s="115">
        <v>202304</v>
      </c>
      <c r="T1116" s="222" t="s">
        <v>1543</v>
      </c>
      <c r="U1116" s="222"/>
      <c r="V1116" s="120"/>
      <c r="W1116" s="120"/>
      <c r="X1116" s="116">
        <v>44774</v>
      </c>
      <c r="Y1116" s="116">
        <v>45077</v>
      </c>
    </row>
    <row r="1117" s="85" customFormat="1" customHeight="1" spans="1:25">
      <c r="A1117" s="24" t="s">
        <v>448</v>
      </c>
      <c r="B1117" s="98" t="s">
        <v>62</v>
      </c>
      <c r="C1117" s="24" t="s">
        <v>813</v>
      </c>
      <c r="D1117" s="24" t="s">
        <v>642</v>
      </c>
      <c r="E1117" s="23" t="s">
        <v>1510</v>
      </c>
      <c r="F1117" s="24" t="s">
        <v>1530</v>
      </c>
      <c r="G1117" s="24" t="s">
        <v>88</v>
      </c>
      <c r="H1117" s="23" t="s">
        <v>1531</v>
      </c>
      <c r="I1117" s="46" t="e">
        <f>VLOOKUP(H1117,'合同高级查询数据-4月返'!A:A,1,FALSE)</f>
        <v>#N/A</v>
      </c>
      <c r="J1117" s="178" t="s">
        <v>162</v>
      </c>
      <c r="K1117" s="22" t="s">
        <v>1532</v>
      </c>
      <c r="L1117" s="24" t="s">
        <v>1533</v>
      </c>
      <c r="M1117" s="49" t="s">
        <v>1534</v>
      </c>
      <c r="N1117" s="229">
        <v>44620</v>
      </c>
      <c r="O1117" s="239" t="s">
        <v>1535</v>
      </c>
      <c r="P1117" s="238">
        <v>6000</v>
      </c>
      <c r="Q1117" s="117">
        <v>-4</v>
      </c>
      <c r="R1117" s="118">
        <f t="shared" ref="R1117:R1180" si="30">ROUND(P1117*Q1117,2)</f>
        <v>-24000</v>
      </c>
      <c r="S1117" s="115">
        <v>202304</v>
      </c>
      <c r="T1117" s="222" t="s">
        <v>1544</v>
      </c>
      <c r="U1117" s="222"/>
      <c r="V1117" s="120"/>
      <c r="W1117" s="120"/>
      <c r="X1117" s="116">
        <v>44774</v>
      </c>
      <c r="Y1117" s="116">
        <v>45077</v>
      </c>
    </row>
    <row r="1118" s="85" customFormat="1" customHeight="1" spans="1:25">
      <c r="A1118" s="24" t="s">
        <v>448</v>
      </c>
      <c r="B1118" s="98" t="s">
        <v>62</v>
      </c>
      <c r="C1118" s="24" t="s">
        <v>813</v>
      </c>
      <c r="D1118" s="24" t="s">
        <v>642</v>
      </c>
      <c r="E1118" s="23" t="s">
        <v>1510</v>
      </c>
      <c r="F1118" s="24" t="s">
        <v>1530</v>
      </c>
      <c r="G1118" s="24" t="s">
        <v>88</v>
      </c>
      <c r="H1118" s="23" t="s">
        <v>1531</v>
      </c>
      <c r="I1118" s="46" t="e">
        <f>VLOOKUP(H1118,'合同高级查询数据-4月返'!A:A,1,FALSE)</f>
        <v>#N/A</v>
      </c>
      <c r="J1118" s="178" t="s">
        <v>162</v>
      </c>
      <c r="K1118" s="22" t="s">
        <v>1532</v>
      </c>
      <c r="L1118" s="24" t="s">
        <v>1533</v>
      </c>
      <c r="M1118" s="49" t="s">
        <v>1534</v>
      </c>
      <c r="N1118" s="229">
        <v>44681</v>
      </c>
      <c r="O1118" s="239" t="s">
        <v>1535</v>
      </c>
      <c r="P1118" s="238">
        <v>6000</v>
      </c>
      <c r="Q1118" s="117">
        <v>-3</v>
      </c>
      <c r="R1118" s="118">
        <f t="shared" si="30"/>
        <v>-18000</v>
      </c>
      <c r="S1118" s="115">
        <v>202304</v>
      </c>
      <c r="T1118" s="222" t="s">
        <v>1545</v>
      </c>
      <c r="U1118" s="222"/>
      <c r="V1118" s="120"/>
      <c r="W1118" s="120"/>
      <c r="X1118" s="116">
        <v>44774</v>
      </c>
      <c r="Y1118" s="116">
        <v>45077</v>
      </c>
    </row>
    <row r="1119" s="85" customFormat="1" customHeight="1" spans="1:25">
      <c r="A1119" s="24" t="s">
        <v>448</v>
      </c>
      <c r="B1119" s="98" t="s">
        <v>62</v>
      </c>
      <c r="C1119" s="24" t="s">
        <v>813</v>
      </c>
      <c r="D1119" s="24" t="s">
        <v>642</v>
      </c>
      <c r="E1119" s="23" t="s">
        <v>1510</v>
      </c>
      <c r="F1119" s="24" t="s">
        <v>1530</v>
      </c>
      <c r="G1119" s="24" t="s">
        <v>88</v>
      </c>
      <c r="H1119" s="23" t="s">
        <v>1531</v>
      </c>
      <c r="I1119" s="46" t="e">
        <f>VLOOKUP(H1119,'合同高级查询数据-4月返'!A:A,1,FALSE)</f>
        <v>#N/A</v>
      </c>
      <c r="J1119" s="178" t="s">
        <v>162</v>
      </c>
      <c r="K1119" s="22" t="s">
        <v>1532</v>
      </c>
      <c r="L1119" s="24" t="s">
        <v>1533</v>
      </c>
      <c r="M1119" s="49" t="s">
        <v>1534</v>
      </c>
      <c r="N1119" s="229">
        <v>44773</v>
      </c>
      <c r="O1119" s="239" t="s">
        <v>1535</v>
      </c>
      <c r="P1119" s="238">
        <v>6000</v>
      </c>
      <c r="Q1119" s="117">
        <v>-1</v>
      </c>
      <c r="R1119" s="118">
        <f t="shared" si="30"/>
        <v>-6000</v>
      </c>
      <c r="S1119" s="115">
        <v>202304</v>
      </c>
      <c r="T1119" s="222" t="s">
        <v>1546</v>
      </c>
      <c r="U1119" s="222"/>
      <c r="V1119" s="120"/>
      <c r="W1119" s="120"/>
      <c r="X1119" s="116">
        <v>44774</v>
      </c>
      <c r="Y1119" s="116">
        <v>45077</v>
      </c>
    </row>
    <row r="1120" s="85" customFormat="1" customHeight="1" spans="1:25">
      <c r="A1120" s="24" t="s">
        <v>448</v>
      </c>
      <c r="B1120" s="98" t="s">
        <v>62</v>
      </c>
      <c r="C1120" s="24" t="s">
        <v>813</v>
      </c>
      <c r="D1120" s="24" t="s">
        <v>642</v>
      </c>
      <c r="E1120" s="23" t="s">
        <v>1510</v>
      </c>
      <c r="F1120" s="24" t="s">
        <v>1511</v>
      </c>
      <c r="G1120" s="24" t="s">
        <v>31</v>
      </c>
      <c r="H1120" s="23" t="s">
        <v>1531</v>
      </c>
      <c r="I1120" s="46" t="e">
        <f>VLOOKUP(H1120,'合同高级查询数据-4月返'!A:A,1,FALSE)</f>
        <v>#N/A</v>
      </c>
      <c r="J1120" s="237" t="s">
        <v>1273</v>
      </c>
      <c r="K1120" s="22" t="s">
        <v>813</v>
      </c>
      <c r="L1120" s="24" t="s">
        <v>1511</v>
      </c>
      <c r="M1120" s="49"/>
      <c r="N1120" s="229">
        <v>43040</v>
      </c>
      <c r="O1120" s="237"/>
      <c r="P1120" s="240">
        <v>50</v>
      </c>
      <c r="Q1120" s="117">
        <v>768</v>
      </c>
      <c r="R1120" s="117">
        <f t="shared" si="30"/>
        <v>38400</v>
      </c>
      <c r="S1120" s="115">
        <v>202304</v>
      </c>
      <c r="T1120" s="222" t="s">
        <v>1547</v>
      </c>
      <c r="U1120" s="222"/>
      <c r="V1120" s="120"/>
      <c r="W1120" s="120"/>
      <c r="X1120" s="116">
        <v>44774</v>
      </c>
      <c r="Y1120" s="116">
        <v>45077</v>
      </c>
    </row>
    <row r="1121" s="85" customFormat="1" customHeight="1" spans="1:25">
      <c r="A1121" s="24" t="s">
        <v>448</v>
      </c>
      <c r="B1121" s="98" t="s">
        <v>62</v>
      </c>
      <c r="C1121" s="24" t="s">
        <v>813</v>
      </c>
      <c r="D1121" s="24" t="s">
        <v>642</v>
      </c>
      <c r="E1121" s="23" t="s">
        <v>1510</v>
      </c>
      <c r="F1121" s="24" t="s">
        <v>1511</v>
      </c>
      <c r="G1121" s="24" t="s">
        <v>31</v>
      </c>
      <c r="H1121" s="23" t="s">
        <v>1531</v>
      </c>
      <c r="I1121" s="46" t="e">
        <f>VLOOKUP(H1121,'合同高级查询数据-4月返'!A:A,1,FALSE)</f>
        <v>#N/A</v>
      </c>
      <c r="J1121" s="237" t="s">
        <v>1273</v>
      </c>
      <c r="K1121" s="22" t="s">
        <v>813</v>
      </c>
      <c r="L1121" s="24" t="s">
        <v>1511</v>
      </c>
      <c r="M1121" s="49"/>
      <c r="N1121" s="229">
        <v>43040</v>
      </c>
      <c r="O1121" s="237"/>
      <c r="P1121" s="240">
        <v>50</v>
      </c>
      <c r="Q1121" s="117">
        <v>512</v>
      </c>
      <c r="R1121" s="117">
        <f t="shared" si="30"/>
        <v>25600</v>
      </c>
      <c r="S1121" s="115">
        <v>202304</v>
      </c>
      <c r="T1121" s="222" t="s">
        <v>1548</v>
      </c>
      <c r="U1121" s="222"/>
      <c r="V1121" s="120"/>
      <c r="W1121" s="120"/>
      <c r="X1121" s="116">
        <v>44774</v>
      </c>
      <c r="Y1121" s="116">
        <v>45077</v>
      </c>
    </row>
    <row r="1122" s="85" customFormat="1" customHeight="1" spans="1:25">
      <c r="A1122" s="24" t="s">
        <v>448</v>
      </c>
      <c r="B1122" s="98" t="s">
        <v>62</v>
      </c>
      <c r="C1122" s="24" t="s">
        <v>813</v>
      </c>
      <c r="D1122" s="24" t="s">
        <v>642</v>
      </c>
      <c r="E1122" s="23" t="s">
        <v>1510</v>
      </c>
      <c r="F1122" s="24" t="s">
        <v>1511</v>
      </c>
      <c r="G1122" s="24" t="s">
        <v>31</v>
      </c>
      <c r="H1122" s="23" t="s">
        <v>1531</v>
      </c>
      <c r="I1122" s="46" t="e">
        <f>VLOOKUP(H1122,'合同高级查询数据-4月返'!A:A,1,FALSE)</f>
        <v>#N/A</v>
      </c>
      <c r="J1122" s="237" t="s">
        <v>1273</v>
      </c>
      <c r="K1122" s="22" t="s">
        <v>813</v>
      </c>
      <c r="L1122" s="24" t="s">
        <v>1511</v>
      </c>
      <c r="M1122" s="49"/>
      <c r="N1122" s="229">
        <v>43040</v>
      </c>
      <c r="O1122" s="239"/>
      <c r="P1122" s="240">
        <v>50</v>
      </c>
      <c r="Q1122" s="117">
        <v>512</v>
      </c>
      <c r="R1122" s="117">
        <f t="shared" si="30"/>
        <v>25600</v>
      </c>
      <c r="S1122" s="115">
        <v>202304</v>
      </c>
      <c r="T1122" s="222" t="s">
        <v>1548</v>
      </c>
      <c r="U1122" s="222"/>
      <c r="V1122" s="120"/>
      <c r="W1122" s="120"/>
      <c r="X1122" s="116">
        <v>44774</v>
      </c>
      <c r="Y1122" s="116">
        <v>45077</v>
      </c>
    </row>
    <row r="1123" s="85" customFormat="1" customHeight="1" spans="1:25">
      <c r="A1123" s="24" t="s">
        <v>448</v>
      </c>
      <c r="B1123" s="98" t="s">
        <v>62</v>
      </c>
      <c r="C1123" s="24" t="s">
        <v>813</v>
      </c>
      <c r="D1123" s="24" t="s">
        <v>642</v>
      </c>
      <c r="E1123" s="23" t="s">
        <v>1510</v>
      </c>
      <c r="F1123" s="24" t="s">
        <v>1511</v>
      </c>
      <c r="G1123" s="24" t="s">
        <v>31</v>
      </c>
      <c r="H1123" s="23" t="s">
        <v>1531</v>
      </c>
      <c r="I1123" s="46" t="e">
        <f>VLOOKUP(H1123,'合同高级查询数据-4月返'!A:A,1,FALSE)</f>
        <v>#N/A</v>
      </c>
      <c r="J1123" s="237" t="s">
        <v>1273</v>
      </c>
      <c r="K1123" s="22" t="s">
        <v>813</v>
      </c>
      <c r="L1123" s="24" t="s">
        <v>1511</v>
      </c>
      <c r="M1123" s="49"/>
      <c r="N1123" s="229">
        <v>44074</v>
      </c>
      <c r="O1123" s="239"/>
      <c r="P1123" s="240">
        <v>50</v>
      </c>
      <c r="Q1123" s="117">
        <f>-3*256</f>
        <v>-768</v>
      </c>
      <c r="R1123" s="117">
        <f t="shared" si="30"/>
        <v>-38400</v>
      </c>
      <c r="S1123" s="115">
        <v>202304</v>
      </c>
      <c r="T1123" s="243" t="s">
        <v>1549</v>
      </c>
      <c r="U1123" s="243"/>
      <c r="V1123" s="120"/>
      <c r="W1123" s="120"/>
      <c r="X1123" s="116">
        <v>44774</v>
      </c>
      <c r="Y1123" s="116">
        <v>45077</v>
      </c>
    </row>
    <row r="1124" s="85" customFormat="1" customHeight="1" spans="1:25">
      <c r="A1124" s="24" t="s">
        <v>448</v>
      </c>
      <c r="B1124" s="98" t="s">
        <v>62</v>
      </c>
      <c r="C1124" s="24" t="s">
        <v>813</v>
      </c>
      <c r="D1124" s="24" t="s">
        <v>642</v>
      </c>
      <c r="E1124" s="23" t="s">
        <v>1510</v>
      </c>
      <c r="F1124" s="24" t="s">
        <v>1530</v>
      </c>
      <c r="G1124" s="24" t="s">
        <v>31</v>
      </c>
      <c r="H1124" s="23" t="s">
        <v>1531</v>
      </c>
      <c r="I1124" s="46" t="e">
        <f>VLOOKUP(H1124,'合同高级查询数据-4月返'!A:A,1,FALSE)</f>
        <v>#N/A</v>
      </c>
      <c r="J1124" s="237" t="s">
        <v>33</v>
      </c>
      <c r="K1124" s="22" t="s">
        <v>1532</v>
      </c>
      <c r="L1124" s="24" t="s">
        <v>1539</v>
      </c>
      <c r="M1124" s="49" t="s">
        <v>1534</v>
      </c>
      <c r="N1124" s="229">
        <v>42915</v>
      </c>
      <c r="O1124" s="239"/>
      <c r="P1124" s="240">
        <v>0</v>
      </c>
      <c r="Q1124" s="117">
        <v>192</v>
      </c>
      <c r="R1124" s="117">
        <f t="shared" si="30"/>
        <v>0</v>
      </c>
      <c r="S1124" s="115">
        <v>202304</v>
      </c>
      <c r="T1124" s="243" t="s">
        <v>1550</v>
      </c>
      <c r="U1124" s="243"/>
      <c r="V1124" s="120"/>
      <c r="W1124" s="120"/>
      <c r="X1124" s="116">
        <v>44774</v>
      </c>
      <c r="Y1124" s="116">
        <v>45077</v>
      </c>
    </row>
    <row r="1125" s="85" customFormat="1" customHeight="1" spans="1:25">
      <c r="A1125" s="24" t="s">
        <v>448</v>
      </c>
      <c r="B1125" s="98" t="s">
        <v>62</v>
      </c>
      <c r="C1125" s="24" t="s">
        <v>813</v>
      </c>
      <c r="D1125" s="24" t="s">
        <v>642</v>
      </c>
      <c r="E1125" s="23" t="s">
        <v>1510</v>
      </c>
      <c r="F1125" s="24" t="s">
        <v>1530</v>
      </c>
      <c r="G1125" s="24" t="s">
        <v>31</v>
      </c>
      <c r="H1125" s="23" t="s">
        <v>1531</v>
      </c>
      <c r="I1125" s="46" t="e">
        <f>VLOOKUP(H1125,'合同高级查询数据-4月返'!A:A,1,FALSE)</f>
        <v>#N/A</v>
      </c>
      <c r="J1125" s="237" t="s">
        <v>33</v>
      </c>
      <c r="K1125" s="22" t="s">
        <v>1532</v>
      </c>
      <c r="L1125" s="24" t="s">
        <v>1539</v>
      </c>
      <c r="M1125" s="49" t="s">
        <v>1534</v>
      </c>
      <c r="N1125" s="229">
        <v>42915</v>
      </c>
      <c r="O1125" s="239"/>
      <c r="P1125" s="240">
        <v>50</v>
      </c>
      <c r="Q1125" s="117">
        <v>96</v>
      </c>
      <c r="R1125" s="117">
        <f t="shared" si="30"/>
        <v>4800</v>
      </c>
      <c r="S1125" s="115">
        <v>202304</v>
      </c>
      <c r="T1125" s="243" t="s">
        <v>1551</v>
      </c>
      <c r="U1125" s="243"/>
      <c r="V1125" s="120"/>
      <c r="W1125" s="120"/>
      <c r="X1125" s="116">
        <v>44774</v>
      </c>
      <c r="Y1125" s="116">
        <v>45077</v>
      </c>
    </row>
    <row r="1126" s="85" customFormat="1" customHeight="1" spans="1:25">
      <c r="A1126" s="24" t="s">
        <v>448</v>
      </c>
      <c r="B1126" s="98" t="s">
        <v>62</v>
      </c>
      <c r="C1126" s="24" t="s">
        <v>813</v>
      </c>
      <c r="D1126" s="24" t="s">
        <v>642</v>
      </c>
      <c r="E1126" s="23" t="s">
        <v>1510</v>
      </c>
      <c r="F1126" s="24" t="s">
        <v>1530</v>
      </c>
      <c r="G1126" s="24" t="s">
        <v>31</v>
      </c>
      <c r="H1126" s="23" t="s">
        <v>1531</v>
      </c>
      <c r="I1126" s="46" t="e">
        <f>VLOOKUP(H1126,'合同高级查询数据-4月返'!A:A,1,FALSE)</f>
        <v>#N/A</v>
      </c>
      <c r="J1126" s="237" t="s">
        <v>33</v>
      </c>
      <c r="K1126" s="22" t="s">
        <v>1532</v>
      </c>
      <c r="L1126" s="24" t="s">
        <v>1533</v>
      </c>
      <c r="M1126" s="49" t="s">
        <v>1534</v>
      </c>
      <c r="N1126" s="229">
        <v>42915</v>
      </c>
      <c r="O1126" s="239"/>
      <c r="P1126" s="240">
        <v>50</v>
      </c>
      <c r="Q1126" s="117">
        <v>544</v>
      </c>
      <c r="R1126" s="117">
        <f t="shared" si="30"/>
        <v>27200</v>
      </c>
      <c r="S1126" s="115">
        <v>202304</v>
      </c>
      <c r="T1126" s="243" t="s">
        <v>1552</v>
      </c>
      <c r="U1126" s="243"/>
      <c r="V1126" s="120"/>
      <c r="W1126" s="120"/>
      <c r="X1126" s="116">
        <v>44774</v>
      </c>
      <c r="Y1126" s="116">
        <v>45077</v>
      </c>
    </row>
    <row r="1127" s="85" customFormat="1" customHeight="1" spans="1:25">
      <c r="A1127" s="24" t="s">
        <v>448</v>
      </c>
      <c r="B1127" s="98" t="s">
        <v>62</v>
      </c>
      <c r="C1127" s="24" t="s">
        <v>813</v>
      </c>
      <c r="D1127" s="24" t="s">
        <v>642</v>
      </c>
      <c r="E1127" s="23" t="s">
        <v>1510</v>
      </c>
      <c r="F1127" s="24" t="s">
        <v>1530</v>
      </c>
      <c r="G1127" s="24" t="s">
        <v>31</v>
      </c>
      <c r="H1127" s="23" t="s">
        <v>1531</v>
      </c>
      <c r="I1127" s="46" t="e">
        <f>VLOOKUP(H1127,'合同高级查询数据-4月返'!A:A,1,FALSE)</f>
        <v>#N/A</v>
      </c>
      <c r="J1127" s="237" t="s">
        <v>33</v>
      </c>
      <c r="K1127" s="22" t="s">
        <v>1532</v>
      </c>
      <c r="L1127" s="24" t="s">
        <v>1533</v>
      </c>
      <c r="M1127" s="49" t="s">
        <v>1534</v>
      </c>
      <c r="N1127" s="229">
        <v>44773</v>
      </c>
      <c r="O1127" s="239"/>
      <c r="P1127" s="240">
        <v>50</v>
      </c>
      <c r="Q1127" s="117">
        <v>-544</v>
      </c>
      <c r="R1127" s="117">
        <f t="shared" si="30"/>
        <v>-27200</v>
      </c>
      <c r="S1127" s="115">
        <v>202304</v>
      </c>
      <c r="T1127" s="243" t="s">
        <v>1553</v>
      </c>
      <c r="U1127" s="243"/>
      <c r="V1127" s="120"/>
      <c r="W1127" s="120"/>
      <c r="X1127" s="116">
        <v>44774</v>
      </c>
      <c r="Y1127" s="116">
        <v>45077</v>
      </c>
    </row>
    <row r="1128" s="85" customFormat="1" customHeight="1" spans="1:25">
      <c r="A1128" s="24" t="s">
        <v>448</v>
      </c>
      <c r="B1128" s="98" t="s">
        <v>62</v>
      </c>
      <c r="C1128" s="24" t="s">
        <v>813</v>
      </c>
      <c r="D1128" s="24" t="s">
        <v>642</v>
      </c>
      <c r="E1128" s="23" t="s">
        <v>1510</v>
      </c>
      <c r="F1128" s="24" t="s">
        <v>1530</v>
      </c>
      <c r="G1128" s="24" t="s">
        <v>31</v>
      </c>
      <c r="H1128" s="23" t="s">
        <v>1531</v>
      </c>
      <c r="I1128" s="46" t="e">
        <f>VLOOKUP(H1128,'合同高级查询数据-4月返'!A:A,1,FALSE)</f>
        <v>#N/A</v>
      </c>
      <c r="J1128" s="237" t="s">
        <v>33</v>
      </c>
      <c r="K1128" s="22" t="s">
        <v>1532</v>
      </c>
      <c r="L1128" s="24" t="s">
        <v>1539</v>
      </c>
      <c r="M1128" s="49" t="s">
        <v>1534</v>
      </c>
      <c r="N1128" s="229">
        <v>43952</v>
      </c>
      <c r="O1128" s="239"/>
      <c r="P1128" s="240">
        <v>50</v>
      </c>
      <c r="Q1128" s="117">
        <v>128</v>
      </c>
      <c r="R1128" s="117">
        <f t="shared" si="30"/>
        <v>6400</v>
      </c>
      <c r="S1128" s="115">
        <v>202304</v>
      </c>
      <c r="T1128" s="243" t="s">
        <v>1554</v>
      </c>
      <c r="U1128" s="243"/>
      <c r="V1128" s="120"/>
      <c r="W1128" s="120"/>
      <c r="X1128" s="116">
        <v>44774</v>
      </c>
      <c r="Y1128" s="116">
        <v>45077</v>
      </c>
    </row>
    <row r="1129" s="85" customFormat="1" customHeight="1" spans="1:25">
      <c r="A1129" s="24" t="s">
        <v>448</v>
      </c>
      <c r="B1129" s="98" t="s">
        <v>62</v>
      </c>
      <c r="C1129" s="24" t="s">
        <v>813</v>
      </c>
      <c r="D1129" s="24" t="s">
        <v>642</v>
      </c>
      <c r="E1129" s="23" t="s">
        <v>1510</v>
      </c>
      <c r="F1129" s="24" t="s">
        <v>1530</v>
      </c>
      <c r="G1129" s="24" t="s">
        <v>31</v>
      </c>
      <c r="H1129" s="23" t="s">
        <v>1531</v>
      </c>
      <c r="I1129" s="46" t="e">
        <f>VLOOKUP(H1129,'合同高级查询数据-4月返'!A:A,1,FALSE)</f>
        <v>#N/A</v>
      </c>
      <c r="J1129" s="178" t="s">
        <v>33</v>
      </c>
      <c r="K1129" s="22" t="s">
        <v>1532</v>
      </c>
      <c r="L1129" s="25" t="s">
        <v>1539</v>
      </c>
      <c r="M1129" s="49" t="s">
        <v>1534</v>
      </c>
      <c r="N1129" s="229">
        <v>44804</v>
      </c>
      <c r="O1129" s="239"/>
      <c r="P1129" s="238">
        <v>50</v>
      </c>
      <c r="Q1129" s="117">
        <v>-128</v>
      </c>
      <c r="R1129" s="117">
        <f t="shared" si="30"/>
        <v>-6400</v>
      </c>
      <c r="S1129" s="115">
        <v>202304</v>
      </c>
      <c r="T1129" s="222" t="s">
        <v>1555</v>
      </c>
      <c r="U1129" s="222"/>
      <c r="V1129" s="120"/>
      <c r="W1129" s="120"/>
      <c r="X1129" s="116">
        <v>44774</v>
      </c>
      <c r="Y1129" s="116">
        <v>45077</v>
      </c>
    </row>
    <row r="1130" s="85" customFormat="1" customHeight="1" spans="1:25">
      <c r="A1130" s="98" t="s">
        <v>448</v>
      </c>
      <c r="B1130" s="98" t="s">
        <v>62</v>
      </c>
      <c r="C1130" s="98" t="s">
        <v>238</v>
      </c>
      <c r="D1130" s="98" t="s">
        <v>642</v>
      </c>
      <c r="E1130" s="161" t="s">
        <v>1556</v>
      </c>
      <c r="F1130" s="98" t="s">
        <v>983</v>
      </c>
      <c r="G1130" s="172" t="s">
        <v>88</v>
      </c>
      <c r="H1130" s="100" t="s">
        <v>1557</v>
      </c>
      <c r="I1130" s="46" t="e">
        <f>VLOOKUP(H1130,'合同高级查询数据-4月返'!A:A,1,FALSE)</f>
        <v>#N/A</v>
      </c>
      <c r="J1130" s="47" t="s">
        <v>90</v>
      </c>
      <c r="K1130" s="160" t="s">
        <v>1558</v>
      </c>
      <c r="L1130" s="179"/>
      <c r="M1130" s="49" t="s">
        <v>986</v>
      </c>
      <c r="N1130" s="241">
        <v>43343</v>
      </c>
      <c r="O1130" s="229" t="s">
        <v>507</v>
      </c>
      <c r="P1130" s="207">
        <v>11700</v>
      </c>
      <c r="Q1130" s="207">
        <v>1</v>
      </c>
      <c r="R1130" s="118">
        <f t="shared" si="30"/>
        <v>11700</v>
      </c>
      <c r="S1130" s="115">
        <v>202304</v>
      </c>
      <c r="T1130" s="244" t="s">
        <v>1559</v>
      </c>
      <c r="U1130" s="245"/>
      <c r="V1130" s="165"/>
      <c r="W1130" s="165"/>
      <c r="X1130" s="116">
        <v>43525</v>
      </c>
      <c r="Y1130" s="116">
        <v>45549</v>
      </c>
    </row>
    <row r="1131" s="85" customFormat="1" customHeight="1" spans="1:25">
      <c r="A1131" s="98" t="s">
        <v>448</v>
      </c>
      <c r="B1131" s="98" t="s">
        <v>62</v>
      </c>
      <c r="C1131" s="98" t="s">
        <v>238</v>
      </c>
      <c r="D1131" s="98" t="s">
        <v>642</v>
      </c>
      <c r="E1131" s="161" t="s">
        <v>1556</v>
      </c>
      <c r="F1131" s="98" t="s">
        <v>983</v>
      </c>
      <c r="G1131" s="172" t="s">
        <v>88</v>
      </c>
      <c r="H1131" s="100" t="s">
        <v>1557</v>
      </c>
      <c r="I1131" s="46" t="e">
        <f>VLOOKUP(H1131,'合同高级查询数据-4月返'!A:A,1,FALSE)</f>
        <v>#N/A</v>
      </c>
      <c r="J1131" s="47" t="s">
        <v>90</v>
      </c>
      <c r="K1131" s="160" t="s">
        <v>1558</v>
      </c>
      <c r="L1131" s="179"/>
      <c r="M1131" s="49" t="s">
        <v>986</v>
      </c>
      <c r="N1131" s="241">
        <v>43346</v>
      </c>
      <c r="O1131" s="229" t="s">
        <v>606</v>
      </c>
      <c r="P1131" s="207">
        <v>32650</v>
      </c>
      <c r="Q1131" s="207">
        <v>8</v>
      </c>
      <c r="R1131" s="118">
        <f t="shared" si="30"/>
        <v>261200</v>
      </c>
      <c r="S1131" s="115">
        <v>202304</v>
      </c>
      <c r="T1131" s="244" t="s">
        <v>1560</v>
      </c>
      <c r="U1131" s="245"/>
      <c r="V1131" s="165"/>
      <c r="W1131" s="165"/>
      <c r="X1131" s="116">
        <v>43525</v>
      </c>
      <c r="Y1131" s="116">
        <v>45549</v>
      </c>
    </row>
    <row r="1132" s="85" customFormat="1" customHeight="1" spans="1:25">
      <c r="A1132" s="98" t="s">
        <v>448</v>
      </c>
      <c r="B1132" s="98" t="s">
        <v>62</v>
      </c>
      <c r="C1132" s="98" t="s">
        <v>238</v>
      </c>
      <c r="D1132" s="98" t="s">
        <v>642</v>
      </c>
      <c r="E1132" s="161" t="s">
        <v>1556</v>
      </c>
      <c r="F1132" s="98" t="s">
        <v>983</v>
      </c>
      <c r="G1132" s="172" t="s">
        <v>88</v>
      </c>
      <c r="H1132" s="100" t="s">
        <v>1557</v>
      </c>
      <c r="I1132" s="46" t="e">
        <f>VLOOKUP(H1132,'合同高级查询数据-4月返'!A:A,1,FALSE)</f>
        <v>#N/A</v>
      </c>
      <c r="J1132" s="47" t="s">
        <v>90</v>
      </c>
      <c r="K1132" s="160" t="s">
        <v>1558</v>
      </c>
      <c r="L1132" s="179"/>
      <c r="M1132" s="49" t="s">
        <v>986</v>
      </c>
      <c r="N1132" s="241">
        <v>43346</v>
      </c>
      <c r="O1132" s="229" t="s">
        <v>503</v>
      </c>
      <c r="P1132" s="207">
        <v>5950</v>
      </c>
      <c r="Q1132" s="207">
        <v>8</v>
      </c>
      <c r="R1132" s="118">
        <f t="shared" si="30"/>
        <v>47600</v>
      </c>
      <c r="S1132" s="115">
        <v>202304</v>
      </c>
      <c r="T1132" s="244" t="s">
        <v>1561</v>
      </c>
      <c r="U1132" s="245"/>
      <c r="V1132" s="165"/>
      <c r="W1132" s="165"/>
      <c r="X1132" s="116">
        <v>43525</v>
      </c>
      <c r="Y1132" s="116">
        <v>45549</v>
      </c>
    </row>
    <row r="1133" s="85" customFormat="1" customHeight="1" spans="1:25">
      <c r="A1133" s="98" t="s">
        <v>448</v>
      </c>
      <c r="B1133" s="98" t="s">
        <v>62</v>
      </c>
      <c r="C1133" s="98" t="s">
        <v>238</v>
      </c>
      <c r="D1133" s="98" t="s">
        <v>642</v>
      </c>
      <c r="E1133" s="161" t="s">
        <v>1556</v>
      </c>
      <c r="F1133" s="98" t="s">
        <v>983</v>
      </c>
      <c r="G1133" s="172" t="s">
        <v>88</v>
      </c>
      <c r="H1133" s="100" t="s">
        <v>1557</v>
      </c>
      <c r="I1133" s="46" t="e">
        <f>VLOOKUP(H1133,'合同高级查询数据-4月返'!A:A,1,FALSE)</f>
        <v>#N/A</v>
      </c>
      <c r="J1133" s="47" t="s">
        <v>90</v>
      </c>
      <c r="K1133" s="160" t="s">
        <v>1558</v>
      </c>
      <c r="L1133" s="179"/>
      <c r="M1133" s="49" t="s">
        <v>986</v>
      </c>
      <c r="N1133" s="241">
        <v>43348</v>
      </c>
      <c r="O1133" s="229" t="s">
        <v>507</v>
      </c>
      <c r="P1133" s="207">
        <v>11700</v>
      </c>
      <c r="Q1133" s="207">
        <v>11</v>
      </c>
      <c r="R1133" s="118">
        <f t="shared" si="30"/>
        <v>128700</v>
      </c>
      <c r="S1133" s="115">
        <v>202304</v>
      </c>
      <c r="T1133" s="244" t="s">
        <v>1562</v>
      </c>
      <c r="U1133" s="245"/>
      <c r="V1133" s="165"/>
      <c r="W1133" s="165"/>
      <c r="X1133" s="116">
        <v>43525</v>
      </c>
      <c r="Y1133" s="116">
        <v>45549</v>
      </c>
    </row>
    <row r="1134" s="85" customFormat="1" customHeight="1" spans="1:25">
      <c r="A1134" s="98" t="s">
        <v>448</v>
      </c>
      <c r="B1134" s="98" t="s">
        <v>62</v>
      </c>
      <c r="C1134" s="98" t="s">
        <v>238</v>
      </c>
      <c r="D1134" s="98" t="s">
        <v>642</v>
      </c>
      <c r="E1134" s="161" t="s">
        <v>1556</v>
      </c>
      <c r="F1134" s="98" t="s">
        <v>983</v>
      </c>
      <c r="G1134" s="172" t="s">
        <v>88</v>
      </c>
      <c r="H1134" s="100" t="s">
        <v>1557</v>
      </c>
      <c r="I1134" s="46" t="e">
        <f>VLOOKUP(H1134,'合同高级查询数据-4月返'!A:A,1,FALSE)</f>
        <v>#N/A</v>
      </c>
      <c r="J1134" s="47" t="s">
        <v>90</v>
      </c>
      <c r="K1134" s="160" t="s">
        <v>1558</v>
      </c>
      <c r="L1134" s="179"/>
      <c r="M1134" s="49" t="s">
        <v>986</v>
      </c>
      <c r="N1134" s="241">
        <v>43349</v>
      </c>
      <c r="O1134" s="229" t="s">
        <v>507</v>
      </c>
      <c r="P1134" s="207">
        <v>11700</v>
      </c>
      <c r="Q1134" s="207">
        <v>1</v>
      </c>
      <c r="R1134" s="118">
        <f t="shared" si="30"/>
        <v>11700</v>
      </c>
      <c r="S1134" s="115">
        <v>202304</v>
      </c>
      <c r="T1134" s="244" t="s">
        <v>1563</v>
      </c>
      <c r="U1134" s="245"/>
      <c r="V1134" s="165"/>
      <c r="W1134" s="165"/>
      <c r="X1134" s="116">
        <v>43525</v>
      </c>
      <c r="Y1134" s="116">
        <v>45549</v>
      </c>
    </row>
    <row r="1135" s="85" customFormat="1" customHeight="1" spans="1:25">
      <c r="A1135" s="98" t="s">
        <v>448</v>
      </c>
      <c r="B1135" s="98" t="s">
        <v>62</v>
      </c>
      <c r="C1135" s="98" t="s">
        <v>238</v>
      </c>
      <c r="D1135" s="98" t="s">
        <v>642</v>
      </c>
      <c r="E1135" s="161" t="s">
        <v>1556</v>
      </c>
      <c r="F1135" s="98" t="s">
        <v>983</v>
      </c>
      <c r="G1135" s="172" t="s">
        <v>88</v>
      </c>
      <c r="H1135" s="100" t="s">
        <v>1557</v>
      </c>
      <c r="I1135" s="46" t="e">
        <f>VLOOKUP(H1135,'合同高级查询数据-4月返'!A:A,1,FALSE)</f>
        <v>#N/A</v>
      </c>
      <c r="J1135" s="47" t="s">
        <v>90</v>
      </c>
      <c r="K1135" s="160" t="s">
        <v>1558</v>
      </c>
      <c r="L1135" s="179"/>
      <c r="M1135" s="49" t="s">
        <v>986</v>
      </c>
      <c r="N1135" s="241">
        <v>43349</v>
      </c>
      <c r="O1135" s="229" t="s">
        <v>503</v>
      </c>
      <c r="P1135" s="207">
        <v>5950</v>
      </c>
      <c r="Q1135" s="207">
        <v>12</v>
      </c>
      <c r="R1135" s="118">
        <f t="shared" si="30"/>
        <v>71400</v>
      </c>
      <c r="S1135" s="115">
        <v>202304</v>
      </c>
      <c r="T1135" s="244" t="s">
        <v>1564</v>
      </c>
      <c r="U1135" s="245"/>
      <c r="V1135" s="165"/>
      <c r="W1135" s="165"/>
      <c r="X1135" s="116">
        <v>43525</v>
      </c>
      <c r="Y1135" s="116">
        <v>45549</v>
      </c>
    </row>
    <row r="1136" s="85" customFormat="1" customHeight="1" spans="1:25">
      <c r="A1136" s="98" t="s">
        <v>448</v>
      </c>
      <c r="B1136" s="98" t="s">
        <v>62</v>
      </c>
      <c r="C1136" s="98" t="s">
        <v>238</v>
      </c>
      <c r="D1136" s="98" t="s">
        <v>642</v>
      </c>
      <c r="E1136" s="161" t="s">
        <v>1556</v>
      </c>
      <c r="F1136" s="98" t="s">
        <v>983</v>
      </c>
      <c r="G1136" s="172" t="s">
        <v>88</v>
      </c>
      <c r="H1136" s="100" t="s">
        <v>1557</v>
      </c>
      <c r="I1136" s="46" t="e">
        <f>VLOOKUP(H1136,'合同高级查询数据-4月返'!A:A,1,FALSE)</f>
        <v>#N/A</v>
      </c>
      <c r="J1136" s="47" t="s">
        <v>90</v>
      </c>
      <c r="K1136" s="160" t="s">
        <v>1558</v>
      </c>
      <c r="L1136" s="179"/>
      <c r="M1136" s="49" t="s">
        <v>986</v>
      </c>
      <c r="N1136" s="241">
        <v>43349</v>
      </c>
      <c r="O1136" s="229" t="s">
        <v>507</v>
      </c>
      <c r="P1136" s="207">
        <v>11700</v>
      </c>
      <c r="Q1136" s="207">
        <v>57</v>
      </c>
      <c r="R1136" s="118">
        <f t="shared" si="30"/>
        <v>666900</v>
      </c>
      <c r="S1136" s="115">
        <v>202304</v>
      </c>
      <c r="T1136" s="244" t="s">
        <v>1565</v>
      </c>
      <c r="U1136" s="245"/>
      <c r="V1136" s="165"/>
      <c r="W1136" s="165"/>
      <c r="X1136" s="116">
        <v>43525</v>
      </c>
      <c r="Y1136" s="116">
        <v>45549</v>
      </c>
    </row>
    <row r="1137" s="85" customFormat="1" customHeight="1" spans="1:25">
      <c r="A1137" s="98" t="s">
        <v>448</v>
      </c>
      <c r="B1137" s="98" t="s">
        <v>62</v>
      </c>
      <c r="C1137" s="98" t="s">
        <v>238</v>
      </c>
      <c r="D1137" s="98" t="s">
        <v>642</v>
      </c>
      <c r="E1137" s="161" t="s">
        <v>1556</v>
      </c>
      <c r="F1137" s="98" t="s">
        <v>983</v>
      </c>
      <c r="G1137" s="172" t="s">
        <v>88</v>
      </c>
      <c r="H1137" s="100" t="s">
        <v>1557</v>
      </c>
      <c r="I1137" s="46" t="e">
        <f>VLOOKUP(H1137,'合同高级查询数据-4月返'!A:A,1,FALSE)</f>
        <v>#N/A</v>
      </c>
      <c r="J1137" s="47" t="s">
        <v>90</v>
      </c>
      <c r="K1137" s="160" t="s">
        <v>1558</v>
      </c>
      <c r="L1137" s="179"/>
      <c r="M1137" s="49" t="s">
        <v>986</v>
      </c>
      <c r="N1137" s="241">
        <v>43354</v>
      </c>
      <c r="O1137" s="229" t="s">
        <v>507</v>
      </c>
      <c r="P1137" s="207">
        <v>11700</v>
      </c>
      <c r="Q1137" s="207">
        <v>10</v>
      </c>
      <c r="R1137" s="118">
        <f t="shared" si="30"/>
        <v>117000</v>
      </c>
      <c r="S1137" s="115">
        <v>202304</v>
      </c>
      <c r="T1137" s="244" t="s">
        <v>1566</v>
      </c>
      <c r="U1137" s="245"/>
      <c r="V1137" s="165"/>
      <c r="W1137" s="165"/>
      <c r="X1137" s="116">
        <v>43525</v>
      </c>
      <c r="Y1137" s="116">
        <v>45549</v>
      </c>
    </row>
    <row r="1138" s="85" customFormat="1" customHeight="1" spans="1:25">
      <c r="A1138" s="98" t="s">
        <v>448</v>
      </c>
      <c r="B1138" s="98" t="s">
        <v>62</v>
      </c>
      <c r="C1138" s="98" t="s">
        <v>238</v>
      </c>
      <c r="D1138" s="98" t="s">
        <v>642</v>
      </c>
      <c r="E1138" s="161" t="s">
        <v>1556</v>
      </c>
      <c r="F1138" s="98" t="s">
        <v>983</v>
      </c>
      <c r="G1138" s="172" t="s">
        <v>88</v>
      </c>
      <c r="H1138" s="100" t="s">
        <v>1557</v>
      </c>
      <c r="I1138" s="46" t="e">
        <f>VLOOKUP(H1138,'合同高级查询数据-4月返'!A:A,1,FALSE)</f>
        <v>#N/A</v>
      </c>
      <c r="J1138" s="47" t="s">
        <v>90</v>
      </c>
      <c r="K1138" s="160" t="s">
        <v>1558</v>
      </c>
      <c r="L1138" s="179"/>
      <c r="M1138" s="49" t="s">
        <v>986</v>
      </c>
      <c r="N1138" s="241">
        <v>43355</v>
      </c>
      <c r="O1138" s="229" t="s">
        <v>507</v>
      </c>
      <c r="P1138" s="207">
        <v>11700</v>
      </c>
      <c r="Q1138" s="207">
        <v>12</v>
      </c>
      <c r="R1138" s="118">
        <f t="shared" si="30"/>
        <v>140400</v>
      </c>
      <c r="S1138" s="115">
        <v>202304</v>
      </c>
      <c r="T1138" s="244" t="s">
        <v>1567</v>
      </c>
      <c r="U1138" s="245"/>
      <c r="V1138" s="165"/>
      <c r="W1138" s="165"/>
      <c r="X1138" s="116">
        <v>43525</v>
      </c>
      <c r="Y1138" s="116">
        <v>45549</v>
      </c>
    </row>
    <row r="1139" s="85" customFormat="1" customHeight="1" spans="1:25">
      <c r="A1139" s="98" t="s">
        <v>448</v>
      </c>
      <c r="B1139" s="98" t="s">
        <v>62</v>
      </c>
      <c r="C1139" s="98" t="s">
        <v>238</v>
      </c>
      <c r="D1139" s="98" t="s">
        <v>642</v>
      </c>
      <c r="E1139" s="161" t="s">
        <v>1556</v>
      </c>
      <c r="F1139" s="98" t="s">
        <v>983</v>
      </c>
      <c r="G1139" s="172" t="s">
        <v>88</v>
      </c>
      <c r="H1139" s="100" t="s">
        <v>1557</v>
      </c>
      <c r="I1139" s="46" t="e">
        <f>VLOOKUP(H1139,'合同高级查询数据-4月返'!A:A,1,FALSE)</f>
        <v>#N/A</v>
      </c>
      <c r="J1139" s="47" t="s">
        <v>90</v>
      </c>
      <c r="K1139" s="160" t="s">
        <v>1558</v>
      </c>
      <c r="L1139" s="179"/>
      <c r="M1139" s="49" t="s">
        <v>986</v>
      </c>
      <c r="N1139" s="241">
        <v>43357</v>
      </c>
      <c r="O1139" s="229" t="s">
        <v>507</v>
      </c>
      <c r="P1139" s="207">
        <v>11700</v>
      </c>
      <c r="Q1139" s="207">
        <v>10</v>
      </c>
      <c r="R1139" s="118">
        <f t="shared" si="30"/>
        <v>117000</v>
      </c>
      <c r="S1139" s="115">
        <v>202304</v>
      </c>
      <c r="T1139" s="244" t="s">
        <v>1568</v>
      </c>
      <c r="U1139" s="245"/>
      <c r="V1139" s="165"/>
      <c r="W1139" s="165"/>
      <c r="X1139" s="116">
        <v>43525</v>
      </c>
      <c r="Y1139" s="116">
        <v>45549</v>
      </c>
    </row>
    <row r="1140" s="85" customFormat="1" customHeight="1" spans="1:25">
      <c r="A1140" s="98" t="s">
        <v>448</v>
      </c>
      <c r="B1140" s="98" t="s">
        <v>62</v>
      </c>
      <c r="C1140" s="98" t="s">
        <v>238</v>
      </c>
      <c r="D1140" s="98" t="s">
        <v>642</v>
      </c>
      <c r="E1140" s="161" t="s">
        <v>1556</v>
      </c>
      <c r="F1140" s="98" t="s">
        <v>983</v>
      </c>
      <c r="G1140" s="172" t="s">
        <v>88</v>
      </c>
      <c r="H1140" s="100" t="s">
        <v>1557</v>
      </c>
      <c r="I1140" s="46" t="e">
        <f>VLOOKUP(H1140,'合同高级查询数据-4月返'!A:A,1,FALSE)</f>
        <v>#N/A</v>
      </c>
      <c r="J1140" s="47" t="s">
        <v>90</v>
      </c>
      <c r="K1140" s="160" t="s">
        <v>1558</v>
      </c>
      <c r="L1140" s="179"/>
      <c r="M1140" s="49" t="s">
        <v>986</v>
      </c>
      <c r="N1140" s="241">
        <v>43361</v>
      </c>
      <c r="O1140" s="229" t="s">
        <v>507</v>
      </c>
      <c r="P1140" s="207">
        <v>11700</v>
      </c>
      <c r="Q1140" s="207">
        <v>24</v>
      </c>
      <c r="R1140" s="118">
        <f t="shared" si="30"/>
        <v>280800</v>
      </c>
      <c r="S1140" s="115">
        <v>202304</v>
      </c>
      <c r="T1140" s="244" t="s">
        <v>1569</v>
      </c>
      <c r="U1140" s="245"/>
      <c r="V1140" s="165"/>
      <c r="W1140" s="165"/>
      <c r="X1140" s="116">
        <v>43525</v>
      </c>
      <c r="Y1140" s="116">
        <v>45549</v>
      </c>
    </row>
    <row r="1141" s="85" customFormat="1" customHeight="1" spans="1:25">
      <c r="A1141" s="98" t="s">
        <v>448</v>
      </c>
      <c r="B1141" s="98" t="s">
        <v>62</v>
      </c>
      <c r="C1141" s="98" t="s">
        <v>238</v>
      </c>
      <c r="D1141" s="98" t="s">
        <v>642</v>
      </c>
      <c r="E1141" s="161" t="s">
        <v>1556</v>
      </c>
      <c r="F1141" s="98" t="s">
        <v>983</v>
      </c>
      <c r="G1141" s="172" t="s">
        <v>88</v>
      </c>
      <c r="H1141" s="100" t="s">
        <v>1557</v>
      </c>
      <c r="I1141" s="46" t="e">
        <f>VLOOKUP(H1141,'合同高级查询数据-4月返'!A:A,1,FALSE)</f>
        <v>#N/A</v>
      </c>
      <c r="J1141" s="47" t="s">
        <v>90</v>
      </c>
      <c r="K1141" s="160" t="s">
        <v>1558</v>
      </c>
      <c r="L1141" s="179"/>
      <c r="M1141" s="49" t="s">
        <v>986</v>
      </c>
      <c r="N1141" s="241">
        <v>43362</v>
      </c>
      <c r="O1141" s="229" t="s">
        <v>507</v>
      </c>
      <c r="P1141" s="207">
        <v>11700</v>
      </c>
      <c r="Q1141" s="207">
        <v>12</v>
      </c>
      <c r="R1141" s="118">
        <f t="shared" si="30"/>
        <v>140400</v>
      </c>
      <c r="S1141" s="115">
        <v>202304</v>
      </c>
      <c r="T1141" s="244" t="s">
        <v>1570</v>
      </c>
      <c r="U1141" s="245"/>
      <c r="V1141" s="165"/>
      <c r="W1141" s="165"/>
      <c r="X1141" s="116">
        <v>43525</v>
      </c>
      <c r="Y1141" s="116">
        <v>45549</v>
      </c>
    </row>
    <row r="1142" s="85" customFormat="1" customHeight="1" spans="1:25">
      <c r="A1142" s="98" t="s">
        <v>448</v>
      </c>
      <c r="B1142" s="98" t="s">
        <v>62</v>
      </c>
      <c r="C1142" s="98" t="s">
        <v>238</v>
      </c>
      <c r="D1142" s="98" t="s">
        <v>642</v>
      </c>
      <c r="E1142" s="161" t="s">
        <v>1556</v>
      </c>
      <c r="F1142" s="98" t="s">
        <v>983</v>
      </c>
      <c r="G1142" s="172" t="s">
        <v>88</v>
      </c>
      <c r="H1142" s="100" t="s">
        <v>1557</v>
      </c>
      <c r="I1142" s="46" t="e">
        <f>VLOOKUP(H1142,'合同高级查询数据-4月返'!A:A,1,FALSE)</f>
        <v>#N/A</v>
      </c>
      <c r="J1142" s="47" t="s">
        <v>90</v>
      </c>
      <c r="K1142" s="160" t="s">
        <v>1558</v>
      </c>
      <c r="L1142" s="179"/>
      <c r="M1142" s="49" t="s">
        <v>986</v>
      </c>
      <c r="N1142" s="241">
        <v>43364</v>
      </c>
      <c r="O1142" s="229" t="s">
        <v>507</v>
      </c>
      <c r="P1142" s="207">
        <v>11700</v>
      </c>
      <c r="Q1142" s="207">
        <v>4</v>
      </c>
      <c r="R1142" s="118">
        <f t="shared" si="30"/>
        <v>46800</v>
      </c>
      <c r="S1142" s="115">
        <v>202304</v>
      </c>
      <c r="T1142" s="244" t="s">
        <v>1571</v>
      </c>
      <c r="U1142" s="245"/>
      <c r="V1142" s="165"/>
      <c r="W1142" s="165"/>
      <c r="X1142" s="116">
        <v>43525</v>
      </c>
      <c r="Y1142" s="116">
        <v>45549</v>
      </c>
    </row>
    <row r="1143" s="85" customFormat="1" customHeight="1" spans="1:25">
      <c r="A1143" s="98" t="s">
        <v>448</v>
      </c>
      <c r="B1143" s="98" t="s">
        <v>62</v>
      </c>
      <c r="C1143" s="98" t="s">
        <v>238</v>
      </c>
      <c r="D1143" s="98" t="s">
        <v>642</v>
      </c>
      <c r="E1143" s="161" t="s">
        <v>1556</v>
      </c>
      <c r="F1143" s="98" t="s">
        <v>983</v>
      </c>
      <c r="G1143" s="172" t="s">
        <v>88</v>
      </c>
      <c r="H1143" s="100" t="s">
        <v>1557</v>
      </c>
      <c r="I1143" s="46" t="e">
        <f>VLOOKUP(H1143,'合同高级查询数据-4月返'!A:A,1,FALSE)</f>
        <v>#N/A</v>
      </c>
      <c r="J1143" s="47" t="s">
        <v>90</v>
      </c>
      <c r="K1143" s="160" t="s">
        <v>1558</v>
      </c>
      <c r="L1143" s="179"/>
      <c r="M1143" s="49" t="s">
        <v>986</v>
      </c>
      <c r="N1143" s="241">
        <v>43369</v>
      </c>
      <c r="O1143" s="229" t="s">
        <v>507</v>
      </c>
      <c r="P1143" s="207">
        <v>11700</v>
      </c>
      <c r="Q1143" s="207">
        <v>5</v>
      </c>
      <c r="R1143" s="118">
        <f t="shared" si="30"/>
        <v>58500</v>
      </c>
      <c r="S1143" s="115">
        <v>202304</v>
      </c>
      <c r="T1143" s="244" t="s">
        <v>1572</v>
      </c>
      <c r="U1143" s="245"/>
      <c r="V1143" s="165"/>
      <c r="W1143" s="165"/>
      <c r="X1143" s="116">
        <v>43525</v>
      </c>
      <c r="Y1143" s="116">
        <v>45549</v>
      </c>
    </row>
    <row r="1144" s="85" customFormat="1" customHeight="1" spans="1:25">
      <c r="A1144" s="98" t="s">
        <v>448</v>
      </c>
      <c r="B1144" s="98" t="s">
        <v>62</v>
      </c>
      <c r="C1144" s="98" t="s">
        <v>238</v>
      </c>
      <c r="D1144" s="98" t="s">
        <v>642</v>
      </c>
      <c r="E1144" s="161" t="s">
        <v>1556</v>
      </c>
      <c r="F1144" s="98" t="s">
        <v>983</v>
      </c>
      <c r="G1144" s="172" t="s">
        <v>88</v>
      </c>
      <c r="H1144" s="100" t="s">
        <v>1557</v>
      </c>
      <c r="I1144" s="46" t="e">
        <f>VLOOKUP(H1144,'合同高级查询数据-4月返'!A:A,1,FALSE)</f>
        <v>#N/A</v>
      </c>
      <c r="J1144" s="47" t="s">
        <v>90</v>
      </c>
      <c r="K1144" s="160" t="s">
        <v>1558</v>
      </c>
      <c r="L1144" s="179"/>
      <c r="M1144" s="49" t="s">
        <v>986</v>
      </c>
      <c r="N1144" s="241">
        <v>43371</v>
      </c>
      <c r="O1144" s="229" t="s">
        <v>507</v>
      </c>
      <c r="P1144" s="207">
        <v>11700</v>
      </c>
      <c r="Q1144" s="207">
        <v>3</v>
      </c>
      <c r="R1144" s="118">
        <f t="shared" si="30"/>
        <v>35100</v>
      </c>
      <c r="S1144" s="115">
        <v>202304</v>
      </c>
      <c r="T1144" s="244" t="s">
        <v>1573</v>
      </c>
      <c r="U1144" s="245"/>
      <c r="V1144" s="165"/>
      <c r="W1144" s="165"/>
      <c r="X1144" s="116">
        <v>43525</v>
      </c>
      <c r="Y1144" s="116">
        <v>45549</v>
      </c>
    </row>
    <row r="1145" s="85" customFormat="1" customHeight="1" spans="1:25">
      <c r="A1145" s="98" t="s">
        <v>448</v>
      </c>
      <c r="B1145" s="98" t="s">
        <v>62</v>
      </c>
      <c r="C1145" s="98" t="s">
        <v>238</v>
      </c>
      <c r="D1145" s="98" t="s">
        <v>642</v>
      </c>
      <c r="E1145" s="161" t="s">
        <v>1556</v>
      </c>
      <c r="F1145" s="98" t="s">
        <v>983</v>
      </c>
      <c r="G1145" s="172" t="s">
        <v>88</v>
      </c>
      <c r="H1145" s="100" t="s">
        <v>1557</v>
      </c>
      <c r="I1145" s="46" t="e">
        <f>VLOOKUP(H1145,'合同高级查询数据-4月返'!A:A,1,FALSE)</f>
        <v>#N/A</v>
      </c>
      <c r="J1145" s="47" t="s">
        <v>90</v>
      </c>
      <c r="K1145" s="160" t="s">
        <v>1558</v>
      </c>
      <c r="L1145" s="179"/>
      <c r="M1145" s="49" t="s">
        <v>986</v>
      </c>
      <c r="N1145" s="241">
        <v>43372</v>
      </c>
      <c r="O1145" s="229" t="s">
        <v>507</v>
      </c>
      <c r="P1145" s="207">
        <v>11700</v>
      </c>
      <c r="Q1145" s="207">
        <v>10</v>
      </c>
      <c r="R1145" s="118">
        <f t="shared" si="30"/>
        <v>117000</v>
      </c>
      <c r="S1145" s="115">
        <v>202304</v>
      </c>
      <c r="T1145" s="244" t="s">
        <v>1574</v>
      </c>
      <c r="U1145" s="245"/>
      <c r="V1145" s="165"/>
      <c r="W1145" s="165"/>
      <c r="X1145" s="116">
        <v>43525</v>
      </c>
      <c r="Y1145" s="116">
        <v>45549</v>
      </c>
    </row>
    <row r="1146" s="85" customFormat="1" customHeight="1" spans="1:25">
      <c r="A1146" s="98" t="s">
        <v>448</v>
      </c>
      <c r="B1146" s="98" t="s">
        <v>62</v>
      </c>
      <c r="C1146" s="98" t="s">
        <v>238</v>
      </c>
      <c r="D1146" s="98" t="s">
        <v>642</v>
      </c>
      <c r="E1146" s="161" t="s">
        <v>1556</v>
      </c>
      <c r="F1146" s="98" t="s">
        <v>983</v>
      </c>
      <c r="G1146" s="172" t="s">
        <v>88</v>
      </c>
      <c r="H1146" s="100" t="s">
        <v>1557</v>
      </c>
      <c r="I1146" s="46" t="e">
        <f>VLOOKUP(H1146,'合同高级查询数据-4月返'!A:A,1,FALSE)</f>
        <v>#N/A</v>
      </c>
      <c r="J1146" s="47" t="s">
        <v>90</v>
      </c>
      <c r="K1146" s="160" t="s">
        <v>1558</v>
      </c>
      <c r="L1146" s="179"/>
      <c r="M1146" s="49" t="s">
        <v>986</v>
      </c>
      <c r="N1146" s="241">
        <v>43373</v>
      </c>
      <c r="O1146" s="229" t="s">
        <v>507</v>
      </c>
      <c r="P1146" s="207">
        <v>11700</v>
      </c>
      <c r="Q1146" s="207">
        <v>6</v>
      </c>
      <c r="R1146" s="118">
        <f t="shared" si="30"/>
        <v>70200</v>
      </c>
      <c r="S1146" s="115">
        <v>202304</v>
      </c>
      <c r="T1146" s="244" t="s">
        <v>1575</v>
      </c>
      <c r="U1146" s="245"/>
      <c r="V1146" s="165"/>
      <c r="W1146" s="165"/>
      <c r="X1146" s="116">
        <v>43525</v>
      </c>
      <c r="Y1146" s="116">
        <v>45549</v>
      </c>
    </row>
    <row r="1147" s="85" customFormat="1" customHeight="1" spans="1:25">
      <c r="A1147" s="98" t="s">
        <v>448</v>
      </c>
      <c r="B1147" s="98" t="s">
        <v>62</v>
      </c>
      <c r="C1147" s="98" t="s">
        <v>238</v>
      </c>
      <c r="D1147" s="98" t="s">
        <v>642</v>
      </c>
      <c r="E1147" s="161" t="s">
        <v>1556</v>
      </c>
      <c r="F1147" s="98" t="s">
        <v>983</v>
      </c>
      <c r="G1147" s="172" t="s">
        <v>88</v>
      </c>
      <c r="H1147" s="100" t="s">
        <v>1557</v>
      </c>
      <c r="I1147" s="46" t="e">
        <f>VLOOKUP(H1147,'合同高级查询数据-4月返'!A:A,1,FALSE)</f>
        <v>#N/A</v>
      </c>
      <c r="J1147" s="47" t="s">
        <v>90</v>
      </c>
      <c r="K1147" s="160" t="s">
        <v>1558</v>
      </c>
      <c r="L1147" s="179"/>
      <c r="M1147" s="49" t="s">
        <v>986</v>
      </c>
      <c r="N1147" s="241">
        <v>43381</v>
      </c>
      <c r="O1147" s="229" t="s">
        <v>507</v>
      </c>
      <c r="P1147" s="207">
        <v>11700</v>
      </c>
      <c r="Q1147" s="207">
        <v>2</v>
      </c>
      <c r="R1147" s="118">
        <f t="shared" si="30"/>
        <v>23400</v>
      </c>
      <c r="S1147" s="115">
        <v>202304</v>
      </c>
      <c r="T1147" s="244" t="s">
        <v>1576</v>
      </c>
      <c r="U1147" s="245"/>
      <c r="V1147" s="165"/>
      <c r="W1147" s="165"/>
      <c r="X1147" s="116">
        <v>43525</v>
      </c>
      <c r="Y1147" s="116">
        <v>45549</v>
      </c>
    </row>
    <row r="1148" s="85" customFormat="1" customHeight="1" spans="1:25">
      <c r="A1148" s="98" t="s">
        <v>448</v>
      </c>
      <c r="B1148" s="98" t="s">
        <v>62</v>
      </c>
      <c r="C1148" s="98" t="s">
        <v>238</v>
      </c>
      <c r="D1148" s="98" t="s">
        <v>642</v>
      </c>
      <c r="E1148" s="161" t="s">
        <v>1556</v>
      </c>
      <c r="F1148" s="98" t="s">
        <v>983</v>
      </c>
      <c r="G1148" s="172" t="s">
        <v>88</v>
      </c>
      <c r="H1148" s="100" t="s">
        <v>1557</v>
      </c>
      <c r="I1148" s="46" t="e">
        <f>VLOOKUP(H1148,'合同高级查询数据-4月返'!A:A,1,FALSE)</f>
        <v>#N/A</v>
      </c>
      <c r="J1148" s="47" t="s">
        <v>90</v>
      </c>
      <c r="K1148" s="160" t="s">
        <v>1558</v>
      </c>
      <c r="L1148" s="179"/>
      <c r="M1148" s="49" t="s">
        <v>986</v>
      </c>
      <c r="N1148" s="241">
        <v>43384</v>
      </c>
      <c r="O1148" s="229" t="s">
        <v>507</v>
      </c>
      <c r="P1148" s="207">
        <v>11700</v>
      </c>
      <c r="Q1148" s="207">
        <v>7</v>
      </c>
      <c r="R1148" s="118">
        <f t="shared" si="30"/>
        <v>81900</v>
      </c>
      <c r="S1148" s="115">
        <v>202304</v>
      </c>
      <c r="T1148" s="244" t="s">
        <v>1577</v>
      </c>
      <c r="U1148" s="245"/>
      <c r="V1148" s="165"/>
      <c r="W1148" s="165"/>
      <c r="X1148" s="116">
        <v>43525</v>
      </c>
      <c r="Y1148" s="116">
        <v>45549</v>
      </c>
    </row>
    <row r="1149" s="85" customFormat="1" customHeight="1" spans="1:25">
      <c r="A1149" s="98" t="s">
        <v>448</v>
      </c>
      <c r="B1149" s="98" t="s">
        <v>62</v>
      </c>
      <c r="C1149" s="98" t="s">
        <v>238</v>
      </c>
      <c r="D1149" s="98" t="s">
        <v>642</v>
      </c>
      <c r="E1149" s="161" t="s">
        <v>1556</v>
      </c>
      <c r="F1149" s="98" t="s">
        <v>983</v>
      </c>
      <c r="G1149" s="172" t="s">
        <v>88</v>
      </c>
      <c r="H1149" s="100" t="s">
        <v>1557</v>
      </c>
      <c r="I1149" s="46" t="e">
        <f>VLOOKUP(H1149,'合同高级查询数据-4月返'!A:A,1,FALSE)</f>
        <v>#N/A</v>
      </c>
      <c r="J1149" s="47" t="s">
        <v>90</v>
      </c>
      <c r="K1149" s="160" t="s">
        <v>1558</v>
      </c>
      <c r="L1149" s="179"/>
      <c r="M1149" s="49" t="s">
        <v>986</v>
      </c>
      <c r="N1149" s="241">
        <v>43390</v>
      </c>
      <c r="O1149" s="229" t="s">
        <v>507</v>
      </c>
      <c r="P1149" s="207">
        <v>11700</v>
      </c>
      <c r="Q1149" s="207">
        <v>2</v>
      </c>
      <c r="R1149" s="118">
        <f t="shared" si="30"/>
        <v>23400</v>
      </c>
      <c r="S1149" s="115">
        <v>202304</v>
      </c>
      <c r="T1149" s="244" t="s">
        <v>1578</v>
      </c>
      <c r="U1149" s="245"/>
      <c r="V1149" s="165"/>
      <c r="W1149" s="165"/>
      <c r="X1149" s="116">
        <v>43525</v>
      </c>
      <c r="Y1149" s="116">
        <v>45549</v>
      </c>
    </row>
    <row r="1150" s="85" customFormat="1" customHeight="1" spans="1:25">
      <c r="A1150" s="98" t="s">
        <v>448</v>
      </c>
      <c r="B1150" s="98" t="s">
        <v>62</v>
      </c>
      <c r="C1150" s="98" t="s">
        <v>238</v>
      </c>
      <c r="D1150" s="98" t="s">
        <v>642</v>
      </c>
      <c r="E1150" s="161" t="s">
        <v>1556</v>
      </c>
      <c r="F1150" s="98" t="s">
        <v>983</v>
      </c>
      <c r="G1150" s="172" t="s">
        <v>88</v>
      </c>
      <c r="H1150" s="100" t="s">
        <v>1557</v>
      </c>
      <c r="I1150" s="46" t="e">
        <f>VLOOKUP(H1150,'合同高级查询数据-4月返'!A:A,1,FALSE)</f>
        <v>#N/A</v>
      </c>
      <c r="J1150" s="47" t="s">
        <v>90</v>
      </c>
      <c r="K1150" s="160" t="s">
        <v>1558</v>
      </c>
      <c r="L1150" s="179"/>
      <c r="M1150" s="49" t="s">
        <v>986</v>
      </c>
      <c r="N1150" s="241">
        <v>43395</v>
      </c>
      <c r="O1150" s="229" t="s">
        <v>507</v>
      </c>
      <c r="P1150" s="207">
        <v>11700</v>
      </c>
      <c r="Q1150" s="207">
        <v>13</v>
      </c>
      <c r="R1150" s="118">
        <f t="shared" si="30"/>
        <v>152100</v>
      </c>
      <c r="S1150" s="115">
        <v>202304</v>
      </c>
      <c r="T1150" s="244" t="s">
        <v>1579</v>
      </c>
      <c r="U1150" s="245"/>
      <c r="V1150" s="165"/>
      <c r="W1150" s="165"/>
      <c r="X1150" s="116">
        <v>43525</v>
      </c>
      <c r="Y1150" s="116">
        <v>45549</v>
      </c>
    </row>
    <row r="1151" s="85" customFormat="1" customHeight="1" spans="1:25">
      <c r="A1151" s="98" t="s">
        <v>448</v>
      </c>
      <c r="B1151" s="98" t="s">
        <v>62</v>
      </c>
      <c r="C1151" s="98" t="s">
        <v>238</v>
      </c>
      <c r="D1151" s="98" t="s">
        <v>642</v>
      </c>
      <c r="E1151" s="161" t="s">
        <v>1556</v>
      </c>
      <c r="F1151" s="98" t="s">
        <v>983</v>
      </c>
      <c r="G1151" s="172" t="s">
        <v>88</v>
      </c>
      <c r="H1151" s="100" t="s">
        <v>1557</v>
      </c>
      <c r="I1151" s="46" t="e">
        <f>VLOOKUP(H1151,'合同高级查询数据-4月返'!A:A,1,FALSE)</f>
        <v>#N/A</v>
      </c>
      <c r="J1151" s="47" t="s">
        <v>90</v>
      </c>
      <c r="K1151" s="160" t="s">
        <v>1558</v>
      </c>
      <c r="L1151" s="179"/>
      <c r="M1151" s="49" t="s">
        <v>986</v>
      </c>
      <c r="N1151" s="241">
        <v>43397</v>
      </c>
      <c r="O1151" s="229" t="s">
        <v>507</v>
      </c>
      <c r="P1151" s="207">
        <v>11700</v>
      </c>
      <c r="Q1151" s="207">
        <v>6</v>
      </c>
      <c r="R1151" s="118">
        <f t="shared" si="30"/>
        <v>70200</v>
      </c>
      <c r="S1151" s="115">
        <v>202304</v>
      </c>
      <c r="T1151" s="244" t="s">
        <v>1580</v>
      </c>
      <c r="U1151" s="245"/>
      <c r="V1151" s="165"/>
      <c r="W1151" s="165"/>
      <c r="X1151" s="116">
        <v>43525</v>
      </c>
      <c r="Y1151" s="116">
        <v>45549</v>
      </c>
    </row>
    <row r="1152" s="85" customFormat="1" customHeight="1" spans="1:25">
      <c r="A1152" s="98" t="s">
        <v>448</v>
      </c>
      <c r="B1152" s="98" t="s">
        <v>62</v>
      </c>
      <c r="C1152" s="98" t="s">
        <v>238</v>
      </c>
      <c r="D1152" s="98" t="s">
        <v>642</v>
      </c>
      <c r="E1152" s="161" t="s">
        <v>1556</v>
      </c>
      <c r="F1152" s="98" t="s">
        <v>983</v>
      </c>
      <c r="G1152" s="172" t="s">
        <v>88</v>
      </c>
      <c r="H1152" s="100" t="s">
        <v>1557</v>
      </c>
      <c r="I1152" s="46" t="e">
        <f>VLOOKUP(H1152,'合同高级查询数据-4月返'!A:A,1,FALSE)</f>
        <v>#N/A</v>
      </c>
      <c r="J1152" s="47" t="s">
        <v>90</v>
      </c>
      <c r="K1152" s="160" t="s">
        <v>1558</v>
      </c>
      <c r="L1152" s="179"/>
      <c r="M1152" s="49" t="s">
        <v>986</v>
      </c>
      <c r="N1152" s="241">
        <v>43403</v>
      </c>
      <c r="O1152" s="229" t="s">
        <v>507</v>
      </c>
      <c r="P1152" s="207">
        <v>11700</v>
      </c>
      <c r="Q1152" s="207">
        <v>5</v>
      </c>
      <c r="R1152" s="118">
        <f t="shared" si="30"/>
        <v>58500</v>
      </c>
      <c r="S1152" s="115">
        <v>202304</v>
      </c>
      <c r="T1152" s="217" t="s">
        <v>1581</v>
      </c>
      <c r="U1152" s="165"/>
      <c r="V1152" s="165"/>
      <c r="W1152" s="165"/>
      <c r="X1152" s="116">
        <v>43525</v>
      </c>
      <c r="Y1152" s="116">
        <v>45549</v>
      </c>
    </row>
    <row r="1153" s="85" customFormat="1" customHeight="1" spans="1:25">
      <c r="A1153" s="98" t="s">
        <v>448</v>
      </c>
      <c r="B1153" s="98" t="s">
        <v>62</v>
      </c>
      <c r="C1153" s="98" t="s">
        <v>238</v>
      </c>
      <c r="D1153" s="98" t="s">
        <v>642</v>
      </c>
      <c r="E1153" s="161" t="s">
        <v>1556</v>
      </c>
      <c r="F1153" s="98" t="s">
        <v>983</v>
      </c>
      <c r="G1153" s="172" t="s">
        <v>88</v>
      </c>
      <c r="H1153" s="100" t="s">
        <v>1557</v>
      </c>
      <c r="I1153" s="46" t="e">
        <f>VLOOKUP(H1153,'合同高级查询数据-4月返'!A:A,1,FALSE)</f>
        <v>#N/A</v>
      </c>
      <c r="J1153" s="47" t="s">
        <v>90</v>
      </c>
      <c r="K1153" s="160" t="s">
        <v>1558</v>
      </c>
      <c r="L1153" s="179"/>
      <c r="M1153" s="49" t="s">
        <v>986</v>
      </c>
      <c r="N1153" s="241">
        <v>43404</v>
      </c>
      <c r="O1153" s="229" t="s">
        <v>507</v>
      </c>
      <c r="P1153" s="207">
        <v>11700</v>
      </c>
      <c r="Q1153" s="207">
        <v>4</v>
      </c>
      <c r="R1153" s="118">
        <f t="shared" si="30"/>
        <v>46800</v>
      </c>
      <c r="S1153" s="115">
        <v>202304</v>
      </c>
      <c r="T1153" s="217" t="s">
        <v>1582</v>
      </c>
      <c r="U1153" s="165"/>
      <c r="V1153" s="165"/>
      <c r="W1153" s="165"/>
      <c r="X1153" s="116">
        <v>43525</v>
      </c>
      <c r="Y1153" s="116">
        <v>45549</v>
      </c>
    </row>
    <row r="1154" s="85" customFormat="1" customHeight="1" spans="1:25">
      <c r="A1154" s="98" t="s">
        <v>448</v>
      </c>
      <c r="B1154" s="98" t="s">
        <v>62</v>
      </c>
      <c r="C1154" s="98" t="s">
        <v>238</v>
      </c>
      <c r="D1154" s="98" t="s">
        <v>642</v>
      </c>
      <c r="E1154" s="161" t="s">
        <v>1556</v>
      </c>
      <c r="F1154" s="98" t="s">
        <v>983</v>
      </c>
      <c r="G1154" s="172" t="s">
        <v>88</v>
      </c>
      <c r="H1154" s="100" t="s">
        <v>1557</v>
      </c>
      <c r="I1154" s="46" t="e">
        <f>VLOOKUP(H1154,'合同高级查询数据-4月返'!A:A,1,FALSE)</f>
        <v>#N/A</v>
      </c>
      <c r="J1154" s="47" t="s">
        <v>90</v>
      </c>
      <c r="K1154" s="160" t="s">
        <v>1558</v>
      </c>
      <c r="L1154" s="179"/>
      <c r="M1154" s="49" t="s">
        <v>986</v>
      </c>
      <c r="N1154" s="241">
        <v>43410</v>
      </c>
      <c r="O1154" s="229" t="s">
        <v>507</v>
      </c>
      <c r="P1154" s="207">
        <v>11700</v>
      </c>
      <c r="Q1154" s="207">
        <v>24</v>
      </c>
      <c r="R1154" s="118">
        <f t="shared" si="30"/>
        <v>280800</v>
      </c>
      <c r="S1154" s="115">
        <v>202304</v>
      </c>
      <c r="T1154" s="217" t="s">
        <v>1583</v>
      </c>
      <c r="U1154" s="165"/>
      <c r="V1154" s="165"/>
      <c r="W1154" s="165"/>
      <c r="X1154" s="116">
        <v>43525</v>
      </c>
      <c r="Y1154" s="116">
        <v>45549</v>
      </c>
    </row>
    <row r="1155" s="85" customFormat="1" customHeight="1" spans="1:25">
      <c r="A1155" s="98" t="s">
        <v>448</v>
      </c>
      <c r="B1155" s="98" t="s">
        <v>62</v>
      </c>
      <c r="C1155" s="98" t="s">
        <v>238</v>
      </c>
      <c r="D1155" s="98" t="s">
        <v>642</v>
      </c>
      <c r="E1155" s="161" t="s">
        <v>1556</v>
      </c>
      <c r="F1155" s="98" t="s">
        <v>983</v>
      </c>
      <c r="G1155" s="172" t="s">
        <v>88</v>
      </c>
      <c r="H1155" s="100" t="s">
        <v>1557</v>
      </c>
      <c r="I1155" s="46" t="e">
        <f>VLOOKUP(H1155,'合同高级查询数据-4月返'!A:A,1,FALSE)</f>
        <v>#N/A</v>
      </c>
      <c r="J1155" s="47" t="s">
        <v>90</v>
      </c>
      <c r="K1155" s="160" t="s">
        <v>1558</v>
      </c>
      <c r="L1155" s="179"/>
      <c r="M1155" s="49" t="s">
        <v>986</v>
      </c>
      <c r="N1155" s="241">
        <v>43411</v>
      </c>
      <c r="O1155" s="229" t="s">
        <v>507</v>
      </c>
      <c r="P1155" s="207">
        <v>11700</v>
      </c>
      <c r="Q1155" s="207">
        <v>5</v>
      </c>
      <c r="R1155" s="118">
        <f t="shared" si="30"/>
        <v>58500</v>
      </c>
      <c r="S1155" s="115">
        <v>202304</v>
      </c>
      <c r="T1155" s="217" t="s">
        <v>1584</v>
      </c>
      <c r="U1155" s="165"/>
      <c r="V1155" s="165"/>
      <c r="W1155" s="165"/>
      <c r="X1155" s="116">
        <v>43525</v>
      </c>
      <c r="Y1155" s="116">
        <v>45549</v>
      </c>
    </row>
    <row r="1156" s="85" customFormat="1" customHeight="1" spans="1:25">
      <c r="A1156" s="98" t="s">
        <v>448</v>
      </c>
      <c r="B1156" s="98" t="s">
        <v>62</v>
      </c>
      <c r="C1156" s="98" t="s">
        <v>238</v>
      </c>
      <c r="D1156" s="98" t="s">
        <v>642</v>
      </c>
      <c r="E1156" s="161" t="s">
        <v>1556</v>
      </c>
      <c r="F1156" s="98" t="s">
        <v>983</v>
      </c>
      <c r="G1156" s="172" t="s">
        <v>88</v>
      </c>
      <c r="H1156" s="100" t="s">
        <v>1557</v>
      </c>
      <c r="I1156" s="46" t="e">
        <f>VLOOKUP(H1156,'合同高级查询数据-4月返'!A:A,1,FALSE)</f>
        <v>#N/A</v>
      </c>
      <c r="J1156" s="47" t="s">
        <v>90</v>
      </c>
      <c r="K1156" s="160" t="s">
        <v>1558</v>
      </c>
      <c r="L1156" s="179"/>
      <c r="M1156" s="49" t="s">
        <v>986</v>
      </c>
      <c r="N1156" s="241">
        <v>43416</v>
      </c>
      <c r="O1156" s="229" t="s">
        <v>507</v>
      </c>
      <c r="P1156" s="207">
        <v>11700</v>
      </c>
      <c r="Q1156" s="207">
        <v>2</v>
      </c>
      <c r="R1156" s="118">
        <f t="shared" si="30"/>
        <v>23400</v>
      </c>
      <c r="S1156" s="115">
        <v>202304</v>
      </c>
      <c r="T1156" s="217" t="s">
        <v>1585</v>
      </c>
      <c r="U1156" s="165"/>
      <c r="V1156" s="165"/>
      <c r="W1156" s="165"/>
      <c r="X1156" s="116">
        <v>43525</v>
      </c>
      <c r="Y1156" s="116">
        <v>45549</v>
      </c>
    </row>
    <row r="1157" s="85" customFormat="1" customHeight="1" spans="1:25">
      <c r="A1157" s="98" t="s">
        <v>448</v>
      </c>
      <c r="B1157" s="98" t="s">
        <v>62</v>
      </c>
      <c r="C1157" s="98" t="s">
        <v>238</v>
      </c>
      <c r="D1157" s="98" t="s">
        <v>642</v>
      </c>
      <c r="E1157" s="161" t="s">
        <v>1556</v>
      </c>
      <c r="F1157" s="98" t="s">
        <v>983</v>
      </c>
      <c r="G1157" s="172" t="s">
        <v>88</v>
      </c>
      <c r="H1157" s="100" t="s">
        <v>1557</v>
      </c>
      <c r="I1157" s="46" t="e">
        <f>VLOOKUP(H1157,'合同高级查询数据-4月返'!A:A,1,FALSE)</f>
        <v>#N/A</v>
      </c>
      <c r="J1157" s="47" t="s">
        <v>90</v>
      </c>
      <c r="K1157" s="160" t="s">
        <v>1558</v>
      </c>
      <c r="L1157" s="179"/>
      <c r="M1157" s="49" t="s">
        <v>986</v>
      </c>
      <c r="N1157" s="241">
        <v>43417</v>
      </c>
      <c r="O1157" s="229" t="s">
        <v>507</v>
      </c>
      <c r="P1157" s="207">
        <v>11700</v>
      </c>
      <c r="Q1157" s="207">
        <v>14</v>
      </c>
      <c r="R1157" s="118">
        <f t="shared" si="30"/>
        <v>163800</v>
      </c>
      <c r="S1157" s="115">
        <v>202304</v>
      </c>
      <c r="T1157" s="217" t="s">
        <v>1586</v>
      </c>
      <c r="U1157" s="165"/>
      <c r="V1157" s="165"/>
      <c r="W1157" s="165"/>
      <c r="X1157" s="116">
        <v>43525</v>
      </c>
      <c r="Y1157" s="116">
        <v>45549</v>
      </c>
    </row>
    <row r="1158" s="85" customFormat="1" customHeight="1" spans="1:25">
      <c r="A1158" s="98" t="s">
        <v>448</v>
      </c>
      <c r="B1158" s="98" t="s">
        <v>62</v>
      </c>
      <c r="C1158" s="98" t="s">
        <v>238</v>
      </c>
      <c r="D1158" s="98" t="s">
        <v>642</v>
      </c>
      <c r="E1158" s="161" t="s">
        <v>1556</v>
      </c>
      <c r="F1158" s="98" t="s">
        <v>983</v>
      </c>
      <c r="G1158" s="172" t="s">
        <v>88</v>
      </c>
      <c r="H1158" s="100" t="s">
        <v>1557</v>
      </c>
      <c r="I1158" s="46" t="e">
        <f>VLOOKUP(H1158,'合同高级查询数据-4月返'!A:A,1,FALSE)</f>
        <v>#N/A</v>
      </c>
      <c r="J1158" s="47" t="s">
        <v>90</v>
      </c>
      <c r="K1158" s="160" t="s">
        <v>1558</v>
      </c>
      <c r="L1158" s="179"/>
      <c r="M1158" s="49" t="s">
        <v>986</v>
      </c>
      <c r="N1158" s="241">
        <v>43425</v>
      </c>
      <c r="O1158" s="229" t="s">
        <v>507</v>
      </c>
      <c r="P1158" s="207">
        <v>11700</v>
      </c>
      <c r="Q1158" s="207">
        <v>13</v>
      </c>
      <c r="R1158" s="118">
        <f t="shared" si="30"/>
        <v>152100</v>
      </c>
      <c r="S1158" s="115">
        <v>202304</v>
      </c>
      <c r="T1158" s="217" t="s">
        <v>1587</v>
      </c>
      <c r="U1158" s="165"/>
      <c r="V1158" s="165"/>
      <c r="W1158" s="165"/>
      <c r="X1158" s="116">
        <v>43525</v>
      </c>
      <c r="Y1158" s="116">
        <v>45549</v>
      </c>
    </row>
    <row r="1159" s="85" customFormat="1" customHeight="1" spans="1:25">
      <c r="A1159" s="98" t="s">
        <v>448</v>
      </c>
      <c r="B1159" s="98" t="s">
        <v>62</v>
      </c>
      <c r="C1159" s="98" t="s">
        <v>238</v>
      </c>
      <c r="D1159" s="98" t="s">
        <v>642</v>
      </c>
      <c r="E1159" s="161" t="s">
        <v>1556</v>
      </c>
      <c r="F1159" s="98" t="s">
        <v>983</v>
      </c>
      <c r="G1159" s="172" t="s">
        <v>88</v>
      </c>
      <c r="H1159" s="100" t="s">
        <v>1557</v>
      </c>
      <c r="I1159" s="46" t="e">
        <f>VLOOKUP(H1159,'合同高级查询数据-4月返'!A:A,1,FALSE)</f>
        <v>#N/A</v>
      </c>
      <c r="J1159" s="47" t="s">
        <v>90</v>
      </c>
      <c r="K1159" s="160" t="s">
        <v>1558</v>
      </c>
      <c r="L1159" s="179"/>
      <c r="M1159" s="49" t="s">
        <v>986</v>
      </c>
      <c r="N1159" s="241">
        <v>43430</v>
      </c>
      <c r="O1159" s="229" t="s">
        <v>507</v>
      </c>
      <c r="P1159" s="207">
        <v>11700</v>
      </c>
      <c r="Q1159" s="207">
        <v>12</v>
      </c>
      <c r="R1159" s="118">
        <f t="shared" si="30"/>
        <v>140400</v>
      </c>
      <c r="S1159" s="115">
        <v>202304</v>
      </c>
      <c r="T1159" s="217" t="s">
        <v>1588</v>
      </c>
      <c r="U1159" s="165"/>
      <c r="V1159" s="165"/>
      <c r="W1159" s="165"/>
      <c r="X1159" s="116">
        <v>43525</v>
      </c>
      <c r="Y1159" s="116">
        <v>45549</v>
      </c>
    </row>
    <row r="1160" s="85" customFormat="1" customHeight="1" spans="1:25">
      <c r="A1160" s="98" t="s">
        <v>448</v>
      </c>
      <c r="B1160" s="98" t="s">
        <v>62</v>
      </c>
      <c r="C1160" s="98" t="s">
        <v>238</v>
      </c>
      <c r="D1160" s="98" t="s">
        <v>642</v>
      </c>
      <c r="E1160" s="161" t="s">
        <v>1556</v>
      </c>
      <c r="F1160" s="98" t="s">
        <v>983</v>
      </c>
      <c r="G1160" s="172" t="s">
        <v>88</v>
      </c>
      <c r="H1160" s="100" t="s">
        <v>1557</v>
      </c>
      <c r="I1160" s="46" t="e">
        <f>VLOOKUP(H1160,'合同高级查询数据-4月返'!A:A,1,FALSE)</f>
        <v>#N/A</v>
      </c>
      <c r="J1160" s="47" t="s">
        <v>90</v>
      </c>
      <c r="K1160" s="160" t="s">
        <v>1558</v>
      </c>
      <c r="L1160" s="179"/>
      <c r="M1160" s="49" t="s">
        <v>986</v>
      </c>
      <c r="N1160" s="241">
        <v>43433</v>
      </c>
      <c r="O1160" s="229" t="s">
        <v>507</v>
      </c>
      <c r="P1160" s="207">
        <v>11700</v>
      </c>
      <c r="Q1160" s="207">
        <v>1</v>
      </c>
      <c r="R1160" s="118">
        <f t="shared" si="30"/>
        <v>11700</v>
      </c>
      <c r="S1160" s="115">
        <v>202304</v>
      </c>
      <c r="T1160" s="217" t="s">
        <v>1589</v>
      </c>
      <c r="U1160" s="165"/>
      <c r="V1160" s="165"/>
      <c r="W1160" s="165"/>
      <c r="X1160" s="116">
        <v>43525</v>
      </c>
      <c r="Y1160" s="116">
        <v>45549</v>
      </c>
    </row>
    <row r="1161" s="85" customFormat="1" customHeight="1" spans="1:25">
      <c r="A1161" s="98" t="s">
        <v>448</v>
      </c>
      <c r="B1161" s="98" t="s">
        <v>62</v>
      </c>
      <c r="C1161" s="98" t="s">
        <v>238</v>
      </c>
      <c r="D1161" s="98" t="s">
        <v>642</v>
      </c>
      <c r="E1161" s="161" t="s">
        <v>1556</v>
      </c>
      <c r="F1161" s="98" t="s">
        <v>983</v>
      </c>
      <c r="G1161" s="172" t="s">
        <v>88</v>
      </c>
      <c r="H1161" s="100" t="s">
        <v>1557</v>
      </c>
      <c r="I1161" s="46" t="e">
        <f>VLOOKUP(H1161,'合同高级查询数据-4月返'!A:A,1,FALSE)</f>
        <v>#N/A</v>
      </c>
      <c r="J1161" s="47" t="s">
        <v>90</v>
      </c>
      <c r="K1161" s="160" t="s">
        <v>1558</v>
      </c>
      <c r="L1161" s="179"/>
      <c r="M1161" s="49" t="s">
        <v>986</v>
      </c>
      <c r="N1161" s="241">
        <v>43440</v>
      </c>
      <c r="O1161" s="229" t="s">
        <v>606</v>
      </c>
      <c r="P1161" s="207">
        <v>32650</v>
      </c>
      <c r="Q1161" s="207">
        <v>8</v>
      </c>
      <c r="R1161" s="118">
        <f t="shared" si="30"/>
        <v>261200</v>
      </c>
      <c r="S1161" s="115">
        <v>202304</v>
      </c>
      <c r="T1161" s="217" t="s">
        <v>1590</v>
      </c>
      <c r="U1161" s="165"/>
      <c r="V1161" s="165"/>
      <c r="W1161" s="165"/>
      <c r="X1161" s="116">
        <v>43525</v>
      </c>
      <c r="Y1161" s="116">
        <v>45549</v>
      </c>
    </row>
    <row r="1162" s="85" customFormat="1" customHeight="1" spans="1:25">
      <c r="A1162" s="98" t="s">
        <v>448</v>
      </c>
      <c r="B1162" s="98" t="s">
        <v>62</v>
      </c>
      <c r="C1162" s="98" t="s">
        <v>238</v>
      </c>
      <c r="D1162" s="98" t="s">
        <v>642</v>
      </c>
      <c r="E1162" s="161" t="s">
        <v>1556</v>
      </c>
      <c r="F1162" s="98" t="s">
        <v>983</v>
      </c>
      <c r="G1162" s="172" t="s">
        <v>88</v>
      </c>
      <c r="H1162" s="100" t="s">
        <v>1557</v>
      </c>
      <c r="I1162" s="46" t="e">
        <f>VLOOKUP(H1162,'合同高级查询数据-4月返'!A:A,1,FALSE)</f>
        <v>#N/A</v>
      </c>
      <c r="J1162" s="47" t="s">
        <v>90</v>
      </c>
      <c r="K1162" s="160" t="s">
        <v>1558</v>
      </c>
      <c r="L1162" s="179"/>
      <c r="M1162" s="49" t="s">
        <v>986</v>
      </c>
      <c r="N1162" s="241">
        <v>43443</v>
      </c>
      <c r="O1162" s="229" t="s">
        <v>503</v>
      </c>
      <c r="P1162" s="207">
        <v>5950</v>
      </c>
      <c r="Q1162" s="207">
        <v>4</v>
      </c>
      <c r="R1162" s="118">
        <f t="shared" si="30"/>
        <v>23800</v>
      </c>
      <c r="S1162" s="115">
        <v>202304</v>
      </c>
      <c r="T1162" s="217" t="s">
        <v>1591</v>
      </c>
      <c r="U1162" s="165"/>
      <c r="V1162" s="165"/>
      <c r="W1162" s="165"/>
      <c r="X1162" s="116">
        <v>43525</v>
      </c>
      <c r="Y1162" s="116">
        <v>45549</v>
      </c>
    </row>
    <row r="1163" s="85" customFormat="1" customHeight="1" spans="1:25">
      <c r="A1163" s="98" t="s">
        <v>448</v>
      </c>
      <c r="B1163" s="98" t="s">
        <v>62</v>
      </c>
      <c r="C1163" s="98" t="s">
        <v>238</v>
      </c>
      <c r="D1163" s="98" t="s">
        <v>642</v>
      </c>
      <c r="E1163" s="161" t="s">
        <v>1556</v>
      </c>
      <c r="F1163" s="98" t="s">
        <v>983</v>
      </c>
      <c r="G1163" s="172" t="s">
        <v>88</v>
      </c>
      <c r="H1163" s="100" t="s">
        <v>1557</v>
      </c>
      <c r="I1163" s="46" t="e">
        <f>VLOOKUP(H1163,'合同高级查询数据-4月返'!A:A,1,FALSE)</f>
        <v>#N/A</v>
      </c>
      <c r="J1163" s="47" t="s">
        <v>90</v>
      </c>
      <c r="K1163" s="160" t="s">
        <v>1558</v>
      </c>
      <c r="L1163" s="179"/>
      <c r="M1163" s="49" t="s">
        <v>986</v>
      </c>
      <c r="N1163" s="241">
        <v>43437</v>
      </c>
      <c r="O1163" s="229" t="s">
        <v>507</v>
      </c>
      <c r="P1163" s="207">
        <v>11700</v>
      </c>
      <c r="Q1163" s="207">
        <v>16</v>
      </c>
      <c r="R1163" s="118">
        <f t="shared" si="30"/>
        <v>187200</v>
      </c>
      <c r="S1163" s="115">
        <v>202304</v>
      </c>
      <c r="T1163" s="217" t="s">
        <v>1592</v>
      </c>
      <c r="U1163" s="165"/>
      <c r="V1163" s="165"/>
      <c r="W1163" s="165"/>
      <c r="X1163" s="116">
        <v>43525</v>
      </c>
      <c r="Y1163" s="116">
        <v>45549</v>
      </c>
    </row>
    <row r="1164" s="85" customFormat="1" customHeight="1" spans="1:25">
      <c r="A1164" s="98" t="s">
        <v>448</v>
      </c>
      <c r="B1164" s="98" t="s">
        <v>62</v>
      </c>
      <c r="C1164" s="98" t="s">
        <v>238</v>
      </c>
      <c r="D1164" s="98" t="s">
        <v>642</v>
      </c>
      <c r="E1164" s="161" t="s">
        <v>1556</v>
      </c>
      <c r="F1164" s="98" t="s">
        <v>983</v>
      </c>
      <c r="G1164" s="172" t="s">
        <v>88</v>
      </c>
      <c r="H1164" s="100" t="s">
        <v>1557</v>
      </c>
      <c r="I1164" s="46" t="e">
        <f>VLOOKUP(H1164,'合同高级查询数据-4月返'!A:A,1,FALSE)</f>
        <v>#N/A</v>
      </c>
      <c r="J1164" s="47" t="s">
        <v>90</v>
      </c>
      <c r="K1164" s="160" t="s">
        <v>1558</v>
      </c>
      <c r="L1164" s="179"/>
      <c r="M1164" s="49" t="s">
        <v>986</v>
      </c>
      <c r="N1164" s="241">
        <v>43448</v>
      </c>
      <c r="O1164" s="229" t="s">
        <v>507</v>
      </c>
      <c r="P1164" s="207">
        <v>11700</v>
      </c>
      <c r="Q1164" s="207">
        <v>2</v>
      </c>
      <c r="R1164" s="118">
        <f t="shared" si="30"/>
        <v>23400</v>
      </c>
      <c r="S1164" s="115">
        <v>202304</v>
      </c>
      <c r="T1164" s="217" t="s">
        <v>1593</v>
      </c>
      <c r="U1164" s="165"/>
      <c r="V1164" s="165"/>
      <c r="W1164" s="165"/>
      <c r="X1164" s="116">
        <v>43525</v>
      </c>
      <c r="Y1164" s="116">
        <v>45549</v>
      </c>
    </row>
    <row r="1165" s="85" customFormat="1" customHeight="1" spans="1:25">
      <c r="A1165" s="98" t="s">
        <v>448</v>
      </c>
      <c r="B1165" s="98" t="s">
        <v>62</v>
      </c>
      <c r="C1165" s="98" t="s">
        <v>238</v>
      </c>
      <c r="D1165" s="98" t="s">
        <v>642</v>
      </c>
      <c r="E1165" s="161" t="s">
        <v>1556</v>
      </c>
      <c r="F1165" s="98" t="s">
        <v>983</v>
      </c>
      <c r="G1165" s="172" t="s">
        <v>88</v>
      </c>
      <c r="H1165" s="100" t="s">
        <v>1557</v>
      </c>
      <c r="I1165" s="46" t="e">
        <f>VLOOKUP(H1165,'合同高级查询数据-4月返'!A:A,1,FALSE)</f>
        <v>#N/A</v>
      </c>
      <c r="J1165" s="47" t="s">
        <v>90</v>
      </c>
      <c r="K1165" s="160" t="s">
        <v>1558</v>
      </c>
      <c r="L1165" s="179"/>
      <c r="M1165" s="49" t="s">
        <v>986</v>
      </c>
      <c r="N1165" s="241">
        <v>43454</v>
      </c>
      <c r="O1165" s="229" t="s">
        <v>507</v>
      </c>
      <c r="P1165" s="207">
        <v>11700</v>
      </c>
      <c r="Q1165" s="207">
        <v>9</v>
      </c>
      <c r="R1165" s="118">
        <f t="shared" si="30"/>
        <v>105300</v>
      </c>
      <c r="S1165" s="115">
        <v>202304</v>
      </c>
      <c r="T1165" s="217" t="s">
        <v>1594</v>
      </c>
      <c r="U1165" s="165"/>
      <c r="V1165" s="165"/>
      <c r="W1165" s="165"/>
      <c r="X1165" s="116">
        <v>43525</v>
      </c>
      <c r="Y1165" s="116">
        <v>45549</v>
      </c>
    </row>
    <row r="1166" s="85" customFormat="1" customHeight="1" spans="1:25">
      <c r="A1166" s="98" t="s">
        <v>448</v>
      </c>
      <c r="B1166" s="98" t="s">
        <v>62</v>
      </c>
      <c r="C1166" s="98" t="s">
        <v>238</v>
      </c>
      <c r="D1166" s="98" t="s">
        <v>642</v>
      </c>
      <c r="E1166" s="161" t="s">
        <v>1556</v>
      </c>
      <c r="F1166" s="98" t="s">
        <v>983</v>
      </c>
      <c r="G1166" s="172" t="s">
        <v>88</v>
      </c>
      <c r="H1166" s="100" t="s">
        <v>1557</v>
      </c>
      <c r="I1166" s="46" t="e">
        <f>VLOOKUP(H1166,'合同高级查询数据-4月返'!A:A,1,FALSE)</f>
        <v>#N/A</v>
      </c>
      <c r="J1166" s="47" t="s">
        <v>90</v>
      </c>
      <c r="K1166" s="160" t="s">
        <v>1558</v>
      </c>
      <c r="L1166" s="179"/>
      <c r="M1166" s="49" t="s">
        <v>986</v>
      </c>
      <c r="N1166" s="241">
        <v>43463</v>
      </c>
      <c r="O1166" s="229" t="s">
        <v>507</v>
      </c>
      <c r="P1166" s="207">
        <v>11700</v>
      </c>
      <c r="Q1166" s="207">
        <v>7</v>
      </c>
      <c r="R1166" s="118">
        <f t="shared" si="30"/>
        <v>81900</v>
      </c>
      <c r="S1166" s="115">
        <v>202304</v>
      </c>
      <c r="T1166" s="217" t="s">
        <v>1595</v>
      </c>
      <c r="U1166" s="165"/>
      <c r="V1166" s="165"/>
      <c r="W1166" s="165"/>
      <c r="X1166" s="116">
        <v>43525</v>
      </c>
      <c r="Y1166" s="116">
        <v>45549</v>
      </c>
    </row>
    <row r="1167" s="85" customFormat="1" customHeight="1" spans="1:25">
      <c r="A1167" s="98" t="s">
        <v>448</v>
      </c>
      <c r="B1167" s="98" t="s">
        <v>62</v>
      </c>
      <c r="C1167" s="98" t="s">
        <v>238</v>
      </c>
      <c r="D1167" s="98" t="s">
        <v>642</v>
      </c>
      <c r="E1167" s="161" t="s">
        <v>1556</v>
      </c>
      <c r="F1167" s="98" t="s">
        <v>983</v>
      </c>
      <c r="G1167" s="172" t="s">
        <v>88</v>
      </c>
      <c r="H1167" s="100" t="s">
        <v>1557</v>
      </c>
      <c r="I1167" s="46" t="e">
        <f>VLOOKUP(H1167,'合同高级查询数据-4月返'!A:A,1,FALSE)</f>
        <v>#N/A</v>
      </c>
      <c r="J1167" s="47" t="s">
        <v>90</v>
      </c>
      <c r="K1167" s="160" t="s">
        <v>1558</v>
      </c>
      <c r="L1167" s="179"/>
      <c r="M1167" s="49" t="s">
        <v>986</v>
      </c>
      <c r="N1167" s="241">
        <v>43480</v>
      </c>
      <c r="O1167" s="229" t="s">
        <v>507</v>
      </c>
      <c r="P1167" s="207">
        <v>11700</v>
      </c>
      <c r="Q1167" s="207">
        <v>9</v>
      </c>
      <c r="R1167" s="118">
        <f t="shared" si="30"/>
        <v>105300</v>
      </c>
      <c r="S1167" s="115">
        <v>202304</v>
      </c>
      <c r="T1167" s="217"/>
      <c r="U1167" s="165"/>
      <c r="V1167" s="165"/>
      <c r="W1167" s="165"/>
      <c r="X1167" s="116">
        <v>43525</v>
      </c>
      <c r="Y1167" s="116">
        <v>45549</v>
      </c>
    </row>
    <row r="1168" s="85" customFormat="1" customHeight="1" spans="1:25">
      <c r="A1168" s="98" t="s">
        <v>448</v>
      </c>
      <c r="B1168" s="98" t="s">
        <v>62</v>
      </c>
      <c r="C1168" s="98" t="s">
        <v>238</v>
      </c>
      <c r="D1168" s="98" t="s">
        <v>642</v>
      </c>
      <c r="E1168" s="161" t="s">
        <v>1556</v>
      </c>
      <c r="F1168" s="98" t="s">
        <v>983</v>
      </c>
      <c r="G1168" s="172" t="s">
        <v>88</v>
      </c>
      <c r="H1168" s="100" t="s">
        <v>1557</v>
      </c>
      <c r="I1168" s="46" t="e">
        <f>VLOOKUP(H1168,'合同高级查询数据-4月返'!A:A,1,FALSE)</f>
        <v>#N/A</v>
      </c>
      <c r="J1168" s="47" t="s">
        <v>90</v>
      </c>
      <c r="K1168" s="160" t="s">
        <v>1558</v>
      </c>
      <c r="L1168" s="179"/>
      <c r="M1168" s="49" t="s">
        <v>986</v>
      </c>
      <c r="N1168" s="241">
        <v>43481</v>
      </c>
      <c r="O1168" s="229" t="s">
        <v>507</v>
      </c>
      <c r="P1168" s="207">
        <v>11700</v>
      </c>
      <c r="Q1168" s="207">
        <v>2</v>
      </c>
      <c r="R1168" s="118">
        <f t="shared" si="30"/>
        <v>23400</v>
      </c>
      <c r="S1168" s="115">
        <v>202304</v>
      </c>
      <c r="T1168" s="217" t="s">
        <v>1596</v>
      </c>
      <c r="U1168" s="165"/>
      <c r="V1168" s="165"/>
      <c r="W1168" s="165"/>
      <c r="X1168" s="116">
        <v>43525</v>
      </c>
      <c r="Y1168" s="116">
        <v>45549</v>
      </c>
    </row>
    <row r="1169" s="85" customFormat="1" customHeight="1" spans="1:25">
      <c r="A1169" s="98" t="s">
        <v>448</v>
      </c>
      <c r="B1169" s="98" t="s">
        <v>62</v>
      </c>
      <c r="C1169" s="98" t="s">
        <v>238</v>
      </c>
      <c r="D1169" s="98" t="s">
        <v>642</v>
      </c>
      <c r="E1169" s="161" t="s">
        <v>1556</v>
      </c>
      <c r="F1169" s="98" t="s">
        <v>983</v>
      </c>
      <c r="G1169" s="172" t="s">
        <v>88</v>
      </c>
      <c r="H1169" s="100" t="s">
        <v>1557</v>
      </c>
      <c r="I1169" s="46" t="e">
        <f>VLOOKUP(H1169,'合同高级查询数据-4月返'!A:A,1,FALSE)</f>
        <v>#N/A</v>
      </c>
      <c r="J1169" s="47" t="s">
        <v>90</v>
      </c>
      <c r="K1169" s="160" t="s">
        <v>1558</v>
      </c>
      <c r="L1169" s="179"/>
      <c r="M1169" s="49" t="s">
        <v>986</v>
      </c>
      <c r="N1169" s="241">
        <v>43484</v>
      </c>
      <c r="O1169" s="229" t="s">
        <v>507</v>
      </c>
      <c r="P1169" s="207">
        <v>11700</v>
      </c>
      <c r="Q1169" s="207">
        <v>1</v>
      </c>
      <c r="R1169" s="118">
        <f t="shared" si="30"/>
        <v>11700</v>
      </c>
      <c r="S1169" s="115">
        <v>202304</v>
      </c>
      <c r="T1169" s="217" t="s">
        <v>1597</v>
      </c>
      <c r="U1169" s="165"/>
      <c r="V1169" s="165"/>
      <c r="W1169" s="165"/>
      <c r="X1169" s="116">
        <v>43525</v>
      </c>
      <c r="Y1169" s="116">
        <v>45549</v>
      </c>
    </row>
    <row r="1170" s="85" customFormat="1" customHeight="1" spans="1:25">
      <c r="A1170" s="98" t="s">
        <v>448</v>
      </c>
      <c r="B1170" s="98" t="s">
        <v>62</v>
      </c>
      <c r="C1170" s="98" t="s">
        <v>238</v>
      </c>
      <c r="D1170" s="98" t="s">
        <v>642</v>
      </c>
      <c r="E1170" s="161" t="s">
        <v>1556</v>
      </c>
      <c r="F1170" s="98" t="s">
        <v>983</v>
      </c>
      <c r="G1170" s="172" t="s">
        <v>88</v>
      </c>
      <c r="H1170" s="100" t="s">
        <v>1557</v>
      </c>
      <c r="I1170" s="46" t="e">
        <f>VLOOKUP(H1170,'合同高级查询数据-4月返'!A:A,1,FALSE)</f>
        <v>#N/A</v>
      </c>
      <c r="J1170" s="47" t="s">
        <v>90</v>
      </c>
      <c r="K1170" s="160" t="s">
        <v>1558</v>
      </c>
      <c r="L1170" s="179"/>
      <c r="M1170" s="49" t="s">
        <v>986</v>
      </c>
      <c r="N1170" s="246">
        <v>43485</v>
      </c>
      <c r="O1170" s="181" t="s">
        <v>507</v>
      </c>
      <c r="P1170" s="207">
        <v>11700</v>
      </c>
      <c r="Q1170" s="207">
        <v>3</v>
      </c>
      <c r="R1170" s="118">
        <f t="shared" si="30"/>
        <v>35100</v>
      </c>
      <c r="S1170" s="115">
        <v>202304</v>
      </c>
      <c r="T1170" s="161" t="s">
        <v>1598</v>
      </c>
      <c r="U1170" s="247"/>
      <c r="V1170" s="165"/>
      <c r="W1170" s="165"/>
      <c r="X1170" s="116">
        <v>43525</v>
      </c>
      <c r="Y1170" s="116">
        <v>45549</v>
      </c>
    </row>
    <row r="1171" s="85" customFormat="1" customHeight="1" spans="1:25">
      <c r="A1171" s="98" t="s">
        <v>448</v>
      </c>
      <c r="B1171" s="98" t="s">
        <v>62</v>
      </c>
      <c r="C1171" s="98" t="s">
        <v>238</v>
      </c>
      <c r="D1171" s="98" t="s">
        <v>642</v>
      </c>
      <c r="E1171" s="161" t="s">
        <v>1556</v>
      </c>
      <c r="F1171" s="98" t="s">
        <v>983</v>
      </c>
      <c r="G1171" s="172" t="s">
        <v>88</v>
      </c>
      <c r="H1171" s="100" t="s">
        <v>1557</v>
      </c>
      <c r="I1171" s="46" t="e">
        <f>VLOOKUP(H1171,'合同高级查询数据-4月返'!A:A,1,FALSE)</f>
        <v>#N/A</v>
      </c>
      <c r="J1171" s="47" t="s">
        <v>90</v>
      </c>
      <c r="K1171" s="160" t="s">
        <v>1558</v>
      </c>
      <c r="L1171" s="179"/>
      <c r="M1171" s="49" t="s">
        <v>986</v>
      </c>
      <c r="N1171" s="246">
        <v>43487</v>
      </c>
      <c r="O1171" s="181" t="s">
        <v>507</v>
      </c>
      <c r="P1171" s="207">
        <v>11700</v>
      </c>
      <c r="Q1171" s="207">
        <v>4</v>
      </c>
      <c r="R1171" s="118">
        <f t="shared" si="30"/>
        <v>46800</v>
      </c>
      <c r="S1171" s="115">
        <v>202304</v>
      </c>
      <c r="T1171" s="187" t="s">
        <v>1599</v>
      </c>
      <c r="U1171" s="248"/>
      <c r="V1171" s="165"/>
      <c r="W1171" s="165"/>
      <c r="X1171" s="116">
        <v>43525</v>
      </c>
      <c r="Y1171" s="116">
        <v>45549</v>
      </c>
    </row>
    <row r="1172" s="85" customFormat="1" customHeight="1" spans="1:25">
      <c r="A1172" s="98" t="s">
        <v>448</v>
      </c>
      <c r="B1172" s="98" t="s">
        <v>62</v>
      </c>
      <c r="C1172" s="98" t="s">
        <v>238</v>
      </c>
      <c r="D1172" s="98" t="s">
        <v>642</v>
      </c>
      <c r="E1172" s="161" t="s">
        <v>1556</v>
      </c>
      <c r="F1172" s="98" t="s">
        <v>983</v>
      </c>
      <c r="G1172" s="172" t="s">
        <v>88</v>
      </c>
      <c r="H1172" s="100" t="s">
        <v>1557</v>
      </c>
      <c r="I1172" s="46" t="e">
        <f>VLOOKUP(H1172,'合同高级查询数据-4月返'!A:A,1,FALSE)</f>
        <v>#N/A</v>
      </c>
      <c r="J1172" s="47" t="s">
        <v>90</v>
      </c>
      <c r="K1172" s="160" t="s">
        <v>1558</v>
      </c>
      <c r="L1172" s="179"/>
      <c r="M1172" s="49" t="s">
        <v>986</v>
      </c>
      <c r="N1172" s="246">
        <v>43494</v>
      </c>
      <c r="O1172" s="181" t="s">
        <v>507</v>
      </c>
      <c r="P1172" s="207">
        <v>11700</v>
      </c>
      <c r="Q1172" s="207">
        <v>1</v>
      </c>
      <c r="R1172" s="118">
        <f t="shared" si="30"/>
        <v>11700</v>
      </c>
      <c r="S1172" s="115">
        <v>202304</v>
      </c>
      <c r="T1172" s="187" t="s">
        <v>1600</v>
      </c>
      <c r="U1172" s="248"/>
      <c r="V1172" s="165"/>
      <c r="W1172" s="165"/>
      <c r="X1172" s="116">
        <v>43525</v>
      </c>
      <c r="Y1172" s="116">
        <v>45549</v>
      </c>
    </row>
    <row r="1173" s="85" customFormat="1" customHeight="1" spans="1:25">
      <c r="A1173" s="98" t="s">
        <v>448</v>
      </c>
      <c r="B1173" s="98" t="s">
        <v>62</v>
      </c>
      <c r="C1173" s="98" t="s">
        <v>238</v>
      </c>
      <c r="D1173" s="98" t="s">
        <v>642</v>
      </c>
      <c r="E1173" s="161" t="s">
        <v>1556</v>
      </c>
      <c r="F1173" s="98" t="s">
        <v>983</v>
      </c>
      <c r="G1173" s="172" t="s">
        <v>88</v>
      </c>
      <c r="H1173" s="100" t="s">
        <v>1557</v>
      </c>
      <c r="I1173" s="46" t="e">
        <f>VLOOKUP(H1173,'合同高级查询数据-4月返'!A:A,1,FALSE)</f>
        <v>#N/A</v>
      </c>
      <c r="J1173" s="47" t="s">
        <v>90</v>
      </c>
      <c r="K1173" s="160" t="s">
        <v>1558</v>
      </c>
      <c r="L1173" s="179"/>
      <c r="M1173" s="49" t="s">
        <v>986</v>
      </c>
      <c r="N1173" s="246">
        <v>43518</v>
      </c>
      <c r="O1173" s="181" t="s">
        <v>507</v>
      </c>
      <c r="P1173" s="207">
        <v>11700</v>
      </c>
      <c r="Q1173" s="207">
        <v>1</v>
      </c>
      <c r="R1173" s="118">
        <f t="shared" si="30"/>
        <v>11700</v>
      </c>
      <c r="S1173" s="115">
        <v>202304</v>
      </c>
      <c r="T1173" s="249" t="s">
        <v>1601</v>
      </c>
      <c r="U1173" s="250"/>
      <c r="V1173" s="165"/>
      <c r="W1173" s="165"/>
      <c r="X1173" s="116">
        <v>43525</v>
      </c>
      <c r="Y1173" s="116">
        <v>45549</v>
      </c>
    </row>
    <row r="1174" s="85" customFormat="1" customHeight="1" spans="1:25">
      <c r="A1174" s="98" t="s">
        <v>448</v>
      </c>
      <c r="B1174" s="98" t="s">
        <v>62</v>
      </c>
      <c r="C1174" s="98" t="s">
        <v>238</v>
      </c>
      <c r="D1174" s="98" t="s">
        <v>642</v>
      </c>
      <c r="E1174" s="161" t="s">
        <v>1556</v>
      </c>
      <c r="F1174" s="98" t="s">
        <v>983</v>
      </c>
      <c r="G1174" s="172" t="s">
        <v>88</v>
      </c>
      <c r="H1174" s="100" t="s">
        <v>1557</v>
      </c>
      <c r="I1174" s="46" t="e">
        <f>VLOOKUP(H1174,'合同高级查询数据-4月返'!A:A,1,FALSE)</f>
        <v>#N/A</v>
      </c>
      <c r="J1174" s="47" t="s">
        <v>90</v>
      </c>
      <c r="K1174" s="160" t="s">
        <v>1558</v>
      </c>
      <c r="L1174" s="179"/>
      <c r="M1174" s="49" t="s">
        <v>986</v>
      </c>
      <c r="N1174" s="246">
        <v>43521</v>
      </c>
      <c r="O1174" s="181" t="s">
        <v>507</v>
      </c>
      <c r="P1174" s="207">
        <v>11700</v>
      </c>
      <c r="Q1174" s="207">
        <v>4</v>
      </c>
      <c r="R1174" s="118">
        <f t="shared" si="30"/>
        <v>46800</v>
      </c>
      <c r="S1174" s="115">
        <v>202304</v>
      </c>
      <c r="T1174" s="187" t="s">
        <v>1602</v>
      </c>
      <c r="U1174" s="248"/>
      <c r="V1174" s="165"/>
      <c r="W1174" s="165"/>
      <c r="X1174" s="116">
        <v>43525</v>
      </c>
      <c r="Y1174" s="116">
        <v>45549</v>
      </c>
    </row>
    <row r="1175" s="85" customFormat="1" customHeight="1" spans="1:25">
      <c r="A1175" s="98" t="s">
        <v>448</v>
      </c>
      <c r="B1175" s="98" t="s">
        <v>62</v>
      </c>
      <c r="C1175" s="98" t="s">
        <v>238</v>
      </c>
      <c r="D1175" s="98" t="s">
        <v>642</v>
      </c>
      <c r="E1175" s="161" t="s">
        <v>1556</v>
      </c>
      <c r="F1175" s="98" t="s">
        <v>983</v>
      </c>
      <c r="G1175" s="172" t="s">
        <v>88</v>
      </c>
      <c r="H1175" s="100" t="s">
        <v>1557</v>
      </c>
      <c r="I1175" s="46" t="e">
        <f>VLOOKUP(H1175,'合同高级查询数据-4月返'!A:A,1,FALSE)</f>
        <v>#N/A</v>
      </c>
      <c r="J1175" s="47" t="s">
        <v>90</v>
      </c>
      <c r="K1175" s="160" t="s">
        <v>1558</v>
      </c>
      <c r="L1175" s="179"/>
      <c r="M1175" s="49" t="s">
        <v>986</v>
      </c>
      <c r="N1175" s="246">
        <v>43423</v>
      </c>
      <c r="O1175" s="181" t="s">
        <v>503</v>
      </c>
      <c r="P1175" s="182">
        <v>5950</v>
      </c>
      <c r="Q1175" s="182">
        <v>13</v>
      </c>
      <c r="R1175" s="118">
        <f t="shared" si="30"/>
        <v>77350</v>
      </c>
      <c r="S1175" s="115">
        <v>202304</v>
      </c>
      <c r="T1175" s="187" t="s">
        <v>1603</v>
      </c>
      <c r="U1175" s="248"/>
      <c r="V1175" s="165"/>
      <c r="W1175" s="165"/>
      <c r="X1175" s="116">
        <v>43525</v>
      </c>
      <c r="Y1175" s="116">
        <v>45549</v>
      </c>
    </row>
    <row r="1176" s="85" customFormat="1" customHeight="1" spans="1:25">
      <c r="A1176" s="98" t="s">
        <v>448</v>
      </c>
      <c r="B1176" s="98" t="s">
        <v>62</v>
      </c>
      <c r="C1176" s="98" t="s">
        <v>238</v>
      </c>
      <c r="D1176" s="98" t="s">
        <v>642</v>
      </c>
      <c r="E1176" s="161" t="s">
        <v>1556</v>
      </c>
      <c r="F1176" s="98" t="s">
        <v>983</v>
      </c>
      <c r="G1176" s="172" t="s">
        <v>88</v>
      </c>
      <c r="H1176" s="100" t="s">
        <v>1557</v>
      </c>
      <c r="I1176" s="46" t="e">
        <f>VLOOKUP(H1176,'合同高级查询数据-4月返'!A:A,1,FALSE)</f>
        <v>#N/A</v>
      </c>
      <c r="J1176" s="47" t="s">
        <v>90</v>
      </c>
      <c r="K1176" s="160" t="s">
        <v>1558</v>
      </c>
      <c r="L1176" s="179"/>
      <c r="M1176" s="49" t="s">
        <v>986</v>
      </c>
      <c r="N1176" s="246">
        <v>43459</v>
      </c>
      <c r="O1176" s="181" t="s">
        <v>507</v>
      </c>
      <c r="P1176" s="207">
        <v>11700</v>
      </c>
      <c r="Q1176" s="207">
        <v>5</v>
      </c>
      <c r="R1176" s="118">
        <f t="shared" si="30"/>
        <v>58500</v>
      </c>
      <c r="S1176" s="115">
        <v>202304</v>
      </c>
      <c r="T1176" s="249" t="s">
        <v>1604</v>
      </c>
      <c r="U1176" s="250"/>
      <c r="V1176" s="165"/>
      <c r="W1176" s="165"/>
      <c r="X1176" s="116">
        <v>43525</v>
      </c>
      <c r="Y1176" s="116">
        <v>45549</v>
      </c>
    </row>
    <row r="1177" s="85" customFormat="1" customHeight="1" spans="1:25">
      <c r="A1177" s="98" t="s">
        <v>448</v>
      </c>
      <c r="B1177" s="98" t="s">
        <v>62</v>
      </c>
      <c r="C1177" s="98" t="s">
        <v>238</v>
      </c>
      <c r="D1177" s="98" t="s">
        <v>642</v>
      </c>
      <c r="E1177" s="161" t="s">
        <v>1556</v>
      </c>
      <c r="F1177" s="98" t="s">
        <v>983</v>
      </c>
      <c r="G1177" s="172" t="s">
        <v>88</v>
      </c>
      <c r="H1177" s="100" t="s">
        <v>1557</v>
      </c>
      <c r="I1177" s="46" t="e">
        <f>VLOOKUP(H1177,'合同高级查询数据-4月返'!A:A,1,FALSE)</f>
        <v>#N/A</v>
      </c>
      <c r="J1177" s="47" t="s">
        <v>90</v>
      </c>
      <c r="K1177" s="160" t="s">
        <v>1558</v>
      </c>
      <c r="L1177" s="179"/>
      <c r="M1177" s="49" t="s">
        <v>986</v>
      </c>
      <c r="N1177" s="246">
        <v>43460</v>
      </c>
      <c r="O1177" s="181" t="s">
        <v>507</v>
      </c>
      <c r="P1177" s="207">
        <v>11700</v>
      </c>
      <c r="Q1177" s="207">
        <v>3</v>
      </c>
      <c r="R1177" s="118">
        <f t="shared" si="30"/>
        <v>35100</v>
      </c>
      <c r="S1177" s="115">
        <v>202304</v>
      </c>
      <c r="T1177" s="187" t="s">
        <v>1605</v>
      </c>
      <c r="U1177" s="248"/>
      <c r="V1177" s="165"/>
      <c r="W1177" s="165"/>
      <c r="X1177" s="116">
        <v>43525</v>
      </c>
      <c r="Y1177" s="116">
        <v>45549</v>
      </c>
    </row>
    <row r="1178" s="85" customFormat="1" customHeight="1" spans="1:25">
      <c r="A1178" s="98" t="s">
        <v>448</v>
      </c>
      <c r="B1178" s="98" t="s">
        <v>62</v>
      </c>
      <c r="C1178" s="98" t="s">
        <v>238</v>
      </c>
      <c r="D1178" s="98" t="s">
        <v>642</v>
      </c>
      <c r="E1178" s="161" t="s">
        <v>1556</v>
      </c>
      <c r="F1178" s="98" t="s">
        <v>983</v>
      </c>
      <c r="G1178" s="172" t="s">
        <v>88</v>
      </c>
      <c r="H1178" s="100" t="s">
        <v>1557</v>
      </c>
      <c r="I1178" s="46" t="e">
        <f>VLOOKUP(H1178,'合同高级查询数据-4月返'!A:A,1,FALSE)</f>
        <v>#N/A</v>
      </c>
      <c r="J1178" s="47" t="s">
        <v>90</v>
      </c>
      <c r="K1178" s="160" t="s">
        <v>1558</v>
      </c>
      <c r="L1178" s="179"/>
      <c r="M1178" s="49" t="s">
        <v>986</v>
      </c>
      <c r="N1178" s="246">
        <v>43438</v>
      </c>
      <c r="O1178" s="181" t="s">
        <v>503</v>
      </c>
      <c r="P1178" s="207">
        <v>5950</v>
      </c>
      <c r="Q1178" s="207">
        <v>4</v>
      </c>
      <c r="R1178" s="118">
        <f t="shared" si="30"/>
        <v>23800</v>
      </c>
      <c r="S1178" s="115">
        <v>202304</v>
      </c>
      <c r="T1178" s="187" t="s">
        <v>1606</v>
      </c>
      <c r="U1178" s="248"/>
      <c r="V1178" s="165"/>
      <c r="W1178" s="165"/>
      <c r="X1178" s="116">
        <v>43525</v>
      </c>
      <c r="Y1178" s="116">
        <v>45549</v>
      </c>
    </row>
    <row r="1179" s="85" customFormat="1" customHeight="1" spans="1:25">
      <c r="A1179" s="98" t="s">
        <v>448</v>
      </c>
      <c r="B1179" s="98" t="s">
        <v>62</v>
      </c>
      <c r="C1179" s="98" t="s">
        <v>238</v>
      </c>
      <c r="D1179" s="98" t="s">
        <v>642</v>
      </c>
      <c r="E1179" s="161" t="s">
        <v>1556</v>
      </c>
      <c r="F1179" s="98" t="s">
        <v>983</v>
      </c>
      <c r="G1179" s="172" t="s">
        <v>88</v>
      </c>
      <c r="H1179" s="100" t="s">
        <v>1557</v>
      </c>
      <c r="I1179" s="46" t="e">
        <f>VLOOKUP(H1179,'合同高级查询数据-4月返'!A:A,1,FALSE)</f>
        <v>#N/A</v>
      </c>
      <c r="J1179" s="47" t="s">
        <v>90</v>
      </c>
      <c r="K1179" s="160" t="s">
        <v>1558</v>
      </c>
      <c r="L1179" s="179"/>
      <c r="M1179" s="49" t="s">
        <v>986</v>
      </c>
      <c r="N1179" s="246">
        <v>43438</v>
      </c>
      <c r="O1179" s="181" t="s">
        <v>503</v>
      </c>
      <c r="P1179" s="207">
        <v>5950</v>
      </c>
      <c r="Q1179" s="207">
        <v>-9</v>
      </c>
      <c r="R1179" s="118">
        <f t="shared" si="30"/>
        <v>-53550</v>
      </c>
      <c r="S1179" s="115">
        <v>202304</v>
      </c>
      <c r="T1179" s="187" t="s">
        <v>1607</v>
      </c>
      <c r="U1179" s="248"/>
      <c r="V1179" s="165"/>
      <c r="W1179" s="165"/>
      <c r="X1179" s="116">
        <v>43525</v>
      </c>
      <c r="Y1179" s="116">
        <v>45549</v>
      </c>
    </row>
    <row r="1180" s="85" customFormat="1" customHeight="1" spans="1:25">
      <c r="A1180" s="98" t="s">
        <v>448</v>
      </c>
      <c r="B1180" s="98" t="s">
        <v>62</v>
      </c>
      <c r="C1180" s="98" t="s">
        <v>238</v>
      </c>
      <c r="D1180" s="98" t="s">
        <v>642</v>
      </c>
      <c r="E1180" s="161" t="s">
        <v>1556</v>
      </c>
      <c r="F1180" s="98" t="s">
        <v>983</v>
      </c>
      <c r="G1180" s="98" t="s">
        <v>88</v>
      </c>
      <c r="H1180" s="100" t="s">
        <v>1557</v>
      </c>
      <c r="I1180" s="46" t="e">
        <f>VLOOKUP(H1180,'合同高级查询数据-4月返'!A:A,1,FALSE)</f>
        <v>#N/A</v>
      </c>
      <c r="J1180" s="47" t="s">
        <v>90</v>
      </c>
      <c r="K1180" s="160" t="s">
        <v>1558</v>
      </c>
      <c r="L1180" s="98"/>
      <c r="M1180" s="49" t="s">
        <v>986</v>
      </c>
      <c r="N1180" s="180">
        <v>43605</v>
      </c>
      <c r="O1180" s="181" t="s">
        <v>507</v>
      </c>
      <c r="P1180" s="207">
        <v>11700</v>
      </c>
      <c r="Q1180" s="207">
        <v>3</v>
      </c>
      <c r="R1180" s="118">
        <f t="shared" si="30"/>
        <v>35100</v>
      </c>
      <c r="S1180" s="115">
        <v>202304</v>
      </c>
      <c r="T1180" s="161" t="s">
        <v>1608</v>
      </c>
      <c r="U1180" s="247"/>
      <c r="V1180" s="165"/>
      <c r="W1180" s="165"/>
      <c r="X1180" s="116">
        <v>43525</v>
      </c>
      <c r="Y1180" s="116">
        <v>45549</v>
      </c>
    </row>
    <row r="1181" s="85" customFormat="1" customHeight="1" spans="1:25">
      <c r="A1181" s="98" t="s">
        <v>448</v>
      </c>
      <c r="B1181" s="98" t="s">
        <v>62</v>
      </c>
      <c r="C1181" s="98" t="s">
        <v>238</v>
      </c>
      <c r="D1181" s="98" t="s">
        <v>642</v>
      </c>
      <c r="E1181" s="161" t="s">
        <v>1556</v>
      </c>
      <c r="F1181" s="98" t="s">
        <v>983</v>
      </c>
      <c r="G1181" s="98" t="s">
        <v>88</v>
      </c>
      <c r="H1181" s="100" t="s">
        <v>1557</v>
      </c>
      <c r="I1181" s="46" t="e">
        <f>VLOOKUP(H1181,'合同高级查询数据-4月返'!A:A,1,FALSE)</f>
        <v>#N/A</v>
      </c>
      <c r="J1181" s="47" t="s">
        <v>90</v>
      </c>
      <c r="K1181" s="160" t="s">
        <v>1558</v>
      </c>
      <c r="L1181" s="98"/>
      <c r="M1181" s="49" t="s">
        <v>986</v>
      </c>
      <c r="N1181" s="180">
        <v>43606</v>
      </c>
      <c r="O1181" s="181" t="s">
        <v>507</v>
      </c>
      <c r="P1181" s="207">
        <v>11700</v>
      </c>
      <c r="Q1181" s="207">
        <v>7</v>
      </c>
      <c r="R1181" s="118">
        <f t="shared" ref="R1181:R1244" si="31">ROUND(P1181*Q1181,2)</f>
        <v>81900</v>
      </c>
      <c r="S1181" s="115">
        <v>202304</v>
      </c>
      <c r="T1181" s="187" t="s">
        <v>1609</v>
      </c>
      <c r="U1181" s="248"/>
      <c r="V1181" s="165"/>
      <c r="W1181" s="165"/>
      <c r="X1181" s="116">
        <v>43525</v>
      </c>
      <c r="Y1181" s="116">
        <v>45549</v>
      </c>
    </row>
    <row r="1182" s="85" customFormat="1" customHeight="1" spans="1:25">
      <c r="A1182" s="98" t="s">
        <v>448</v>
      </c>
      <c r="B1182" s="98" t="s">
        <v>62</v>
      </c>
      <c r="C1182" s="98" t="s">
        <v>238</v>
      </c>
      <c r="D1182" s="98" t="s">
        <v>642</v>
      </c>
      <c r="E1182" s="161" t="s">
        <v>1556</v>
      </c>
      <c r="F1182" s="98" t="s">
        <v>983</v>
      </c>
      <c r="G1182" s="98" t="s">
        <v>88</v>
      </c>
      <c r="H1182" s="100" t="s">
        <v>1557</v>
      </c>
      <c r="I1182" s="46" t="e">
        <f>VLOOKUP(H1182,'合同高级查询数据-4月返'!A:A,1,FALSE)</f>
        <v>#N/A</v>
      </c>
      <c r="J1182" s="47" t="s">
        <v>90</v>
      </c>
      <c r="K1182" s="160" t="s">
        <v>1558</v>
      </c>
      <c r="L1182" s="98"/>
      <c r="M1182" s="49" t="s">
        <v>986</v>
      </c>
      <c r="N1182" s="180">
        <v>43545</v>
      </c>
      <c r="O1182" s="181" t="s">
        <v>507</v>
      </c>
      <c r="P1182" s="207">
        <v>11700</v>
      </c>
      <c r="Q1182" s="207">
        <v>6</v>
      </c>
      <c r="R1182" s="118">
        <f t="shared" si="31"/>
        <v>70200</v>
      </c>
      <c r="S1182" s="115">
        <v>202304</v>
      </c>
      <c r="T1182" s="187" t="s">
        <v>1610</v>
      </c>
      <c r="U1182" s="248"/>
      <c r="V1182" s="165"/>
      <c r="W1182" s="165"/>
      <c r="X1182" s="116">
        <v>43525</v>
      </c>
      <c r="Y1182" s="116">
        <v>45549</v>
      </c>
    </row>
    <row r="1183" s="85" customFormat="1" customHeight="1" spans="1:25">
      <c r="A1183" s="98" t="s">
        <v>448</v>
      </c>
      <c r="B1183" s="98" t="s">
        <v>62</v>
      </c>
      <c r="C1183" s="98" t="s">
        <v>238</v>
      </c>
      <c r="D1183" s="98" t="s">
        <v>642</v>
      </c>
      <c r="E1183" s="161" t="s">
        <v>1556</v>
      </c>
      <c r="F1183" s="98" t="s">
        <v>983</v>
      </c>
      <c r="G1183" s="98" t="s">
        <v>88</v>
      </c>
      <c r="H1183" s="100" t="s">
        <v>1557</v>
      </c>
      <c r="I1183" s="46" t="e">
        <f>VLOOKUP(H1183,'合同高级查询数据-4月返'!A:A,1,FALSE)</f>
        <v>#N/A</v>
      </c>
      <c r="J1183" s="47" t="s">
        <v>90</v>
      </c>
      <c r="K1183" s="160" t="s">
        <v>1558</v>
      </c>
      <c r="L1183" s="98"/>
      <c r="M1183" s="49" t="s">
        <v>986</v>
      </c>
      <c r="N1183" s="180">
        <v>43525</v>
      </c>
      <c r="O1183" s="181" t="s">
        <v>507</v>
      </c>
      <c r="P1183" s="207">
        <v>11700</v>
      </c>
      <c r="Q1183" s="207">
        <v>1</v>
      </c>
      <c r="R1183" s="118">
        <f t="shared" si="31"/>
        <v>11700</v>
      </c>
      <c r="S1183" s="115">
        <v>202304</v>
      </c>
      <c r="T1183" s="187"/>
      <c r="U1183" s="248"/>
      <c r="V1183" s="165"/>
      <c r="W1183" s="165"/>
      <c r="X1183" s="116">
        <v>43525</v>
      </c>
      <c r="Y1183" s="116">
        <v>45549</v>
      </c>
    </row>
    <row r="1184" s="85" customFormat="1" customHeight="1" spans="1:25">
      <c r="A1184" s="98" t="s">
        <v>448</v>
      </c>
      <c r="B1184" s="98" t="s">
        <v>62</v>
      </c>
      <c r="C1184" s="98" t="s">
        <v>238</v>
      </c>
      <c r="D1184" s="98" t="s">
        <v>642</v>
      </c>
      <c r="E1184" s="161" t="s">
        <v>1556</v>
      </c>
      <c r="F1184" s="98" t="s">
        <v>983</v>
      </c>
      <c r="G1184" s="98" t="s">
        <v>88</v>
      </c>
      <c r="H1184" s="100" t="s">
        <v>1557</v>
      </c>
      <c r="I1184" s="46" t="e">
        <f>VLOOKUP(H1184,'合同高级查询数据-4月返'!A:A,1,FALSE)</f>
        <v>#N/A</v>
      </c>
      <c r="J1184" s="47" t="s">
        <v>90</v>
      </c>
      <c r="K1184" s="160" t="s">
        <v>1558</v>
      </c>
      <c r="L1184" s="160"/>
      <c r="M1184" s="49" t="s">
        <v>986</v>
      </c>
      <c r="N1184" s="180"/>
      <c r="O1184" s="181" t="s">
        <v>507</v>
      </c>
      <c r="P1184" s="207">
        <v>11700</v>
      </c>
      <c r="Q1184" s="207">
        <v>8</v>
      </c>
      <c r="R1184" s="118">
        <f t="shared" si="31"/>
        <v>93600</v>
      </c>
      <c r="S1184" s="115">
        <v>202304</v>
      </c>
      <c r="T1184" s="187" t="s">
        <v>1611</v>
      </c>
      <c r="U1184" s="248"/>
      <c r="V1184" s="165"/>
      <c r="W1184" s="165"/>
      <c r="X1184" s="116">
        <v>43525</v>
      </c>
      <c r="Y1184" s="116">
        <v>45549</v>
      </c>
    </row>
    <row r="1185" s="85" customFormat="1" customHeight="1" spans="1:25">
      <c r="A1185" s="98" t="s">
        <v>448</v>
      </c>
      <c r="B1185" s="98" t="s">
        <v>62</v>
      </c>
      <c r="C1185" s="98" t="s">
        <v>238</v>
      </c>
      <c r="D1185" s="98" t="s">
        <v>642</v>
      </c>
      <c r="E1185" s="161" t="s">
        <v>1556</v>
      </c>
      <c r="F1185" s="98" t="s">
        <v>983</v>
      </c>
      <c r="G1185" s="98" t="s">
        <v>88</v>
      </c>
      <c r="H1185" s="100" t="s">
        <v>1557</v>
      </c>
      <c r="I1185" s="46" t="e">
        <f>VLOOKUP(H1185,'合同高级查询数据-4月返'!A:A,1,FALSE)</f>
        <v>#N/A</v>
      </c>
      <c r="J1185" s="47" t="s">
        <v>90</v>
      </c>
      <c r="K1185" s="160" t="s">
        <v>1558</v>
      </c>
      <c r="L1185" s="98"/>
      <c r="M1185" s="49" t="s">
        <v>986</v>
      </c>
      <c r="N1185" s="180">
        <v>43629</v>
      </c>
      <c r="O1185" s="181" t="s">
        <v>507</v>
      </c>
      <c r="P1185" s="207">
        <v>11700</v>
      </c>
      <c r="Q1185" s="207">
        <v>2</v>
      </c>
      <c r="R1185" s="118">
        <f t="shared" si="31"/>
        <v>23400</v>
      </c>
      <c r="S1185" s="115">
        <v>202304</v>
      </c>
      <c r="T1185" s="187" t="s">
        <v>1612</v>
      </c>
      <c r="U1185" s="248"/>
      <c r="V1185" s="165"/>
      <c r="W1185" s="165"/>
      <c r="X1185" s="116">
        <v>43525</v>
      </c>
      <c r="Y1185" s="116">
        <v>45549</v>
      </c>
    </row>
    <row r="1186" s="85" customFormat="1" customHeight="1" spans="1:25">
      <c r="A1186" s="98" t="s">
        <v>448</v>
      </c>
      <c r="B1186" s="98" t="s">
        <v>62</v>
      </c>
      <c r="C1186" s="98" t="s">
        <v>238</v>
      </c>
      <c r="D1186" s="98" t="s">
        <v>642</v>
      </c>
      <c r="E1186" s="161" t="s">
        <v>1556</v>
      </c>
      <c r="F1186" s="98" t="s">
        <v>983</v>
      </c>
      <c r="G1186" s="98" t="s">
        <v>88</v>
      </c>
      <c r="H1186" s="100" t="s">
        <v>1557</v>
      </c>
      <c r="I1186" s="46" t="e">
        <f>VLOOKUP(H1186,'合同高级查询数据-4月返'!A:A,1,FALSE)</f>
        <v>#N/A</v>
      </c>
      <c r="J1186" s="47" t="s">
        <v>90</v>
      </c>
      <c r="K1186" s="160" t="s">
        <v>1558</v>
      </c>
      <c r="L1186" s="98"/>
      <c r="M1186" s="49" t="s">
        <v>986</v>
      </c>
      <c r="N1186" s="180">
        <v>43633</v>
      </c>
      <c r="O1186" s="181" t="s">
        <v>507</v>
      </c>
      <c r="P1186" s="207">
        <v>11700</v>
      </c>
      <c r="Q1186" s="207">
        <v>2</v>
      </c>
      <c r="R1186" s="118">
        <f t="shared" si="31"/>
        <v>23400</v>
      </c>
      <c r="S1186" s="115">
        <v>202304</v>
      </c>
      <c r="T1186" s="187" t="s">
        <v>1613</v>
      </c>
      <c r="U1186" s="248"/>
      <c r="V1186" s="165"/>
      <c r="W1186" s="165"/>
      <c r="X1186" s="116">
        <v>43525</v>
      </c>
      <c r="Y1186" s="116">
        <v>45549</v>
      </c>
    </row>
    <row r="1187" s="85" customFormat="1" customHeight="1" spans="1:25">
      <c r="A1187" s="98" t="s">
        <v>448</v>
      </c>
      <c r="B1187" s="98" t="s">
        <v>62</v>
      </c>
      <c r="C1187" s="98" t="s">
        <v>238</v>
      </c>
      <c r="D1187" s="98" t="s">
        <v>642</v>
      </c>
      <c r="E1187" s="161" t="s">
        <v>1556</v>
      </c>
      <c r="F1187" s="98" t="s">
        <v>983</v>
      </c>
      <c r="G1187" s="98" t="s">
        <v>88</v>
      </c>
      <c r="H1187" s="100" t="s">
        <v>1557</v>
      </c>
      <c r="I1187" s="46" t="e">
        <f>VLOOKUP(H1187,'合同高级查询数据-4月返'!A:A,1,FALSE)</f>
        <v>#N/A</v>
      </c>
      <c r="J1187" s="47" t="s">
        <v>90</v>
      </c>
      <c r="K1187" s="160" t="s">
        <v>1558</v>
      </c>
      <c r="L1187" s="98"/>
      <c r="M1187" s="49" t="s">
        <v>986</v>
      </c>
      <c r="N1187" s="180">
        <v>43648</v>
      </c>
      <c r="O1187" s="181" t="s">
        <v>507</v>
      </c>
      <c r="P1187" s="207">
        <v>11700</v>
      </c>
      <c r="Q1187" s="207">
        <v>200</v>
      </c>
      <c r="R1187" s="118">
        <f t="shared" si="31"/>
        <v>2340000</v>
      </c>
      <c r="S1187" s="115">
        <v>202304</v>
      </c>
      <c r="T1187" s="187" t="s">
        <v>1613</v>
      </c>
      <c r="U1187" s="248"/>
      <c r="V1187" s="165"/>
      <c r="W1187" s="165"/>
      <c r="X1187" s="116">
        <v>43525</v>
      </c>
      <c r="Y1187" s="116">
        <v>45549</v>
      </c>
    </row>
    <row r="1188" s="85" customFormat="1" customHeight="1" spans="1:25">
      <c r="A1188" s="98" t="s">
        <v>448</v>
      </c>
      <c r="B1188" s="98" t="s">
        <v>62</v>
      </c>
      <c r="C1188" s="98" t="s">
        <v>238</v>
      </c>
      <c r="D1188" s="98" t="s">
        <v>642</v>
      </c>
      <c r="E1188" s="161" t="s">
        <v>1556</v>
      </c>
      <c r="F1188" s="98" t="s">
        <v>983</v>
      </c>
      <c r="G1188" s="98" t="s">
        <v>88</v>
      </c>
      <c r="H1188" s="100" t="s">
        <v>1557</v>
      </c>
      <c r="I1188" s="46" t="e">
        <f>VLOOKUP(H1188,'合同高级查询数据-4月返'!A:A,1,FALSE)</f>
        <v>#N/A</v>
      </c>
      <c r="J1188" s="47" t="s">
        <v>90</v>
      </c>
      <c r="K1188" s="160" t="s">
        <v>1558</v>
      </c>
      <c r="L1188" s="98"/>
      <c r="M1188" s="49" t="s">
        <v>986</v>
      </c>
      <c r="N1188" s="180">
        <v>43651</v>
      </c>
      <c r="O1188" s="181" t="s">
        <v>507</v>
      </c>
      <c r="P1188" s="207">
        <v>11700</v>
      </c>
      <c r="Q1188" s="207">
        <v>4</v>
      </c>
      <c r="R1188" s="118">
        <f t="shared" si="31"/>
        <v>46800</v>
      </c>
      <c r="S1188" s="115">
        <v>202304</v>
      </c>
      <c r="T1188" s="187" t="s">
        <v>1614</v>
      </c>
      <c r="U1188" s="248"/>
      <c r="V1188" s="165"/>
      <c r="W1188" s="165"/>
      <c r="X1188" s="116">
        <v>43525</v>
      </c>
      <c r="Y1188" s="116">
        <v>45549</v>
      </c>
    </row>
    <row r="1189" s="85" customFormat="1" customHeight="1" spans="1:25">
      <c r="A1189" s="98" t="s">
        <v>448</v>
      </c>
      <c r="B1189" s="98" t="s">
        <v>62</v>
      </c>
      <c r="C1189" s="98" t="s">
        <v>238</v>
      </c>
      <c r="D1189" s="98" t="s">
        <v>642</v>
      </c>
      <c r="E1189" s="161" t="s">
        <v>1556</v>
      </c>
      <c r="F1189" s="98" t="s">
        <v>983</v>
      </c>
      <c r="G1189" s="98" t="s">
        <v>88</v>
      </c>
      <c r="H1189" s="100" t="s">
        <v>1557</v>
      </c>
      <c r="I1189" s="46" t="e">
        <f>VLOOKUP(H1189,'合同高级查询数据-4月返'!A:A,1,FALSE)</f>
        <v>#N/A</v>
      </c>
      <c r="J1189" s="47" t="s">
        <v>90</v>
      </c>
      <c r="K1189" s="160" t="s">
        <v>1558</v>
      </c>
      <c r="L1189" s="98"/>
      <c r="M1189" s="49" t="s">
        <v>986</v>
      </c>
      <c r="N1189" s="180">
        <v>43656</v>
      </c>
      <c r="O1189" s="181" t="s">
        <v>507</v>
      </c>
      <c r="P1189" s="207">
        <v>11700</v>
      </c>
      <c r="Q1189" s="207">
        <v>1</v>
      </c>
      <c r="R1189" s="118">
        <f t="shared" si="31"/>
        <v>11700</v>
      </c>
      <c r="S1189" s="115">
        <v>202304</v>
      </c>
      <c r="T1189" s="187" t="s">
        <v>1615</v>
      </c>
      <c r="U1189" s="248"/>
      <c r="V1189" s="165"/>
      <c r="W1189" s="165"/>
      <c r="X1189" s="116">
        <v>43525</v>
      </c>
      <c r="Y1189" s="116">
        <v>45549</v>
      </c>
    </row>
    <row r="1190" s="85" customFormat="1" customHeight="1" spans="1:25">
      <c r="A1190" s="98" t="s">
        <v>448</v>
      </c>
      <c r="B1190" s="98" t="s">
        <v>62</v>
      </c>
      <c r="C1190" s="98" t="s">
        <v>238</v>
      </c>
      <c r="D1190" s="98" t="s">
        <v>642</v>
      </c>
      <c r="E1190" s="161" t="s">
        <v>1556</v>
      </c>
      <c r="F1190" s="98" t="s">
        <v>983</v>
      </c>
      <c r="G1190" s="98" t="s">
        <v>88</v>
      </c>
      <c r="H1190" s="100" t="s">
        <v>1557</v>
      </c>
      <c r="I1190" s="46" t="e">
        <f>VLOOKUP(H1190,'合同高级查询数据-4月返'!A:A,1,FALSE)</f>
        <v>#N/A</v>
      </c>
      <c r="J1190" s="47" t="s">
        <v>90</v>
      </c>
      <c r="K1190" s="160" t="s">
        <v>1558</v>
      </c>
      <c r="L1190" s="98"/>
      <c r="M1190" s="49" t="s">
        <v>986</v>
      </c>
      <c r="N1190" s="180">
        <v>43672</v>
      </c>
      <c r="O1190" s="181" t="s">
        <v>507</v>
      </c>
      <c r="P1190" s="207">
        <v>11700</v>
      </c>
      <c r="Q1190" s="207">
        <v>1</v>
      </c>
      <c r="R1190" s="118">
        <f t="shared" si="31"/>
        <v>11700</v>
      </c>
      <c r="S1190" s="115">
        <v>202304</v>
      </c>
      <c r="T1190" s="187" t="s">
        <v>1616</v>
      </c>
      <c r="U1190" s="248"/>
      <c r="V1190" s="165"/>
      <c r="W1190" s="165"/>
      <c r="X1190" s="116">
        <v>43525</v>
      </c>
      <c r="Y1190" s="116">
        <v>45549</v>
      </c>
    </row>
    <row r="1191" s="85" customFormat="1" customHeight="1" spans="1:25">
      <c r="A1191" s="98" t="s">
        <v>448</v>
      </c>
      <c r="B1191" s="98" t="s">
        <v>62</v>
      </c>
      <c r="C1191" s="98" t="s">
        <v>238</v>
      </c>
      <c r="D1191" s="98" t="s">
        <v>642</v>
      </c>
      <c r="E1191" s="161" t="s">
        <v>1556</v>
      </c>
      <c r="F1191" s="98" t="s">
        <v>983</v>
      </c>
      <c r="G1191" s="98" t="s">
        <v>88</v>
      </c>
      <c r="H1191" s="100" t="s">
        <v>1557</v>
      </c>
      <c r="I1191" s="46" t="e">
        <f>VLOOKUP(H1191,'合同高级查询数据-4月返'!A:A,1,FALSE)</f>
        <v>#N/A</v>
      </c>
      <c r="J1191" s="47" t="s">
        <v>90</v>
      </c>
      <c r="K1191" s="160" t="s">
        <v>1558</v>
      </c>
      <c r="L1191" s="98"/>
      <c r="M1191" s="49" t="s">
        <v>986</v>
      </c>
      <c r="N1191" s="180">
        <v>43678</v>
      </c>
      <c r="O1191" s="181" t="s">
        <v>507</v>
      </c>
      <c r="P1191" s="207">
        <v>11700</v>
      </c>
      <c r="Q1191" s="207">
        <v>1</v>
      </c>
      <c r="R1191" s="118">
        <f t="shared" si="31"/>
        <v>11700</v>
      </c>
      <c r="S1191" s="115">
        <v>202304</v>
      </c>
      <c r="T1191" s="187" t="s">
        <v>1617</v>
      </c>
      <c r="U1191" s="248"/>
      <c r="V1191" s="165"/>
      <c r="W1191" s="165"/>
      <c r="X1191" s="116">
        <v>43525</v>
      </c>
      <c r="Y1191" s="116">
        <v>45549</v>
      </c>
    </row>
    <row r="1192" s="85" customFormat="1" customHeight="1" spans="1:25">
      <c r="A1192" s="98" t="s">
        <v>448</v>
      </c>
      <c r="B1192" s="98" t="s">
        <v>62</v>
      </c>
      <c r="C1192" s="98" t="s">
        <v>238</v>
      </c>
      <c r="D1192" s="98" t="s">
        <v>642</v>
      </c>
      <c r="E1192" s="161" t="s">
        <v>1556</v>
      </c>
      <c r="F1192" s="98" t="s">
        <v>983</v>
      </c>
      <c r="G1192" s="98" t="s">
        <v>88</v>
      </c>
      <c r="H1192" s="100" t="s">
        <v>1557</v>
      </c>
      <c r="I1192" s="46" t="e">
        <f>VLOOKUP(H1192,'合同高级查询数据-4月返'!A:A,1,FALSE)</f>
        <v>#N/A</v>
      </c>
      <c r="J1192" s="47" t="s">
        <v>90</v>
      </c>
      <c r="K1192" s="160" t="s">
        <v>1558</v>
      </c>
      <c r="L1192" s="98"/>
      <c r="M1192" s="49" t="s">
        <v>986</v>
      </c>
      <c r="N1192" s="180">
        <v>43686</v>
      </c>
      <c r="O1192" s="181" t="s">
        <v>507</v>
      </c>
      <c r="P1192" s="207">
        <v>11700</v>
      </c>
      <c r="Q1192" s="207">
        <v>2</v>
      </c>
      <c r="R1192" s="118">
        <f t="shared" si="31"/>
        <v>23400</v>
      </c>
      <c r="S1192" s="115">
        <v>202304</v>
      </c>
      <c r="T1192" s="187" t="s">
        <v>1618</v>
      </c>
      <c r="U1192" s="248"/>
      <c r="V1192" s="165"/>
      <c r="W1192" s="165"/>
      <c r="X1192" s="116">
        <v>43525</v>
      </c>
      <c r="Y1192" s="116">
        <v>45549</v>
      </c>
    </row>
    <row r="1193" s="85" customFormat="1" customHeight="1" spans="1:25">
      <c r="A1193" s="98" t="s">
        <v>448</v>
      </c>
      <c r="B1193" s="98" t="s">
        <v>62</v>
      </c>
      <c r="C1193" s="98" t="s">
        <v>238</v>
      </c>
      <c r="D1193" s="98" t="s">
        <v>642</v>
      </c>
      <c r="E1193" s="161" t="s">
        <v>1556</v>
      </c>
      <c r="F1193" s="98" t="s">
        <v>983</v>
      </c>
      <c r="G1193" s="98" t="s">
        <v>88</v>
      </c>
      <c r="H1193" s="100" t="s">
        <v>1557</v>
      </c>
      <c r="I1193" s="46" t="e">
        <f>VLOOKUP(H1193,'合同高级查询数据-4月返'!A:A,1,FALSE)</f>
        <v>#N/A</v>
      </c>
      <c r="J1193" s="47" t="s">
        <v>90</v>
      </c>
      <c r="K1193" s="160" t="s">
        <v>1558</v>
      </c>
      <c r="L1193" s="98"/>
      <c r="M1193" s="49" t="s">
        <v>986</v>
      </c>
      <c r="N1193" s="180">
        <v>43696</v>
      </c>
      <c r="O1193" s="181" t="s">
        <v>507</v>
      </c>
      <c r="P1193" s="207">
        <v>11700</v>
      </c>
      <c r="Q1193" s="207">
        <v>15</v>
      </c>
      <c r="R1193" s="118">
        <f t="shared" si="31"/>
        <v>175500</v>
      </c>
      <c r="S1193" s="115">
        <v>202304</v>
      </c>
      <c r="T1193" s="187" t="s">
        <v>1619</v>
      </c>
      <c r="U1193" s="248"/>
      <c r="V1193" s="165"/>
      <c r="W1193" s="165"/>
      <c r="X1193" s="116">
        <v>43525</v>
      </c>
      <c r="Y1193" s="116">
        <v>45549</v>
      </c>
    </row>
    <row r="1194" s="85" customFormat="1" customHeight="1" spans="1:25">
      <c r="A1194" s="98" t="s">
        <v>448</v>
      </c>
      <c r="B1194" s="98" t="s">
        <v>62</v>
      </c>
      <c r="C1194" s="98" t="s">
        <v>238</v>
      </c>
      <c r="D1194" s="98" t="s">
        <v>642</v>
      </c>
      <c r="E1194" s="161" t="s">
        <v>1556</v>
      </c>
      <c r="F1194" s="98" t="s">
        <v>983</v>
      </c>
      <c r="G1194" s="98" t="s">
        <v>88</v>
      </c>
      <c r="H1194" s="100" t="s">
        <v>1557</v>
      </c>
      <c r="I1194" s="46" t="e">
        <f>VLOOKUP(H1194,'合同高级查询数据-4月返'!A:A,1,FALSE)</f>
        <v>#N/A</v>
      </c>
      <c r="J1194" s="47" t="s">
        <v>90</v>
      </c>
      <c r="K1194" s="160" t="s">
        <v>1558</v>
      </c>
      <c r="L1194" s="98"/>
      <c r="M1194" s="49" t="s">
        <v>986</v>
      </c>
      <c r="N1194" s="180">
        <v>43705</v>
      </c>
      <c r="O1194" s="181" t="s">
        <v>507</v>
      </c>
      <c r="P1194" s="207">
        <v>11700</v>
      </c>
      <c r="Q1194" s="207">
        <v>1</v>
      </c>
      <c r="R1194" s="118">
        <f t="shared" si="31"/>
        <v>11700</v>
      </c>
      <c r="S1194" s="115">
        <v>202304</v>
      </c>
      <c r="T1194" s="187" t="s">
        <v>1620</v>
      </c>
      <c r="U1194" s="248"/>
      <c r="V1194" s="165"/>
      <c r="W1194" s="165"/>
      <c r="X1194" s="116">
        <v>43525</v>
      </c>
      <c r="Y1194" s="116">
        <v>45549</v>
      </c>
    </row>
    <row r="1195" s="85" customFormat="1" customHeight="1" spans="1:25">
      <c r="A1195" s="98" t="s">
        <v>448</v>
      </c>
      <c r="B1195" s="98" t="s">
        <v>62</v>
      </c>
      <c r="C1195" s="98" t="s">
        <v>238</v>
      </c>
      <c r="D1195" s="98" t="s">
        <v>642</v>
      </c>
      <c r="E1195" s="161" t="s">
        <v>1556</v>
      </c>
      <c r="F1195" s="98" t="s">
        <v>983</v>
      </c>
      <c r="G1195" s="98" t="s">
        <v>88</v>
      </c>
      <c r="H1195" s="100" t="s">
        <v>1557</v>
      </c>
      <c r="I1195" s="46" t="e">
        <f>VLOOKUP(H1195,'合同高级查询数据-4月返'!A:A,1,FALSE)</f>
        <v>#N/A</v>
      </c>
      <c r="J1195" s="47" t="s">
        <v>90</v>
      </c>
      <c r="K1195" s="160" t="s">
        <v>1558</v>
      </c>
      <c r="L1195" s="98"/>
      <c r="M1195" s="49" t="s">
        <v>986</v>
      </c>
      <c r="N1195" s="180">
        <v>43718</v>
      </c>
      <c r="O1195" s="181" t="s">
        <v>507</v>
      </c>
      <c r="P1195" s="207">
        <v>11700</v>
      </c>
      <c r="Q1195" s="207">
        <v>1</v>
      </c>
      <c r="R1195" s="118">
        <f t="shared" si="31"/>
        <v>11700</v>
      </c>
      <c r="S1195" s="115">
        <v>202304</v>
      </c>
      <c r="T1195" s="187" t="s">
        <v>1621</v>
      </c>
      <c r="U1195" s="248"/>
      <c r="V1195" s="165"/>
      <c r="W1195" s="165"/>
      <c r="X1195" s="116">
        <v>43525</v>
      </c>
      <c r="Y1195" s="116">
        <v>45549</v>
      </c>
    </row>
    <row r="1196" s="85" customFormat="1" customHeight="1" spans="1:25">
      <c r="A1196" s="98" t="s">
        <v>448</v>
      </c>
      <c r="B1196" s="98" t="s">
        <v>62</v>
      </c>
      <c r="C1196" s="98" t="s">
        <v>238</v>
      </c>
      <c r="D1196" s="98" t="s">
        <v>642</v>
      </c>
      <c r="E1196" s="161" t="s">
        <v>1556</v>
      </c>
      <c r="F1196" s="98" t="s">
        <v>983</v>
      </c>
      <c r="G1196" s="172" t="s">
        <v>88</v>
      </c>
      <c r="H1196" s="100" t="s">
        <v>1557</v>
      </c>
      <c r="I1196" s="46" t="e">
        <f>VLOOKUP(H1196,'合同高级查询数据-4月返'!A:A,1,FALSE)</f>
        <v>#N/A</v>
      </c>
      <c r="J1196" s="47" t="s">
        <v>90</v>
      </c>
      <c r="K1196" s="160" t="s">
        <v>1558</v>
      </c>
      <c r="L1196" s="179"/>
      <c r="M1196" s="49" t="s">
        <v>986</v>
      </c>
      <c r="N1196" s="180">
        <v>43712</v>
      </c>
      <c r="O1196" s="181" t="s">
        <v>503</v>
      </c>
      <c r="P1196" s="182">
        <v>5950</v>
      </c>
      <c r="Q1196" s="182">
        <v>-2</v>
      </c>
      <c r="R1196" s="118">
        <f t="shared" si="31"/>
        <v>-11900</v>
      </c>
      <c r="S1196" s="115">
        <v>202304</v>
      </c>
      <c r="T1196" s="187" t="s">
        <v>1622</v>
      </c>
      <c r="U1196" s="248"/>
      <c r="V1196" s="165"/>
      <c r="W1196" s="165"/>
      <c r="X1196" s="116">
        <v>43525</v>
      </c>
      <c r="Y1196" s="116">
        <v>45549</v>
      </c>
    </row>
    <row r="1197" s="85" customFormat="1" customHeight="1" spans="1:25">
      <c r="A1197" s="98" t="s">
        <v>448</v>
      </c>
      <c r="B1197" s="98" t="s">
        <v>62</v>
      </c>
      <c r="C1197" s="98" t="s">
        <v>238</v>
      </c>
      <c r="D1197" s="98" t="s">
        <v>642</v>
      </c>
      <c r="E1197" s="161" t="s">
        <v>1556</v>
      </c>
      <c r="F1197" s="98" t="s">
        <v>983</v>
      </c>
      <c r="G1197" s="172" t="s">
        <v>88</v>
      </c>
      <c r="H1197" s="100" t="s">
        <v>1557</v>
      </c>
      <c r="I1197" s="46" t="e">
        <f>VLOOKUP(H1197,'合同高级查询数据-4月返'!A:A,1,FALSE)</f>
        <v>#N/A</v>
      </c>
      <c r="J1197" s="47" t="s">
        <v>90</v>
      </c>
      <c r="K1197" s="160" t="s">
        <v>1558</v>
      </c>
      <c r="L1197" s="179"/>
      <c r="M1197" s="49" t="s">
        <v>986</v>
      </c>
      <c r="N1197" s="180">
        <v>43712</v>
      </c>
      <c r="O1197" s="181" t="s">
        <v>503</v>
      </c>
      <c r="P1197" s="182">
        <v>5950</v>
      </c>
      <c r="Q1197" s="182">
        <v>-7</v>
      </c>
      <c r="R1197" s="118">
        <f t="shared" si="31"/>
        <v>-41650</v>
      </c>
      <c r="S1197" s="115">
        <v>202304</v>
      </c>
      <c r="T1197" s="187" t="s">
        <v>1623</v>
      </c>
      <c r="U1197" s="248"/>
      <c r="V1197" s="165"/>
      <c r="W1197" s="165"/>
      <c r="X1197" s="116">
        <v>43525</v>
      </c>
      <c r="Y1197" s="116">
        <v>45549</v>
      </c>
    </row>
    <row r="1198" s="85" customFormat="1" customHeight="1" spans="1:25">
      <c r="A1198" s="98" t="s">
        <v>448</v>
      </c>
      <c r="B1198" s="98" t="s">
        <v>62</v>
      </c>
      <c r="C1198" s="98" t="s">
        <v>238</v>
      </c>
      <c r="D1198" s="98" t="s">
        <v>642</v>
      </c>
      <c r="E1198" s="161" t="s">
        <v>1556</v>
      </c>
      <c r="F1198" s="98" t="s">
        <v>983</v>
      </c>
      <c r="G1198" s="172" t="s">
        <v>88</v>
      </c>
      <c r="H1198" s="100" t="s">
        <v>1557</v>
      </c>
      <c r="I1198" s="46" t="e">
        <f>VLOOKUP(H1198,'合同高级查询数据-4月返'!A:A,1,FALSE)</f>
        <v>#N/A</v>
      </c>
      <c r="J1198" s="47" t="s">
        <v>90</v>
      </c>
      <c r="K1198" s="160" t="s">
        <v>1558</v>
      </c>
      <c r="L1198" s="179"/>
      <c r="M1198" s="49" t="s">
        <v>986</v>
      </c>
      <c r="N1198" s="180">
        <v>43719</v>
      </c>
      <c r="O1198" s="181" t="s">
        <v>503</v>
      </c>
      <c r="P1198" s="182">
        <v>5950</v>
      </c>
      <c r="Q1198" s="182">
        <v>2</v>
      </c>
      <c r="R1198" s="118">
        <f t="shared" si="31"/>
        <v>11900</v>
      </c>
      <c r="S1198" s="115">
        <v>202304</v>
      </c>
      <c r="T1198" s="187" t="s">
        <v>1622</v>
      </c>
      <c r="U1198" s="248"/>
      <c r="V1198" s="165"/>
      <c r="W1198" s="165"/>
      <c r="X1198" s="116">
        <v>43525</v>
      </c>
      <c r="Y1198" s="116">
        <v>45549</v>
      </c>
    </row>
    <row r="1199" s="85" customFormat="1" customHeight="1" spans="1:25">
      <c r="A1199" s="98" t="s">
        <v>448</v>
      </c>
      <c r="B1199" s="98" t="s">
        <v>62</v>
      </c>
      <c r="C1199" s="98" t="s">
        <v>238</v>
      </c>
      <c r="D1199" s="98" t="s">
        <v>642</v>
      </c>
      <c r="E1199" s="161" t="s">
        <v>1556</v>
      </c>
      <c r="F1199" s="98" t="s">
        <v>983</v>
      </c>
      <c r="G1199" s="172" t="s">
        <v>88</v>
      </c>
      <c r="H1199" s="100" t="s">
        <v>1557</v>
      </c>
      <c r="I1199" s="46" t="e">
        <f>VLOOKUP(H1199,'合同高级查询数据-4月返'!A:A,1,FALSE)</f>
        <v>#N/A</v>
      </c>
      <c r="J1199" s="47" t="s">
        <v>90</v>
      </c>
      <c r="K1199" s="160" t="s">
        <v>1558</v>
      </c>
      <c r="L1199" s="179"/>
      <c r="M1199" s="49" t="s">
        <v>986</v>
      </c>
      <c r="N1199" s="180">
        <v>43706</v>
      </c>
      <c r="O1199" s="181" t="s">
        <v>507</v>
      </c>
      <c r="P1199" s="207">
        <v>11700</v>
      </c>
      <c r="Q1199" s="182">
        <v>-5</v>
      </c>
      <c r="R1199" s="118">
        <f t="shared" si="31"/>
        <v>-58500</v>
      </c>
      <c r="S1199" s="115">
        <v>202304</v>
      </c>
      <c r="T1199" s="187" t="s">
        <v>1624</v>
      </c>
      <c r="U1199" s="248"/>
      <c r="V1199" s="165"/>
      <c r="W1199" s="165"/>
      <c r="X1199" s="116">
        <v>43525</v>
      </c>
      <c r="Y1199" s="116">
        <v>45549</v>
      </c>
    </row>
    <row r="1200" s="85" customFormat="1" customHeight="1" spans="1:25">
      <c r="A1200" s="98" t="s">
        <v>448</v>
      </c>
      <c r="B1200" s="98" t="s">
        <v>62</v>
      </c>
      <c r="C1200" s="98" t="s">
        <v>238</v>
      </c>
      <c r="D1200" s="98" t="s">
        <v>642</v>
      </c>
      <c r="E1200" s="161" t="s">
        <v>1556</v>
      </c>
      <c r="F1200" s="98" t="s">
        <v>983</v>
      </c>
      <c r="G1200" s="172" t="s">
        <v>88</v>
      </c>
      <c r="H1200" s="100" t="s">
        <v>1557</v>
      </c>
      <c r="I1200" s="46" t="e">
        <f>VLOOKUP(H1200,'合同高级查询数据-4月返'!A:A,1,FALSE)</f>
        <v>#N/A</v>
      </c>
      <c r="J1200" s="47" t="s">
        <v>90</v>
      </c>
      <c r="K1200" s="160" t="s">
        <v>1558</v>
      </c>
      <c r="L1200" s="179"/>
      <c r="M1200" s="49" t="s">
        <v>986</v>
      </c>
      <c r="N1200" s="180">
        <v>43759</v>
      </c>
      <c r="O1200" s="181" t="s">
        <v>503</v>
      </c>
      <c r="P1200" s="182">
        <v>5950</v>
      </c>
      <c r="Q1200" s="182">
        <v>4</v>
      </c>
      <c r="R1200" s="118">
        <f t="shared" si="31"/>
        <v>23800</v>
      </c>
      <c r="S1200" s="115">
        <v>202304</v>
      </c>
      <c r="T1200" s="187" t="s">
        <v>1625</v>
      </c>
      <c r="U1200" s="248"/>
      <c r="V1200" s="165"/>
      <c r="W1200" s="165"/>
      <c r="X1200" s="116">
        <v>43525</v>
      </c>
      <c r="Y1200" s="116">
        <v>45549</v>
      </c>
    </row>
    <row r="1201" s="85" customFormat="1" customHeight="1" spans="1:25">
      <c r="A1201" s="98" t="s">
        <v>448</v>
      </c>
      <c r="B1201" s="98" t="s">
        <v>62</v>
      </c>
      <c r="C1201" s="98" t="s">
        <v>238</v>
      </c>
      <c r="D1201" s="98" t="s">
        <v>642</v>
      </c>
      <c r="E1201" s="161" t="s">
        <v>1556</v>
      </c>
      <c r="F1201" s="98" t="s">
        <v>983</v>
      </c>
      <c r="G1201" s="172" t="s">
        <v>88</v>
      </c>
      <c r="H1201" s="100" t="s">
        <v>1557</v>
      </c>
      <c r="I1201" s="46" t="e">
        <f>VLOOKUP(H1201,'合同高级查询数据-4月返'!A:A,1,FALSE)</f>
        <v>#N/A</v>
      </c>
      <c r="J1201" s="47" t="s">
        <v>90</v>
      </c>
      <c r="K1201" s="160" t="s">
        <v>1558</v>
      </c>
      <c r="L1201" s="179"/>
      <c r="M1201" s="49" t="s">
        <v>986</v>
      </c>
      <c r="N1201" s="180">
        <v>43759</v>
      </c>
      <c r="O1201" s="181" t="s">
        <v>507</v>
      </c>
      <c r="P1201" s="207">
        <v>11700</v>
      </c>
      <c r="Q1201" s="182">
        <v>2</v>
      </c>
      <c r="R1201" s="118">
        <f t="shared" si="31"/>
        <v>23400</v>
      </c>
      <c r="S1201" s="115">
        <v>202304</v>
      </c>
      <c r="T1201" s="187" t="s">
        <v>1626</v>
      </c>
      <c r="U1201" s="248"/>
      <c r="V1201" s="165"/>
      <c r="W1201" s="165"/>
      <c r="X1201" s="116">
        <v>43525</v>
      </c>
      <c r="Y1201" s="116">
        <v>45549</v>
      </c>
    </row>
    <row r="1202" s="85" customFormat="1" customHeight="1" spans="1:25">
      <c r="A1202" s="98" t="s">
        <v>448</v>
      </c>
      <c r="B1202" s="98" t="s">
        <v>62</v>
      </c>
      <c r="C1202" s="98" t="s">
        <v>238</v>
      </c>
      <c r="D1202" s="98" t="s">
        <v>642</v>
      </c>
      <c r="E1202" s="161" t="s">
        <v>1556</v>
      </c>
      <c r="F1202" s="98" t="s">
        <v>983</v>
      </c>
      <c r="G1202" s="172" t="s">
        <v>88</v>
      </c>
      <c r="H1202" s="100" t="s">
        <v>1557</v>
      </c>
      <c r="I1202" s="46" t="e">
        <f>VLOOKUP(H1202,'合同高级查询数据-4月返'!A:A,1,FALSE)</f>
        <v>#N/A</v>
      </c>
      <c r="J1202" s="47" t="s">
        <v>90</v>
      </c>
      <c r="K1202" s="160" t="s">
        <v>1558</v>
      </c>
      <c r="L1202" s="179"/>
      <c r="M1202" s="49" t="s">
        <v>986</v>
      </c>
      <c r="N1202" s="180">
        <v>43762</v>
      </c>
      <c r="O1202" s="181" t="s">
        <v>507</v>
      </c>
      <c r="P1202" s="207">
        <v>11700</v>
      </c>
      <c r="Q1202" s="182">
        <v>2</v>
      </c>
      <c r="R1202" s="118">
        <f t="shared" si="31"/>
        <v>23400</v>
      </c>
      <c r="S1202" s="115">
        <v>202304</v>
      </c>
      <c r="T1202" s="187" t="s">
        <v>1627</v>
      </c>
      <c r="U1202" s="248"/>
      <c r="V1202" s="165"/>
      <c r="W1202" s="165"/>
      <c r="X1202" s="116">
        <v>43525</v>
      </c>
      <c r="Y1202" s="116">
        <v>45549</v>
      </c>
    </row>
    <row r="1203" s="85" customFormat="1" customHeight="1" spans="1:25">
      <c r="A1203" s="98" t="s">
        <v>448</v>
      </c>
      <c r="B1203" s="98" t="s">
        <v>62</v>
      </c>
      <c r="C1203" s="98" t="s">
        <v>238</v>
      </c>
      <c r="D1203" s="98" t="s">
        <v>642</v>
      </c>
      <c r="E1203" s="161" t="s">
        <v>1556</v>
      </c>
      <c r="F1203" s="98" t="s">
        <v>983</v>
      </c>
      <c r="G1203" s="172" t="s">
        <v>88</v>
      </c>
      <c r="H1203" s="100" t="s">
        <v>1557</v>
      </c>
      <c r="I1203" s="46" t="e">
        <f>VLOOKUP(H1203,'合同高级查询数据-4月返'!A:A,1,FALSE)</f>
        <v>#N/A</v>
      </c>
      <c r="J1203" s="47" t="s">
        <v>90</v>
      </c>
      <c r="K1203" s="160" t="s">
        <v>1558</v>
      </c>
      <c r="L1203" s="179"/>
      <c r="M1203" s="49" t="s">
        <v>986</v>
      </c>
      <c r="N1203" s="180">
        <v>43437</v>
      </c>
      <c r="O1203" s="181" t="s">
        <v>507</v>
      </c>
      <c r="P1203" s="207">
        <v>11700</v>
      </c>
      <c r="Q1203" s="182">
        <v>1</v>
      </c>
      <c r="R1203" s="118">
        <f t="shared" si="31"/>
        <v>11700</v>
      </c>
      <c r="S1203" s="115">
        <v>202304</v>
      </c>
      <c r="T1203" s="187" t="s">
        <v>1628</v>
      </c>
      <c r="U1203" s="248"/>
      <c r="V1203" s="165"/>
      <c r="W1203" s="165"/>
      <c r="X1203" s="116">
        <v>43525</v>
      </c>
      <c r="Y1203" s="116">
        <v>45549</v>
      </c>
    </row>
    <row r="1204" s="85" customFormat="1" customHeight="1" spans="1:25">
      <c r="A1204" s="98" t="s">
        <v>448</v>
      </c>
      <c r="B1204" s="98" t="s">
        <v>62</v>
      </c>
      <c r="C1204" s="98" t="s">
        <v>238</v>
      </c>
      <c r="D1204" s="98" t="s">
        <v>642</v>
      </c>
      <c r="E1204" s="161" t="s">
        <v>1556</v>
      </c>
      <c r="F1204" s="98" t="s">
        <v>983</v>
      </c>
      <c r="G1204" s="172" t="s">
        <v>88</v>
      </c>
      <c r="H1204" s="100" t="s">
        <v>1557</v>
      </c>
      <c r="I1204" s="46" t="e">
        <f>VLOOKUP(H1204,'合同高级查询数据-4月返'!A:A,1,FALSE)</f>
        <v>#N/A</v>
      </c>
      <c r="J1204" s="47" t="s">
        <v>90</v>
      </c>
      <c r="K1204" s="160" t="s">
        <v>1558</v>
      </c>
      <c r="L1204" s="179"/>
      <c r="M1204" s="49" t="s">
        <v>986</v>
      </c>
      <c r="N1204" s="180">
        <v>43775</v>
      </c>
      <c r="O1204" s="181" t="s">
        <v>507</v>
      </c>
      <c r="P1204" s="207">
        <v>11700</v>
      </c>
      <c r="Q1204" s="182">
        <v>1</v>
      </c>
      <c r="R1204" s="118">
        <f t="shared" si="31"/>
        <v>11700</v>
      </c>
      <c r="S1204" s="115">
        <v>202304</v>
      </c>
      <c r="T1204" s="187" t="s">
        <v>1629</v>
      </c>
      <c r="U1204" s="248"/>
      <c r="V1204" s="165"/>
      <c r="W1204" s="165"/>
      <c r="X1204" s="116">
        <v>43525</v>
      </c>
      <c r="Y1204" s="116">
        <v>45549</v>
      </c>
    </row>
    <row r="1205" s="85" customFormat="1" customHeight="1" spans="1:25">
      <c r="A1205" s="98" t="s">
        <v>448</v>
      </c>
      <c r="B1205" s="98" t="s">
        <v>62</v>
      </c>
      <c r="C1205" s="98" t="s">
        <v>238</v>
      </c>
      <c r="D1205" s="98" t="s">
        <v>642</v>
      </c>
      <c r="E1205" s="161" t="s">
        <v>1556</v>
      </c>
      <c r="F1205" s="98" t="s">
        <v>983</v>
      </c>
      <c r="G1205" s="172" t="s">
        <v>88</v>
      </c>
      <c r="H1205" s="100" t="s">
        <v>1557</v>
      </c>
      <c r="I1205" s="46" t="e">
        <f>VLOOKUP(H1205,'合同高级查询数据-4月返'!A:A,1,FALSE)</f>
        <v>#N/A</v>
      </c>
      <c r="J1205" s="47" t="s">
        <v>90</v>
      </c>
      <c r="K1205" s="160" t="s">
        <v>1558</v>
      </c>
      <c r="L1205" s="179"/>
      <c r="M1205" s="49" t="s">
        <v>986</v>
      </c>
      <c r="N1205" s="180">
        <v>43784</v>
      </c>
      <c r="O1205" s="181" t="s">
        <v>507</v>
      </c>
      <c r="P1205" s="207">
        <v>11700</v>
      </c>
      <c r="Q1205" s="182">
        <v>3</v>
      </c>
      <c r="R1205" s="118">
        <f t="shared" si="31"/>
        <v>35100</v>
      </c>
      <c r="S1205" s="115">
        <v>202304</v>
      </c>
      <c r="T1205" s="187" t="s">
        <v>1630</v>
      </c>
      <c r="U1205" s="248"/>
      <c r="V1205" s="165"/>
      <c r="W1205" s="165"/>
      <c r="X1205" s="116">
        <v>43525</v>
      </c>
      <c r="Y1205" s="116">
        <v>45549</v>
      </c>
    </row>
    <row r="1206" s="85" customFormat="1" customHeight="1" spans="1:25">
      <c r="A1206" s="98" t="s">
        <v>448</v>
      </c>
      <c r="B1206" s="98" t="s">
        <v>62</v>
      </c>
      <c r="C1206" s="98" t="s">
        <v>238</v>
      </c>
      <c r="D1206" s="98" t="s">
        <v>642</v>
      </c>
      <c r="E1206" s="161" t="s">
        <v>1556</v>
      </c>
      <c r="F1206" s="98" t="s">
        <v>983</v>
      </c>
      <c r="G1206" s="172" t="s">
        <v>88</v>
      </c>
      <c r="H1206" s="100" t="s">
        <v>1557</v>
      </c>
      <c r="I1206" s="46" t="e">
        <f>VLOOKUP(H1206,'合同高级查询数据-4月返'!A:A,1,FALSE)</f>
        <v>#N/A</v>
      </c>
      <c r="J1206" s="47" t="s">
        <v>90</v>
      </c>
      <c r="K1206" s="160" t="s">
        <v>1558</v>
      </c>
      <c r="L1206" s="179"/>
      <c r="M1206" s="49" t="s">
        <v>986</v>
      </c>
      <c r="N1206" s="180">
        <v>43819</v>
      </c>
      <c r="O1206" s="181" t="s">
        <v>507</v>
      </c>
      <c r="P1206" s="207">
        <v>11700</v>
      </c>
      <c r="Q1206" s="182">
        <v>1</v>
      </c>
      <c r="R1206" s="118">
        <f t="shared" si="31"/>
        <v>11700</v>
      </c>
      <c r="S1206" s="115">
        <v>202304</v>
      </c>
      <c r="T1206" s="187" t="s">
        <v>1631</v>
      </c>
      <c r="U1206" s="248"/>
      <c r="V1206" s="165"/>
      <c r="W1206" s="165"/>
      <c r="X1206" s="116">
        <v>43525</v>
      </c>
      <c r="Y1206" s="116">
        <v>45549</v>
      </c>
    </row>
    <row r="1207" s="85" customFormat="1" customHeight="1" spans="1:25">
      <c r="A1207" s="98" t="s">
        <v>448</v>
      </c>
      <c r="B1207" s="98" t="s">
        <v>62</v>
      </c>
      <c r="C1207" s="98" t="s">
        <v>238</v>
      </c>
      <c r="D1207" s="98" t="s">
        <v>642</v>
      </c>
      <c r="E1207" s="161" t="s">
        <v>1556</v>
      </c>
      <c r="F1207" s="98" t="s">
        <v>983</v>
      </c>
      <c r="G1207" s="172" t="s">
        <v>88</v>
      </c>
      <c r="H1207" s="100" t="s">
        <v>1557</v>
      </c>
      <c r="I1207" s="46" t="e">
        <f>VLOOKUP(H1207,'合同高级查询数据-4月返'!A:A,1,FALSE)</f>
        <v>#N/A</v>
      </c>
      <c r="J1207" s="47" t="s">
        <v>90</v>
      </c>
      <c r="K1207" s="160" t="s">
        <v>1558</v>
      </c>
      <c r="L1207" s="179"/>
      <c r="M1207" s="49" t="s">
        <v>986</v>
      </c>
      <c r="N1207" s="180">
        <v>43823</v>
      </c>
      <c r="O1207" s="181" t="s">
        <v>507</v>
      </c>
      <c r="P1207" s="207">
        <v>11700</v>
      </c>
      <c r="Q1207" s="182">
        <v>3</v>
      </c>
      <c r="R1207" s="118">
        <f t="shared" si="31"/>
        <v>35100</v>
      </c>
      <c r="S1207" s="115">
        <v>202304</v>
      </c>
      <c r="T1207" s="187" t="s">
        <v>1632</v>
      </c>
      <c r="U1207" s="248"/>
      <c r="V1207" s="165"/>
      <c r="W1207" s="165"/>
      <c r="X1207" s="116">
        <v>43525</v>
      </c>
      <c r="Y1207" s="116">
        <v>45549</v>
      </c>
    </row>
    <row r="1208" s="85" customFormat="1" customHeight="1" spans="1:25">
      <c r="A1208" s="98" t="s">
        <v>448</v>
      </c>
      <c r="B1208" s="98" t="s">
        <v>62</v>
      </c>
      <c r="C1208" s="98" t="s">
        <v>238</v>
      </c>
      <c r="D1208" s="98" t="s">
        <v>642</v>
      </c>
      <c r="E1208" s="161" t="s">
        <v>1556</v>
      </c>
      <c r="F1208" s="98" t="s">
        <v>983</v>
      </c>
      <c r="G1208" s="172" t="s">
        <v>88</v>
      </c>
      <c r="H1208" s="100" t="s">
        <v>1557</v>
      </c>
      <c r="I1208" s="46" t="e">
        <f>VLOOKUP(H1208,'合同高级查询数据-4月返'!A:A,1,FALSE)</f>
        <v>#N/A</v>
      </c>
      <c r="J1208" s="47" t="s">
        <v>90</v>
      </c>
      <c r="K1208" s="160" t="s">
        <v>1558</v>
      </c>
      <c r="L1208" s="179"/>
      <c r="M1208" s="49" t="s">
        <v>986</v>
      </c>
      <c r="N1208" s="180">
        <v>43845</v>
      </c>
      <c r="O1208" s="181" t="s">
        <v>507</v>
      </c>
      <c r="P1208" s="207">
        <v>11700</v>
      </c>
      <c r="Q1208" s="182">
        <v>1</v>
      </c>
      <c r="R1208" s="118">
        <f t="shared" si="31"/>
        <v>11700</v>
      </c>
      <c r="S1208" s="115">
        <v>202304</v>
      </c>
      <c r="T1208" s="187" t="s">
        <v>1633</v>
      </c>
      <c r="U1208" s="248"/>
      <c r="V1208" s="165"/>
      <c r="W1208" s="165"/>
      <c r="X1208" s="116">
        <v>43525</v>
      </c>
      <c r="Y1208" s="116">
        <v>45549</v>
      </c>
    </row>
    <row r="1209" s="85" customFormat="1" customHeight="1" spans="1:25">
      <c r="A1209" s="98" t="s">
        <v>448</v>
      </c>
      <c r="B1209" s="98" t="s">
        <v>62</v>
      </c>
      <c r="C1209" s="98" t="s">
        <v>238</v>
      </c>
      <c r="D1209" s="98" t="s">
        <v>642</v>
      </c>
      <c r="E1209" s="161" t="s">
        <v>1556</v>
      </c>
      <c r="F1209" s="98" t="s">
        <v>983</v>
      </c>
      <c r="G1209" s="172" t="s">
        <v>88</v>
      </c>
      <c r="H1209" s="100" t="s">
        <v>1557</v>
      </c>
      <c r="I1209" s="46" t="e">
        <f>VLOOKUP(H1209,'合同高级查询数据-4月返'!A:A,1,FALSE)</f>
        <v>#N/A</v>
      </c>
      <c r="J1209" s="47" t="s">
        <v>90</v>
      </c>
      <c r="K1209" s="160" t="s">
        <v>1558</v>
      </c>
      <c r="L1209" s="179"/>
      <c r="M1209" s="49" t="s">
        <v>986</v>
      </c>
      <c r="N1209" s="180">
        <v>43846</v>
      </c>
      <c r="O1209" s="181" t="s">
        <v>507</v>
      </c>
      <c r="P1209" s="207">
        <v>11700</v>
      </c>
      <c r="Q1209" s="182">
        <v>5</v>
      </c>
      <c r="R1209" s="118">
        <f t="shared" si="31"/>
        <v>58500</v>
      </c>
      <c r="S1209" s="115">
        <v>202304</v>
      </c>
      <c r="T1209" s="187" t="s">
        <v>1634</v>
      </c>
      <c r="U1209" s="248"/>
      <c r="V1209" s="165"/>
      <c r="W1209" s="165"/>
      <c r="X1209" s="116">
        <v>43525</v>
      </c>
      <c r="Y1209" s="116">
        <v>45549</v>
      </c>
    </row>
    <row r="1210" s="85" customFormat="1" customHeight="1" spans="1:25">
      <c r="A1210" s="98" t="s">
        <v>448</v>
      </c>
      <c r="B1210" s="98" t="s">
        <v>62</v>
      </c>
      <c r="C1210" s="98" t="s">
        <v>238</v>
      </c>
      <c r="D1210" s="98" t="s">
        <v>642</v>
      </c>
      <c r="E1210" s="161" t="s">
        <v>1556</v>
      </c>
      <c r="F1210" s="98" t="s">
        <v>983</v>
      </c>
      <c r="G1210" s="172" t="s">
        <v>88</v>
      </c>
      <c r="H1210" s="100" t="s">
        <v>1557</v>
      </c>
      <c r="I1210" s="46" t="e">
        <f>VLOOKUP(H1210,'合同高级查询数据-4月返'!A:A,1,FALSE)</f>
        <v>#N/A</v>
      </c>
      <c r="J1210" s="47" t="s">
        <v>90</v>
      </c>
      <c r="K1210" s="160" t="s">
        <v>1558</v>
      </c>
      <c r="L1210" s="179"/>
      <c r="M1210" s="49" t="s">
        <v>986</v>
      </c>
      <c r="N1210" s="180">
        <v>43849</v>
      </c>
      <c r="O1210" s="181" t="s">
        <v>507</v>
      </c>
      <c r="P1210" s="207">
        <v>11700</v>
      </c>
      <c r="Q1210" s="182">
        <v>2</v>
      </c>
      <c r="R1210" s="118">
        <f t="shared" si="31"/>
        <v>23400</v>
      </c>
      <c r="S1210" s="115">
        <v>202304</v>
      </c>
      <c r="T1210" s="187" t="s">
        <v>1635</v>
      </c>
      <c r="U1210" s="248"/>
      <c r="V1210" s="165"/>
      <c r="W1210" s="165"/>
      <c r="X1210" s="116">
        <v>43525</v>
      </c>
      <c r="Y1210" s="116">
        <v>45549</v>
      </c>
    </row>
    <row r="1211" s="85" customFormat="1" customHeight="1" spans="1:25">
      <c r="A1211" s="98" t="s">
        <v>448</v>
      </c>
      <c r="B1211" s="98" t="s">
        <v>62</v>
      </c>
      <c r="C1211" s="98" t="s">
        <v>238</v>
      </c>
      <c r="D1211" s="98" t="s">
        <v>642</v>
      </c>
      <c r="E1211" s="161" t="s">
        <v>1556</v>
      </c>
      <c r="F1211" s="98" t="s">
        <v>983</v>
      </c>
      <c r="G1211" s="172" t="s">
        <v>88</v>
      </c>
      <c r="H1211" s="100" t="s">
        <v>1557</v>
      </c>
      <c r="I1211" s="46" t="e">
        <f>VLOOKUP(H1211,'合同高级查询数据-4月返'!A:A,1,FALSE)</f>
        <v>#N/A</v>
      </c>
      <c r="J1211" s="47" t="s">
        <v>90</v>
      </c>
      <c r="K1211" s="160" t="s">
        <v>1558</v>
      </c>
      <c r="L1211" s="179"/>
      <c r="M1211" s="49" t="s">
        <v>986</v>
      </c>
      <c r="N1211" s="180">
        <v>43875</v>
      </c>
      <c r="O1211" s="181" t="s">
        <v>507</v>
      </c>
      <c r="P1211" s="207">
        <v>11700</v>
      </c>
      <c r="Q1211" s="182">
        <v>3</v>
      </c>
      <c r="R1211" s="118">
        <f t="shared" si="31"/>
        <v>35100</v>
      </c>
      <c r="S1211" s="115">
        <v>202304</v>
      </c>
      <c r="T1211" s="187" t="s">
        <v>1636</v>
      </c>
      <c r="U1211" s="248"/>
      <c r="V1211" s="165"/>
      <c r="W1211" s="165"/>
      <c r="X1211" s="116">
        <v>43525</v>
      </c>
      <c r="Y1211" s="116">
        <v>45549</v>
      </c>
    </row>
    <row r="1212" s="85" customFormat="1" customHeight="1" spans="1:25">
      <c r="A1212" s="98" t="s">
        <v>448</v>
      </c>
      <c r="B1212" s="98" t="s">
        <v>62</v>
      </c>
      <c r="C1212" s="98" t="s">
        <v>238</v>
      </c>
      <c r="D1212" s="98" t="s">
        <v>642</v>
      </c>
      <c r="E1212" s="161" t="s">
        <v>1556</v>
      </c>
      <c r="F1212" s="98" t="s">
        <v>983</v>
      </c>
      <c r="G1212" s="172" t="s">
        <v>88</v>
      </c>
      <c r="H1212" s="100" t="s">
        <v>1557</v>
      </c>
      <c r="I1212" s="46" t="e">
        <f>VLOOKUP(H1212,'合同高级查询数据-4月返'!A:A,1,FALSE)</f>
        <v>#N/A</v>
      </c>
      <c r="J1212" s="47" t="s">
        <v>90</v>
      </c>
      <c r="K1212" s="160" t="s">
        <v>1558</v>
      </c>
      <c r="L1212" s="179"/>
      <c r="M1212" s="49" t="s">
        <v>986</v>
      </c>
      <c r="N1212" s="180">
        <v>43886</v>
      </c>
      <c r="O1212" s="181" t="s">
        <v>507</v>
      </c>
      <c r="P1212" s="207">
        <v>11700</v>
      </c>
      <c r="Q1212" s="182">
        <v>1</v>
      </c>
      <c r="R1212" s="118">
        <f t="shared" si="31"/>
        <v>11700</v>
      </c>
      <c r="S1212" s="115">
        <v>202304</v>
      </c>
      <c r="T1212" s="187" t="s">
        <v>1637</v>
      </c>
      <c r="U1212" s="248"/>
      <c r="V1212" s="165"/>
      <c r="W1212" s="165"/>
      <c r="X1212" s="116">
        <v>43525</v>
      </c>
      <c r="Y1212" s="116">
        <v>45549</v>
      </c>
    </row>
    <row r="1213" s="85" customFormat="1" customHeight="1" spans="1:25">
      <c r="A1213" s="98" t="s">
        <v>448</v>
      </c>
      <c r="B1213" s="98" t="s">
        <v>62</v>
      </c>
      <c r="C1213" s="98" t="s">
        <v>238</v>
      </c>
      <c r="D1213" s="98" t="s">
        <v>642</v>
      </c>
      <c r="E1213" s="161" t="s">
        <v>1556</v>
      </c>
      <c r="F1213" s="98" t="s">
        <v>983</v>
      </c>
      <c r="G1213" s="172" t="s">
        <v>88</v>
      </c>
      <c r="H1213" s="100" t="s">
        <v>1557</v>
      </c>
      <c r="I1213" s="46" t="e">
        <f>VLOOKUP(H1213,'合同高级查询数据-4月返'!A:A,1,FALSE)</f>
        <v>#N/A</v>
      </c>
      <c r="J1213" s="47" t="s">
        <v>90</v>
      </c>
      <c r="K1213" s="160" t="s">
        <v>1558</v>
      </c>
      <c r="L1213" s="179"/>
      <c r="M1213" s="49" t="s">
        <v>986</v>
      </c>
      <c r="N1213" s="180">
        <v>43893</v>
      </c>
      <c r="O1213" s="181" t="s">
        <v>507</v>
      </c>
      <c r="P1213" s="207">
        <v>11700</v>
      </c>
      <c r="Q1213" s="182">
        <v>3</v>
      </c>
      <c r="R1213" s="118">
        <f t="shared" si="31"/>
        <v>35100</v>
      </c>
      <c r="S1213" s="115">
        <v>202304</v>
      </c>
      <c r="T1213" s="187" t="s">
        <v>1638</v>
      </c>
      <c r="U1213" s="248"/>
      <c r="V1213" s="165"/>
      <c r="W1213" s="165"/>
      <c r="X1213" s="116">
        <v>43525</v>
      </c>
      <c r="Y1213" s="116">
        <v>45549</v>
      </c>
    </row>
    <row r="1214" s="85" customFormat="1" customHeight="1" spans="1:25">
      <c r="A1214" s="98" t="s">
        <v>448</v>
      </c>
      <c r="B1214" s="98" t="s">
        <v>62</v>
      </c>
      <c r="C1214" s="98" t="s">
        <v>238</v>
      </c>
      <c r="D1214" s="98" t="s">
        <v>642</v>
      </c>
      <c r="E1214" s="161" t="s">
        <v>1556</v>
      </c>
      <c r="F1214" s="98" t="s">
        <v>983</v>
      </c>
      <c r="G1214" s="172" t="s">
        <v>88</v>
      </c>
      <c r="H1214" s="100" t="s">
        <v>1557</v>
      </c>
      <c r="I1214" s="46" t="e">
        <f>VLOOKUP(H1214,'合同高级查询数据-4月返'!A:A,1,FALSE)</f>
        <v>#N/A</v>
      </c>
      <c r="J1214" s="47" t="s">
        <v>90</v>
      </c>
      <c r="K1214" s="160" t="s">
        <v>1558</v>
      </c>
      <c r="L1214" s="179"/>
      <c r="M1214" s="49" t="s">
        <v>986</v>
      </c>
      <c r="N1214" s="180">
        <v>43895</v>
      </c>
      <c r="O1214" s="181" t="s">
        <v>507</v>
      </c>
      <c r="P1214" s="207">
        <v>11700</v>
      </c>
      <c r="Q1214" s="182">
        <v>1</v>
      </c>
      <c r="R1214" s="118">
        <f t="shared" si="31"/>
        <v>11700</v>
      </c>
      <c r="S1214" s="115">
        <v>202304</v>
      </c>
      <c r="T1214" s="187" t="s">
        <v>1639</v>
      </c>
      <c r="U1214" s="248"/>
      <c r="V1214" s="165"/>
      <c r="W1214" s="165"/>
      <c r="X1214" s="116">
        <v>43525</v>
      </c>
      <c r="Y1214" s="116">
        <v>45549</v>
      </c>
    </row>
    <row r="1215" s="85" customFormat="1" customHeight="1" spans="1:25">
      <c r="A1215" s="98" t="s">
        <v>448</v>
      </c>
      <c r="B1215" s="98" t="s">
        <v>62</v>
      </c>
      <c r="C1215" s="98" t="s">
        <v>238</v>
      </c>
      <c r="D1215" s="98" t="s">
        <v>642</v>
      </c>
      <c r="E1215" s="161" t="s">
        <v>1556</v>
      </c>
      <c r="F1215" s="98" t="s">
        <v>983</v>
      </c>
      <c r="G1215" s="172" t="s">
        <v>88</v>
      </c>
      <c r="H1215" s="100" t="s">
        <v>1557</v>
      </c>
      <c r="I1215" s="46" t="e">
        <f>VLOOKUP(H1215,'合同高级查询数据-4月返'!A:A,1,FALSE)</f>
        <v>#N/A</v>
      </c>
      <c r="J1215" s="47" t="s">
        <v>90</v>
      </c>
      <c r="K1215" s="160" t="s">
        <v>1558</v>
      </c>
      <c r="L1215" s="179"/>
      <c r="M1215" s="49" t="s">
        <v>986</v>
      </c>
      <c r="N1215" s="180">
        <v>43909</v>
      </c>
      <c r="O1215" s="181" t="s">
        <v>507</v>
      </c>
      <c r="P1215" s="207">
        <v>11700</v>
      </c>
      <c r="Q1215" s="182">
        <v>1</v>
      </c>
      <c r="R1215" s="118">
        <f t="shared" si="31"/>
        <v>11700</v>
      </c>
      <c r="S1215" s="115">
        <v>202304</v>
      </c>
      <c r="T1215" s="187" t="s">
        <v>1640</v>
      </c>
      <c r="U1215" s="248"/>
      <c r="V1215" s="165"/>
      <c r="W1215" s="165"/>
      <c r="X1215" s="116">
        <v>43525</v>
      </c>
      <c r="Y1215" s="116">
        <v>45549</v>
      </c>
    </row>
    <row r="1216" s="85" customFormat="1" customHeight="1" spans="1:25">
      <c r="A1216" s="98" t="s">
        <v>448</v>
      </c>
      <c r="B1216" s="98" t="s">
        <v>62</v>
      </c>
      <c r="C1216" s="98" t="s">
        <v>238</v>
      </c>
      <c r="D1216" s="98" t="s">
        <v>642</v>
      </c>
      <c r="E1216" s="161" t="s">
        <v>1556</v>
      </c>
      <c r="F1216" s="98" t="s">
        <v>983</v>
      </c>
      <c r="G1216" s="172" t="s">
        <v>88</v>
      </c>
      <c r="H1216" s="100" t="s">
        <v>1557</v>
      </c>
      <c r="I1216" s="46" t="e">
        <f>VLOOKUP(H1216,'合同高级查询数据-4月返'!A:A,1,FALSE)</f>
        <v>#N/A</v>
      </c>
      <c r="J1216" s="47" t="s">
        <v>90</v>
      </c>
      <c r="K1216" s="160" t="s">
        <v>1558</v>
      </c>
      <c r="L1216" s="179"/>
      <c r="M1216" s="49" t="s">
        <v>986</v>
      </c>
      <c r="N1216" s="180">
        <v>43886</v>
      </c>
      <c r="O1216" s="181" t="s">
        <v>507</v>
      </c>
      <c r="P1216" s="207">
        <v>11700</v>
      </c>
      <c r="Q1216" s="182">
        <v>3</v>
      </c>
      <c r="R1216" s="118">
        <f t="shared" si="31"/>
        <v>35100</v>
      </c>
      <c r="S1216" s="115">
        <v>202304</v>
      </c>
      <c r="T1216" s="187" t="s">
        <v>1641</v>
      </c>
      <c r="U1216" s="248"/>
      <c r="V1216" s="165"/>
      <c r="W1216" s="165"/>
      <c r="X1216" s="116">
        <v>43525</v>
      </c>
      <c r="Y1216" s="116">
        <v>45549</v>
      </c>
    </row>
    <row r="1217" s="85" customFormat="1" customHeight="1" spans="1:25">
      <c r="A1217" s="98" t="s">
        <v>448</v>
      </c>
      <c r="B1217" s="98" t="s">
        <v>62</v>
      </c>
      <c r="C1217" s="98" t="s">
        <v>238</v>
      </c>
      <c r="D1217" s="98" t="s">
        <v>642</v>
      </c>
      <c r="E1217" s="161" t="s">
        <v>1556</v>
      </c>
      <c r="F1217" s="98" t="s">
        <v>983</v>
      </c>
      <c r="G1217" s="172" t="s">
        <v>88</v>
      </c>
      <c r="H1217" s="100" t="s">
        <v>1557</v>
      </c>
      <c r="I1217" s="46" t="e">
        <f>VLOOKUP(H1217,'合同高级查询数据-4月返'!A:A,1,FALSE)</f>
        <v>#N/A</v>
      </c>
      <c r="J1217" s="47" t="s">
        <v>90</v>
      </c>
      <c r="K1217" s="160" t="s">
        <v>1558</v>
      </c>
      <c r="L1217" s="179"/>
      <c r="M1217" s="49" t="s">
        <v>986</v>
      </c>
      <c r="N1217" s="180">
        <v>43928</v>
      </c>
      <c r="O1217" s="181" t="s">
        <v>507</v>
      </c>
      <c r="P1217" s="207">
        <v>11700</v>
      </c>
      <c r="Q1217" s="182">
        <v>6</v>
      </c>
      <c r="R1217" s="118">
        <f t="shared" si="31"/>
        <v>70200</v>
      </c>
      <c r="S1217" s="115">
        <v>202304</v>
      </c>
      <c r="T1217" s="186" t="s">
        <v>1642</v>
      </c>
      <c r="U1217" s="218"/>
      <c r="V1217" s="165"/>
      <c r="W1217" s="165"/>
      <c r="X1217" s="116">
        <v>43525</v>
      </c>
      <c r="Y1217" s="116">
        <v>45549</v>
      </c>
    </row>
    <row r="1218" s="85" customFormat="1" customHeight="1" spans="1:25">
      <c r="A1218" s="98" t="s">
        <v>448</v>
      </c>
      <c r="B1218" s="98" t="s">
        <v>62</v>
      </c>
      <c r="C1218" s="98" t="s">
        <v>238</v>
      </c>
      <c r="D1218" s="98" t="s">
        <v>642</v>
      </c>
      <c r="E1218" s="161" t="s">
        <v>1556</v>
      </c>
      <c r="F1218" s="98" t="s">
        <v>983</v>
      </c>
      <c r="G1218" s="172" t="s">
        <v>88</v>
      </c>
      <c r="H1218" s="100" t="s">
        <v>1557</v>
      </c>
      <c r="I1218" s="46" t="e">
        <f>VLOOKUP(H1218,'合同高级查询数据-4月返'!A:A,1,FALSE)</f>
        <v>#N/A</v>
      </c>
      <c r="J1218" s="47" t="s">
        <v>90</v>
      </c>
      <c r="K1218" s="160" t="s">
        <v>1558</v>
      </c>
      <c r="L1218" s="179"/>
      <c r="M1218" s="49" t="s">
        <v>986</v>
      </c>
      <c r="N1218" s="180">
        <v>43938</v>
      </c>
      <c r="O1218" s="181" t="s">
        <v>507</v>
      </c>
      <c r="P1218" s="207">
        <v>11700</v>
      </c>
      <c r="Q1218" s="182">
        <v>1</v>
      </c>
      <c r="R1218" s="118">
        <f t="shared" si="31"/>
        <v>11700</v>
      </c>
      <c r="S1218" s="115">
        <v>202304</v>
      </c>
      <c r="T1218" s="186" t="s">
        <v>1643</v>
      </c>
      <c r="U1218" s="218"/>
      <c r="V1218" s="165"/>
      <c r="W1218" s="165"/>
      <c r="X1218" s="116">
        <v>43525</v>
      </c>
      <c r="Y1218" s="116">
        <v>45549</v>
      </c>
    </row>
    <row r="1219" s="85" customFormat="1" customHeight="1" spans="1:25">
      <c r="A1219" s="98" t="s">
        <v>448</v>
      </c>
      <c r="B1219" s="98" t="s">
        <v>62</v>
      </c>
      <c r="C1219" s="98" t="s">
        <v>238</v>
      </c>
      <c r="D1219" s="98" t="s">
        <v>642</v>
      </c>
      <c r="E1219" s="161" t="s">
        <v>1556</v>
      </c>
      <c r="F1219" s="98" t="s">
        <v>983</v>
      </c>
      <c r="G1219" s="172" t="s">
        <v>88</v>
      </c>
      <c r="H1219" s="100" t="s">
        <v>1557</v>
      </c>
      <c r="I1219" s="46" t="e">
        <f>VLOOKUP(H1219,'合同高级查询数据-4月返'!A:A,1,FALSE)</f>
        <v>#N/A</v>
      </c>
      <c r="J1219" s="47" t="s">
        <v>90</v>
      </c>
      <c r="K1219" s="160" t="s">
        <v>1558</v>
      </c>
      <c r="L1219" s="179"/>
      <c r="M1219" s="49" t="s">
        <v>1644</v>
      </c>
      <c r="N1219" s="180">
        <v>43941</v>
      </c>
      <c r="O1219" s="181" t="s">
        <v>507</v>
      </c>
      <c r="P1219" s="207">
        <v>11700</v>
      </c>
      <c r="Q1219" s="182">
        <v>1</v>
      </c>
      <c r="R1219" s="118">
        <f t="shared" si="31"/>
        <v>11700</v>
      </c>
      <c r="S1219" s="115">
        <v>202304</v>
      </c>
      <c r="T1219" s="186" t="s">
        <v>1645</v>
      </c>
      <c r="U1219" s="218"/>
      <c r="V1219" s="165"/>
      <c r="W1219" s="165"/>
      <c r="X1219" s="116">
        <v>43525</v>
      </c>
      <c r="Y1219" s="116">
        <v>45549</v>
      </c>
    </row>
    <row r="1220" s="85" customFormat="1" customHeight="1" spans="1:25">
      <c r="A1220" s="98" t="s">
        <v>448</v>
      </c>
      <c r="B1220" s="98" t="s">
        <v>62</v>
      </c>
      <c r="C1220" s="98" t="s">
        <v>238</v>
      </c>
      <c r="D1220" s="98" t="s">
        <v>642</v>
      </c>
      <c r="E1220" s="161" t="s">
        <v>1556</v>
      </c>
      <c r="F1220" s="98" t="s">
        <v>983</v>
      </c>
      <c r="G1220" s="172" t="s">
        <v>88</v>
      </c>
      <c r="H1220" s="100" t="s">
        <v>1557</v>
      </c>
      <c r="I1220" s="46" t="e">
        <f>VLOOKUP(H1220,'合同高级查询数据-4月返'!A:A,1,FALSE)</f>
        <v>#N/A</v>
      </c>
      <c r="J1220" s="47" t="s">
        <v>90</v>
      </c>
      <c r="K1220" s="160" t="s">
        <v>1558</v>
      </c>
      <c r="L1220" s="179"/>
      <c r="M1220" s="49" t="s">
        <v>986</v>
      </c>
      <c r="N1220" s="180">
        <v>43941</v>
      </c>
      <c r="O1220" s="181" t="s">
        <v>503</v>
      </c>
      <c r="P1220" s="182">
        <v>5950</v>
      </c>
      <c r="Q1220" s="182">
        <v>1</v>
      </c>
      <c r="R1220" s="118">
        <f t="shared" si="31"/>
        <v>5950</v>
      </c>
      <c r="S1220" s="115">
        <v>202304</v>
      </c>
      <c r="T1220" s="186" t="s">
        <v>1646</v>
      </c>
      <c r="U1220" s="218"/>
      <c r="V1220" s="165"/>
      <c r="W1220" s="165"/>
      <c r="X1220" s="116">
        <v>43525</v>
      </c>
      <c r="Y1220" s="116">
        <v>45549</v>
      </c>
    </row>
    <row r="1221" s="85" customFormat="1" customHeight="1" spans="1:25">
      <c r="A1221" s="98" t="s">
        <v>448</v>
      </c>
      <c r="B1221" s="98" t="s">
        <v>62</v>
      </c>
      <c r="C1221" s="98" t="s">
        <v>238</v>
      </c>
      <c r="D1221" s="98" t="s">
        <v>642</v>
      </c>
      <c r="E1221" s="161" t="s">
        <v>1556</v>
      </c>
      <c r="F1221" s="98" t="s">
        <v>983</v>
      </c>
      <c r="G1221" s="172" t="s">
        <v>88</v>
      </c>
      <c r="H1221" s="100" t="s">
        <v>1557</v>
      </c>
      <c r="I1221" s="46" t="e">
        <f>VLOOKUP(H1221,'合同高级查询数据-4月返'!A:A,1,FALSE)</f>
        <v>#N/A</v>
      </c>
      <c r="J1221" s="47" t="s">
        <v>90</v>
      </c>
      <c r="K1221" s="160" t="s">
        <v>1558</v>
      </c>
      <c r="L1221" s="179"/>
      <c r="M1221" s="49" t="s">
        <v>986</v>
      </c>
      <c r="N1221" s="180">
        <v>43958</v>
      </c>
      <c r="O1221" s="181" t="s">
        <v>503</v>
      </c>
      <c r="P1221" s="182">
        <v>5950</v>
      </c>
      <c r="Q1221" s="182">
        <v>3</v>
      </c>
      <c r="R1221" s="118">
        <f t="shared" si="31"/>
        <v>17850</v>
      </c>
      <c r="S1221" s="115">
        <v>202304</v>
      </c>
      <c r="T1221" s="186" t="s">
        <v>1647</v>
      </c>
      <c r="U1221" s="218"/>
      <c r="V1221" s="165"/>
      <c r="W1221" s="165"/>
      <c r="X1221" s="116">
        <v>43525</v>
      </c>
      <c r="Y1221" s="116">
        <v>45549</v>
      </c>
    </row>
    <row r="1222" s="85" customFormat="1" customHeight="1" spans="1:25">
      <c r="A1222" s="98" t="s">
        <v>448</v>
      </c>
      <c r="B1222" s="98" t="s">
        <v>62</v>
      </c>
      <c r="C1222" s="98" t="s">
        <v>238</v>
      </c>
      <c r="D1222" s="98" t="s">
        <v>642</v>
      </c>
      <c r="E1222" s="161" t="s">
        <v>1556</v>
      </c>
      <c r="F1222" s="98" t="s">
        <v>983</v>
      </c>
      <c r="G1222" s="172" t="s">
        <v>88</v>
      </c>
      <c r="H1222" s="100" t="s">
        <v>1557</v>
      </c>
      <c r="I1222" s="46" t="e">
        <f>VLOOKUP(H1222,'合同高级查询数据-4月返'!A:A,1,FALSE)</f>
        <v>#N/A</v>
      </c>
      <c r="J1222" s="47" t="s">
        <v>90</v>
      </c>
      <c r="K1222" s="160" t="s">
        <v>1558</v>
      </c>
      <c r="L1222" s="179"/>
      <c r="M1222" s="49" t="s">
        <v>986</v>
      </c>
      <c r="N1222" s="180">
        <v>43959</v>
      </c>
      <c r="O1222" s="181" t="s">
        <v>507</v>
      </c>
      <c r="P1222" s="182">
        <v>11700</v>
      </c>
      <c r="Q1222" s="182">
        <v>1</v>
      </c>
      <c r="R1222" s="118">
        <f t="shared" si="31"/>
        <v>11700</v>
      </c>
      <c r="S1222" s="115">
        <v>202304</v>
      </c>
      <c r="T1222" s="186" t="s">
        <v>1648</v>
      </c>
      <c r="U1222" s="218"/>
      <c r="V1222" s="165"/>
      <c r="W1222" s="165"/>
      <c r="X1222" s="116">
        <v>43525</v>
      </c>
      <c r="Y1222" s="116">
        <v>45549</v>
      </c>
    </row>
    <row r="1223" s="85" customFormat="1" customHeight="1" spans="1:25">
      <c r="A1223" s="98" t="s">
        <v>448</v>
      </c>
      <c r="B1223" s="98" t="s">
        <v>62</v>
      </c>
      <c r="C1223" s="98" t="s">
        <v>238</v>
      </c>
      <c r="D1223" s="98" t="s">
        <v>642</v>
      </c>
      <c r="E1223" s="161" t="s">
        <v>1556</v>
      </c>
      <c r="F1223" s="98" t="s">
        <v>983</v>
      </c>
      <c r="G1223" s="172" t="s">
        <v>88</v>
      </c>
      <c r="H1223" s="100" t="s">
        <v>1557</v>
      </c>
      <c r="I1223" s="46" t="e">
        <f>VLOOKUP(H1223,'合同高级查询数据-4月返'!A:A,1,FALSE)</f>
        <v>#N/A</v>
      </c>
      <c r="J1223" s="47" t="s">
        <v>90</v>
      </c>
      <c r="K1223" s="160" t="s">
        <v>1558</v>
      </c>
      <c r="L1223" s="179"/>
      <c r="M1223" s="49" t="s">
        <v>986</v>
      </c>
      <c r="N1223" s="180">
        <v>43965</v>
      </c>
      <c r="O1223" s="181" t="s">
        <v>507</v>
      </c>
      <c r="P1223" s="182">
        <v>11700</v>
      </c>
      <c r="Q1223" s="182">
        <v>2</v>
      </c>
      <c r="R1223" s="118">
        <f t="shared" si="31"/>
        <v>23400</v>
      </c>
      <c r="S1223" s="115">
        <v>202304</v>
      </c>
      <c r="T1223" s="186" t="s">
        <v>1649</v>
      </c>
      <c r="U1223" s="218"/>
      <c r="V1223" s="165"/>
      <c r="W1223" s="165"/>
      <c r="X1223" s="116">
        <v>43525</v>
      </c>
      <c r="Y1223" s="116">
        <v>45549</v>
      </c>
    </row>
    <row r="1224" s="85" customFormat="1" customHeight="1" spans="1:25">
      <c r="A1224" s="98" t="s">
        <v>448</v>
      </c>
      <c r="B1224" s="98" t="s">
        <v>62</v>
      </c>
      <c r="C1224" s="98" t="s">
        <v>238</v>
      </c>
      <c r="D1224" s="98" t="s">
        <v>642</v>
      </c>
      <c r="E1224" s="161" t="s">
        <v>1556</v>
      </c>
      <c r="F1224" s="98" t="s">
        <v>983</v>
      </c>
      <c r="G1224" s="172" t="s">
        <v>88</v>
      </c>
      <c r="H1224" s="100" t="s">
        <v>1557</v>
      </c>
      <c r="I1224" s="46" t="e">
        <f>VLOOKUP(H1224,'合同高级查询数据-4月返'!A:A,1,FALSE)</f>
        <v>#N/A</v>
      </c>
      <c r="J1224" s="47" t="s">
        <v>90</v>
      </c>
      <c r="K1224" s="160" t="s">
        <v>1558</v>
      </c>
      <c r="L1224" s="179"/>
      <c r="M1224" s="49" t="s">
        <v>986</v>
      </c>
      <c r="N1224" s="180">
        <v>43971</v>
      </c>
      <c r="O1224" s="181" t="s">
        <v>507</v>
      </c>
      <c r="P1224" s="182">
        <v>11700</v>
      </c>
      <c r="Q1224" s="182">
        <v>1</v>
      </c>
      <c r="R1224" s="118">
        <f t="shared" si="31"/>
        <v>11700</v>
      </c>
      <c r="S1224" s="115">
        <v>202304</v>
      </c>
      <c r="T1224" s="186" t="s">
        <v>1650</v>
      </c>
      <c r="U1224" s="218"/>
      <c r="V1224" s="165"/>
      <c r="W1224" s="165"/>
      <c r="X1224" s="116">
        <v>43525</v>
      </c>
      <c r="Y1224" s="116">
        <v>45549</v>
      </c>
    </row>
    <row r="1225" s="85" customFormat="1" customHeight="1" spans="1:25">
      <c r="A1225" s="98" t="s">
        <v>448</v>
      </c>
      <c r="B1225" s="98" t="s">
        <v>62</v>
      </c>
      <c r="C1225" s="98" t="s">
        <v>238</v>
      </c>
      <c r="D1225" s="98" t="s">
        <v>642</v>
      </c>
      <c r="E1225" s="161" t="s">
        <v>1556</v>
      </c>
      <c r="F1225" s="98" t="s">
        <v>983</v>
      </c>
      <c r="G1225" s="172" t="s">
        <v>88</v>
      </c>
      <c r="H1225" s="100" t="s">
        <v>1557</v>
      </c>
      <c r="I1225" s="46" t="e">
        <f>VLOOKUP(H1225,'合同高级查询数据-4月返'!A:A,1,FALSE)</f>
        <v>#N/A</v>
      </c>
      <c r="J1225" s="47" t="s">
        <v>90</v>
      </c>
      <c r="K1225" s="160" t="s">
        <v>1558</v>
      </c>
      <c r="L1225" s="179"/>
      <c r="M1225" s="49" t="s">
        <v>986</v>
      </c>
      <c r="N1225" s="180">
        <v>43970</v>
      </c>
      <c r="O1225" s="181" t="s">
        <v>507</v>
      </c>
      <c r="P1225" s="182">
        <v>11700</v>
      </c>
      <c r="Q1225" s="182">
        <v>-1</v>
      </c>
      <c r="R1225" s="118">
        <f t="shared" si="31"/>
        <v>-11700</v>
      </c>
      <c r="S1225" s="115">
        <v>202304</v>
      </c>
      <c r="T1225" s="186" t="s">
        <v>1651</v>
      </c>
      <c r="U1225" s="218"/>
      <c r="V1225" s="165"/>
      <c r="W1225" s="165"/>
      <c r="X1225" s="116">
        <v>43525</v>
      </c>
      <c r="Y1225" s="116">
        <v>45549</v>
      </c>
    </row>
    <row r="1226" s="85" customFormat="1" customHeight="1" spans="1:25">
      <c r="A1226" s="98" t="s">
        <v>448</v>
      </c>
      <c r="B1226" s="98" t="s">
        <v>62</v>
      </c>
      <c r="C1226" s="98" t="s">
        <v>238</v>
      </c>
      <c r="D1226" s="98" t="s">
        <v>642</v>
      </c>
      <c r="E1226" s="161" t="s">
        <v>1556</v>
      </c>
      <c r="F1226" s="98" t="s">
        <v>983</v>
      </c>
      <c r="G1226" s="172" t="s">
        <v>88</v>
      </c>
      <c r="H1226" s="100" t="s">
        <v>1557</v>
      </c>
      <c r="I1226" s="46" t="e">
        <f>VLOOKUP(H1226,'合同高级查询数据-4月返'!A:A,1,FALSE)</f>
        <v>#N/A</v>
      </c>
      <c r="J1226" s="47" t="s">
        <v>90</v>
      </c>
      <c r="K1226" s="160" t="s">
        <v>1558</v>
      </c>
      <c r="L1226" s="179"/>
      <c r="M1226" s="49" t="s">
        <v>986</v>
      </c>
      <c r="N1226" s="180">
        <v>43958</v>
      </c>
      <c r="O1226" s="181" t="s">
        <v>503</v>
      </c>
      <c r="P1226" s="182">
        <v>5950</v>
      </c>
      <c r="Q1226" s="182">
        <v>2</v>
      </c>
      <c r="R1226" s="118">
        <f t="shared" si="31"/>
        <v>11900</v>
      </c>
      <c r="S1226" s="115">
        <v>202304</v>
      </c>
      <c r="T1226" s="186" t="s">
        <v>1652</v>
      </c>
      <c r="U1226" s="218"/>
      <c r="V1226" s="165"/>
      <c r="W1226" s="165"/>
      <c r="X1226" s="116">
        <v>43525</v>
      </c>
      <c r="Y1226" s="116">
        <v>45549</v>
      </c>
    </row>
    <row r="1227" s="85" customFormat="1" customHeight="1" spans="1:25">
      <c r="A1227" s="98" t="s">
        <v>448</v>
      </c>
      <c r="B1227" s="98" t="s">
        <v>62</v>
      </c>
      <c r="C1227" s="98" t="s">
        <v>238</v>
      </c>
      <c r="D1227" s="98" t="s">
        <v>642</v>
      </c>
      <c r="E1227" s="161" t="s">
        <v>1556</v>
      </c>
      <c r="F1227" s="98" t="s">
        <v>983</v>
      </c>
      <c r="G1227" s="172" t="s">
        <v>88</v>
      </c>
      <c r="H1227" s="100" t="s">
        <v>1557</v>
      </c>
      <c r="I1227" s="46" t="e">
        <f>VLOOKUP(H1227,'合同高级查询数据-4月返'!A:A,1,FALSE)</f>
        <v>#N/A</v>
      </c>
      <c r="J1227" s="47" t="s">
        <v>90</v>
      </c>
      <c r="K1227" s="160" t="s">
        <v>1558</v>
      </c>
      <c r="L1227" s="179"/>
      <c r="M1227" s="49" t="s">
        <v>986</v>
      </c>
      <c r="N1227" s="180">
        <v>43983</v>
      </c>
      <c r="O1227" s="181" t="s">
        <v>507</v>
      </c>
      <c r="P1227" s="182">
        <v>11700</v>
      </c>
      <c r="Q1227" s="182">
        <v>1</v>
      </c>
      <c r="R1227" s="118">
        <f t="shared" si="31"/>
        <v>11700</v>
      </c>
      <c r="S1227" s="115">
        <v>202304</v>
      </c>
      <c r="T1227" s="186" t="s">
        <v>1653</v>
      </c>
      <c r="U1227" s="218"/>
      <c r="V1227" s="165"/>
      <c r="W1227" s="165"/>
      <c r="X1227" s="116">
        <v>43525</v>
      </c>
      <c r="Y1227" s="116">
        <v>45549</v>
      </c>
    </row>
    <row r="1228" s="85" customFormat="1" customHeight="1" spans="1:25">
      <c r="A1228" s="98" t="s">
        <v>448</v>
      </c>
      <c r="B1228" s="98" t="s">
        <v>62</v>
      </c>
      <c r="C1228" s="98" t="s">
        <v>238</v>
      </c>
      <c r="D1228" s="98" t="s">
        <v>642</v>
      </c>
      <c r="E1228" s="161" t="s">
        <v>1556</v>
      </c>
      <c r="F1228" s="98" t="s">
        <v>983</v>
      </c>
      <c r="G1228" s="172" t="s">
        <v>88</v>
      </c>
      <c r="H1228" s="100" t="s">
        <v>1557</v>
      </c>
      <c r="I1228" s="46" t="e">
        <f>VLOOKUP(H1228,'合同高级查询数据-4月返'!A:A,1,FALSE)</f>
        <v>#N/A</v>
      </c>
      <c r="J1228" s="47" t="s">
        <v>90</v>
      </c>
      <c r="K1228" s="160" t="s">
        <v>1558</v>
      </c>
      <c r="L1228" s="179"/>
      <c r="M1228" s="49" t="s">
        <v>986</v>
      </c>
      <c r="N1228" s="180">
        <v>43987</v>
      </c>
      <c r="O1228" s="181" t="s">
        <v>507</v>
      </c>
      <c r="P1228" s="182">
        <v>11700</v>
      </c>
      <c r="Q1228" s="182">
        <v>5</v>
      </c>
      <c r="R1228" s="118">
        <f t="shared" si="31"/>
        <v>58500</v>
      </c>
      <c r="S1228" s="115">
        <v>202304</v>
      </c>
      <c r="T1228" s="186" t="s">
        <v>1654</v>
      </c>
      <c r="U1228" s="218"/>
      <c r="V1228" s="165"/>
      <c r="W1228" s="165"/>
      <c r="X1228" s="116">
        <v>43525</v>
      </c>
      <c r="Y1228" s="116">
        <v>45549</v>
      </c>
    </row>
    <row r="1229" s="85" customFormat="1" customHeight="1" spans="1:25">
      <c r="A1229" s="98" t="s">
        <v>448</v>
      </c>
      <c r="B1229" s="98" t="s">
        <v>62</v>
      </c>
      <c r="C1229" s="98" t="s">
        <v>238</v>
      </c>
      <c r="D1229" s="98" t="s">
        <v>642</v>
      </c>
      <c r="E1229" s="161" t="s">
        <v>1556</v>
      </c>
      <c r="F1229" s="98" t="s">
        <v>983</v>
      </c>
      <c r="G1229" s="172" t="s">
        <v>88</v>
      </c>
      <c r="H1229" s="100" t="s">
        <v>1557</v>
      </c>
      <c r="I1229" s="46" t="e">
        <f>VLOOKUP(H1229,'合同高级查询数据-4月返'!A:A,1,FALSE)</f>
        <v>#N/A</v>
      </c>
      <c r="J1229" s="47" t="s">
        <v>90</v>
      </c>
      <c r="K1229" s="160" t="s">
        <v>1558</v>
      </c>
      <c r="L1229" s="179"/>
      <c r="M1229" s="49" t="s">
        <v>986</v>
      </c>
      <c r="N1229" s="180">
        <v>43993</v>
      </c>
      <c r="O1229" s="181" t="s">
        <v>507</v>
      </c>
      <c r="P1229" s="182">
        <v>11700</v>
      </c>
      <c r="Q1229" s="182">
        <v>4</v>
      </c>
      <c r="R1229" s="118">
        <f t="shared" si="31"/>
        <v>46800</v>
      </c>
      <c r="S1229" s="115">
        <v>202304</v>
      </c>
      <c r="T1229" s="186" t="s">
        <v>1655</v>
      </c>
      <c r="U1229" s="218"/>
      <c r="V1229" s="165"/>
      <c r="W1229" s="165"/>
      <c r="X1229" s="116">
        <v>43525</v>
      </c>
      <c r="Y1229" s="116">
        <v>45549</v>
      </c>
    </row>
    <row r="1230" s="85" customFormat="1" customHeight="1" spans="1:25">
      <c r="A1230" s="98" t="s">
        <v>448</v>
      </c>
      <c r="B1230" s="98" t="s">
        <v>62</v>
      </c>
      <c r="C1230" s="98" t="s">
        <v>238</v>
      </c>
      <c r="D1230" s="98" t="s">
        <v>642</v>
      </c>
      <c r="E1230" s="161" t="s">
        <v>1556</v>
      </c>
      <c r="F1230" s="98" t="s">
        <v>983</v>
      </c>
      <c r="G1230" s="172" t="s">
        <v>88</v>
      </c>
      <c r="H1230" s="100" t="s">
        <v>1557</v>
      </c>
      <c r="I1230" s="46" t="e">
        <f>VLOOKUP(H1230,'合同高级查询数据-4月返'!A:A,1,FALSE)</f>
        <v>#N/A</v>
      </c>
      <c r="J1230" s="47" t="s">
        <v>90</v>
      </c>
      <c r="K1230" s="160" t="s">
        <v>1558</v>
      </c>
      <c r="L1230" s="179"/>
      <c r="M1230" s="49" t="s">
        <v>986</v>
      </c>
      <c r="N1230" s="180">
        <v>44004</v>
      </c>
      <c r="O1230" s="181" t="s">
        <v>507</v>
      </c>
      <c r="P1230" s="182">
        <v>11700</v>
      </c>
      <c r="Q1230" s="182">
        <v>1</v>
      </c>
      <c r="R1230" s="118">
        <f t="shared" si="31"/>
        <v>11700</v>
      </c>
      <c r="S1230" s="115">
        <v>202304</v>
      </c>
      <c r="T1230" s="186" t="s">
        <v>1656</v>
      </c>
      <c r="U1230" s="218"/>
      <c r="V1230" s="165"/>
      <c r="W1230" s="165"/>
      <c r="X1230" s="116">
        <v>43525</v>
      </c>
      <c r="Y1230" s="116">
        <v>45549</v>
      </c>
    </row>
    <row r="1231" s="85" customFormat="1" customHeight="1" spans="1:25">
      <c r="A1231" s="98" t="s">
        <v>448</v>
      </c>
      <c r="B1231" s="98" t="s">
        <v>62</v>
      </c>
      <c r="C1231" s="98" t="s">
        <v>238</v>
      </c>
      <c r="D1231" s="98" t="s">
        <v>642</v>
      </c>
      <c r="E1231" s="161" t="s">
        <v>1556</v>
      </c>
      <c r="F1231" s="98" t="s">
        <v>983</v>
      </c>
      <c r="G1231" s="172" t="s">
        <v>88</v>
      </c>
      <c r="H1231" s="100" t="s">
        <v>1557</v>
      </c>
      <c r="I1231" s="46" t="e">
        <f>VLOOKUP(H1231,'合同高级查询数据-4月返'!A:A,1,FALSE)</f>
        <v>#N/A</v>
      </c>
      <c r="J1231" s="47" t="s">
        <v>90</v>
      </c>
      <c r="K1231" s="160" t="s">
        <v>1558</v>
      </c>
      <c r="L1231" s="179"/>
      <c r="M1231" s="49" t="s">
        <v>986</v>
      </c>
      <c r="N1231" s="180">
        <v>44005</v>
      </c>
      <c r="O1231" s="181" t="s">
        <v>507</v>
      </c>
      <c r="P1231" s="182">
        <v>11700</v>
      </c>
      <c r="Q1231" s="182">
        <v>2</v>
      </c>
      <c r="R1231" s="118">
        <f t="shared" si="31"/>
        <v>23400</v>
      </c>
      <c r="S1231" s="115">
        <v>202304</v>
      </c>
      <c r="T1231" s="186" t="s">
        <v>1657</v>
      </c>
      <c r="U1231" s="218"/>
      <c r="V1231" s="165"/>
      <c r="W1231" s="165"/>
      <c r="X1231" s="116">
        <v>43525</v>
      </c>
      <c r="Y1231" s="116">
        <v>45549</v>
      </c>
    </row>
    <row r="1232" s="85" customFormat="1" customHeight="1" spans="1:25">
      <c r="A1232" s="98" t="s">
        <v>448</v>
      </c>
      <c r="B1232" s="98" t="s">
        <v>62</v>
      </c>
      <c r="C1232" s="98" t="s">
        <v>238</v>
      </c>
      <c r="D1232" s="98" t="s">
        <v>642</v>
      </c>
      <c r="E1232" s="161" t="s">
        <v>1556</v>
      </c>
      <c r="F1232" s="98" t="s">
        <v>983</v>
      </c>
      <c r="G1232" s="172" t="s">
        <v>88</v>
      </c>
      <c r="H1232" s="100" t="s">
        <v>1557</v>
      </c>
      <c r="I1232" s="46" t="e">
        <f>VLOOKUP(H1232,'合同高级查询数据-4月返'!A:A,1,FALSE)</f>
        <v>#N/A</v>
      </c>
      <c r="J1232" s="47" t="s">
        <v>90</v>
      </c>
      <c r="K1232" s="160" t="s">
        <v>1558</v>
      </c>
      <c r="L1232" s="179"/>
      <c r="M1232" s="49" t="s">
        <v>986</v>
      </c>
      <c r="N1232" s="180">
        <v>44007</v>
      </c>
      <c r="O1232" s="181" t="s">
        <v>507</v>
      </c>
      <c r="P1232" s="182">
        <v>11700</v>
      </c>
      <c r="Q1232" s="182">
        <v>1</v>
      </c>
      <c r="R1232" s="118">
        <f t="shared" si="31"/>
        <v>11700</v>
      </c>
      <c r="S1232" s="115">
        <v>202304</v>
      </c>
      <c r="T1232" s="186" t="s">
        <v>1658</v>
      </c>
      <c r="U1232" s="218"/>
      <c r="V1232" s="165"/>
      <c r="W1232" s="165"/>
      <c r="X1232" s="116">
        <v>43525</v>
      </c>
      <c r="Y1232" s="116">
        <v>45549</v>
      </c>
    </row>
    <row r="1233" s="85" customFormat="1" customHeight="1" spans="1:25">
      <c r="A1233" s="98" t="s">
        <v>448</v>
      </c>
      <c r="B1233" s="98" t="s">
        <v>62</v>
      </c>
      <c r="C1233" s="98" t="s">
        <v>238</v>
      </c>
      <c r="D1233" s="98" t="s">
        <v>642</v>
      </c>
      <c r="E1233" s="161" t="s">
        <v>1556</v>
      </c>
      <c r="F1233" s="98" t="s">
        <v>983</v>
      </c>
      <c r="G1233" s="172" t="s">
        <v>88</v>
      </c>
      <c r="H1233" s="100" t="s">
        <v>1557</v>
      </c>
      <c r="I1233" s="46" t="e">
        <f>VLOOKUP(H1233,'合同高级查询数据-4月返'!A:A,1,FALSE)</f>
        <v>#N/A</v>
      </c>
      <c r="J1233" s="47" t="s">
        <v>90</v>
      </c>
      <c r="K1233" s="160" t="s">
        <v>1558</v>
      </c>
      <c r="L1233" s="179"/>
      <c r="M1233" s="49" t="s">
        <v>986</v>
      </c>
      <c r="N1233" s="180">
        <v>44007</v>
      </c>
      <c r="O1233" s="181" t="s">
        <v>507</v>
      </c>
      <c r="P1233" s="182">
        <v>11700</v>
      </c>
      <c r="Q1233" s="182">
        <v>2</v>
      </c>
      <c r="R1233" s="118">
        <f t="shared" si="31"/>
        <v>23400</v>
      </c>
      <c r="S1233" s="115">
        <v>202304</v>
      </c>
      <c r="T1233" s="186" t="s">
        <v>1659</v>
      </c>
      <c r="U1233" s="218"/>
      <c r="V1233" s="165"/>
      <c r="W1233" s="165"/>
      <c r="X1233" s="116">
        <v>43525</v>
      </c>
      <c r="Y1233" s="116">
        <v>45549</v>
      </c>
    </row>
    <row r="1234" s="85" customFormat="1" customHeight="1" spans="1:25">
      <c r="A1234" s="98" t="s">
        <v>448</v>
      </c>
      <c r="B1234" s="98" t="s">
        <v>62</v>
      </c>
      <c r="C1234" s="98" t="s">
        <v>238</v>
      </c>
      <c r="D1234" s="98" t="s">
        <v>642</v>
      </c>
      <c r="E1234" s="161" t="s">
        <v>1556</v>
      </c>
      <c r="F1234" s="98" t="s">
        <v>983</v>
      </c>
      <c r="G1234" s="172" t="s">
        <v>88</v>
      </c>
      <c r="H1234" s="100" t="s">
        <v>1557</v>
      </c>
      <c r="I1234" s="46" t="e">
        <f>VLOOKUP(H1234,'合同高级查询数据-4月返'!A:A,1,FALSE)</f>
        <v>#N/A</v>
      </c>
      <c r="J1234" s="47" t="s">
        <v>90</v>
      </c>
      <c r="K1234" s="160" t="s">
        <v>1558</v>
      </c>
      <c r="L1234" s="179"/>
      <c r="M1234" s="49" t="s">
        <v>986</v>
      </c>
      <c r="N1234" s="180">
        <v>44015</v>
      </c>
      <c r="O1234" s="181" t="s">
        <v>507</v>
      </c>
      <c r="P1234" s="182">
        <v>11700</v>
      </c>
      <c r="Q1234" s="182">
        <v>1</v>
      </c>
      <c r="R1234" s="118">
        <f t="shared" si="31"/>
        <v>11700</v>
      </c>
      <c r="S1234" s="115">
        <v>202304</v>
      </c>
      <c r="T1234" s="186" t="s">
        <v>1660</v>
      </c>
      <c r="U1234" s="218"/>
      <c r="V1234" s="165"/>
      <c r="W1234" s="165"/>
      <c r="X1234" s="116">
        <v>43525</v>
      </c>
      <c r="Y1234" s="116">
        <v>45549</v>
      </c>
    </row>
    <row r="1235" s="85" customFormat="1" customHeight="1" spans="1:25">
      <c r="A1235" s="98" t="s">
        <v>448</v>
      </c>
      <c r="B1235" s="98" t="s">
        <v>62</v>
      </c>
      <c r="C1235" s="98" t="s">
        <v>238</v>
      </c>
      <c r="D1235" s="98" t="s">
        <v>642</v>
      </c>
      <c r="E1235" s="161" t="s">
        <v>1556</v>
      </c>
      <c r="F1235" s="98" t="s">
        <v>983</v>
      </c>
      <c r="G1235" s="172" t="s">
        <v>88</v>
      </c>
      <c r="H1235" s="100" t="s">
        <v>1557</v>
      </c>
      <c r="I1235" s="46" t="e">
        <f>VLOOKUP(H1235,'合同高级查询数据-4月返'!A:A,1,FALSE)</f>
        <v>#N/A</v>
      </c>
      <c r="J1235" s="47" t="s">
        <v>90</v>
      </c>
      <c r="K1235" s="160" t="s">
        <v>1558</v>
      </c>
      <c r="L1235" s="179"/>
      <c r="M1235" s="49" t="s">
        <v>986</v>
      </c>
      <c r="N1235" s="180">
        <v>44027</v>
      </c>
      <c r="O1235" s="181" t="s">
        <v>507</v>
      </c>
      <c r="P1235" s="182">
        <v>11700</v>
      </c>
      <c r="Q1235" s="182">
        <v>1</v>
      </c>
      <c r="R1235" s="118">
        <f t="shared" si="31"/>
        <v>11700</v>
      </c>
      <c r="S1235" s="115">
        <v>202304</v>
      </c>
      <c r="T1235" s="186" t="s">
        <v>1661</v>
      </c>
      <c r="U1235" s="218"/>
      <c r="V1235" s="165"/>
      <c r="W1235" s="165"/>
      <c r="X1235" s="116">
        <v>43525</v>
      </c>
      <c r="Y1235" s="116">
        <v>45549</v>
      </c>
    </row>
    <row r="1236" s="85" customFormat="1" customHeight="1" spans="1:25">
      <c r="A1236" s="98" t="s">
        <v>448</v>
      </c>
      <c r="B1236" s="98" t="s">
        <v>62</v>
      </c>
      <c r="C1236" s="98" t="s">
        <v>238</v>
      </c>
      <c r="D1236" s="98" t="s">
        <v>642</v>
      </c>
      <c r="E1236" s="161" t="s">
        <v>1556</v>
      </c>
      <c r="F1236" s="98" t="s">
        <v>983</v>
      </c>
      <c r="G1236" s="172" t="s">
        <v>88</v>
      </c>
      <c r="H1236" s="100" t="s">
        <v>1557</v>
      </c>
      <c r="I1236" s="46" t="e">
        <f>VLOOKUP(H1236,'合同高级查询数据-4月返'!A:A,1,FALSE)</f>
        <v>#N/A</v>
      </c>
      <c r="J1236" s="47" t="s">
        <v>90</v>
      </c>
      <c r="K1236" s="160" t="s">
        <v>1558</v>
      </c>
      <c r="L1236" s="179"/>
      <c r="M1236" s="49" t="s">
        <v>986</v>
      </c>
      <c r="N1236" s="180">
        <v>44034</v>
      </c>
      <c r="O1236" s="181" t="s">
        <v>503</v>
      </c>
      <c r="P1236" s="182">
        <v>5950</v>
      </c>
      <c r="Q1236" s="182">
        <v>2</v>
      </c>
      <c r="R1236" s="118">
        <f t="shared" si="31"/>
        <v>11900</v>
      </c>
      <c r="S1236" s="115">
        <v>202304</v>
      </c>
      <c r="T1236" s="186" t="s">
        <v>1662</v>
      </c>
      <c r="U1236" s="218"/>
      <c r="V1236" s="165"/>
      <c r="W1236" s="165"/>
      <c r="X1236" s="116">
        <v>43525</v>
      </c>
      <c r="Y1236" s="116">
        <v>45549</v>
      </c>
    </row>
    <row r="1237" s="85" customFormat="1" customHeight="1" spans="1:25">
      <c r="A1237" s="98" t="s">
        <v>448</v>
      </c>
      <c r="B1237" s="98" t="s">
        <v>62</v>
      </c>
      <c r="C1237" s="98" t="s">
        <v>238</v>
      </c>
      <c r="D1237" s="98" t="s">
        <v>642</v>
      </c>
      <c r="E1237" s="161" t="s">
        <v>1556</v>
      </c>
      <c r="F1237" s="98" t="s">
        <v>983</v>
      </c>
      <c r="G1237" s="172" t="s">
        <v>88</v>
      </c>
      <c r="H1237" s="100" t="s">
        <v>1557</v>
      </c>
      <c r="I1237" s="46" t="e">
        <f>VLOOKUP(H1237,'合同高级查询数据-4月返'!A:A,1,FALSE)</f>
        <v>#N/A</v>
      </c>
      <c r="J1237" s="47" t="s">
        <v>90</v>
      </c>
      <c r="K1237" s="160" t="s">
        <v>1558</v>
      </c>
      <c r="L1237" s="179"/>
      <c r="M1237" s="49" t="s">
        <v>986</v>
      </c>
      <c r="N1237" s="180">
        <v>44014</v>
      </c>
      <c r="O1237" s="181" t="s">
        <v>507</v>
      </c>
      <c r="P1237" s="182">
        <v>11700</v>
      </c>
      <c r="Q1237" s="182">
        <v>2</v>
      </c>
      <c r="R1237" s="118">
        <f t="shared" si="31"/>
        <v>23400</v>
      </c>
      <c r="S1237" s="115">
        <v>202304</v>
      </c>
      <c r="T1237" s="186" t="s">
        <v>1663</v>
      </c>
      <c r="U1237" s="218"/>
      <c r="V1237" s="165"/>
      <c r="W1237" s="165"/>
      <c r="X1237" s="116">
        <v>43525</v>
      </c>
      <c r="Y1237" s="116">
        <v>45549</v>
      </c>
    </row>
    <row r="1238" s="85" customFormat="1" customHeight="1" spans="1:25">
      <c r="A1238" s="98" t="s">
        <v>448</v>
      </c>
      <c r="B1238" s="98" t="s">
        <v>62</v>
      </c>
      <c r="C1238" s="98" t="s">
        <v>238</v>
      </c>
      <c r="D1238" s="98" t="s">
        <v>642</v>
      </c>
      <c r="E1238" s="161" t="s">
        <v>1556</v>
      </c>
      <c r="F1238" s="98" t="s">
        <v>983</v>
      </c>
      <c r="G1238" s="172" t="s">
        <v>88</v>
      </c>
      <c r="H1238" s="100" t="s">
        <v>1557</v>
      </c>
      <c r="I1238" s="46" t="e">
        <f>VLOOKUP(H1238,'合同高级查询数据-4月返'!A:A,1,FALSE)</f>
        <v>#N/A</v>
      </c>
      <c r="J1238" s="47" t="s">
        <v>90</v>
      </c>
      <c r="K1238" s="160" t="s">
        <v>1558</v>
      </c>
      <c r="L1238" s="179"/>
      <c r="M1238" s="49" t="s">
        <v>986</v>
      </c>
      <c r="N1238" s="180">
        <v>44021</v>
      </c>
      <c r="O1238" s="181" t="s">
        <v>507</v>
      </c>
      <c r="P1238" s="182">
        <v>11700</v>
      </c>
      <c r="Q1238" s="182">
        <v>4</v>
      </c>
      <c r="R1238" s="118">
        <f t="shared" si="31"/>
        <v>46800</v>
      </c>
      <c r="S1238" s="115">
        <v>202304</v>
      </c>
      <c r="T1238" s="186" t="s">
        <v>1664</v>
      </c>
      <c r="U1238" s="218"/>
      <c r="V1238" s="165"/>
      <c r="W1238" s="165"/>
      <c r="X1238" s="116">
        <v>43525</v>
      </c>
      <c r="Y1238" s="116">
        <v>45549</v>
      </c>
    </row>
    <row r="1239" s="85" customFormat="1" customHeight="1" spans="1:25">
      <c r="A1239" s="98" t="s">
        <v>448</v>
      </c>
      <c r="B1239" s="98" t="s">
        <v>62</v>
      </c>
      <c r="C1239" s="98" t="s">
        <v>238</v>
      </c>
      <c r="D1239" s="98" t="s">
        <v>642</v>
      </c>
      <c r="E1239" s="161" t="s">
        <v>1556</v>
      </c>
      <c r="F1239" s="98" t="s">
        <v>983</v>
      </c>
      <c r="G1239" s="172" t="s">
        <v>88</v>
      </c>
      <c r="H1239" s="100" t="s">
        <v>1557</v>
      </c>
      <c r="I1239" s="46" t="e">
        <f>VLOOKUP(H1239,'合同高级查询数据-4月返'!A:A,1,FALSE)</f>
        <v>#N/A</v>
      </c>
      <c r="J1239" s="47" t="s">
        <v>90</v>
      </c>
      <c r="K1239" s="160" t="s">
        <v>1558</v>
      </c>
      <c r="L1239" s="179"/>
      <c r="M1239" s="49" t="s">
        <v>986</v>
      </c>
      <c r="N1239" s="180">
        <v>44078</v>
      </c>
      <c r="O1239" s="181" t="s">
        <v>507</v>
      </c>
      <c r="P1239" s="182">
        <v>11700</v>
      </c>
      <c r="Q1239" s="182">
        <v>17</v>
      </c>
      <c r="R1239" s="118">
        <f t="shared" si="31"/>
        <v>198900</v>
      </c>
      <c r="S1239" s="115">
        <v>202304</v>
      </c>
      <c r="T1239" s="186" t="s">
        <v>1665</v>
      </c>
      <c r="U1239" s="186"/>
      <c r="V1239" s="165"/>
      <c r="W1239" s="165"/>
      <c r="X1239" s="116">
        <v>43525</v>
      </c>
      <c r="Y1239" s="116">
        <v>45549</v>
      </c>
    </row>
    <row r="1240" s="85" customFormat="1" customHeight="1" spans="1:25">
      <c r="A1240" s="98" t="s">
        <v>448</v>
      </c>
      <c r="B1240" s="98" t="s">
        <v>62</v>
      </c>
      <c r="C1240" s="98" t="s">
        <v>238</v>
      </c>
      <c r="D1240" s="98" t="s">
        <v>642</v>
      </c>
      <c r="E1240" s="161" t="s">
        <v>1556</v>
      </c>
      <c r="F1240" s="98" t="s">
        <v>983</v>
      </c>
      <c r="G1240" s="172" t="s">
        <v>88</v>
      </c>
      <c r="H1240" s="100" t="s">
        <v>1557</v>
      </c>
      <c r="I1240" s="46" t="e">
        <f>VLOOKUP(H1240,'合同高级查询数据-4月返'!A:A,1,FALSE)</f>
        <v>#N/A</v>
      </c>
      <c r="J1240" s="47" t="s">
        <v>90</v>
      </c>
      <c r="K1240" s="160" t="s">
        <v>1558</v>
      </c>
      <c r="L1240" s="179"/>
      <c r="M1240" s="49" t="s">
        <v>986</v>
      </c>
      <c r="N1240" s="180">
        <v>44088</v>
      </c>
      <c r="O1240" s="181" t="s">
        <v>507</v>
      </c>
      <c r="P1240" s="182">
        <v>11700</v>
      </c>
      <c r="Q1240" s="182">
        <v>10</v>
      </c>
      <c r="R1240" s="118">
        <f t="shared" si="31"/>
        <v>117000</v>
      </c>
      <c r="S1240" s="115">
        <v>202304</v>
      </c>
      <c r="T1240" s="186" t="s">
        <v>1666</v>
      </c>
      <c r="U1240" s="186"/>
      <c r="V1240" s="165"/>
      <c r="W1240" s="165"/>
      <c r="X1240" s="116">
        <v>43525</v>
      </c>
      <c r="Y1240" s="116">
        <v>45549</v>
      </c>
    </row>
    <row r="1241" s="85" customFormat="1" customHeight="1" spans="1:25">
      <c r="A1241" s="98" t="s">
        <v>448</v>
      </c>
      <c r="B1241" s="98" t="s">
        <v>62</v>
      </c>
      <c r="C1241" s="98" t="s">
        <v>238</v>
      </c>
      <c r="D1241" s="98" t="s">
        <v>642</v>
      </c>
      <c r="E1241" s="161" t="s">
        <v>1556</v>
      </c>
      <c r="F1241" s="98" t="s">
        <v>983</v>
      </c>
      <c r="G1241" s="172" t="s">
        <v>88</v>
      </c>
      <c r="H1241" s="100" t="s">
        <v>1557</v>
      </c>
      <c r="I1241" s="46" t="e">
        <f>VLOOKUP(H1241,'合同高级查询数据-4月返'!A:A,1,FALSE)</f>
        <v>#N/A</v>
      </c>
      <c r="J1241" s="47" t="s">
        <v>90</v>
      </c>
      <c r="K1241" s="160" t="s">
        <v>1558</v>
      </c>
      <c r="L1241" s="179"/>
      <c r="M1241" s="49" t="s">
        <v>986</v>
      </c>
      <c r="N1241" s="180">
        <v>44093</v>
      </c>
      <c r="O1241" s="181" t="s">
        <v>507</v>
      </c>
      <c r="P1241" s="182">
        <v>11700</v>
      </c>
      <c r="Q1241" s="182">
        <v>10</v>
      </c>
      <c r="R1241" s="118">
        <f t="shared" si="31"/>
        <v>117000</v>
      </c>
      <c r="S1241" s="115">
        <v>202304</v>
      </c>
      <c r="T1241" s="186" t="s">
        <v>1667</v>
      </c>
      <c r="U1241" s="180"/>
      <c r="V1241" s="165"/>
      <c r="W1241" s="165"/>
      <c r="X1241" s="116">
        <v>43525</v>
      </c>
      <c r="Y1241" s="116">
        <v>45549</v>
      </c>
    </row>
    <row r="1242" s="85" customFormat="1" customHeight="1" spans="1:25">
      <c r="A1242" s="98" t="s">
        <v>448</v>
      </c>
      <c r="B1242" s="98" t="s">
        <v>62</v>
      </c>
      <c r="C1242" s="98" t="s">
        <v>238</v>
      </c>
      <c r="D1242" s="98" t="s">
        <v>642</v>
      </c>
      <c r="E1242" s="161" t="s">
        <v>1556</v>
      </c>
      <c r="F1242" s="98" t="s">
        <v>983</v>
      </c>
      <c r="G1242" s="172" t="s">
        <v>88</v>
      </c>
      <c r="H1242" s="100" t="s">
        <v>1557</v>
      </c>
      <c r="I1242" s="46" t="e">
        <f>VLOOKUP(H1242,'合同高级查询数据-4月返'!A:A,1,FALSE)</f>
        <v>#N/A</v>
      </c>
      <c r="J1242" s="47" t="s">
        <v>90</v>
      </c>
      <c r="K1242" s="160" t="s">
        <v>1558</v>
      </c>
      <c r="L1242" s="179"/>
      <c r="M1242" s="49" t="s">
        <v>986</v>
      </c>
      <c r="N1242" s="180">
        <v>44094</v>
      </c>
      <c r="O1242" s="181" t="s">
        <v>507</v>
      </c>
      <c r="P1242" s="182">
        <v>11700</v>
      </c>
      <c r="Q1242" s="182">
        <v>33</v>
      </c>
      <c r="R1242" s="118">
        <f t="shared" si="31"/>
        <v>386100</v>
      </c>
      <c r="S1242" s="115">
        <v>202304</v>
      </c>
      <c r="T1242" s="186" t="s">
        <v>1668</v>
      </c>
      <c r="U1242" s="218"/>
      <c r="V1242" s="165"/>
      <c r="W1242" s="165"/>
      <c r="X1242" s="116">
        <v>43525</v>
      </c>
      <c r="Y1242" s="116">
        <v>45549</v>
      </c>
    </row>
    <row r="1243" s="85" customFormat="1" customHeight="1" spans="1:25">
      <c r="A1243" s="98" t="s">
        <v>448</v>
      </c>
      <c r="B1243" s="98" t="s">
        <v>62</v>
      </c>
      <c r="C1243" s="98" t="s">
        <v>238</v>
      </c>
      <c r="D1243" s="98" t="s">
        <v>642</v>
      </c>
      <c r="E1243" s="161" t="s">
        <v>1556</v>
      </c>
      <c r="F1243" s="98" t="s">
        <v>983</v>
      </c>
      <c r="G1243" s="172" t="s">
        <v>88</v>
      </c>
      <c r="H1243" s="100" t="s">
        <v>1557</v>
      </c>
      <c r="I1243" s="46" t="e">
        <f>VLOOKUP(H1243,'合同高级查询数据-4月返'!A:A,1,FALSE)</f>
        <v>#N/A</v>
      </c>
      <c r="J1243" s="47" t="s">
        <v>90</v>
      </c>
      <c r="K1243" s="160" t="s">
        <v>1558</v>
      </c>
      <c r="L1243" s="179"/>
      <c r="M1243" s="49" t="s">
        <v>986</v>
      </c>
      <c r="N1243" s="180">
        <v>44089</v>
      </c>
      <c r="O1243" s="181" t="s">
        <v>507</v>
      </c>
      <c r="P1243" s="182">
        <v>11700</v>
      </c>
      <c r="Q1243" s="182">
        <v>3</v>
      </c>
      <c r="R1243" s="118">
        <f t="shared" si="31"/>
        <v>35100</v>
      </c>
      <c r="S1243" s="115">
        <v>202304</v>
      </c>
      <c r="T1243" s="186" t="s">
        <v>1669</v>
      </c>
      <c r="U1243" s="186"/>
      <c r="V1243" s="165"/>
      <c r="W1243" s="165"/>
      <c r="X1243" s="116">
        <v>43525</v>
      </c>
      <c r="Y1243" s="116">
        <v>45549</v>
      </c>
    </row>
    <row r="1244" s="85" customFormat="1" customHeight="1" spans="1:25">
      <c r="A1244" s="98" t="s">
        <v>448</v>
      </c>
      <c r="B1244" s="98" t="s">
        <v>62</v>
      </c>
      <c r="C1244" s="98" t="s">
        <v>238</v>
      </c>
      <c r="D1244" s="98" t="s">
        <v>642</v>
      </c>
      <c r="E1244" s="161" t="s">
        <v>1556</v>
      </c>
      <c r="F1244" s="98" t="s">
        <v>983</v>
      </c>
      <c r="G1244" s="172" t="s">
        <v>88</v>
      </c>
      <c r="H1244" s="100" t="s">
        <v>1557</v>
      </c>
      <c r="I1244" s="46" t="e">
        <f>VLOOKUP(H1244,'合同高级查询数据-4月返'!A:A,1,FALSE)</f>
        <v>#N/A</v>
      </c>
      <c r="J1244" s="47" t="s">
        <v>90</v>
      </c>
      <c r="K1244" s="160" t="s">
        <v>1558</v>
      </c>
      <c r="L1244" s="179"/>
      <c r="M1244" s="49" t="s">
        <v>986</v>
      </c>
      <c r="N1244" s="180">
        <v>44092</v>
      </c>
      <c r="O1244" s="181" t="s">
        <v>507</v>
      </c>
      <c r="P1244" s="182">
        <v>11700</v>
      </c>
      <c r="Q1244" s="182">
        <v>10</v>
      </c>
      <c r="R1244" s="118">
        <f t="shared" si="31"/>
        <v>117000</v>
      </c>
      <c r="S1244" s="115">
        <v>202304</v>
      </c>
      <c r="T1244" s="186" t="s">
        <v>1670</v>
      </c>
      <c r="U1244" s="186"/>
      <c r="V1244" s="165"/>
      <c r="W1244" s="165"/>
      <c r="X1244" s="116">
        <v>43525</v>
      </c>
      <c r="Y1244" s="116">
        <v>45549</v>
      </c>
    </row>
    <row r="1245" s="85" customFormat="1" customHeight="1" spans="1:25">
      <c r="A1245" s="98" t="s">
        <v>448</v>
      </c>
      <c r="B1245" s="98" t="s">
        <v>62</v>
      </c>
      <c r="C1245" s="98" t="s">
        <v>238</v>
      </c>
      <c r="D1245" s="98" t="s">
        <v>642</v>
      </c>
      <c r="E1245" s="161" t="s">
        <v>1556</v>
      </c>
      <c r="F1245" s="98" t="s">
        <v>983</v>
      </c>
      <c r="G1245" s="172" t="s">
        <v>88</v>
      </c>
      <c r="H1245" s="100" t="s">
        <v>1557</v>
      </c>
      <c r="I1245" s="46" t="e">
        <f>VLOOKUP(H1245,'合同高级查询数据-4月返'!A:A,1,FALSE)</f>
        <v>#N/A</v>
      </c>
      <c r="J1245" s="47" t="s">
        <v>90</v>
      </c>
      <c r="K1245" s="160" t="s">
        <v>1558</v>
      </c>
      <c r="L1245" s="179"/>
      <c r="M1245" s="49" t="s">
        <v>986</v>
      </c>
      <c r="N1245" s="180">
        <v>44104</v>
      </c>
      <c r="O1245" s="181" t="s">
        <v>507</v>
      </c>
      <c r="P1245" s="182">
        <v>11700</v>
      </c>
      <c r="Q1245" s="182">
        <v>1</v>
      </c>
      <c r="R1245" s="118">
        <f t="shared" ref="R1245:R1308" si="32">ROUND(P1245*Q1245,2)</f>
        <v>11700</v>
      </c>
      <c r="S1245" s="115">
        <v>202304</v>
      </c>
      <c r="T1245" s="186" t="s">
        <v>1671</v>
      </c>
      <c r="U1245" s="186"/>
      <c r="V1245" s="165"/>
      <c r="W1245" s="165"/>
      <c r="X1245" s="116">
        <v>43525</v>
      </c>
      <c r="Y1245" s="116">
        <v>45549</v>
      </c>
    </row>
    <row r="1246" s="85" customFormat="1" customHeight="1" spans="1:25">
      <c r="A1246" s="98" t="s">
        <v>448</v>
      </c>
      <c r="B1246" s="98" t="s">
        <v>62</v>
      </c>
      <c r="C1246" s="98" t="s">
        <v>238</v>
      </c>
      <c r="D1246" s="98" t="s">
        <v>642</v>
      </c>
      <c r="E1246" s="161" t="s">
        <v>1556</v>
      </c>
      <c r="F1246" s="98" t="s">
        <v>983</v>
      </c>
      <c r="G1246" s="172" t="s">
        <v>88</v>
      </c>
      <c r="H1246" s="100" t="s">
        <v>1557</v>
      </c>
      <c r="I1246" s="46" t="e">
        <f>VLOOKUP(H1246,'合同高级查询数据-4月返'!A:A,1,FALSE)</f>
        <v>#N/A</v>
      </c>
      <c r="J1246" s="47" t="s">
        <v>90</v>
      </c>
      <c r="K1246" s="160" t="s">
        <v>1558</v>
      </c>
      <c r="L1246" s="179"/>
      <c r="M1246" s="49" t="s">
        <v>986</v>
      </c>
      <c r="N1246" s="180">
        <v>44118</v>
      </c>
      <c r="O1246" s="181" t="s">
        <v>507</v>
      </c>
      <c r="P1246" s="182">
        <v>11700</v>
      </c>
      <c r="Q1246" s="182">
        <v>5</v>
      </c>
      <c r="R1246" s="118">
        <f t="shared" si="32"/>
        <v>58500</v>
      </c>
      <c r="S1246" s="115">
        <v>202304</v>
      </c>
      <c r="T1246" s="186" t="s">
        <v>1672</v>
      </c>
      <c r="U1246" s="186"/>
      <c r="V1246" s="165"/>
      <c r="W1246" s="165"/>
      <c r="X1246" s="116">
        <v>43525</v>
      </c>
      <c r="Y1246" s="116">
        <v>45549</v>
      </c>
    </row>
    <row r="1247" s="85" customFormat="1" customHeight="1" spans="1:25">
      <c r="A1247" s="98" t="s">
        <v>448</v>
      </c>
      <c r="B1247" s="98" t="s">
        <v>62</v>
      </c>
      <c r="C1247" s="98" t="s">
        <v>238</v>
      </c>
      <c r="D1247" s="98" t="s">
        <v>642</v>
      </c>
      <c r="E1247" s="161" t="s">
        <v>1556</v>
      </c>
      <c r="F1247" s="98" t="s">
        <v>983</v>
      </c>
      <c r="G1247" s="172" t="s">
        <v>88</v>
      </c>
      <c r="H1247" s="100" t="s">
        <v>1557</v>
      </c>
      <c r="I1247" s="46" t="e">
        <f>VLOOKUP(H1247,'合同高级查询数据-4月返'!A:A,1,FALSE)</f>
        <v>#N/A</v>
      </c>
      <c r="J1247" s="47" t="s">
        <v>90</v>
      </c>
      <c r="K1247" s="160" t="s">
        <v>1558</v>
      </c>
      <c r="L1247" s="179"/>
      <c r="M1247" s="49" t="s">
        <v>986</v>
      </c>
      <c r="N1247" s="180">
        <v>44119</v>
      </c>
      <c r="O1247" s="181" t="s">
        <v>507</v>
      </c>
      <c r="P1247" s="182">
        <v>11700</v>
      </c>
      <c r="Q1247" s="182">
        <v>7</v>
      </c>
      <c r="R1247" s="118">
        <f t="shared" si="32"/>
        <v>81900</v>
      </c>
      <c r="S1247" s="115">
        <v>202304</v>
      </c>
      <c r="T1247" s="186" t="s">
        <v>1673</v>
      </c>
      <c r="U1247" s="186"/>
      <c r="V1247" s="165"/>
      <c r="W1247" s="165"/>
      <c r="X1247" s="116">
        <v>43525</v>
      </c>
      <c r="Y1247" s="116">
        <v>45549</v>
      </c>
    </row>
    <row r="1248" s="85" customFormat="1" customHeight="1" spans="1:25">
      <c r="A1248" s="98" t="s">
        <v>448</v>
      </c>
      <c r="B1248" s="98" t="s">
        <v>62</v>
      </c>
      <c r="C1248" s="98" t="s">
        <v>238</v>
      </c>
      <c r="D1248" s="98" t="s">
        <v>642</v>
      </c>
      <c r="E1248" s="161" t="s">
        <v>1556</v>
      </c>
      <c r="F1248" s="98" t="s">
        <v>983</v>
      </c>
      <c r="G1248" s="172" t="s">
        <v>88</v>
      </c>
      <c r="H1248" s="100" t="s">
        <v>1557</v>
      </c>
      <c r="I1248" s="46" t="e">
        <f>VLOOKUP(H1248,'合同高级查询数据-4月返'!A:A,1,FALSE)</f>
        <v>#N/A</v>
      </c>
      <c r="J1248" s="47" t="s">
        <v>90</v>
      </c>
      <c r="K1248" s="160" t="s">
        <v>1558</v>
      </c>
      <c r="L1248" s="179"/>
      <c r="M1248" s="49" t="s">
        <v>986</v>
      </c>
      <c r="N1248" s="180">
        <v>44145</v>
      </c>
      <c r="O1248" s="181" t="s">
        <v>507</v>
      </c>
      <c r="P1248" s="182">
        <v>11700</v>
      </c>
      <c r="Q1248" s="182">
        <v>1</v>
      </c>
      <c r="R1248" s="118">
        <f t="shared" si="32"/>
        <v>11700</v>
      </c>
      <c r="S1248" s="115">
        <v>202304</v>
      </c>
      <c r="T1248" s="186" t="s">
        <v>1674</v>
      </c>
      <c r="U1248" s="186"/>
      <c r="V1248" s="165"/>
      <c r="W1248" s="165"/>
      <c r="X1248" s="116">
        <v>43525</v>
      </c>
      <c r="Y1248" s="116">
        <v>45549</v>
      </c>
    </row>
    <row r="1249" s="85" customFormat="1" customHeight="1" spans="1:25">
      <c r="A1249" s="98" t="s">
        <v>448</v>
      </c>
      <c r="B1249" s="98" t="s">
        <v>62</v>
      </c>
      <c r="C1249" s="98" t="s">
        <v>238</v>
      </c>
      <c r="D1249" s="98" t="s">
        <v>642</v>
      </c>
      <c r="E1249" s="161" t="s">
        <v>1556</v>
      </c>
      <c r="F1249" s="98" t="s">
        <v>983</v>
      </c>
      <c r="G1249" s="172" t="s">
        <v>88</v>
      </c>
      <c r="H1249" s="100" t="s">
        <v>1557</v>
      </c>
      <c r="I1249" s="46" t="e">
        <f>VLOOKUP(H1249,'合同高级查询数据-4月返'!A:A,1,FALSE)</f>
        <v>#N/A</v>
      </c>
      <c r="J1249" s="47" t="s">
        <v>90</v>
      </c>
      <c r="K1249" s="160" t="s">
        <v>1558</v>
      </c>
      <c r="L1249" s="179"/>
      <c r="M1249" s="49" t="s">
        <v>986</v>
      </c>
      <c r="N1249" s="180">
        <v>44147</v>
      </c>
      <c r="O1249" s="181" t="s">
        <v>507</v>
      </c>
      <c r="P1249" s="182">
        <v>11700</v>
      </c>
      <c r="Q1249" s="182">
        <v>27</v>
      </c>
      <c r="R1249" s="118">
        <f t="shared" si="32"/>
        <v>315900</v>
      </c>
      <c r="S1249" s="115">
        <v>202304</v>
      </c>
      <c r="T1249" s="186" t="s">
        <v>1675</v>
      </c>
      <c r="U1249" s="186"/>
      <c r="V1249" s="165"/>
      <c r="W1249" s="165"/>
      <c r="X1249" s="116">
        <v>43525</v>
      </c>
      <c r="Y1249" s="116">
        <v>45549</v>
      </c>
    </row>
    <row r="1250" s="85" customFormat="1" customHeight="1" spans="1:25">
      <c r="A1250" s="98" t="s">
        <v>448</v>
      </c>
      <c r="B1250" s="98" t="s">
        <v>62</v>
      </c>
      <c r="C1250" s="98" t="s">
        <v>238</v>
      </c>
      <c r="D1250" s="98" t="s">
        <v>642</v>
      </c>
      <c r="E1250" s="161" t="s">
        <v>1556</v>
      </c>
      <c r="F1250" s="98" t="s">
        <v>983</v>
      </c>
      <c r="G1250" s="172" t="s">
        <v>88</v>
      </c>
      <c r="H1250" s="100" t="s">
        <v>1557</v>
      </c>
      <c r="I1250" s="46" t="e">
        <f>VLOOKUP(H1250,'合同高级查询数据-4月返'!A:A,1,FALSE)</f>
        <v>#N/A</v>
      </c>
      <c r="J1250" s="47" t="s">
        <v>90</v>
      </c>
      <c r="K1250" s="160" t="s">
        <v>1558</v>
      </c>
      <c r="L1250" s="179"/>
      <c r="M1250" s="49" t="s">
        <v>986</v>
      </c>
      <c r="N1250" s="180">
        <v>44147</v>
      </c>
      <c r="O1250" s="181" t="s">
        <v>507</v>
      </c>
      <c r="P1250" s="182">
        <v>11700</v>
      </c>
      <c r="Q1250" s="182">
        <v>7</v>
      </c>
      <c r="R1250" s="118">
        <f t="shared" si="32"/>
        <v>81900</v>
      </c>
      <c r="S1250" s="115">
        <v>202304</v>
      </c>
      <c r="T1250" s="186" t="s">
        <v>1676</v>
      </c>
      <c r="U1250" s="186"/>
      <c r="V1250" s="165"/>
      <c r="W1250" s="165"/>
      <c r="X1250" s="116">
        <v>43525</v>
      </c>
      <c r="Y1250" s="116">
        <v>45549</v>
      </c>
    </row>
    <row r="1251" s="85" customFormat="1" customHeight="1" spans="1:25">
      <c r="A1251" s="98" t="s">
        <v>448</v>
      </c>
      <c r="B1251" s="98" t="s">
        <v>62</v>
      </c>
      <c r="C1251" s="98" t="s">
        <v>238</v>
      </c>
      <c r="D1251" s="98" t="s">
        <v>642</v>
      </c>
      <c r="E1251" s="161" t="s">
        <v>1556</v>
      </c>
      <c r="F1251" s="98" t="s">
        <v>983</v>
      </c>
      <c r="G1251" s="172" t="s">
        <v>88</v>
      </c>
      <c r="H1251" s="100" t="s">
        <v>1557</v>
      </c>
      <c r="I1251" s="46" t="e">
        <f>VLOOKUP(H1251,'合同高级查询数据-4月返'!A:A,1,FALSE)</f>
        <v>#N/A</v>
      </c>
      <c r="J1251" s="47" t="s">
        <v>90</v>
      </c>
      <c r="K1251" s="160" t="s">
        <v>1558</v>
      </c>
      <c r="L1251" s="179"/>
      <c r="M1251" s="49" t="s">
        <v>986</v>
      </c>
      <c r="N1251" s="180">
        <v>44173</v>
      </c>
      <c r="O1251" s="181" t="s">
        <v>507</v>
      </c>
      <c r="P1251" s="182">
        <v>11700</v>
      </c>
      <c r="Q1251" s="182">
        <v>9</v>
      </c>
      <c r="R1251" s="118">
        <f t="shared" si="32"/>
        <v>105300</v>
      </c>
      <c r="S1251" s="115">
        <v>202304</v>
      </c>
      <c r="T1251" s="186" t="s">
        <v>1677</v>
      </c>
      <c r="U1251" s="186"/>
      <c r="V1251" s="165"/>
      <c r="W1251" s="165"/>
      <c r="X1251" s="116">
        <v>43525</v>
      </c>
      <c r="Y1251" s="116">
        <v>45549</v>
      </c>
    </row>
    <row r="1252" s="85" customFormat="1" customHeight="1" spans="1:25">
      <c r="A1252" s="98" t="s">
        <v>448</v>
      </c>
      <c r="B1252" s="98" t="s">
        <v>62</v>
      </c>
      <c r="C1252" s="98" t="s">
        <v>238</v>
      </c>
      <c r="D1252" s="98" t="s">
        <v>642</v>
      </c>
      <c r="E1252" s="161" t="s">
        <v>1556</v>
      </c>
      <c r="F1252" s="98" t="s">
        <v>983</v>
      </c>
      <c r="G1252" s="172" t="s">
        <v>88</v>
      </c>
      <c r="H1252" s="100" t="s">
        <v>1557</v>
      </c>
      <c r="I1252" s="46" t="e">
        <f>VLOOKUP(H1252,'合同高级查询数据-4月返'!A:A,1,FALSE)</f>
        <v>#N/A</v>
      </c>
      <c r="J1252" s="47" t="s">
        <v>90</v>
      </c>
      <c r="K1252" s="160" t="s">
        <v>1558</v>
      </c>
      <c r="L1252" s="179"/>
      <c r="M1252" s="49" t="s">
        <v>986</v>
      </c>
      <c r="N1252" s="180">
        <v>44180</v>
      </c>
      <c r="O1252" s="181" t="s">
        <v>507</v>
      </c>
      <c r="P1252" s="182">
        <v>11700</v>
      </c>
      <c r="Q1252" s="182">
        <v>1</v>
      </c>
      <c r="R1252" s="118">
        <f t="shared" si="32"/>
        <v>11700</v>
      </c>
      <c r="S1252" s="115">
        <v>202304</v>
      </c>
      <c r="T1252" s="186" t="s">
        <v>1678</v>
      </c>
      <c r="U1252" s="186"/>
      <c r="V1252" s="165"/>
      <c r="W1252" s="165"/>
      <c r="X1252" s="116">
        <v>43525</v>
      </c>
      <c r="Y1252" s="116">
        <v>45549</v>
      </c>
    </row>
    <row r="1253" s="85" customFormat="1" customHeight="1" spans="1:25">
      <c r="A1253" s="98" t="s">
        <v>448</v>
      </c>
      <c r="B1253" s="98" t="s">
        <v>62</v>
      </c>
      <c r="C1253" s="98" t="s">
        <v>238</v>
      </c>
      <c r="D1253" s="98" t="s">
        <v>642</v>
      </c>
      <c r="E1253" s="161" t="s">
        <v>1556</v>
      </c>
      <c r="F1253" s="98" t="s">
        <v>983</v>
      </c>
      <c r="G1253" s="172" t="s">
        <v>88</v>
      </c>
      <c r="H1253" s="100" t="s">
        <v>1557</v>
      </c>
      <c r="I1253" s="46" t="e">
        <f>VLOOKUP(H1253,'合同高级查询数据-4月返'!A:A,1,FALSE)</f>
        <v>#N/A</v>
      </c>
      <c r="J1253" s="47" t="s">
        <v>90</v>
      </c>
      <c r="K1253" s="160" t="s">
        <v>1558</v>
      </c>
      <c r="L1253" s="179"/>
      <c r="M1253" s="49" t="s">
        <v>986</v>
      </c>
      <c r="N1253" s="180">
        <v>44179</v>
      </c>
      <c r="O1253" s="181" t="s">
        <v>507</v>
      </c>
      <c r="P1253" s="182">
        <v>11700</v>
      </c>
      <c r="Q1253" s="182">
        <v>4</v>
      </c>
      <c r="R1253" s="118">
        <f t="shared" si="32"/>
        <v>46800</v>
      </c>
      <c r="S1253" s="115">
        <v>202304</v>
      </c>
      <c r="T1253" s="186" t="s">
        <v>1679</v>
      </c>
      <c r="U1253" s="186"/>
      <c r="V1253" s="165"/>
      <c r="W1253" s="165"/>
      <c r="X1253" s="116">
        <v>43525</v>
      </c>
      <c r="Y1253" s="116">
        <v>45549</v>
      </c>
    </row>
    <row r="1254" s="85" customFormat="1" customHeight="1" spans="1:25">
      <c r="A1254" s="98" t="s">
        <v>448</v>
      </c>
      <c r="B1254" s="98" t="s">
        <v>62</v>
      </c>
      <c r="C1254" s="98" t="s">
        <v>238</v>
      </c>
      <c r="D1254" s="98" t="s">
        <v>642</v>
      </c>
      <c r="E1254" s="161" t="s">
        <v>1556</v>
      </c>
      <c r="F1254" s="98" t="s">
        <v>983</v>
      </c>
      <c r="G1254" s="172" t="s">
        <v>88</v>
      </c>
      <c r="H1254" s="100" t="s">
        <v>1557</v>
      </c>
      <c r="I1254" s="46" t="e">
        <f>VLOOKUP(H1254,'合同高级查询数据-4月返'!A:A,1,FALSE)</f>
        <v>#N/A</v>
      </c>
      <c r="J1254" s="47" t="s">
        <v>90</v>
      </c>
      <c r="K1254" s="160" t="s">
        <v>1558</v>
      </c>
      <c r="L1254" s="179"/>
      <c r="M1254" s="49" t="s">
        <v>986</v>
      </c>
      <c r="N1254" s="180">
        <v>44195</v>
      </c>
      <c r="O1254" s="181" t="s">
        <v>507</v>
      </c>
      <c r="P1254" s="182">
        <v>11700</v>
      </c>
      <c r="Q1254" s="182">
        <v>18</v>
      </c>
      <c r="R1254" s="118">
        <f t="shared" si="32"/>
        <v>210600</v>
      </c>
      <c r="S1254" s="115">
        <v>202304</v>
      </c>
      <c r="T1254" s="186" t="s">
        <v>1680</v>
      </c>
      <c r="U1254" s="186"/>
      <c r="V1254" s="165"/>
      <c r="W1254" s="165"/>
      <c r="X1254" s="116">
        <v>43525</v>
      </c>
      <c r="Y1254" s="116">
        <v>45549</v>
      </c>
    </row>
    <row r="1255" s="85" customFormat="1" customHeight="1" spans="1:25">
      <c r="A1255" s="98" t="s">
        <v>448</v>
      </c>
      <c r="B1255" s="98" t="s">
        <v>62</v>
      </c>
      <c r="C1255" s="98" t="s">
        <v>238</v>
      </c>
      <c r="D1255" s="98" t="s">
        <v>642</v>
      </c>
      <c r="E1255" s="161" t="s">
        <v>1556</v>
      </c>
      <c r="F1255" s="98" t="s">
        <v>983</v>
      </c>
      <c r="G1255" s="172" t="s">
        <v>88</v>
      </c>
      <c r="H1255" s="100" t="s">
        <v>1557</v>
      </c>
      <c r="I1255" s="46" t="e">
        <f>VLOOKUP(H1255,'合同高级查询数据-4月返'!A:A,1,FALSE)</f>
        <v>#N/A</v>
      </c>
      <c r="J1255" s="47" t="s">
        <v>90</v>
      </c>
      <c r="K1255" s="160" t="s">
        <v>1558</v>
      </c>
      <c r="L1255" s="179"/>
      <c r="M1255" s="49" t="s">
        <v>986</v>
      </c>
      <c r="N1255" s="180">
        <v>44230</v>
      </c>
      <c r="O1255" s="181" t="s">
        <v>507</v>
      </c>
      <c r="P1255" s="182">
        <v>11700</v>
      </c>
      <c r="Q1255" s="182">
        <v>1</v>
      </c>
      <c r="R1255" s="118">
        <f t="shared" si="32"/>
        <v>11700</v>
      </c>
      <c r="S1255" s="115">
        <v>202304</v>
      </c>
      <c r="T1255" s="186" t="s">
        <v>1681</v>
      </c>
      <c r="U1255" s="186"/>
      <c r="V1255" s="165"/>
      <c r="W1255" s="165"/>
      <c r="X1255" s="116">
        <v>43525</v>
      </c>
      <c r="Y1255" s="116">
        <v>45549</v>
      </c>
    </row>
    <row r="1256" s="85" customFormat="1" customHeight="1" spans="1:25">
      <c r="A1256" s="98" t="s">
        <v>448</v>
      </c>
      <c r="B1256" s="98" t="s">
        <v>62</v>
      </c>
      <c r="C1256" s="98" t="s">
        <v>238</v>
      </c>
      <c r="D1256" s="98" t="s">
        <v>642</v>
      </c>
      <c r="E1256" s="161" t="s">
        <v>1556</v>
      </c>
      <c r="F1256" s="98" t="s">
        <v>983</v>
      </c>
      <c r="G1256" s="172" t="s">
        <v>88</v>
      </c>
      <c r="H1256" s="100" t="s">
        <v>1557</v>
      </c>
      <c r="I1256" s="46" t="e">
        <f>VLOOKUP(H1256,'合同高级查询数据-4月返'!A:A,1,FALSE)</f>
        <v>#N/A</v>
      </c>
      <c r="J1256" s="47" t="s">
        <v>90</v>
      </c>
      <c r="K1256" s="160" t="s">
        <v>1558</v>
      </c>
      <c r="L1256" s="179"/>
      <c r="M1256" s="49" t="s">
        <v>986</v>
      </c>
      <c r="N1256" s="180">
        <v>44251</v>
      </c>
      <c r="O1256" s="181" t="s">
        <v>507</v>
      </c>
      <c r="P1256" s="182">
        <v>11700</v>
      </c>
      <c r="Q1256" s="182">
        <v>1</v>
      </c>
      <c r="R1256" s="118">
        <f t="shared" si="32"/>
        <v>11700</v>
      </c>
      <c r="S1256" s="115">
        <v>202304</v>
      </c>
      <c r="T1256" s="186" t="s">
        <v>1682</v>
      </c>
      <c r="U1256" s="186"/>
      <c r="V1256" s="165"/>
      <c r="W1256" s="165"/>
      <c r="X1256" s="116">
        <v>43525</v>
      </c>
      <c r="Y1256" s="116">
        <v>45549</v>
      </c>
    </row>
    <row r="1257" s="85" customFormat="1" customHeight="1" spans="1:25">
      <c r="A1257" s="98" t="s">
        <v>448</v>
      </c>
      <c r="B1257" s="98" t="s">
        <v>62</v>
      </c>
      <c r="C1257" s="98" t="s">
        <v>238</v>
      </c>
      <c r="D1257" s="98" t="s">
        <v>642</v>
      </c>
      <c r="E1257" s="161" t="s">
        <v>1556</v>
      </c>
      <c r="F1257" s="98" t="s">
        <v>983</v>
      </c>
      <c r="G1257" s="172" t="s">
        <v>88</v>
      </c>
      <c r="H1257" s="100" t="s">
        <v>1557</v>
      </c>
      <c r="I1257" s="46" t="e">
        <f>VLOOKUP(H1257,'合同高级查询数据-4月返'!A:A,1,FALSE)</f>
        <v>#N/A</v>
      </c>
      <c r="J1257" s="47" t="s">
        <v>90</v>
      </c>
      <c r="K1257" s="160" t="s">
        <v>1558</v>
      </c>
      <c r="L1257" s="179"/>
      <c r="M1257" s="49" t="s">
        <v>986</v>
      </c>
      <c r="N1257" s="180">
        <v>44270</v>
      </c>
      <c r="O1257" s="181" t="s">
        <v>507</v>
      </c>
      <c r="P1257" s="182">
        <v>11700</v>
      </c>
      <c r="Q1257" s="182">
        <v>2</v>
      </c>
      <c r="R1257" s="118">
        <f t="shared" si="32"/>
        <v>23400</v>
      </c>
      <c r="S1257" s="115">
        <v>202304</v>
      </c>
      <c r="T1257" s="186" t="s">
        <v>1683</v>
      </c>
      <c r="U1257" s="186"/>
      <c r="V1257" s="165"/>
      <c r="W1257" s="165"/>
      <c r="X1257" s="116">
        <v>43525</v>
      </c>
      <c r="Y1257" s="116">
        <v>45549</v>
      </c>
    </row>
    <row r="1258" s="85" customFormat="1" customHeight="1" spans="1:25">
      <c r="A1258" s="98" t="s">
        <v>448</v>
      </c>
      <c r="B1258" s="98" t="s">
        <v>62</v>
      </c>
      <c r="C1258" s="98" t="s">
        <v>238</v>
      </c>
      <c r="D1258" s="98" t="s">
        <v>642</v>
      </c>
      <c r="E1258" s="161" t="s">
        <v>1556</v>
      </c>
      <c r="F1258" s="98" t="s">
        <v>983</v>
      </c>
      <c r="G1258" s="172" t="s">
        <v>88</v>
      </c>
      <c r="H1258" s="100" t="s">
        <v>1557</v>
      </c>
      <c r="I1258" s="46" t="e">
        <f>VLOOKUP(H1258,'合同高级查询数据-4月返'!A:A,1,FALSE)</f>
        <v>#N/A</v>
      </c>
      <c r="J1258" s="47" t="s">
        <v>90</v>
      </c>
      <c r="K1258" s="160" t="s">
        <v>1558</v>
      </c>
      <c r="L1258" s="179"/>
      <c r="M1258" s="49" t="s">
        <v>986</v>
      </c>
      <c r="N1258" s="180">
        <v>44281</v>
      </c>
      <c r="O1258" s="181" t="s">
        <v>507</v>
      </c>
      <c r="P1258" s="182">
        <v>11700</v>
      </c>
      <c r="Q1258" s="182">
        <v>7</v>
      </c>
      <c r="R1258" s="118">
        <f t="shared" si="32"/>
        <v>81900</v>
      </c>
      <c r="S1258" s="115">
        <v>202304</v>
      </c>
      <c r="T1258" s="186" t="s">
        <v>1684</v>
      </c>
      <c r="U1258" s="186"/>
      <c r="V1258" s="165"/>
      <c r="W1258" s="165"/>
      <c r="X1258" s="116">
        <v>43525</v>
      </c>
      <c r="Y1258" s="116">
        <v>45549</v>
      </c>
    </row>
    <row r="1259" s="85" customFormat="1" customHeight="1" spans="1:25">
      <c r="A1259" s="98" t="s">
        <v>448</v>
      </c>
      <c r="B1259" s="98" t="s">
        <v>62</v>
      </c>
      <c r="C1259" s="98" t="s">
        <v>238</v>
      </c>
      <c r="D1259" s="98" t="s">
        <v>642</v>
      </c>
      <c r="E1259" s="161" t="s">
        <v>1556</v>
      </c>
      <c r="F1259" s="98" t="s">
        <v>983</v>
      </c>
      <c r="G1259" s="172" t="s">
        <v>88</v>
      </c>
      <c r="H1259" s="100" t="s">
        <v>1557</v>
      </c>
      <c r="I1259" s="46" t="e">
        <f>VLOOKUP(H1259,'合同高级查询数据-4月返'!A:A,1,FALSE)</f>
        <v>#N/A</v>
      </c>
      <c r="J1259" s="47" t="s">
        <v>90</v>
      </c>
      <c r="K1259" s="160" t="s">
        <v>1558</v>
      </c>
      <c r="L1259" s="179"/>
      <c r="M1259" s="49" t="s">
        <v>986</v>
      </c>
      <c r="N1259" s="180">
        <v>44301</v>
      </c>
      <c r="O1259" s="181" t="s">
        <v>507</v>
      </c>
      <c r="P1259" s="182">
        <v>11700</v>
      </c>
      <c r="Q1259" s="182">
        <v>5</v>
      </c>
      <c r="R1259" s="118">
        <f t="shared" si="32"/>
        <v>58500</v>
      </c>
      <c r="S1259" s="115">
        <v>202304</v>
      </c>
      <c r="T1259" s="186" t="s">
        <v>1685</v>
      </c>
      <c r="U1259" s="186"/>
      <c r="V1259" s="165"/>
      <c r="W1259" s="165"/>
      <c r="X1259" s="116">
        <v>43525</v>
      </c>
      <c r="Y1259" s="116">
        <v>45549</v>
      </c>
    </row>
    <row r="1260" s="85" customFormat="1" customHeight="1" spans="1:25">
      <c r="A1260" s="98" t="s">
        <v>448</v>
      </c>
      <c r="B1260" s="98" t="s">
        <v>62</v>
      </c>
      <c r="C1260" s="98" t="s">
        <v>238</v>
      </c>
      <c r="D1260" s="98" t="s">
        <v>642</v>
      </c>
      <c r="E1260" s="161" t="s">
        <v>1556</v>
      </c>
      <c r="F1260" s="98" t="s">
        <v>983</v>
      </c>
      <c r="G1260" s="172" t="s">
        <v>88</v>
      </c>
      <c r="H1260" s="100" t="s">
        <v>1557</v>
      </c>
      <c r="I1260" s="46" t="e">
        <f>VLOOKUP(H1260,'合同高级查询数据-4月返'!A:A,1,FALSE)</f>
        <v>#N/A</v>
      </c>
      <c r="J1260" s="47" t="s">
        <v>90</v>
      </c>
      <c r="K1260" s="160" t="s">
        <v>1558</v>
      </c>
      <c r="L1260" s="179"/>
      <c r="M1260" s="49" t="s">
        <v>986</v>
      </c>
      <c r="N1260" s="180">
        <v>44288</v>
      </c>
      <c r="O1260" s="181" t="s">
        <v>503</v>
      </c>
      <c r="P1260" s="182">
        <v>5950</v>
      </c>
      <c r="Q1260" s="182">
        <v>2</v>
      </c>
      <c r="R1260" s="118">
        <f t="shared" si="32"/>
        <v>11900</v>
      </c>
      <c r="S1260" s="115">
        <v>202304</v>
      </c>
      <c r="T1260" s="186" t="s">
        <v>1686</v>
      </c>
      <c r="U1260" s="186"/>
      <c r="V1260" s="165"/>
      <c r="W1260" s="165"/>
      <c r="X1260" s="116">
        <v>43525</v>
      </c>
      <c r="Y1260" s="116">
        <v>45549</v>
      </c>
    </row>
    <row r="1261" s="85" customFormat="1" customHeight="1" spans="1:25">
      <c r="A1261" s="98" t="s">
        <v>448</v>
      </c>
      <c r="B1261" s="98" t="s">
        <v>62</v>
      </c>
      <c r="C1261" s="98" t="s">
        <v>238</v>
      </c>
      <c r="D1261" s="98" t="s">
        <v>642</v>
      </c>
      <c r="E1261" s="161" t="s">
        <v>1556</v>
      </c>
      <c r="F1261" s="98" t="s">
        <v>983</v>
      </c>
      <c r="G1261" s="172" t="s">
        <v>88</v>
      </c>
      <c r="H1261" s="100" t="s">
        <v>1557</v>
      </c>
      <c r="I1261" s="46" t="e">
        <f>VLOOKUP(H1261,'合同高级查询数据-4月返'!A:A,1,FALSE)</f>
        <v>#N/A</v>
      </c>
      <c r="J1261" s="47" t="s">
        <v>90</v>
      </c>
      <c r="K1261" s="160" t="s">
        <v>1558</v>
      </c>
      <c r="L1261" s="179"/>
      <c r="M1261" s="49" t="s">
        <v>986</v>
      </c>
      <c r="N1261" s="180">
        <v>44327</v>
      </c>
      <c r="O1261" s="181" t="s">
        <v>507</v>
      </c>
      <c r="P1261" s="182">
        <v>11700</v>
      </c>
      <c r="Q1261" s="182">
        <v>-1</v>
      </c>
      <c r="R1261" s="118">
        <f t="shared" si="32"/>
        <v>-11700</v>
      </c>
      <c r="S1261" s="115">
        <v>202304</v>
      </c>
      <c r="T1261" s="186" t="s">
        <v>1687</v>
      </c>
      <c r="U1261" s="186"/>
      <c r="V1261" s="165"/>
      <c r="W1261" s="165"/>
      <c r="X1261" s="116">
        <v>43525</v>
      </c>
      <c r="Y1261" s="116">
        <v>45549</v>
      </c>
    </row>
    <row r="1262" s="85" customFormat="1" customHeight="1" spans="1:25">
      <c r="A1262" s="98" t="s">
        <v>448</v>
      </c>
      <c r="B1262" s="98" t="s">
        <v>62</v>
      </c>
      <c r="C1262" s="98" t="s">
        <v>238</v>
      </c>
      <c r="D1262" s="98" t="s">
        <v>642</v>
      </c>
      <c r="E1262" s="161" t="s">
        <v>1556</v>
      </c>
      <c r="F1262" s="98" t="s">
        <v>983</v>
      </c>
      <c r="G1262" s="172" t="s">
        <v>88</v>
      </c>
      <c r="H1262" s="100" t="s">
        <v>1557</v>
      </c>
      <c r="I1262" s="46" t="e">
        <f>VLOOKUP(H1262,'合同高级查询数据-4月返'!A:A,1,FALSE)</f>
        <v>#N/A</v>
      </c>
      <c r="J1262" s="47" t="s">
        <v>90</v>
      </c>
      <c r="K1262" s="160" t="s">
        <v>1558</v>
      </c>
      <c r="L1262" s="179"/>
      <c r="M1262" s="49" t="s">
        <v>986</v>
      </c>
      <c r="N1262" s="180">
        <v>44333</v>
      </c>
      <c r="O1262" s="181" t="s">
        <v>507</v>
      </c>
      <c r="P1262" s="182">
        <v>11700</v>
      </c>
      <c r="Q1262" s="182">
        <v>-3</v>
      </c>
      <c r="R1262" s="118">
        <f t="shared" si="32"/>
        <v>-35100</v>
      </c>
      <c r="S1262" s="115">
        <v>202304</v>
      </c>
      <c r="T1262" s="186" t="s">
        <v>1688</v>
      </c>
      <c r="U1262" s="186"/>
      <c r="V1262" s="165"/>
      <c r="W1262" s="165"/>
      <c r="X1262" s="116">
        <v>43525</v>
      </c>
      <c r="Y1262" s="116">
        <v>45549</v>
      </c>
    </row>
    <row r="1263" s="85" customFormat="1" customHeight="1" spans="1:25">
      <c r="A1263" s="98" t="s">
        <v>448</v>
      </c>
      <c r="B1263" s="98" t="s">
        <v>62</v>
      </c>
      <c r="C1263" s="98" t="s">
        <v>238</v>
      </c>
      <c r="D1263" s="98" t="s">
        <v>642</v>
      </c>
      <c r="E1263" s="161" t="s">
        <v>1556</v>
      </c>
      <c r="F1263" s="98" t="s">
        <v>983</v>
      </c>
      <c r="G1263" s="172" t="s">
        <v>88</v>
      </c>
      <c r="H1263" s="100" t="s">
        <v>1557</v>
      </c>
      <c r="I1263" s="46" t="e">
        <f>VLOOKUP(H1263,'合同高级查询数据-4月返'!A:A,1,FALSE)</f>
        <v>#N/A</v>
      </c>
      <c r="J1263" s="47" t="s">
        <v>90</v>
      </c>
      <c r="K1263" s="160" t="s">
        <v>1558</v>
      </c>
      <c r="L1263" s="179"/>
      <c r="M1263" s="49" t="s">
        <v>986</v>
      </c>
      <c r="N1263" s="180">
        <v>44343</v>
      </c>
      <c r="O1263" s="181" t="s">
        <v>507</v>
      </c>
      <c r="P1263" s="182">
        <v>11700</v>
      </c>
      <c r="Q1263" s="182">
        <v>-1</v>
      </c>
      <c r="R1263" s="118">
        <f t="shared" si="32"/>
        <v>-11700</v>
      </c>
      <c r="S1263" s="115">
        <v>202304</v>
      </c>
      <c r="T1263" s="186" t="s">
        <v>1689</v>
      </c>
      <c r="U1263" s="186"/>
      <c r="V1263" s="165"/>
      <c r="W1263" s="165"/>
      <c r="X1263" s="116">
        <v>43525</v>
      </c>
      <c r="Y1263" s="116">
        <v>45549</v>
      </c>
    </row>
    <row r="1264" s="85" customFormat="1" customHeight="1" spans="1:25">
      <c r="A1264" s="98" t="s">
        <v>448</v>
      </c>
      <c r="B1264" s="98" t="s">
        <v>62</v>
      </c>
      <c r="C1264" s="98" t="s">
        <v>238</v>
      </c>
      <c r="D1264" s="98" t="s">
        <v>642</v>
      </c>
      <c r="E1264" s="161" t="s">
        <v>1556</v>
      </c>
      <c r="F1264" s="98" t="s">
        <v>983</v>
      </c>
      <c r="G1264" s="172" t="s">
        <v>88</v>
      </c>
      <c r="H1264" s="100" t="s">
        <v>1557</v>
      </c>
      <c r="I1264" s="46" t="e">
        <f>VLOOKUP(H1264,'合同高级查询数据-4月返'!A:A,1,FALSE)</f>
        <v>#N/A</v>
      </c>
      <c r="J1264" s="47" t="s">
        <v>90</v>
      </c>
      <c r="K1264" s="160" t="s">
        <v>1558</v>
      </c>
      <c r="L1264" s="179"/>
      <c r="M1264" s="49" t="s">
        <v>986</v>
      </c>
      <c r="N1264" s="180">
        <v>44342</v>
      </c>
      <c r="O1264" s="181" t="s">
        <v>507</v>
      </c>
      <c r="P1264" s="182">
        <v>11700</v>
      </c>
      <c r="Q1264" s="182">
        <v>4</v>
      </c>
      <c r="R1264" s="118">
        <f t="shared" si="32"/>
        <v>46800</v>
      </c>
      <c r="S1264" s="115">
        <v>202304</v>
      </c>
      <c r="T1264" s="186" t="s">
        <v>1690</v>
      </c>
      <c r="U1264" s="186"/>
      <c r="V1264" s="165"/>
      <c r="W1264" s="165"/>
      <c r="X1264" s="116">
        <v>43525</v>
      </c>
      <c r="Y1264" s="116">
        <v>45549</v>
      </c>
    </row>
    <row r="1265" s="85" customFormat="1" customHeight="1" spans="1:25">
      <c r="A1265" s="98" t="s">
        <v>448</v>
      </c>
      <c r="B1265" s="98" t="s">
        <v>62</v>
      </c>
      <c r="C1265" s="98" t="s">
        <v>238</v>
      </c>
      <c r="D1265" s="98" t="s">
        <v>642</v>
      </c>
      <c r="E1265" s="161" t="s">
        <v>1556</v>
      </c>
      <c r="F1265" s="98" t="s">
        <v>983</v>
      </c>
      <c r="G1265" s="172" t="s">
        <v>88</v>
      </c>
      <c r="H1265" s="100" t="s">
        <v>1557</v>
      </c>
      <c r="I1265" s="46" t="e">
        <f>VLOOKUP(H1265,'合同高级查询数据-4月返'!A:A,1,FALSE)</f>
        <v>#N/A</v>
      </c>
      <c r="J1265" s="47" t="s">
        <v>90</v>
      </c>
      <c r="K1265" s="160" t="s">
        <v>1691</v>
      </c>
      <c r="L1265" s="179"/>
      <c r="M1265" s="49" t="s">
        <v>986</v>
      </c>
      <c r="N1265" s="180">
        <v>44390</v>
      </c>
      <c r="O1265" s="181" t="s">
        <v>503</v>
      </c>
      <c r="P1265" s="182">
        <v>5950</v>
      </c>
      <c r="Q1265" s="182">
        <v>2</v>
      </c>
      <c r="R1265" s="118">
        <f t="shared" si="32"/>
        <v>11900</v>
      </c>
      <c r="S1265" s="115">
        <v>202304</v>
      </c>
      <c r="T1265" s="186" t="s">
        <v>1692</v>
      </c>
      <c r="U1265" s="186"/>
      <c r="V1265" s="165"/>
      <c r="W1265" s="165"/>
      <c r="X1265" s="116">
        <v>43525</v>
      </c>
      <c r="Y1265" s="116">
        <v>45549</v>
      </c>
    </row>
    <row r="1266" s="85" customFormat="1" customHeight="1" spans="1:25">
      <c r="A1266" s="98" t="s">
        <v>448</v>
      </c>
      <c r="B1266" s="98" t="s">
        <v>62</v>
      </c>
      <c r="C1266" s="98" t="s">
        <v>238</v>
      </c>
      <c r="D1266" s="98" t="s">
        <v>642</v>
      </c>
      <c r="E1266" s="161" t="s">
        <v>1556</v>
      </c>
      <c r="F1266" s="98" t="s">
        <v>983</v>
      </c>
      <c r="G1266" s="172" t="s">
        <v>88</v>
      </c>
      <c r="H1266" s="100" t="s">
        <v>1557</v>
      </c>
      <c r="I1266" s="46" t="e">
        <f>VLOOKUP(H1266,'合同高级查询数据-4月返'!A:A,1,FALSE)</f>
        <v>#N/A</v>
      </c>
      <c r="J1266" s="47" t="s">
        <v>90</v>
      </c>
      <c r="K1266" s="160" t="s">
        <v>1693</v>
      </c>
      <c r="L1266" s="179"/>
      <c r="M1266" s="49" t="s">
        <v>986</v>
      </c>
      <c r="N1266" s="180">
        <v>44405</v>
      </c>
      <c r="O1266" s="181" t="s">
        <v>507</v>
      </c>
      <c r="P1266" s="182">
        <v>11700</v>
      </c>
      <c r="Q1266" s="182">
        <v>-1</v>
      </c>
      <c r="R1266" s="118">
        <f t="shared" si="32"/>
        <v>-11700</v>
      </c>
      <c r="S1266" s="115">
        <v>202304</v>
      </c>
      <c r="T1266" s="186" t="s">
        <v>1694</v>
      </c>
      <c r="U1266" s="186"/>
      <c r="V1266" s="165"/>
      <c r="W1266" s="165"/>
      <c r="X1266" s="116">
        <v>43525</v>
      </c>
      <c r="Y1266" s="116">
        <v>45549</v>
      </c>
    </row>
    <row r="1267" s="85" customFormat="1" customHeight="1" spans="1:25">
      <c r="A1267" s="98" t="s">
        <v>448</v>
      </c>
      <c r="B1267" s="98" t="s">
        <v>62</v>
      </c>
      <c r="C1267" s="98" t="s">
        <v>238</v>
      </c>
      <c r="D1267" s="98" t="s">
        <v>642</v>
      </c>
      <c r="E1267" s="161" t="s">
        <v>1556</v>
      </c>
      <c r="F1267" s="98" t="s">
        <v>983</v>
      </c>
      <c r="G1267" s="172" t="s">
        <v>88</v>
      </c>
      <c r="H1267" s="100" t="s">
        <v>1557</v>
      </c>
      <c r="I1267" s="46" t="e">
        <f>VLOOKUP(H1267,'合同高级查询数据-4月返'!A:A,1,FALSE)</f>
        <v>#N/A</v>
      </c>
      <c r="J1267" s="47" t="s">
        <v>90</v>
      </c>
      <c r="K1267" s="160" t="s">
        <v>1693</v>
      </c>
      <c r="L1267" s="179"/>
      <c r="M1267" s="49" t="s">
        <v>986</v>
      </c>
      <c r="N1267" s="180">
        <v>44482</v>
      </c>
      <c r="O1267" s="181" t="s">
        <v>503</v>
      </c>
      <c r="P1267" s="182">
        <v>5950</v>
      </c>
      <c r="Q1267" s="182">
        <v>1</v>
      </c>
      <c r="R1267" s="118">
        <f t="shared" si="32"/>
        <v>5950</v>
      </c>
      <c r="S1267" s="115">
        <v>202304</v>
      </c>
      <c r="T1267" s="186" t="s">
        <v>1695</v>
      </c>
      <c r="U1267" s="186"/>
      <c r="V1267" s="165"/>
      <c r="W1267" s="165"/>
      <c r="X1267" s="116">
        <v>43525</v>
      </c>
      <c r="Y1267" s="116">
        <v>45549</v>
      </c>
    </row>
    <row r="1268" s="85" customFormat="1" customHeight="1" spans="1:25">
      <c r="A1268" s="98" t="s">
        <v>448</v>
      </c>
      <c r="B1268" s="98" t="s">
        <v>62</v>
      </c>
      <c r="C1268" s="98" t="s">
        <v>238</v>
      </c>
      <c r="D1268" s="98" t="s">
        <v>642</v>
      </c>
      <c r="E1268" s="161" t="s">
        <v>1556</v>
      </c>
      <c r="F1268" s="98" t="s">
        <v>983</v>
      </c>
      <c r="G1268" s="172" t="s">
        <v>88</v>
      </c>
      <c r="H1268" s="100" t="s">
        <v>1557</v>
      </c>
      <c r="I1268" s="46" t="e">
        <f>VLOOKUP(H1268,'合同高级查询数据-4月返'!A:A,1,FALSE)</f>
        <v>#N/A</v>
      </c>
      <c r="J1268" s="47" t="s">
        <v>90</v>
      </c>
      <c r="K1268" s="160" t="s">
        <v>1693</v>
      </c>
      <c r="L1268" s="179"/>
      <c r="M1268" s="49" t="s">
        <v>986</v>
      </c>
      <c r="N1268" s="180">
        <v>43710</v>
      </c>
      <c r="O1268" s="181" t="s">
        <v>507</v>
      </c>
      <c r="P1268" s="182">
        <v>11700</v>
      </c>
      <c r="Q1268" s="182">
        <v>3</v>
      </c>
      <c r="R1268" s="118">
        <f t="shared" si="32"/>
        <v>35100</v>
      </c>
      <c r="S1268" s="115">
        <v>202304</v>
      </c>
      <c r="T1268" s="186" t="s">
        <v>1696</v>
      </c>
      <c r="U1268" s="186"/>
      <c r="V1268" s="165"/>
      <c r="W1268" s="165"/>
      <c r="X1268" s="116">
        <v>43525</v>
      </c>
      <c r="Y1268" s="116">
        <v>45549</v>
      </c>
    </row>
    <row r="1269" s="85" customFormat="1" customHeight="1" spans="1:25">
      <c r="A1269" s="98" t="s">
        <v>448</v>
      </c>
      <c r="B1269" s="98" t="s">
        <v>62</v>
      </c>
      <c r="C1269" s="98" t="s">
        <v>238</v>
      </c>
      <c r="D1269" s="98" t="s">
        <v>642</v>
      </c>
      <c r="E1269" s="161" t="s">
        <v>1556</v>
      </c>
      <c r="F1269" s="98" t="s">
        <v>983</v>
      </c>
      <c r="G1269" s="172" t="s">
        <v>88</v>
      </c>
      <c r="H1269" s="100" t="s">
        <v>1557</v>
      </c>
      <c r="I1269" s="46" t="e">
        <f>VLOOKUP(H1269,'合同高级查询数据-4月返'!A:A,1,FALSE)</f>
        <v>#N/A</v>
      </c>
      <c r="J1269" s="47" t="s">
        <v>90</v>
      </c>
      <c r="K1269" s="160" t="s">
        <v>1691</v>
      </c>
      <c r="L1269" s="179"/>
      <c r="M1269" s="49" t="s">
        <v>986</v>
      </c>
      <c r="N1269" s="180">
        <v>44818</v>
      </c>
      <c r="O1269" s="181" t="s">
        <v>503</v>
      </c>
      <c r="P1269" s="182">
        <v>5950</v>
      </c>
      <c r="Q1269" s="182">
        <v>1</v>
      </c>
      <c r="R1269" s="118">
        <f t="shared" si="32"/>
        <v>5950</v>
      </c>
      <c r="S1269" s="115">
        <v>202304</v>
      </c>
      <c r="T1269" s="186" t="s">
        <v>1697</v>
      </c>
      <c r="U1269" s="186"/>
      <c r="V1269" s="165"/>
      <c r="W1269" s="165"/>
      <c r="X1269" s="116">
        <v>43525</v>
      </c>
      <c r="Y1269" s="116">
        <v>45549</v>
      </c>
    </row>
    <row r="1270" s="85" customFormat="1" customHeight="1" spans="1:25">
      <c r="A1270" s="98" t="s">
        <v>448</v>
      </c>
      <c r="B1270" s="98" t="s">
        <v>62</v>
      </c>
      <c r="C1270" s="98" t="s">
        <v>238</v>
      </c>
      <c r="D1270" s="98" t="s">
        <v>642</v>
      </c>
      <c r="E1270" s="161" t="s">
        <v>1556</v>
      </c>
      <c r="F1270" s="98" t="s">
        <v>983</v>
      </c>
      <c r="G1270" s="172" t="s">
        <v>88</v>
      </c>
      <c r="H1270" s="100" t="s">
        <v>1557</v>
      </c>
      <c r="I1270" s="46" t="e">
        <f>VLOOKUP(H1270,'合同高级查询数据-4月返'!A:A,1,FALSE)</f>
        <v>#N/A</v>
      </c>
      <c r="J1270" s="47" t="s">
        <v>90</v>
      </c>
      <c r="K1270" s="160" t="s">
        <v>1693</v>
      </c>
      <c r="L1270" s="179"/>
      <c r="M1270" s="49" t="s">
        <v>986</v>
      </c>
      <c r="N1270" s="180">
        <v>44862</v>
      </c>
      <c r="O1270" s="181" t="s">
        <v>507</v>
      </c>
      <c r="P1270" s="182">
        <v>11700</v>
      </c>
      <c r="Q1270" s="182">
        <v>-4</v>
      </c>
      <c r="R1270" s="118">
        <f t="shared" si="32"/>
        <v>-46800</v>
      </c>
      <c r="S1270" s="115">
        <v>202304</v>
      </c>
      <c r="T1270" s="186" t="s">
        <v>1698</v>
      </c>
      <c r="U1270" s="186"/>
      <c r="V1270" s="165"/>
      <c r="W1270" s="165"/>
      <c r="X1270" s="116">
        <v>43525</v>
      </c>
      <c r="Y1270" s="116">
        <v>45549</v>
      </c>
    </row>
    <row r="1271" s="85" customFormat="1" customHeight="1" spans="1:25">
      <c r="A1271" s="98" t="s">
        <v>448</v>
      </c>
      <c r="B1271" s="98" t="s">
        <v>62</v>
      </c>
      <c r="C1271" s="98" t="s">
        <v>238</v>
      </c>
      <c r="D1271" s="98" t="s">
        <v>642</v>
      </c>
      <c r="E1271" s="161" t="s">
        <v>1556</v>
      </c>
      <c r="F1271" s="98" t="s">
        <v>983</v>
      </c>
      <c r="G1271" s="172" t="s">
        <v>88</v>
      </c>
      <c r="H1271" s="100" t="s">
        <v>1557</v>
      </c>
      <c r="I1271" s="46" t="e">
        <f>VLOOKUP(H1271,'合同高级查询数据-4月返'!A:A,1,FALSE)</f>
        <v>#N/A</v>
      </c>
      <c r="J1271" s="47" t="s">
        <v>90</v>
      </c>
      <c r="K1271" s="160" t="s">
        <v>1691</v>
      </c>
      <c r="L1271" s="179"/>
      <c r="M1271" s="49" t="s">
        <v>986</v>
      </c>
      <c r="N1271" s="180">
        <v>44862</v>
      </c>
      <c r="O1271" s="181" t="s">
        <v>507</v>
      </c>
      <c r="P1271" s="182">
        <v>11700</v>
      </c>
      <c r="Q1271" s="182">
        <v>-8</v>
      </c>
      <c r="R1271" s="118">
        <f t="shared" si="32"/>
        <v>-93600</v>
      </c>
      <c r="S1271" s="115">
        <v>202304</v>
      </c>
      <c r="T1271" s="186" t="s">
        <v>1699</v>
      </c>
      <c r="U1271" s="186"/>
      <c r="V1271" s="165"/>
      <c r="W1271" s="165"/>
      <c r="X1271" s="116">
        <v>43525</v>
      </c>
      <c r="Y1271" s="116">
        <v>45549</v>
      </c>
    </row>
    <row r="1272" s="85" customFormat="1" customHeight="1" spans="1:25">
      <c r="A1272" s="98" t="s">
        <v>448</v>
      </c>
      <c r="B1272" s="98" t="s">
        <v>62</v>
      </c>
      <c r="C1272" s="98" t="s">
        <v>238</v>
      </c>
      <c r="D1272" s="98" t="s">
        <v>642</v>
      </c>
      <c r="E1272" s="161" t="s">
        <v>1556</v>
      </c>
      <c r="F1272" s="98" t="s">
        <v>983</v>
      </c>
      <c r="G1272" s="172" t="s">
        <v>88</v>
      </c>
      <c r="H1272" s="100" t="s">
        <v>1557</v>
      </c>
      <c r="I1272" s="46" t="e">
        <f>VLOOKUP(H1272,'合同高级查询数据-4月返'!A:A,1,FALSE)</f>
        <v>#N/A</v>
      </c>
      <c r="J1272" s="47" t="s">
        <v>90</v>
      </c>
      <c r="K1272" s="160" t="s">
        <v>1691</v>
      </c>
      <c r="L1272" s="179"/>
      <c r="M1272" s="49" t="s">
        <v>986</v>
      </c>
      <c r="N1272" s="180">
        <v>44862</v>
      </c>
      <c r="O1272" s="181" t="s">
        <v>503</v>
      </c>
      <c r="P1272" s="182">
        <v>5950</v>
      </c>
      <c r="Q1272" s="182">
        <v>-1</v>
      </c>
      <c r="R1272" s="118">
        <f t="shared" si="32"/>
        <v>-5950</v>
      </c>
      <c r="S1272" s="115">
        <v>202304</v>
      </c>
      <c r="T1272" s="186" t="s">
        <v>1700</v>
      </c>
      <c r="U1272" s="186"/>
      <c r="V1272" s="165"/>
      <c r="W1272" s="165"/>
      <c r="X1272" s="116">
        <v>43525</v>
      </c>
      <c r="Y1272" s="116">
        <v>45549</v>
      </c>
    </row>
    <row r="1273" s="85" customFormat="1" customHeight="1" spans="1:25">
      <c r="A1273" s="98" t="s">
        <v>448</v>
      </c>
      <c r="B1273" s="98" t="s">
        <v>62</v>
      </c>
      <c r="C1273" s="98" t="s">
        <v>238</v>
      </c>
      <c r="D1273" s="98" t="s">
        <v>642</v>
      </c>
      <c r="E1273" s="161" t="s">
        <v>1556</v>
      </c>
      <c r="F1273" s="98" t="s">
        <v>983</v>
      </c>
      <c r="G1273" s="172" t="s">
        <v>88</v>
      </c>
      <c r="H1273" s="100" t="s">
        <v>1557</v>
      </c>
      <c r="I1273" s="46" t="e">
        <f>VLOOKUP(H1273,'合同高级查询数据-4月返'!A:A,1,FALSE)</f>
        <v>#N/A</v>
      </c>
      <c r="J1273" s="47" t="s">
        <v>90</v>
      </c>
      <c r="K1273" s="160" t="s">
        <v>1693</v>
      </c>
      <c r="L1273" s="179"/>
      <c r="M1273" s="49" t="s">
        <v>1644</v>
      </c>
      <c r="N1273" s="180">
        <v>44874</v>
      </c>
      <c r="O1273" s="181" t="s">
        <v>507</v>
      </c>
      <c r="P1273" s="182">
        <v>11700</v>
      </c>
      <c r="Q1273" s="182">
        <v>-1</v>
      </c>
      <c r="R1273" s="118">
        <f t="shared" si="32"/>
        <v>-11700</v>
      </c>
      <c r="S1273" s="115">
        <v>202304</v>
      </c>
      <c r="T1273" s="186" t="s">
        <v>1645</v>
      </c>
      <c r="U1273" s="186"/>
      <c r="V1273" s="165"/>
      <c r="W1273" s="165"/>
      <c r="X1273" s="116">
        <v>43525</v>
      </c>
      <c r="Y1273" s="116">
        <v>45549</v>
      </c>
    </row>
    <row r="1274" s="85" customFormat="1" customHeight="1" spans="1:25">
      <c r="A1274" s="98" t="s">
        <v>448</v>
      </c>
      <c r="B1274" s="98" t="s">
        <v>62</v>
      </c>
      <c r="C1274" s="98" t="s">
        <v>238</v>
      </c>
      <c r="D1274" s="98" t="s">
        <v>642</v>
      </c>
      <c r="E1274" s="161" t="s">
        <v>1556</v>
      </c>
      <c r="F1274" s="98" t="s">
        <v>983</v>
      </c>
      <c r="G1274" s="172" t="s">
        <v>88</v>
      </c>
      <c r="H1274" s="100" t="s">
        <v>1557</v>
      </c>
      <c r="I1274" s="46" t="e">
        <f>VLOOKUP(H1274,'合同高级查询数据-4月返'!A:A,1,FALSE)</f>
        <v>#N/A</v>
      </c>
      <c r="J1274" s="47" t="s">
        <v>90</v>
      </c>
      <c r="K1274" s="160" t="s">
        <v>1693</v>
      </c>
      <c r="L1274" s="179"/>
      <c r="M1274" s="49" t="s">
        <v>986</v>
      </c>
      <c r="N1274" s="180">
        <v>44874</v>
      </c>
      <c r="O1274" s="181" t="s">
        <v>503</v>
      </c>
      <c r="P1274" s="182">
        <v>5950</v>
      </c>
      <c r="Q1274" s="182">
        <v>-1</v>
      </c>
      <c r="R1274" s="118">
        <f t="shared" si="32"/>
        <v>-5950</v>
      </c>
      <c r="S1274" s="115">
        <v>202304</v>
      </c>
      <c r="T1274" s="186" t="s">
        <v>1646</v>
      </c>
      <c r="U1274" s="186"/>
      <c r="V1274" s="165"/>
      <c r="W1274" s="165"/>
      <c r="X1274" s="116">
        <v>43525</v>
      </c>
      <c r="Y1274" s="116">
        <v>45549</v>
      </c>
    </row>
    <row r="1275" s="85" customFormat="1" customHeight="1" spans="1:25">
      <c r="A1275" s="98" t="s">
        <v>448</v>
      </c>
      <c r="B1275" s="98" t="s">
        <v>62</v>
      </c>
      <c r="C1275" s="98" t="s">
        <v>238</v>
      </c>
      <c r="D1275" s="98" t="s">
        <v>642</v>
      </c>
      <c r="E1275" s="161" t="s">
        <v>1556</v>
      </c>
      <c r="F1275" s="98" t="s">
        <v>983</v>
      </c>
      <c r="G1275" s="172" t="s">
        <v>88</v>
      </c>
      <c r="H1275" s="100" t="s">
        <v>1557</v>
      </c>
      <c r="I1275" s="46" t="e">
        <f>VLOOKUP(H1275,'合同高级查询数据-4月返'!A:A,1,FALSE)</f>
        <v>#N/A</v>
      </c>
      <c r="J1275" s="47" t="s">
        <v>90</v>
      </c>
      <c r="K1275" s="160" t="s">
        <v>1693</v>
      </c>
      <c r="L1275" s="179"/>
      <c r="M1275" s="49" t="s">
        <v>986</v>
      </c>
      <c r="N1275" s="180">
        <v>44874</v>
      </c>
      <c r="O1275" s="181" t="s">
        <v>507</v>
      </c>
      <c r="P1275" s="182">
        <v>11700</v>
      </c>
      <c r="Q1275" s="182">
        <v>-1</v>
      </c>
      <c r="R1275" s="118">
        <f t="shared" si="32"/>
        <v>-11700</v>
      </c>
      <c r="S1275" s="115">
        <v>202304</v>
      </c>
      <c r="T1275" s="186" t="s">
        <v>1701</v>
      </c>
      <c r="U1275" s="186"/>
      <c r="V1275" s="165"/>
      <c r="W1275" s="165"/>
      <c r="X1275" s="116">
        <v>43525</v>
      </c>
      <c r="Y1275" s="116">
        <v>45549</v>
      </c>
    </row>
    <row r="1276" s="85" customFormat="1" customHeight="1" spans="1:25">
      <c r="A1276" s="98" t="s">
        <v>448</v>
      </c>
      <c r="B1276" s="98" t="s">
        <v>62</v>
      </c>
      <c r="C1276" s="98" t="s">
        <v>238</v>
      </c>
      <c r="D1276" s="98" t="s">
        <v>642</v>
      </c>
      <c r="E1276" s="161" t="s">
        <v>1556</v>
      </c>
      <c r="F1276" s="98" t="s">
        <v>983</v>
      </c>
      <c r="G1276" s="172" t="s">
        <v>88</v>
      </c>
      <c r="H1276" s="100" t="s">
        <v>1557</v>
      </c>
      <c r="I1276" s="46" t="e">
        <f>VLOOKUP(H1276,'合同高级查询数据-4月返'!A:A,1,FALSE)</f>
        <v>#N/A</v>
      </c>
      <c r="J1276" s="47" t="s">
        <v>90</v>
      </c>
      <c r="K1276" s="160" t="s">
        <v>1693</v>
      </c>
      <c r="L1276" s="179"/>
      <c r="M1276" s="49" t="s">
        <v>986</v>
      </c>
      <c r="N1276" s="180">
        <v>44912</v>
      </c>
      <c r="O1276" s="181" t="s">
        <v>507</v>
      </c>
      <c r="P1276" s="182">
        <v>11700</v>
      </c>
      <c r="Q1276" s="182">
        <v>-55</v>
      </c>
      <c r="R1276" s="118">
        <f t="shared" si="32"/>
        <v>-643500</v>
      </c>
      <c r="S1276" s="115">
        <v>202304</v>
      </c>
      <c r="T1276" s="186" t="s">
        <v>1702</v>
      </c>
      <c r="U1276" s="186"/>
      <c r="V1276" s="165"/>
      <c r="W1276" s="165"/>
      <c r="X1276" s="116">
        <v>43525</v>
      </c>
      <c r="Y1276" s="116">
        <v>45549</v>
      </c>
    </row>
    <row r="1277" s="85" customFormat="1" customHeight="1" spans="1:25">
      <c r="A1277" s="98" t="s">
        <v>448</v>
      </c>
      <c r="B1277" s="98" t="s">
        <v>62</v>
      </c>
      <c r="C1277" s="98" t="s">
        <v>238</v>
      </c>
      <c r="D1277" s="98" t="s">
        <v>642</v>
      </c>
      <c r="E1277" s="161" t="s">
        <v>1556</v>
      </c>
      <c r="F1277" s="98" t="s">
        <v>983</v>
      </c>
      <c r="G1277" s="172" t="s">
        <v>88</v>
      </c>
      <c r="H1277" s="100" t="s">
        <v>1557</v>
      </c>
      <c r="I1277" s="46" t="e">
        <f>VLOOKUP(H1277,'合同高级查询数据-4月返'!A:A,1,FALSE)</f>
        <v>#N/A</v>
      </c>
      <c r="J1277" s="47" t="s">
        <v>90</v>
      </c>
      <c r="K1277" s="160" t="s">
        <v>1693</v>
      </c>
      <c r="L1277" s="179"/>
      <c r="M1277" s="49" t="s">
        <v>986</v>
      </c>
      <c r="N1277" s="180">
        <v>44916</v>
      </c>
      <c r="O1277" s="181" t="s">
        <v>507</v>
      </c>
      <c r="P1277" s="182">
        <v>11700</v>
      </c>
      <c r="Q1277" s="182">
        <v>-25</v>
      </c>
      <c r="R1277" s="118">
        <f t="shared" si="32"/>
        <v>-292500</v>
      </c>
      <c r="S1277" s="115">
        <v>202304</v>
      </c>
      <c r="T1277" s="186" t="s">
        <v>1703</v>
      </c>
      <c r="U1277" s="186"/>
      <c r="V1277" s="165"/>
      <c r="W1277" s="165"/>
      <c r="X1277" s="116">
        <v>43525</v>
      </c>
      <c r="Y1277" s="116">
        <v>45549</v>
      </c>
    </row>
    <row r="1278" s="85" customFormat="1" customHeight="1" spans="1:25">
      <c r="A1278" s="98" t="s">
        <v>448</v>
      </c>
      <c r="B1278" s="98" t="s">
        <v>62</v>
      </c>
      <c r="C1278" s="98" t="s">
        <v>238</v>
      </c>
      <c r="D1278" s="98" t="s">
        <v>642</v>
      </c>
      <c r="E1278" s="161" t="s">
        <v>1556</v>
      </c>
      <c r="F1278" s="98" t="s">
        <v>983</v>
      </c>
      <c r="G1278" s="172" t="s">
        <v>88</v>
      </c>
      <c r="H1278" s="100" t="s">
        <v>1557</v>
      </c>
      <c r="I1278" s="46" t="e">
        <f>VLOOKUP(H1278,'合同高级查询数据-4月返'!A:A,1,FALSE)</f>
        <v>#N/A</v>
      </c>
      <c r="J1278" s="47" t="s">
        <v>90</v>
      </c>
      <c r="K1278" s="160" t="s">
        <v>1693</v>
      </c>
      <c r="L1278" s="179"/>
      <c r="M1278" s="49" t="s">
        <v>986</v>
      </c>
      <c r="N1278" s="180">
        <v>44924</v>
      </c>
      <c r="O1278" s="181" t="s">
        <v>507</v>
      </c>
      <c r="P1278" s="182">
        <v>11700</v>
      </c>
      <c r="Q1278" s="182">
        <v>1</v>
      </c>
      <c r="R1278" s="118">
        <f t="shared" si="32"/>
        <v>11700</v>
      </c>
      <c r="S1278" s="115">
        <v>202304</v>
      </c>
      <c r="T1278" s="186" t="s">
        <v>1651</v>
      </c>
      <c r="U1278" s="186"/>
      <c r="V1278" s="165"/>
      <c r="W1278" s="165"/>
      <c r="X1278" s="116">
        <v>43525</v>
      </c>
      <c r="Y1278" s="116">
        <v>45549</v>
      </c>
    </row>
    <row r="1279" s="85" customFormat="1" customHeight="1" spans="1:25">
      <c r="A1279" s="98" t="s">
        <v>448</v>
      </c>
      <c r="B1279" s="98" t="s">
        <v>62</v>
      </c>
      <c r="C1279" s="98" t="s">
        <v>238</v>
      </c>
      <c r="D1279" s="98" t="s">
        <v>642</v>
      </c>
      <c r="E1279" s="161" t="s">
        <v>1556</v>
      </c>
      <c r="F1279" s="98" t="s">
        <v>983</v>
      </c>
      <c r="G1279" s="172" t="s">
        <v>88</v>
      </c>
      <c r="H1279" s="100" t="s">
        <v>1557</v>
      </c>
      <c r="I1279" s="46" t="e">
        <f>VLOOKUP(H1279,'合同高级查询数据-4月返'!A:A,1,FALSE)</f>
        <v>#N/A</v>
      </c>
      <c r="J1279" s="47" t="s">
        <v>90</v>
      </c>
      <c r="K1279" s="160" t="s">
        <v>1693</v>
      </c>
      <c r="L1279" s="179"/>
      <c r="M1279" s="49" t="s">
        <v>986</v>
      </c>
      <c r="N1279" s="180">
        <v>44922</v>
      </c>
      <c r="O1279" s="181" t="s">
        <v>507</v>
      </c>
      <c r="P1279" s="182">
        <v>11700</v>
      </c>
      <c r="Q1279" s="182">
        <v>-169</v>
      </c>
      <c r="R1279" s="118">
        <f t="shared" si="32"/>
        <v>-1977300</v>
      </c>
      <c r="S1279" s="115">
        <v>202304</v>
      </c>
      <c r="T1279" s="186" t="s">
        <v>1704</v>
      </c>
      <c r="U1279" s="186"/>
      <c r="V1279" s="165"/>
      <c r="W1279" s="165"/>
      <c r="X1279" s="116">
        <v>43525</v>
      </c>
      <c r="Y1279" s="116">
        <v>45549</v>
      </c>
    </row>
    <row r="1280" s="85" customFormat="1" customHeight="1" spans="1:25">
      <c r="A1280" s="98" t="s">
        <v>448</v>
      </c>
      <c r="B1280" s="98" t="s">
        <v>62</v>
      </c>
      <c r="C1280" s="98" t="s">
        <v>238</v>
      </c>
      <c r="D1280" s="98" t="s">
        <v>642</v>
      </c>
      <c r="E1280" s="161" t="s">
        <v>1556</v>
      </c>
      <c r="F1280" s="98" t="s">
        <v>983</v>
      </c>
      <c r="G1280" s="172" t="s">
        <v>88</v>
      </c>
      <c r="H1280" s="100" t="s">
        <v>1557</v>
      </c>
      <c r="I1280" s="46" t="e">
        <f>VLOOKUP(H1280,'合同高级查询数据-4月返'!A:A,1,FALSE)</f>
        <v>#N/A</v>
      </c>
      <c r="J1280" s="47" t="s">
        <v>90</v>
      </c>
      <c r="K1280" s="160" t="s">
        <v>1693</v>
      </c>
      <c r="L1280" s="179"/>
      <c r="M1280" s="49" t="s">
        <v>986</v>
      </c>
      <c r="N1280" s="180">
        <v>44967</v>
      </c>
      <c r="O1280" s="181" t="s">
        <v>503</v>
      </c>
      <c r="P1280" s="182">
        <v>5950</v>
      </c>
      <c r="Q1280" s="182">
        <v>-8</v>
      </c>
      <c r="R1280" s="118">
        <f t="shared" si="32"/>
        <v>-47600</v>
      </c>
      <c r="S1280" s="115">
        <v>202304</v>
      </c>
      <c r="T1280" s="186" t="s">
        <v>1705</v>
      </c>
      <c r="U1280" s="186"/>
      <c r="V1280" s="165"/>
      <c r="W1280" s="165"/>
      <c r="X1280" s="116">
        <v>43525</v>
      </c>
      <c r="Y1280" s="116">
        <v>45549</v>
      </c>
    </row>
    <row r="1281" s="85" customFormat="1" customHeight="1" spans="1:25">
      <c r="A1281" s="98" t="s">
        <v>448</v>
      </c>
      <c r="B1281" s="98" t="s">
        <v>62</v>
      </c>
      <c r="C1281" s="98" t="s">
        <v>238</v>
      </c>
      <c r="D1281" s="98" t="s">
        <v>642</v>
      </c>
      <c r="E1281" s="161" t="s">
        <v>1556</v>
      </c>
      <c r="F1281" s="98" t="s">
        <v>983</v>
      </c>
      <c r="G1281" s="172" t="s">
        <v>88</v>
      </c>
      <c r="H1281" s="100" t="s">
        <v>1557</v>
      </c>
      <c r="I1281" s="46" t="e">
        <f>VLOOKUP(H1281,'合同高级查询数据-4月返'!A:A,1,FALSE)</f>
        <v>#N/A</v>
      </c>
      <c r="J1281" s="47" t="s">
        <v>90</v>
      </c>
      <c r="K1281" s="160" t="s">
        <v>1691</v>
      </c>
      <c r="L1281" s="179"/>
      <c r="M1281" s="49" t="s">
        <v>986</v>
      </c>
      <c r="N1281" s="180">
        <v>44967</v>
      </c>
      <c r="O1281" s="181" t="s">
        <v>507</v>
      </c>
      <c r="P1281" s="182">
        <v>11700</v>
      </c>
      <c r="Q1281" s="182">
        <v>-71</v>
      </c>
      <c r="R1281" s="118">
        <f t="shared" si="32"/>
        <v>-830700</v>
      </c>
      <c r="S1281" s="115">
        <v>202304</v>
      </c>
      <c r="T1281" s="186" t="s">
        <v>1706</v>
      </c>
      <c r="U1281" s="186"/>
      <c r="V1281" s="165"/>
      <c r="W1281" s="165"/>
      <c r="X1281" s="116">
        <v>43525</v>
      </c>
      <c r="Y1281" s="116">
        <v>45549</v>
      </c>
    </row>
    <row r="1282" s="85" customFormat="1" customHeight="1" spans="1:25">
      <c r="A1282" s="98" t="s">
        <v>448</v>
      </c>
      <c r="B1282" s="98" t="s">
        <v>62</v>
      </c>
      <c r="C1282" s="98" t="s">
        <v>238</v>
      </c>
      <c r="D1282" s="98" t="s">
        <v>642</v>
      </c>
      <c r="E1282" s="161" t="s">
        <v>1556</v>
      </c>
      <c r="F1282" s="98" t="s">
        <v>983</v>
      </c>
      <c r="G1282" s="172" t="s">
        <v>88</v>
      </c>
      <c r="H1282" s="100" t="s">
        <v>1557</v>
      </c>
      <c r="I1282" s="46" t="e">
        <f>VLOOKUP(H1282,'合同高级查询数据-4月返'!A:A,1,FALSE)</f>
        <v>#N/A</v>
      </c>
      <c r="J1282" s="47" t="s">
        <v>90</v>
      </c>
      <c r="K1282" s="160" t="s">
        <v>1691</v>
      </c>
      <c r="L1282" s="179"/>
      <c r="M1282" s="49" t="s">
        <v>986</v>
      </c>
      <c r="N1282" s="180">
        <v>44972</v>
      </c>
      <c r="O1282" s="181" t="s">
        <v>507</v>
      </c>
      <c r="P1282" s="182">
        <v>11700</v>
      </c>
      <c r="Q1282" s="182">
        <v>-14</v>
      </c>
      <c r="R1282" s="118">
        <f t="shared" si="32"/>
        <v>-163800</v>
      </c>
      <c r="S1282" s="115">
        <v>202304</v>
      </c>
      <c r="T1282" s="186" t="s">
        <v>1707</v>
      </c>
      <c r="U1282" s="186"/>
      <c r="V1282" s="165"/>
      <c r="W1282" s="165"/>
      <c r="X1282" s="116">
        <v>43525</v>
      </c>
      <c r="Y1282" s="116">
        <v>45549</v>
      </c>
    </row>
    <row r="1283" s="85" customFormat="1" customHeight="1" spans="1:25">
      <c r="A1283" s="98" t="s">
        <v>448</v>
      </c>
      <c r="B1283" s="98" t="s">
        <v>62</v>
      </c>
      <c r="C1283" s="98" t="s">
        <v>238</v>
      </c>
      <c r="D1283" s="98" t="s">
        <v>642</v>
      </c>
      <c r="E1283" s="161" t="s">
        <v>1556</v>
      </c>
      <c r="F1283" s="98" t="s">
        <v>983</v>
      </c>
      <c r="G1283" s="172" t="s">
        <v>88</v>
      </c>
      <c r="H1283" s="100" t="s">
        <v>1557</v>
      </c>
      <c r="I1283" s="46" t="e">
        <f>VLOOKUP(H1283,'合同高级查询数据-4月返'!A:A,1,FALSE)</f>
        <v>#N/A</v>
      </c>
      <c r="J1283" s="47" t="s">
        <v>90</v>
      </c>
      <c r="K1283" s="160" t="s">
        <v>1691</v>
      </c>
      <c r="L1283" s="179"/>
      <c r="M1283" s="49" t="s">
        <v>986</v>
      </c>
      <c r="N1283" s="180">
        <v>44973</v>
      </c>
      <c r="O1283" s="181" t="s">
        <v>507</v>
      </c>
      <c r="P1283" s="182">
        <v>11700</v>
      </c>
      <c r="Q1283" s="182">
        <v>-228</v>
      </c>
      <c r="R1283" s="118">
        <f t="shared" si="32"/>
        <v>-2667600</v>
      </c>
      <c r="S1283" s="115">
        <v>202304</v>
      </c>
      <c r="T1283" s="186" t="s">
        <v>1708</v>
      </c>
      <c r="U1283" s="186"/>
      <c r="V1283" s="165"/>
      <c r="W1283" s="165"/>
      <c r="X1283" s="116">
        <v>43525</v>
      </c>
      <c r="Y1283" s="116">
        <v>45549</v>
      </c>
    </row>
    <row r="1284" s="85" customFormat="1" customHeight="1" spans="1:25">
      <c r="A1284" s="98" t="s">
        <v>448</v>
      </c>
      <c r="B1284" s="98" t="s">
        <v>62</v>
      </c>
      <c r="C1284" s="98" t="s">
        <v>238</v>
      </c>
      <c r="D1284" s="98" t="s">
        <v>642</v>
      </c>
      <c r="E1284" s="161" t="s">
        <v>1556</v>
      </c>
      <c r="F1284" s="98" t="s">
        <v>983</v>
      </c>
      <c r="G1284" s="172" t="s">
        <v>88</v>
      </c>
      <c r="H1284" s="100" t="s">
        <v>1557</v>
      </c>
      <c r="I1284" s="46" t="e">
        <f>VLOOKUP(H1284,'合同高级查询数据-4月返'!A:A,1,FALSE)</f>
        <v>#N/A</v>
      </c>
      <c r="J1284" s="47" t="s">
        <v>90</v>
      </c>
      <c r="K1284" s="160" t="s">
        <v>1691</v>
      </c>
      <c r="L1284" s="179"/>
      <c r="M1284" s="49" t="s">
        <v>986</v>
      </c>
      <c r="N1284" s="180">
        <v>44981</v>
      </c>
      <c r="O1284" s="181" t="s">
        <v>507</v>
      </c>
      <c r="P1284" s="182">
        <v>11700</v>
      </c>
      <c r="Q1284" s="182">
        <v>-12</v>
      </c>
      <c r="R1284" s="118">
        <f t="shared" si="32"/>
        <v>-140400</v>
      </c>
      <c r="S1284" s="115">
        <v>202304</v>
      </c>
      <c r="T1284" s="186" t="s">
        <v>1709</v>
      </c>
      <c r="U1284" s="186"/>
      <c r="V1284" s="165"/>
      <c r="W1284" s="165"/>
      <c r="X1284" s="116">
        <v>43525</v>
      </c>
      <c r="Y1284" s="116">
        <v>45549</v>
      </c>
    </row>
    <row r="1285" s="85" customFormat="1" customHeight="1" spans="1:25">
      <c r="A1285" s="98" t="s">
        <v>448</v>
      </c>
      <c r="B1285" s="98" t="s">
        <v>62</v>
      </c>
      <c r="C1285" s="98" t="s">
        <v>238</v>
      </c>
      <c r="D1285" s="98" t="s">
        <v>642</v>
      </c>
      <c r="E1285" s="161" t="s">
        <v>1556</v>
      </c>
      <c r="F1285" s="98" t="s">
        <v>983</v>
      </c>
      <c r="G1285" s="172" t="s">
        <v>88</v>
      </c>
      <c r="H1285" s="100" t="s">
        <v>1557</v>
      </c>
      <c r="I1285" s="46" t="e">
        <f>VLOOKUP(H1285,'合同高级查询数据-4月返'!A:A,1,FALSE)</f>
        <v>#N/A</v>
      </c>
      <c r="J1285" s="47" t="s">
        <v>90</v>
      </c>
      <c r="K1285" s="160" t="s">
        <v>1691</v>
      </c>
      <c r="L1285" s="179"/>
      <c r="M1285" s="49" t="s">
        <v>986</v>
      </c>
      <c r="N1285" s="180">
        <v>44967</v>
      </c>
      <c r="O1285" s="181" t="s">
        <v>507</v>
      </c>
      <c r="P1285" s="182">
        <v>11700</v>
      </c>
      <c r="Q1285" s="182">
        <v>-1</v>
      </c>
      <c r="R1285" s="118">
        <f t="shared" si="32"/>
        <v>-11700</v>
      </c>
      <c r="S1285" s="115">
        <v>202304</v>
      </c>
      <c r="T1285" s="186" t="s">
        <v>1710</v>
      </c>
      <c r="U1285" s="186"/>
      <c r="V1285" s="165"/>
      <c r="W1285" s="165"/>
      <c r="X1285" s="116">
        <v>43525</v>
      </c>
      <c r="Y1285" s="116">
        <v>45549</v>
      </c>
    </row>
    <row r="1286" s="85" customFormat="1" customHeight="1" spans="1:25">
      <c r="A1286" s="22" t="s">
        <v>448</v>
      </c>
      <c r="B1286" s="98" t="s">
        <v>62</v>
      </c>
      <c r="C1286" s="24" t="s">
        <v>238</v>
      </c>
      <c r="D1286" s="24" t="s">
        <v>642</v>
      </c>
      <c r="E1286" s="46" t="s">
        <v>1556</v>
      </c>
      <c r="F1286" s="22" t="s">
        <v>983</v>
      </c>
      <c r="G1286" s="107" t="s">
        <v>31</v>
      </c>
      <c r="H1286" s="99" t="s">
        <v>1711</v>
      </c>
      <c r="I1286" s="46" t="e">
        <f>VLOOKUP(H1286,'合同高级查询数据-4月返'!A:A,1,FALSE)</f>
        <v>#N/A</v>
      </c>
      <c r="J1286" s="178" t="s">
        <v>33</v>
      </c>
      <c r="K1286" s="22" t="s">
        <v>240</v>
      </c>
      <c r="L1286" s="25" t="s">
        <v>1712</v>
      </c>
      <c r="M1286" s="49"/>
      <c r="N1286" s="73">
        <v>43889</v>
      </c>
      <c r="O1286" s="107"/>
      <c r="P1286" s="108">
        <v>0</v>
      </c>
      <c r="Q1286" s="118">
        <v>288</v>
      </c>
      <c r="R1286" s="117">
        <f t="shared" si="32"/>
        <v>0</v>
      </c>
      <c r="S1286" s="115">
        <v>202304</v>
      </c>
      <c r="T1286" s="119" t="s">
        <v>1713</v>
      </c>
      <c r="U1286" s="119"/>
      <c r="V1286" s="120"/>
      <c r="W1286" s="120"/>
      <c r="X1286" s="116">
        <v>43825</v>
      </c>
      <c r="Y1286" s="116">
        <v>45549</v>
      </c>
    </row>
    <row r="1287" s="85" customFormat="1" customHeight="1" spans="1:25">
      <c r="A1287" s="98" t="s">
        <v>448</v>
      </c>
      <c r="B1287" s="98" t="s">
        <v>62</v>
      </c>
      <c r="C1287" s="98" t="s">
        <v>238</v>
      </c>
      <c r="D1287" s="98" t="s">
        <v>642</v>
      </c>
      <c r="E1287" s="161" t="s">
        <v>1556</v>
      </c>
      <c r="F1287" s="98" t="s">
        <v>983</v>
      </c>
      <c r="G1287" s="25" t="s">
        <v>67</v>
      </c>
      <c r="H1287" s="100" t="s">
        <v>1714</v>
      </c>
      <c r="I1287" s="46" t="e">
        <f>VLOOKUP(H1287,'合同高级查询数据-4月返'!A:A,1,FALSE)</f>
        <v>#N/A</v>
      </c>
      <c r="J1287" s="25" t="s">
        <v>69</v>
      </c>
      <c r="K1287" s="160" t="s">
        <v>1715</v>
      </c>
      <c r="L1287" s="179"/>
      <c r="M1287" s="49"/>
      <c r="N1287" s="241">
        <v>44418</v>
      </c>
      <c r="O1287" s="229" t="s">
        <v>1716</v>
      </c>
      <c r="P1287" s="207">
        <v>160000</v>
      </c>
      <c r="Q1287" s="117">
        <v>1</v>
      </c>
      <c r="R1287" s="118">
        <f t="shared" si="32"/>
        <v>160000</v>
      </c>
      <c r="S1287" s="115">
        <v>202304</v>
      </c>
      <c r="T1287" s="222" t="s">
        <v>1717</v>
      </c>
      <c r="U1287" s="223"/>
      <c r="V1287" s="165"/>
      <c r="W1287" s="165"/>
      <c r="X1287" s="116">
        <v>44418</v>
      </c>
      <c r="Y1287" s="116">
        <v>45147</v>
      </c>
    </row>
    <row r="1288" s="85" customFormat="1" customHeight="1" spans="1:25">
      <c r="A1288" s="98" t="s">
        <v>448</v>
      </c>
      <c r="B1288" s="98" t="s">
        <v>62</v>
      </c>
      <c r="C1288" s="98" t="s">
        <v>238</v>
      </c>
      <c r="D1288" s="98" t="s">
        <v>642</v>
      </c>
      <c r="E1288" s="161" t="s">
        <v>1556</v>
      </c>
      <c r="F1288" s="98" t="s">
        <v>983</v>
      </c>
      <c r="G1288" s="172" t="s">
        <v>88</v>
      </c>
      <c r="H1288" s="100" t="s">
        <v>1718</v>
      </c>
      <c r="I1288" s="46" t="e">
        <f>VLOOKUP(H1288,'合同高级查询数据-4月返'!A:A,1,FALSE)</f>
        <v>#N/A</v>
      </c>
      <c r="J1288" s="47" t="s">
        <v>90</v>
      </c>
      <c r="K1288" s="160" t="s">
        <v>1691</v>
      </c>
      <c r="L1288" s="179"/>
      <c r="M1288" s="49" t="s">
        <v>986</v>
      </c>
      <c r="N1288" s="180">
        <v>44973</v>
      </c>
      <c r="O1288" s="181" t="s">
        <v>507</v>
      </c>
      <c r="P1288" s="182">
        <v>11700</v>
      </c>
      <c r="Q1288" s="182">
        <v>-9</v>
      </c>
      <c r="R1288" s="118">
        <f t="shared" si="32"/>
        <v>-105300</v>
      </c>
      <c r="S1288" s="115">
        <v>202304</v>
      </c>
      <c r="T1288" s="186" t="s">
        <v>1719</v>
      </c>
      <c r="U1288" s="186"/>
      <c r="V1288" s="165"/>
      <c r="W1288" s="165"/>
      <c r="X1288" s="116">
        <v>44287</v>
      </c>
      <c r="Y1288" s="116">
        <v>45549</v>
      </c>
    </row>
    <row r="1289" s="85" customFormat="1" customHeight="1" spans="1:25">
      <c r="A1289" s="98" t="s">
        <v>448</v>
      </c>
      <c r="B1289" s="98" t="s">
        <v>62</v>
      </c>
      <c r="C1289" s="98" t="s">
        <v>238</v>
      </c>
      <c r="D1289" s="98" t="s">
        <v>642</v>
      </c>
      <c r="E1289" s="161" t="s">
        <v>1556</v>
      </c>
      <c r="F1289" s="98" t="s">
        <v>983</v>
      </c>
      <c r="G1289" s="98" t="s">
        <v>88</v>
      </c>
      <c r="H1289" s="100" t="s">
        <v>1718</v>
      </c>
      <c r="I1289" s="46" t="e">
        <f>VLOOKUP(H1289,'合同高级查询数据-4月返'!A:A,1,FALSE)</f>
        <v>#N/A</v>
      </c>
      <c r="J1289" s="47" t="s">
        <v>90</v>
      </c>
      <c r="K1289" s="160" t="s">
        <v>1558</v>
      </c>
      <c r="L1289" s="98"/>
      <c r="M1289" s="49" t="s">
        <v>986</v>
      </c>
      <c r="N1289" s="180" t="s">
        <v>1329</v>
      </c>
      <c r="O1289" s="181" t="s">
        <v>600</v>
      </c>
      <c r="P1289" s="207">
        <v>0</v>
      </c>
      <c r="Q1289" s="207">
        <v>20</v>
      </c>
      <c r="R1289" s="118">
        <f t="shared" si="32"/>
        <v>0</v>
      </c>
      <c r="S1289" s="115">
        <v>202304</v>
      </c>
      <c r="T1289" s="187" t="s">
        <v>1720</v>
      </c>
      <c r="U1289" s="248"/>
      <c r="V1289" s="165"/>
      <c r="W1289" s="165"/>
      <c r="X1289" s="116">
        <v>44287</v>
      </c>
      <c r="Y1289" s="116">
        <v>45549</v>
      </c>
    </row>
    <row r="1290" s="85" customFormat="1" customHeight="1" spans="1:25">
      <c r="A1290" s="98" t="s">
        <v>448</v>
      </c>
      <c r="B1290" s="98" t="s">
        <v>62</v>
      </c>
      <c r="C1290" s="98" t="s">
        <v>238</v>
      </c>
      <c r="D1290" s="98" t="s">
        <v>642</v>
      </c>
      <c r="E1290" s="161" t="s">
        <v>1556</v>
      </c>
      <c r="F1290" s="98" t="s">
        <v>983</v>
      </c>
      <c r="G1290" s="172" t="s">
        <v>88</v>
      </c>
      <c r="H1290" s="100" t="s">
        <v>1718</v>
      </c>
      <c r="I1290" s="46" t="e">
        <f>VLOOKUP(H1290,'合同高级查询数据-4月返'!A:A,1,FALSE)</f>
        <v>#N/A</v>
      </c>
      <c r="J1290" s="47" t="s">
        <v>90</v>
      </c>
      <c r="K1290" s="160" t="s">
        <v>1691</v>
      </c>
      <c r="L1290" s="179"/>
      <c r="M1290" s="49" t="s">
        <v>986</v>
      </c>
      <c r="N1290" s="180">
        <v>44301</v>
      </c>
      <c r="O1290" s="181" t="s">
        <v>507</v>
      </c>
      <c r="P1290" s="182">
        <v>11700</v>
      </c>
      <c r="Q1290" s="182">
        <v>13</v>
      </c>
      <c r="R1290" s="118">
        <f t="shared" si="32"/>
        <v>152100</v>
      </c>
      <c r="S1290" s="115">
        <v>202304</v>
      </c>
      <c r="T1290" s="186" t="s">
        <v>1721</v>
      </c>
      <c r="U1290" s="186"/>
      <c r="V1290" s="165"/>
      <c r="W1290" s="165"/>
      <c r="X1290" s="116">
        <v>44287</v>
      </c>
      <c r="Y1290" s="116">
        <v>45549</v>
      </c>
    </row>
    <row r="1291" s="85" customFormat="1" customHeight="1" spans="1:25">
      <c r="A1291" s="98" t="s">
        <v>448</v>
      </c>
      <c r="B1291" s="98" t="s">
        <v>62</v>
      </c>
      <c r="C1291" s="98" t="s">
        <v>238</v>
      </c>
      <c r="D1291" s="98" t="s">
        <v>642</v>
      </c>
      <c r="E1291" s="161" t="s">
        <v>1556</v>
      </c>
      <c r="F1291" s="98" t="s">
        <v>983</v>
      </c>
      <c r="G1291" s="172" t="s">
        <v>88</v>
      </c>
      <c r="H1291" s="100" t="s">
        <v>1718</v>
      </c>
      <c r="I1291" s="46" t="e">
        <f>VLOOKUP(H1291,'合同高级查询数据-4月返'!A:A,1,FALSE)</f>
        <v>#N/A</v>
      </c>
      <c r="J1291" s="47" t="s">
        <v>90</v>
      </c>
      <c r="K1291" s="160" t="s">
        <v>1691</v>
      </c>
      <c r="L1291" s="179"/>
      <c r="M1291" s="49" t="s">
        <v>986</v>
      </c>
      <c r="N1291" s="180">
        <v>44302</v>
      </c>
      <c r="O1291" s="181" t="s">
        <v>507</v>
      </c>
      <c r="P1291" s="182">
        <v>11700</v>
      </c>
      <c r="Q1291" s="182">
        <v>15</v>
      </c>
      <c r="R1291" s="118">
        <f t="shared" si="32"/>
        <v>175500</v>
      </c>
      <c r="S1291" s="115">
        <v>202304</v>
      </c>
      <c r="T1291" s="186" t="s">
        <v>1722</v>
      </c>
      <c r="U1291" s="186"/>
      <c r="V1291" s="165"/>
      <c r="W1291" s="165"/>
      <c r="X1291" s="116">
        <v>44287</v>
      </c>
      <c r="Y1291" s="116">
        <v>45549</v>
      </c>
    </row>
    <row r="1292" s="85" customFormat="1" customHeight="1" spans="1:25">
      <c r="A1292" s="98" t="s">
        <v>448</v>
      </c>
      <c r="B1292" s="98" t="s">
        <v>62</v>
      </c>
      <c r="C1292" s="98" t="s">
        <v>238</v>
      </c>
      <c r="D1292" s="98" t="s">
        <v>642</v>
      </c>
      <c r="E1292" s="161" t="s">
        <v>1556</v>
      </c>
      <c r="F1292" s="98" t="s">
        <v>983</v>
      </c>
      <c r="G1292" s="172" t="s">
        <v>88</v>
      </c>
      <c r="H1292" s="100" t="s">
        <v>1718</v>
      </c>
      <c r="I1292" s="46" t="e">
        <f>VLOOKUP(H1292,'合同高级查询数据-4月返'!A:A,1,FALSE)</f>
        <v>#N/A</v>
      </c>
      <c r="J1292" s="47" t="s">
        <v>90</v>
      </c>
      <c r="K1292" s="160" t="s">
        <v>1691</v>
      </c>
      <c r="L1292" s="179"/>
      <c r="M1292" s="49" t="s">
        <v>986</v>
      </c>
      <c r="N1292" s="180">
        <v>44311</v>
      </c>
      <c r="O1292" s="181" t="s">
        <v>507</v>
      </c>
      <c r="P1292" s="182">
        <v>11700</v>
      </c>
      <c r="Q1292" s="182">
        <v>2</v>
      </c>
      <c r="R1292" s="118">
        <f t="shared" si="32"/>
        <v>23400</v>
      </c>
      <c r="S1292" s="115">
        <v>202304</v>
      </c>
      <c r="T1292" s="186" t="s">
        <v>1723</v>
      </c>
      <c r="U1292" s="186"/>
      <c r="V1292" s="165"/>
      <c r="W1292" s="165"/>
      <c r="X1292" s="116">
        <v>44287</v>
      </c>
      <c r="Y1292" s="116">
        <v>45549</v>
      </c>
    </row>
    <row r="1293" s="85" customFormat="1" customHeight="1" spans="1:25">
      <c r="A1293" s="98" t="s">
        <v>448</v>
      </c>
      <c r="B1293" s="98" t="s">
        <v>62</v>
      </c>
      <c r="C1293" s="98" t="s">
        <v>238</v>
      </c>
      <c r="D1293" s="98" t="s">
        <v>642</v>
      </c>
      <c r="E1293" s="161" t="s">
        <v>1556</v>
      </c>
      <c r="F1293" s="98" t="s">
        <v>983</v>
      </c>
      <c r="G1293" s="172" t="s">
        <v>88</v>
      </c>
      <c r="H1293" s="100" t="s">
        <v>1718</v>
      </c>
      <c r="I1293" s="46" t="e">
        <f>VLOOKUP(H1293,'合同高级查询数据-4月返'!A:A,1,FALSE)</f>
        <v>#N/A</v>
      </c>
      <c r="J1293" s="47" t="s">
        <v>90</v>
      </c>
      <c r="K1293" s="160" t="s">
        <v>1691</v>
      </c>
      <c r="L1293" s="179"/>
      <c r="M1293" s="49" t="s">
        <v>986</v>
      </c>
      <c r="N1293" s="180">
        <v>44312</v>
      </c>
      <c r="O1293" s="181" t="s">
        <v>507</v>
      </c>
      <c r="P1293" s="182">
        <v>11700</v>
      </c>
      <c r="Q1293" s="182">
        <v>2</v>
      </c>
      <c r="R1293" s="118">
        <f t="shared" si="32"/>
        <v>23400</v>
      </c>
      <c r="S1293" s="115">
        <v>202304</v>
      </c>
      <c r="T1293" s="186" t="s">
        <v>1724</v>
      </c>
      <c r="U1293" s="186"/>
      <c r="V1293" s="165"/>
      <c r="W1293" s="165"/>
      <c r="X1293" s="116">
        <v>44287</v>
      </c>
      <c r="Y1293" s="116">
        <v>45549</v>
      </c>
    </row>
    <row r="1294" s="85" customFormat="1" customHeight="1" spans="1:25">
      <c r="A1294" s="98" t="s">
        <v>448</v>
      </c>
      <c r="B1294" s="98" t="s">
        <v>62</v>
      </c>
      <c r="C1294" s="98" t="s">
        <v>238</v>
      </c>
      <c r="D1294" s="98" t="s">
        <v>642</v>
      </c>
      <c r="E1294" s="161" t="s">
        <v>1556</v>
      </c>
      <c r="F1294" s="98" t="s">
        <v>983</v>
      </c>
      <c r="G1294" s="172" t="s">
        <v>88</v>
      </c>
      <c r="H1294" s="100" t="s">
        <v>1718</v>
      </c>
      <c r="I1294" s="46" t="e">
        <f>VLOOKUP(H1294,'合同高级查询数据-4月返'!A:A,1,FALSE)</f>
        <v>#N/A</v>
      </c>
      <c r="J1294" s="47" t="s">
        <v>90</v>
      </c>
      <c r="K1294" s="160" t="s">
        <v>1693</v>
      </c>
      <c r="L1294" s="179"/>
      <c r="M1294" s="49" t="s">
        <v>986</v>
      </c>
      <c r="N1294" s="180">
        <v>44334</v>
      </c>
      <c r="O1294" s="181" t="s">
        <v>507</v>
      </c>
      <c r="P1294" s="182">
        <v>11700</v>
      </c>
      <c r="Q1294" s="182">
        <v>1</v>
      </c>
      <c r="R1294" s="118">
        <f t="shared" si="32"/>
        <v>11700</v>
      </c>
      <c r="S1294" s="115">
        <v>202304</v>
      </c>
      <c r="T1294" s="186" t="s">
        <v>1725</v>
      </c>
      <c r="U1294" s="186"/>
      <c r="V1294" s="165"/>
      <c r="W1294" s="165"/>
      <c r="X1294" s="116">
        <v>44287</v>
      </c>
      <c r="Y1294" s="116">
        <v>45549</v>
      </c>
    </row>
    <row r="1295" s="85" customFormat="1" customHeight="1" spans="1:25">
      <c r="A1295" s="98" t="s">
        <v>448</v>
      </c>
      <c r="B1295" s="98" t="s">
        <v>62</v>
      </c>
      <c r="C1295" s="98" t="s">
        <v>238</v>
      </c>
      <c r="D1295" s="98" t="s">
        <v>642</v>
      </c>
      <c r="E1295" s="161" t="s">
        <v>1556</v>
      </c>
      <c r="F1295" s="98" t="s">
        <v>983</v>
      </c>
      <c r="G1295" s="172" t="s">
        <v>88</v>
      </c>
      <c r="H1295" s="100" t="s">
        <v>1718</v>
      </c>
      <c r="I1295" s="46" t="e">
        <f>VLOOKUP(H1295,'合同高级查询数据-4月返'!A:A,1,FALSE)</f>
        <v>#N/A</v>
      </c>
      <c r="J1295" s="47" t="s">
        <v>90</v>
      </c>
      <c r="K1295" s="160" t="s">
        <v>1691</v>
      </c>
      <c r="L1295" s="179"/>
      <c r="M1295" s="49" t="s">
        <v>986</v>
      </c>
      <c r="N1295" s="180">
        <v>44340</v>
      </c>
      <c r="O1295" s="181" t="s">
        <v>507</v>
      </c>
      <c r="P1295" s="182">
        <v>11700</v>
      </c>
      <c r="Q1295" s="182">
        <v>1</v>
      </c>
      <c r="R1295" s="118">
        <f t="shared" si="32"/>
        <v>11700</v>
      </c>
      <c r="S1295" s="115">
        <v>202304</v>
      </c>
      <c r="T1295" s="186" t="s">
        <v>1726</v>
      </c>
      <c r="U1295" s="186"/>
      <c r="V1295" s="165"/>
      <c r="W1295" s="165"/>
      <c r="X1295" s="116">
        <v>44287</v>
      </c>
      <c r="Y1295" s="116">
        <v>45549</v>
      </c>
    </row>
    <row r="1296" s="85" customFormat="1" customHeight="1" spans="1:25">
      <c r="A1296" s="98" t="s">
        <v>448</v>
      </c>
      <c r="B1296" s="98" t="s">
        <v>62</v>
      </c>
      <c r="C1296" s="98" t="s">
        <v>238</v>
      </c>
      <c r="D1296" s="98" t="s">
        <v>642</v>
      </c>
      <c r="E1296" s="161" t="s">
        <v>1556</v>
      </c>
      <c r="F1296" s="98" t="s">
        <v>983</v>
      </c>
      <c r="G1296" s="172" t="s">
        <v>88</v>
      </c>
      <c r="H1296" s="100" t="s">
        <v>1718</v>
      </c>
      <c r="I1296" s="46" t="e">
        <f>VLOOKUP(H1296,'合同高级查询数据-4月返'!A:A,1,FALSE)</f>
        <v>#N/A</v>
      </c>
      <c r="J1296" s="47" t="s">
        <v>90</v>
      </c>
      <c r="K1296" s="160" t="s">
        <v>1693</v>
      </c>
      <c r="L1296" s="179"/>
      <c r="M1296" s="49" t="s">
        <v>986</v>
      </c>
      <c r="N1296" s="180">
        <v>44342</v>
      </c>
      <c r="O1296" s="181" t="s">
        <v>507</v>
      </c>
      <c r="P1296" s="182">
        <v>11700</v>
      </c>
      <c r="Q1296" s="182">
        <v>15</v>
      </c>
      <c r="R1296" s="118">
        <f t="shared" si="32"/>
        <v>175500</v>
      </c>
      <c r="S1296" s="115">
        <v>202304</v>
      </c>
      <c r="T1296" s="186" t="s">
        <v>1727</v>
      </c>
      <c r="U1296" s="186"/>
      <c r="V1296" s="165"/>
      <c r="W1296" s="165"/>
      <c r="X1296" s="116">
        <v>44287</v>
      </c>
      <c r="Y1296" s="116">
        <v>45549</v>
      </c>
    </row>
    <row r="1297" s="85" customFormat="1" customHeight="1" spans="1:25">
      <c r="A1297" s="98" t="s">
        <v>448</v>
      </c>
      <c r="B1297" s="98" t="s">
        <v>62</v>
      </c>
      <c r="C1297" s="98" t="s">
        <v>238</v>
      </c>
      <c r="D1297" s="98" t="s">
        <v>642</v>
      </c>
      <c r="E1297" s="161" t="s">
        <v>1556</v>
      </c>
      <c r="F1297" s="98" t="s">
        <v>983</v>
      </c>
      <c r="G1297" s="172" t="s">
        <v>88</v>
      </c>
      <c r="H1297" s="100" t="s">
        <v>1557</v>
      </c>
      <c r="I1297" s="46" t="e">
        <f>VLOOKUP(H1297,'合同高级查询数据-4月返'!A:A,1,FALSE)</f>
        <v>#N/A</v>
      </c>
      <c r="J1297" s="47" t="s">
        <v>90</v>
      </c>
      <c r="K1297" s="160" t="s">
        <v>1691</v>
      </c>
      <c r="L1297" s="179"/>
      <c r="M1297" s="49" t="s">
        <v>986</v>
      </c>
      <c r="N1297" s="180">
        <v>44985</v>
      </c>
      <c r="O1297" s="181" t="s">
        <v>503</v>
      </c>
      <c r="P1297" s="182">
        <v>5950</v>
      </c>
      <c r="Q1297" s="182">
        <v>-1</v>
      </c>
      <c r="R1297" s="118">
        <f t="shared" si="32"/>
        <v>-5950</v>
      </c>
      <c r="S1297" s="115">
        <v>202304</v>
      </c>
      <c r="T1297" s="186" t="s">
        <v>1728</v>
      </c>
      <c r="U1297" s="186"/>
      <c r="V1297" s="165"/>
      <c r="W1297" s="165"/>
      <c r="X1297" s="116">
        <v>44287</v>
      </c>
      <c r="Y1297" s="116">
        <v>45549</v>
      </c>
    </row>
    <row r="1298" s="85" customFormat="1" customHeight="1" spans="1:25">
      <c r="A1298" s="98" t="s">
        <v>448</v>
      </c>
      <c r="B1298" s="98" t="s">
        <v>62</v>
      </c>
      <c r="C1298" s="98" t="s">
        <v>238</v>
      </c>
      <c r="D1298" s="98" t="s">
        <v>642</v>
      </c>
      <c r="E1298" s="161" t="s">
        <v>1556</v>
      </c>
      <c r="F1298" s="98" t="s">
        <v>983</v>
      </c>
      <c r="G1298" s="172" t="s">
        <v>88</v>
      </c>
      <c r="H1298" s="100" t="s">
        <v>1557</v>
      </c>
      <c r="I1298" s="46" t="e">
        <f>VLOOKUP(H1298,'合同高级查询数据-4月返'!A:A,1,FALSE)</f>
        <v>#N/A</v>
      </c>
      <c r="J1298" s="47" t="s">
        <v>90</v>
      </c>
      <c r="K1298" s="160" t="s">
        <v>1693</v>
      </c>
      <c r="L1298" s="179"/>
      <c r="M1298" s="49" t="s">
        <v>986</v>
      </c>
      <c r="N1298" s="180">
        <v>44985</v>
      </c>
      <c r="O1298" s="181" t="s">
        <v>503</v>
      </c>
      <c r="P1298" s="182">
        <v>5950</v>
      </c>
      <c r="Q1298" s="182">
        <v>-2</v>
      </c>
      <c r="R1298" s="118">
        <f t="shared" si="32"/>
        <v>-11900</v>
      </c>
      <c r="S1298" s="115">
        <v>202304</v>
      </c>
      <c r="T1298" s="186" t="s">
        <v>1729</v>
      </c>
      <c r="U1298" s="186"/>
      <c r="V1298" s="165"/>
      <c r="W1298" s="165"/>
      <c r="X1298" s="116">
        <v>44287</v>
      </c>
      <c r="Y1298" s="116">
        <v>45549</v>
      </c>
    </row>
    <row r="1299" s="85" customFormat="1" customHeight="1" spans="1:25">
      <c r="A1299" s="98" t="s">
        <v>448</v>
      </c>
      <c r="B1299" s="98" t="s">
        <v>62</v>
      </c>
      <c r="C1299" s="98" t="s">
        <v>238</v>
      </c>
      <c r="D1299" s="98" t="s">
        <v>642</v>
      </c>
      <c r="E1299" s="161" t="s">
        <v>1556</v>
      </c>
      <c r="F1299" s="98" t="s">
        <v>983</v>
      </c>
      <c r="G1299" s="25" t="s">
        <v>67</v>
      </c>
      <c r="H1299" s="100" t="s">
        <v>1730</v>
      </c>
      <c r="I1299" s="46" t="e">
        <f>VLOOKUP(H1299,'合同高级查询数据-4月返'!A:A,1,FALSE)</f>
        <v>#N/A</v>
      </c>
      <c r="J1299" s="25" t="s">
        <v>69</v>
      </c>
      <c r="K1299" s="160" t="s">
        <v>1731</v>
      </c>
      <c r="L1299" s="179"/>
      <c r="M1299" s="49"/>
      <c r="N1299" s="241">
        <v>40624</v>
      </c>
      <c r="O1299" s="229"/>
      <c r="P1299" s="207">
        <f>201*400</f>
        <v>80400</v>
      </c>
      <c r="Q1299" s="117">
        <v>1</v>
      </c>
      <c r="R1299" s="118">
        <f t="shared" si="32"/>
        <v>80400</v>
      </c>
      <c r="S1299" s="115">
        <v>202304</v>
      </c>
      <c r="T1299" s="222" t="s">
        <v>1732</v>
      </c>
      <c r="U1299" s="223"/>
      <c r="V1299" s="165"/>
      <c r="W1299" s="165"/>
      <c r="X1299" s="116">
        <v>44682</v>
      </c>
      <c r="Y1299" s="116">
        <v>45046</v>
      </c>
    </row>
    <row r="1300" s="85" customFormat="1" customHeight="1" spans="1:25">
      <c r="A1300" s="98" t="s">
        <v>448</v>
      </c>
      <c r="B1300" s="98" t="s">
        <v>62</v>
      </c>
      <c r="C1300" s="98" t="s">
        <v>238</v>
      </c>
      <c r="D1300" s="98" t="s">
        <v>642</v>
      </c>
      <c r="E1300" s="161" t="s">
        <v>1556</v>
      </c>
      <c r="F1300" s="98" t="s">
        <v>983</v>
      </c>
      <c r="G1300" s="25" t="s">
        <v>67</v>
      </c>
      <c r="H1300" s="100" t="s">
        <v>1730</v>
      </c>
      <c r="I1300" s="46" t="e">
        <f>VLOOKUP(H1300,'合同高级查询数据-4月返'!A:A,1,FALSE)</f>
        <v>#N/A</v>
      </c>
      <c r="J1300" s="25" t="s">
        <v>69</v>
      </c>
      <c r="K1300" s="160" t="s">
        <v>1731</v>
      </c>
      <c r="L1300" s="179"/>
      <c r="M1300" s="49"/>
      <c r="N1300" s="241">
        <v>43344</v>
      </c>
      <c r="O1300" s="229"/>
      <c r="P1300" s="207">
        <v>400</v>
      </c>
      <c r="Q1300" s="117">
        <v>100</v>
      </c>
      <c r="R1300" s="118">
        <f t="shared" si="32"/>
        <v>40000</v>
      </c>
      <c r="S1300" s="115">
        <v>202304</v>
      </c>
      <c r="T1300" s="222" t="s">
        <v>1733</v>
      </c>
      <c r="U1300" s="223"/>
      <c r="V1300" s="165"/>
      <c r="W1300" s="165"/>
      <c r="X1300" s="116">
        <v>44682</v>
      </c>
      <c r="Y1300" s="116">
        <v>45046</v>
      </c>
    </row>
    <row r="1301" s="85" customFormat="1" customHeight="1" spans="1:25">
      <c r="A1301" s="98" t="s">
        <v>448</v>
      </c>
      <c r="B1301" s="98" t="s">
        <v>62</v>
      </c>
      <c r="C1301" s="98" t="s">
        <v>238</v>
      </c>
      <c r="D1301" s="98" t="s">
        <v>642</v>
      </c>
      <c r="E1301" s="161" t="s">
        <v>1556</v>
      </c>
      <c r="F1301" s="98" t="s">
        <v>983</v>
      </c>
      <c r="G1301" s="25" t="s">
        <v>67</v>
      </c>
      <c r="H1301" s="100" t="s">
        <v>1730</v>
      </c>
      <c r="I1301" s="46" t="e">
        <f>VLOOKUP(H1301,'合同高级查询数据-4月返'!A:A,1,FALSE)</f>
        <v>#N/A</v>
      </c>
      <c r="J1301" s="25" t="s">
        <v>69</v>
      </c>
      <c r="K1301" s="160" t="s">
        <v>1731</v>
      </c>
      <c r="L1301" s="179"/>
      <c r="M1301" s="49"/>
      <c r="N1301" s="241">
        <v>43344</v>
      </c>
      <c r="O1301" s="229"/>
      <c r="P1301" s="207">
        <v>400</v>
      </c>
      <c r="Q1301" s="117">
        <v>140</v>
      </c>
      <c r="R1301" s="118">
        <f t="shared" si="32"/>
        <v>56000</v>
      </c>
      <c r="S1301" s="115">
        <v>202304</v>
      </c>
      <c r="T1301" s="222" t="s">
        <v>1734</v>
      </c>
      <c r="U1301" s="223"/>
      <c r="V1301" s="165"/>
      <c r="W1301" s="165"/>
      <c r="X1301" s="116">
        <v>44682</v>
      </c>
      <c r="Y1301" s="116">
        <v>45046</v>
      </c>
    </row>
    <row r="1302" s="86" customFormat="1" customHeight="1" spans="1:25">
      <c r="A1302" s="135" t="s">
        <v>448</v>
      </c>
      <c r="B1302" s="135" t="s">
        <v>62</v>
      </c>
      <c r="C1302" s="135" t="s">
        <v>238</v>
      </c>
      <c r="D1302" s="135" t="s">
        <v>642</v>
      </c>
      <c r="E1302" s="170" t="s">
        <v>1556</v>
      </c>
      <c r="F1302" s="135" t="s">
        <v>983</v>
      </c>
      <c r="G1302" s="110" t="s">
        <v>67</v>
      </c>
      <c r="H1302" s="103" t="s">
        <v>1735</v>
      </c>
      <c r="I1302" s="30" t="e">
        <f>VLOOKUP(H1302,'合同高级查询数据-4月返'!A:A,1,FALSE)</f>
        <v>#N/A</v>
      </c>
      <c r="J1302" s="110" t="s">
        <v>69</v>
      </c>
      <c r="K1302" s="134" t="s">
        <v>1736</v>
      </c>
      <c r="L1302" s="174"/>
      <c r="M1302" s="113"/>
      <c r="N1302" s="111">
        <v>43328</v>
      </c>
      <c r="O1302" s="193"/>
      <c r="P1302" s="157">
        <v>16000</v>
      </c>
      <c r="Q1302" s="126">
        <v>1</v>
      </c>
      <c r="R1302" s="130">
        <f t="shared" si="32"/>
        <v>16000</v>
      </c>
      <c r="S1302" s="127">
        <v>202304</v>
      </c>
      <c r="T1302" s="194" t="s">
        <v>1737</v>
      </c>
      <c r="U1302" s="195"/>
      <c r="V1302" s="149"/>
      <c r="W1302" s="149"/>
      <c r="X1302" s="131"/>
      <c r="Y1302" s="131"/>
    </row>
    <row r="1303" s="86" customFormat="1" customHeight="1" spans="1:25">
      <c r="A1303" s="135" t="s">
        <v>448</v>
      </c>
      <c r="B1303" s="135" t="s">
        <v>62</v>
      </c>
      <c r="C1303" s="135" t="s">
        <v>238</v>
      </c>
      <c r="D1303" s="135" t="s">
        <v>642</v>
      </c>
      <c r="E1303" s="170" t="s">
        <v>1556</v>
      </c>
      <c r="F1303" s="135" t="s">
        <v>983</v>
      </c>
      <c r="G1303" s="110" t="s">
        <v>67</v>
      </c>
      <c r="H1303" s="103" t="s">
        <v>1735</v>
      </c>
      <c r="I1303" s="30" t="e">
        <f>VLOOKUP(H1303,'合同高级查询数据-4月返'!A:A,1,FALSE)</f>
        <v>#N/A</v>
      </c>
      <c r="J1303" s="110" t="s">
        <v>69</v>
      </c>
      <c r="K1303" s="134" t="s">
        <v>1736</v>
      </c>
      <c r="L1303" s="174"/>
      <c r="M1303" s="113"/>
      <c r="N1303" s="111"/>
      <c r="O1303" s="193"/>
      <c r="P1303" s="157">
        <v>16000</v>
      </c>
      <c r="Q1303" s="126">
        <v>-1</v>
      </c>
      <c r="R1303" s="130">
        <f t="shared" si="32"/>
        <v>-16000</v>
      </c>
      <c r="S1303" s="127">
        <v>202304</v>
      </c>
      <c r="T1303" s="194" t="s">
        <v>1737</v>
      </c>
      <c r="U1303" s="195"/>
      <c r="V1303" s="149"/>
      <c r="W1303" s="149"/>
      <c r="X1303" s="131"/>
      <c r="Y1303" s="131"/>
    </row>
    <row r="1304" s="86" customFormat="1" customHeight="1" spans="1:25">
      <c r="A1304" s="135" t="s">
        <v>448</v>
      </c>
      <c r="B1304" s="135" t="s">
        <v>62</v>
      </c>
      <c r="C1304" s="135" t="s">
        <v>238</v>
      </c>
      <c r="D1304" s="135" t="s">
        <v>642</v>
      </c>
      <c r="E1304" s="170" t="s">
        <v>1556</v>
      </c>
      <c r="F1304" s="135" t="s">
        <v>983</v>
      </c>
      <c r="G1304" s="110" t="s">
        <v>67</v>
      </c>
      <c r="H1304" s="103" t="s">
        <v>1738</v>
      </c>
      <c r="I1304" s="30" t="e">
        <f>VLOOKUP(H1304,'合同高级查询数据-4月返'!A:A,1,FALSE)</f>
        <v>#N/A</v>
      </c>
      <c r="J1304" s="110" t="s">
        <v>69</v>
      </c>
      <c r="K1304" s="134" t="s">
        <v>1739</v>
      </c>
      <c r="L1304" s="174"/>
      <c r="M1304" s="113"/>
      <c r="N1304" s="111">
        <v>43490</v>
      </c>
      <c r="O1304" s="193"/>
      <c r="P1304" s="157">
        <v>500</v>
      </c>
      <c r="Q1304" s="126">
        <v>36</v>
      </c>
      <c r="R1304" s="130">
        <f t="shared" si="32"/>
        <v>18000</v>
      </c>
      <c r="S1304" s="127">
        <v>202304</v>
      </c>
      <c r="T1304" s="194" t="s">
        <v>1740</v>
      </c>
      <c r="U1304" s="195"/>
      <c r="V1304" s="149"/>
      <c r="W1304" s="149"/>
      <c r="X1304" s="131"/>
      <c r="Y1304" s="131"/>
    </row>
    <row r="1305" s="86" customFormat="1" customHeight="1" spans="1:25">
      <c r="A1305" s="135" t="s">
        <v>448</v>
      </c>
      <c r="B1305" s="135" t="s">
        <v>62</v>
      </c>
      <c r="C1305" s="135" t="s">
        <v>238</v>
      </c>
      <c r="D1305" s="135" t="s">
        <v>642</v>
      </c>
      <c r="E1305" s="170" t="s">
        <v>1556</v>
      </c>
      <c r="F1305" s="135" t="s">
        <v>983</v>
      </c>
      <c r="G1305" s="110" t="s">
        <v>67</v>
      </c>
      <c r="H1305" s="103" t="s">
        <v>1738</v>
      </c>
      <c r="I1305" s="30" t="e">
        <f>VLOOKUP(H1305,'合同高级查询数据-4月返'!A:A,1,FALSE)</f>
        <v>#N/A</v>
      </c>
      <c r="J1305" s="110" t="s">
        <v>69</v>
      </c>
      <c r="K1305" s="134" t="s">
        <v>1739</v>
      </c>
      <c r="L1305" s="174"/>
      <c r="M1305" s="113"/>
      <c r="N1305" s="111">
        <v>43490</v>
      </c>
      <c r="O1305" s="193"/>
      <c r="P1305" s="157">
        <v>500</v>
      </c>
      <c r="Q1305" s="126">
        <v>29</v>
      </c>
      <c r="R1305" s="130">
        <f t="shared" si="32"/>
        <v>14500</v>
      </c>
      <c r="S1305" s="127">
        <v>202304</v>
      </c>
      <c r="T1305" s="194" t="s">
        <v>1741</v>
      </c>
      <c r="U1305" s="195"/>
      <c r="V1305" s="149"/>
      <c r="W1305" s="149"/>
      <c r="X1305" s="131"/>
      <c r="Y1305" s="131"/>
    </row>
    <row r="1306" s="86" customFormat="1" customHeight="1" spans="1:25">
      <c r="A1306" s="135" t="s">
        <v>448</v>
      </c>
      <c r="B1306" s="135" t="s">
        <v>62</v>
      </c>
      <c r="C1306" s="135" t="s">
        <v>238</v>
      </c>
      <c r="D1306" s="135" t="s">
        <v>642</v>
      </c>
      <c r="E1306" s="170" t="s">
        <v>1556</v>
      </c>
      <c r="F1306" s="135" t="s">
        <v>983</v>
      </c>
      <c r="G1306" s="110" t="s">
        <v>67</v>
      </c>
      <c r="H1306" s="103" t="s">
        <v>1738</v>
      </c>
      <c r="I1306" s="30" t="e">
        <f>VLOOKUP(H1306,'合同高级查询数据-4月返'!A:A,1,FALSE)</f>
        <v>#N/A</v>
      </c>
      <c r="J1306" s="110" t="s">
        <v>69</v>
      </c>
      <c r="K1306" s="134" t="s">
        <v>1739</v>
      </c>
      <c r="L1306" s="174"/>
      <c r="M1306" s="113"/>
      <c r="N1306" s="111">
        <v>44347</v>
      </c>
      <c r="O1306" s="193"/>
      <c r="P1306" s="157">
        <v>500</v>
      </c>
      <c r="Q1306" s="126">
        <v>-36</v>
      </c>
      <c r="R1306" s="130">
        <f t="shared" si="32"/>
        <v>-18000</v>
      </c>
      <c r="S1306" s="127">
        <v>202304</v>
      </c>
      <c r="T1306" s="194" t="s">
        <v>1742</v>
      </c>
      <c r="U1306" s="195"/>
      <c r="V1306" s="149"/>
      <c r="W1306" s="149"/>
      <c r="X1306" s="131"/>
      <c r="Y1306" s="131"/>
    </row>
    <row r="1307" s="86" customFormat="1" customHeight="1" spans="1:25">
      <c r="A1307" s="135" t="s">
        <v>448</v>
      </c>
      <c r="B1307" s="135" t="s">
        <v>62</v>
      </c>
      <c r="C1307" s="135" t="s">
        <v>238</v>
      </c>
      <c r="D1307" s="135" t="s">
        <v>642</v>
      </c>
      <c r="E1307" s="170" t="s">
        <v>1556</v>
      </c>
      <c r="F1307" s="135" t="s">
        <v>983</v>
      </c>
      <c r="G1307" s="110" t="s">
        <v>67</v>
      </c>
      <c r="H1307" s="103" t="s">
        <v>1738</v>
      </c>
      <c r="I1307" s="30" t="e">
        <f>VLOOKUP(H1307,'合同高级查询数据-4月返'!A:A,1,FALSE)</f>
        <v>#N/A</v>
      </c>
      <c r="J1307" s="110" t="s">
        <v>69</v>
      </c>
      <c r="K1307" s="134" t="s">
        <v>1739</v>
      </c>
      <c r="L1307" s="174"/>
      <c r="M1307" s="113"/>
      <c r="N1307" s="111">
        <v>44347</v>
      </c>
      <c r="O1307" s="193"/>
      <c r="P1307" s="157">
        <v>500</v>
      </c>
      <c r="Q1307" s="126">
        <v>-29</v>
      </c>
      <c r="R1307" s="130">
        <f t="shared" si="32"/>
        <v>-14500</v>
      </c>
      <c r="S1307" s="127">
        <v>202304</v>
      </c>
      <c r="T1307" s="194" t="s">
        <v>1743</v>
      </c>
      <c r="U1307" s="195"/>
      <c r="V1307" s="149"/>
      <c r="W1307" s="149"/>
      <c r="X1307" s="131"/>
      <c r="Y1307" s="131"/>
    </row>
    <row r="1308" s="86" customFormat="1" customHeight="1" spans="1:25">
      <c r="A1308" s="135" t="s">
        <v>448</v>
      </c>
      <c r="B1308" s="135" t="s">
        <v>62</v>
      </c>
      <c r="C1308" s="135" t="s">
        <v>238</v>
      </c>
      <c r="D1308" s="135" t="s">
        <v>642</v>
      </c>
      <c r="E1308" s="170" t="s">
        <v>1556</v>
      </c>
      <c r="F1308" s="135" t="s">
        <v>983</v>
      </c>
      <c r="G1308" s="171" t="s">
        <v>88</v>
      </c>
      <c r="H1308" s="202" t="s">
        <v>1744</v>
      </c>
      <c r="I1308" s="30" t="e">
        <f>VLOOKUP(H1308,'合同高级查询数据-4月返'!A:A,1,FALSE)</f>
        <v>#N/A</v>
      </c>
      <c r="J1308" s="31" t="s">
        <v>90</v>
      </c>
      <c r="K1308" s="134" t="s">
        <v>1745</v>
      </c>
      <c r="L1308" s="174"/>
      <c r="M1308" s="113" t="s">
        <v>986</v>
      </c>
      <c r="N1308" s="111">
        <v>42663</v>
      </c>
      <c r="O1308" s="193" t="s">
        <v>1746</v>
      </c>
      <c r="P1308" s="157">
        <v>9600</v>
      </c>
      <c r="Q1308" s="157">
        <v>135</v>
      </c>
      <c r="R1308" s="130">
        <f t="shared" si="32"/>
        <v>1296000</v>
      </c>
      <c r="S1308" s="127">
        <v>202304</v>
      </c>
      <c r="T1308" s="194" t="s">
        <v>1747</v>
      </c>
      <c r="U1308" s="195"/>
      <c r="V1308" s="149"/>
      <c r="W1308" s="149"/>
      <c r="X1308" s="131"/>
      <c r="Y1308" s="131"/>
    </row>
    <row r="1309" s="86" customFormat="1" customHeight="1" spans="1:25">
      <c r="A1309" s="135" t="s">
        <v>448</v>
      </c>
      <c r="B1309" s="135" t="s">
        <v>62</v>
      </c>
      <c r="C1309" s="135" t="s">
        <v>238</v>
      </c>
      <c r="D1309" s="135" t="s">
        <v>642</v>
      </c>
      <c r="E1309" s="170" t="s">
        <v>1556</v>
      </c>
      <c r="F1309" s="135" t="s">
        <v>983</v>
      </c>
      <c r="G1309" s="171" t="s">
        <v>88</v>
      </c>
      <c r="H1309" s="202" t="s">
        <v>1744</v>
      </c>
      <c r="I1309" s="30" t="e">
        <f>VLOOKUP(H1309,'合同高级查询数据-4月返'!A:A,1,FALSE)</f>
        <v>#N/A</v>
      </c>
      <c r="J1309" s="31" t="s">
        <v>90</v>
      </c>
      <c r="K1309" s="134" t="s">
        <v>1745</v>
      </c>
      <c r="L1309" s="174"/>
      <c r="M1309" s="113" t="s">
        <v>986</v>
      </c>
      <c r="N1309" s="111">
        <v>42856</v>
      </c>
      <c r="O1309" s="193" t="s">
        <v>1748</v>
      </c>
      <c r="P1309" s="157">
        <v>8400</v>
      </c>
      <c r="Q1309" s="157">
        <v>4</v>
      </c>
      <c r="R1309" s="130">
        <f t="shared" ref="R1309:R1372" si="33">ROUND(P1309*Q1309,2)</f>
        <v>33600</v>
      </c>
      <c r="S1309" s="127">
        <v>202304</v>
      </c>
      <c r="T1309" s="194"/>
      <c r="U1309" s="195"/>
      <c r="V1309" s="149"/>
      <c r="W1309" s="149"/>
      <c r="X1309" s="131"/>
      <c r="Y1309" s="131"/>
    </row>
    <row r="1310" s="86" customFormat="1" customHeight="1" spans="1:25">
      <c r="A1310" s="135" t="s">
        <v>448</v>
      </c>
      <c r="B1310" s="135" t="s">
        <v>62</v>
      </c>
      <c r="C1310" s="135" t="s">
        <v>238</v>
      </c>
      <c r="D1310" s="135" t="s">
        <v>642</v>
      </c>
      <c r="E1310" s="170" t="s">
        <v>1556</v>
      </c>
      <c r="F1310" s="135" t="s">
        <v>983</v>
      </c>
      <c r="G1310" s="171" t="s">
        <v>88</v>
      </c>
      <c r="H1310" s="202" t="s">
        <v>1744</v>
      </c>
      <c r="I1310" s="30" t="e">
        <f>VLOOKUP(H1310,'合同高级查询数据-4月返'!A:A,1,FALSE)</f>
        <v>#N/A</v>
      </c>
      <c r="J1310" s="31" t="s">
        <v>90</v>
      </c>
      <c r="K1310" s="134" t="s">
        <v>1745</v>
      </c>
      <c r="L1310" s="174"/>
      <c r="M1310" s="113" t="s">
        <v>986</v>
      </c>
      <c r="N1310" s="111">
        <v>42856</v>
      </c>
      <c r="O1310" s="193" t="s">
        <v>1419</v>
      </c>
      <c r="P1310" s="157">
        <v>18900</v>
      </c>
      <c r="Q1310" s="157">
        <v>10</v>
      </c>
      <c r="R1310" s="130">
        <f t="shared" si="33"/>
        <v>189000</v>
      </c>
      <c r="S1310" s="127">
        <v>202304</v>
      </c>
      <c r="T1310" s="194"/>
      <c r="U1310" s="195"/>
      <c r="V1310" s="149"/>
      <c r="W1310" s="149"/>
      <c r="X1310" s="131"/>
      <c r="Y1310" s="131"/>
    </row>
    <row r="1311" s="86" customFormat="1" customHeight="1" spans="1:25">
      <c r="A1311" s="135" t="s">
        <v>448</v>
      </c>
      <c r="B1311" s="135" t="s">
        <v>62</v>
      </c>
      <c r="C1311" s="135" t="s">
        <v>238</v>
      </c>
      <c r="D1311" s="135" t="s">
        <v>642</v>
      </c>
      <c r="E1311" s="170" t="s">
        <v>1556</v>
      </c>
      <c r="F1311" s="135" t="s">
        <v>983</v>
      </c>
      <c r="G1311" s="171" t="s">
        <v>88</v>
      </c>
      <c r="H1311" s="202" t="s">
        <v>1744</v>
      </c>
      <c r="I1311" s="30" t="e">
        <f>VLOOKUP(H1311,'合同高级查询数据-4月返'!A:A,1,FALSE)</f>
        <v>#N/A</v>
      </c>
      <c r="J1311" s="31" t="s">
        <v>90</v>
      </c>
      <c r="K1311" s="134" t="s">
        <v>1745</v>
      </c>
      <c r="L1311" s="174"/>
      <c r="M1311" s="113" t="s">
        <v>986</v>
      </c>
      <c r="N1311" s="111">
        <v>42856</v>
      </c>
      <c r="O1311" s="193" t="s">
        <v>503</v>
      </c>
      <c r="P1311" s="157">
        <v>6000</v>
      </c>
      <c r="Q1311" s="157">
        <v>33</v>
      </c>
      <c r="R1311" s="130">
        <f t="shared" si="33"/>
        <v>198000</v>
      </c>
      <c r="S1311" s="127">
        <v>202304</v>
      </c>
      <c r="T1311" s="194"/>
      <c r="U1311" s="195"/>
      <c r="V1311" s="149"/>
      <c r="W1311" s="149"/>
      <c r="X1311" s="131"/>
      <c r="Y1311" s="131"/>
    </row>
    <row r="1312" s="86" customFormat="1" customHeight="1" spans="1:25">
      <c r="A1312" s="135" t="s">
        <v>448</v>
      </c>
      <c r="B1312" s="135" t="s">
        <v>62</v>
      </c>
      <c r="C1312" s="135" t="s">
        <v>238</v>
      </c>
      <c r="D1312" s="135" t="s">
        <v>642</v>
      </c>
      <c r="E1312" s="170" t="s">
        <v>1556</v>
      </c>
      <c r="F1312" s="135" t="s">
        <v>983</v>
      </c>
      <c r="G1312" s="171" t="s">
        <v>88</v>
      </c>
      <c r="H1312" s="202" t="s">
        <v>1744</v>
      </c>
      <c r="I1312" s="30" t="e">
        <f>VLOOKUP(H1312,'合同高级查询数据-4月返'!A:A,1,FALSE)</f>
        <v>#N/A</v>
      </c>
      <c r="J1312" s="31" t="s">
        <v>90</v>
      </c>
      <c r="K1312" s="134" t="s">
        <v>1745</v>
      </c>
      <c r="L1312" s="174"/>
      <c r="M1312" s="113" t="s">
        <v>986</v>
      </c>
      <c r="N1312" s="111">
        <v>42856</v>
      </c>
      <c r="O1312" s="193" t="s">
        <v>1749</v>
      </c>
      <c r="P1312" s="157">
        <v>11100</v>
      </c>
      <c r="Q1312" s="157">
        <v>2</v>
      </c>
      <c r="R1312" s="130">
        <f t="shared" si="33"/>
        <v>22200</v>
      </c>
      <c r="S1312" s="127">
        <v>202304</v>
      </c>
      <c r="T1312" s="194"/>
      <c r="U1312" s="195"/>
      <c r="V1312" s="149"/>
      <c r="W1312" s="149"/>
      <c r="X1312" s="131"/>
      <c r="Y1312" s="131"/>
    </row>
    <row r="1313" s="86" customFormat="1" customHeight="1" spans="1:25">
      <c r="A1313" s="135" t="s">
        <v>448</v>
      </c>
      <c r="B1313" s="135" t="s">
        <v>62</v>
      </c>
      <c r="C1313" s="135" t="s">
        <v>238</v>
      </c>
      <c r="D1313" s="135" t="s">
        <v>642</v>
      </c>
      <c r="E1313" s="170" t="s">
        <v>1556</v>
      </c>
      <c r="F1313" s="135" t="s">
        <v>983</v>
      </c>
      <c r="G1313" s="171" t="s">
        <v>88</v>
      </c>
      <c r="H1313" s="202" t="s">
        <v>1744</v>
      </c>
      <c r="I1313" s="30" t="e">
        <f>VLOOKUP(H1313,'合同高级查询数据-4月返'!A:A,1,FALSE)</f>
        <v>#N/A</v>
      </c>
      <c r="J1313" s="31" t="s">
        <v>90</v>
      </c>
      <c r="K1313" s="134" t="s">
        <v>1745</v>
      </c>
      <c r="L1313" s="174"/>
      <c r="M1313" s="113" t="s">
        <v>986</v>
      </c>
      <c r="N1313" s="111">
        <v>42942</v>
      </c>
      <c r="O1313" s="193" t="s">
        <v>1746</v>
      </c>
      <c r="P1313" s="157">
        <v>9600</v>
      </c>
      <c r="Q1313" s="157">
        <v>1</v>
      </c>
      <c r="R1313" s="130">
        <f t="shared" si="33"/>
        <v>9600</v>
      </c>
      <c r="S1313" s="127">
        <v>202304</v>
      </c>
      <c r="T1313" s="194" t="s">
        <v>1750</v>
      </c>
      <c r="U1313" s="195"/>
      <c r="V1313" s="149"/>
      <c r="W1313" s="149"/>
      <c r="X1313" s="131"/>
      <c r="Y1313" s="131"/>
    </row>
    <row r="1314" s="86" customFormat="1" customHeight="1" spans="1:25">
      <c r="A1314" s="135" t="s">
        <v>448</v>
      </c>
      <c r="B1314" s="135" t="s">
        <v>62</v>
      </c>
      <c r="C1314" s="135" t="s">
        <v>238</v>
      </c>
      <c r="D1314" s="135" t="s">
        <v>642</v>
      </c>
      <c r="E1314" s="170" t="s">
        <v>1556</v>
      </c>
      <c r="F1314" s="135" t="s">
        <v>983</v>
      </c>
      <c r="G1314" s="171" t="s">
        <v>88</v>
      </c>
      <c r="H1314" s="202" t="s">
        <v>1744</v>
      </c>
      <c r="I1314" s="30" t="e">
        <f>VLOOKUP(H1314,'合同高级查询数据-4月返'!A:A,1,FALSE)</f>
        <v>#N/A</v>
      </c>
      <c r="J1314" s="31" t="s">
        <v>90</v>
      </c>
      <c r="K1314" s="134" t="s">
        <v>1745</v>
      </c>
      <c r="L1314" s="174"/>
      <c r="M1314" s="113" t="s">
        <v>986</v>
      </c>
      <c r="N1314" s="111">
        <v>42947</v>
      </c>
      <c r="O1314" s="193" t="s">
        <v>1746</v>
      </c>
      <c r="P1314" s="157">
        <v>9600</v>
      </c>
      <c r="Q1314" s="157">
        <v>10</v>
      </c>
      <c r="R1314" s="130">
        <f t="shared" si="33"/>
        <v>96000</v>
      </c>
      <c r="S1314" s="127">
        <v>202304</v>
      </c>
      <c r="T1314" s="194" t="s">
        <v>1751</v>
      </c>
      <c r="U1314" s="195"/>
      <c r="V1314" s="149"/>
      <c r="W1314" s="149"/>
      <c r="X1314" s="131"/>
      <c r="Y1314" s="131"/>
    </row>
    <row r="1315" s="86" customFormat="1" customHeight="1" spans="1:25">
      <c r="A1315" s="135" t="s">
        <v>448</v>
      </c>
      <c r="B1315" s="135" t="s">
        <v>62</v>
      </c>
      <c r="C1315" s="135" t="s">
        <v>238</v>
      </c>
      <c r="D1315" s="135" t="s">
        <v>642</v>
      </c>
      <c r="E1315" s="170" t="s">
        <v>1556</v>
      </c>
      <c r="F1315" s="135" t="s">
        <v>983</v>
      </c>
      <c r="G1315" s="171" t="s">
        <v>88</v>
      </c>
      <c r="H1315" s="202" t="s">
        <v>1744</v>
      </c>
      <c r="I1315" s="30" t="e">
        <f>VLOOKUP(H1315,'合同高级查询数据-4月返'!A:A,1,FALSE)</f>
        <v>#N/A</v>
      </c>
      <c r="J1315" s="31" t="s">
        <v>90</v>
      </c>
      <c r="K1315" s="134" t="s">
        <v>1745</v>
      </c>
      <c r="L1315" s="174"/>
      <c r="M1315" s="113" t="s">
        <v>986</v>
      </c>
      <c r="N1315" s="111">
        <v>42947</v>
      </c>
      <c r="O1315" s="193" t="s">
        <v>1746</v>
      </c>
      <c r="P1315" s="157">
        <v>9600</v>
      </c>
      <c r="Q1315" s="157">
        <v>6</v>
      </c>
      <c r="R1315" s="130">
        <f t="shared" si="33"/>
        <v>57600</v>
      </c>
      <c r="S1315" s="127">
        <v>202304</v>
      </c>
      <c r="T1315" s="194" t="s">
        <v>1752</v>
      </c>
      <c r="U1315" s="195"/>
      <c r="V1315" s="149"/>
      <c r="W1315" s="149"/>
      <c r="X1315" s="131"/>
      <c r="Y1315" s="131"/>
    </row>
    <row r="1316" s="86" customFormat="1" customHeight="1" spans="1:25">
      <c r="A1316" s="135" t="s">
        <v>448</v>
      </c>
      <c r="B1316" s="135" t="s">
        <v>62</v>
      </c>
      <c r="C1316" s="135" t="s">
        <v>238</v>
      </c>
      <c r="D1316" s="135" t="s">
        <v>642</v>
      </c>
      <c r="E1316" s="170" t="s">
        <v>1556</v>
      </c>
      <c r="F1316" s="135" t="s">
        <v>983</v>
      </c>
      <c r="G1316" s="171" t="s">
        <v>88</v>
      </c>
      <c r="H1316" s="202" t="s">
        <v>1744</v>
      </c>
      <c r="I1316" s="30" t="e">
        <f>VLOOKUP(H1316,'合同高级查询数据-4月返'!A:A,1,FALSE)</f>
        <v>#N/A</v>
      </c>
      <c r="J1316" s="31" t="s">
        <v>90</v>
      </c>
      <c r="K1316" s="134" t="s">
        <v>1745</v>
      </c>
      <c r="L1316" s="174"/>
      <c r="M1316" s="113" t="s">
        <v>986</v>
      </c>
      <c r="N1316" s="111">
        <v>42947</v>
      </c>
      <c r="O1316" s="193" t="s">
        <v>1746</v>
      </c>
      <c r="P1316" s="157">
        <v>9600</v>
      </c>
      <c r="Q1316" s="157">
        <v>5</v>
      </c>
      <c r="R1316" s="130">
        <f t="shared" si="33"/>
        <v>48000</v>
      </c>
      <c r="S1316" s="127">
        <v>202304</v>
      </c>
      <c r="T1316" s="194" t="s">
        <v>1753</v>
      </c>
      <c r="U1316" s="195"/>
      <c r="V1316" s="149"/>
      <c r="W1316" s="149"/>
      <c r="X1316" s="131"/>
      <c r="Y1316" s="131"/>
    </row>
    <row r="1317" s="86" customFormat="1" customHeight="1" spans="1:25">
      <c r="A1317" s="135" t="s">
        <v>448</v>
      </c>
      <c r="B1317" s="135" t="s">
        <v>62</v>
      </c>
      <c r="C1317" s="135" t="s">
        <v>238</v>
      </c>
      <c r="D1317" s="135" t="s">
        <v>642</v>
      </c>
      <c r="E1317" s="170" t="s">
        <v>1556</v>
      </c>
      <c r="F1317" s="135" t="s">
        <v>983</v>
      </c>
      <c r="G1317" s="171" t="s">
        <v>88</v>
      </c>
      <c r="H1317" s="202" t="s">
        <v>1744</v>
      </c>
      <c r="I1317" s="30" t="e">
        <f>VLOOKUP(H1317,'合同高级查询数据-4月返'!A:A,1,FALSE)</f>
        <v>#N/A</v>
      </c>
      <c r="J1317" s="31" t="s">
        <v>90</v>
      </c>
      <c r="K1317" s="134" t="s">
        <v>1745</v>
      </c>
      <c r="L1317" s="174"/>
      <c r="M1317" s="113" t="s">
        <v>986</v>
      </c>
      <c r="N1317" s="111">
        <v>42948</v>
      </c>
      <c r="O1317" s="193" t="s">
        <v>1746</v>
      </c>
      <c r="P1317" s="157">
        <v>9600</v>
      </c>
      <c r="Q1317" s="157">
        <v>7</v>
      </c>
      <c r="R1317" s="130">
        <f t="shared" si="33"/>
        <v>67200</v>
      </c>
      <c r="S1317" s="127">
        <v>202304</v>
      </c>
      <c r="T1317" s="194" t="s">
        <v>1754</v>
      </c>
      <c r="U1317" s="195"/>
      <c r="V1317" s="149"/>
      <c r="W1317" s="149"/>
      <c r="X1317" s="131"/>
      <c r="Y1317" s="131"/>
    </row>
    <row r="1318" s="86" customFormat="1" customHeight="1" spans="1:25">
      <c r="A1318" s="135" t="s">
        <v>448</v>
      </c>
      <c r="B1318" s="135" t="s">
        <v>62</v>
      </c>
      <c r="C1318" s="135" t="s">
        <v>238</v>
      </c>
      <c r="D1318" s="135" t="s">
        <v>642</v>
      </c>
      <c r="E1318" s="170" t="s">
        <v>1556</v>
      </c>
      <c r="F1318" s="135" t="s">
        <v>983</v>
      </c>
      <c r="G1318" s="171" t="s">
        <v>88</v>
      </c>
      <c r="H1318" s="202" t="s">
        <v>1744</v>
      </c>
      <c r="I1318" s="30" t="e">
        <f>VLOOKUP(H1318,'合同高级查询数据-4月返'!A:A,1,FALSE)</f>
        <v>#N/A</v>
      </c>
      <c r="J1318" s="31" t="s">
        <v>90</v>
      </c>
      <c r="K1318" s="134" t="s">
        <v>1745</v>
      </c>
      <c r="L1318" s="174"/>
      <c r="M1318" s="113" t="s">
        <v>986</v>
      </c>
      <c r="N1318" s="111">
        <v>42948</v>
      </c>
      <c r="O1318" s="193" t="s">
        <v>1746</v>
      </c>
      <c r="P1318" s="157">
        <v>9600</v>
      </c>
      <c r="Q1318" s="157">
        <v>2</v>
      </c>
      <c r="R1318" s="130">
        <f t="shared" si="33"/>
        <v>19200</v>
      </c>
      <c r="S1318" s="127">
        <v>202304</v>
      </c>
      <c r="T1318" s="194" t="s">
        <v>1755</v>
      </c>
      <c r="U1318" s="195"/>
      <c r="V1318" s="149"/>
      <c r="W1318" s="149"/>
      <c r="X1318" s="131"/>
      <c r="Y1318" s="131"/>
    </row>
    <row r="1319" s="86" customFormat="1" customHeight="1" spans="1:25">
      <c r="A1319" s="135" t="s">
        <v>448</v>
      </c>
      <c r="B1319" s="135" t="s">
        <v>62</v>
      </c>
      <c r="C1319" s="135" t="s">
        <v>238</v>
      </c>
      <c r="D1319" s="135" t="s">
        <v>642</v>
      </c>
      <c r="E1319" s="170" t="s">
        <v>1556</v>
      </c>
      <c r="F1319" s="135" t="s">
        <v>983</v>
      </c>
      <c r="G1319" s="171" t="s">
        <v>88</v>
      </c>
      <c r="H1319" s="202" t="s">
        <v>1744</v>
      </c>
      <c r="I1319" s="30" t="e">
        <f>VLOOKUP(H1319,'合同高级查询数据-4月返'!A:A,1,FALSE)</f>
        <v>#N/A</v>
      </c>
      <c r="J1319" s="31" t="s">
        <v>90</v>
      </c>
      <c r="K1319" s="134" t="s">
        <v>1745</v>
      </c>
      <c r="L1319" s="174"/>
      <c r="M1319" s="113" t="s">
        <v>986</v>
      </c>
      <c r="N1319" s="111">
        <v>42949</v>
      </c>
      <c r="O1319" s="193" t="s">
        <v>1746</v>
      </c>
      <c r="P1319" s="157">
        <v>9600</v>
      </c>
      <c r="Q1319" s="157">
        <v>3</v>
      </c>
      <c r="R1319" s="130">
        <f t="shared" si="33"/>
        <v>28800</v>
      </c>
      <c r="S1319" s="127">
        <v>202304</v>
      </c>
      <c r="T1319" s="194" t="s">
        <v>1756</v>
      </c>
      <c r="U1319" s="195"/>
      <c r="V1319" s="149"/>
      <c r="W1319" s="149"/>
      <c r="X1319" s="131"/>
      <c r="Y1319" s="131"/>
    </row>
    <row r="1320" s="86" customFormat="1" customHeight="1" spans="1:25">
      <c r="A1320" s="135" t="s">
        <v>448</v>
      </c>
      <c r="B1320" s="135" t="s">
        <v>62</v>
      </c>
      <c r="C1320" s="135" t="s">
        <v>238</v>
      </c>
      <c r="D1320" s="135" t="s">
        <v>642</v>
      </c>
      <c r="E1320" s="170" t="s">
        <v>1556</v>
      </c>
      <c r="F1320" s="135" t="s">
        <v>983</v>
      </c>
      <c r="G1320" s="171" t="s">
        <v>88</v>
      </c>
      <c r="H1320" s="202" t="s">
        <v>1744</v>
      </c>
      <c r="I1320" s="30" t="e">
        <f>VLOOKUP(H1320,'合同高级查询数据-4月返'!A:A,1,FALSE)</f>
        <v>#N/A</v>
      </c>
      <c r="J1320" s="31" t="s">
        <v>90</v>
      </c>
      <c r="K1320" s="134" t="s">
        <v>1745</v>
      </c>
      <c r="L1320" s="174"/>
      <c r="M1320" s="113" t="s">
        <v>986</v>
      </c>
      <c r="N1320" s="111">
        <v>42949</v>
      </c>
      <c r="O1320" s="193" t="s">
        <v>1746</v>
      </c>
      <c r="P1320" s="157">
        <v>9600</v>
      </c>
      <c r="Q1320" s="157">
        <v>1</v>
      </c>
      <c r="R1320" s="130">
        <f t="shared" si="33"/>
        <v>9600</v>
      </c>
      <c r="S1320" s="127">
        <v>202304</v>
      </c>
      <c r="T1320" s="194" t="s">
        <v>1757</v>
      </c>
      <c r="U1320" s="195"/>
      <c r="V1320" s="149"/>
      <c r="W1320" s="149"/>
      <c r="X1320" s="131"/>
      <c r="Y1320" s="131"/>
    </row>
    <row r="1321" s="86" customFormat="1" customHeight="1" spans="1:25">
      <c r="A1321" s="135" t="s">
        <v>448</v>
      </c>
      <c r="B1321" s="135" t="s">
        <v>62</v>
      </c>
      <c r="C1321" s="135" t="s">
        <v>238</v>
      </c>
      <c r="D1321" s="135" t="s">
        <v>642</v>
      </c>
      <c r="E1321" s="170" t="s">
        <v>1556</v>
      </c>
      <c r="F1321" s="135" t="s">
        <v>983</v>
      </c>
      <c r="G1321" s="171" t="s">
        <v>88</v>
      </c>
      <c r="H1321" s="202" t="s">
        <v>1744</v>
      </c>
      <c r="I1321" s="30" t="e">
        <f>VLOOKUP(H1321,'合同高级查询数据-4月返'!A:A,1,FALSE)</f>
        <v>#N/A</v>
      </c>
      <c r="J1321" s="31" t="s">
        <v>90</v>
      </c>
      <c r="K1321" s="134" t="s">
        <v>1745</v>
      </c>
      <c r="L1321" s="174"/>
      <c r="M1321" s="113" t="s">
        <v>986</v>
      </c>
      <c r="N1321" s="111">
        <v>42949</v>
      </c>
      <c r="O1321" s="193" t="s">
        <v>1746</v>
      </c>
      <c r="P1321" s="157">
        <v>9600</v>
      </c>
      <c r="Q1321" s="157">
        <v>3</v>
      </c>
      <c r="R1321" s="130">
        <f t="shared" si="33"/>
        <v>28800</v>
      </c>
      <c r="S1321" s="127">
        <v>202304</v>
      </c>
      <c r="T1321" s="194" t="s">
        <v>1758</v>
      </c>
      <c r="U1321" s="195"/>
      <c r="V1321" s="149"/>
      <c r="W1321" s="149"/>
      <c r="X1321" s="131"/>
      <c r="Y1321" s="131"/>
    </row>
    <row r="1322" s="86" customFormat="1" customHeight="1" spans="1:25">
      <c r="A1322" s="135" t="s">
        <v>448</v>
      </c>
      <c r="B1322" s="135" t="s">
        <v>62</v>
      </c>
      <c r="C1322" s="135" t="s">
        <v>238</v>
      </c>
      <c r="D1322" s="135" t="s">
        <v>642</v>
      </c>
      <c r="E1322" s="170" t="s">
        <v>1556</v>
      </c>
      <c r="F1322" s="135" t="s">
        <v>983</v>
      </c>
      <c r="G1322" s="171" t="s">
        <v>88</v>
      </c>
      <c r="H1322" s="202" t="s">
        <v>1744</v>
      </c>
      <c r="I1322" s="30" t="e">
        <f>VLOOKUP(H1322,'合同高级查询数据-4月返'!A:A,1,FALSE)</f>
        <v>#N/A</v>
      </c>
      <c r="J1322" s="31" t="s">
        <v>90</v>
      </c>
      <c r="K1322" s="134" t="s">
        <v>1745</v>
      </c>
      <c r="L1322" s="174"/>
      <c r="M1322" s="113" t="s">
        <v>986</v>
      </c>
      <c r="N1322" s="111">
        <v>42954</v>
      </c>
      <c r="O1322" s="193" t="s">
        <v>1746</v>
      </c>
      <c r="P1322" s="157">
        <v>9600</v>
      </c>
      <c r="Q1322" s="157">
        <v>3</v>
      </c>
      <c r="R1322" s="130">
        <f t="shared" si="33"/>
        <v>28800</v>
      </c>
      <c r="S1322" s="127">
        <v>202304</v>
      </c>
      <c r="T1322" s="194" t="s">
        <v>1759</v>
      </c>
      <c r="U1322" s="195"/>
      <c r="V1322" s="149"/>
      <c r="W1322" s="149"/>
      <c r="X1322" s="131"/>
      <c r="Y1322" s="131"/>
    </row>
    <row r="1323" s="86" customFormat="1" customHeight="1" spans="1:25">
      <c r="A1323" s="135" t="s">
        <v>448</v>
      </c>
      <c r="B1323" s="135" t="s">
        <v>62</v>
      </c>
      <c r="C1323" s="135" t="s">
        <v>238</v>
      </c>
      <c r="D1323" s="135" t="s">
        <v>642</v>
      </c>
      <c r="E1323" s="170" t="s">
        <v>1556</v>
      </c>
      <c r="F1323" s="135" t="s">
        <v>983</v>
      </c>
      <c r="G1323" s="171" t="s">
        <v>88</v>
      </c>
      <c r="H1323" s="202" t="s">
        <v>1744</v>
      </c>
      <c r="I1323" s="30" t="e">
        <f>VLOOKUP(H1323,'合同高级查询数据-4月返'!A:A,1,FALSE)</f>
        <v>#N/A</v>
      </c>
      <c r="J1323" s="31" t="s">
        <v>90</v>
      </c>
      <c r="K1323" s="134" t="s">
        <v>1745</v>
      </c>
      <c r="L1323" s="174"/>
      <c r="M1323" s="113" t="s">
        <v>986</v>
      </c>
      <c r="N1323" s="111">
        <v>42958</v>
      </c>
      <c r="O1323" s="193" t="s">
        <v>1746</v>
      </c>
      <c r="P1323" s="157">
        <v>9600</v>
      </c>
      <c r="Q1323" s="157">
        <v>3</v>
      </c>
      <c r="R1323" s="130">
        <f t="shared" si="33"/>
        <v>28800</v>
      </c>
      <c r="S1323" s="127">
        <v>202304</v>
      </c>
      <c r="T1323" s="194" t="s">
        <v>1760</v>
      </c>
      <c r="U1323" s="195"/>
      <c r="V1323" s="149"/>
      <c r="W1323" s="149"/>
      <c r="X1323" s="131"/>
      <c r="Y1323" s="131"/>
    </row>
    <row r="1324" s="86" customFormat="1" customHeight="1" spans="1:25">
      <c r="A1324" s="135" t="s">
        <v>448</v>
      </c>
      <c r="B1324" s="135" t="s">
        <v>62</v>
      </c>
      <c r="C1324" s="135" t="s">
        <v>238</v>
      </c>
      <c r="D1324" s="135" t="s">
        <v>642</v>
      </c>
      <c r="E1324" s="170" t="s">
        <v>1556</v>
      </c>
      <c r="F1324" s="135" t="s">
        <v>983</v>
      </c>
      <c r="G1324" s="171" t="s">
        <v>88</v>
      </c>
      <c r="H1324" s="202" t="s">
        <v>1744</v>
      </c>
      <c r="I1324" s="30" t="e">
        <f>VLOOKUP(H1324,'合同高级查询数据-4月返'!A:A,1,FALSE)</f>
        <v>#N/A</v>
      </c>
      <c r="J1324" s="31" t="s">
        <v>90</v>
      </c>
      <c r="K1324" s="134" t="s">
        <v>1745</v>
      </c>
      <c r="L1324" s="174"/>
      <c r="M1324" s="113" t="s">
        <v>986</v>
      </c>
      <c r="N1324" s="111">
        <v>42964</v>
      </c>
      <c r="O1324" s="193" t="s">
        <v>1746</v>
      </c>
      <c r="P1324" s="157">
        <v>9600</v>
      </c>
      <c r="Q1324" s="157">
        <v>6</v>
      </c>
      <c r="R1324" s="130">
        <f t="shared" si="33"/>
        <v>57600</v>
      </c>
      <c r="S1324" s="127">
        <v>202304</v>
      </c>
      <c r="T1324" s="194" t="s">
        <v>1761</v>
      </c>
      <c r="U1324" s="195"/>
      <c r="V1324" s="149"/>
      <c r="W1324" s="149"/>
      <c r="X1324" s="131"/>
      <c r="Y1324" s="131"/>
    </row>
    <row r="1325" s="86" customFormat="1" customHeight="1" spans="1:25">
      <c r="A1325" s="135" t="s">
        <v>448</v>
      </c>
      <c r="B1325" s="135" t="s">
        <v>62</v>
      </c>
      <c r="C1325" s="135" t="s">
        <v>238</v>
      </c>
      <c r="D1325" s="135" t="s">
        <v>642</v>
      </c>
      <c r="E1325" s="170" t="s">
        <v>1556</v>
      </c>
      <c r="F1325" s="135" t="s">
        <v>983</v>
      </c>
      <c r="G1325" s="171" t="s">
        <v>88</v>
      </c>
      <c r="H1325" s="202" t="s">
        <v>1744</v>
      </c>
      <c r="I1325" s="30" t="e">
        <f>VLOOKUP(H1325,'合同高级查询数据-4月返'!A:A,1,FALSE)</f>
        <v>#N/A</v>
      </c>
      <c r="J1325" s="31" t="s">
        <v>90</v>
      </c>
      <c r="K1325" s="134" t="s">
        <v>1745</v>
      </c>
      <c r="L1325" s="174"/>
      <c r="M1325" s="113" t="s">
        <v>986</v>
      </c>
      <c r="N1325" s="111">
        <v>42975</v>
      </c>
      <c r="O1325" s="193" t="s">
        <v>1746</v>
      </c>
      <c r="P1325" s="157">
        <v>9600</v>
      </c>
      <c r="Q1325" s="157">
        <v>1</v>
      </c>
      <c r="R1325" s="130">
        <f t="shared" si="33"/>
        <v>9600</v>
      </c>
      <c r="S1325" s="127">
        <v>202304</v>
      </c>
      <c r="T1325" s="194" t="s">
        <v>1762</v>
      </c>
      <c r="U1325" s="195"/>
      <c r="V1325" s="149"/>
      <c r="W1325" s="149"/>
      <c r="X1325" s="131"/>
      <c r="Y1325" s="131"/>
    </row>
    <row r="1326" s="86" customFormat="1" customHeight="1" spans="1:25">
      <c r="A1326" s="135" t="s">
        <v>448</v>
      </c>
      <c r="B1326" s="135" t="s">
        <v>62</v>
      </c>
      <c r="C1326" s="135" t="s">
        <v>238</v>
      </c>
      <c r="D1326" s="135" t="s">
        <v>642</v>
      </c>
      <c r="E1326" s="170" t="s">
        <v>1556</v>
      </c>
      <c r="F1326" s="135" t="s">
        <v>983</v>
      </c>
      <c r="G1326" s="171" t="s">
        <v>88</v>
      </c>
      <c r="H1326" s="202" t="s">
        <v>1744</v>
      </c>
      <c r="I1326" s="30" t="e">
        <f>VLOOKUP(H1326,'合同高级查询数据-4月返'!A:A,1,FALSE)</f>
        <v>#N/A</v>
      </c>
      <c r="J1326" s="31" t="s">
        <v>90</v>
      </c>
      <c r="K1326" s="134" t="s">
        <v>1745</v>
      </c>
      <c r="L1326" s="174"/>
      <c r="M1326" s="113" t="s">
        <v>986</v>
      </c>
      <c r="N1326" s="111">
        <v>42979</v>
      </c>
      <c r="O1326" s="193" t="s">
        <v>1746</v>
      </c>
      <c r="P1326" s="157">
        <v>9600</v>
      </c>
      <c r="Q1326" s="157">
        <v>3</v>
      </c>
      <c r="R1326" s="130">
        <f t="shared" si="33"/>
        <v>28800</v>
      </c>
      <c r="S1326" s="127">
        <v>202304</v>
      </c>
      <c r="T1326" s="194" t="s">
        <v>1763</v>
      </c>
      <c r="U1326" s="195"/>
      <c r="V1326" s="149"/>
      <c r="W1326" s="149"/>
      <c r="X1326" s="131"/>
      <c r="Y1326" s="131"/>
    </row>
    <row r="1327" s="86" customFormat="1" customHeight="1" spans="1:25">
      <c r="A1327" s="135" t="s">
        <v>448</v>
      </c>
      <c r="B1327" s="135" t="s">
        <v>62</v>
      </c>
      <c r="C1327" s="135" t="s">
        <v>238</v>
      </c>
      <c r="D1327" s="135" t="s">
        <v>642</v>
      </c>
      <c r="E1327" s="170" t="s">
        <v>1556</v>
      </c>
      <c r="F1327" s="135" t="s">
        <v>983</v>
      </c>
      <c r="G1327" s="171" t="s">
        <v>88</v>
      </c>
      <c r="H1327" s="202" t="s">
        <v>1744</v>
      </c>
      <c r="I1327" s="30" t="e">
        <f>VLOOKUP(H1327,'合同高级查询数据-4月返'!A:A,1,FALSE)</f>
        <v>#N/A</v>
      </c>
      <c r="J1327" s="31" t="s">
        <v>90</v>
      </c>
      <c r="K1327" s="134" t="s">
        <v>1745</v>
      </c>
      <c r="L1327" s="174"/>
      <c r="M1327" s="113" t="s">
        <v>986</v>
      </c>
      <c r="N1327" s="111">
        <v>42979</v>
      </c>
      <c r="O1327" s="193" t="s">
        <v>1746</v>
      </c>
      <c r="P1327" s="157">
        <v>9600</v>
      </c>
      <c r="Q1327" s="157">
        <v>1</v>
      </c>
      <c r="R1327" s="130">
        <f t="shared" si="33"/>
        <v>9600</v>
      </c>
      <c r="S1327" s="127">
        <v>202304</v>
      </c>
      <c r="T1327" s="194" t="s">
        <v>1764</v>
      </c>
      <c r="U1327" s="195"/>
      <c r="V1327" s="149"/>
      <c r="W1327" s="149"/>
      <c r="X1327" s="131"/>
      <c r="Y1327" s="131"/>
    </row>
    <row r="1328" s="86" customFormat="1" customHeight="1" spans="1:25">
      <c r="A1328" s="135" t="s">
        <v>448</v>
      </c>
      <c r="B1328" s="135" t="s">
        <v>62</v>
      </c>
      <c r="C1328" s="135" t="s">
        <v>238</v>
      </c>
      <c r="D1328" s="135" t="s">
        <v>642</v>
      </c>
      <c r="E1328" s="170" t="s">
        <v>1556</v>
      </c>
      <c r="F1328" s="135" t="s">
        <v>983</v>
      </c>
      <c r="G1328" s="171" t="s">
        <v>88</v>
      </c>
      <c r="H1328" s="202" t="s">
        <v>1744</v>
      </c>
      <c r="I1328" s="30" t="e">
        <f>VLOOKUP(H1328,'合同高级查询数据-4月返'!A:A,1,FALSE)</f>
        <v>#N/A</v>
      </c>
      <c r="J1328" s="31" t="s">
        <v>90</v>
      </c>
      <c r="K1328" s="134" t="s">
        <v>1745</v>
      </c>
      <c r="L1328" s="174"/>
      <c r="M1328" s="113" t="s">
        <v>986</v>
      </c>
      <c r="N1328" s="111">
        <v>42979</v>
      </c>
      <c r="O1328" s="193" t="s">
        <v>1746</v>
      </c>
      <c r="P1328" s="157">
        <v>9600</v>
      </c>
      <c r="Q1328" s="157">
        <v>6</v>
      </c>
      <c r="R1328" s="130">
        <f t="shared" si="33"/>
        <v>57600</v>
      </c>
      <c r="S1328" s="127">
        <v>202304</v>
      </c>
      <c r="T1328" s="194" t="s">
        <v>1765</v>
      </c>
      <c r="U1328" s="195"/>
      <c r="V1328" s="149"/>
      <c r="W1328" s="149"/>
      <c r="X1328" s="131"/>
      <c r="Y1328" s="131"/>
    </row>
    <row r="1329" s="86" customFormat="1" customHeight="1" spans="1:25">
      <c r="A1329" s="135" t="s">
        <v>448</v>
      </c>
      <c r="B1329" s="135" t="s">
        <v>62</v>
      </c>
      <c r="C1329" s="135" t="s">
        <v>238</v>
      </c>
      <c r="D1329" s="135" t="s">
        <v>642</v>
      </c>
      <c r="E1329" s="170" t="s">
        <v>1556</v>
      </c>
      <c r="F1329" s="135" t="s">
        <v>983</v>
      </c>
      <c r="G1329" s="171" t="s">
        <v>88</v>
      </c>
      <c r="H1329" s="202" t="s">
        <v>1744</v>
      </c>
      <c r="I1329" s="30" t="e">
        <f>VLOOKUP(H1329,'合同高级查询数据-4月返'!A:A,1,FALSE)</f>
        <v>#N/A</v>
      </c>
      <c r="J1329" s="31" t="s">
        <v>90</v>
      </c>
      <c r="K1329" s="134" t="s">
        <v>1745</v>
      </c>
      <c r="L1329" s="174"/>
      <c r="M1329" s="113" t="s">
        <v>986</v>
      </c>
      <c r="N1329" s="111">
        <v>42979</v>
      </c>
      <c r="O1329" s="193" t="s">
        <v>1746</v>
      </c>
      <c r="P1329" s="157">
        <v>9600</v>
      </c>
      <c r="Q1329" s="157">
        <v>4</v>
      </c>
      <c r="R1329" s="130">
        <f t="shared" si="33"/>
        <v>38400</v>
      </c>
      <c r="S1329" s="127">
        <v>202304</v>
      </c>
      <c r="T1329" s="194" t="s">
        <v>1766</v>
      </c>
      <c r="U1329" s="195"/>
      <c r="V1329" s="149"/>
      <c r="W1329" s="149"/>
      <c r="X1329" s="131"/>
      <c r="Y1329" s="131"/>
    </row>
    <row r="1330" s="86" customFormat="1" customHeight="1" spans="1:25">
      <c r="A1330" s="135" t="s">
        <v>448</v>
      </c>
      <c r="B1330" s="135" t="s">
        <v>62</v>
      </c>
      <c r="C1330" s="135" t="s">
        <v>238</v>
      </c>
      <c r="D1330" s="135" t="s">
        <v>642</v>
      </c>
      <c r="E1330" s="170" t="s">
        <v>1556</v>
      </c>
      <c r="F1330" s="135" t="s">
        <v>983</v>
      </c>
      <c r="G1330" s="171" t="s">
        <v>88</v>
      </c>
      <c r="H1330" s="202" t="s">
        <v>1744</v>
      </c>
      <c r="I1330" s="30" t="e">
        <f>VLOOKUP(H1330,'合同高级查询数据-4月返'!A:A,1,FALSE)</f>
        <v>#N/A</v>
      </c>
      <c r="J1330" s="31" t="s">
        <v>90</v>
      </c>
      <c r="K1330" s="134" t="s">
        <v>1745</v>
      </c>
      <c r="L1330" s="174"/>
      <c r="M1330" s="113" t="s">
        <v>986</v>
      </c>
      <c r="N1330" s="111">
        <v>42979</v>
      </c>
      <c r="O1330" s="193" t="s">
        <v>1746</v>
      </c>
      <c r="P1330" s="157">
        <v>9600</v>
      </c>
      <c r="Q1330" s="157">
        <v>4</v>
      </c>
      <c r="R1330" s="130">
        <f t="shared" si="33"/>
        <v>38400</v>
      </c>
      <c r="S1330" s="127">
        <v>202304</v>
      </c>
      <c r="T1330" s="194" t="s">
        <v>1767</v>
      </c>
      <c r="U1330" s="195"/>
      <c r="V1330" s="149"/>
      <c r="W1330" s="149"/>
      <c r="X1330" s="131"/>
      <c r="Y1330" s="131"/>
    </row>
    <row r="1331" s="86" customFormat="1" customHeight="1" spans="1:25">
      <c r="A1331" s="135" t="s">
        <v>448</v>
      </c>
      <c r="B1331" s="135" t="s">
        <v>62</v>
      </c>
      <c r="C1331" s="135" t="s">
        <v>238</v>
      </c>
      <c r="D1331" s="135" t="s">
        <v>642</v>
      </c>
      <c r="E1331" s="170" t="s">
        <v>1556</v>
      </c>
      <c r="F1331" s="135" t="s">
        <v>983</v>
      </c>
      <c r="G1331" s="171" t="s">
        <v>88</v>
      </c>
      <c r="H1331" s="202" t="s">
        <v>1744</v>
      </c>
      <c r="I1331" s="30" t="e">
        <f>VLOOKUP(H1331,'合同高级查询数据-4月返'!A:A,1,FALSE)</f>
        <v>#N/A</v>
      </c>
      <c r="J1331" s="31" t="s">
        <v>90</v>
      </c>
      <c r="K1331" s="134" t="s">
        <v>1745</v>
      </c>
      <c r="L1331" s="174"/>
      <c r="M1331" s="113" t="s">
        <v>986</v>
      </c>
      <c r="N1331" s="111">
        <v>42979</v>
      </c>
      <c r="O1331" s="193" t="s">
        <v>1746</v>
      </c>
      <c r="P1331" s="157">
        <v>9600</v>
      </c>
      <c r="Q1331" s="157">
        <v>8</v>
      </c>
      <c r="R1331" s="130">
        <f t="shared" si="33"/>
        <v>76800</v>
      </c>
      <c r="S1331" s="127">
        <v>202304</v>
      </c>
      <c r="T1331" s="194" t="s">
        <v>1768</v>
      </c>
      <c r="U1331" s="195"/>
      <c r="V1331" s="149"/>
      <c r="W1331" s="149"/>
      <c r="X1331" s="131"/>
      <c r="Y1331" s="131"/>
    </row>
    <row r="1332" s="86" customFormat="1" customHeight="1" spans="1:25">
      <c r="A1332" s="135" t="s">
        <v>448</v>
      </c>
      <c r="B1332" s="135" t="s">
        <v>62</v>
      </c>
      <c r="C1332" s="135" t="s">
        <v>238</v>
      </c>
      <c r="D1332" s="135" t="s">
        <v>642</v>
      </c>
      <c r="E1332" s="170" t="s">
        <v>1556</v>
      </c>
      <c r="F1332" s="135" t="s">
        <v>983</v>
      </c>
      <c r="G1332" s="171" t="s">
        <v>88</v>
      </c>
      <c r="H1332" s="202" t="s">
        <v>1744</v>
      </c>
      <c r="I1332" s="30" t="e">
        <f>VLOOKUP(H1332,'合同高级查询数据-4月返'!A:A,1,FALSE)</f>
        <v>#N/A</v>
      </c>
      <c r="J1332" s="31" t="s">
        <v>90</v>
      </c>
      <c r="K1332" s="134" t="s">
        <v>1745</v>
      </c>
      <c r="L1332" s="174"/>
      <c r="M1332" s="113" t="s">
        <v>986</v>
      </c>
      <c r="N1332" s="111">
        <v>42984</v>
      </c>
      <c r="O1332" s="193" t="s">
        <v>1746</v>
      </c>
      <c r="P1332" s="157">
        <v>9600</v>
      </c>
      <c r="Q1332" s="157">
        <v>4</v>
      </c>
      <c r="R1332" s="130">
        <f t="shared" si="33"/>
        <v>38400</v>
      </c>
      <c r="S1332" s="127">
        <v>202304</v>
      </c>
      <c r="T1332" s="194" t="s">
        <v>1769</v>
      </c>
      <c r="U1332" s="195"/>
      <c r="V1332" s="149"/>
      <c r="W1332" s="149"/>
      <c r="X1332" s="131"/>
      <c r="Y1332" s="131"/>
    </row>
    <row r="1333" s="86" customFormat="1" customHeight="1" spans="1:25">
      <c r="A1333" s="135" t="s">
        <v>448</v>
      </c>
      <c r="B1333" s="135" t="s">
        <v>62</v>
      </c>
      <c r="C1333" s="135" t="s">
        <v>238</v>
      </c>
      <c r="D1333" s="135" t="s">
        <v>642</v>
      </c>
      <c r="E1333" s="170" t="s">
        <v>1556</v>
      </c>
      <c r="F1333" s="135" t="s">
        <v>983</v>
      </c>
      <c r="G1333" s="171" t="s">
        <v>88</v>
      </c>
      <c r="H1333" s="202" t="s">
        <v>1744</v>
      </c>
      <c r="I1333" s="30" t="e">
        <f>VLOOKUP(H1333,'合同高级查询数据-4月返'!A:A,1,FALSE)</f>
        <v>#N/A</v>
      </c>
      <c r="J1333" s="31" t="s">
        <v>90</v>
      </c>
      <c r="K1333" s="134" t="s">
        <v>1745</v>
      </c>
      <c r="L1333" s="174"/>
      <c r="M1333" s="113" t="s">
        <v>986</v>
      </c>
      <c r="N1333" s="111">
        <v>42990</v>
      </c>
      <c r="O1333" s="193" t="s">
        <v>1746</v>
      </c>
      <c r="P1333" s="157">
        <v>9600</v>
      </c>
      <c r="Q1333" s="157">
        <v>5</v>
      </c>
      <c r="R1333" s="130">
        <f t="shared" si="33"/>
        <v>48000</v>
      </c>
      <c r="S1333" s="127">
        <v>202304</v>
      </c>
      <c r="T1333" s="194" t="s">
        <v>1770</v>
      </c>
      <c r="U1333" s="195"/>
      <c r="V1333" s="149"/>
      <c r="W1333" s="149"/>
      <c r="X1333" s="131"/>
      <c r="Y1333" s="131"/>
    </row>
    <row r="1334" s="86" customFormat="1" customHeight="1" spans="1:25">
      <c r="A1334" s="135" t="s">
        <v>448</v>
      </c>
      <c r="B1334" s="135" t="s">
        <v>62</v>
      </c>
      <c r="C1334" s="135" t="s">
        <v>238</v>
      </c>
      <c r="D1334" s="135" t="s">
        <v>642</v>
      </c>
      <c r="E1334" s="170" t="s">
        <v>1556</v>
      </c>
      <c r="F1334" s="135" t="s">
        <v>983</v>
      </c>
      <c r="G1334" s="171" t="s">
        <v>88</v>
      </c>
      <c r="H1334" s="202" t="s">
        <v>1744</v>
      </c>
      <c r="I1334" s="30" t="e">
        <f>VLOOKUP(H1334,'合同高级查询数据-4月返'!A:A,1,FALSE)</f>
        <v>#N/A</v>
      </c>
      <c r="J1334" s="31" t="s">
        <v>90</v>
      </c>
      <c r="K1334" s="134" t="s">
        <v>1745</v>
      </c>
      <c r="L1334" s="174"/>
      <c r="M1334" s="113" t="s">
        <v>986</v>
      </c>
      <c r="N1334" s="111">
        <v>42992</v>
      </c>
      <c r="O1334" s="193" t="s">
        <v>1746</v>
      </c>
      <c r="P1334" s="157">
        <v>9600</v>
      </c>
      <c r="Q1334" s="157">
        <v>7</v>
      </c>
      <c r="R1334" s="130">
        <f t="shared" si="33"/>
        <v>67200</v>
      </c>
      <c r="S1334" s="127">
        <v>202304</v>
      </c>
      <c r="T1334" s="194" t="s">
        <v>1771</v>
      </c>
      <c r="U1334" s="195"/>
      <c r="V1334" s="149"/>
      <c r="W1334" s="149"/>
      <c r="X1334" s="131"/>
      <c r="Y1334" s="131"/>
    </row>
    <row r="1335" s="86" customFormat="1" customHeight="1" spans="1:25">
      <c r="A1335" s="135" t="s">
        <v>448</v>
      </c>
      <c r="B1335" s="135" t="s">
        <v>62</v>
      </c>
      <c r="C1335" s="135" t="s">
        <v>238</v>
      </c>
      <c r="D1335" s="135" t="s">
        <v>642</v>
      </c>
      <c r="E1335" s="170" t="s">
        <v>1556</v>
      </c>
      <c r="F1335" s="135" t="s">
        <v>983</v>
      </c>
      <c r="G1335" s="171" t="s">
        <v>88</v>
      </c>
      <c r="H1335" s="202" t="s">
        <v>1744</v>
      </c>
      <c r="I1335" s="30" t="e">
        <f>VLOOKUP(H1335,'合同高级查询数据-4月返'!A:A,1,FALSE)</f>
        <v>#N/A</v>
      </c>
      <c r="J1335" s="31" t="s">
        <v>90</v>
      </c>
      <c r="K1335" s="134" t="s">
        <v>1745</v>
      </c>
      <c r="L1335" s="174"/>
      <c r="M1335" s="113" t="s">
        <v>986</v>
      </c>
      <c r="N1335" s="111">
        <v>42996</v>
      </c>
      <c r="O1335" s="193" t="s">
        <v>1746</v>
      </c>
      <c r="P1335" s="157">
        <v>9600</v>
      </c>
      <c r="Q1335" s="157">
        <v>1</v>
      </c>
      <c r="R1335" s="130">
        <f t="shared" si="33"/>
        <v>9600</v>
      </c>
      <c r="S1335" s="127">
        <v>202304</v>
      </c>
      <c r="T1335" s="194" t="s">
        <v>1772</v>
      </c>
      <c r="U1335" s="195"/>
      <c r="V1335" s="149"/>
      <c r="W1335" s="149"/>
      <c r="X1335" s="131"/>
      <c r="Y1335" s="131"/>
    </row>
    <row r="1336" s="86" customFormat="1" customHeight="1" spans="1:25">
      <c r="A1336" s="135" t="s">
        <v>448</v>
      </c>
      <c r="B1336" s="135" t="s">
        <v>62</v>
      </c>
      <c r="C1336" s="135" t="s">
        <v>238</v>
      </c>
      <c r="D1336" s="135" t="s">
        <v>642</v>
      </c>
      <c r="E1336" s="170" t="s">
        <v>1556</v>
      </c>
      <c r="F1336" s="135" t="s">
        <v>983</v>
      </c>
      <c r="G1336" s="171" t="s">
        <v>88</v>
      </c>
      <c r="H1336" s="202" t="s">
        <v>1744</v>
      </c>
      <c r="I1336" s="30" t="e">
        <f>VLOOKUP(H1336,'合同高级查询数据-4月返'!A:A,1,FALSE)</f>
        <v>#N/A</v>
      </c>
      <c r="J1336" s="31" t="s">
        <v>90</v>
      </c>
      <c r="K1336" s="134" t="s">
        <v>1745</v>
      </c>
      <c r="L1336" s="174"/>
      <c r="M1336" s="113" t="s">
        <v>986</v>
      </c>
      <c r="N1336" s="111">
        <v>43000</v>
      </c>
      <c r="O1336" s="193" t="s">
        <v>1746</v>
      </c>
      <c r="P1336" s="157">
        <v>9600</v>
      </c>
      <c r="Q1336" s="157">
        <v>10</v>
      </c>
      <c r="R1336" s="130">
        <f t="shared" si="33"/>
        <v>96000</v>
      </c>
      <c r="S1336" s="127">
        <v>202304</v>
      </c>
      <c r="T1336" s="194" t="s">
        <v>1773</v>
      </c>
      <c r="U1336" s="195"/>
      <c r="V1336" s="149"/>
      <c r="W1336" s="149"/>
      <c r="X1336" s="131"/>
      <c r="Y1336" s="131"/>
    </row>
    <row r="1337" s="86" customFormat="1" customHeight="1" spans="1:25">
      <c r="A1337" s="135" t="s">
        <v>448</v>
      </c>
      <c r="B1337" s="135" t="s">
        <v>62</v>
      </c>
      <c r="C1337" s="135" t="s">
        <v>238</v>
      </c>
      <c r="D1337" s="135" t="s">
        <v>642</v>
      </c>
      <c r="E1337" s="170" t="s">
        <v>1556</v>
      </c>
      <c r="F1337" s="135" t="s">
        <v>983</v>
      </c>
      <c r="G1337" s="171" t="s">
        <v>88</v>
      </c>
      <c r="H1337" s="202" t="s">
        <v>1744</v>
      </c>
      <c r="I1337" s="30" t="e">
        <f>VLOOKUP(H1337,'合同高级查询数据-4月返'!A:A,1,FALSE)</f>
        <v>#N/A</v>
      </c>
      <c r="J1337" s="31" t="s">
        <v>90</v>
      </c>
      <c r="K1337" s="134" t="s">
        <v>1745</v>
      </c>
      <c r="L1337" s="174"/>
      <c r="M1337" s="113" t="s">
        <v>986</v>
      </c>
      <c r="N1337" s="111">
        <v>43005</v>
      </c>
      <c r="O1337" s="193" t="s">
        <v>1746</v>
      </c>
      <c r="P1337" s="157">
        <v>9600</v>
      </c>
      <c r="Q1337" s="157">
        <v>13</v>
      </c>
      <c r="R1337" s="130">
        <f t="shared" si="33"/>
        <v>124800</v>
      </c>
      <c r="S1337" s="127">
        <v>202304</v>
      </c>
      <c r="T1337" s="194" t="s">
        <v>1774</v>
      </c>
      <c r="U1337" s="195"/>
      <c r="V1337" s="149"/>
      <c r="W1337" s="149"/>
      <c r="X1337" s="131"/>
      <c r="Y1337" s="131"/>
    </row>
    <row r="1338" s="86" customFormat="1" customHeight="1" spans="1:25">
      <c r="A1338" s="135" t="s">
        <v>448</v>
      </c>
      <c r="B1338" s="135" t="s">
        <v>62</v>
      </c>
      <c r="C1338" s="135" t="s">
        <v>238</v>
      </c>
      <c r="D1338" s="135" t="s">
        <v>642</v>
      </c>
      <c r="E1338" s="170" t="s">
        <v>1556</v>
      </c>
      <c r="F1338" s="135" t="s">
        <v>983</v>
      </c>
      <c r="G1338" s="171" t="s">
        <v>88</v>
      </c>
      <c r="H1338" s="202" t="s">
        <v>1744</v>
      </c>
      <c r="I1338" s="30" t="e">
        <f>VLOOKUP(H1338,'合同高级查询数据-4月返'!A:A,1,FALSE)</f>
        <v>#N/A</v>
      </c>
      <c r="J1338" s="31" t="s">
        <v>90</v>
      </c>
      <c r="K1338" s="134" t="s">
        <v>1745</v>
      </c>
      <c r="L1338" s="174"/>
      <c r="M1338" s="113" t="s">
        <v>986</v>
      </c>
      <c r="N1338" s="111">
        <v>43005</v>
      </c>
      <c r="O1338" s="193" t="s">
        <v>1746</v>
      </c>
      <c r="P1338" s="157">
        <v>9600</v>
      </c>
      <c r="Q1338" s="157">
        <v>4</v>
      </c>
      <c r="R1338" s="130">
        <f t="shared" si="33"/>
        <v>38400</v>
      </c>
      <c r="S1338" s="127">
        <v>202304</v>
      </c>
      <c r="T1338" s="194" t="s">
        <v>1775</v>
      </c>
      <c r="U1338" s="195"/>
      <c r="V1338" s="149"/>
      <c r="W1338" s="149"/>
      <c r="X1338" s="131"/>
      <c r="Y1338" s="131"/>
    </row>
    <row r="1339" s="86" customFormat="1" customHeight="1" spans="1:25">
      <c r="A1339" s="135" t="s">
        <v>448</v>
      </c>
      <c r="B1339" s="135" t="s">
        <v>62</v>
      </c>
      <c r="C1339" s="135" t="s">
        <v>238</v>
      </c>
      <c r="D1339" s="135" t="s">
        <v>642</v>
      </c>
      <c r="E1339" s="170" t="s">
        <v>1556</v>
      </c>
      <c r="F1339" s="135" t="s">
        <v>983</v>
      </c>
      <c r="G1339" s="171" t="s">
        <v>88</v>
      </c>
      <c r="H1339" s="202" t="s">
        <v>1744</v>
      </c>
      <c r="I1339" s="30" t="e">
        <f>VLOOKUP(H1339,'合同高级查询数据-4月返'!A:A,1,FALSE)</f>
        <v>#N/A</v>
      </c>
      <c r="J1339" s="31" t="s">
        <v>90</v>
      </c>
      <c r="K1339" s="134" t="s">
        <v>1745</v>
      </c>
      <c r="L1339" s="174"/>
      <c r="M1339" s="113" t="s">
        <v>986</v>
      </c>
      <c r="N1339" s="111">
        <v>43005</v>
      </c>
      <c r="O1339" s="193" t="s">
        <v>1746</v>
      </c>
      <c r="P1339" s="157">
        <v>9600</v>
      </c>
      <c r="Q1339" s="157">
        <v>1</v>
      </c>
      <c r="R1339" s="130">
        <f t="shared" si="33"/>
        <v>9600</v>
      </c>
      <c r="S1339" s="127">
        <v>202304</v>
      </c>
      <c r="T1339" s="194" t="s">
        <v>1776</v>
      </c>
      <c r="U1339" s="195"/>
      <c r="V1339" s="149"/>
      <c r="W1339" s="149"/>
      <c r="X1339" s="131"/>
      <c r="Y1339" s="131"/>
    </row>
    <row r="1340" s="86" customFormat="1" customHeight="1" spans="1:25">
      <c r="A1340" s="135" t="s">
        <v>448</v>
      </c>
      <c r="B1340" s="135" t="s">
        <v>62</v>
      </c>
      <c r="C1340" s="135" t="s">
        <v>238</v>
      </c>
      <c r="D1340" s="135" t="s">
        <v>642</v>
      </c>
      <c r="E1340" s="170" t="s">
        <v>1556</v>
      </c>
      <c r="F1340" s="135" t="s">
        <v>983</v>
      </c>
      <c r="G1340" s="171" t="s">
        <v>88</v>
      </c>
      <c r="H1340" s="202" t="s">
        <v>1744</v>
      </c>
      <c r="I1340" s="30" t="e">
        <f>VLOOKUP(H1340,'合同高级查询数据-4月返'!A:A,1,FALSE)</f>
        <v>#N/A</v>
      </c>
      <c r="J1340" s="31" t="s">
        <v>90</v>
      </c>
      <c r="K1340" s="134" t="s">
        <v>1745</v>
      </c>
      <c r="L1340" s="174"/>
      <c r="M1340" s="113" t="s">
        <v>986</v>
      </c>
      <c r="N1340" s="111">
        <v>43005</v>
      </c>
      <c r="O1340" s="193" t="s">
        <v>1746</v>
      </c>
      <c r="P1340" s="157">
        <v>9600</v>
      </c>
      <c r="Q1340" s="157">
        <v>6</v>
      </c>
      <c r="R1340" s="130">
        <f t="shared" si="33"/>
        <v>57600</v>
      </c>
      <c r="S1340" s="127">
        <v>202304</v>
      </c>
      <c r="T1340" s="194" t="s">
        <v>1777</v>
      </c>
      <c r="U1340" s="195"/>
      <c r="V1340" s="149"/>
      <c r="W1340" s="149"/>
      <c r="X1340" s="131"/>
      <c r="Y1340" s="131"/>
    </row>
    <row r="1341" s="86" customFormat="1" customHeight="1" spans="1:25">
      <c r="A1341" s="135" t="s">
        <v>448</v>
      </c>
      <c r="B1341" s="135" t="s">
        <v>62</v>
      </c>
      <c r="C1341" s="135" t="s">
        <v>238</v>
      </c>
      <c r="D1341" s="135" t="s">
        <v>642</v>
      </c>
      <c r="E1341" s="170" t="s">
        <v>1556</v>
      </c>
      <c r="F1341" s="135" t="s">
        <v>983</v>
      </c>
      <c r="G1341" s="171" t="s">
        <v>88</v>
      </c>
      <c r="H1341" s="202" t="s">
        <v>1744</v>
      </c>
      <c r="I1341" s="30" t="e">
        <f>VLOOKUP(H1341,'合同高级查询数据-4月返'!A:A,1,FALSE)</f>
        <v>#N/A</v>
      </c>
      <c r="J1341" s="31" t="s">
        <v>90</v>
      </c>
      <c r="K1341" s="134" t="s">
        <v>1745</v>
      </c>
      <c r="L1341" s="174"/>
      <c r="M1341" s="113" t="s">
        <v>986</v>
      </c>
      <c r="N1341" s="111">
        <v>43008</v>
      </c>
      <c r="O1341" s="193" t="s">
        <v>1746</v>
      </c>
      <c r="P1341" s="157">
        <v>9600</v>
      </c>
      <c r="Q1341" s="157">
        <v>10</v>
      </c>
      <c r="R1341" s="130">
        <f t="shared" si="33"/>
        <v>96000</v>
      </c>
      <c r="S1341" s="127">
        <v>202304</v>
      </c>
      <c r="T1341" s="194" t="s">
        <v>1778</v>
      </c>
      <c r="U1341" s="195"/>
      <c r="V1341" s="149"/>
      <c r="W1341" s="149"/>
      <c r="X1341" s="131"/>
      <c r="Y1341" s="131"/>
    </row>
    <row r="1342" s="86" customFormat="1" customHeight="1" spans="1:25">
      <c r="A1342" s="135" t="s">
        <v>448</v>
      </c>
      <c r="B1342" s="135" t="s">
        <v>62</v>
      </c>
      <c r="C1342" s="135" t="s">
        <v>238</v>
      </c>
      <c r="D1342" s="135" t="s">
        <v>642</v>
      </c>
      <c r="E1342" s="170" t="s">
        <v>1556</v>
      </c>
      <c r="F1342" s="135" t="s">
        <v>983</v>
      </c>
      <c r="G1342" s="171" t="s">
        <v>88</v>
      </c>
      <c r="H1342" s="202" t="s">
        <v>1744</v>
      </c>
      <c r="I1342" s="30" t="e">
        <f>VLOOKUP(H1342,'合同高级查询数据-4月返'!A:A,1,FALSE)</f>
        <v>#N/A</v>
      </c>
      <c r="J1342" s="31" t="s">
        <v>90</v>
      </c>
      <c r="K1342" s="134" t="s">
        <v>1745</v>
      </c>
      <c r="L1342" s="174"/>
      <c r="M1342" s="113" t="s">
        <v>986</v>
      </c>
      <c r="N1342" s="111">
        <v>43008</v>
      </c>
      <c r="O1342" s="193" t="s">
        <v>1746</v>
      </c>
      <c r="P1342" s="157">
        <v>9600</v>
      </c>
      <c r="Q1342" s="157">
        <v>14</v>
      </c>
      <c r="R1342" s="130">
        <f t="shared" si="33"/>
        <v>134400</v>
      </c>
      <c r="S1342" s="127">
        <v>202304</v>
      </c>
      <c r="T1342" s="194" t="s">
        <v>1779</v>
      </c>
      <c r="U1342" s="195"/>
      <c r="V1342" s="149"/>
      <c r="W1342" s="149"/>
      <c r="X1342" s="131"/>
      <c r="Y1342" s="131"/>
    </row>
    <row r="1343" s="86" customFormat="1" customHeight="1" spans="1:25">
      <c r="A1343" s="135" t="s">
        <v>448</v>
      </c>
      <c r="B1343" s="135" t="s">
        <v>62</v>
      </c>
      <c r="C1343" s="135" t="s">
        <v>238</v>
      </c>
      <c r="D1343" s="135" t="s">
        <v>642</v>
      </c>
      <c r="E1343" s="170" t="s">
        <v>1556</v>
      </c>
      <c r="F1343" s="135" t="s">
        <v>983</v>
      </c>
      <c r="G1343" s="171" t="s">
        <v>88</v>
      </c>
      <c r="H1343" s="202" t="s">
        <v>1744</v>
      </c>
      <c r="I1343" s="30" t="e">
        <f>VLOOKUP(H1343,'合同高级查询数据-4月返'!A:A,1,FALSE)</f>
        <v>#N/A</v>
      </c>
      <c r="J1343" s="31" t="s">
        <v>90</v>
      </c>
      <c r="K1343" s="134" t="s">
        <v>1745</v>
      </c>
      <c r="L1343" s="174"/>
      <c r="M1343" s="113" t="s">
        <v>986</v>
      </c>
      <c r="N1343" s="111">
        <v>43018</v>
      </c>
      <c r="O1343" s="193" t="s">
        <v>1746</v>
      </c>
      <c r="P1343" s="157">
        <v>9600</v>
      </c>
      <c r="Q1343" s="157">
        <v>18</v>
      </c>
      <c r="R1343" s="130">
        <f t="shared" si="33"/>
        <v>172800</v>
      </c>
      <c r="S1343" s="127">
        <v>202304</v>
      </c>
      <c r="T1343" s="194" t="s">
        <v>1780</v>
      </c>
      <c r="U1343" s="195"/>
      <c r="V1343" s="149"/>
      <c r="W1343" s="149"/>
      <c r="X1343" s="131"/>
      <c r="Y1343" s="131"/>
    </row>
    <row r="1344" s="86" customFormat="1" customHeight="1" spans="1:25">
      <c r="A1344" s="135" t="s">
        <v>448</v>
      </c>
      <c r="B1344" s="135" t="s">
        <v>62</v>
      </c>
      <c r="C1344" s="135" t="s">
        <v>238</v>
      </c>
      <c r="D1344" s="135" t="s">
        <v>642</v>
      </c>
      <c r="E1344" s="170" t="s">
        <v>1556</v>
      </c>
      <c r="F1344" s="135" t="s">
        <v>983</v>
      </c>
      <c r="G1344" s="171" t="s">
        <v>88</v>
      </c>
      <c r="H1344" s="202" t="s">
        <v>1744</v>
      </c>
      <c r="I1344" s="30" t="e">
        <f>VLOOKUP(H1344,'合同高级查询数据-4月返'!A:A,1,FALSE)</f>
        <v>#N/A</v>
      </c>
      <c r="J1344" s="31" t="s">
        <v>90</v>
      </c>
      <c r="K1344" s="134" t="s">
        <v>1745</v>
      </c>
      <c r="L1344" s="174"/>
      <c r="M1344" s="113" t="s">
        <v>986</v>
      </c>
      <c r="N1344" s="111">
        <v>43020</v>
      </c>
      <c r="O1344" s="193" t="s">
        <v>1746</v>
      </c>
      <c r="P1344" s="157">
        <v>9600</v>
      </c>
      <c r="Q1344" s="157">
        <v>1</v>
      </c>
      <c r="R1344" s="130">
        <f t="shared" si="33"/>
        <v>9600</v>
      </c>
      <c r="S1344" s="127">
        <v>202304</v>
      </c>
      <c r="T1344" s="194" t="s">
        <v>1781</v>
      </c>
      <c r="U1344" s="195"/>
      <c r="V1344" s="149"/>
      <c r="W1344" s="149"/>
      <c r="X1344" s="131"/>
      <c r="Y1344" s="131"/>
    </row>
    <row r="1345" s="86" customFormat="1" customHeight="1" spans="1:25">
      <c r="A1345" s="135" t="s">
        <v>448</v>
      </c>
      <c r="B1345" s="135" t="s">
        <v>62</v>
      </c>
      <c r="C1345" s="135" t="s">
        <v>238</v>
      </c>
      <c r="D1345" s="135" t="s">
        <v>642</v>
      </c>
      <c r="E1345" s="170" t="s">
        <v>1556</v>
      </c>
      <c r="F1345" s="135" t="s">
        <v>983</v>
      </c>
      <c r="G1345" s="171" t="s">
        <v>88</v>
      </c>
      <c r="H1345" s="202" t="s">
        <v>1744</v>
      </c>
      <c r="I1345" s="30" t="e">
        <f>VLOOKUP(H1345,'合同高级查询数据-4月返'!A:A,1,FALSE)</f>
        <v>#N/A</v>
      </c>
      <c r="J1345" s="31" t="s">
        <v>90</v>
      </c>
      <c r="K1345" s="134" t="s">
        <v>1745</v>
      </c>
      <c r="L1345" s="174"/>
      <c r="M1345" s="113" t="s">
        <v>986</v>
      </c>
      <c r="N1345" s="111">
        <v>43020</v>
      </c>
      <c r="O1345" s="193" t="s">
        <v>1746</v>
      </c>
      <c r="P1345" s="157">
        <v>9600</v>
      </c>
      <c r="Q1345" s="157">
        <v>9</v>
      </c>
      <c r="R1345" s="130">
        <f t="shared" si="33"/>
        <v>86400</v>
      </c>
      <c r="S1345" s="127">
        <v>202304</v>
      </c>
      <c r="T1345" s="194" t="s">
        <v>1782</v>
      </c>
      <c r="U1345" s="195"/>
      <c r="V1345" s="149"/>
      <c r="W1345" s="149"/>
      <c r="X1345" s="131"/>
      <c r="Y1345" s="131"/>
    </row>
    <row r="1346" s="86" customFormat="1" customHeight="1" spans="1:25">
      <c r="A1346" s="135" t="s">
        <v>448</v>
      </c>
      <c r="B1346" s="135" t="s">
        <v>62</v>
      </c>
      <c r="C1346" s="135" t="s">
        <v>238</v>
      </c>
      <c r="D1346" s="135" t="s">
        <v>642</v>
      </c>
      <c r="E1346" s="170" t="s">
        <v>1556</v>
      </c>
      <c r="F1346" s="135" t="s">
        <v>983</v>
      </c>
      <c r="G1346" s="171" t="s">
        <v>88</v>
      </c>
      <c r="H1346" s="202" t="s">
        <v>1744</v>
      </c>
      <c r="I1346" s="30" t="e">
        <f>VLOOKUP(H1346,'合同高级查询数据-4月返'!A:A,1,FALSE)</f>
        <v>#N/A</v>
      </c>
      <c r="J1346" s="31" t="s">
        <v>90</v>
      </c>
      <c r="K1346" s="134" t="s">
        <v>1745</v>
      </c>
      <c r="L1346" s="174"/>
      <c r="M1346" s="113" t="s">
        <v>986</v>
      </c>
      <c r="N1346" s="111">
        <v>43020</v>
      </c>
      <c r="O1346" s="193" t="s">
        <v>1746</v>
      </c>
      <c r="P1346" s="157">
        <v>9600</v>
      </c>
      <c r="Q1346" s="157">
        <v>9</v>
      </c>
      <c r="R1346" s="130">
        <f t="shared" si="33"/>
        <v>86400</v>
      </c>
      <c r="S1346" s="127">
        <v>202304</v>
      </c>
      <c r="T1346" s="194" t="s">
        <v>1783</v>
      </c>
      <c r="U1346" s="195"/>
      <c r="V1346" s="149"/>
      <c r="W1346" s="149"/>
      <c r="X1346" s="131"/>
      <c r="Y1346" s="131"/>
    </row>
    <row r="1347" s="86" customFormat="1" customHeight="1" spans="1:25">
      <c r="A1347" s="135" t="s">
        <v>448</v>
      </c>
      <c r="B1347" s="135" t="s">
        <v>62</v>
      </c>
      <c r="C1347" s="135" t="s">
        <v>238</v>
      </c>
      <c r="D1347" s="135" t="s">
        <v>642</v>
      </c>
      <c r="E1347" s="170" t="s">
        <v>1556</v>
      </c>
      <c r="F1347" s="135" t="s">
        <v>983</v>
      </c>
      <c r="G1347" s="171" t="s">
        <v>88</v>
      </c>
      <c r="H1347" s="202" t="s">
        <v>1744</v>
      </c>
      <c r="I1347" s="30" t="e">
        <f>VLOOKUP(H1347,'合同高级查询数据-4月返'!A:A,1,FALSE)</f>
        <v>#N/A</v>
      </c>
      <c r="J1347" s="31" t="s">
        <v>90</v>
      </c>
      <c r="K1347" s="134" t="s">
        <v>1745</v>
      </c>
      <c r="L1347" s="174"/>
      <c r="M1347" s="113" t="s">
        <v>986</v>
      </c>
      <c r="N1347" s="111">
        <v>43024</v>
      </c>
      <c r="O1347" s="193" t="s">
        <v>1746</v>
      </c>
      <c r="P1347" s="157">
        <v>9600</v>
      </c>
      <c r="Q1347" s="157">
        <v>2</v>
      </c>
      <c r="R1347" s="130">
        <f t="shared" si="33"/>
        <v>19200</v>
      </c>
      <c r="S1347" s="127">
        <v>202304</v>
      </c>
      <c r="T1347" s="194" t="s">
        <v>1784</v>
      </c>
      <c r="U1347" s="195"/>
      <c r="V1347" s="149"/>
      <c r="W1347" s="149"/>
      <c r="X1347" s="131"/>
      <c r="Y1347" s="131"/>
    </row>
    <row r="1348" s="86" customFormat="1" customHeight="1" spans="1:25">
      <c r="A1348" s="135" t="s">
        <v>448</v>
      </c>
      <c r="B1348" s="135" t="s">
        <v>62</v>
      </c>
      <c r="C1348" s="135" t="s">
        <v>238</v>
      </c>
      <c r="D1348" s="135" t="s">
        <v>642</v>
      </c>
      <c r="E1348" s="170" t="s">
        <v>1556</v>
      </c>
      <c r="F1348" s="135" t="s">
        <v>983</v>
      </c>
      <c r="G1348" s="171" t="s">
        <v>88</v>
      </c>
      <c r="H1348" s="202" t="s">
        <v>1744</v>
      </c>
      <c r="I1348" s="30" t="e">
        <f>VLOOKUP(H1348,'合同高级查询数据-4月返'!A:A,1,FALSE)</f>
        <v>#N/A</v>
      </c>
      <c r="J1348" s="31" t="s">
        <v>90</v>
      </c>
      <c r="K1348" s="134" t="s">
        <v>1745</v>
      </c>
      <c r="L1348" s="174"/>
      <c r="M1348" s="113" t="s">
        <v>986</v>
      </c>
      <c r="N1348" s="111">
        <v>43024</v>
      </c>
      <c r="O1348" s="193" t="s">
        <v>1746</v>
      </c>
      <c r="P1348" s="157">
        <v>9600</v>
      </c>
      <c r="Q1348" s="157">
        <v>1</v>
      </c>
      <c r="R1348" s="130">
        <f t="shared" si="33"/>
        <v>9600</v>
      </c>
      <c r="S1348" s="127">
        <v>202304</v>
      </c>
      <c r="T1348" s="194" t="s">
        <v>1785</v>
      </c>
      <c r="U1348" s="195"/>
      <c r="V1348" s="149"/>
      <c r="W1348" s="149"/>
      <c r="X1348" s="131"/>
      <c r="Y1348" s="131"/>
    </row>
    <row r="1349" s="86" customFormat="1" customHeight="1" spans="1:25">
      <c r="A1349" s="135" t="s">
        <v>448</v>
      </c>
      <c r="B1349" s="135" t="s">
        <v>62</v>
      </c>
      <c r="C1349" s="135" t="s">
        <v>238</v>
      </c>
      <c r="D1349" s="135" t="s">
        <v>642</v>
      </c>
      <c r="E1349" s="170" t="s">
        <v>1556</v>
      </c>
      <c r="F1349" s="135" t="s">
        <v>983</v>
      </c>
      <c r="G1349" s="171" t="s">
        <v>88</v>
      </c>
      <c r="H1349" s="202" t="s">
        <v>1744</v>
      </c>
      <c r="I1349" s="30" t="e">
        <f>VLOOKUP(H1349,'合同高级查询数据-4月返'!A:A,1,FALSE)</f>
        <v>#N/A</v>
      </c>
      <c r="J1349" s="31" t="s">
        <v>90</v>
      </c>
      <c r="K1349" s="134" t="s">
        <v>1745</v>
      </c>
      <c r="L1349" s="174"/>
      <c r="M1349" s="113" t="s">
        <v>986</v>
      </c>
      <c r="N1349" s="111">
        <v>43024</v>
      </c>
      <c r="O1349" s="193" t="s">
        <v>1746</v>
      </c>
      <c r="P1349" s="157">
        <v>9600</v>
      </c>
      <c r="Q1349" s="157">
        <v>2</v>
      </c>
      <c r="R1349" s="130">
        <f t="shared" si="33"/>
        <v>19200</v>
      </c>
      <c r="S1349" s="127">
        <v>202304</v>
      </c>
      <c r="T1349" s="194" t="s">
        <v>1786</v>
      </c>
      <c r="U1349" s="195"/>
      <c r="V1349" s="149"/>
      <c r="W1349" s="149"/>
      <c r="X1349" s="131"/>
      <c r="Y1349" s="131"/>
    </row>
    <row r="1350" s="86" customFormat="1" customHeight="1" spans="1:25">
      <c r="A1350" s="135" t="s">
        <v>448</v>
      </c>
      <c r="B1350" s="135" t="s">
        <v>62</v>
      </c>
      <c r="C1350" s="135" t="s">
        <v>238</v>
      </c>
      <c r="D1350" s="135" t="s">
        <v>642</v>
      </c>
      <c r="E1350" s="170" t="s">
        <v>1556</v>
      </c>
      <c r="F1350" s="135" t="s">
        <v>983</v>
      </c>
      <c r="G1350" s="171" t="s">
        <v>88</v>
      </c>
      <c r="H1350" s="202" t="s">
        <v>1744</v>
      </c>
      <c r="I1350" s="30" t="e">
        <f>VLOOKUP(H1350,'合同高级查询数据-4月返'!A:A,1,FALSE)</f>
        <v>#N/A</v>
      </c>
      <c r="J1350" s="31" t="s">
        <v>90</v>
      </c>
      <c r="K1350" s="134" t="s">
        <v>1745</v>
      </c>
      <c r="L1350" s="174"/>
      <c r="M1350" s="113" t="s">
        <v>986</v>
      </c>
      <c r="N1350" s="111">
        <v>43038</v>
      </c>
      <c r="O1350" s="193" t="s">
        <v>1746</v>
      </c>
      <c r="P1350" s="157">
        <v>9600</v>
      </c>
      <c r="Q1350" s="157">
        <v>6</v>
      </c>
      <c r="R1350" s="130">
        <f t="shared" si="33"/>
        <v>57600</v>
      </c>
      <c r="S1350" s="127">
        <v>202304</v>
      </c>
      <c r="T1350" s="194" t="s">
        <v>1787</v>
      </c>
      <c r="U1350" s="195"/>
      <c r="V1350" s="149"/>
      <c r="W1350" s="149"/>
      <c r="X1350" s="131"/>
      <c r="Y1350" s="131"/>
    </row>
    <row r="1351" s="86" customFormat="1" customHeight="1" spans="1:25">
      <c r="A1351" s="135" t="s">
        <v>448</v>
      </c>
      <c r="B1351" s="135" t="s">
        <v>62</v>
      </c>
      <c r="C1351" s="135" t="s">
        <v>238</v>
      </c>
      <c r="D1351" s="135" t="s">
        <v>642</v>
      </c>
      <c r="E1351" s="170" t="s">
        <v>1556</v>
      </c>
      <c r="F1351" s="135" t="s">
        <v>983</v>
      </c>
      <c r="G1351" s="171" t="s">
        <v>88</v>
      </c>
      <c r="H1351" s="202" t="s">
        <v>1744</v>
      </c>
      <c r="I1351" s="30" t="e">
        <f>VLOOKUP(H1351,'合同高级查询数据-4月返'!A:A,1,FALSE)</f>
        <v>#N/A</v>
      </c>
      <c r="J1351" s="31" t="s">
        <v>90</v>
      </c>
      <c r="K1351" s="134" t="s">
        <v>1745</v>
      </c>
      <c r="L1351" s="174"/>
      <c r="M1351" s="113" t="s">
        <v>986</v>
      </c>
      <c r="N1351" s="111">
        <v>43038</v>
      </c>
      <c r="O1351" s="193" t="s">
        <v>1746</v>
      </c>
      <c r="P1351" s="157">
        <v>9600</v>
      </c>
      <c r="Q1351" s="157">
        <v>5</v>
      </c>
      <c r="R1351" s="130">
        <f t="shared" si="33"/>
        <v>48000</v>
      </c>
      <c r="S1351" s="127">
        <v>202304</v>
      </c>
      <c r="T1351" s="194" t="s">
        <v>1788</v>
      </c>
      <c r="U1351" s="195"/>
      <c r="V1351" s="149"/>
      <c r="W1351" s="149"/>
      <c r="X1351" s="131"/>
      <c r="Y1351" s="131"/>
    </row>
    <row r="1352" s="86" customFormat="1" customHeight="1" spans="1:25">
      <c r="A1352" s="135" t="s">
        <v>448</v>
      </c>
      <c r="B1352" s="135" t="s">
        <v>62</v>
      </c>
      <c r="C1352" s="135" t="s">
        <v>238</v>
      </c>
      <c r="D1352" s="135" t="s">
        <v>642</v>
      </c>
      <c r="E1352" s="170" t="s">
        <v>1556</v>
      </c>
      <c r="F1352" s="135" t="s">
        <v>983</v>
      </c>
      <c r="G1352" s="171" t="s">
        <v>88</v>
      </c>
      <c r="H1352" s="202" t="s">
        <v>1744</v>
      </c>
      <c r="I1352" s="30" t="e">
        <f>VLOOKUP(H1352,'合同高级查询数据-4月返'!A:A,1,FALSE)</f>
        <v>#N/A</v>
      </c>
      <c r="J1352" s="31" t="s">
        <v>90</v>
      </c>
      <c r="K1352" s="134" t="s">
        <v>1745</v>
      </c>
      <c r="L1352" s="174"/>
      <c r="M1352" s="113" t="s">
        <v>986</v>
      </c>
      <c r="N1352" s="111">
        <v>43038</v>
      </c>
      <c r="O1352" s="193" t="s">
        <v>1746</v>
      </c>
      <c r="P1352" s="157">
        <v>9600</v>
      </c>
      <c r="Q1352" s="157">
        <v>2</v>
      </c>
      <c r="R1352" s="130">
        <f t="shared" si="33"/>
        <v>19200</v>
      </c>
      <c r="S1352" s="127">
        <v>202304</v>
      </c>
      <c r="T1352" s="194" t="s">
        <v>1789</v>
      </c>
      <c r="U1352" s="195"/>
      <c r="V1352" s="149"/>
      <c r="W1352" s="149"/>
      <c r="X1352" s="131"/>
      <c r="Y1352" s="131"/>
    </row>
    <row r="1353" s="86" customFormat="1" customHeight="1" spans="1:25">
      <c r="A1353" s="135" t="s">
        <v>448</v>
      </c>
      <c r="B1353" s="135" t="s">
        <v>62</v>
      </c>
      <c r="C1353" s="135" t="s">
        <v>238</v>
      </c>
      <c r="D1353" s="135" t="s">
        <v>642</v>
      </c>
      <c r="E1353" s="170" t="s">
        <v>1556</v>
      </c>
      <c r="F1353" s="135" t="s">
        <v>983</v>
      </c>
      <c r="G1353" s="171" t="s">
        <v>88</v>
      </c>
      <c r="H1353" s="202" t="s">
        <v>1744</v>
      </c>
      <c r="I1353" s="30" t="e">
        <f>VLOOKUP(H1353,'合同高级查询数据-4月返'!A:A,1,FALSE)</f>
        <v>#N/A</v>
      </c>
      <c r="J1353" s="31" t="s">
        <v>90</v>
      </c>
      <c r="K1353" s="134" t="s">
        <v>1745</v>
      </c>
      <c r="L1353" s="174"/>
      <c r="M1353" s="113" t="s">
        <v>986</v>
      </c>
      <c r="N1353" s="111">
        <v>43038</v>
      </c>
      <c r="O1353" s="193" t="s">
        <v>1746</v>
      </c>
      <c r="P1353" s="157">
        <v>9600</v>
      </c>
      <c r="Q1353" s="157">
        <v>2</v>
      </c>
      <c r="R1353" s="130">
        <f t="shared" si="33"/>
        <v>19200</v>
      </c>
      <c r="S1353" s="127">
        <v>202304</v>
      </c>
      <c r="T1353" s="194" t="s">
        <v>1790</v>
      </c>
      <c r="U1353" s="195"/>
      <c r="V1353" s="149"/>
      <c r="W1353" s="149"/>
      <c r="X1353" s="131"/>
      <c r="Y1353" s="131"/>
    </row>
    <row r="1354" s="86" customFormat="1" customHeight="1" spans="1:25">
      <c r="A1354" s="135" t="s">
        <v>448</v>
      </c>
      <c r="B1354" s="135" t="s">
        <v>62</v>
      </c>
      <c r="C1354" s="135" t="s">
        <v>238</v>
      </c>
      <c r="D1354" s="135" t="s">
        <v>642</v>
      </c>
      <c r="E1354" s="170" t="s">
        <v>1556</v>
      </c>
      <c r="F1354" s="135" t="s">
        <v>983</v>
      </c>
      <c r="G1354" s="171" t="s">
        <v>88</v>
      </c>
      <c r="H1354" s="202" t="s">
        <v>1744</v>
      </c>
      <c r="I1354" s="30" t="e">
        <f>VLOOKUP(H1354,'合同高级查询数据-4月返'!A:A,1,FALSE)</f>
        <v>#N/A</v>
      </c>
      <c r="J1354" s="31" t="s">
        <v>90</v>
      </c>
      <c r="K1354" s="134" t="s">
        <v>1745</v>
      </c>
      <c r="L1354" s="174"/>
      <c r="M1354" s="113" t="s">
        <v>986</v>
      </c>
      <c r="N1354" s="111">
        <v>43038</v>
      </c>
      <c r="O1354" s="193" t="s">
        <v>1746</v>
      </c>
      <c r="P1354" s="157">
        <v>9600</v>
      </c>
      <c r="Q1354" s="157">
        <v>2</v>
      </c>
      <c r="R1354" s="130">
        <f t="shared" si="33"/>
        <v>19200</v>
      </c>
      <c r="S1354" s="127">
        <v>202304</v>
      </c>
      <c r="T1354" s="194" t="s">
        <v>1791</v>
      </c>
      <c r="U1354" s="195"/>
      <c r="V1354" s="149"/>
      <c r="W1354" s="149"/>
      <c r="X1354" s="131"/>
      <c r="Y1354" s="131"/>
    </row>
    <row r="1355" s="86" customFormat="1" customHeight="1" spans="1:25">
      <c r="A1355" s="135" t="s">
        <v>448</v>
      </c>
      <c r="B1355" s="135" t="s">
        <v>62</v>
      </c>
      <c r="C1355" s="135" t="s">
        <v>238</v>
      </c>
      <c r="D1355" s="135" t="s">
        <v>642</v>
      </c>
      <c r="E1355" s="170" t="s">
        <v>1556</v>
      </c>
      <c r="F1355" s="135" t="s">
        <v>983</v>
      </c>
      <c r="G1355" s="171" t="s">
        <v>88</v>
      </c>
      <c r="H1355" s="202" t="s">
        <v>1744</v>
      </c>
      <c r="I1355" s="30" t="e">
        <f>VLOOKUP(H1355,'合同高级查询数据-4月返'!A:A,1,FALSE)</f>
        <v>#N/A</v>
      </c>
      <c r="J1355" s="31" t="s">
        <v>90</v>
      </c>
      <c r="K1355" s="134" t="s">
        <v>1745</v>
      </c>
      <c r="L1355" s="174"/>
      <c r="M1355" s="113" t="s">
        <v>986</v>
      </c>
      <c r="N1355" s="111">
        <v>43042</v>
      </c>
      <c r="O1355" s="193" t="s">
        <v>1746</v>
      </c>
      <c r="P1355" s="157">
        <v>9600</v>
      </c>
      <c r="Q1355" s="157">
        <v>4</v>
      </c>
      <c r="R1355" s="130">
        <f t="shared" si="33"/>
        <v>38400</v>
      </c>
      <c r="S1355" s="127">
        <v>202304</v>
      </c>
      <c r="T1355" s="194" t="s">
        <v>1792</v>
      </c>
      <c r="U1355" s="195"/>
      <c r="V1355" s="149"/>
      <c r="W1355" s="149"/>
      <c r="X1355" s="131"/>
      <c r="Y1355" s="131"/>
    </row>
    <row r="1356" s="86" customFormat="1" customHeight="1" spans="1:25">
      <c r="A1356" s="135" t="s">
        <v>448</v>
      </c>
      <c r="B1356" s="135" t="s">
        <v>62</v>
      </c>
      <c r="C1356" s="135" t="s">
        <v>238</v>
      </c>
      <c r="D1356" s="135" t="s">
        <v>642</v>
      </c>
      <c r="E1356" s="170" t="s">
        <v>1556</v>
      </c>
      <c r="F1356" s="135" t="s">
        <v>983</v>
      </c>
      <c r="G1356" s="171" t="s">
        <v>88</v>
      </c>
      <c r="H1356" s="202" t="s">
        <v>1744</v>
      </c>
      <c r="I1356" s="30" t="e">
        <f>VLOOKUP(H1356,'合同高级查询数据-4月返'!A:A,1,FALSE)</f>
        <v>#N/A</v>
      </c>
      <c r="J1356" s="31" t="s">
        <v>90</v>
      </c>
      <c r="K1356" s="134" t="s">
        <v>1745</v>
      </c>
      <c r="L1356" s="174"/>
      <c r="M1356" s="113" t="s">
        <v>986</v>
      </c>
      <c r="N1356" s="111">
        <v>43039</v>
      </c>
      <c r="O1356" s="193" t="s">
        <v>1746</v>
      </c>
      <c r="P1356" s="157">
        <v>9600</v>
      </c>
      <c r="Q1356" s="157">
        <v>3</v>
      </c>
      <c r="R1356" s="130">
        <f t="shared" si="33"/>
        <v>28800</v>
      </c>
      <c r="S1356" s="127">
        <v>202304</v>
      </c>
      <c r="T1356" s="194" t="s">
        <v>1793</v>
      </c>
      <c r="U1356" s="195"/>
      <c r="V1356" s="149"/>
      <c r="W1356" s="149"/>
      <c r="X1356" s="131"/>
      <c r="Y1356" s="131"/>
    </row>
    <row r="1357" s="86" customFormat="1" customHeight="1" spans="1:25">
      <c r="A1357" s="135" t="s">
        <v>448</v>
      </c>
      <c r="B1357" s="135" t="s">
        <v>62</v>
      </c>
      <c r="C1357" s="135" t="s">
        <v>238</v>
      </c>
      <c r="D1357" s="135" t="s">
        <v>642</v>
      </c>
      <c r="E1357" s="170" t="s">
        <v>1556</v>
      </c>
      <c r="F1357" s="135" t="s">
        <v>983</v>
      </c>
      <c r="G1357" s="171" t="s">
        <v>88</v>
      </c>
      <c r="H1357" s="202" t="s">
        <v>1744</v>
      </c>
      <c r="I1357" s="30" t="e">
        <f>VLOOKUP(H1357,'合同高级查询数据-4月返'!A:A,1,FALSE)</f>
        <v>#N/A</v>
      </c>
      <c r="J1357" s="31" t="s">
        <v>90</v>
      </c>
      <c r="K1357" s="134" t="s">
        <v>1745</v>
      </c>
      <c r="L1357" s="174"/>
      <c r="M1357" s="113" t="s">
        <v>986</v>
      </c>
      <c r="N1357" s="111">
        <v>43041</v>
      </c>
      <c r="O1357" s="193" t="s">
        <v>1746</v>
      </c>
      <c r="P1357" s="157">
        <v>9600</v>
      </c>
      <c r="Q1357" s="157">
        <v>3</v>
      </c>
      <c r="R1357" s="130">
        <f t="shared" si="33"/>
        <v>28800</v>
      </c>
      <c r="S1357" s="127">
        <v>202304</v>
      </c>
      <c r="T1357" s="194" t="s">
        <v>1794</v>
      </c>
      <c r="U1357" s="195"/>
      <c r="V1357" s="149"/>
      <c r="W1357" s="149"/>
      <c r="X1357" s="131"/>
      <c r="Y1357" s="131"/>
    </row>
    <row r="1358" s="86" customFormat="1" customHeight="1" spans="1:25">
      <c r="A1358" s="135" t="s">
        <v>448</v>
      </c>
      <c r="B1358" s="135" t="s">
        <v>62</v>
      </c>
      <c r="C1358" s="135" t="s">
        <v>238</v>
      </c>
      <c r="D1358" s="135" t="s">
        <v>642</v>
      </c>
      <c r="E1358" s="170" t="s">
        <v>1556</v>
      </c>
      <c r="F1358" s="135" t="s">
        <v>983</v>
      </c>
      <c r="G1358" s="171" t="s">
        <v>88</v>
      </c>
      <c r="H1358" s="202" t="s">
        <v>1744</v>
      </c>
      <c r="I1358" s="30" t="e">
        <f>VLOOKUP(H1358,'合同高级查询数据-4月返'!A:A,1,FALSE)</f>
        <v>#N/A</v>
      </c>
      <c r="J1358" s="31" t="s">
        <v>90</v>
      </c>
      <c r="K1358" s="134" t="s">
        <v>1745</v>
      </c>
      <c r="L1358" s="174"/>
      <c r="M1358" s="113" t="s">
        <v>986</v>
      </c>
      <c r="N1358" s="111">
        <v>43040</v>
      </c>
      <c r="O1358" s="193" t="s">
        <v>1746</v>
      </c>
      <c r="P1358" s="157">
        <v>9600</v>
      </c>
      <c r="Q1358" s="157">
        <v>2</v>
      </c>
      <c r="R1358" s="130">
        <f t="shared" si="33"/>
        <v>19200</v>
      </c>
      <c r="S1358" s="127">
        <v>202304</v>
      </c>
      <c r="T1358" s="194" t="s">
        <v>1795</v>
      </c>
      <c r="U1358" s="195"/>
      <c r="V1358" s="149"/>
      <c r="W1358" s="149"/>
      <c r="X1358" s="131"/>
      <c r="Y1358" s="131"/>
    </row>
    <row r="1359" s="86" customFormat="1" customHeight="1" spans="1:25">
      <c r="A1359" s="135" t="s">
        <v>448</v>
      </c>
      <c r="B1359" s="135" t="s">
        <v>62</v>
      </c>
      <c r="C1359" s="135" t="s">
        <v>238</v>
      </c>
      <c r="D1359" s="135" t="s">
        <v>642</v>
      </c>
      <c r="E1359" s="170" t="s">
        <v>1556</v>
      </c>
      <c r="F1359" s="135" t="s">
        <v>983</v>
      </c>
      <c r="G1359" s="171" t="s">
        <v>88</v>
      </c>
      <c r="H1359" s="202" t="s">
        <v>1744</v>
      </c>
      <c r="I1359" s="30" t="e">
        <f>VLOOKUP(H1359,'合同高级查询数据-4月返'!A:A,1,FALSE)</f>
        <v>#N/A</v>
      </c>
      <c r="J1359" s="31" t="s">
        <v>90</v>
      </c>
      <c r="K1359" s="134" t="s">
        <v>1745</v>
      </c>
      <c r="L1359" s="174"/>
      <c r="M1359" s="113" t="s">
        <v>986</v>
      </c>
      <c r="N1359" s="111">
        <v>43040</v>
      </c>
      <c r="O1359" s="193" t="s">
        <v>1746</v>
      </c>
      <c r="P1359" s="157">
        <v>9600</v>
      </c>
      <c r="Q1359" s="157">
        <v>4</v>
      </c>
      <c r="R1359" s="130">
        <f t="shared" si="33"/>
        <v>38400</v>
      </c>
      <c r="S1359" s="127">
        <v>202304</v>
      </c>
      <c r="T1359" s="194" t="s">
        <v>1796</v>
      </c>
      <c r="U1359" s="195"/>
      <c r="V1359" s="149"/>
      <c r="W1359" s="149"/>
      <c r="X1359" s="131"/>
      <c r="Y1359" s="131"/>
    </row>
    <row r="1360" s="86" customFormat="1" customHeight="1" spans="1:25">
      <c r="A1360" s="135" t="s">
        <v>448</v>
      </c>
      <c r="B1360" s="135" t="s">
        <v>62</v>
      </c>
      <c r="C1360" s="135" t="s">
        <v>238</v>
      </c>
      <c r="D1360" s="135" t="s">
        <v>642</v>
      </c>
      <c r="E1360" s="170" t="s">
        <v>1556</v>
      </c>
      <c r="F1360" s="135" t="s">
        <v>983</v>
      </c>
      <c r="G1360" s="171" t="s">
        <v>88</v>
      </c>
      <c r="H1360" s="202" t="s">
        <v>1744</v>
      </c>
      <c r="I1360" s="30" t="e">
        <f>VLOOKUP(H1360,'合同高级查询数据-4月返'!A:A,1,FALSE)</f>
        <v>#N/A</v>
      </c>
      <c r="J1360" s="31" t="s">
        <v>90</v>
      </c>
      <c r="K1360" s="134" t="s">
        <v>1745</v>
      </c>
      <c r="L1360" s="174"/>
      <c r="M1360" s="113" t="s">
        <v>986</v>
      </c>
      <c r="N1360" s="111">
        <v>43053</v>
      </c>
      <c r="O1360" s="193" t="s">
        <v>1746</v>
      </c>
      <c r="P1360" s="157">
        <v>9600</v>
      </c>
      <c r="Q1360" s="157">
        <v>1</v>
      </c>
      <c r="R1360" s="130">
        <f t="shared" si="33"/>
        <v>9600</v>
      </c>
      <c r="S1360" s="127">
        <v>202304</v>
      </c>
      <c r="T1360" s="194" t="s">
        <v>1797</v>
      </c>
      <c r="U1360" s="195"/>
      <c r="V1360" s="149"/>
      <c r="W1360" s="149"/>
      <c r="X1360" s="131"/>
      <c r="Y1360" s="131"/>
    </row>
    <row r="1361" s="86" customFormat="1" customHeight="1" spans="1:25">
      <c r="A1361" s="135" t="s">
        <v>448</v>
      </c>
      <c r="B1361" s="135" t="s">
        <v>62</v>
      </c>
      <c r="C1361" s="135" t="s">
        <v>238</v>
      </c>
      <c r="D1361" s="135" t="s">
        <v>642</v>
      </c>
      <c r="E1361" s="170" t="s">
        <v>1556</v>
      </c>
      <c r="F1361" s="135" t="s">
        <v>983</v>
      </c>
      <c r="G1361" s="171" t="s">
        <v>88</v>
      </c>
      <c r="H1361" s="202" t="s">
        <v>1744</v>
      </c>
      <c r="I1361" s="30" t="e">
        <f>VLOOKUP(H1361,'合同高级查询数据-4月返'!A:A,1,FALSE)</f>
        <v>#N/A</v>
      </c>
      <c r="J1361" s="31" t="s">
        <v>90</v>
      </c>
      <c r="K1361" s="134" t="s">
        <v>1745</v>
      </c>
      <c r="L1361" s="174"/>
      <c r="M1361" s="113" t="s">
        <v>986</v>
      </c>
      <c r="N1361" s="111">
        <v>43055</v>
      </c>
      <c r="O1361" s="193" t="s">
        <v>1746</v>
      </c>
      <c r="P1361" s="157">
        <v>9600</v>
      </c>
      <c r="Q1361" s="157">
        <v>6</v>
      </c>
      <c r="R1361" s="130">
        <f t="shared" si="33"/>
        <v>57600</v>
      </c>
      <c r="S1361" s="127">
        <v>202304</v>
      </c>
      <c r="T1361" s="194" t="s">
        <v>1798</v>
      </c>
      <c r="U1361" s="195"/>
      <c r="V1361" s="149"/>
      <c r="W1361" s="149"/>
      <c r="X1361" s="131"/>
      <c r="Y1361" s="131"/>
    </row>
    <row r="1362" s="86" customFormat="1" customHeight="1" spans="1:25">
      <c r="A1362" s="135" t="s">
        <v>448</v>
      </c>
      <c r="B1362" s="135" t="s">
        <v>62</v>
      </c>
      <c r="C1362" s="135" t="s">
        <v>238</v>
      </c>
      <c r="D1362" s="135" t="s">
        <v>642</v>
      </c>
      <c r="E1362" s="170" t="s">
        <v>1556</v>
      </c>
      <c r="F1362" s="135" t="s">
        <v>983</v>
      </c>
      <c r="G1362" s="171" t="s">
        <v>88</v>
      </c>
      <c r="H1362" s="202" t="s">
        <v>1744</v>
      </c>
      <c r="I1362" s="30" t="e">
        <f>VLOOKUP(H1362,'合同高级查询数据-4月返'!A:A,1,FALSE)</f>
        <v>#N/A</v>
      </c>
      <c r="J1362" s="31" t="s">
        <v>90</v>
      </c>
      <c r="K1362" s="134" t="s">
        <v>1745</v>
      </c>
      <c r="L1362" s="174"/>
      <c r="M1362" s="113" t="s">
        <v>986</v>
      </c>
      <c r="N1362" s="111">
        <v>43056</v>
      </c>
      <c r="O1362" s="193" t="s">
        <v>1746</v>
      </c>
      <c r="P1362" s="157">
        <v>9600</v>
      </c>
      <c r="Q1362" s="157">
        <v>1</v>
      </c>
      <c r="R1362" s="130">
        <f t="shared" si="33"/>
        <v>9600</v>
      </c>
      <c r="S1362" s="127">
        <v>202304</v>
      </c>
      <c r="T1362" s="194" t="s">
        <v>1799</v>
      </c>
      <c r="U1362" s="195"/>
      <c r="V1362" s="149"/>
      <c r="W1362" s="149"/>
      <c r="X1362" s="131"/>
      <c r="Y1362" s="131"/>
    </row>
    <row r="1363" s="86" customFormat="1" customHeight="1" spans="1:25">
      <c r="A1363" s="135" t="s">
        <v>448</v>
      </c>
      <c r="B1363" s="135" t="s">
        <v>62</v>
      </c>
      <c r="C1363" s="135" t="s">
        <v>238</v>
      </c>
      <c r="D1363" s="135" t="s">
        <v>642</v>
      </c>
      <c r="E1363" s="170" t="s">
        <v>1556</v>
      </c>
      <c r="F1363" s="135" t="s">
        <v>983</v>
      </c>
      <c r="G1363" s="171" t="s">
        <v>88</v>
      </c>
      <c r="H1363" s="202" t="s">
        <v>1744</v>
      </c>
      <c r="I1363" s="30" t="e">
        <f>VLOOKUP(H1363,'合同高级查询数据-4月返'!A:A,1,FALSE)</f>
        <v>#N/A</v>
      </c>
      <c r="J1363" s="31" t="s">
        <v>90</v>
      </c>
      <c r="K1363" s="134" t="s">
        <v>1745</v>
      </c>
      <c r="L1363" s="174"/>
      <c r="M1363" s="113" t="s">
        <v>986</v>
      </c>
      <c r="N1363" s="111">
        <v>43056</v>
      </c>
      <c r="O1363" s="193" t="s">
        <v>1746</v>
      </c>
      <c r="P1363" s="157">
        <v>9600</v>
      </c>
      <c r="Q1363" s="157">
        <v>3</v>
      </c>
      <c r="R1363" s="130">
        <f t="shared" si="33"/>
        <v>28800</v>
      </c>
      <c r="S1363" s="127">
        <v>202304</v>
      </c>
      <c r="T1363" s="251" t="s">
        <v>1800</v>
      </c>
      <c r="U1363" s="252"/>
      <c r="V1363" s="149"/>
      <c r="W1363" s="149"/>
      <c r="X1363" s="131"/>
      <c r="Y1363" s="131"/>
    </row>
    <row r="1364" s="86" customFormat="1" customHeight="1" spans="1:25">
      <c r="A1364" s="135" t="s">
        <v>448</v>
      </c>
      <c r="B1364" s="135" t="s">
        <v>62</v>
      </c>
      <c r="C1364" s="135" t="s">
        <v>238</v>
      </c>
      <c r="D1364" s="135" t="s">
        <v>642</v>
      </c>
      <c r="E1364" s="170" t="s">
        <v>1556</v>
      </c>
      <c r="F1364" s="135" t="s">
        <v>983</v>
      </c>
      <c r="G1364" s="171" t="s">
        <v>88</v>
      </c>
      <c r="H1364" s="202" t="s">
        <v>1744</v>
      </c>
      <c r="I1364" s="30" t="e">
        <f>VLOOKUP(H1364,'合同高级查询数据-4月返'!A:A,1,FALSE)</f>
        <v>#N/A</v>
      </c>
      <c r="J1364" s="31" t="s">
        <v>90</v>
      </c>
      <c r="K1364" s="134" t="s">
        <v>1745</v>
      </c>
      <c r="L1364" s="174"/>
      <c r="M1364" s="113" t="s">
        <v>986</v>
      </c>
      <c r="N1364" s="111">
        <v>43061</v>
      </c>
      <c r="O1364" s="193" t="s">
        <v>1746</v>
      </c>
      <c r="P1364" s="157">
        <v>9600</v>
      </c>
      <c r="Q1364" s="157">
        <v>4</v>
      </c>
      <c r="R1364" s="130">
        <f t="shared" si="33"/>
        <v>38400</v>
      </c>
      <c r="S1364" s="127">
        <v>202304</v>
      </c>
      <c r="T1364" s="251" t="s">
        <v>1801</v>
      </c>
      <c r="U1364" s="252"/>
      <c r="V1364" s="149"/>
      <c r="W1364" s="149"/>
      <c r="X1364" s="131"/>
      <c r="Y1364" s="131"/>
    </row>
    <row r="1365" s="86" customFormat="1" customHeight="1" spans="1:25">
      <c r="A1365" s="135" t="s">
        <v>448</v>
      </c>
      <c r="B1365" s="135" t="s">
        <v>62</v>
      </c>
      <c r="C1365" s="135" t="s">
        <v>238</v>
      </c>
      <c r="D1365" s="135" t="s">
        <v>642</v>
      </c>
      <c r="E1365" s="170" t="s">
        <v>1556</v>
      </c>
      <c r="F1365" s="135" t="s">
        <v>983</v>
      </c>
      <c r="G1365" s="171" t="s">
        <v>88</v>
      </c>
      <c r="H1365" s="202" t="s">
        <v>1744</v>
      </c>
      <c r="I1365" s="30" t="e">
        <f>VLOOKUP(H1365,'合同高级查询数据-4月返'!A:A,1,FALSE)</f>
        <v>#N/A</v>
      </c>
      <c r="J1365" s="31" t="s">
        <v>90</v>
      </c>
      <c r="K1365" s="134" t="s">
        <v>1745</v>
      </c>
      <c r="L1365" s="174"/>
      <c r="M1365" s="113" t="s">
        <v>986</v>
      </c>
      <c r="N1365" s="111">
        <v>43067</v>
      </c>
      <c r="O1365" s="193" t="s">
        <v>1746</v>
      </c>
      <c r="P1365" s="157">
        <v>9600</v>
      </c>
      <c r="Q1365" s="157">
        <v>2</v>
      </c>
      <c r="R1365" s="130">
        <f t="shared" si="33"/>
        <v>19200</v>
      </c>
      <c r="S1365" s="127">
        <v>202304</v>
      </c>
      <c r="T1365" s="251" t="s">
        <v>1802</v>
      </c>
      <c r="U1365" s="252"/>
      <c r="V1365" s="149"/>
      <c r="W1365" s="149"/>
      <c r="X1365" s="131"/>
      <c r="Y1365" s="131"/>
    </row>
    <row r="1366" s="86" customFormat="1" customHeight="1" spans="1:25">
      <c r="A1366" s="135" t="s">
        <v>448</v>
      </c>
      <c r="B1366" s="135" t="s">
        <v>62</v>
      </c>
      <c r="C1366" s="135" t="s">
        <v>238</v>
      </c>
      <c r="D1366" s="135" t="s">
        <v>642</v>
      </c>
      <c r="E1366" s="170" t="s">
        <v>1556</v>
      </c>
      <c r="F1366" s="135" t="s">
        <v>983</v>
      </c>
      <c r="G1366" s="171" t="s">
        <v>88</v>
      </c>
      <c r="H1366" s="202" t="s">
        <v>1744</v>
      </c>
      <c r="I1366" s="30" t="e">
        <f>VLOOKUP(H1366,'合同高级查询数据-4月返'!A:A,1,FALSE)</f>
        <v>#N/A</v>
      </c>
      <c r="J1366" s="31" t="s">
        <v>90</v>
      </c>
      <c r="K1366" s="134" t="s">
        <v>1745</v>
      </c>
      <c r="L1366" s="174"/>
      <c r="M1366" s="113" t="s">
        <v>986</v>
      </c>
      <c r="N1366" s="111">
        <v>43067</v>
      </c>
      <c r="O1366" s="193" t="s">
        <v>1746</v>
      </c>
      <c r="P1366" s="157">
        <v>9600</v>
      </c>
      <c r="Q1366" s="157">
        <v>5</v>
      </c>
      <c r="R1366" s="130">
        <f t="shared" si="33"/>
        <v>48000</v>
      </c>
      <c r="S1366" s="127">
        <v>202304</v>
      </c>
      <c r="T1366" s="251" t="s">
        <v>1803</v>
      </c>
      <c r="U1366" s="252"/>
      <c r="V1366" s="149"/>
      <c r="W1366" s="149"/>
      <c r="X1366" s="131"/>
      <c r="Y1366" s="131"/>
    </row>
    <row r="1367" s="86" customFormat="1" customHeight="1" spans="1:25">
      <c r="A1367" s="135" t="s">
        <v>448</v>
      </c>
      <c r="B1367" s="135" t="s">
        <v>62</v>
      </c>
      <c r="C1367" s="135" t="s">
        <v>238</v>
      </c>
      <c r="D1367" s="135" t="s">
        <v>642</v>
      </c>
      <c r="E1367" s="170" t="s">
        <v>1556</v>
      </c>
      <c r="F1367" s="135" t="s">
        <v>983</v>
      </c>
      <c r="G1367" s="171" t="s">
        <v>88</v>
      </c>
      <c r="H1367" s="202" t="s">
        <v>1744</v>
      </c>
      <c r="I1367" s="30" t="e">
        <f>VLOOKUP(H1367,'合同高级查询数据-4月返'!A:A,1,FALSE)</f>
        <v>#N/A</v>
      </c>
      <c r="J1367" s="31" t="s">
        <v>90</v>
      </c>
      <c r="K1367" s="134" t="s">
        <v>1745</v>
      </c>
      <c r="L1367" s="174"/>
      <c r="M1367" s="113" t="s">
        <v>986</v>
      </c>
      <c r="N1367" s="111">
        <v>43081</v>
      </c>
      <c r="O1367" s="193" t="s">
        <v>1746</v>
      </c>
      <c r="P1367" s="157">
        <v>9600</v>
      </c>
      <c r="Q1367" s="157">
        <v>1</v>
      </c>
      <c r="R1367" s="130">
        <f t="shared" si="33"/>
        <v>9600</v>
      </c>
      <c r="S1367" s="127">
        <v>202304</v>
      </c>
      <c r="T1367" s="251" t="s">
        <v>1804</v>
      </c>
      <c r="U1367" s="252"/>
      <c r="V1367" s="149"/>
      <c r="W1367" s="149"/>
      <c r="X1367" s="131"/>
      <c r="Y1367" s="131"/>
    </row>
    <row r="1368" s="86" customFormat="1" customHeight="1" spans="1:25">
      <c r="A1368" s="135" t="s">
        <v>448</v>
      </c>
      <c r="B1368" s="135" t="s">
        <v>62</v>
      </c>
      <c r="C1368" s="135" t="s">
        <v>238</v>
      </c>
      <c r="D1368" s="135" t="s">
        <v>642</v>
      </c>
      <c r="E1368" s="170" t="s">
        <v>1556</v>
      </c>
      <c r="F1368" s="135" t="s">
        <v>983</v>
      </c>
      <c r="G1368" s="171" t="s">
        <v>88</v>
      </c>
      <c r="H1368" s="202" t="s">
        <v>1744</v>
      </c>
      <c r="I1368" s="30" t="e">
        <f>VLOOKUP(H1368,'合同高级查询数据-4月返'!A:A,1,FALSE)</f>
        <v>#N/A</v>
      </c>
      <c r="J1368" s="31" t="s">
        <v>90</v>
      </c>
      <c r="K1368" s="134" t="s">
        <v>1745</v>
      </c>
      <c r="L1368" s="174"/>
      <c r="M1368" s="113" t="s">
        <v>986</v>
      </c>
      <c r="N1368" s="111">
        <v>43084</v>
      </c>
      <c r="O1368" s="193" t="s">
        <v>1746</v>
      </c>
      <c r="P1368" s="157">
        <v>9600</v>
      </c>
      <c r="Q1368" s="157">
        <v>2</v>
      </c>
      <c r="R1368" s="130">
        <f t="shared" si="33"/>
        <v>19200</v>
      </c>
      <c r="S1368" s="127">
        <v>202304</v>
      </c>
      <c r="T1368" s="251" t="s">
        <v>1805</v>
      </c>
      <c r="U1368" s="252"/>
      <c r="V1368" s="149"/>
      <c r="W1368" s="149"/>
      <c r="X1368" s="131"/>
      <c r="Y1368" s="131"/>
    </row>
    <row r="1369" s="86" customFormat="1" customHeight="1" spans="1:25">
      <c r="A1369" s="135" t="s">
        <v>448</v>
      </c>
      <c r="B1369" s="135" t="s">
        <v>62</v>
      </c>
      <c r="C1369" s="135" t="s">
        <v>238</v>
      </c>
      <c r="D1369" s="135" t="s">
        <v>642</v>
      </c>
      <c r="E1369" s="170" t="s">
        <v>1556</v>
      </c>
      <c r="F1369" s="135" t="s">
        <v>983</v>
      </c>
      <c r="G1369" s="171" t="s">
        <v>88</v>
      </c>
      <c r="H1369" s="202" t="s">
        <v>1744</v>
      </c>
      <c r="I1369" s="30" t="e">
        <f>VLOOKUP(H1369,'合同高级查询数据-4月返'!A:A,1,FALSE)</f>
        <v>#N/A</v>
      </c>
      <c r="J1369" s="31" t="s">
        <v>90</v>
      </c>
      <c r="K1369" s="134" t="s">
        <v>1745</v>
      </c>
      <c r="L1369" s="174"/>
      <c r="M1369" s="113" t="s">
        <v>986</v>
      </c>
      <c r="N1369" s="111">
        <v>43091</v>
      </c>
      <c r="O1369" s="193" t="s">
        <v>1746</v>
      </c>
      <c r="P1369" s="157">
        <v>9600</v>
      </c>
      <c r="Q1369" s="157">
        <v>2</v>
      </c>
      <c r="R1369" s="130">
        <f t="shared" si="33"/>
        <v>19200</v>
      </c>
      <c r="S1369" s="127">
        <v>202304</v>
      </c>
      <c r="T1369" s="251" t="s">
        <v>1806</v>
      </c>
      <c r="U1369" s="252"/>
      <c r="V1369" s="149"/>
      <c r="W1369" s="149"/>
      <c r="X1369" s="131"/>
      <c r="Y1369" s="131"/>
    </row>
    <row r="1370" s="86" customFormat="1" customHeight="1" spans="1:25">
      <c r="A1370" s="135" t="s">
        <v>448</v>
      </c>
      <c r="B1370" s="135" t="s">
        <v>62</v>
      </c>
      <c r="C1370" s="135" t="s">
        <v>238</v>
      </c>
      <c r="D1370" s="135" t="s">
        <v>642</v>
      </c>
      <c r="E1370" s="170" t="s">
        <v>1556</v>
      </c>
      <c r="F1370" s="135" t="s">
        <v>983</v>
      </c>
      <c r="G1370" s="171" t="s">
        <v>88</v>
      </c>
      <c r="H1370" s="202" t="s">
        <v>1744</v>
      </c>
      <c r="I1370" s="30" t="e">
        <f>VLOOKUP(H1370,'合同高级查询数据-4月返'!A:A,1,FALSE)</f>
        <v>#N/A</v>
      </c>
      <c r="J1370" s="31" t="s">
        <v>90</v>
      </c>
      <c r="K1370" s="134" t="s">
        <v>1745</v>
      </c>
      <c r="L1370" s="174"/>
      <c r="M1370" s="113" t="s">
        <v>986</v>
      </c>
      <c r="N1370" s="111">
        <v>43091</v>
      </c>
      <c r="O1370" s="193" t="s">
        <v>1746</v>
      </c>
      <c r="P1370" s="157">
        <v>9600</v>
      </c>
      <c r="Q1370" s="157">
        <v>5</v>
      </c>
      <c r="R1370" s="130">
        <f t="shared" si="33"/>
        <v>48000</v>
      </c>
      <c r="S1370" s="127">
        <v>202304</v>
      </c>
      <c r="T1370" s="251" t="s">
        <v>1807</v>
      </c>
      <c r="U1370" s="252"/>
      <c r="V1370" s="149"/>
      <c r="W1370" s="149"/>
      <c r="X1370" s="131"/>
      <c r="Y1370" s="131"/>
    </row>
    <row r="1371" s="86" customFormat="1" customHeight="1" spans="1:25">
      <c r="A1371" s="135" t="s">
        <v>448</v>
      </c>
      <c r="B1371" s="135" t="s">
        <v>62</v>
      </c>
      <c r="C1371" s="135" t="s">
        <v>238</v>
      </c>
      <c r="D1371" s="135" t="s">
        <v>642</v>
      </c>
      <c r="E1371" s="170" t="s">
        <v>1556</v>
      </c>
      <c r="F1371" s="135" t="s">
        <v>983</v>
      </c>
      <c r="G1371" s="171" t="s">
        <v>88</v>
      </c>
      <c r="H1371" s="202" t="s">
        <v>1744</v>
      </c>
      <c r="I1371" s="30" t="e">
        <f>VLOOKUP(H1371,'合同高级查询数据-4月返'!A:A,1,FALSE)</f>
        <v>#N/A</v>
      </c>
      <c r="J1371" s="31" t="s">
        <v>90</v>
      </c>
      <c r="K1371" s="134" t="s">
        <v>1745</v>
      </c>
      <c r="L1371" s="174"/>
      <c r="M1371" s="113" t="s">
        <v>986</v>
      </c>
      <c r="N1371" s="111">
        <v>43091</v>
      </c>
      <c r="O1371" s="193" t="s">
        <v>1746</v>
      </c>
      <c r="P1371" s="157">
        <v>9600</v>
      </c>
      <c r="Q1371" s="157">
        <v>1</v>
      </c>
      <c r="R1371" s="130">
        <f t="shared" si="33"/>
        <v>9600</v>
      </c>
      <c r="S1371" s="127">
        <v>202304</v>
      </c>
      <c r="T1371" s="251" t="s">
        <v>1808</v>
      </c>
      <c r="U1371" s="252"/>
      <c r="V1371" s="149"/>
      <c r="W1371" s="149"/>
      <c r="X1371" s="131"/>
      <c r="Y1371" s="131"/>
    </row>
    <row r="1372" s="86" customFormat="1" customHeight="1" spans="1:25">
      <c r="A1372" s="135" t="s">
        <v>448</v>
      </c>
      <c r="B1372" s="135" t="s">
        <v>62</v>
      </c>
      <c r="C1372" s="135" t="s">
        <v>238</v>
      </c>
      <c r="D1372" s="135" t="s">
        <v>642</v>
      </c>
      <c r="E1372" s="170" t="s">
        <v>1556</v>
      </c>
      <c r="F1372" s="135" t="s">
        <v>983</v>
      </c>
      <c r="G1372" s="171" t="s">
        <v>88</v>
      </c>
      <c r="H1372" s="202" t="s">
        <v>1744</v>
      </c>
      <c r="I1372" s="30" t="e">
        <f>VLOOKUP(H1372,'合同高级查询数据-4月返'!A:A,1,FALSE)</f>
        <v>#N/A</v>
      </c>
      <c r="J1372" s="31" t="s">
        <v>90</v>
      </c>
      <c r="K1372" s="134" t="s">
        <v>1745</v>
      </c>
      <c r="L1372" s="174"/>
      <c r="M1372" s="113" t="s">
        <v>986</v>
      </c>
      <c r="N1372" s="111">
        <v>43091</v>
      </c>
      <c r="O1372" s="193" t="s">
        <v>1746</v>
      </c>
      <c r="P1372" s="157">
        <v>9600</v>
      </c>
      <c r="Q1372" s="157">
        <v>6</v>
      </c>
      <c r="R1372" s="130">
        <f t="shared" si="33"/>
        <v>57600</v>
      </c>
      <c r="S1372" s="127">
        <v>202304</v>
      </c>
      <c r="T1372" s="251" t="s">
        <v>1809</v>
      </c>
      <c r="U1372" s="252"/>
      <c r="V1372" s="149"/>
      <c r="W1372" s="149"/>
      <c r="X1372" s="131"/>
      <c r="Y1372" s="131"/>
    </row>
    <row r="1373" s="86" customFormat="1" customHeight="1" spans="1:25">
      <c r="A1373" s="135" t="s">
        <v>448</v>
      </c>
      <c r="B1373" s="135" t="s">
        <v>62</v>
      </c>
      <c r="C1373" s="135" t="s">
        <v>238</v>
      </c>
      <c r="D1373" s="135" t="s">
        <v>642</v>
      </c>
      <c r="E1373" s="170" t="s">
        <v>1556</v>
      </c>
      <c r="F1373" s="135" t="s">
        <v>983</v>
      </c>
      <c r="G1373" s="171" t="s">
        <v>88</v>
      </c>
      <c r="H1373" s="202" t="s">
        <v>1744</v>
      </c>
      <c r="I1373" s="30" t="e">
        <f>VLOOKUP(H1373,'合同高级查询数据-4月返'!A:A,1,FALSE)</f>
        <v>#N/A</v>
      </c>
      <c r="J1373" s="31" t="s">
        <v>90</v>
      </c>
      <c r="K1373" s="134" t="s">
        <v>1745</v>
      </c>
      <c r="L1373" s="174"/>
      <c r="M1373" s="113" t="s">
        <v>986</v>
      </c>
      <c r="N1373" s="111">
        <v>43096</v>
      </c>
      <c r="O1373" s="193" t="s">
        <v>1746</v>
      </c>
      <c r="P1373" s="157">
        <v>9600</v>
      </c>
      <c r="Q1373" s="157">
        <v>7</v>
      </c>
      <c r="R1373" s="130">
        <f t="shared" ref="R1373:R1436" si="34">ROUND(P1373*Q1373,2)</f>
        <v>67200</v>
      </c>
      <c r="S1373" s="127">
        <v>202304</v>
      </c>
      <c r="T1373" s="251" t="s">
        <v>1810</v>
      </c>
      <c r="U1373" s="252"/>
      <c r="V1373" s="149"/>
      <c r="W1373" s="149"/>
      <c r="X1373" s="131"/>
      <c r="Y1373" s="131"/>
    </row>
    <row r="1374" s="86" customFormat="1" customHeight="1" spans="1:25">
      <c r="A1374" s="135" t="s">
        <v>448</v>
      </c>
      <c r="B1374" s="135" t="s">
        <v>62</v>
      </c>
      <c r="C1374" s="135" t="s">
        <v>238</v>
      </c>
      <c r="D1374" s="135" t="s">
        <v>642</v>
      </c>
      <c r="E1374" s="170" t="s">
        <v>1556</v>
      </c>
      <c r="F1374" s="135" t="s">
        <v>983</v>
      </c>
      <c r="G1374" s="171" t="s">
        <v>88</v>
      </c>
      <c r="H1374" s="202" t="s">
        <v>1744</v>
      </c>
      <c r="I1374" s="30" t="e">
        <f>VLOOKUP(H1374,'合同高级查询数据-4月返'!A:A,1,FALSE)</f>
        <v>#N/A</v>
      </c>
      <c r="J1374" s="31" t="s">
        <v>90</v>
      </c>
      <c r="K1374" s="134" t="s">
        <v>1745</v>
      </c>
      <c r="L1374" s="174"/>
      <c r="M1374" s="113" t="s">
        <v>986</v>
      </c>
      <c r="N1374" s="111">
        <v>43096</v>
      </c>
      <c r="O1374" s="193" t="s">
        <v>1746</v>
      </c>
      <c r="P1374" s="157">
        <v>9600</v>
      </c>
      <c r="Q1374" s="157">
        <v>6</v>
      </c>
      <c r="R1374" s="130">
        <f t="shared" si="34"/>
        <v>57600</v>
      </c>
      <c r="S1374" s="127">
        <v>202304</v>
      </c>
      <c r="T1374" s="251" t="s">
        <v>1811</v>
      </c>
      <c r="U1374" s="252"/>
      <c r="V1374" s="149"/>
      <c r="W1374" s="149"/>
      <c r="X1374" s="131"/>
      <c r="Y1374" s="131"/>
    </row>
    <row r="1375" s="86" customFormat="1" customHeight="1" spans="1:25">
      <c r="A1375" s="135" t="s">
        <v>448</v>
      </c>
      <c r="B1375" s="135" t="s">
        <v>62</v>
      </c>
      <c r="C1375" s="135" t="s">
        <v>238</v>
      </c>
      <c r="D1375" s="135" t="s">
        <v>642</v>
      </c>
      <c r="E1375" s="170" t="s">
        <v>1556</v>
      </c>
      <c r="F1375" s="135" t="s">
        <v>983</v>
      </c>
      <c r="G1375" s="171" t="s">
        <v>88</v>
      </c>
      <c r="H1375" s="202" t="s">
        <v>1744</v>
      </c>
      <c r="I1375" s="30" t="e">
        <f>VLOOKUP(H1375,'合同高级查询数据-4月返'!A:A,1,FALSE)</f>
        <v>#N/A</v>
      </c>
      <c r="J1375" s="31" t="s">
        <v>90</v>
      </c>
      <c r="K1375" s="134" t="s">
        <v>1745</v>
      </c>
      <c r="L1375" s="174"/>
      <c r="M1375" s="113" t="s">
        <v>986</v>
      </c>
      <c r="N1375" s="111">
        <v>43097</v>
      </c>
      <c r="O1375" s="193" t="s">
        <v>1746</v>
      </c>
      <c r="P1375" s="157">
        <v>9600</v>
      </c>
      <c r="Q1375" s="157">
        <v>8</v>
      </c>
      <c r="R1375" s="130">
        <f t="shared" si="34"/>
        <v>76800</v>
      </c>
      <c r="S1375" s="127">
        <v>202304</v>
      </c>
      <c r="T1375" s="251" t="s">
        <v>1812</v>
      </c>
      <c r="U1375" s="252"/>
      <c r="V1375" s="149"/>
      <c r="W1375" s="149"/>
      <c r="X1375" s="131"/>
      <c r="Y1375" s="131"/>
    </row>
    <row r="1376" s="86" customFormat="1" customHeight="1" spans="1:25">
      <c r="A1376" s="135" t="s">
        <v>448</v>
      </c>
      <c r="B1376" s="135" t="s">
        <v>62</v>
      </c>
      <c r="C1376" s="135" t="s">
        <v>238</v>
      </c>
      <c r="D1376" s="135" t="s">
        <v>642</v>
      </c>
      <c r="E1376" s="170" t="s">
        <v>1556</v>
      </c>
      <c r="F1376" s="135" t="s">
        <v>983</v>
      </c>
      <c r="G1376" s="171" t="s">
        <v>88</v>
      </c>
      <c r="H1376" s="202" t="s">
        <v>1744</v>
      </c>
      <c r="I1376" s="30" t="e">
        <f>VLOOKUP(H1376,'合同高级查询数据-4月返'!A:A,1,FALSE)</f>
        <v>#N/A</v>
      </c>
      <c r="J1376" s="31" t="s">
        <v>90</v>
      </c>
      <c r="K1376" s="134" t="s">
        <v>1745</v>
      </c>
      <c r="L1376" s="174"/>
      <c r="M1376" s="113" t="s">
        <v>986</v>
      </c>
      <c r="N1376" s="111">
        <v>43131</v>
      </c>
      <c r="O1376" s="193" t="s">
        <v>1746</v>
      </c>
      <c r="P1376" s="157">
        <v>9600</v>
      </c>
      <c r="Q1376" s="157">
        <v>3</v>
      </c>
      <c r="R1376" s="130">
        <f t="shared" si="34"/>
        <v>28800</v>
      </c>
      <c r="S1376" s="127">
        <v>202304</v>
      </c>
      <c r="T1376" s="251" t="s">
        <v>1813</v>
      </c>
      <c r="U1376" s="252"/>
      <c r="V1376" s="149"/>
      <c r="W1376" s="149"/>
      <c r="X1376" s="131"/>
      <c r="Y1376" s="131"/>
    </row>
    <row r="1377" s="86" customFormat="1" customHeight="1" spans="1:25">
      <c r="A1377" s="135" t="s">
        <v>448</v>
      </c>
      <c r="B1377" s="135" t="s">
        <v>62</v>
      </c>
      <c r="C1377" s="135" t="s">
        <v>238</v>
      </c>
      <c r="D1377" s="135" t="s">
        <v>642</v>
      </c>
      <c r="E1377" s="170" t="s">
        <v>1556</v>
      </c>
      <c r="F1377" s="135" t="s">
        <v>983</v>
      </c>
      <c r="G1377" s="171" t="s">
        <v>88</v>
      </c>
      <c r="H1377" s="202" t="s">
        <v>1744</v>
      </c>
      <c r="I1377" s="30" t="e">
        <f>VLOOKUP(H1377,'合同高级查询数据-4月返'!A:A,1,FALSE)</f>
        <v>#N/A</v>
      </c>
      <c r="J1377" s="31" t="s">
        <v>90</v>
      </c>
      <c r="K1377" s="134" t="s">
        <v>1745</v>
      </c>
      <c r="L1377" s="174"/>
      <c r="M1377" s="113" t="s">
        <v>986</v>
      </c>
      <c r="N1377" s="111">
        <v>43130</v>
      </c>
      <c r="O1377" s="193" t="s">
        <v>1746</v>
      </c>
      <c r="P1377" s="157">
        <v>9600</v>
      </c>
      <c r="Q1377" s="157">
        <v>1</v>
      </c>
      <c r="R1377" s="130">
        <f t="shared" si="34"/>
        <v>9600</v>
      </c>
      <c r="S1377" s="127">
        <v>202304</v>
      </c>
      <c r="T1377" s="251" t="s">
        <v>1814</v>
      </c>
      <c r="U1377" s="252"/>
      <c r="V1377" s="149"/>
      <c r="W1377" s="149"/>
      <c r="X1377" s="131"/>
      <c r="Y1377" s="131"/>
    </row>
    <row r="1378" s="86" customFormat="1" customHeight="1" spans="1:25">
      <c r="A1378" s="135" t="s">
        <v>448</v>
      </c>
      <c r="B1378" s="135" t="s">
        <v>62</v>
      </c>
      <c r="C1378" s="135" t="s">
        <v>238</v>
      </c>
      <c r="D1378" s="135" t="s">
        <v>642</v>
      </c>
      <c r="E1378" s="170" t="s">
        <v>1556</v>
      </c>
      <c r="F1378" s="135" t="s">
        <v>983</v>
      </c>
      <c r="G1378" s="171" t="s">
        <v>88</v>
      </c>
      <c r="H1378" s="202" t="s">
        <v>1744</v>
      </c>
      <c r="I1378" s="30" t="e">
        <f>VLOOKUP(H1378,'合同高级查询数据-4月返'!A:A,1,FALSE)</f>
        <v>#N/A</v>
      </c>
      <c r="J1378" s="31" t="s">
        <v>90</v>
      </c>
      <c r="K1378" s="134" t="s">
        <v>1745</v>
      </c>
      <c r="L1378" s="174"/>
      <c r="M1378" s="113" t="s">
        <v>986</v>
      </c>
      <c r="N1378" s="111">
        <v>43130</v>
      </c>
      <c r="O1378" s="193" t="s">
        <v>1746</v>
      </c>
      <c r="P1378" s="157">
        <v>9600</v>
      </c>
      <c r="Q1378" s="157">
        <v>1</v>
      </c>
      <c r="R1378" s="130">
        <f t="shared" si="34"/>
        <v>9600</v>
      </c>
      <c r="S1378" s="127">
        <v>202304</v>
      </c>
      <c r="T1378" s="251" t="s">
        <v>1815</v>
      </c>
      <c r="U1378" s="252"/>
      <c r="V1378" s="149"/>
      <c r="W1378" s="149"/>
      <c r="X1378" s="131"/>
      <c r="Y1378" s="131"/>
    </row>
    <row r="1379" s="86" customFormat="1" customHeight="1" spans="1:25">
      <c r="A1379" s="135" t="s">
        <v>448</v>
      </c>
      <c r="B1379" s="135" t="s">
        <v>62</v>
      </c>
      <c r="C1379" s="135" t="s">
        <v>238</v>
      </c>
      <c r="D1379" s="135" t="s">
        <v>642</v>
      </c>
      <c r="E1379" s="170" t="s">
        <v>1556</v>
      </c>
      <c r="F1379" s="135" t="s">
        <v>983</v>
      </c>
      <c r="G1379" s="171" t="s">
        <v>88</v>
      </c>
      <c r="H1379" s="202" t="s">
        <v>1744</v>
      </c>
      <c r="I1379" s="30" t="e">
        <f>VLOOKUP(H1379,'合同高级查询数据-4月返'!A:A,1,FALSE)</f>
        <v>#N/A</v>
      </c>
      <c r="J1379" s="31" t="s">
        <v>90</v>
      </c>
      <c r="K1379" s="134" t="s">
        <v>1745</v>
      </c>
      <c r="L1379" s="174"/>
      <c r="M1379" s="113" t="s">
        <v>986</v>
      </c>
      <c r="N1379" s="111">
        <v>43100</v>
      </c>
      <c r="O1379" s="193" t="s">
        <v>1746</v>
      </c>
      <c r="P1379" s="157">
        <v>9600</v>
      </c>
      <c r="Q1379" s="157">
        <v>2</v>
      </c>
      <c r="R1379" s="130">
        <f t="shared" si="34"/>
        <v>19200</v>
      </c>
      <c r="S1379" s="127">
        <v>202304</v>
      </c>
      <c r="T1379" s="251" t="s">
        <v>1816</v>
      </c>
      <c r="U1379" s="252"/>
      <c r="V1379" s="149"/>
      <c r="W1379" s="149"/>
      <c r="X1379" s="131"/>
      <c r="Y1379" s="131"/>
    </row>
    <row r="1380" s="86" customFormat="1" customHeight="1" spans="1:25">
      <c r="A1380" s="135" t="s">
        <v>448</v>
      </c>
      <c r="B1380" s="135" t="s">
        <v>62</v>
      </c>
      <c r="C1380" s="135" t="s">
        <v>238</v>
      </c>
      <c r="D1380" s="135" t="s">
        <v>642</v>
      </c>
      <c r="E1380" s="170" t="s">
        <v>1556</v>
      </c>
      <c r="F1380" s="135" t="s">
        <v>983</v>
      </c>
      <c r="G1380" s="171" t="s">
        <v>88</v>
      </c>
      <c r="H1380" s="202" t="s">
        <v>1744</v>
      </c>
      <c r="I1380" s="30" t="e">
        <f>VLOOKUP(H1380,'合同高级查询数据-4月返'!A:A,1,FALSE)</f>
        <v>#N/A</v>
      </c>
      <c r="J1380" s="31" t="s">
        <v>90</v>
      </c>
      <c r="K1380" s="134" t="s">
        <v>1745</v>
      </c>
      <c r="L1380" s="174"/>
      <c r="M1380" s="113" t="s">
        <v>986</v>
      </c>
      <c r="N1380" s="111">
        <v>43098</v>
      </c>
      <c r="O1380" s="193" t="s">
        <v>1746</v>
      </c>
      <c r="P1380" s="157">
        <v>9600</v>
      </c>
      <c r="Q1380" s="157">
        <v>13</v>
      </c>
      <c r="R1380" s="130">
        <f t="shared" si="34"/>
        <v>124800</v>
      </c>
      <c r="S1380" s="127">
        <v>202304</v>
      </c>
      <c r="T1380" s="251" t="s">
        <v>1817</v>
      </c>
      <c r="U1380" s="252"/>
      <c r="V1380" s="149"/>
      <c r="W1380" s="149"/>
      <c r="X1380" s="131"/>
      <c r="Y1380" s="131"/>
    </row>
    <row r="1381" s="86" customFormat="1" customHeight="1" spans="1:25">
      <c r="A1381" s="135" t="s">
        <v>448</v>
      </c>
      <c r="B1381" s="135" t="s">
        <v>62</v>
      </c>
      <c r="C1381" s="135" t="s">
        <v>238</v>
      </c>
      <c r="D1381" s="135" t="s">
        <v>642</v>
      </c>
      <c r="E1381" s="170" t="s">
        <v>1556</v>
      </c>
      <c r="F1381" s="135" t="s">
        <v>983</v>
      </c>
      <c r="G1381" s="171" t="s">
        <v>88</v>
      </c>
      <c r="H1381" s="202" t="s">
        <v>1744</v>
      </c>
      <c r="I1381" s="30" t="e">
        <f>VLOOKUP(H1381,'合同高级查询数据-4月返'!A:A,1,FALSE)</f>
        <v>#N/A</v>
      </c>
      <c r="J1381" s="31" t="s">
        <v>90</v>
      </c>
      <c r="K1381" s="134" t="s">
        <v>1745</v>
      </c>
      <c r="L1381" s="174"/>
      <c r="M1381" s="113" t="s">
        <v>986</v>
      </c>
      <c r="N1381" s="111">
        <v>43101</v>
      </c>
      <c r="O1381" s="193" t="s">
        <v>1746</v>
      </c>
      <c r="P1381" s="157">
        <v>9600</v>
      </c>
      <c r="Q1381" s="157">
        <v>1</v>
      </c>
      <c r="R1381" s="130">
        <f t="shared" si="34"/>
        <v>9600</v>
      </c>
      <c r="S1381" s="127">
        <v>202304</v>
      </c>
      <c r="T1381" s="251" t="s">
        <v>1818</v>
      </c>
      <c r="U1381" s="252"/>
      <c r="V1381" s="149"/>
      <c r="W1381" s="149"/>
      <c r="X1381" s="131"/>
      <c r="Y1381" s="131"/>
    </row>
    <row r="1382" s="86" customFormat="1" customHeight="1" spans="1:25">
      <c r="A1382" s="135" t="s">
        <v>448</v>
      </c>
      <c r="B1382" s="135" t="s">
        <v>62</v>
      </c>
      <c r="C1382" s="135" t="s">
        <v>238</v>
      </c>
      <c r="D1382" s="135" t="s">
        <v>642</v>
      </c>
      <c r="E1382" s="170" t="s">
        <v>1556</v>
      </c>
      <c r="F1382" s="135" t="s">
        <v>983</v>
      </c>
      <c r="G1382" s="171" t="s">
        <v>88</v>
      </c>
      <c r="H1382" s="202" t="s">
        <v>1744</v>
      </c>
      <c r="I1382" s="30" t="e">
        <f>VLOOKUP(H1382,'合同高级查询数据-4月返'!A:A,1,FALSE)</f>
        <v>#N/A</v>
      </c>
      <c r="J1382" s="31" t="s">
        <v>90</v>
      </c>
      <c r="K1382" s="134" t="s">
        <v>1745</v>
      </c>
      <c r="L1382" s="174"/>
      <c r="M1382" s="113" t="s">
        <v>986</v>
      </c>
      <c r="N1382" s="111">
        <v>43102</v>
      </c>
      <c r="O1382" s="193" t="s">
        <v>1746</v>
      </c>
      <c r="P1382" s="157">
        <v>9600</v>
      </c>
      <c r="Q1382" s="157">
        <v>3</v>
      </c>
      <c r="R1382" s="130">
        <f t="shared" si="34"/>
        <v>28800</v>
      </c>
      <c r="S1382" s="127">
        <v>202304</v>
      </c>
      <c r="T1382" s="251" t="s">
        <v>1819</v>
      </c>
      <c r="U1382" s="252"/>
      <c r="V1382" s="149"/>
      <c r="W1382" s="149"/>
      <c r="X1382" s="131"/>
      <c r="Y1382" s="131"/>
    </row>
    <row r="1383" s="86" customFormat="1" customHeight="1" spans="1:25">
      <c r="A1383" s="135" t="s">
        <v>448</v>
      </c>
      <c r="B1383" s="135" t="s">
        <v>62</v>
      </c>
      <c r="C1383" s="135" t="s">
        <v>238</v>
      </c>
      <c r="D1383" s="135" t="s">
        <v>642</v>
      </c>
      <c r="E1383" s="170" t="s">
        <v>1556</v>
      </c>
      <c r="F1383" s="135" t="s">
        <v>983</v>
      </c>
      <c r="G1383" s="171" t="s">
        <v>88</v>
      </c>
      <c r="H1383" s="202" t="s">
        <v>1744</v>
      </c>
      <c r="I1383" s="30" t="e">
        <f>VLOOKUP(H1383,'合同高级查询数据-4月返'!A:A,1,FALSE)</f>
        <v>#N/A</v>
      </c>
      <c r="J1383" s="31" t="s">
        <v>90</v>
      </c>
      <c r="K1383" s="134" t="s">
        <v>1745</v>
      </c>
      <c r="L1383" s="174"/>
      <c r="M1383" s="113" t="s">
        <v>986</v>
      </c>
      <c r="N1383" s="111">
        <v>43107</v>
      </c>
      <c r="O1383" s="193" t="s">
        <v>1746</v>
      </c>
      <c r="P1383" s="157">
        <v>9600</v>
      </c>
      <c r="Q1383" s="157">
        <v>1</v>
      </c>
      <c r="R1383" s="130">
        <f t="shared" si="34"/>
        <v>9600</v>
      </c>
      <c r="S1383" s="127">
        <v>202304</v>
      </c>
      <c r="T1383" s="251" t="s">
        <v>1820</v>
      </c>
      <c r="U1383" s="252"/>
      <c r="V1383" s="149"/>
      <c r="W1383" s="149"/>
      <c r="X1383" s="131"/>
      <c r="Y1383" s="131"/>
    </row>
    <row r="1384" s="86" customFormat="1" customHeight="1" spans="1:25">
      <c r="A1384" s="135" t="s">
        <v>448</v>
      </c>
      <c r="B1384" s="135" t="s">
        <v>62</v>
      </c>
      <c r="C1384" s="135" t="s">
        <v>238</v>
      </c>
      <c r="D1384" s="135" t="s">
        <v>642</v>
      </c>
      <c r="E1384" s="170" t="s">
        <v>1556</v>
      </c>
      <c r="F1384" s="135" t="s">
        <v>983</v>
      </c>
      <c r="G1384" s="171" t="s">
        <v>88</v>
      </c>
      <c r="H1384" s="202" t="s">
        <v>1744</v>
      </c>
      <c r="I1384" s="30" t="e">
        <f>VLOOKUP(H1384,'合同高级查询数据-4月返'!A:A,1,FALSE)</f>
        <v>#N/A</v>
      </c>
      <c r="J1384" s="31" t="s">
        <v>90</v>
      </c>
      <c r="K1384" s="134" t="s">
        <v>1745</v>
      </c>
      <c r="L1384" s="174"/>
      <c r="M1384" s="113" t="s">
        <v>986</v>
      </c>
      <c r="N1384" s="111">
        <v>43108</v>
      </c>
      <c r="O1384" s="193" t="s">
        <v>1746</v>
      </c>
      <c r="P1384" s="157">
        <v>9600</v>
      </c>
      <c r="Q1384" s="157">
        <v>12</v>
      </c>
      <c r="R1384" s="130">
        <f t="shared" si="34"/>
        <v>115200</v>
      </c>
      <c r="S1384" s="127">
        <v>202304</v>
      </c>
      <c r="T1384" s="251" t="s">
        <v>1821</v>
      </c>
      <c r="U1384" s="252"/>
      <c r="V1384" s="149"/>
      <c r="W1384" s="149"/>
      <c r="X1384" s="131"/>
      <c r="Y1384" s="131"/>
    </row>
    <row r="1385" s="86" customFormat="1" customHeight="1" spans="1:25">
      <c r="A1385" s="135" t="s">
        <v>448</v>
      </c>
      <c r="B1385" s="135" t="s">
        <v>62</v>
      </c>
      <c r="C1385" s="135" t="s">
        <v>238</v>
      </c>
      <c r="D1385" s="135" t="s">
        <v>642</v>
      </c>
      <c r="E1385" s="170" t="s">
        <v>1556</v>
      </c>
      <c r="F1385" s="135" t="s">
        <v>983</v>
      </c>
      <c r="G1385" s="171" t="s">
        <v>88</v>
      </c>
      <c r="H1385" s="202" t="s">
        <v>1744</v>
      </c>
      <c r="I1385" s="30" t="e">
        <f>VLOOKUP(H1385,'合同高级查询数据-4月返'!A:A,1,FALSE)</f>
        <v>#N/A</v>
      </c>
      <c r="J1385" s="31" t="s">
        <v>90</v>
      </c>
      <c r="K1385" s="134" t="s">
        <v>1745</v>
      </c>
      <c r="L1385" s="174"/>
      <c r="M1385" s="113" t="s">
        <v>986</v>
      </c>
      <c r="N1385" s="111">
        <v>43109</v>
      </c>
      <c r="O1385" s="193" t="s">
        <v>1746</v>
      </c>
      <c r="P1385" s="157">
        <v>9600</v>
      </c>
      <c r="Q1385" s="157">
        <v>1</v>
      </c>
      <c r="R1385" s="130">
        <f t="shared" si="34"/>
        <v>9600</v>
      </c>
      <c r="S1385" s="127">
        <v>202304</v>
      </c>
      <c r="T1385" s="251" t="s">
        <v>1822</v>
      </c>
      <c r="U1385" s="252"/>
      <c r="V1385" s="149"/>
      <c r="W1385" s="149"/>
      <c r="X1385" s="131"/>
      <c r="Y1385" s="131"/>
    </row>
    <row r="1386" s="86" customFormat="1" customHeight="1" spans="1:25">
      <c r="A1386" s="135" t="s">
        <v>448</v>
      </c>
      <c r="B1386" s="135" t="s">
        <v>62</v>
      </c>
      <c r="C1386" s="135" t="s">
        <v>238</v>
      </c>
      <c r="D1386" s="135" t="s">
        <v>642</v>
      </c>
      <c r="E1386" s="170" t="s">
        <v>1556</v>
      </c>
      <c r="F1386" s="135" t="s">
        <v>983</v>
      </c>
      <c r="G1386" s="171" t="s">
        <v>88</v>
      </c>
      <c r="H1386" s="202" t="s">
        <v>1744</v>
      </c>
      <c r="I1386" s="30" t="e">
        <f>VLOOKUP(H1386,'合同高级查询数据-4月返'!A:A,1,FALSE)</f>
        <v>#N/A</v>
      </c>
      <c r="J1386" s="31" t="s">
        <v>90</v>
      </c>
      <c r="K1386" s="134" t="s">
        <v>1745</v>
      </c>
      <c r="L1386" s="174"/>
      <c r="M1386" s="113" t="s">
        <v>986</v>
      </c>
      <c r="N1386" s="111">
        <v>43110</v>
      </c>
      <c r="O1386" s="193" t="s">
        <v>1746</v>
      </c>
      <c r="P1386" s="157">
        <v>9600</v>
      </c>
      <c r="Q1386" s="157">
        <v>1</v>
      </c>
      <c r="R1386" s="130">
        <f t="shared" si="34"/>
        <v>9600</v>
      </c>
      <c r="S1386" s="127">
        <v>202304</v>
      </c>
      <c r="T1386" s="251" t="s">
        <v>1823</v>
      </c>
      <c r="U1386" s="252"/>
      <c r="V1386" s="149"/>
      <c r="W1386" s="149"/>
      <c r="X1386" s="131"/>
      <c r="Y1386" s="131"/>
    </row>
    <row r="1387" s="86" customFormat="1" customHeight="1" spans="1:25">
      <c r="A1387" s="135" t="s">
        <v>448</v>
      </c>
      <c r="B1387" s="135" t="s">
        <v>62</v>
      </c>
      <c r="C1387" s="135" t="s">
        <v>238</v>
      </c>
      <c r="D1387" s="135" t="s">
        <v>642</v>
      </c>
      <c r="E1387" s="170" t="s">
        <v>1556</v>
      </c>
      <c r="F1387" s="135" t="s">
        <v>983</v>
      </c>
      <c r="G1387" s="171" t="s">
        <v>88</v>
      </c>
      <c r="H1387" s="202" t="s">
        <v>1744</v>
      </c>
      <c r="I1387" s="30" t="e">
        <f>VLOOKUP(H1387,'合同高级查询数据-4月返'!A:A,1,FALSE)</f>
        <v>#N/A</v>
      </c>
      <c r="J1387" s="31" t="s">
        <v>90</v>
      </c>
      <c r="K1387" s="134" t="s">
        <v>1745</v>
      </c>
      <c r="L1387" s="174"/>
      <c r="M1387" s="113" t="s">
        <v>986</v>
      </c>
      <c r="N1387" s="111">
        <v>43110</v>
      </c>
      <c r="O1387" s="193" t="s">
        <v>1746</v>
      </c>
      <c r="P1387" s="157">
        <v>9600</v>
      </c>
      <c r="Q1387" s="157">
        <v>1</v>
      </c>
      <c r="R1387" s="130">
        <f t="shared" si="34"/>
        <v>9600</v>
      </c>
      <c r="S1387" s="127">
        <v>202304</v>
      </c>
      <c r="T1387" s="251" t="s">
        <v>1824</v>
      </c>
      <c r="U1387" s="252"/>
      <c r="V1387" s="149"/>
      <c r="W1387" s="149"/>
      <c r="X1387" s="131"/>
      <c r="Y1387" s="131"/>
    </row>
    <row r="1388" s="86" customFormat="1" customHeight="1" spans="1:25">
      <c r="A1388" s="135" t="s">
        <v>448</v>
      </c>
      <c r="B1388" s="135" t="s">
        <v>62</v>
      </c>
      <c r="C1388" s="135" t="s">
        <v>238</v>
      </c>
      <c r="D1388" s="135" t="s">
        <v>642</v>
      </c>
      <c r="E1388" s="170" t="s">
        <v>1556</v>
      </c>
      <c r="F1388" s="135" t="s">
        <v>983</v>
      </c>
      <c r="G1388" s="171" t="s">
        <v>88</v>
      </c>
      <c r="H1388" s="202" t="s">
        <v>1744</v>
      </c>
      <c r="I1388" s="30" t="e">
        <f>VLOOKUP(H1388,'合同高级查询数据-4月返'!A:A,1,FALSE)</f>
        <v>#N/A</v>
      </c>
      <c r="J1388" s="31" t="s">
        <v>90</v>
      </c>
      <c r="K1388" s="134" t="s">
        <v>1745</v>
      </c>
      <c r="L1388" s="174"/>
      <c r="M1388" s="113" t="s">
        <v>986</v>
      </c>
      <c r="N1388" s="111">
        <v>43115</v>
      </c>
      <c r="O1388" s="193" t="s">
        <v>1746</v>
      </c>
      <c r="P1388" s="157">
        <v>9600</v>
      </c>
      <c r="Q1388" s="157">
        <v>2</v>
      </c>
      <c r="R1388" s="130">
        <f t="shared" si="34"/>
        <v>19200</v>
      </c>
      <c r="S1388" s="127">
        <v>202304</v>
      </c>
      <c r="T1388" s="251" t="s">
        <v>1825</v>
      </c>
      <c r="U1388" s="252"/>
      <c r="V1388" s="149"/>
      <c r="W1388" s="149"/>
      <c r="X1388" s="131"/>
      <c r="Y1388" s="131"/>
    </row>
    <row r="1389" s="86" customFormat="1" customHeight="1" spans="1:25">
      <c r="A1389" s="135" t="s">
        <v>448</v>
      </c>
      <c r="B1389" s="135" t="s">
        <v>62</v>
      </c>
      <c r="C1389" s="135" t="s">
        <v>238</v>
      </c>
      <c r="D1389" s="135" t="s">
        <v>642</v>
      </c>
      <c r="E1389" s="170" t="s">
        <v>1556</v>
      </c>
      <c r="F1389" s="135" t="s">
        <v>983</v>
      </c>
      <c r="G1389" s="171" t="s">
        <v>88</v>
      </c>
      <c r="H1389" s="202" t="s">
        <v>1744</v>
      </c>
      <c r="I1389" s="30" t="e">
        <f>VLOOKUP(H1389,'合同高级查询数据-4月返'!A:A,1,FALSE)</f>
        <v>#N/A</v>
      </c>
      <c r="J1389" s="31" t="s">
        <v>90</v>
      </c>
      <c r="K1389" s="134" t="s">
        <v>1745</v>
      </c>
      <c r="L1389" s="174"/>
      <c r="M1389" s="113" t="s">
        <v>986</v>
      </c>
      <c r="N1389" s="111">
        <v>43115</v>
      </c>
      <c r="O1389" s="193" t="s">
        <v>1746</v>
      </c>
      <c r="P1389" s="157">
        <v>9600</v>
      </c>
      <c r="Q1389" s="157">
        <v>3</v>
      </c>
      <c r="R1389" s="130">
        <f t="shared" si="34"/>
        <v>28800</v>
      </c>
      <c r="S1389" s="127">
        <v>202304</v>
      </c>
      <c r="T1389" s="251" t="s">
        <v>1826</v>
      </c>
      <c r="U1389" s="252"/>
      <c r="V1389" s="149"/>
      <c r="W1389" s="149"/>
      <c r="X1389" s="131"/>
      <c r="Y1389" s="131"/>
    </row>
    <row r="1390" s="86" customFormat="1" customHeight="1" spans="1:25">
      <c r="A1390" s="135" t="s">
        <v>448</v>
      </c>
      <c r="B1390" s="135" t="s">
        <v>62</v>
      </c>
      <c r="C1390" s="135" t="s">
        <v>238</v>
      </c>
      <c r="D1390" s="135" t="s">
        <v>642</v>
      </c>
      <c r="E1390" s="170" t="s">
        <v>1556</v>
      </c>
      <c r="F1390" s="135" t="s">
        <v>983</v>
      </c>
      <c r="G1390" s="171" t="s">
        <v>88</v>
      </c>
      <c r="H1390" s="202" t="s">
        <v>1744</v>
      </c>
      <c r="I1390" s="30" t="e">
        <f>VLOOKUP(H1390,'合同高级查询数据-4月返'!A:A,1,FALSE)</f>
        <v>#N/A</v>
      </c>
      <c r="J1390" s="31" t="s">
        <v>90</v>
      </c>
      <c r="K1390" s="134" t="s">
        <v>1745</v>
      </c>
      <c r="L1390" s="174"/>
      <c r="M1390" s="113" t="s">
        <v>986</v>
      </c>
      <c r="N1390" s="111">
        <v>43115</v>
      </c>
      <c r="O1390" s="193" t="s">
        <v>1746</v>
      </c>
      <c r="P1390" s="157">
        <v>9600</v>
      </c>
      <c r="Q1390" s="157">
        <v>1</v>
      </c>
      <c r="R1390" s="130">
        <f t="shared" si="34"/>
        <v>9600</v>
      </c>
      <c r="S1390" s="127">
        <v>202304</v>
      </c>
      <c r="T1390" s="251" t="s">
        <v>1827</v>
      </c>
      <c r="U1390" s="252"/>
      <c r="V1390" s="149"/>
      <c r="W1390" s="149"/>
      <c r="X1390" s="131"/>
      <c r="Y1390" s="131"/>
    </row>
    <row r="1391" s="86" customFormat="1" customHeight="1" spans="1:25">
      <c r="A1391" s="135" t="s">
        <v>448</v>
      </c>
      <c r="B1391" s="135" t="s">
        <v>62</v>
      </c>
      <c r="C1391" s="135" t="s">
        <v>238</v>
      </c>
      <c r="D1391" s="135" t="s">
        <v>642</v>
      </c>
      <c r="E1391" s="170" t="s">
        <v>1556</v>
      </c>
      <c r="F1391" s="135" t="s">
        <v>983</v>
      </c>
      <c r="G1391" s="171" t="s">
        <v>88</v>
      </c>
      <c r="H1391" s="202" t="s">
        <v>1744</v>
      </c>
      <c r="I1391" s="30" t="e">
        <f>VLOOKUP(H1391,'合同高级查询数据-4月返'!A:A,1,FALSE)</f>
        <v>#N/A</v>
      </c>
      <c r="J1391" s="31" t="s">
        <v>90</v>
      </c>
      <c r="K1391" s="134" t="s">
        <v>1745</v>
      </c>
      <c r="L1391" s="174"/>
      <c r="M1391" s="113" t="s">
        <v>986</v>
      </c>
      <c r="N1391" s="111">
        <v>43115</v>
      </c>
      <c r="O1391" s="193" t="s">
        <v>1746</v>
      </c>
      <c r="P1391" s="157">
        <v>9600</v>
      </c>
      <c r="Q1391" s="157">
        <v>1</v>
      </c>
      <c r="R1391" s="130">
        <f t="shared" si="34"/>
        <v>9600</v>
      </c>
      <c r="S1391" s="127">
        <v>202304</v>
      </c>
      <c r="T1391" s="251" t="s">
        <v>1828</v>
      </c>
      <c r="U1391" s="252"/>
      <c r="V1391" s="149"/>
      <c r="W1391" s="149"/>
      <c r="X1391" s="131"/>
      <c r="Y1391" s="131"/>
    </row>
    <row r="1392" s="86" customFormat="1" customHeight="1" spans="1:25">
      <c r="A1392" s="135" t="s">
        <v>448</v>
      </c>
      <c r="B1392" s="135" t="s">
        <v>62</v>
      </c>
      <c r="C1392" s="135" t="s">
        <v>238</v>
      </c>
      <c r="D1392" s="135" t="s">
        <v>642</v>
      </c>
      <c r="E1392" s="170" t="s">
        <v>1556</v>
      </c>
      <c r="F1392" s="135" t="s">
        <v>983</v>
      </c>
      <c r="G1392" s="171" t="s">
        <v>88</v>
      </c>
      <c r="H1392" s="202" t="s">
        <v>1744</v>
      </c>
      <c r="I1392" s="30" t="e">
        <f>VLOOKUP(H1392,'合同高级查询数据-4月返'!A:A,1,FALSE)</f>
        <v>#N/A</v>
      </c>
      <c r="J1392" s="31" t="s">
        <v>90</v>
      </c>
      <c r="K1392" s="134" t="s">
        <v>1745</v>
      </c>
      <c r="L1392" s="174"/>
      <c r="M1392" s="113" t="s">
        <v>986</v>
      </c>
      <c r="N1392" s="111">
        <v>43115</v>
      </c>
      <c r="O1392" s="193" t="s">
        <v>1746</v>
      </c>
      <c r="P1392" s="157">
        <v>9600</v>
      </c>
      <c r="Q1392" s="157">
        <v>1</v>
      </c>
      <c r="R1392" s="130">
        <f t="shared" si="34"/>
        <v>9600</v>
      </c>
      <c r="S1392" s="127">
        <v>202304</v>
      </c>
      <c r="T1392" s="251" t="s">
        <v>1829</v>
      </c>
      <c r="U1392" s="252"/>
      <c r="V1392" s="149"/>
      <c r="W1392" s="149"/>
      <c r="X1392" s="131"/>
      <c r="Y1392" s="131"/>
    </row>
    <row r="1393" s="86" customFormat="1" customHeight="1" spans="1:25">
      <c r="A1393" s="135" t="s">
        <v>448</v>
      </c>
      <c r="B1393" s="135" t="s">
        <v>62</v>
      </c>
      <c r="C1393" s="135" t="s">
        <v>238</v>
      </c>
      <c r="D1393" s="135" t="s">
        <v>642</v>
      </c>
      <c r="E1393" s="170" t="s">
        <v>1556</v>
      </c>
      <c r="F1393" s="135" t="s">
        <v>983</v>
      </c>
      <c r="G1393" s="171" t="s">
        <v>88</v>
      </c>
      <c r="H1393" s="202" t="s">
        <v>1744</v>
      </c>
      <c r="I1393" s="30" t="e">
        <f>VLOOKUP(H1393,'合同高级查询数据-4月返'!A:A,1,FALSE)</f>
        <v>#N/A</v>
      </c>
      <c r="J1393" s="31" t="s">
        <v>90</v>
      </c>
      <c r="K1393" s="134" t="s">
        <v>1745</v>
      </c>
      <c r="L1393" s="174"/>
      <c r="M1393" s="113" t="s">
        <v>986</v>
      </c>
      <c r="N1393" s="111">
        <v>43115</v>
      </c>
      <c r="O1393" s="193" t="s">
        <v>1746</v>
      </c>
      <c r="P1393" s="157">
        <v>9600</v>
      </c>
      <c r="Q1393" s="157">
        <v>1</v>
      </c>
      <c r="R1393" s="130">
        <f t="shared" si="34"/>
        <v>9600</v>
      </c>
      <c r="S1393" s="127">
        <v>202304</v>
      </c>
      <c r="T1393" s="251" t="s">
        <v>1830</v>
      </c>
      <c r="U1393" s="252"/>
      <c r="V1393" s="149"/>
      <c r="W1393" s="149"/>
      <c r="X1393" s="131"/>
      <c r="Y1393" s="131"/>
    </row>
    <row r="1394" s="86" customFormat="1" customHeight="1" spans="1:25">
      <c r="A1394" s="135" t="s">
        <v>448</v>
      </c>
      <c r="B1394" s="135" t="s">
        <v>62</v>
      </c>
      <c r="C1394" s="135" t="s">
        <v>238</v>
      </c>
      <c r="D1394" s="135" t="s">
        <v>642</v>
      </c>
      <c r="E1394" s="170" t="s">
        <v>1556</v>
      </c>
      <c r="F1394" s="135" t="s">
        <v>983</v>
      </c>
      <c r="G1394" s="171" t="s">
        <v>88</v>
      </c>
      <c r="H1394" s="202" t="s">
        <v>1744</v>
      </c>
      <c r="I1394" s="30" t="e">
        <f>VLOOKUP(H1394,'合同高级查询数据-4月返'!A:A,1,FALSE)</f>
        <v>#N/A</v>
      </c>
      <c r="J1394" s="31" t="s">
        <v>90</v>
      </c>
      <c r="K1394" s="134" t="s">
        <v>1745</v>
      </c>
      <c r="L1394" s="174"/>
      <c r="M1394" s="113" t="s">
        <v>986</v>
      </c>
      <c r="N1394" s="111">
        <v>43115</v>
      </c>
      <c r="O1394" s="193" t="s">
        <v>1746</v>
      </c>
      <c r="P1394" s="157">
        <v>9600</v>
      </c>
      <c r="Q1394" s="157">
        <v>1</v>
      </c>
      <c r="R1394" s="130">
        <f t="shared" si="34"/>
        <v>9600</v>
      </c>
      <c r="S1394" s="127">
        <v>202304</v>
      </c>
      <c r="T1394" s="251" t="s">
        <v>1831</v>
      </c>
      <c r="U1394" s="252"/>
      <c r="V1394" s="149"/>
      <c r="W1394" s="149"/>
      <c r="X1394" s="131"/>
      <c r="Y1394" s="131"/>
    </row>
    <row r="1395" s="86" customFormat="1" customHeight="1" spans="1:25">
      <c r="A1395" s="135" t="s">
        <v>448</v>
      </c>
      <c r="B1395" s="135" t="s">
        <v>62</v>
      </c>
      <c r="C1395" s="135" t="s">
        <v>238</v>
      </c>
      <c r="D1395" s="135" t="s">
        <v>642</v>
      </c>
      <c r="E1395" s="170" t="s">
        <v>1556</v>
      </c>
      <c r="F1395" s="135" t="s">
        <v>983</v>
      </c>
      <c r="G1395" s="171" t="s">
        <v>88</v>
      </c>
      <c r="H1395" s="202" t="s">
        <v>1744</v>
      </c>
      <c r="I1395" s="30" t="e">
        <f>VLOOKUP(H1395,'合同高级查询数据-4月返'!A:A,1,FALSE)</f>
        <v>#N/A</v>
      </c>
      <c r="J1395" s="31" t="s">
        <v>90</v>
      </c>
      <c r="K1395" s="134" t="s">
        <v>1745</v>
      </c>
      <c r="L1395" s="174"/>
      <c r="M1395" s="113" t="s">
        <v>986</v>
      </c>
      <c r="N1395" s="111">
        <v>43119</v>
      </c>
      <c r="O1395" s="193" t="s">
        <v>1746</v>
      </c>
      <c r="P1395" s="157">
        <v>9600</v>
      </c>
      <c r="Q1395" s="157">
        <v>2</v>
      </c>
      <c r="R1395" s="130">
        <f t="shared" si="34"/>
        <v>19200</v>
      </c>
      <c r="S1395" s="127">
        <v>202304</v>
      </c>
      <c r="T1395" s="251" t="s">
        <v>1832</v>
      </c>
      <c r="U1395" s="252"/>
      <c r="V1395" s="149"/>
      <c r="W1395" s="149"/>
      <c r="X1395" s="131"/>
      <c r="Y1395" s="131"/>
    </row>
    <row r="1396" s="86" customFormat="1" customHeight="1" spans="1:25">
      <c r="A1396" s="135" t="s">
        <v>448</v>
      </c>
      <c r="B1396" s="135" t="s">
        <v>62</v>
      </c>
      <c r="C1396" s="135" t="s">
        <v>238</v>
      </c>
      <c r="D1396" s="135" t="s">
        <v>642</v>
      </c>
      <c r="E1396" s="170" t="s">
        <v>1556</v>
      </c>
      <c r="F1396" s="135" t="s">
        <v>983</v>
      </c>
      <c r="G1396" s="171" t="s">
        <v>88</v>
      </c>
      <c r="H1396" s="202" t="s">
        <v>1744</v>
      </c>
      <c r="I1396" s="30" t="e">
        <f>VLOOKUP(H1396,'合同高级查询数据-4月返'!A:A,1,FALSE)</f>
        <v>#N/A</v>
      </c>
      <c r="J1396" s="31" t="s">
        <v>90</v>
      </c>
      <c r="K1396" s="134" t="s">
        <v>1745</v>
      </c>
      <c r="L1396" s="174"/>
      <c r="M1396" s="113" t="s">
        <v>986</v>
      </c>
      <c r="N1396" s="111">
        <v>43119</v>
      </c>
      <c r="O1396" s="193" t="s">
        <v>1746</v>
      </c>
      <c r="P1396" s="157">
        <v>9600</v>
      </c>
      <c r="Q1396" s="157">
        <v>1</v>
      </c>
      <c r="R1396" s="130">
        <f t="shared" si="34"/>
        <v>9600</v>
      </c>
      <c r="S1396" s="127">
        <v>202304</v>
      </c>
      <c r="T1396" s="251" t="s">
        <v>1833</v>
      </c>
      <c r="U1396" s="252"/>
      <c r="V1396" s="149"/>
      <c r="W1396" s="149"/>
      <c r="X1396" s="131"/>
      <c r="Y1396" s="131"/>
    </row>
    <row r="1397" s="86" customFormat="1" customHeight="1" spans="1:25">
      <c r="A1397" s="135" t="s">
        <v>448</v>
      </c>
      <c r="B1397" s="135" t="s">
        <v>62</v>
      </c>
      <c r="C1397" s="135" t="s">
        <v>238</v>
      </c>
      <c r="D1397" s="135" t="s">
        <v>642</v>
      </c>
      <c r="E1397" s="170" t="s">
        <v>1556</v>
      </c>
      <c r="F1397" s="135" t="s">
        <v>983</v>
      </c>
      <c r="G1397" s="171" t="s">
        <v>88</v>
      </c>
      <c r="H1397" s="202" t="s">
        <v>1744</v>
      </c>
      <c r="I1397" s="30" t="e">
        <f>VLOOKUP(H1397,'合同高级查询数据-4月返'!A:A,1,FALSE)</f>
        <v>#N/A</v>
      </c>
      <c r="J1397" s="31" t="s">
        <v>90</v>
      </c>
      <c r="K1397" s="134" t="s">
        <v>1745</v>
      </c>
      <c r="L1397" s="174"/>
      <c r="M1397" s="113" t="s">
        <v>986</v>
      </c>
      <c r="N1397" s="111">
        <v>43119</v>
      </c>
      <c r="O1397" s="193" t="s">
        <v>1746</v>
      </c>
      <c r="P1397" s="157">
        <v>9600</v>
      </c>
      <c r="Q1397" s="157">
        <v>1</v>
      </c>
      <c r="R1397" s="130">
        <f t="shared" si="34"/>
        <v>9600</v>
      </c>
      <c r="S1397" s="127">
        <v>202304</v>
      </c>
      <c r="T1397" s="251" t="s">
        <v>1834</v>
      </c>
      <c r="U1397" s="252"/>
      <c r="V1397" s="149"/>
      <c r="W1397" s="149"/>
      <c r="X1397" s="131"/>
      <c r="Y1397" s="131"/>
    </row>
    <row r="1398" s="86" customFormat="1" customHeight="1" spans="1:25">
      <c r="A1398" s="135" t="s">
        <v>448</v>
      </c>
      <c r="B1398" s="135" t="s">
        <v>62</v>
      </c>
      <c r="C1398" s="135" t="s">
        <v>238</v>
      </c>
      <c r="D1398" s="135" t="s">
        <v>642</v>
      </c>
      <c r="E1398" s="170" t="s">
        <v>1556</v>
      </c>
      <c r="F1398" s="135" t="s">
        <v>983</v>
      </c>
      <c r="G1398" s="171" t="s">
        <v>88</v>
      </c>
      <c r="H1398" s="202" t="s">
        <v>1744</v>
      </c>
      <c r="I1398" s="30" t="e">
        <f>VLOOKUP(H1398,'合同高级查询数据-4月返'!A:A,1,FALSE)</f>
        <v>#N/A</v>
      </c>
      <c r="J1398" s="31" t="s">
        <v>90</v>
      </c>
      <c r="K1398" s="134" t="s">
        <v>1745</v>
      </c>
      <c r="L1398" s="174"/>
      <c r="M1398" s="113" t="s">
        <v>986</v>
      </c>
      <c r="N1398" s="111">
        <v>43119</v>
      </c>
      <c r="O1398" s="193" t="s">
        <v>1746</v>
      </c>
      <c r="P1398" s="157">
        <v>9600</v>
      </c>
      <c r="Q1398" s="157">
        <v>1</v>
      </c>
      <c r="R1398" s="130">
        <f t="shared" si="34"/>
        <v>9600</v>
      </c>
      <c r="S1398" s="127">
        <v>202304</v>
      </c>
      <c r="T1398" s="251" t="s">
        <v>1835</v>
      </c>
      <c r="U1398" s="252"/>
      <c r="V1398" s="149"/>
      <c r="W1398" s="149"/>
      <c r="X1398" s="131"/>
      <c r="Y1398" s="131"/>
    </row>
    <row r="1399" s="86" customFormat="1" customHeight="1" spans="1:25">
      <c r="A1399" s="135" t="s">
        <v>448</v>
      </c>
      <c r="B1399" s="135" t="s">
        <v>62</v>
      </c>
      <c r="C1399" s="135" t="s">
        <v>238</v>
      </c>
      <c r="D1399" s="135" t="s">
        <v>642</v>
      </c>
      <c r="E1399" s="170" t="s">
        <v>1556</v>
      </c>
      <c r="F1399" s="135" t="s">
        <v>983</v>
      </c>
      <c r="G1399" s="171" t="s">
        <v>88</v>
      </c>
      <c r="H1399" s="202" t="s">
        <v>1744</v>
      </c>
      <c r="I1399" s="30" t="e">
        <f>VLOOKUP(H1399,'合同高级查询数据-4月返'!A:A,1,FALSE)</f>
        <v>#N/A</v>
      </c>
      <c r="J1399" s="31" t="s">
        <v>90</v>
      </c>
      <c r="K1399" s="134" t="s">
        <v>1745</v>
      </c>
      <c r="L1399" s="174"/>
      <c r="M1399" s="113" t="s">
        <v>986</v>
      </c>
      <c r="N1399" s="111">
        <v>43119</v>
      </c>
      <c r="O1399" s="193" t="s">
        <v>1746</v>
      </c>
      <c r="P1399" s="157">
        <v>9600</v>
      </c>
      <c r="Q1399" s="157">
        <v>1</v>
      </c>
      <c r="R1399" s="130">
        <f t="shared" si="34"/>
        <v>9600</v>
      </c>
      <c r="S1399" s="127">
        <v>202304</v>
      </c>
      <c r="T1399" s="251" t="s">
        <v>1836</v>
      </c>
      <c r="U1399" s="252"/>
      <c r="V1399" s="149"/>
      <c r="W1399" s="149"/>
      <c r="X1399" s="131"/>
      <c r="Y1399" s="131"/>
    </row>
    <row r="1400" s="86" customFormat="1" customHeight="1" spans="1:25">
      <c r="A1400" s="135" t="s">
        <v>448</v>
      </c>
      <c r="B1400" s="135" t="s">
        <v>62</v>
      </c>
      <c r="C1400" s="135" t="s">
        <v>238</v>
      </c>
      <c r="D1400" s="135" t="s">
        <v>642</v>
      </c>
      <c r="E1400" s="170" t="s">
        <v>1556</v>
      </c>
      <c r="F1400" s="135" t="s">
        <v>983</v>
      </c>
      <c r="G1400" s="171" t="s">
        <v>88</v>
      </c>
      <c r="H1400" s="202" t="s">
        <v>1744</v>
      </c>
      <c r="I1400" s="30" t="e">
        <f>VLOOKUP(H1400,'合同高级查询数据-4月返'!A:A,1,FALSE)</f>
        <v>#N/A</v>
      </c>
      <c r="J1400" s="31" t="s">
        <v>90</v>
      </c>
      <c r="K1400" s="134" t="s">
        <v>1745</v>
      </c>
      <c r="L1400" s="174"/>
      <c r="M1400" s="113" t="s">
        <v>986</v>
      </c>
      <c r="N1400" s="111">
        <v>43123</v>
      </c>
      <c r="O1400" s="193" t="s">
        <v>1746</v>
      </c>
      <c r="P1400" s="157">
        <v>9600</v>
      </c>
      <c r="Q1400" s="157">
        <v>1</v>
      </c>
      <c r="R1400" s="130">
        <f t="shared" si="34"/>
        <v>9600</v>
      </c>
      <c r="S1400" s="127">
        <v>202304</v>
      </c>
      <c r="T1400" s="251" t="s">
        <v>1837</v>
      </c>
      <c r="U1400" s="252"/>
      <c r="V1400" s="149"/>
      <c r="W1400" s="149"/>
      <c r="X1400" s="131"/>
      <c r="Y1400" s="131"/>
    </row>
    <row r="1401" s="86" customFormat="1" customHeight="1" spans="1:25">
      <c r="A1401" s="135" t="s">
        <v>448</v>
      </c>
      <c r="B1401" s="135" t="s">
        <v>62</v>
      </c>
      <c r="C1401" s="135" t="s">
        <v>238</v>
      </c>
      <c r="D1401" s="135" t="s">
        <v>642</v>
      </c>
      <c r="E1401" s="170" t="s">
        <v>1556</v>
      </c>
      <c r="F1401" s="135" t="s">
        <v>983</v>
      </c>
      <c r="G1401" s="171" t="s">
        <v>88</v>
      </c>
      <c r="H1401" s="202" t="s">
        <v>1744</v>
      </c>
      <c r="I1401" s="30" t="e">
        <f>VLOOKUP(H1401,'合同高级查询数据-4月返'!A:A,1,FALSE)</f>
        <v>#N/A</v>
      </c>
      <c r="J1401" s="31" t="s">
        <v>90</v>
      </c>
      <c r="K1401" s="134" t="s">
        <v>1745</v>
      </c>
      <c r="L1401" s="174"/>
      <c r="M1401" s="113" t="s">
        <v>986</v>
      </c>
      <c r="N1401" s="111">
        <v>43129</v>
      </c>
      <c r="O1401" s="193" t="s">
        <v>1746</v>
      </c>
      <c r="P1401" s="157">
        <v>9600</v>
      </c>
      <c r="Q1401" s="157">
        <v>1</v>
      </c>
      <c r="R1401" s="130">
        <f t="shared" si="34"/>
        <v>9600</v>
      </c>
      <c r="S1401" s="127">
        <v>202304</v>
      </c>
      <c r="T1401" s="251" t="s">
        <v>1838</v>
      </c>
      <c r="U1401" s="252"/>
      <c r="V1401" s="149"/>
      <c r="W1401" s="149"/>
      <c r="X1401" s="131"/>
      <c r="Y1401" s="131"/>
    </row>
    <row r="1402" s="86" customFormat="1" customHeight="1" spans="1:25">
      <c r="A1402" s="135" t="s">
        <v>448</v>
      </c>
      <c r="B1402" s="135" t="s">
        <v>62</v>
      </c>
      <c r="C1402" s="135" t="s">
        <v>238</v>
      </c>
      <c r="D1402" s="135" t="s">
        <v>642</v>
      </c>
      <c r="E1402" s="170" t="s">
        <v>1556</v>
      </c>
      <c r="F1402" s="135" t="s">
        <v>983</v>
      </c>
      <c r="G1402" s="171" t="s">
        <v>88</v>
      </c>
      <c r="H1402" s="202" t="s">
        <v>1744</v>
      </c>
      <c r="I1402" s="30" t="e">
        <f>VLOOKUP(H1402,'合同高级查询数据-4月返'!A:A,1,FALSE)</f>
        <v>#N/A</v>
      </c>
      <c r="J1402" s="31" t="s">
        <v>90</v>
      </c>
      <c r="K1402" s="134" t="s">
        <v>1745</v>
      </c>
      <c r="L1402" s="174"/>
      <c r="M1402" s="113" t="s">
        <v>986</v>
      </c>
      <c r="N1402" s="111">
        <v>43129</v>
      </c>
      <c r="O1402" s="193" t="s">
        <v>1746</v>
      </c>
      <c r="P1402" s="157">
        <v>9600</v>
      </c>
      <c r="Q1402" s="157">
        <v>8</v>
      </c>
      <c r="R1402" s="130">
        <f t="shared" si="34"/>
        <v>76800</v>
      </c>
      <c r="S1402" s="127">
        <v>202304</v>
      </c>
      <c r="T1402" s="251" t="s">
        <v>1839</v>
      </c>
      <c r="U1402" s="252"/>
      <c r="V1402" s="149"/>
      <c r="W1402" s="149"/>
      <c r="X1402" s="131"/>
      <c r="Y1402" s="131"/>
    </row>
    <row r="1403" s="86" customFormat="1" customHeight="1" spans="1:25">
      <c r="A1403" s="135" t="s">
        <v>448</v>
      </c>
      <c r="B1403" s="135" t="s">
        <v>62</v>
      </c>
      <c r="C1403" s="135" t="s">
        <v>238</v>
      </c>
      <c r="D1403" s="135" t="s">
        <v>642</v>
      </c>
      <c r="E1403" s="170" t="s">
        <v>1556</v>
      </c>
      <c r="F1403" s="135" t="s">
        <v>983</v>
      </c>
      <c r="G1403" s="171" t="s">
        <v>88</v>
      </c>
      <c r="H1403" s="202" t="s">
        <v>1744</v>
      </c>
      <c r="I1403" s="30" t="e">
        <f>VLOOKUP(H1403,'合同高级查询数据-4月返'!A:A,1,FALSE)</f>
        <v>#N/A</v>
      </c>
      <c r="J1403" s="31" t="s">
        <v>90</v>
      </c>
      <c r="K1403" s="134" t="s">
        <v>1745</v>
      </c>
      <c r="L1403" s="174"/>
      <c r="M1403" s="113" t="s">
        <v>986</v>
      </c>
      <c r="N1403" s="111">
        <v>43129</v>
      </c>
      <c r="O1403" s="193" t="s">
        <v>1746</v>
      </c>
      <c r="P1403" s="157">
        <v>9600</v>
      </c>
      <c r="Q1403" s="157">
        <v>1</v>
      </c>
      <c r="R1403" s="130">
        <f t="shared" si="34"/>
        <v>9600</v>
      </c>
      <c r="S1403" s="127">
        <v>202304</v>
      </c>
      <c r="T1403" s="251" t="s">
        <v>1840</v>
      </c>
      <c r="U1403" s="252"/>
      <c r="V1403" s="149"/>
      <c r="W1403" s="149"/>
      <c r="X1403" s="131"/>
      <c r="Y1403" s="131"/>
    </row>
    <row r="1404" s="86" customFormat="1" customHeight="1" spans="1:25">
      <c r="A1404" s="135" t="s">
        <v>448</v>
      </c>
      <c r="B1404" s="135" t="s">
        <v>62</v>
      </c>
      <c r="C1404" s="135" t="s">
        <v>238</v>
      </c>
      <c r="D1404" s="135" t="s">
        <v>642</v>
      </c>
      <c r="E1404" s="170" t="s">
        <v>1556</v>
      </c>
      <c r="F1404" s="135" t="s">
        <v>983</v>
      </c>
      <c r="G1404" s="171" t="s">
        <v>88</v>
      </c>
      <c r="H1404" s="202" t="s">
        <v>1744</v>
      </c>
      <c r="I1404" s="30" t="e">
        <f>VLOOKUP(H1404,'合同高级查询数据-4月返'!A:A,1,FALSE)</f>
        <v>#N/A</v>
      </c>
      <c r="J1404" s="31" t="s">
        <v>90</v>
      </c>
      <c r="K1404" s="134" t="s">
        <v>1745</v>
      </c>
      <c r="L1404" s="174"/>
      <c r="M1404" s="113" t="s">
        <v>986</v>
      </c>
      <c r="N1404" s="111">
        <v>43125</v>
      </c>
      <c r="O1404" s="193" t="s">
        <v>1746</v>
      </c>
      <c r="P1404" s="157">
        <v>9600</v>
      </c>
      <c r="Q1404" s="157">
        <v>2</v>
      </c>
      <c r="R1404" s="130">
        <f t="shared" si="34"/>
        <v>19200</v>
      </c>
      <c r="S1404" s="127">
        <v>202304</v>
      </c>
      <c r="T1404" s="251" t="s">
        <v>1841</v>
      </c>
      <c r="U1404" s="252"/>
      <c r="V1404" s="149"/>
      <c r="W1404" s="149"/>
      <c r="X1404" s="131"/>
      <c r="Y1404" s="131"/>
    </row>
    <row r="1405" s="86" customFormat="1" customHeight="1" spans="1:25">
      <c r="A1405" s="135" t="s">
        <v>448</v>
      </c>
      <c r="B1405" s="135" t="s">
        <v>62</v>
      </c>
      <c r="C1405" s="135" t="s">
        <v>238</v>
      </c>
      <c r="D1405" s="135" t="s">
        <v>642</v>
      </c>
      <c r="E1405" s="170" t="s">
        <v>1556</v>
      </c>
      <c r="F1405" s="135" t="s">
        <v>983</v>
      </c>
      <c r="G1405" s="171" t="s">
        <v>88</v>
      </c>
      <c r="H1405" s="202" t="s">
        <v>1744</v>
      </c>
      <c r="I1405" s="30" t="e">
        <f>VLOOKUP(H1405,'合同高级查询数据-4月返'!A:A,1,FALSE)</f>
        <v>#N/A</v>
      </c>
      <c r="J1405" s="31" t="s">
        <v>90</v>
      </c>
      <c r="K1405" s="134" t="s">
        <v>1745</v>
      </c>
      <c r="L1405" s="174"/>
      <c r="M1405" s="113" t="s">
        <v>986</v>
      </c>
      <c r="N1405" s="111">
        <v>43140</v>
      </c>
      <c r="O1405" s="193" t="s">
        <v>1746</v>
      </c>
      <c r="P1405" s="157">
        <v>9600</v>
      </c>
      <c r="Q1405" s="157">
        <v>1</v>
      </c>
      <c r="R1405" s="130">
        <f t="shared" si="34"/>
        <v>9600</v>
      </c>
      <c r="S1405" s="127">
        <v>202304</v>
      </c>
      <c r="T1405" s="251" t="s">
        <v>1842</v>
      </c>
      <c r="U1405" s="252"/>
      <c r="V1405" s="149"/>
      <c r="W1405" s="149"/>
      <c r="X1405" s="131"/>
      <c r="Y1405" s="131"/>
    </row>
    <row r="1406" s="86" customFormat="1" customHeight="1" spans="1:25">
      <c r="A1406" s="135" t="s">
        <v>448</v>
      </c>
      <c r="B1406" s="135" t="s">
        <v>62</v>
      </c>
      <c r="C1406" s="135" t="s">
        <v>238</v>
      </c>
      <c r="D1406" s="135" t="s">
        <v>642</v>
      </c>
      <c r="E1406" s="170" t="s">
        <v>1556</v>
      </c>
      <c r="F1406" s="135" t="s">
        <v>983</v>
      </c>
      <c r="G1406" s="171" t="s">
        <v>88</v>
      </c>
      <c r="H1406" s="202" t="s">
        <v>1744</v>
      </c>
      <c r="I1406" s="30" t="e">
        <f>VLOOKUP(H1406,'合同高级查询数据-4月返'!A:A,1,FALSE)</f>
        <v>#N/A</v>
      </c>
      <c r="J1406" s="31" t="s">
        <v>90</v>
      </c>
      <c r="K1406" s="134" t="s">
        <v>1745</v>
      </c>
      <c r="L1406" s="174"/>
      <c r="M1406" s="113" t="s">
        <v>986</v>
      </c>
      <c r="N1406" s="111">
        <v>43138</v>
      </c>
      <c r="O1406" s="193" t="s">
        <v>1746</v>
      </c>
      <c r="P1406" s="157">
        <v>9600</v>
      </c>
      <c r="Q1406" s="157">
        <v>1</v>
      </c>
      <c r="R1406" s="130">
        <f t="shared" si="34"/>
        <v>9600</v>
      </c>
      <c r="S1406" s="127">
        <v>202304</v>
      </c>
      <c r="T1406" s="251" t="s">
        <v>1843</v>
      </c>
      <c r="U1406" s="252"/>
      <c r="V1406" s="149"/>
      <c r="W1406" s="149"/>
      <c r="X1406" s="131"/>
      <c r="Y1406" s="131"/>
    </row>
    <row r="1407" s="86" customFormat="1" customHeight="1" spans="1:25">
      <c r="A1407" s="135" t="s">
        <v>448</v>
      </c>
      <c r="B1407" s="135" t="s">
        <v>62</v>
      </c>
      <c r="C1407" s="135" t="s">
        <v>238</v>
      </c>
      <c r="D1407" s="135" t="s">
        <v>642</v>
      </c>
      <c r="E1407" s="170" t="s">
        <v>1556</v>
      </c>
      <c r="F1407" s="135" t="s">
        <v>983</v>
      </c>
      <c r="G1407" s="171" t="s">
        <v>88</v>
      </c>
      <c r="H1407" s="202" t="s">
        <v>1744</v>
      </c>
      <c r="I1407" s="30" t="e">
        <f>VLOOKUP(H1407,'合同高级查询数据-4月返'!A:A,1,FALSE)</f>
        <v>#N/A</v>
      </c>
      <c r="J1407" s="31" t="s">
        <v>90</v>
      </c>
      <c r="K1407" s="134" t="s">
        <v>1745</v>
      </c>
      <c r="L1407" s="174"/>
      <c r="M1407" s="113" t="s">
        <v>986</v>
      </c>
      <c r="N1407" s="111">
        <v>43133</v>
      </c>
      <c r="O1407" s="193" t="s">
        <v>1746</v>
      </c>
      <c r="P1407" s="157">
        <v>9600</v>
      </c>
      <c r="Q1407" s="157">
        <v>3</v>
      </c>
      <c r="R1407" s="130">
        <f t="shared" si="34"/>
        <v>28800</v>
      </c>
      <c r="S1407" s="127">
        <v>202304</v>
      </c>
      <c r="T1407" s="251" t="s">
        <v>1844</v>
      </c>
      <c r="U1407" s="252"/>
      <c r="V1407" s="149"/>
      <c r="W1407" s="149"/>
      <c r="X1407" s="131"/>
      <c r="Y1407" s="131"/>
    </row>
    <row r="1408" s="86" customFormat="1" customHeight="1" spans="1:25">
      <c r="A1408" s="135" t="s">
        <v>448</v>
      </c>
      <c r="B1408" s="135" t="s">
        <v>62</v>
      </c>
      <c r="C1408" s="135" t="s">
        <v>238</v>
      </c>
      <c r="D1408" s="135" t="s">
        <v>642</v>
      </c>
      <c r="E1408" s="170" t="s">
        <v>1556</v>
      </c>
      <c r="F1408" s="135" t="s">
        <v>983</v>
      </c>
      <c r="G1408" s="171" t="s">
        <v>88</v>
      </c>
      <c r="H1408" s="202" t="s">
        <v>1744</v>
      </c>
      <c r="I1408" s="30" t="e">
        <f>VLOOKUP(H1408,'合同高级查询数据-4月返'!A:A,1,FALSE)</f>
        <v>#N/A</v>
      </c>
      <c r="J1408" s="31" t="s">
        <v>90</v>
      </c>
      <c r="K1408" s="134" t="s">
        <v>1745</v>
      </c>
      <c r="L1408" s="174"/>
      <c r="M1408" s="113" t="s">
        <v>986</v>
      </c>
      <c r="N1408" s="111">
        <v>43159</v>
      </c>
      <c r="O1408" s="193" t="s">
        <v>1746</v>
      </c>
      <c r="P1408" s="157">
        <v>9600</v>
      </c>
      <c r="Q1408" s="157">
        <v>2</v>
      </c>
      <c r="R1408" s="130">
        <f t="shared" si="34"/>
        <v>19200</v>
      </c>
      <c r="S1408" s="127">
        <v>202304</v>
      </c>
      <c r="T1408" s="251" t="s">
        <v>1845</v>
      </c>
      <c r="U1408" s="252"/>
      <c r="V1408" s="149"/>
      <c r="W1408" s="149"/>
      <c r="X1408" s="131"/>
      <c r="Y1408" s="131"/>
    </row>
    <row r="1409" s="86" customFormat="1" customHeight="1" spans="1:25">
      <c r="A1409" s="135" t="s">
        <v>448</v>
      </c>
      <c r="B1409" s="135" t="s">
        <v>62</v>
      </c>
      <c r="C1409" s="135" t="s">
        <v>238</v>
      </c>
      <c r="D1409" s="135" t="s">
        <v>642</v>
      </c>
      <c r="E1409" s="170" t="s">
        <v>1556</v>
      </c>
      <c r="F1409" s="135" t="s">
        <v>983</v>
      </c>
      <c r="G1409" s="171" t="s">
        <v>88</v>
      </c>
      <c r="H1409" s="202" t="s">
        <v>1744</v>
      </c>
      <c r="I1409" s="30" t="e">
        <f>VLOOKUP(H1409,'合同高级查询数据-4月返'!A:A,1,FALSE)</f>
        <v>#N/A</v>
      </c>
      <c r="J1409" s="31" t="s">
        <v>90</v>
      </c>
      <c r="K1409" s="134" t="s">
        <v>1745</v>
      </c>
      <c r="L1409" s="174"/>
      <c r="M1409" s="113" t="s">
        <v>986</v>
      </c>
      <c r="N1409" s="111">
        <v>43167</v>
      </c>
      <c r="O1409" s="193" t="s">
        <v>1746</v>
      </c>
      <c r="P1409" s="157">
        <v>9600</v>
      </c>
      <c r="Q1409" s="157">
        <v>1</v>
      </c>
      <c r="R1409" s="130">
        <f t="shared" si="34"/>
        <v>9600</v>
      </c>
      <c r="S1409" s="127">
        <v>202304</v>
      </c>
      <c r="T1409" s="251" t="s">
        <v>1846</v>
      </c>
      <c r="U1409" s="252"/>
      <c r="V1409" s="149"/>
      <c r="W1409" s="149"/>
      <c r="X1409" s="131"/>
      <c r="Y1409" s="131"/>
    </row>
    <row r="1410" s="86" customFormat="1" customHeight="1" spans="1:25">
      <c r="A1410" s="135" t="s">
        <v>448</v>
      </c>
      <c r="B1410" s="135" t="s">
        <v>62</v>
      </c>
      <c r="C1410" s="135" t="s">
        <v>238</v>
      </c>
      <c r="D1410" s="135" t="s">
        <v>642</v>
      </c>
      <c r="E1410" s="170" t="s">
        <v>1556</v>
      </c>
      <c r="F1410" s="135" t="s">
        <v>983</v>
      </c>
      <c r="G1410" s="171" t="s">
        <v>88</v>
      </c>
      <c r="H1410" s="202" t="s">
        <v>1744</v>
      </c>
      <c r="I1410" s="30" t="e">
        <f>VLOOKUP(H1410,'合同高级查询数据-4月返'!A:A,1,FALSE)</f>
        <v>#N/A</v>
      </c>
      <c r="J1410" s="31" t="s">
        <v>90</v>
      </c>
      <c r="K1410" s="134" t="s">
        <v>1745</v>
      </c>
      <c r="L1410" s="174"/>
      <c r="M1410" s="113" t="s">
        <v>986</v>
      </c>
      <c r="N1410" s="111">
        <v>43174</v>
      </c>
      <c r="O1410" s="193" t="s">
        <v>1746</v>
      </c>
      <c r="P1410" s="157">
        <v>9600</v>
      </c>
      <c r="Q1410" s="157">
        <v>2</v>
      </c>
      <c r="R1410" s="130">
        <f t="shared" si="34"/>
        <v>19200</v>
      </c>
      <c r="S1410" s="127">
        <v>202304</v>
      </c>
      <c r="T1410" s="251" t="s">
        <v>1847</v>
      </c>
      <c r="U1410" s="252"/>
      <c r="V1410" s="149"/>
      <c r="W1410" s="149"/>
      <c r="X1410" s="131"/>
      <c r="Y1410" s="131"/>
    </row>
    <row r="1411" s="86" customFormat="1" customHeight="1" spans="1:25">
      <c r="A1411" s="135" t="s">
        <v>448</v>
      </c>
      <c r="B1411" s="135" t="s">
        <v>62</v>
      </c>
      <c r="C1411" s="135" t="s">
        <v>238</v>
      </c>
      <c r="D1411" s="135" t="s">
        <v>642</v>
      </c>
      <c r="E1411" s="170" t="s">
        <v>1556</v>
      </c>
      <c r="F1411" s="135" t="s">
        <v>983</v>
      </c>
      <c r="G1411" s="171" t="s">
        <v>88</v>
      </c>
      <c r="H1411" s="202" t="s">
        <v>1744</v>
      </c>
      <c r="I1411" s="30" t="e">
        <f>VLOOKUP(H1411,'合同高级查询数据-4月返'!A:A,1,FALSE)</f>
        <v>#N/A</v>
      </c>
      <c r="J1411" s="31" t="s">
        <v>90</v>
      </c>
      <c r="K1411" s="134" t="s">
        <v>1745</v>
      </c>
      <c r="L1411" s="174"/>
      <c r="M1411" s="113" t="s">
        <v>986</v>
      </c>
      <c r="N1411" s="111">
        <v>43175</v>
      </c>
      <c r="O1411" s="193" t="s">
        <v>1746</v>
      </c>
      <c r="P1411" s="157">
        <v>9600</v>
      </c>
      <c r="Q1411" s="157">
        <v>1</v>
      </c>
      <c r="R1411" s="130">
        <f t="shared" si="34"/>
        <v>9600</v>
      </c>
      <c r="S1411" s="127">
        <v>202304</v>
      </c>
      <c r="T1411" s="251" t="s">
        <v>1848</v>
      </c>
      <c r="U1411" s="252"/>
      <c r="V1411" s="149"/>
      <c r="W1411" s="149"/>
      <c r="X1411" s="131"/>
      <c r="Y1411" s="131"/>
    </row>
    <row r="1412" s="86" customFormat="1" customHeight="1" spans="1:25">
      <c r="A1412" s="135" t="s">
        <v>448</v>
      </c>
      <c r="B1412" s="135" t="s">
        <v>62</v>
      </c>
      <c r="C1412" s="135" t="s">
        <v>238</v>
      </c>
      <c r="D1412" s="135" t="s">
        <v>642</v>
      </c>
      <c r="E1412" s="170" t="s">
        <v>1556</v>
      </c>
      <c r="F1412" s="135" t="s">
        <v>983</v>
      </c>
      <c r="G1412" s="171" t="s">
        <v>88</v>
      </c>
      <c r="H1412" s="202" t="s">
        <v>1744</v>
      </c>
      <c r="I1412" s="30" t="e">
        <f>VLOOKUP(H1412,'合同高级查询数据-4月返'!A:A,1,FALSE)</f>
        <v>#N/A</v>
      </c>
      <c r="J1412" s="31" t="s">
        <v>90</v>
      </c>
      <c r="K1412" s="134" t="s">
        <v>1745</v>
      </c>
      <c r="L1412" s="174"/>
      <c r="M1412" s="113" t="s">
        <v>986</v>
      </c>
      <c r="N1412" s="111">
        <v>43180</v>
      </c>
      <c r="O1412" s="193" t="s">
        <v>1746</v>
      </c>
      <c r="P1412" s="157">
        <v>9600</v>
      </c>
      <c r="Q1412" s="157">
        <v>1</v>
      </c>
      <c r="R1412" s="130">
        <f t="shared" si="34"/>
        <v>9600</v>
      </c>
      <c r="S1412" s="127">
        <v>202304</v>
      </c>
      <c r="T1412" s="251" t="s">
        <v>1849</v>
      </c>
      <c r="U1412" s="252"/>
      <c r="V1412" s="149"/>
      <c r="W1412" s="149"/>
      <c r="X1412" s="131"/>
      <c r="Y1412" s="131"/>
    </row>
    <row r="1413" s="86" customFormat="1" customHeight="1" spans="1:25">
      <c r="A1413" s="135" t="s">
        <v>448</v>
      </c>
      <c r="B1413" s="135" t="s">
        <v>62</v>
      </c>
      <c r="C1413" s="135" t="s">
        <v>238</v>
      </c>
      <c r="D1413" s="135" t="s">
        <v>642</v>
      </c>
      <c r="E1413" s="170" t="s">
        <v>1556</v>
      </c>
      <c r="F1413" s="135" t="s">
        <v>983</v>
      </c>
      <c r="G1413" s="171" t="s">
        <v>88</v>
      </c>
      <c r="H1413" s="202" t="s">
        <v>1744</v>
      </c>
      <c r="I1413" s="30" t="e">
        <f>VLOOKUP(H1413,'合同高级查询数据-4月返'!A:A,1,FALSE)</f>
        <v>#N/A</v>
      </c>
      <c r="J1413" s="31" t="s">
        <v>90</v>
      </c>
      <c r="K1413" s="134" t="s">
        <v>1745</v>
      </c>
      <c r="L1413" s="174"/>
      <c r="M1413" s="113" t="s">
        <v>986</v>
      </c>
      <c r="N1413" s="111">
        <v>43189</v>
      </c>
      <c r="O1413" s="193" t="s">
        <v>1746</v>
      </c>
      <c r="P1413" s="157">
        <v>9600</v>
      </c>
      <c r="Q1413" s="157">
        <v>3</v>
      </c>
      <c r="R1413" s="130">
        <f t="shared" si="34"/>
        <v>28800</v>
      </c>
      <c r="S1413" s="127">
        <v>202304</v>
      </c>
      <c r="T1413" s="251" t="s">
        <v>1850</v>
      </c>
      <c r="U1413" s="252"/>
      <c r="V1413" s="149"/>
      <c r="W1413" s="149"/>
      <c r="X1413" s="131"/>
      <c r="Y1413" s="131"/>
    </row>
    <row r="1414" s="86" customFormat="1" customHeight="1" spans="1:25">
      <c r="A1414" s="135" t="s">
        <v>448</v>
      </c>
      <c r="B1414" s="135" t="s">
        <v>62</v>
      </c>
      <c r="C1414" s="135" t="s">
        <v>238</v>
      </c>
      <c r="D1414" s="135" t="s">
        <v>642</v>
      </c>
      <c r="E1414" s="170" t="s">
        <v>1556</v>
      </c>
      <c r="F1414" s="135" t="s">
        <v>983</v>
      </c>
      <c r="G1414" s="171" t="s">
        <v>88</v>
      </c>
      <c r="H1414" s="202" t="s">
        <v>1744</v>
      </c>
      <c r="I1414" s="30" t="e">
        <f>VLOOKUP(H1414,'合同高级查询数据-4月返'!A:A,1,FALSE)</f>
        <v>#N/A</v>
      </c>
      <c r="J1414" s="31" t="s">
        <v>90</v>
      </c>
      <c r="K1414" s="134" t="s">
        <v>1745</v>
      </c>
      <c r="L1414" s="174"/>
      <c r="M1414" s="113" t="s">
        <v>986</v>
      </c>
      <c r="N1414" s="111">
        <v>43237</v>
      </c>
      <c r="O1414" s="193" t="s">
        <v>1746</v>
      </c>
      <c r="P1414" s="157">
        <v>9600</v>
      </c>
      <c r="Q1414" s="157">
        <v>3</v>
      </c>
      <c r="R1414" s="130">
        <f t="shared" si="34"/>
        <v>28800</v>
      </c>
      <c r="S1414" s="127">
        <v>202304</v>
      </c>
      <c r="T1414" s="251" t="s">
        <v>1851</v>
      </c>
      <c r="U1414" s="252"/>
      <c r="V1414" s="149"/>
      <c r="W1414" s="149"/>
      <c r="X1414" s="131"/>
      <c r="Y1414" s="131"/>
    </row>
    <row r="1415" s="86" customFormat="1" customHeight="1" spans="1:25">
      <c r="A1415" s="135" t="s">
        <v>448</v>
      </c>
      <c r="B1415" s="135" t="s">
        <v>62</v>
      </c>
      <c r="C1415" s="135" t="s">
        <v>238</v>
      </c>
      <c r="D1415" s="135" t="s">
        <v>642</v>
      </c>
      <c r="E1415" s="170" t="s">
        <v>1556</v>
      </c>
      <c r="F1415" s="135" t="s">
        <v>983</v>
      </c>
      <c r="G1415" s="171" t="s">
        <v>88</v>
      </c>
      <c r="H1415" s="202" t="s">
        <v>1744</v>
      </c>
      <c r="I1415" s="30" t="e">
        <f>VLOOKUP(H1415,'合同高级查询数据-4月返'!A:A,1,FALSE)</f>
        <v>#N/A</v>
      </c>
      <c r="J1415" s="31" t="s">
        <v>90</v>
      </c>
      <c r="K1415" s="134" t="s">
        <v>1745</v>
      </c>
      <c r="L1415" s="174"/>
      <c r="M1415" s="113" t="s">
        <v>986</v>
      </c>
      <c r="N1415" s="111">
        <v>43235</v>
      </c>
      <c r="O1415" s="193" t="s">
        <v>1746</v>
      </c>
      <c r="P1415" s="157">
        <v>9600</v>
      </c>
      <c r="Q1415" s="157">
        <v>3</v>
      </c>
      <c r="R1415" s="130">
        <f t="shared" si="34"/>
        <v>28800</v>
      </c>
      <c r="S1415" s="127">
        <v>202304</v>
      </c>
      <c r="T1415" s="251" t="s">
        <v>1852</v>
      </c>
      <c r="U1415" s="252"/>
      <c r="V1415" s="149"/>
      <c r="W1415" s="149"/>
      <c r="X1415" s="131"/>
      <c r="Y1415" s="131"/>
    </row>
    <row r="1416" s="86" customFormat="1" customHeight="1" spans="1:25">
      <c r="A1416" s="135" t="s">
        <v>448</v>
      </c>
      <c r="B1416" s="135" t="s">
        <v>62</v>
      </c>
      <c r="C1416" s="135" t="s">
        <v>238</v>
      </c>
      <c r="D1416" s="135" t="s">
        <v>642</v>
      </c>
      <c r="E1416" s="170" t="s">
        <v>1556</v>
      </c>
      <c r="F1416" s="135" t="s">
        <v>983</v>
      </c>
      <c r="G1416" s="171" t="s">
        <v>88</v>
      </c>
      <c r="H1416" s="202" t="s">
        <v>1744</v>
      </c>
      <c r="I1416" s="30" t="e">
        <f>VLOOKUP(H1416,'合同高级查询数据-4月返'!A:A,1,FALSE)</f>
        <v>#N/A</v>
      </c>
      <c r="J1416" s="31" t="s">
        <v>90</v>
      </c>
      <c r="K1416" s="134" t="s">
        <v>1745</v>
      </c>
      <c r="L1416" s="174"/>
      <c r="M1416" s="113" t="s">
        <v>986</v>
      </c>
      <c r="N1416" s="111">
        <v>43243</v>
      </c>
      <c r="O1416" s="193" t="s">
        <v>1746</v>
      </c>
      <c r="P1416" s="157">
        <v>9600</v>
      </c>
      <c r="Q1416" s="157">
        <v>2</v>
      </c>
      <c r="R1416" s="130">
        <f t="shared" si="34"/>
        <v>19200</v>
      </c>
      <c r="S1416" s="127">
        <v>202304</v>
      </c>
      <c r="T1416" s="251" t="s">
        <v>1853</v>
      </c>
      <c r="U1416" s="252"/>
      <c r="V1416" s="149"/>
      <c r="W1416" s="149"/>
      <c r="X1416" s="131"/>
      <c r="Y1416" s="131"/>
    </row>
    <row r="1417" s="86" customFormat="1" customHeight="1" spans="1:25">
      <c r="A1417" s="135" t="s">
        <v>448</v>
      </c>
      <c r="B1417" s="135" t="s">
        <v>62</v>
      </c>
      <c r="C1417" s="135" t="s">
        <v>238</v>
      </c>
      <c r="D1417" s="135" t="s">
        <v>642</v>
      </c>
      <c r="E1417" s="170" t="s">
        <v>1556</v>
      </c>
      <c r="F1417" s="135" t="s">
        <v>983</v>
      </c>
      <c r="G1417" s="171" t="s">
        <v>88</v>
      </c>
      <c r="H1417" s="202" t="s">
        <v>1744</v>
      </c>
      <c r="I1417" s="30" t="e">
        <f>VLOOKUP(H1417,'合同高级查询数据-4月返'!A:A,1,FALSE)</f>
        <v>#N/A</v>
      </c>
      <c r="J1417" s="31" t="s">
        <v>90</v>
      </c>
      <c r="K1417" s="134" t="s">
        <v>1745</v>
      </c>
      <c r="L1417" s="174"/>
      <c r="M1417" s="113" t="s">
        <v>986</v>
      </c>
      <c r="N1417" s="111">
        <v>43249</v>
      </c>
      <c r="O1417" s="193" t="s">
        <v>1746</v>
      </c>
      <c r="P1417" s="157">
        <v>9600</v>
      </c>
      <c r="Q1417" s="157">
        <v>2</v>
      </c>
      <c r="R1417" s="130">
        <f t="shared" si="34"/>
        <v>19200</v>
      </c>
      <c r="S1417" s="127">
        <v>202304</v>
      </c>
      <c r="T1417" s="251" t="s">
        <v>1854</v>
      </c>
      <c r="U1417" s="252"/>
      <c r="V1417" s="149"/>
      <c r="W1417" s="149"/>
      <c r="X1417" s="131"/>
      <c r="Y1417" s="131"/>
    </row>
    <row r="1418" s="86" customFormat="1" customHeight="1" spans="1:25">
      <c r="A1418" s="135" t="s">
        <v>448</v>
      </c>
      <c r="B1418" s="135" t="s">
        <v>62</v>
      </c>
      <c r="C1418" s="135" t="s">
        <v>238</v>
      </c>
      <c r="D1418" s="135" t="s">
        <v>642</v>
      </c>
      <c r="E1418" s="170" t="s">
        <v>1556</v>
      </c>
      <c r="F1418" s="135" t="s">
        <v>983</v>
      </c>
      <c r="G1418" s="171" t="s">
        <v>88</v>
      </c>
      <c r="H1418" s="202" t="s">
        <v>1744</v>
      </c>
      <c r="I1418" s="30" t="e">
        <f>VLOOKUP(H1418,'合同高级查询数据-4月返'!A:A,1,FALSE)</f>
        <v>#N/A</v>
      </c>
      <c r="J1418" s="31" t="s">
        <v>90</v>
      </c>
      <c r="K1418" s="134" t="s">
        <v>1745</v>
      </c>
      <c r="L1418" s="174"/>
      <c r="M1418" s="113" t="s">
        <v>986</v>
      </c>
      <c r="N1418" s="111">
        <v>43250</v>
      </c>
      <c r="O1418" s="193" t="s">
        <v>1746</v>
      </c>
      <c r="P1418" s="157">
        <v>9600</v>
      </c>
      <c r="Q1418" s="157">
        <v>3</v>
      </c>
      <c r="R1418" s="130">
        <f t="shared" si="34"/>
        <v>28800</v>
      </c>
      <c r="S1418" s="127">
        <v>202304</v>
      </c>
      <c r="T1418" s="251" t="s">
        <v>1855</v>
      </c>
      <c r="U1418" s="252"/>
      <c r="V1418" s="149"/>
      <c r="W1418" s="149"/>
      <c r="X1418" s="131"/>
      <c r="Y1418" s="131"/>
    </row>
    <row r="1419" s="86" customFormat="1" customHeight="1" spans="1:25">
      <c r="A1419" s="135" t="s">
        <v>448</v>
      </c>
      <c r="B1419" s="135" t="s">
        <v>62</v>
      </c>
      <c r="C1419" s="135" t="s">
        <v>238</v>
      </c>
      <c r="D1419" s="135" t="s">
        <v>642</v>
      </c>
      <c r="E1419" s="170" t="s">
        <v>1556</v>
      </c>
      <c r="F1419" s="135" t="s">
        <v>983</v>
      </c>
      <c r="G1419" s="171" t="s">
        <v>88</v>
      </c>
      <c r="H1419" s="202" t="s">
        <v>1744</v>
      </c>
      <c r="I1419" s="30" t="e">
        <f>VLOOKUP(H1419,'合同高级查询数据-4月返'!A:A,1,FALSE)</f>
        <v>#N/A</v>
      </c>
      <c r="J1419" s="31" t="s">
        <v>90</v>
      </c>
      <c r="K1419" s="134" t="s">
        <v>1745</v>
      </c>
      <c r="L1419" s="174"/>
      <c r="M1419" s="113" t="s">
        <v>986</v>
      </c>
      <c r="N1419" s="111">
        <v>43251</v>
      </c>
      <c r="O1419" s="193" t="s">
        <v>1746</v>
      </c>
      <c r="P1419" s="157">
        <v>9600</v>
      </c>
      <c r="Q1419" s="157">
        <v>1</v>
      </c>
      <c r="R1419" s="130">
        <f t="shared" si="34"/>
        <v>9600</v>
      </c>
      <c r="S1419" s="127">
        <v>202304</v>
      </c>
      <c r="T1419" s="251" t="s">
        <v>1856</v>
      </c>
      <c r="U1419" s="252"/>
      <c r="V1419" s="149"/>
      <c r="W1419" s="149"/>
      <c r="X1419" s="131"/>
      <c r="Y1419" s="131"/>
    </row>
    <row r="1420" s="86" customFormat="1" customHeight="1" spans="1:25">
      <c r="A1420" s="135" t="s">
        <v>448</v>
      </c>
      <c r="B1420" s="135" t="s">
        <v>62</v>
      </c>
      <c r="C1420" s="135" t="s">
        <v>238</v>
      </c>
      <c r="D1420" s="135" t="s">
        <v>642</v>
      </c>
      <c r="E1420" s="170" t="s">
        <v>1556</v>
      </c>
      <c r="F1420" s="135" t="s">
        <v>983</v>
      </c>
      <c r="G1420" s="171" t="s">
        <v>88</v>
      </c>
      <c r="H1420" s="202" t="s">
        <v>1744</v>
      </c>
      <c r="I1420" s="30" t="e">
        <f>VLOOKUP(H1420,'合同高级查询数据-4月返'!A:A,1,FALSE)</f>
        <v>#N/A</v>
      </c>
      <c r="J1420" s="31" t="s">
        <v>90</v>
      </c>
      <c r="K1420" s="134" t="s">
        <v>1745</v>
      </c>
      <c r="L1420" s="174"/>
      <c r="M1420" s="113" t="s">
        <v>986</v>
      </c>
      <c r="N1420" s="111">
        <v>43256</v>
      </c>
      <c r="O1420" s="193" t="s">
        <v>1746</v>
      </c>
      <c r="P1420" s="157">
        <v>9600</v>
      </c>
      <c r="Q1420" s="157">
        <v>2</v>
      </c>
      <c r="R1420" s="130">
        <f t="shared" si="34"/>
        <v>19200</v>
      </c>
      <c r="S1420" s="127">
        <v>202304</v>
      </c>
      <c r="T1420" s="251" t="s">
        <v>1857</v>
      </c>
      <c r="U1420" s="252"/>
      <c r="V1420" s="149"/>
      <c r="W1420" s="149"/>
      <c r="X1420" s="131"/>
      <c r="Y1420" s="131"/>
    </row>
    <row r="1421" s="86" customFormat="1" customHeight="1" spans="1:25">
      <c r="A1421" s="135" t="s">
        <v>448</v>
      </c>
      <c r="B1421" s="135" t="s">
        <v>62</v>
      </c>
      <c r="C1421" s="135" t="s">
        <v>238</v>
      </c>
      <c r="D1421" s="135" t="s">
        <v>642</v>
      </c>
      <c r="E1421" s="170" t="s">
        <v>1556</v>
      </c>
      <c r="F1421" s="135" t="s">
        <v>983</v>
      </c>
      <c r="G1421" s="171" t="s">
        <v>88</v>
      </c>
      <c r="H1421" s="202" t="s">
        <v>1744</v>
      </c>
      <c r="I1421" s="30" t="e">
        <f>VLOOKUP(H1421,'合同高级查询数据-4月返'!A:A,1,FALSE)</f>
        <v>#N/A</v>
      </c>
      <c r="J1421" s="31" t="s">
        <v>90</v>
      </c>
      <c r="K1421" s="134" t="s">
        <v>1745</v>
      </c>
      <c r="L1421" s="174"/>
      <c r="M1421" s="113" t="s">
        <v>986</v>
      </c>
      <c r="N1421" s="111">
        <v>43257</v>
      </c>
      <c r="O1421" s="193" t="s">
        <v>1746</v>
      </c>
      <c r="P1421" s="157">
        <v>9600</v>
      </c>
      <c r="Q1421" s="157">
        <v>1</v>
      </c>
      <c r="R1421" s="130">
        <f t="shared" si="34"/>
        <v>9600</v>
      </c>
      <c r="S1421" s="127">
        <v>202304</v>
      </c>
      <c r="T1421" s="251" t="s">
        <v>1858</v>
      </c>
      <c r="U1421" s="252"/>
      <c r="V1421" s="149"/>
      <c r="W1421" s="149"/>
      <c r="X1421" s="131"/>
      <c r="Y1421" s="131"/>
    </row>
    <row r="1422" s="86" customFormat="1" customHeight="1" spans="1:25">
      <c r="A1422" s="135" t="s">
        <v>448</v>
      </c>
      <c r="B1422" s="135" t="s">
        <v>62</v>
      </c>
      <c r="C1422" s="135" t="s">
        <v>238</v>
      </c>
      <c r="D1422" s="135" t="s">
        <v>642</v>
      </c>
      <c r="E1422" s="170" t="s">
        <v>1556</v>
      </c>
      <c r="F1422" s="135" t="s">
        <v>983</v>
      </c>
      <c r="G1422" s="171" t="s">
        <v>88</v>
      </c>
      <c r="H1422" s="202" t="s">
        <v>1744</v>
      </c>
      <c r="I1422" s="30" t="e">
        <f>VLOOKUP(H1422,'合同高级查询数据-4月返'!A:A,1,FALSE)</f>
        <v>#N/A</v>
      </c>
      <c r="J1422" s="31" t="s">
        <v>90</v>
      </c>
      <c r="K1422" s="134" t="s">
        <v>1745</v>
      </c>
      <c r="L1422" s="174"/>
      <c r="M1422" s="113" t="s">
        <v>986</v>
      </c>
      <c r="N1422" s="111">
        <v>43258</v>
      </c>
      <c r="O1422" s="193" t="s">
        <v>1746</v>
      </c>
      <c r="P1422" s="157">
        <v>9600</v>
      </c>
      <c r="Q1422" s="157">
        <v>7</v>
      </c>
      <c r="R1422" s="130">
        <f t="shared" si="34"/>
        <v>67200</v>
      </c>
      <c r="S1422" s="127">
        <v>202304</v>
      </c>
      <c r="T1422" s="251" t="s">
        <v>1859</v>
      </c>
      <c r="U1422" s="252"/>
      <c r="V1422" s="149"/>
      <c r="W1422" s="149"/>
      <c r="X1422" s="131"/>
      <c r="Y1422" s="131"/>
    </row>
    <row r="1423" s="86" customFormat="1" customHeight="1" spans="1:25">
      <c r="A1423" s="135" t="s">
        <v>448</v>
      </c>
      <c r="B1423" s="135" t="s">
        <v>62</v>
      </c>
      <c r="C1423" s="135" t="s">
        <v>238</v>
      </c>
      <c r="D1423" s="135" t="s">
        <v>642</v>
      </c>
      <c r="E1423" s="170" t="s">
        <v>1556</v>
      </c>
      <c r="F1423" s="135" t="s">
        <v>983</v>
      </c>
      <c r="G1423" s="171" t="s">
        <v>88</v>
      </c>
      <c r="H1423" s="202" t="s">
        <v>1744</v>
      </c>
      <c r="I1423" s="30" t="e">
        <f>VLOOKUP(H1423,'合同高级查询数据-4月返'!A:A,1,FALSE)</f>
        <v>#N/A</v>
      </c>
      <c r="J1423" s="31" t="s">
        <v>90</v>
      </c>
      <c r="K1423" s="134" t="s">
        <v>1745</v>
      </c>
      <c r="L1423" s="174"/>
      <c r="M1423" s="113" t="s">
        <v>986</v>
      </c>
      <c r="N1423" s="111">
        <v>43259</v>
      </c>
      <c r="O1423" s="193" t="s">
        <v>1746</v>
      </c>
      <c r="P1423" s="157">
        <v>9600</v>
      </c>
      <c r="Q1423" s="157">
        <v>13</v>
      </c>
      <c r="R1423" s="130">
        <f t="shared" si="34"/>
        <v>124800</v>
      </c>
      <c r="S1423" s="127">
        <v>202304</v>
      </c>
      <c r="T1423" s="251" t="s">
        <v>1860</v>
      </c>
      <c r="U1423" s="252"/>
      <c r="V1423" s="149"/>
      <c r="W1423" s="149"/>
      <c r="X1423" s="131"/>
      <c r="Y1423" s="131"/>
    </row>
    <row r="1424" s="86" customFormat="1" customHeight="1" spans="1:25">
      <c r="A1424" s="135" t="s">
        <v>448</v>
      </c>
      <c r="B1424" s="135" t="s">
        <v>62</v>
      </c>
      <c r="C1424" s="135" t="s">
        <v>238</v>
      </c>
      <c r="D1424" s="135" t="s">
        <v>642</v>
      </c>
      <c r="E1424" s="170" t="s">
        <v>1556</v>
      </c>
      <c r="F1424" s="135" t="s">
        <v>983</v>
      </c>
      <c r="G1424" s="171" t="s">
        <v>88</v>
      </c>
      <c r="H1424" s="202" t="s">
        <v>1744</v>
      </c>
      <c r="I1424" s="30" t="e">
        <f>VLOOKUP(H1424,'合同高级查询数据-4月返'!A:A,1,FALSE)</f>
        <v>#N/A</v>
      </c>
      <c r="J1424" s="31" t="s">
        <v>90</v>
      </c>
      <c r="K1424" s="134" t="s">
        <v>1745</v>
      </c>
      <c r="L1424" s="174"/>
      <c r="M1424" s="113" t="s">
        <v>986</v>
      </c>
      <c r="N1424" s="111">
        <v>43284</v>
      </c>
      <c r="O1424" s="193" t="s">
        <v>1746</v>
      </c>
      <c r="P1424" s="157">
        <v>9600</v>
      </c>
      <c r="Q1424" s="157">
        <v>2</v>
      </c>
      <c r="R1424" s="130">
        <f t="shared" si="34"/>
        <v>19200</v>
      </c>
      <c r="S1424" s="127">
        <v>202304</v>
      </c>
      <c r="T1424" s="251"/>
      <c r="U1424" s="252"/>
      <c r="V1424" s="149"/>
      <c r="W1424" s="149"/>
      <c r="X1424" s="131"/>
      <c r="Y1424" s="131"/>
    </row>
    <row r="1425" s="86" customFormat="1" customHeight="1" spans="1:25">
      <c r="A1425" s="135" t="s">
        <v>448</v>
      </c>
      <c r="B1425" s="135" t="s">
        <v>62</v>
      </c>
      <c r="C1425" s="135" t="s">
        <v>238</v>
      </c>
      <c r="D1425" s="135" t="s">
        <v>642</v>
      </c>
      <c r="E1425" s="170" t="s">
        <v>1556</v>
      </c>
      <c r="F1425" s="135" t="s">
        <v>983</v>
      </c>
      <c r="G1425" s="171" t="s">
        <v>88</v>
      </c>
      <c r="H1425" s="202" t="s">
        <v>1744</v>
      </c>
      <c r="I1425" s="30" t="e">
        <f>VLOOKUP(H1425,'合同高级查询数据-4月返'!A:A,1,FALSE)</f>
        <v>#N/A</v>
      </c>
      <c r="J1425" s="31" t="s">
        <v>90</v>
      </c>
      <c r="K1425" s="134" t="s">
        <v>1745</v>
      </c>
      <c r="L1425" s="174"/>
      <c r="M1425" s="113" t="s">
        <v>986</v>
      </c>
      <c r="N1425" s="111">
        <v>43286</v>
      </c>
      <c r="O1425" s="193" t="s">
        <v>1746</v>
      </c>
      <c r="P1425" s="157">
        <v>9600</v>
      </c>
      <c r="Q1425" s="157">
        <v>3</v>
      </c>
      <c r="R1425" s="130">
        <f t="shared" si="34"/>
        <v>28800</v>
      </c>
      <c r="S1425" s="127">
        <v>202304</v>
      </c>
      <c r="T1425" s="251"/>
      <c r="U1425" s="252"/>
      <c r="V1425" s="149"/>
      <c r="W1425" s="149"/>
      <c r="X1425" s="131"/>
      <c r="Y1425" s="131"/>
    </row>
    <row r="1426" s="86" customFormat="1" customHeight="1" spans="1:25">
      <c r="A1426" s="135" t="s">
        <v>448</v>
      </c>
      <c r="B1426" s="135" t="s">
        <v>62</v>
      </c>
      <c r="C1426" s="135" t="s">
        <v>238</v>
      </c>
      <c r="D1426" s="135" t="s">
        <v>642</v>
      </c>
      <c r="E1426" s="170" t="s">
        <v>1556</v>
      </c>
      <c r="F1426" s="135" t="s">
        <v>983</v>
      </c>
      <c r="G1426" s="171" t="s">
        <v>88</v>
      </c>
      <c r="H1426" s="202" t="s">
        <v>1744</v>
      </c>
      <c r="I1426" s="30" t="e">
        <f>VLOOKUP(H1426,'合同高级查询数据-4月返'!A:A,1,FALSE)</f>
        <v>#N/A</v>
      </c>
      <c r="J1426" s="31" t="s">
        <v>90</v>
      </c>
      <c r="K1426" s="134" t="s">
        <v>1745</v>
      </c>
      <c r="L1426" s="174"/>
      <c r="M1426" s="113" t="s">
        <v>986</v>
      </c>
      <c r="N1426" s="111">
        <v>43287</v>
      </c>
      <c r="O1426" s="193" t="s">
        <v>1746</v>
      </c>
      <c r="P1426" s="157">
        <v>9600</v>
      </c>
      <c r="Q1426" s="157">
        <v>2</v>
      </c>
      <c r="R1426" s="130">
        <f t="shared" si="34"/>
        <v>19200</v>
      </c>
      <c r="S1426" s="127">
        <v>202304</v>
      </c>
      <c r="T1426" s="251"/>
      <c r="U1426" s="252"/>
      <c r="V1426" s="149"/>
      <c r="W1426" s="149"/>
      <c r="X1426" s="131"/>
      <c r="Y1426" s="131"/>
    </row>
    <row r="1427" s="86" customFormat="1" customHeight="1" spans="1:25">
      <c r="A1427" s="135" t="s">
        <v>448</v>
      </c>
      <c r="B1427" s="135" t="s">
        <v>62</v>
      </c>
      <c r="C1427" s="135" t="s">
        <v>238</v>
      </c>
      <c r="D1427" s="135" t="s">
        <v>642</v>
      </c>
      <c r="E1427" s="170" t="s">
        <v>1556</v>
      </c>
      <c r="F1427" s="135" t="s">
        <v>983</v>
      </c>
      <c r="G1427" s="171" t="s">
        <v>88</v>
      </c>
      <c r="H1427" s="202" t="s">
        <v>1744</v>
      </c>
      <c r="I1427" s="30" t="e">
        <f>VLOOKUP(H1427,'合同高级查询数据-4月返'!A:A,1,FALSE)</f>
        <v>#N/A</v>
      </c>
      <c r="J1427" s="31" t="s">
        <v>90</v>
      </c>
      <c r="K1427" s="134" t="s">
        <v>1745</v>
      </c>
      <c r="L1427" s="174"/>
      <c r="M1427" s="113" t="s">
        <v>986</v>
      </c>
      <c r="N1427" s="111">
        <v>43291</v>
      </c>
      <c r="O1427" s="193" t="s">
        <v>1746</v>
      </c>
      <c r="P1427" s="157">
        <v>9600</v>
      </c>
      <c r="Q1427" s="157">
        <v>1</v>
      </c>
      <c r="R1427" s="130">
        <f t="shared" si="34"/>
        <v>9600</v>
      </c>
      <c r="S1427" s="127">
        <v>202304</v>
      </c>
      <c r="T1427" s="251"/>
      <c r="U1427" s="252"/>
      <c r="V1427" s="149"/>
      <c r="W1427" s="149"/>
      <c r="X1427" s="131"/>
      <c r="Y1427" s="131"/>
    </row>
    <row r="1428" s="86" customFormat="1" customHeight="1" spans="1:25">
      <c r="A1428" s="135" t="s">
        <v>448</v>
      </c>
      <c r="B1428" s="135" t="s">
        <v>62</v>
      </c>
      <c r="C1428" s="135" t="s">
        <v>238</v>
      </c>
      <c r="D1428" s="135" t="s">
        <v>642</v>
      </c>
      <c r="E1428" s="170" t="s">
        <v>1556</v>
      </c>
      <c r="F1428" s="135" t="s">
        <v>983</v>
      </c>
      <c r="G1428" s="171" t="s">
        <v>88</v>
      </c>
      <c r="H1428" s="202" t="s">
        <v>1744</v>
      </c>
      <c r="I1428" s="30" t="e">
        <f>VLOOKUP(H1428,'合同高级查询数据-4月返'!A:A,1,FALSE)</f>
        <v>#N/A</v>
      </c>
      <c r="J1428" s="31" t="s">
        <v>90</v>
      </c>
      <c r="K1428" s="134" t="s">
        <v>1745</v>
      </c>
      <c r="L1428" s="174"/>
      <c r="M1428" s="113" t="s">
        <v>986</v>
      </c>
      <c r="N1428" s="111">
        <v>43293</v>
      </c>
      <c r="O1428" s="193" t="s">
        <v>1746</v>
      </c>
      <c r="P1428" s="157">
        <v>9600</v>
      </c>
      <c r="Q1428" s="157">
        <v>1</v>
      </c>
      <c r="R1428" s="130">
        <f t="shared" si="34"/>
        <v>9600</v>
      </c>
      <c r="S1428" s="127">
        <v>202304</v>
      </c>
      <c r="T1428" s="251"/>
      <c r="U1428" s="252"/>
      <c r="V1428" s="149"/>
      <c r="W1428" s="149"/>
      <c r="X1428" s="131"/>
      <c r="Y1428" s="131"/>
    </row>
    <row r="1429" s="86" customFormat="1" customHeight="1" spans="1:25">
      <c r="A1429" s="135" t="s">
        <v>448</v>
      </c>
      <c r="B1429" s="135" t="s">
        <v>62</v>
      </c>
      <c r="C1429" s="135" t="s">
        <v>238</v>
      </c>
      <c r="D1429" s="135" t="s">
        <v>642</v>
      </c>
      <c r="E1429" s="170" t="s">
        <v>1556</v>
      </c>
      <c r="F1429" s="135" t="s">
        <v>983</v>
      </c>
      <c r="G1429" s="171" t="s">
        <v>88</v>
      </c>
      <c r="H1429" s="202" t="s">
        <v>1744</v>
      </c>
      <c r="I1429" s="30" t="e">
        <f>VLOOKUP(H1429,'合同高级查询数据-4月返'!A:A,1,FALSE)</f>
        <v>#N/A</v>
      </c>
      <c r="J1429" s="31" t="s">
        <v>90</v>
      </c>
      <c r="K1429" s="134" t="s">
        <v>1745</v>
      </c>
      <c r="L1429" s="174"/>
      <c r="M1429" s="113" t="s">
        <v>986</v>
      </c>
      <c r="N1429" s="111">
        <v>43298</v>
      </c>
      <c r="O1429" s="193" t="s">
        <v>1746</v>
      </c>
      <c r="P1429" s="157">
        <v>9600</v>
      </c>
      <c r="Q1429" s="157">
        <v>3</v>
      </c>
      <c r="R1429" s="130">
        <f t="shared" si="34"/>
        <v>28800</v>
      </c>
      <c r="S1429" s="127">
        <v>202304</v>
      </c>
      <c r="T1429" s="251"/>
      <c r="U1429" s="252"/>
      <c r="V1429" s="149"/>
      <c r="W1429" s="149"/>
      <c r="X1429" s="131"/>
      <c r="Y1429" s="131"/>
    </row>
    <row r="1430" s="86" customFormat="1" customHeight="1" spans="1:25">
      <c r="A1430" s="135" t="s">
        <v>448</v>
      </c>
      <c r="B1430" s="135" t="s">
        <v>62</v>
      </c>
      <c r="C1430" s="135" t="s">
        <v>238</v>
      </c>
      <c r="D1430" s="135" t="s">
        <v>642</v>
      </c>
      <c r="E1430" s="170" t="s">
        <v>1556</v>
      </c>
      <c r="F1430" s="135" t="s">
        <v>983</v>
      </c>
      <c r="G1430" s="171" t="s">
        <v>88</v>
      </c>
      <c r="H1430" s="202" t="s">
        <v>1744</v>
      </c>
      <c r="I1430" s="30" t="e">
        <f>VLOOKUP(H1430,'合同高级查询数据-4月返'!A:A,1,FALSE)</f>
        <v>#N/A</v>
      </c>
      <c r="J1430" s="31" t="s">
        <v>90</v>
      </c>
      <c r="K1430" s="134" t="s">
        <v>1745</v>
      </c>
      <c r="L1430" s="174"/>
      <c r="M1430" s="113" t="s">
        <v>986</v>
      </c>
      <c r="N1430" s="111">
        <v>43299</v>
      </c>
      <c r="O1430" s="193" t="s">
        <v>1746</v>
      </c>
      <c r="P1430" s="157">
        <v>9600</v>
      </c>
      <c r="Q1430" s="157">
        <v>1</v>
      </c>
      <c r="R1430" s="130">
        <f t="shared" si="34"/>
        <v>9600</v>
      </c>
      <c r="S1430" s="127">
        <v>202304</v>
      </c>
      <c r="T1430" s="251"/>
      <c r="U1430" s="252"/>
      <c r="V1430" s="149"/>
      <c r="W1430" s="149"/>
      <c r="X1430" s="131"/>
      <c r="Y1430" s="131"/>
    </row>
    <row r="1431" s="86" customFormat="1" customHeight="1" spans="1:25">
      <c r="A1431" s="135" t="s">
        <v>448</v>
      </c>
      <c r="B1431" s="135" t="s">
        <v>62</v>
      </c>
      <c r="C1431" s="135" t="s">
        <v>238</v>
      </c>
      <c r="D1431" s="135" t="s">
        <v>642</v>
      </c>
      <c r="E1431" s="170" t="s">
        <v>1556</v>
      </c>
      <c r="F1431" s="135" t="s">
        <v>983</v>
      </c>
      <c r="G1431" s="171" t="s">
        <v>88</v>
      </c>
      <c r="H1431" s="202" t="s">
        <v>1744</v>
      </c>
      <c r="I1431" s="30" t="e">
        <f>VLOOKUP(H1431,'合同高级查询数据-4月返'!A:A,1,FALSE)</f>
        <v>#N/A</v>
      </c>
      <c r="J1431" s="31" t="s">
        <v>90</v>
      </c>
      <c r="K1431" s="134" t="s">
        <v>1745</v>
      </c>
      <c r="L1431" s="174"/>
      <c r="M1431" s="113" t="s">
        <v>986</v>
      </c>
      <c r="N1431" s="111">
        <v>43301</v>
      </c>
      <c r="O1431" s="193" t="s">
        <v>1746</v>
      </c>
      <c r="P1431" s="157">
        <v>9600</v>
      </c>
      <c r="Q1431" s="157">
        <v>2</v>
      </c>
      <c r="R1431" s="130">
        <f t="shared" si="34"/>
        <v>19200</v>
      </c>
      <c r="S1431" s="127">
        <v>202304</v>
      </c>
      <c r="T1431" s="254" t="s">
        <v>1861</v>
      </c>
      <c r="U1431" s="255"/>
      <c r="V1431" s="149"/>
      <c r="W1431" s="149"/>
      <c r="X1431" s="131"/>
      <c r="Y1431" s="131"/>
    </row>
    <row r="1432" s="86" customFormat="1" customHeight="1" spans="1:25">
      <c r="A1432" s="135" t="s">
        <v>448</v>
      </c>
      <c r="B1432" s="135" t="s">
        <v>62</v>
      </c>
      <c r="C1432" s="135" t="s">
        <v>238</v>
      </c>
      <c r="D1432" s="135" t="s">
        <v>642</v>
      </c>
      <c r="E1432" s="170" t="s">
        <v>1556</v>
      </c>
      <c r="F1432" s="135" t="s">
        <v>983</v>
      </c>
      <c r="G1432" s="171" t="s">
        <v>88</v>
      </c>
      <c r="H1432" s="202" t="s">
        <v>1744</v>
      </c>
      <c r="I1432" s="30" t="e">
        <f>VLOOKUP(H1432,'合同高级查询数据-4月返'!A:A,1,FALSE)</f>
        <v>#N/A</v>
      </c>
      <c r="J1432" s="31" t="s">
        <v>90</v>
      </c>
      <c r="K1432" s="134" t="s">
        <v>1745</v>
      </c>
      <c r="L1432" s="174"/>
      <c r="M1432" s="113" t="s">
        <v>986</v>
      </c>
      <c r="N1432" s="111">
        <v>43308</v>
      </c>
      <c r="O1432" s="193" t="s">
        <v>1419</v>
      </c>
      <c r="P1432" s="157">
        <v>18900</v>
      </c>
      <c r="Q1432" s="157">
        <v>2</v>
      </c>
      <c r="R1432" s="130">
        <f t="shared" si="34"/>
        <v>37800</v>
      </c>
      <c r="S1432" s="127">
        <v>202304</v>
      </c>
      <c r="T1432" s="251" t="s">
        <v>1862</v>
      </c>
      <c r="U1432" s="252"/>
      <c r="V1432" s="149"/>
      <c r="W1432" s="149"/>
      <c r="X1432" s="131"/>
      <c r="Y1432" s="131"/>
    </row>
    <row r="1433" s="86" customFormat="1" customHeight="1" spans="1:25">
      <c r="A1433" s="135" t="s">
        <v>448</v>
      </c>
      <c r="B1433" s="135" t="s">
        <v>62</v>
      </c>
      <c r="C1433" s="135" t="s">
        <v>238</v>
      </c>
      <c r="D1433" s="135" t="s">
        <v>642</v>
      </c>
      <c r="E1433" s="170" t="s">
        <v>1556</v>
      </c>
      <c r="F1433" s="135" t="s">
        <v>983</v>
      </c>
      <c r="G1433" s="171" t="s">
        <v>88</v>
      </c>
      <c r="H1433" s="202" t="s">
        <v>1744</v>
      </c>
      <c r="I1433" s="30" t="e">
        <f>VLOOKUP(H1433,'合同高级查询数据-4月返'!A:A,1,FALSE)</f>
        <v>#N/A</v>
      </c>
      <c r="J1433" s="31" t="s">
        <v>90</v>
      </c>
      <c r="K1433" s="134" t="s">
        <v>1745</v>
      </c>
      <c r="L1433" s="174"/>
      <c r="M1433" s="113" t="s">
        <v>986</v>
      </c>
      <c r="N1433" s="111">
        <v>43334</v>
      </c>
      <c r="O1433" s="193" t="s">
        <v>1746</v>
      </c>
      <c r="P1433" s="157">
        <v>9600</v>
      </c>
      <c r="Q1433" s="157">
        <v>2</v>
      </c>
      <c r="R1433" s="130">
        <f t="shared" si="34"/>
        <v>19200</v>
      </c>
      <c r="S1433" s="127">
        <v>202304</v>
      </c>
      <c r="T1433" s="251" t="s">
        <v>1863</v>
      </c>
      <c r="U1433" s="252"/>
      <c r="V1433" s="149"/>
      <c r="W1433" s="149"/>
      <c r="X1433" s="131"/>
      <c r="Y1433" s="131"/>
    </row>
    <row r="1434" s="86" customFormat="1" customHeight="1" spans="1:25">
      <c r="A1434" s="135" t="s">
        <v>448</v>
      </c>
      <c r="B1434" s="135" t="s">
        <v>62</v>
      </c>
      <c r="C1434" s="135" t="s">
        <v>238</v>
      </c>
      <c r="D1434" s="135" t="s">
        <v>642</v>
      </c>
      <c r="E1434" s="170" t="s">
        <v>1556</v>
      </c>
      <c r="F1434" s="135" t="s">
        <v>983</v>
      </c>
      <c r="G1434" s="171" t="s">
        <v>88</v>
      </c>
      <c r="H1434" s="202" t="s">
        <v>1744</v>
      </c>
      <c r="I1434" s="30" t="e">
        <f>VLOOKUP(H1434,'合同高级查询数据-4月返'!A:A,1,FALSE)</f>
        <v>#N/A</v>
      </c>
      <c r="J1434" s="31" t="s">
        <v>90</v>
      </c>
      <c r="K1434" s="134" t="s">
        <v>1745</v>
      </c>
      <c r="L1434" s="174"/>
      <c r="M1434" s="113" t="s">
        <v>986</v>
      </c>
      <c r="N1434" s="111">
        <v>43336</v>
      </c>
      <c r="O1434" s="193" t="s">
        <v>1746</v>
      </c>
      <c r="P1434" s="157">
        <v>9600</v>
      </c>
      <c r="Q1434" s="157">
        <v>2</v>
      </c>
      <c r="R1434" s="130">
        <f t="shared" si="34"/>
        <v>19200</v>
      </c>
      <c r="S1434" s="127">
        <v>202304</v>
      </c>
      <c r="T1434" s="251" t="s">
        <v>1864</v>
      </c>
      <c r="U1434" s="252"/>
      <c r="V1434" s="149"/>
      <c r="W1434" s="149"/>
      <c r="X1434" s="131"/>
      <c r="Y1434" s="131"/>
    </row>
    <row r="1435" s="86" customFormat="1" customHeight="1" spans="1:25">
      <c r="A1435" s="135" t="s">
        <v>448</v>
      </c>
      <c r="B1435" s="135" t="s">
        <v>62</v>
      </c>
      <c r="C1435" s="135" t="s">
        <v>238</v>
      </c>
      <c r="D1435" s="135" t="s">
        <v>642</v>
      </c>
      <c r="E1435" s="170" t="s">
        <v>1556</v>
      </c>
      <c r="F1435" s="135" t="s">
        <v>983</v>
      </c>
      <c r="G1435" s="171" t="s">
        <v>88</v>
      </c>
      <c r="H1435" s="202" t="s">
        <v>1744</v>
      </c>
      <c r="I1435" s="30" t="e">
        <f>VLOOKUP(H1435,'合同高级查询数据-4月返'!A:A,1,FALSE)</f>
        <v>#N/A</v>
      </c>
      <c r="J1435" s="31" t="s">
        <v>90</v>
      </c>
      <c r="K1435" s="134" t="s">
        <v>1745</v>
      </c>
      <c r="L1435" s="174"/>
      <c r="M1435" s="113" t="s">
        <v>986</v>
      </c>
      <c r="N1435" s="111">
        <v>43315</v>
      </c>
      <c r="O1435" s="193" t="s">
        <v>1746</v>
      </c>
      <c r="P1435" s="157">
        <v>9600</v>
      </c>
      <c r="Q1435" s="157">
        <v>2</v>
      </c>
      <c r="R1435" s="130">
        <f t="shared" si="34"/>
        <v>19200</v>
      </c>
      <c r="S1435" s="127">
        <v>202304</v>
      </c>
      <c r="T1435" s="251" t="s">
        <v>1865</v>
      </c>
      <c r="U1435" s="252"/>
      <c r="V1435" s="149"/>
      <c r="W1435" s="149"/>
      <c r="X1435" s="131"/>
      <c r="Y1435" s="131"/>
    </row>
    <row r="1436" s="86" customFormat="1" customHeight="1" spans="1:25">
      <c r="A1436" s="135" t="s">
        <v>448</v>
      </c>
      <c r="B1436" s="135" t="s">
        <v>62</v>
      </c>
      <c r="C1436" s="135" t="s">
        <v>238</v>
      </c>
      <c r="D1436" s="135" t="s">
        <v>642</v>
      </c>
      <c r="E1436" s="170" t="s">
        <v>1556</v>
      </c>
      <c r="F1436" s="135" t="s">
        <v>983</v>
      </c>
      <c r="G1436" s="171" t="s">
        <v>88</v>
      </c>
      <c r="H1436" s="202" t="s">
        <v>1744</v>
      </c>
      <c r="I1436" s="30" t="e">
        <f>VLOOKUP(H1436,'合同高级查询数据-4月返'!A:A,1,FALSE)</f>
        <v>#N/A</v>
      </c>
      <c r="J1436" s="31" t="s">
        <v>90</v>
      </c>
      <c r="K1436" s="134" t="s">
        <v>1745</v>
      </c>
      <c r="L1436" s="174"/>
      <c r="M1436" s="113" t="s">
        <v>986</v>
      </c>
      <c r="N1436" s="111">
        <v>43224</v>
      </c>
      <c r="O1436" s="193" t="s">
        <v>503</v>
      </c>
      <c r="P1436" s="157">
        <v>6000</v>
      </c>
      <c r="Q1436" s="157">
        <v>-8</v>
      </c>
      <c r="R1436" s="130">
        <f t="shared" si="34"/>
        <v>-48000</v>
      </c>
      <c r="S1436" s="127">
        <v>202304</v>
      </c>
      <c r="T1436" s="251" t="s">
        <v>1866</v>
      </c>
      <c r="U1436" s="252"/>
      <c r="V1436" s="149"/>
      <c r="W1436" s="149"/>
      <c r="X1436" s="131"/>
      <c r="Y1436" s="131"/>
    </row>
    <row r="1437" s="86" customFormat="1" customHeight="1" spans="1:25">
      <c r="A1437" s="135" t="s">
        <v>448</v>
      </c>
      <c r="B1437" s="135" t="s">
        <v>62</v>
      </c>
      <c r="C1437" s="135" t="s">
        <v>238</v>
      </c>
      <c r="D1437" s="135" t="s">
        <v>642</v>
      </c>
      <c r="E1437" s="170" t="s">
        <v>1556</v>
      </c>
      <c r="F1437" s="135" t="s">
        <v>983</v>
      </c>
      <c r="G1437" s="171" t="s">
        <v>88</v>
      </c>
      <c r="H1437" s="202" t="s">
        <v>1744</v>
      </c>
      <c r="I1437" s="30" t="e">
        <f>VLOOKUP(H1437,'合同高级查询数据-4月返'!A:A,1,FALSE)</f>
        <v>#N/A</v>
      </c>
      <c r="J1437" s="31" t="s">
        <v>90</v>
      </c>
      <c r="K1437" s="134" t="s">
        <v>1745</v>
      </c>
      <c r="L1437" s="174"/>
      <c r="M1437" s="113" t="s">
        <v>986</v>
      </c>
      <c r="N1437" s="111">
        <v>43430</v>
      </c>
      <c r="O1437" s="193" t="s">
        <v>1746</v>
      </c>
      <c r="P1437" s="157">
        <v>9600</v>
      </c>
      <c r="Q1437" s="157">
        <v>4</v>
      </c>
      <c r="R1437" s="130">
        <f t="shared" ref="R1437:R1454" si="35">ROUND(P1437*Q1437,2)</f>
        <v>38400</v>
      </c>
      <c r="S1437" s="127">
        <v>202304</v>
      </c>
      <c r="T1437" s="251"/>
      <c r="U1437" s="252"/>
      <c r="V1437" s="149"/>
      <c r="W1437" s="149"/>
      <c r="X1437" s="131"/>
      <c r="Y1437" s="131"/>
    </row>
    <row r="1438" s="86" customFormat="1" customHeight="1" spans="1:25">
      <c r="A1438" s="135" t="s">
        <v>448</v>
      </c>
      <c r="B1438" s="135" t="s">
        <v>62</v>
      </c>
      <c r="C1438" s="135" t="s">
        <v>238</v>
      </c>
      <c r="D1438" s="135" t="s">
        <v>642</v>
      </c>
      <c r="E1438" s="170" t="s">
        <v>1556</v>
      </c>
      <c r="F1438" s="135" t="s">
        <v>983</v>
      </c>
      <c r="G1438" s="171" t="s">
        <v>88</v>
      </c>
      <c r="H1438" s="202" t="s">
        <v>1744</v>
      </c>
      <c r="I1438" s="30" t="e">
        <f>VLOOKUP(H1438,'合同高级查询数据-4月返'!A:A,1,FALSE)</f>
        <v>#N/A</v>
      </c>
      <c r="J1438" s="31" t="s">
        <v>90</v>
      </c>
      <c r="K1438" s="134" t="s">
        <v>1745</v>
      </c>
      <c r="L1438" s="174"/>
      <c r="M1438" s="113" t="s">
        <v>986</v>
      </c>
      <c r="N1438" s="111">
        <v>43437</v>
      </c>
      <c r="O1438" s="193" t="s">
        <v>1746</v>
      </c>
      <c r="P1438" s="157">
        <v>9600</v>
      </c>
      <c r="Q1438" s="157">
        <v>2</v>
      </c>
      <c r="R1438" s="130">
        <f t="shared" si="35"/>
        <v>19200</v>
      </c>
      <c r="S1438" s="127">
        <v>202304</v>
      </c>
      <c r="T1438" s="251"/>
      <c r="U1438" s="252"/>
      <c r="V1438" s="149"/>
      <c r="W1438" s="149"/>
      <c r="X1438" s="131"/>
      <c r="Y1438" s="131"/>
    </row>
    <row r="1439" s="86" customFormat="1" customHeight="1" spans="1:25">
      <c r="A1439" s="135" t="s">
        <v>448</v>
      </c>
      <c r="B1439" s="135" t="s">
        <v>62</v>
      </c>
      <c r="C1439" s="135" t="s">
        <v>238</v>
      </c>
      <c r="D1439" s="135" t="s">
        <v>642</v>
      </c>
      <c r="E1439" s="170" t="s">
        <v>1556</v>
      </c>
      <c r="F1439" s="135" t="s">
        <v>983</v>
      </c>
      <c r="G1439" s="171" t="s">
        <v>88</v>
      </c>
      <c r="H1439" s="202" t="s">
        <v>1744</v>
      </c>
      <c r="I1439" s="30" t="e">
        <f>VLOOKUP(H1439,'合同高级查询数据-4月返'!A:A,1,FALSE)</f>
        <v>#N/A</v>
      </c>
      <c r="J1439" s="31" t="s">
        <v>90</v>
      </c>
      <c r="K1439" s="134" t="s">
        <v>1745</v>
      </c>
      <c r="L1439" s="174"/>
      <c r="M1439" s="113" t="s">
        <v>986</v>
      </c>
      <c r="N1439" s="111">
        <v>43452</v>
      </c>
      <c r="O1439" s="193" t="s">
        <v>1746</v>
      </c>
      <c r="P1439" s="157">
        <v>9600</v>
      </c>
      <c r="Q1439" s="157">
        <v>2</v>
      </c>
      <c r="R1439" s="130">
        <f t="shared" si="35"/>
        <v>19200</v>
      </c>
      <c r="S1439" s="127">
        <v>202304</v>
      </c>
      <c r="T1439" s="251"/>
      <c r="U1439" s="252"/>
      <c r="V1439" s="149"/>
      <c r="W1439" s="149"/>
      <c r="X1439" s="131"/>
      <c r="Y1439" s="131"/>
    </row>
    <row r="1440" s="86" customFormat="1" customHeight="1" spans="1:25">
      <c r="A1440" s="135" t="s">
        <v>448</v>
      </c>
      <c r="B1440" s="135" t="s">
        <v>62</v>
      </c>
      <c r="C1440" s="135" t="s">
        <v>238</v>
      </c>
      <c r="D1440" s="135" t="s">
        <v>642</v>
      </c>
      <c r="E1440" s="170" t="s">
        <v>1556</v>
      </c>
      <c r="F1440" s="135" t="s">
        <v>983</v>
      </c>
      <c r="G1440" s="171" t="s">
        <v>88</v>
      </c>
      <c r="H1440" s="202" t="s">
        <v>1744</v>
      </c>
      <c r="I1440" s="30" t="e">
        <f>VLOOKUP(H1440,'合同高级查询数据-4月返'!A:A,1,FALSE)</f>
        <v>#N/A</v>
      </c>
      <c r="J1440" s="31" t="s">
        <v>90</v>
      </c>
      <c r="K1440" s="134" t="s">
        <v>1745</v>
      </c>
      <c r="L1440" s="174"/>
      <c r="M1440" s="113" t="s">
        <v>986</v>
      </c>
      <c r="N1440" s="253">
        <v>43448</v>
      </c>
      <c r="O1440" s="176" t="s">
        <v>1746</v>
      </c>
      <c r="P1440" s="157">
        <v>9600</v>
      </c>
      <c r="Q1440" s="157">
        <v>-2</v>
      </c>
      <c r="R1440" s="130">
        <f t="shared" si="35"/>
        <v>-19200</v>
      </c>
      <c r="S1440" s="127">
        <v>202304</v>
      </c>
      <c r="T1440" s="254" t="s">
        <v>1867</v>
      </c>
      <c r="U1440" s="255"/>
      <c r="V1440" s="149"/>
      <c r="W1440" s="149"/>
      <c r="X1440" s="131"/>
      <c r="Y1440" s="131"/>
    </row>
    <row r="1441" s="86" customFormat="1" customHeight="1" spans="1:25">
      <c r="A1441" s="135" t="s">
        <v>448</v>
      </c>
      <c r="B1441" s="135" t="s">
        <v>62</v>
      </c>
      <c r="C1441" s="135" t="s">
        <v>238</v>
      </c>
      <c r="D1441" s="135" t="s">
        <v>642</v>
      </c>
      <c r="E1441" s="170" t="s">
        <v>1556</v>
      </c>
      <c r="F1441" s="135" t="s">
        <v>983</v>
      </c>
      <c r="G1441" s="171" t="s">
        <v>88</v>
      </c>
      <c r="H1441" s="202" t="s">
        <v>1744</v>
      </c>
      <c r="I1441" s="30" t="e">
        <f>VLOOKUP(H1441,'合同高级查询数据-4月返'!A:A,1,FALSE)</f>
        <v>#N/A</v>
      </c>
      <c r="J1441" s="31" t="s">
        <v>90</v>
      </c>
      <c r="K1441" s="134" t="s">
        <v>1745</v>
      </c>
      <c r="L1441" s="174"/>
      <c r="M1441" s="113" t="s">
        <v>986</v>
      </c>
      <c r="N1441" s="111">
        <v>43535</v>
      </c>
      <c r="O1441" s="193" t="s">
        <v>1746</v>
      </c>
      <c r="P1441" s="157">
        <v>9600</v>
      </c>
      <c r="Q1441" s="157">
        <v>2</v>
      </c>
      <c r="R1441" s="130">
        <f t="shared" si="35"/>
        <v>19200</v>
      </c>
      <c r="S1441" s="127">
        <v>202304</v>
      </c>
      <c r="T1441" s="251" t="s">
        <v>1868</v>
      </c>
      <c r="U1441" s="252"/>
      <c r="V1441" s="149"/>
      <c r="W1441" s="149"/>
      <c r="X1441" s="131"/>
      <c r="Y1441" s="131"/>
    </row>
    <row r="1442" s="86" customFormat="1" customHeight="1" spans="1:25">
      <c r="A1442" s="135" t="s">
        <v>448</v>
      </c>
      <c r="B1442" s="135" t="s">
        <v>62</v>
      </c>
      <c r="C1442" s="135" t="s">
        <v>238</v>
      </c>
      <c r="D1442" s="135" t="s">
        <v>642</v>
      </c>
      <c r="E1442" s="170" t="s">
        <v>1556</v>
      </c>
      <c r="F1442" s="135" t="s">
        <v>983</v>
      </c>
      <c r="G1442" s="171" t="s">
        <v>88</v>
      </c>
      <c r="H1442" s="202" t="s">
        <v>1744</v>
      </c>
      <c r="I1442" s="30" t="e">
        <f>VLOOKUP(H1442,'合同高级查询数据-4月返'!A:A,1,FALSE)</f>
        <v>#N/A</v>
      </c>
      <c r="J1442" s="31" t="s">
        <v>90</v>
      </c>
      <c r="K1442" s="134" t="s">
        <v>1745</v>
      </c>
      <c r="L1442" s="174"/>
      <c r="M1442" s="113" t="s">
        <v>986</v>
      </c>
      <c r="N1442" s="111">
        <v>44315</v>
      </c>
      <c r="O1442" s="193" t="s">
        <v>1746</v>
      </c>
      <c r="P1442" s="157">
        <v>9600</v>
      </c>
      <c r="Q1442" s="157">
        <v>3</v>
      </c>
      <c r="R1442" s="130">
        <f t="shared" si="35"/>
        <v>28800</v>
      </c>
      <c r="S1442" s="127">
        <v>202304</v>
      </c>
      <c r="T1442" s="251" t="s">
        <v>1869</v>
      </c>
      <c r="U1442" s="252"/>
      <c r="V1442" s="149"/>
      <c r="W1442" s="149"/>
      <c r="X1442" s="131"/>
      <c r="Y1442" s="131"/>
    </row>
    <row r="1443" s="86" customFormat="1" customHeight="1" spans="1:25">
      <c r="A1443" s="135" t="s">
        <v>448</v>
      </c>
      <c r="B1443" s="135" t="s">
        <v>62</v>
      </c>
      <c r="C1443" s="135" t="s">
        <v>238</v>
      </c>
      <c r="D1443" s="135" t="s">
        <v>642</v>
      </c>
      <c r="E1443" s="170" t="s">
        <v>1556</v>
      </c>
      <c r="F1443" s="135" t="s">
        <v>983</v>
      </c>
      <c r="G1443" s="171" t="s">
        <v>88</v>
      </c>
      <c r="H1443" s="202" t="s">
        <v>1744</v>
      </c>
      <c r="I1443" s="30" t="e">
        <f>VLOOKUP(H1443,'合同高级查询数据-4月返'!A:A,1,FALSE)</f>
        <v>#N/A</v>
      </c>
      <c r="J1443" s="31" t="s">
        <v>90</v>
      </c>
      <c r="K1443" s="134" t="s">
        <v>1745</v>
      </c>
      <c r="L1443" s="174"/>
      <c r="M1443" s="113" t="s">
        <v>986</v>
      </c>
      <c r="N1443" s="111">
        <v>44316</v>
      </c>
      <c r="O1443" s="193" t="s">
        <v>1746</v>
      </c>
      <c r="P1443" s="157">
        <v>9600</v>
      </c>
      <c r="Q1443" s="157">
        <v>1</v>
      </c>
      <c r="R1443" s="130">
        <f t="shared" si="35"/>
        <v>9600</v>
      </c>
      <c r="S1443" s="127">
        <v>202304</v>
      </c>
      <c r="T1443" s="251" t="s">
        <v>1870</v>
      </c>
      <c r="U1443" s="252"/>
      <c r="V1443" s="149"/>
      <c r="W1443" s="149"/>
      <c r="X1443" s="131"/>
      <c r="Y1443" s="131"/>
    </row>
    <row r="1444" s="86" customFormat="1" customHeight="1" spans="1:25">
      <c r="A1444" s="135" t="s">
        <v>448</v>
      </c>
      <c r="B1444" s="135" t="s">
        <v>62</v>
      </c>
      <c r="C1444" s="135" t="s">
        <v>238</v>
      </c>
      <c r="D1444" s="135" t="s">
        <v>642</v>
      </c>
      <c r="E1444" s="170" t="s">
        <v>1556</v>
      </c>
      <c r="F1444" s="135" t="s">
        <v>983</v>
      </c>
      <c r="G1444" s="171" t="s">
        <v>88</v>
      </c>
      <c r="H1444" s="202" t="s">
        <v>1744</v>
      </c>
      <c r="I1444" s="30" t="e">
        <f>VLOOKUP(H1444,'合同高级查询数据-4月返'!A:A,1,FALSE)</f>
        <v>#N/A</v>
      </c>
      <c r="J1444" s="31" t="s">
        <v>90</v>
      </c>
      <c r="K1444" s="134" t="s">
        <v>1745</v>
      </c>
      <c r="L1444" s="174"/>
      <c r="M1444" s="113" t="s">
        <v>986</v>
      </c>
      <c r="N1444" s="111">
        <v>44347</v>
      </c>
      <c r="O1444" s="193" t="s">
        <v>1746</v>
      </c>
      <c r="P1444" s="157">
        <v>9600</v>
      </c>
      <c r="Q1444" s="157">
        <v>4</v>
      </c>
      <c r="R1444" s="130">
        <f t="shared" si="35"/>
        <v>38400</v>
      </c>
      <c r="S1444" s="127">
        <v>202304</v>
      </c>
      <c r="T1444" s="256" t="s">
        <v>1871</v>
      </c>
      <c r="U1444" s="256"/>
      <c r="V1444" s="149"/>
      <c r="W1444" s="149"/>
      <c r="X1444" s="131"/>
      <c r="Y1444" s="131"/>
    </row>
    <row r="1445" s="86" customFormat="1" customHeight="1" spans="1:25">
      <c r="A1445" s="135" t="s">
        <v>448</v>
      </c>
      <c r="B1445" s="135" t="s">
        <v>62</v>
      </c>
      <c r="C1445" s="135" t="s">
        <v>238</v>
      </c>
      <c r="D1445" s="135" t="s">
        <v>642</v>
      </c>
      <c r="E1445" s="170" t="s">
        <v>1556</v>
      </c>
      <c r="F1445" s="135" t="s">
        <v>983</v>
      </c>
      <c r="G1445" s="171" t="s">
        <v>88</v>
      </c>
      <c r="H1445" s="202" t="s">
        <v>1744</v>
      </c>
      <c r="I1445" s="30" t="e">
        <f>VLOOKUP(H1445,'合同高级查询数据-4月返'!A:A,1,FALSE)</f>
        <v>#N/A</v>
      </c>
      <c r="J1445" s="31" t="s">
        <v>90</v>
      </c>
      <c r="K1445" s="134" t="s">
        <v>1745</v>
      </c>
      <c r="L1445" s="174"/>
      <c r="M1445" s="113" t="s">
        <v>986</v>
      </c>
      <c r="N1445" s="111">
        <v>44862</v>
      </c>
      <c r="O1445" s="193" t="s">
        <v>1746</v>
      </c>
      <c r="P1445" s="157">
        <v>9600</v>
      </c>
      <c r="Q1445" s="157">
        <v>-1</v>
      </c>
      <c r="R1445" s="130">
        <f t="shared" si="35"/>
        <v>-9600</v>
      </c>
      <c r="S1445" s="127">
        <v>202304</v>
      </c>
      <c r="T1445" s="256" t="s">
        <v>1872</v>
      </c>
      <c r="U1445" s="256"/>
      <c r="V1445" s="149"/>
      <c r="W1445" s="149"/>
      <c r="X1445" s="131"/>
      <c r="Y1445" s="131"/>
    </row>
    <row r="1446" s="86" customFormat="1" customHeight="1" spans="1:25">
      <c r="A1446" s="135" t="s">
        <v>448</v>
      </c>
      <c r="B1446" s="135" t="s">
        <v>62</v>
      </c>
      <c r="C1446" s="135" t="s">
        <v>238</v>
      </c>
      <c r="D1446" s="135" t="s">
        <v>642</v>
      </c>
      <c r="E1446" s="170" t="s">
        <v>1556</v>
      </c>
      <c r="F1446" s="135" t="s">
        <v>983</v>
      </c>
      <c r="G1446" s="171" t="s">
        <v>88</v>
      </c>
      <c r="H1446" s="202" t="s">
        <v>1744</v>
      </c>
      <c r="I1446" s="30" t="e">
        <f>VLOOKUP(H1446,'合同高级查询数据-4月返'!A:A,1,FALSE)</f>
        <v>#N/A</v>
      </c>
      <c r="J1446" s="31" t="s">
        <v>90</v>
      </c>
      <c r="K1446" s="134" t="s">
        <v>1745</v>
      </c>
      <c r="L1446" s="174"/>
      <c r="M1446" s="113" t="s">
        <v>986</v>
      </c>
      <c r="N1446" s="111">
        <v>42795</v>
      </c>
      <c r="O1446" s="193" t="s">
        <v>600</v>
      </c>
      <c r="P1446" s="157">
        <v>0</v>
      </c>
      <c r="Q1446" s="157">
        <v>6</v>
      </c>
      <c r="R1446" s="130">
        <f t="shared" si="35"/>
        <v>0</v>
      </c>
      <c r="S1446" s="127">
        <v>202304</v>
      </c>
      <c r="T1446" s="251" t="s">
        <v>1873</v>
      </c>
      <c r="U1446" s="252"/>
      <c r="V1446" s="149"/>
      <c r="W1446" s="149"/>
      <c r="X1446" s="131"/>
      <c r="Y1446" s="131"/>
    </row>
    <row r="1447" s="86" customFormat="1" customHeight="1" spans="1:25">
      <c r="A1447" s="135" t="s">
        <v>448</v>
      </c>
      <c r="B1447" s="135" t="s">
        <v>62</v>
      </c>
      <c r="C1447" s="135" t="s">
        <v>238</v>
      </c>
      <c r="D1447" s="135" t="s">
        <v>642</v>
      </c>
      <c r="E1447" s="170" t="s">
        <v>1556</v>
      </c>
      <c r="F1447" s="135" t="s">
        <v>983</v>
      </c>
      <c r="G1447" s="171" t="s">
        <v>88</v>
      </c>
      <c r="H1447" s="202" t="s">
        <v>1744</v>
      </c>
      <c r="I1447" s="30" t="e">
        <f>VLOOKUP(H1447,'合同高级查询数据-4月返'!A:A,1,FALSE)</f>
        <v>#N/A</v>
      </c>
      <c r="J1447" s="31" t="s">
        <v>90</v>
      </c>
      <c r="K1447" s="134" t="s">
        <v>1745</v>
      </c>
      <c r="L1447" s="174"/>
      <c r="M1447" s="113" t="s">
        <v>986</v>
      </c>
      <c r="N1447" s="111">
        <v>44931</v>
      </c>
      <c r="O1447" s="193" t="s">
        <v>1746</v>
      </c>
      <c r="P1447" s="157">
        <v>9600</v>
      </c>
      <c r="Q1447" s="157">
        <v>-4</v>
      </c>
      <c r="R1447" s="130">
        <f t="shared" si="35"/>
        <v>-38400</v>
      </c>
      <c r="S1447" s="127">
        <v>202304</v>
      </c>
      <c r="T1447" s="251" t="s">
        <v>1874</v>
      </c>
      <c r="U1447" s="252"/>
      <c r="V1447" s="149"/>
      <c r="W1447" s="149"/>
      <c r="X1447" s="131"/>
      <c r="Y1447" s="131"/>
    </row>
    <row r="1448" s="86" customFormat="1" customHeight="1" spans="1:25">
      <c r="A1448" s="135" t="s">
        <v>448</v>
      </c>
      <c r="B1448" s="135" t="s">
        <v>62</v>
      </c>
      <c r="C1448" s="135" t="s">
        <v>238</v>
      </c>
      <c r="D1448" s="135" t="s">
        <v>642</v>
      </c>
      <c r="E1448" s="170" t="s">
        <v>1556</v>
      </c>
      <c r="F1448" s="135" t="s">
        <v>983</v>
      </c>
      <c r="G1448" s="171" t="s">
        <v>88</v>
      </c>
      <c r="H1448" s="202" t="s">
        <v>1744</v>
      </c>
      <c r="I1448" s="30" t="e">
        <f>VLOOKUP(H1448,'合同高级查询数据-4月返'!A:A,1,FALSE)</f>
        <v>#N/A</v>
      </c>
      <c r="J1448" s="31" t="s">
        <v>90</v>
      </c>
      <c r="K1448" s="134" t="s">
        <v>1745</v>
      </c>
      <c r="L1448" s="174"/>
      <c r="M1448" s="113" t="s">
        <v>986</v>
      </c>
      <c r="N1448" s="111">
        <v>44935</v>
      </c>
      <c r="O1448" s="193" t="s">
        <v>1746</v>
      </c>
      <c r="P1448" s="157">
        <v>9600</v>
      </c>
      <c r="Q1448" s="157">
        <v>-96</v>
      </c>
      <c r="R1448" s="130">
        <f t="shared" si="35"/>
        <v>-921600</v>
      </c>
      <c r="S1448" s="127">
        <v>202304</v>
      </c>
      <c r="T1448" s="251" t="s">
        <v>1875</v>
      </c>
      <c r="U1448" s="252"/>
      <c r="V1448" s="149"/>
      <c r="W1448" s="149"/>
      <c r="X1448" s="131"/>
      <c r="Y1448" s="131"/>
    </row>
    <row r="1449" s="86" customFormat="1" customHeight="1" spans="1:25">
      <c r="A1449" s="135" t="s">
        <v>448</v>
      </c>
      <c r="B1449" s="135" t="s">
        <v>62</v>
      </c>
      <c r="C1449" s="135" t="s">
        <v>238</v>
      </c>
      <c r="D1449" s="135" t="s">
        <v>642</v>
      </c>
      <c r="E1449" s="170" t="s">
        <v>1556</v>
      </c>
      <c r="F1449" s="135" t="s">
        <v>983</v>
      </c>
      <c r="G1449" s="171" t="s">
        <v>88</v>
      </c>
      <c r="H1449" s="202" t="s">
        <v>1744</v>
      </c>
      <c r="I1449" s="30" t="e">
        <f>VLOOKUP(H1449,'合同高级查询数据-4月返'!A:A,1,FALSE)</f>
        <v>#N/A</v>
      </c>
      <c r="J1449" s="31" t="s">
        <v>90</v>
      </c>
      <c r="K1449" s="134" t="s">
        <v>1745</v>
      </c>
      <c r="L1449" s="174"/>
      <c r="M1449" s="113" t="s">
        <v>986</v>
      </c>
      <c r="N1449" s="111">
        <v>44972</v>
      </c>
      <c r="O1449" s="193" t="s">
        <v>1746</v>
      </c>
      <c r="P1449" s="157">
        <v>9600</v>
      </c>
      <c r="Q1449" s="157">
        <v>-58</v>
      </c>
      <c r="R1449" s="130">
        <f t="shared" si="35"/>
        <v>-556800</v>
      </c>
      <c r="S1449" s="127">
        <v>202304</v>
      </c>
      <c r="T1449" s="251" t="s">
        <v>1876</v>
      </c>
      <c r="U1449" s="252"/>
      <c r="V1449" s="149"/>
      <c r="W1449" s="149"/>
      <c r="X1449" s="131"/>
      <c r="Y1449" s="131"/>
    </row>
    <row r="1450" s="86" customFormat="1" customHeight="1" spans="1:25">
      <c r="A1450" s="135" t="s">
        <v>448</v>
      </c>
      <c r="B1450" s="135" t="s">
        <v>62</v>
      </c>
      <c r="C1450" s="135" t="s">
        <v>238</v>
      </c>
      <c r="D1450" s="135" t="s">
        <v>642</v>
      </c>
      <c r="E1450" s="170" t="s">
        <v>1556</v>
      </c>
      <c r="F1450" s="135" t="s">
        <v>983</v>
      </c>
      <c r="G1450" s="171" t="s">
        <v>88</v>
      </c>
      <c r="H1450" s="202" t="s">
        <v>1744</v>
      </c>
      <c r="I1450" s="30" t="e">
        <f>VLOOKUP(H1450,'合同高级查询数据-4月返'!A:A,1,FALSE)</f>
        <v>#N/A</v>
      </c>
      <c r="J1450" s="31" t="s">
        <v>90</v>
      </c>
      <c r="K1450" s="134" t="s">
        <v>1745</v>
      </c>
      <c r="L1450" s="174"/>
      <c r="M1450" s="113" t="s">
        <v>986</v>
      </c>
      <c r="N1450" s="111">
        <v>44985</v>
      </c>
      <c r="O1450" s="193" t="s">
        <v>1746</v>
      </c>
      <c r="P1450" s="157">
        <v>9600</v>
      </c>
      <c r="Q1450" s="157">
        <v>-64</v>
      </c>
      <c r="R1450" s="130">
        <f t="shared" si="35"/>
        <v>-614400</v>
      </c>
      <c r="S1450" s="127">
        <v>202304</v>
      </c>
      <c r="T1450" s="251" t="s">
        <v>1877</v>
      </c>
      <c r="U1450" s="252"/>
      <c r="V1450" s="149"/>
      <c r="W1450" s="149"/>
      <c r="X1450" s="131"/>
      <c r="Y1450" s="131"/>
    </row>
    <row r="1451" s="86" customFormat="1" customHeight="1" spans="1:25">
      <c r="A1451" s="135" t="s">
        <v>448</v>
      </c>
      <c r="B1451" s="135" t="s">
        <v>62</v>
      </c>
      <c r="C1451" s="135" t="s">
        <v>238</v>
      </c>
      <c r="D1451" s="135" t="s">
        <v>642</v>
      </c>
      <c r="E1451" s="170" t="s">
        <v>1556</v>
      </c>
      <c r="F1451" s="135" t="s">
        <v>983</v>
      </c>
      <c r="G1451" s="171" t="s">
        <v>88</v>
      </c>
      <c r="H1451" s="202" t="s">
        <v>1744</v>
      </c>
      <c r="I1451" s="30" t="e">
        <f>VLOOKUP(H1451,'合同高级查询数据-4月返'!A:A,1,FALSE)</f>
        <v>#N/A</v>
      </c>
      <c r="J1451" s="31" t="s">
        <v>90</v>
      </c>
      <c r="K1451" s="134" t="s">
        <v>1745</v>
      </c>
      <c r="L1451" s="174"/>
      <c r="M1451" s="113" t="s">
        <v>986</v>
      </c>
      <c r="N1451" s="111">
        <v>44998</v>
      </c>
      <c r="O1451" s="193" t="s">
        <v>1746</v>
      </c>
      <c r="P1451" s="157">
        <v>9600</v>
      </c>
      <c r="Q1451" s="157">
        <v>-20</v>
      </c>
      <c r="R1451" s="130">
        <f t="shared" si="35"/>
        <v>-192000</v>
      </c>
      <c r="S1451" s="127">
        <v>202304</v>
      </c>
      <c r="T1451" s="251" t="s">
        <v>1878</v>
      </c>
      <c r="U1451" s="252"/>
      <c r="V1451" s="149"/>
      <c r="W1451" s="149"/>
      <c r="X1451" s="131"/>
      <c r="Y1451" s="131"/>
    </row>
    <row r="1452" s="86" customFormat="1" customHeight="1" spans="1:25">
      <c r="A1452" s="135" t="s">
        <v>448</v>
      </c>
      <c r="B1452" s="135" t="s">
        <v>62</v>
      </c>
      <c r="C1452" s="135" t="s">
        <v>238</v>
      </c>
      <c r="D1452" s="135" t="s">
        <v>642</v>
      </c>
      <c r="E1452" s="170" t="s">
        <v>1556</v>
      </c>
      <c r="F1452" s="135" t="s">
        <v>983</v>
      </c>
      <c r="G1452" s="171" t="s">
        <v>88</v>
      </c>
      <c r="H1452" s="202" t="s">
        <v>1744</v>
      </c>
      <c r="I1452" s="30" t="e">
        <f>VLOOKUP(H1452,'合同高级查询数据-4月返'!A:A,1,FALSE)</f>
        <v>#N/A</v>
      </c>
      <c r="J1452" s="31" t="s">
        <v>90</v>
      </c>
      <c r="K1452" s="134" t="s">
        <v>1745</v>
      </c>
      <c r="L1452" s="174"/>
      <c r="M1452" s="113" t="s">
        <v>986</v>
      </c>
      <c r="N1452" s="111">
        <v>45002</v>
      </c>
      <c r="O1452" s="193" t="s">
        <v>1746</v>
      </c>
      <c r="P1452" s="157">
        <v>9600</v>
      </c>
      <c r="Q1452" s="157">
        <v>-18</v>
      </c>
      <c r="R1452" s="130">
        <f t="shared" si="35"/>
        <v>-172800</v>
      </c>
      <c r="S1452" s="127">
        <v>202304</v>
      </c>
      <c r="T1452" s="251" t="s">
        <v>1879</v>
      </c>
      <c r="U1452" s="252"/>
      <c r="V1452" s="149"/>
      <c r="W1452" s="149"/>
      <c r="X1452" s="131"/>
      <c r="Y1452" s="131"/>
    </row>
    <row r="1453" s="86" customFormat="1" customHeight="1" spans="1:25">
      <c r="A1453" s="135" t="s">
        <v>448</v>
      </c>
      <c r="B1453" s="135" t="s">
        <v>62</v>
      </c>
      <c r="C1453" s="135" t="s">
        <v>238</v>
      </c>
      <c r="D1453" s="135" t="s">
        <v>642</v>
      </c>
      <c r="E1453" s="170" t="s">
        <v>1556</v>
      </c>
      <c r="F1453" s="135" t="s">
        <v>983</v>
      </c>
      <c r="G1453" s="171" t="s">
        <v>88</v>
      </c>
      <c r="H1453" s="202" t="s">
        <v>1744</v>
      </c>
      <c r="I1453" s="30" t="e">
        <f>VLOOKUP(H1453,'合同高级查询数据-4月返'!A:A,1,FALSE)</f>
        <v>#N/A</v>
      </c>
      <c r="J1453" s="31" t="s">
        <v>90</v>
      </c>
      <c r="K1453" s="134" t="s">
        <v>1745</v>
      </c>
      <c r="L1453" s="174"/>
      <c r="M1453" s="113" t="s">
        <v>986</v>
      </c>
      <c r="N1453" s="111">
        <v>45008</v>
      </c>
      <c r="O1453" s="193" t="s">
        <v>1746</v>
      </c>
      <c r="P1453" s="157">
        <v>9600</v>
      </c>
      <c r="Q1453" s="157">
        <v>-36</v>
      </c>
      <c r="R1453" s="130">
        <f t="shared" si="35"/>
        <v>-345600</v>
      </c>
      <c r="S1453" s="127">
        <v>202304</v>
      </c>
      <c r="T1453" s="251" t="s">
        <v>1880</v>
      </c>
      <c r="U1453" s="252"/>
      <c r="V1453" s="149"/>
      <c r="W1453" s="149"/>
      <c r="X1453" s="131"/>
      <c r="Y1453" s="131"/>
    </row>
    <row r="1454" s="86" customFormat="1" customHeight="1" spans="1:25">
      <c r="A1454" s="135" t="s">
        <v>448</v>
      </c>
      <c r="B1454" s="135" t="s">
        <v>62</v>
      </c>
      <c r="C1454" s="135" t="s">
        <v>238</v>
      </c>
      <c r="D1454" s="135" t="s">
        <v>642</v>
      </c>
      <c r="E1454" s="170" t="s">
        <v>1556</v>
      </c>
      <c r="F1454" s="135" t="s">
        <v>983</v>
      </c>
      <c r="G1454" s="171" t="s">
        <v>88</v>
      </c>
      <c r="H1454" s="202" t="s">
        <v>1744</v>
      </c>
      <c r="I1454" s="30" t="e">
        <f>VLOOKUP(H1454,'合同高级查询数据-4月返'!A:A,1,FALSE)</f>
        <v>#N/A</v>
      </c>
      <c r="J1454" s="31" t="s">
        <v>90</v>
      </c>
      <c r="K1454" s="134" t="s">
        <v>1745</v>
      </c>
      <c r="L1454" s="174"/>
      <c r="M1454" s="113" t="s">
        <v>986</v>
      </c>
      <c r="N1454" s="111">
        <v>45014</v>
      </c>
      <c r="O1454" s="193" t="s">
        <v>1746</v>
      </c>
      <c r="P1454" s="157">
        <v>9600</v>
      </c>
      <c r="Q1454" s="157">
        <v>-149</v>
      </c>
      <c r="R1454" s="130">
        <f t="shared" si="35"/>
        <v>-1430400</v>
      </c>
      <c r="S1454" s="127">
        <v>202304</v>
      </c>
      <c r="T1454" s="251" t="s">
        <v>1881</v>
      </c>
      <c r="U1454" s="128"/>
      <c r="V1454" s="128"/>
      <c r="W1454" s="128"/>
      <c r="X1454" s="129"/>
      <c r="Y1454" s="129"/>
    </row>
    <row r="1455" s="86" customFormat="1" customHeight="1" spans="1:25">
      <c r="A1455" s="135" t="s">
        <v>448</v>
      </c>
      <c r="B1455" s="135" t="s">
        <v>62</v>
      </c>
      <c r="C1455" s="135" t="s">
        <v>238</v>
      </c>
      <c r="D1455" s="135" t="s">
        <v>642</v>
      </c>
      <c r="E1455" s="170" t="s">
        <v>1556</v>
      </c>
      <c r="F1455" s="135" t="s">
        <v>983</v>
      </c>
      <c r="G1455" s="171" t="s">
        <v>88</v>
      </c>
      <c r="H1455" s="202" t="s">
        <v>1744</v>
      </c>
      <c r="I1455" s="30" t="e">
        <f>VLOOKUP(H1455,'合同高级查询数据-4月返'!A:A,1,FALSE)</f>
        <v>#N/A</v>
      </c>
      <c r="J1455" s="31" t="s">
        <v>90</v>
      </c>
      <c r="K1455" s="134" t="s">
        <v>1745</v>
      </c>
      <c r="L1455" s="174"/>
      <c r="M1455" s="113" t="s">
        <v>986</v>
      </c>
      <c r="N1455" s="111">
        <v>45036</v>
      </c>
      <c r="O1455" s="193" t="s">
        <v>1746</v>
      </c>
      <c r="P1455" s="157">
        <v>9600</v>
      </c>
      <c r="Q1455" s="157">
        <v>-1</v>
      </c>
      <c r="R1455" s="130">
        <f>ROUND(P1455*Q1455*10/30,2)</f>
        <v>-3200</v>
      </c>
      <c r="S1455" s="127">
        <v>202304</v>
      </c>
      <c r="T1455" s="257" t="s">
        <v>1882</v>
      </c>
      <c r="U1455" s="128"/>
      <c r="V1455" s="128"/>
      <c r="W1455" s="128"/>
      <c r="X1455" s="129"/>
      <c r="Y1455" s="129"/>
    </row>
    <row r="1456" s="86" customFormat="1" customHeight="1" spans="1:25">
      <c r="A1456" s="11" t="s">
        <v>448</v>
      </c>
      <c r="B1456" s="135" t="s">
        <v>62</v>
      </c>
      <c r="C1456" s="11" t="s">
        <v>238</v>
      </c>
      <c r="D1456" s="11" t="s">
        <v>642</v>
      </c>
      <c r="E1456" s="30" t="s">
        <v>1556</v>
      </c>
      <c r="F1456" s="11" t="s">
        <v>983</v>
      </c>
      <c r="G1456" s="171" t="s">
        <v>88</v>
      </c>
      <c r="H1456" s="103" t="s">
        <v>1272</v>
      </c>
      <c r="I1456" s="30" t="e">
        <f>VLOOKUP(H1456,'合同高级查询数据-4月返'!A:A,1,FALSE)</f>
        <v>#N/A</v>
      </c>
      <c r="J1456" s="155" t="s">
        <v>162</v>
      </c>
      <c r="K1456" s="35" t="s">
        <v>844</v>
      </c>
      <c r="L1456" s="110" t="s">
        <v>1712</v>
      </c>
      <c r="M1456" s="113" t="s">
        <v>1295</v>
      </c>
      <c r="N1456" s="111">
        <v>43889</v>
      </c>
      <c r="O1456" s="35" t="s">
        <v>503</v>
      </c>
      <c r="P1456" s="227">
        <v>0</v>
      </c>
      <c r="Q1456" s="126">
        <v>3</v>
      </c>
      <c r="R1456" s="130">
        <f>ROUND(P1456*Q1456,2)</f>
        <v>0</v>
      </c>
      <c r="S1456" s="127">
        <v>202304</v>
      </c>
      <c r="T1456" s="194" t="s">
        <v>1883</v>
      </c>
      <c r="U1456" s="194"/>
      <c r="V1456" s="128"/>
      <c r="W1456" s="128"/>
      <c r="X1456" s="131"/>
      <c r="Y1456" s="131"/>
    </row>
    <row r="1457" s="86" customFormat="1" customHeight="1" spans="1:25">
      <c r="A1457" s="135" t="s">
        <v>448</v>
      </c>
      <c r="B1457" s="135" t="s">
        <v>62</v>
      </c>
      <c r="C1457" s="135" t="s">
        <v>238</v>
      </c>
      <c r="D1457" s="135" t="s">
        <v>642</v>
      </c>
      <c r="E1457" s="170" t="s">
        <v>1556</v>
      </c>
      <c r="F1457" s="135" t="s">
        <v>983</v>
      </c>
      <c r="G1457" s="171" t="s">
        <v>88</v>
      </c>
      <c r="H1457" s="202" t="s">
        <v>1884</v>
      </c>
      <c r="I1457" s="30" t="e">
        <f>VLOOKUP(H1457,'合同高级查询数据-4月返'!A:A,1,FALSE)</f>
        <v>#N/A</v>
      </c>
      <c r="J1457" s="31" t="s">
        <v>90</v>
      </c>
      <c r="K1457" s="134" t="s">
        <v>1885</v>
      </c>
      <c r="L1457" s="174"/>
      <c r="M1457" s="113" t="s">
        <v>986</v>
      </c>
      <c r="N1457" s="111">
        <v>44986</v>
      </c>
      <c r="O1457" s="193" t="s">
        <v>503</v>
      </c>
      <c r="P1457" s="157">
        <v>5900</v>
      </c>
      <c r="Q1457" s="157">
        <v>3</v>
      </c>
      <c r="R1457" s="130">
        <f>ROUND(P1457*Q1457,2)</f>
        <v>17700</v>
      </c>
      <c r="S1457" s="127">
        <v>202304</v>
      </c>
      <c r="T1457" s="251" t="s">
        <v>1886</v>
      </c>
      <c r="U1457" s="252"/>
      <c r="V1457" s="149"/>
      <c r="W1457" s="149"/>
      <c r="X1457" s="131"/>
      <c r="Y1457" s="131"/>
    </row>
    <row r="1458" s="86" customFormat="1" customHeight="1" spans="1:25">
      <c r="A1458" s="135" t="s">
        <v>448</v>
      </c>
      <c r="B1458" s="135" t="s">
        <v>62</v>
      </c>
      <c r="C1458" s="135" t="s">
        <v>238</v>
      </c>
      <c r="D1458" s="135" t="s">
        <v>642</v>
      </c>
      <c r="E1458" s="170" t="s">
        <v>1556</v>
      </c>
      <c r="F1458" s="135" t="s">
        <v>983</v>
      </c>
      <c r="G1458" s="171" t="s">
        <v>88</v>
      </c>
      <c r="H1458" s="202" t="s">
        <v>1884</v>
      </c>
      <c r="I1458" s="30" t="e">
        <f>VLOOKUP(H1458,'合同高级查询数据-4月返'!A:A,1,FALSE)</f>
        <v>#N/A</v>
      </c>
      <c r="J1458" s="31" t="s">
        <v>90</v>
      </c>
      <c r="K1458" s="134" t="s">
        <v>1885</v>
      </c>
      <c r="L1458" s="174"/>
      <c r="M1458" s="113" t="s">
        <v>986</v>
      </c>
      <c r="N1458" s="111">
        <v>44986</v>
      </c>
      <c r="O1458" s="193" t="s">
        <v>507</v>
      </c>
      <c r="P1458" s="157">
        <v>11200</v>
      </c>
      <c r="Q1458" s="157">
        <v>28</v>
      </c>
      <c r="R1458" s="130">
        <f>ROUND(P1458*Q1458,2)</f>
        <v>313600</v>
      </c>
      <c r="S1458" s="127">
        <v>202304</v>
      </c>
      <c r="T1458" s="251" t="s">
        <v>1887</v>
      </c>
      <c r="U1458" s="252"/>
      <c r="V1458" s="149"/>
      <c r="W1458" s="149"/>
      <c r="X1458" s="131"/>
      <c r="Y1458" s="131"/>
    </row>
    <row r="1459" s="86" customFormat="1" customHeight="1" spans="1:25">
      <c r="A1459" s="135" t="s">
        <v>448</v>
      </c>
      <c r="B1459" s="135" t="s">
        <v>62</v>
      </c>
      <c r="C1459" s="135" t="s">
        <v>238</v>
      </c>
      <c r="D1459" s="135" t="s">
        <v>642</v>
      </c>
      <c r="E1459" s="170" t="s">
        <v>1556</v>
      </c>
      <c r="F1459" s="135" t="s">
        <v>983</v>
      </c>
      <c r="G1459" s="171" t="s">
        <v>88</v>
      </c>
      <c r="H1459" s="202" t="s">
        <v>1884</v>
      </c>
      <c r="I1459" s="30" t="e">
        <f>VLOOKUP(H1459,'合同高级查询数据-4月返'!A:A,1,FALSE)</f>
        <v>#N/A</v>
      </c>
      <c r="J1459" s="31" t="s">
        <v>90</v>
      </c>
      <c r="K1459" s="134" t="s">
        <v>1885</v>
      </c>
      <c r="L1459" s="174"/>
      <c r="M1459" s="113" t="s">
        <v>986</v>
      </c>
      <c r="N1459" s="111">
        <v>45019</v>
      </c>
      <c r="O1459" s="193" t="s">
        <v>507</v>
      </c>
      <c r="P1459" s="157">
        <v>11200</v>
      </c>
      <c r="Q1459" s="157">
        <v>1</v>
      </c>
      <c r="R1459" s="130">
        <f>ROUND(P1459*Q1459*28/30,2)</f>
        <v>10453.33</v>
      </c>
      <c r="S1459" s="127">
        <v>202304</v>
      </c>
      <c r="T1459" s="257" t="s">
        <v>1888</v>
      </c>
      <c r="U1459" s="252"/>
      <c r="V1459" s="149"/>
      <c r="W1459" s="149"/>
      <c r="X1459" s="131"/>
      <c r="Y1459" s="131"/>
    </row>
    <row r="1460" s="86" customFormat="1" customHeight="1" spans="1:25">
      <c r="A1460" s="135" t="s">
        <v>448</v>
      </c>
      <c r="B1460" s="135" t="s">
        <v>62</v>
      </c>
      <c r="C1460" s="135" t="s">
        <v>238</v>
      </c>
      <c r="D1460" s="135" t="s">
        <v>642</v>
      </c>
      <c r="E1460" s="170" t="s">
        <v>1556</v>
      </c>
      <c r="F1460" s="135" t="s">
        <v>983</v>
      </c>
      <c r="G1460" s="171" t="s">
        <v>88</v>
      </c>
      <c r="H1460" s="202" t="s">
        <v>1884</v>
      </c>
      <c r="I1460" s="30" t="e">
        <f>VLOOKUP(H1460,'合同高级查询数据-4月返'!A:A,1,FALSE)</f>
        <v>#N/A</v>
      </c>
      <c r="J1460" s="31" t="s">
        <v>90</v>
      </c>
      <c r="K1460" s="134" t="s">
        <v>1885</v>
      </c>
      <c r="L1460" s="174"/>
      <c r="M1460" s="113" t="s">
        <v>986</v>
      </c>
      <c r="N1460" s="111">
        <v>45028</v>
      </c>
      <c r="O1460" s="193" t="s">
        <v>507</v>
      </c>
      <c r="P1460" s="157">
        <v>11200</v>
      </c>
      <c r="Q1460" s="157">
        <v>4</v>
      </c>
      <c r="R1460" s="130">
        <f>ROUND(P1460*Q1460*19/30,2)</f>
        <v>28373.33</v>
      </c>
      <c r="S1460" s="127">
        <v>202304</v>
      </c>
      <c r="T1460" s="257" t="s">
        <v>1889</v>
      </c>
      <c r="U1460" s="252"/>
      <c r="V1460" s="149"/>
      <c r="W1460" s="149"/>
      <c r="X1460" s="131"/>
      <c r="Y1460" s="131"/>
    </row>
    <row r="1461" s="86" customFormat="1" customHeight="1" spans="1:25">
      <c r="A1461" s="135" t="s">
        <v>448</v>
      </c>
      <c r="B1461" s="135" t="s">
        <v>62</v>
      </c>
      <c r="C1461" s="135" t="s">
        <v>238</v>
      </c>
      <c r="D1461" s="135" t="s">
        <v>642</v>
      </c>
      <c r="E1461" s="170" t="s">
        <v>1556</v>
      </c>
      <c r="F1461" s="135" t="s">
        <v>983</v>
      </c>
      <c r="G1461" s="171" t="s">
        <v>88</v>
      </c>
      <c r="H1461" s="103" t="s">
        <v>1884</v>
      </c>
      <c r="I1461" s="30" t="e">
        <f>VLOOKUP(H1461,'合同高级查询数据-4月返'!A:A,1,FALSE)</f>
        <v>#N/A</v>
      </c>
      <c r="J1461" s="31" t="s">
        <v>357</v>
      </c>
      <c r="K1461" s="134" t="s">
        <v>1890</v>
      </c>
      <c r="L1461" s="174"/>
      <c r="M1461" s="113" t="s">
        <v>986</v>
      </c>
      <c r="N1461" s="175">
        <v>44986</v>
      </c>
      <c r="O1461" s="176"/>
      <c r="P1461" s="177">
        <v>300</v>
      </c>
      <c r="Q1461" s="177">
        <v>100</v>
      </c>
      <c r="R1461" s="130">
        <f t="shared" ref="R1461:R1483" si="36">ROUND(P1461*Q1461,2)</f>
        <v>30000</v>
      </c>
      <c r="S1461" s="127">
        <v>202304</v>
      </c>
      <c r="T1461" s="183" t="s">
        <v>1891</v>
      </c>
      <c r="U1461" s="149"/>
      <c r="V1461" s="149"/>
      <c r="W1461" s="149"/>
      <c r="X1461" s="131"/>
      <c r="Y1461" s="131"/>
    </row>
    <row r="1462" s="86" customFormat="1" customHeight="1" spans="1:25">
      <c r="A1462" s="135" t="s">
        <v>448</v>
      </c>
      <c r="B1462" s="135" t="s">
        <v>62</v>
      </c>
      <c r="C1462" s="135" t="s">
        <v>238</v>
      </c>
      <c r="D1462" s="135" t="s">
        <v>642</v>
      </c>
      <c r="E1462" s="170" t="s">
        <v>1556</v>
      </c>
      <c r="F1462" s="135" t="s">
        <v>983</v>
      </c>
      <c r="G1462" s="110" t="s">
        <v>67</v>
      </c>
      <c r="H1462" s="103" t="s">
        <v>1892</v>
      </c>
      <c r="I1462" s="30" t="e">
        <f>VLOOKUP(H1462,'合同高级查询数据-4月返'!A:A,1,FALSE)</f>
        <v>#N/A</v>
      </c>
      <c r="J1462" s="110" t="s">
        <v>69</v>
      </c>
      <c r="K1462" s="134" t="s">
        <v>1893</v>
      </c>
      <c r="L1462" s="174"/>
      <c r="M1462" s="113"/>
      <c r="N1462" s="111">
        <v>44882</v>
      </c>
      <c r="O1462" s="193" t="s">
        <v>71</v>
      </c>
      <c r="P1462" s="157">
        <v>300</v>
      </c>
      <c r="Q1462" s="126">
        <v>2</v>
      </c>
      <c r="R1462" s="130">
        <f t="shared" si="36"/>
        <v>600</v>
      </c>
      <c r="S1462" s="127">
        <v>202304</v>
      </c>
      <c r="T1462" s="194" t="s">
        <v>1894</v>
      </c>
      <c r="U1462" s="195"/>
      <c r="V1462" s="149"/>
      <c r="W1462" s="149"/>
      <c r="X1462" s="131"/>
      <c r="Y1462" s="131"/>
    </row>
    <row r="1463" s="86" customFormat="1" customHeight="1" spans="1:25">
      <c r="A1463" s="135" t="s">
        <v>448</v>
      </c>
      <c r="B1463" s="135" t="s">
        <v>62</v>
      </c>
      <c r="C1463" s="135" t="s">
        <v>238</v>
      </c>
      <c r="D1463" s="135" t="s">
        <v>642</v>
      </c>
      <c r="E1463" s="170" t="s">
        <v>1556</v>
      </c>
      <c r="F1463" s="135" t="s">
        <v>983</v>
      </c>
      <c r="G1463" s="110" t="s">
        <v>67</v>
      </c>
      <c r="H1463" s="103" t="s">
        <v>1892</v>
      </c>
      <c r="I1463" s="30" t="e">
        <f>VLOOKUP(H1463,'合同高级查询数据-4月返'!A:A,1,FALSE)</f>
        <v>#N/A</v>
      </c>
      <c r="J1463" s="110" t="s">
        <v>69</v>
      </c>
      <c r="K1463" s="134" t="s">
        <v>1895</v>
      </c>
      <c r="L1463" s="174"/>
      <c r="M1463" s="113"/>
      <c r="N1463" s="111">
        <v>44718</v>
      </c>
      <c r="O1463" s="193" t="s">
        <v>71</v>
      </c>
      <c r="P1463" s="157">
        <v>300</v>
      </c>
      <c r="Q1463" s="126">
        <v>2</v>
      </c>
      <c r="R1463" s="130">
        <f t="shared" si="36"/>
        <v>600</v>
      </c>
      <c r="S1463" s="127">
        <v>202304</v>
      </c>
      <c r="T1463" s="194" t="s">
        <v>1896</v>
      </c>
      <c r="U1463" s="195"/>
      <c r="V1463" s="149"/>
      <c r="W1463" s="149"/>
      <c r="X1463" s="131"/>
      <c r="Y1463" s="131"/>
    </row>
    <row r="1464" s="85" customFormat="1" customHeight="1" spans="1:25">
      <c r="A1464" s="98" t="s">
        <v>446</v>
      </c>
      <c r="B1464" s="98" t="s">
        <v>62</v>
      </c>
      <c r="C1464" s="98" t="s">
        <v>238</v>
      </c>
      <c r="D1464" s="98" t="s">
        <v>642</v>
      </c>
      <c r="E1464" s="161" t="s">
        <v>1897</v>
      </c>
      <c r="F1464" s="160" t="s">
        <v>1898</v>
      </c>
      <c r="G1464" s="172" t="s">
        <v>67</v>
      </c>
      <c r="H1464" s="100" t="s">
        <v>1899</v>
      </c>
      <c r="I1464" s="46" t="str">
        <f>VLOOKUP(H1464,'合同高级查询数据-4月返'!A:A,1,FALSE)</f>
        <v>182315IDC00116</v>
      </c>
      <c r="J1464" s="178" t="s">
        <v>69</v>
      </c>
      <c r="K1464" s="107" t="s">
        <v>1900</v>
      </c>
      <c r="L1464" s="179"/>
      <c r="M1464" s="49"/>
      <c r="N1464" s="180">
        <v>43332</v>
      </c>
      <c r="O1464" s="73" t="s">
        <v>71</v>
      </c>
      <c r="P1464" s="164">
        <v>400</v>
      </c>
      <c r="Q1464" s="105">
        <v>913.36</v>
      </c>
      <c r="R1464" s="118">
        <f t="shared" si="36"/>
        <v>365344</v>
      </c>
      <c r="S1464" s="115">
        <v>202304</v>
      </c>
      <c r="T1464" s="186" t="s">
        <v>1901</v>
      </c>
      <c r="U1464" s="186"/>
      <c r="V1464" s="165"/>
      <c r="W1464" s="165"/>
      <c r="X1464" s="116">
        <v>44958</v>
      </c>
      <c r="Y1464" s="116">
        <v>45322</v>
      </c>
    </row>
    <row r="1465" s="85" customFormat="1" customHeight="1" spans="1:25">
      <c r="A1465" s="98" t="s">
        <v>446</v>
      </c>
      <c r="B1465" s="98" t="s">
        <v>62</v>
      </c>
      <c r="C1465" s="98" t="s">
        <v>238</v>
      </c>
      <c r="D1465" s="98" t="s">
        <v>642</v>
      </c>
      <c r="E1465" s="161" t="s">
        <v>1897</v>
      </c>
      <c r="F1465" s="160" t="s">
        <v>1898</v>
      </c>
      <c r="G1465" s="172" t="s">
        <v>67</v>
      </c>
      <c r="H1465" s="100" t="s">
        <v>1899</v>
      </c>
      <c r="I1465" s="46" t="str">
        <f>VLOOKUP(H1465,'合同高级查询数据-4月返'!A:A,1,FALSE)</f>
        <v>182315IDC00116</v>
      </c>
      <c r="J1465" s="178" t="s">
        <v>69</v>
      </c>
      <c r="K1465" s="107" t="s">
        <v>1902</v>
      </c>
      <c r="L1465" s="179"/>
      <c r="M1465" s="49"/>
      <c r="N1465" s="180">
        <v>43332</v>
      </c>
      <c r="O1465" s="73" t="s">
        <v>71</v>
      </c>
      <c r="P1465" s="164">
        <v>400</v>
      </c>
      <c r="Q1465" s="105">
        <v>939.79</v>
      </c>
      <c r="R1465" s="118">
        <f t="shared" si="36"/>
        <v>375916</v>
      </c>
      <c r="S1465" s="115">
        <v>202304</v>
      </c>
      <c r="T1465" s="186" t="s">
        <v>1903</v>
      </c>
      <c r="U1465" s="186"/>
      <c r="V1465" s="165"/>
      <c r="W1465" s="165"/>
      <c r="X1465" s="116">
        <v>44958</v>
      </c>
      <c r="Y1465" s="116">
        <v>45322</v>
      </c>
    </row>
    <row r="1466" s="85" customFormat="1" customHeight="1" spans="1:25">
      <c r="A1466" s="98" t="s">
        <v>446</v>
      </c>
      <c r="B1466" s="98" t="s">
        <v>62</v>
      </c>
      <c r="C1466" s="98" t="s">
        <v>238</v>
      </c>
      <c r="D1466" s="98" t="s">
        <v>642</v>
      </c>
      <c r="E1466" s="161" t="s">
        <v>1897</v>
      </c>
      <c r="F1466" s="160" t="s">
        <v>1898</v>
      </c>
      <c r="G1466" s="172" t="s">
        <v>67</v>
      </c>
      <c r="H1466" s="100" t="s">
        <v>1899</v>
      </c>
      <c r="I1466" s="46" t="str">
        <f>VLOOKUP(H1466,'合同高级查询数据-4月返'!A:A,1,FALSE)</f>
        <v>182315IDC00116</v>
      </c>
      <c r="J1466" s="178" t="s">
        <v>69</v>
      </c>
      <c r="K1466" s="107" t="s">
        <v>1904</v>
      </c>
      <c r="L1466" s="179"/>
      <c r="M1466" s="49"/>
      <c r="N1466" s="180">
        <v>44228</v>
      </c>
      <c r="O1466" s="73" t="s">
        <v>71</v>
      </c>
      <c r="P1466" s="164">
        <v>400</v>
      </c>
      <c r="Q1466" s="105">
        <v>64.17</v>
      </c>
      <c r="R1466" s="118">
        <f t="shared" si="36"/>
        <v>25668</v>
      </c>
      <c r="S1466" s="115">
        <v>202304</v>
      </c>
      <c r="T1466" s="186" t="s">
        <v>1905</v>
      </c>
      <c r="U1466" s="186"/>
      <c r="V1466" s="165"/>
      <c r="W1466" s="165"/>
      <c r="X1466" s="116">
        <v>44958</v>
      </c>
      <c r="Y1466" s="116">
        <v>45322</v>
      </c>
    </row>
    <row r="1467" s="85" customFormat="1" customHeight="1" spans="1:25">
      <c r="A1467" s="98" t="s">
        <v>446</v>
      </c>
      <c r="B1467" s="98" t="s">
        <v>62</v>
      </c>
      <c r="C1467" s="98" t="s">
        <v>238</v>
      </c>
      <c r="D1467" s="98" t="s">
        <v>642</v>
      </c>
      <c r="E1467" s="161" t="s">
        <v>1897</v>
      </c>
      <c r="F1467" s="160" t="s">
        <v>1898</v>
      </c>
      <c r="G1467" s="172" t="s">
        <v>67</v>
      </c>
      <c r="H1467" s="100" t="s">
        <v>1899</v>
      </c>
      <c r="I1467" s="46" t="str">
        <f>VLOOKUP(H1467,'合同高级查询数据-4月返'!A:A,1,FALSE)</f>
        <v>182315IDC00116</v>
      </c>
      <c r="J1467" s="178" t="s">
        <v>69</v>
      </c>
      <c r="K1467" s="107" t="s">
        <v>1906</v>
      </c>
      <c r="L1467" s="179"/>
      <c r="M1467" s="49"/>
      <c r="N1467" s="180">
        <v>44783</v>
      </c>
      <c r="O1467" s="73" t="s">
        <v>71</v>
      </c>
      <c r="P1467" s="164">
        <v>400</v>
      </c>
      <c r="Q1467" s="105">
        <v>30.9</v>
      </c>
      <c r="R1467" s="118">
        <f t="shared" si="36"/>
        <v>12360</v>
      </c>
      <c r="S1467" s="115">
        <v>202304</v>
      </c>
      <c r="T1467" s="186" t="s">
        <v>1907</v>
      </c>
      <c r="U1467" s="186"/>
      <c r="V1467" s="165"/>
      <c r="W1467" s="165"/>
      <c r="X1467" s="116">
        <v>44958</v>
      </c>
      <c r="Y1467" s="116">
        <v>45322</v>
      </c>
    </row>
    <row r="1468" s="85" customFormat="1" customHeight="1" spans="1:25">
      <c r="A1468" s="98" t="s">
        <v>446</v>
      </c>
      <c r="B1468" s="98" t="s">
        <v>62</v>
      </c>
      <c r="C1468" s="98" t="s">
        <v>238</v>
      </c>
      <c r="D1468" s="98" t="s">
        <v>642</v>
      </c>
      <c r="E1468" s="161" t="s">
        <v>1897</v>
      </c>
      <c r="F1468" s="160" t="s">
        <v>1898</v>
      </c>
      <c r="G1468" s="172" t="s">
        <v>78</v>
      </c>
      <c r="H1468" s="100" t="s">
        <v>1899</v>
      </c>
      <c r="I1468" s="46" t="str">
        <f>VLOOKUP(H1468,'合同高级查询数据-4月返'!A:A,1,FALSE)</f>
        <v>182315IDC00116</v>
      </c>
      <c r="J1468" s="178" t="s">
        <v>530</v>
      </c>
      <c r="K1468" s="107" t="s">
        <v>1900</v>
      </c>
      <c r="L1468" s="179"/>
      <c r="M1468" s="49"/>
      <c r="N1468" s="180">
        <v>43332</v>
      </c>
      <c r="O1468" s="73"/>
      <c r="P1468" s="164">
        <v>3500</v>
      </c>
      <c r="Q1468" s="182">
        <v>9</v>
      </c>
      <c r="R1468" s="118">
        <f t="shared" si="36"/>
        <v>31500</v>
      </c>
      <c r="S1468" s="115">
        <v>202304</v>
      </c>
      <c r="T1468" s="186" t="s">
        <v>1908</v>
      </c>
      <c r="U1468" s="186"/>
      <c r="V1468" s="165"/>
      <c r="W1468" s="165"/>
      <c r="X1468" s="116">
        <v>44958</v>
      </c>
      <c r="Y1468" s="116">
        <v>45322</v>
      </c>
    </row>
    <row r="1469" s="85" customFormat="1" customHeight="1" spans="1:25">
      <c r="A1469" s="98" t="s">
        <v>446</v>
      </c>
      <c r="B1469" s="98" t="s">
        <v>62</v>
      </c>
      <c r="C1469" s="98" t="s">
        <v>238</v>
      </c>
      <c r="D1469" s="98" t="s">
        <v>642</v>
      </c>
      <c r="E1469" s="161" t="s">
        <v>1897</v>
      </c>
      <c r="F1469" s="160" t="s">
        <v>1898</v>
      </c>
      <c r="G1469" s="172" t="s">
        <v>78</v>
      </c>
      <c r="H1469" s="100" t="s">
        <v>1899</v>
      </c>
      <c r="I1469" s="46" t="str">
        <f>VLOOKUP(H1469,'合同高级查询数据-4月返'!A:A,1,FALSE)</f>
        <v>182315IDC00116</v>
      </c>
      <c r="J1469" s="178" t="s">
        <v>530</v>
      </c>
      <c r="K1469" s="107" t="s">
        <v>1902</v>
      </c>
      <c r="L1469" s="179"/>
      <c r="M1469" s="49"/>
      <c r="N1469" s="180">
        <v>43332</v>
      </c>
      <c r="O1469" s="73"/>
      <c r="P1469" s="164">
        <v>3500</v>
      </c>
      <c r="Q1469" s="182">
        <v>6</v>
      </c>
      <c r="R1469" s="118">
        <f t="shared" si="36"/>
        <v>21000</v>
      </c>
      <c r="S1469" s="115">
        <v>202304</v>
      </c>
      <c r="T1469" s="186" t="s">
        <v>1909</v>
      </c>
      <c r="U1469" s="186"/>
      <c r="V1469" s="165"/>
      <c r="W1469" s="165"/>
      <c r="X1469" s="116">
        <v>44958</v>
      </c>
      <c r="Y1469" s="116">
        <v>45322</v>
      </c>
    </row>
    <row r="1470" s="85" customFormat="1" customHeight="1" spans="1:25">
      <c r="A1470" s="98" t="s">
        <v>446</v>
      </c>
      <c r="B1470" s="24" t="s">
        <v>62</v>
      </c>
      <c r="C1470" s="98" t="s">
        <v>153</v>
      </c>
      <c r="D1470" s="98" t="s">
        <v>951</v>
      </c>
      <c r="E1470" s="161" t="s">
        <v>1910</v>
      </c>
      <c r="F1470" s="98" t="s">
        <v>1911</v>
      </c>
      <c r="G1470" s="172" t="s">
        <v>67</v>
      </c>
      <c r="H1470" s="100" t="s">
        <v>1912</v>
      </c>
      <c r="I1470" s="46" t="e">
        <f>VLOOKUP(H1470,'合同高级查询数据-4月返'!A:A,1,FALSE)</f>
        <v>#N/A</v>
      </c>
      <c r="J1470" s="160" t="s">
        <v>69</v>
      </c>
      <c r="K1470" s="160" t="s">
        <v>1913</v>
      </c>
      <c r="L1470" s="179"/>
      <c r="M1470" s="49"/>
      <c r="N1470" s="180">
        <v>43067</v>
      </c>
      <c r="O1470" s="181" t="s">
        <v>71</v>
      </c>
      <c r="P1470" s="182">
        <v>500</v>
      </c>
      <c r="Q1470" s="105">
        <v>2</v>
      </c>
      <c r="R1470" s="118">
        <f t="shared" si="36"/>
        <v>1000</v>
      </c>
      <c r="S1470" s="115">
        <v>202304</v>
      </c>
      <c r="T1470" s="186" t="s">
        <v>1913</v>
      </c>
      <c r="U1470" s="186"/>
      <c r="V1470" s="120"/>
      <c r="W1470" s="120"/>
      <c r="X1470" s="116">
        <v>44562</v>
      </c>
      <c r="Y1470" s="116">
        <v>45291</v>
      </c>
    </row>
    <row r="1471" s="85" customFormat="1" customHeight="1" spans="1:25">
      <c r="A1471" s="98" t="s">
        <v>446</v>
      </c>
      <c r="B1471" s="24" t="s">
        <v>62</v>
      </c>
      <c r="C1471" s="98" t="s">
        <v>153</v>
      </c>
      <c r="D1471" s="98" t="s">
        <v>951</v>
      </c>
      <c r="E1471" s="161" t="s">
        <v>1910</v>
      </c>
      <c r="F1471" s="98" t="s">
        <v>1914</v>
      </c>
      <c r="G1471" s="172" t="s">
        <v>88</v>
      </c>
      <c r="H1471" s="100" t="s">
        <v>1912</v>
      </c>
      <c r="I1471" s="46" t="e">
        <f>VLOOKUP(H1471,'合同高级查询数据-4月返'!A:A,1,FALSE)</f>
        <v>#N/A</v>
      </c>
      <c r="J1471" s="160" t="s">
        <v>162</v>
      </c>
      <c r="K1471" s="160" t="s">
        <v>157</v>
      </c>
      <c r="L1471" s="25" t="s">
        <v>1915</v>
      </c>
      <c r="M1471" s="49" t="s">
        <v>1916</v>
      </c>
      <c r="N1471" s="180" t="s">
        <v>1917</v>
      </c>
      <c r="O1471" s="181" t="s">
        <v>163</v>
      </c>
      <c r="P1471" s="182">
        <v>0</v>
      </c>
      <c r="Q1471" s="182">
        <v>13</v>
      </c>
      <c r="R1471" s="118">
        <f t="shared" si="36"/>
        <v>0</v>
      </c>
      <c r="S1471" s="115">
        <v>202304</v>
      </c>
      <c r="T1471" s="186" t="s">
        <v>1918</v>
      </c>
      <c r="U1471" s="186"/>
      <c r="V1471" s="120"/>
      <c r="W1471" s="120"/>
      <c r="X1471" s="116">
        <v>44562</v>
      </c>
      <c r="Y1471" s="116">
        <v>45291</v>
      </c>
    </row>
    <row r="1472" s="85" customFormat="1" customHeight="1" spans="1:25">
      <c r="A1472" s="98" t="s">
        <v>446</v>
      </c>
      <c r="B1472" s="24" t="s">
        <v>62</v>
      </c>
      <c r="C1472" s="98" t="s">
        <v>153</v>
      </c>
      <c r="D1472" s="98" t="s">
        <v>951</v>
      </c>
      <c r="E1472" s="161" t="s">
        <v>1910</v>
      </c>
      <c r="F1472" s="98" t="s">
        <v>1914</v>
      </c>
      <c r="G1472" s="172" t="s">
        <v>88</v>
      </c>
      <c r="H1472" s="100" t="s">
        <v>1912</v>
      </c>
      <c r="I1472" s="46" t="e">
        <f>VLOOKUP(H1472,'合同高级查询数据-4月返'!A:A,1,FALSE)</f>
        <v>#N/A</v>
      </c>
      <c r="J1472" s="160" t="s">
        <v>162</v>
      </c>
      <c r="K1472" s="160" t="s">
        <v>157</v>
      </c>
      <c r="L1472" s="25" t="s">
        <v>1915</v>
      </c>
      <c r="M1472" s="49" t="s">
        <v>1916</v>
      </c>
      <c r="N1472" s="180" t="s">
        <v>1917</v>
      </c>
      <c r="O1472" s="181" t="s">
        <v>163</v>
      </c>
      <c r="P1472" s="182">
        <v>0</v>
      </c>
      <c r="Q1472" s="182">
        <v>4</v>
      </c>
      <c r="R1472" s="118">
        <f t="shared" si="36"/>
        <v>0</v>
      </c>
      <c r="S1472" s="115">
        <v>202304</v>
      </c>
      <c r="T1472" s="186" t="s">
        <v>1919</v>
      </c>
      <c r="U1472" s="186"/>
      <c r="V1472" s="120"/>
      <c r="W1472" s="120"/>
      <c r="X1472" s="116">
        <v>44562</v>
      </c>
      <c r="Y1472" s="116">
        <v>45291</v>
      </c>
    </row>
    <row r="1473" s="85" customFormat="1" customHeight="1" spans="1:25">
      <c r="A1473" s="98" t="s">
        <v>446</v>
      </c>
      <c r="B1473" s="24" t="s">
        <v>62</v>
      </c>
      <c r="C1473" s="98" t="s">
        <v>153</v>
      </c>
      <c r="D1473" s="98" t="s">
        <v>951</v>
      </c>
      <c r="E1473" s="161" t="s">
        <v>1910</v>
      </c>
      <c r="F1473" s="98" t="s">
        <v>1914</v>
      </c>
      <c r="G1473" s="172" t="s">
        <v>88</v>
      </c>
      <c r="H1473" s="100" t="s">
        <v>1912</v>
      </c>
      <c r="I1473" s="46" t="e">
        <f>VLOOKUP(H1473,'合同高级查询数据-4月返'!A:A,1,FALSE)</f>
        <v>#N/A</v>
      </c>
      <c r="J1473" s="160" t="s">
        <v>162</v>
      </c>
      <c r="K1473" s="160" t="s">
        <v>157</v>
      </c>
      <c r="L1473" s="25" t="s">
        <v>1915</v>
      </c>
      <c r="M1473" s="49" t="s">
        <v>1916</v>
      </c>
      <c r="N1473" s="180">
        <v>44985</v>
      </c>
      <c r="O1473" s="181" t="s">
        <v>163</v>
      </c>
      <c r="P1473" s="182">
        <v>0</v>
      </c>
      <c r="Q1473" s="182">
        <v>-9</v>
      </c>
      <c r="R1473" s="118">
        <f t="shared" si="36"/>
        <v>0</v>
      </c>
      <c r="S1473" s="115">
        <v>202304</v>
      </c>
      <c r="T1473" s="186" t="s">
        <v>1920</v>
      </c>
      <c r="U1473" s="186"/>
      <c r="V1473" s="120"/>
      <c r="W1473" s="120"/>
      <c r="X1473" s="116">
        <v>44562</v>
      </c>
      <c r="Y1473" s="116">
        <v>45291</v>
      </c>
    </row>
    <row r="1474" s="85" customFormat="1" customHeight="1" spans="1:25">
      <c r="A1474" s="98" t="s">
        <v>446</v>
      </c>
      <c r="B1474" s="24" t="s">
        <v>62</v>
      </c>
      <c r="C1474" s="98" t="s">
        <v>153</v>
      </c>
      <c r="D1474" s="98" t="s">
        <v>951</v>
      </c>
      <c r="E1474" s="161" t="s">
        <v>1910</v>
      </c>
      <c r="F1474" s="98" t="s">
        <v>1914</v>
      </c>
      <c r="G1474" s="172" t="s">
        <v>88</v>
      </c>
      <c r="H1474" s="100" t="s">
        <v>1912</v>
      </c>
      <c r="I1474" s="46" t="e">
        <f>VLOOKUP(H1474,'合同高级查询数据-4月返'!A:A,1,FALSE)</f>
        <v>#N/A</v>
      </c>
      <c r="J1474" s="160" t="s">
        <v>162</v>
      </c>
      <c r="K1474" s="160" t="s">
        <v>157</v>
      </c>
      <c r="L1474" s="25" t="s">
        <v>1921</v>
      </c>
      <c r="M1474" s="49" t="s">
        <v>1922</v>
      </c>
      <c r="N1474" s="180" t="s">
        <v>1917</v>
      </c>
      <c r="O1474" s="181" t="s">
        <v>163</v>
      </c>
      <c r="P1474" s="182">
        <v>0</v>
      </c>
      <c r="Q1474" s="182">
        <v>4</v>
      </c>
      <c r="R1474" s="118">
        <f t="shared" si="36"/>
        <v>0</v>
      </c>
      <c r="S1474" s="115">
        <v>202304</v>
      </c>
      <c r="T1474" s="191" t="s">
        <v>1923</v>
      </c>
      <c r="U1474" s="186"/>
      <c r="V1474" s="120"/>
      <c r="W1474" s="120"/>
      <c r="X1474" s="116">
        <v>44562</v>
      </c>
      <c r="Y1474" s="116">
        <v>45291</v>
      </c>
    </row>
    <row r="1475" s="85" customFormat="1" customHeight="1" spans="1:25">
      <c r="A1475" s="98" t="s">
        <v>446</v>
      </c>
      <c r="B1475" s="24" t="s">
        <v>62</v>
      </c>
      <c r="C1475" s="98" t="s">
        <v>153</v>
      </c>
      <c r="D1475" s="98" t="s">
        <v>951</v>
      </c>
      <c r="E1475" s="161" t="s">
        <v>1910</v>
      </c>
      <c r="F1475" s="98" t="s">
        <v>1914</v>
      </c>
      <c r="G1475" s="172" t="s">
        <v>88</v>
      </c>
      <c r="H1475" s="100" t="s">
        <v>1912</v>
      </c>
      <c r="I1475" s="46" t="e">
        <f>VLOOKUP(H1475,'合同高级查询数据-4月返'!A:A,1,FALSE)</f>
        <v>#N/A</v>
      </c>
      <c r="J1475" s="160" t="s">
        <v>162</v>
      </c>
      <c r="K1475" s="160" t="s">
        <v>157</v>
      </c>
      <c r="L1475" s="25" t="s">
        <v>1924</v>
      </c>
      <c r="M1475" s="49" t="s">
        <v>1916</v>
      </c>
      <c r="N1475" s="180" t="s">
        <v>1917</v>
      </c>
      <c r="O1475" s="181" t="s">
        <v>163</v>
      </c>
      <c r="P1475" s="182">
        <v>0</v>
      </c>
      <c r="Q1475" s="182">
        <v>8</v>
      </c>
      <c r="R1475" s="118">
        <f t="shared" si="36"/>
        <v>0</v>
      </c>
      <c r="S1475" s="115">
        <v>202304</v>
      </c>
      <c r="T1475" s="191" t="s">
        <v>1925</v>
      </c>
      <c r="U1475" s="186"/>
      <c r="V1475" s="120"/>
      <c r="W1475" s="120"/>
      <c r="X1475" s="116">
        <v>44562</v>
      </c>
      <c r="Y1475" s="116">
        <v>45291</v>
      </c>
    </row>
    <row r="1476" s="85" customFormat="1" customHeight="1" spans="1:25">
      <c r="A1476" s="98" t="s">
        <v>446</v>
      </c>
      <c r="B1476" s="24" t="s">
        <v>62</v>
      </c>
      <c r="C1476" s="98" t="s">
        <v>153</v>
      </c>
      <c r="D1476" s="98" t="s">
        <v>951</v>
      </c>
      <c r="E1476" s="161" t="s">
        <v>1910</v>
      </c>
      <c r="F1476" s="98" t="s">
        <v>1914</v>
      </c>
      <c r="G1476" s="172" t="s">
        <v>88</v>
      </c>
      <c r="H1476" s="100" t="s">
        <v>1912</v>
      </c>
      <c r="I1476" s="46" t="e">
        <f>VLOOKUP(H1476,'合同高级查询数据-4月返'!A:A,1,FALSE)</f>
        <v>#N/A</v>
      </c>
      <c r="J1476" s="160" t="s">
        <v>162</v>
      </c>
      <c r="K1476" s="160" t="s">
        <v>157</v>
      </c>
      <c r="L1476" s="179" t="s">
        <v>1915</v>
      </c>
      <c r="M1476" s="49" t="s">
        <v>1916</v>
      </c>
      <c r="N1476" s="180">
        <v>44562</v>
      </c>
      <c r="O1476" s="181" t="s">
        <v>163</v>
      </c>
      <c r="P1476" s="182">
        <v>4000</v>
      </c>
      <c r="Q1476" s="182">
        <v>3</v>
      </c>
      <c r="R1476" s="118">
        <f t="shared" si="36"/>
        <v>12000</v>
      </c>
      <c r="S1476" s="115">
        <v>202304</v>
      </c>
      <c r="T1476" s="186" t="s">
        <v>1926</v>
      </c>
      <c r="U1476" s="186"/>
      <c r="V1476" s="120"/>
      <c r="W1476" s="120"/>
      <c r="X1476" s="116">
        <v>44562</v>
      </c>
      <c r="Y1476" s="116">
        <v>45291</v>
      </c>
    </row>
    <row r="1477" s="85" customFormat="1" customHeight="1" spans="1:25">
      <c r="A1477" s="98" t="s">
        <v>446</v>
      </c>
      <c r="B1477" s="24" t="s">
        <v>62</v>
      </c>
      <c r="C1477" s="98" t="s">
        <v>153</v>
      </c>
      <c r="D1477" s="98" t="s">
        <v>951</v>
      </c>
      <c r="E1477" s="161" t="s">
        <v>1910</v>
      </c>
      <c r="F1477" s="98" t="s">
        <v>1914</v>
      </c>
      <c r="G1477" s="172" t="s">
        <v>88</v>
      </c>
      <c r="H1477" s="100" t="s">
        <v>1912</v>
      </c>
      <c r="I1477" s="46" t="e">
        <f>VLOOKUP(H1477,'合同高级查询数据-4月返'!A:A,1,FALSE)</f>
        <v>#N/A</v>
      </c>
      <c r="J1477" s="160" t="s">
        <v>162</v>
      </c>
      <c r="K1477" s="160" t="s">
        <v>157</v>
      </c>
      <c r="L1477" s="179" t="s">
        <v>1915</v>
      </c>
      <c r="M1477" s="49" t="s">
        <v>1916</v>
      </c>
      <c r="N1477" s="180">
        <v>44651</v>
      </c>
      <c r="O1477" s="181" t="s">
        <v>163</v>
      </c>
      <c r="P1477" s="182">
        <v>4000</v>
      </c>
      <c r="Q1477" s="182">
        <v>-3</v>
      </c>
      <c r="R1477" s="118">
        <f t="shared" si="36"/>
        <v>-12000</v>
      </c>
      <c r="S1477" s="115">
        <v>202304</v>
      </c>
      <c r="T1477" s="186" t="s">
        <v>1927</v>
      </c>
      <c r="U1477" s="186"/>
      <c r="V1477" s="120"/>
      <c r="W1477" s="120"/>
      <c r="X1477" s="116">
        <v>44562</v>
      </c>
      <c r="Y1477" s="116">
        <v>45291</v>
      </c>
    </row>
    <row r="1478" s="85" customFormat="1" customHeight="1" spans="1:25">
      <c r="A1478" s="98" t="s">
        <v>446</v>
      </c>
      <c r="B1478" s="24" t="s">
        <v>62</v>
      </c>
      <c r="C1478" s="98" t="s">
        <v>153</v>
      </c>
      <c r="D1478" s="98" t="s">
        <v>951</v>
      </c>
      <c r="E1478" s="161" t="s">
        <v>1910</v>
      </c>
      <c r="F1478" s="98" t="s">
        <v>1914</v>
      </c>
      <c r="G1478" s="172" t="s">
        <v>88</v>
      </c>
      <c r="H1478" s="100" t="s">
        <v>1912</v>
      </c>
      <c r="I1478" s="46" t="e">
        <f>VLOOKUP(H1478,'合同高级查询数据-4月返'!A:A,1,FALSE)</f>
        <v>#N/A</v>
      </c>
      <c r="J1478" s="160" t="s">
        <v>1287</v>
      </c>
      <c r="K1478" s="160" t="s">
        <v>157</v>
      </c>
      <c r="L1478" s="179" t="s">
        <v>1928</v>
      </c>
      <c r="M1478" s="49" t="s">
        <v>1929</v>
      </c>
      <c r="N1478" s="180">
        <v>42755</v>
      </c>
      <c r="O1478" s="181" t="s">
        <v>163</v>
      </c>
      <c r="P1478" s="182">
        <v>0</v>
      </c>
      <c r="Q1478" s="182">
        <v>3</v>
      </c>
      <c r="R1478" s="118">
        <f t="shared" si="36"/>
        <v>0</v>
      </c>
      <c r="S1478" s="115">
        <v>202304</v>
      </c>
      <c r="T1478" s="191" t="s">
        <v>1930</v>
      </c>
      <c r="U1478" s="186"/>
      <c r="V1478" s="120"/>
      <c r="W1478" s="120"/>
      <c r="X1478" s="116">
        <v>44562</v>
      </c>
      <c r="Y1478" s="116">
        <v>45291</v>
      </c>
    </row>
    <row r="1479" s="85" customFormat="1" customHeight="1" spans="1:25">
      <c r="A1479" s="98" t="s">
        <v>446</v>
      </c>
      <c r="B1479" s="24" t="s">
        <v>62</v>
      </c>
      <c r="C1479" s="98" t="s">
        <v>153</v>
      </c>
      <c r="D1479" s="98" t="s">
        <v>951</v>
      </c>
      <c r="E1479" s="161" t="s">
        <v>1910</v>
      </c>
      <c r="F1479" s="98" t="s">
        <v>1914</v>
      </c>
      <c r="G1479" s="172" t="s">
        <v>88</v>
      </c>
      <c r="H1479" s="100" t="s">
        <v>1912</v>
      </c>
      <c r="I1479" s="46" t="e">
        <f>VLOOKUP(H1479,'合同高级查询数据-4月返'!A:A,1,FALSE)</f>
        <v>#N/A</v>
      </c>
      <c r="J1479" s="160" t="s">
        <v>1287</v>
      </c>
      <c r="K1479" s="160" t="s">
        <v>157</v>
      </c>
      <c r="L1479" s="179" t="s">
        <v>1928</v>
      </c>
      <c r="M1479" s="49" t="s">
        <v>1929</v>
      </c>
      <c r="N1479" s="180">
        <v>44470</v>
      </c>
      <c r="O1479" s="181" t="s">
        <v>163</v>
      </c>
      <c r="P1479" s="182">
        <v>0</v>
      </c>
      <c r="Q1479" s="182">
        <v>3</v>
      </c>
      <c r="R1479" s="118">
        <f t="shared" si="36"/>
        <v>0</v>
      </c>
      <c r="S1479" s="115">
        <v>202304</v>
      </c>
      <c r="T1479" s="191" t="s">
        <v>1931</v>
      </c>
      <c r="U1479" s="186"/>
      <c r="V1479" s="120"/>
      <c r="W1479" s="120"/>
      <c r="X1479" s="116">
        <v>44562</v>
      </c>
      <c r="Y1479" s="116">
        <v>45291</v>
      </c>
    </row>
    <row r="1480" s="85" customFormat="1" customHeight="1" spans="1:25">
      <c r="A1480" s="98" t="s">
        <v>446</v>
      </c>
      <c r="B1480" s="24" t="s">
        <v>62</v>
      </c>
      <c r="C1480" s="98" t="s">
        <v>153</v>
      </c>
      <c r="D1480" s="98" t="s">
        <v>951</v>
      </c>
      <c r="E1480" s="161" t="s">
        <v>1910</v>
      </c>
      <c r="F1480" s="98" t="s">
        <v>1914</v>
      </c>
      <c r="G1480" s="172" t="s">
        <v>88</v>
      </c>
      <c r="H1480" s="100" t="s">
        <v>1912</v>
      </c>
      <c r="I1480" s="46" t="e">
        <f>VLOOKUP(H1480,'合同高级查询数据-4月返'!A:A,1,FALSE)</f>
        <v>#N/A</v>
      </c>
      <c r="J1480" s="160" t="s">
        <v>1287</v>
      </c>
      <c r="K1480" s="160" t="s">
        <v>157</v>
      </c>
      <c r="L1480" s="179" t="s">
        <v>1928</v>
      </c>
      <c r="M1480" s="49" t="s">
        <v>1932</v>
      </c>
      <c r="N1480" s="180">
        <v>42755</v>
      </c>
      <c r="O1480" s="181" t="s">
        <v>163</v>
      </c>
      <c r="P1480" s="182">
        <v>4000</v>
      </c>
      <c r="Q1480" s="182">
        <v>11</v>
      </c>
      <c r="R1480" s="118">
        <f t="shared" si="36"/>
        <v>44000</v>
      </c>
      <c r="S1480" s="115">
        <v>202304</v>
      </c>
      <c r="T1480" s="191" t="s">
        <v>1933</v>
      </c>
      <c r="U1480" s="186"/>
      <c r="V1480" s="120"/>
      <c r="W1480" s="120"/>
      <c r="X1480" s="116">
        <v>44562</v>
      </c>
      <c r="Y1480" s="116">
        <v>45291</v>
      </c>
    </row>
    <row r="1481" s="85" customFormat="1" customHeight="1" spans="1:25">
      <c r="A1481" s="98" t="s">
        <v>446</v>
      </c>
      <c r="B1481" s="24" t="s">
        <v>62</v>
      </c>
      <c r="C1481" s="98" t="s">
        <v>153</v>
      </c>
      <c r="D1481" s="98" t="s">
        <v>951</v>
      </c>
      <c r="E1481" s="161" t="s">
        <v>1910</v>
      </c>
      <c r="F1481" s="98" t="s">
        <v>1914</v>
      </c>
      <c r="G1481" s="172" t="s">
        <v>88</v>
      </c>
      <c r="H1481" s="100" t="s">
        <v>1912</v>
      </c>
      <c r="I1481" s="46" t="e">
        <f>VLOOKUP(H1481,'合同高级查询数据-4月返'!A:A,1,FALSE)</f>
        <v>#N/A</v>
      </c>
      <c r="J1481" s="160" t="s">
        <v>1287</v>
      </c>
      <c r="K1481" s="160" t="s">
        <v>157</v>
      </c>
      <c r="L1481" s="179" t="s">
        <v>1928</v>
      </c>
      <c r="M1481" s="49" t="s">
        <v>1932</v>
      </c>
      <c r="N1481" s="180">
        <v>44372</v>
      </c>
      <c r="O1481" s="181" t="s">
        <v>163</v>
      </c>
      <c r="P1481" s="182">
        <v>4000</v>
      </c>
      <c r="Q1481" s="182">
        <v>-1</v>
      </c>
      <c r="R1481" s="118">
        <f t="shared" si="36"/>
        <v>-4000</v>
      </c>
      <c r="S1481" s="115">
        <v>202304</v>
      </c>
      <c r="T1481" s="186" t="s">
        <v>1934</v>
      </c>
      <c r="U1481" s="186"/>
      <c r="V1481" s="120"/>
      <c r="W1481" s="120"/>
      <c r="X1481" s="116">
        <v>44562</v>
      </c>
      <c r="Y1481" s="116">
        <v>45291</v>
      </c>
    </row>
    <row r="1482" s="85" customFormat="1" customHeight="1" spans="1:25">
      <c r="A1482" s="98" t="s">
        <v>446</v>
      </c>
      <c r="B1482" s="24" t="s">
        <v>62</v>
      </c>
      <c r="C1482" s="98" t="s">
        <v>153</v>
      </c>
      <c r="D1482" s="98" t="s">
        <v>951</v>
      </c>
      <c r="E1482" s="161" t="s">
        <v>1910</v>
      </c>
      <c r="F1482" s="98" t="s">
        <v>1914</v>
      </c>
      <c r="G1482" s="172" t="s">
        <v>88</v>
      </c>
      <c r="H1482" s="100" t="s">
        <v>1912</v>
      </c>
      <c r="I1482" s="46" t="e">
        <f>VLOOKUP(H1482,'合同高级查询数据-4月返'!A:A,1,FALSE)</f>
        <v>#N/A</v>
      </c>
      <c r="J1482" s="160" t="s">
        <v>1287</v>
      </c>
      <c r="K1482" s="160" t="s">
        <v>157</v>
      </c>
      <c r="L1482" s="179" t="s">
        <v>1928</v>
      </c>
      <c r="M1482" s="49" t="s">
        <v>1932</v>
      </c>
      <c r="N1482" s="180">
        <v>44712</v>
      </c>
      <c r="O1482" s="181" t="s">
        <v>163</v>
      </c>
      <c r="P1482" s="182">
        <v>4000</v>
      </c>
      <c r="Q1482" s="182">
        <v>-16</v>
      </c>
      <c r="R1482" s="118">
        <f t="shared" si="36"/>
        <v>-64000</v>
      </c>
      <c r="S1482" s="115">
        <v>202304</v>
      </c>
      <c r="T1482" s="186" t="s">
        <v>1935</v>
      </c>
      <c r="U1482" s="186"/>
      <c r="V1482" s="120"/>
      <c r="W1482" s="120"/>
      <c r="X1482" s="116">
        <v>44562</v>
      </c>
      <c r="Y1482" s="116">
        <v>45291</v>
      </c>
    </row>
    <row r="1483" s="85" customFormat="1" customHeight="1" spans="1:25">
      <c r="A1483" s="98" t="s">
        <v>446</v>
      </c>
      <c r="B1483" s="24" t="s">
        <v>62</v>
      </c>
      <c r="C1483" s="98" t="s">
        <v>153</v>
      </c>
      <c r="D1483" s="98" t="s">
        <v>951</v>
      </c>
      <c r="E1483" s="161" t="s">
        <v>1910</v>
      </c>
      <c r="F1483" s="98" t="s">
        <v>1914</v>
      </c>
      <c r="G1483" s="172" t="s">
        <v>88</v>
      </c>
      <c r="H1483" s="100" t="s">
        <v>1912</v>
      </c>
      <c r="I1483" s="46" t="e">
        <f>VLOOKUP(H1483,'合同高级查询数据-4月返'!A:A,1,FALSE)</f>
        <v>#N/A</v>
      </c>
      <c r="J1483" s="160" t="s">
        <v>1287</v>
      </c>
      <c r="K1483" s="160" t="s">
        <v>157</v>
      </c>
      <c r="L1483" s="179" t="s">
        <v>1928</v>
      </c>
      <c r="M1483" s="49" t="s">
        <v>1932</v>
      </c>
      <c r="N1483" s="180">
        <v>44713</v>
      </c>
      <c r="O1483" s="181" t="s">
        <v>163</v>
      </c>
      <c r="P1483" s="182">
        <v>4000</v>
      </c>
      <c r="Q1483" s="182">
        <v>8</v>
      </c>
      <c r="R1483" s="118">
        <f t="shared" si="36"/>
        <v>32000</v>
      </c>
      <c r="S1483" s="115">
        <v>202304</v>
      </c>
      <c r="T1483" s="186" t="s">
        <v>1936</v>
      </c>
      <c r="U1483" s="186"/>
      <c r="V1483" s="120"/>
      <c r="W1483" s="120"/>
      <c r="X1483" s="116">
        <v>44562</v>
      </c>
      <c r="Y1483" s="116">
        <v>45291</v>
      </c>
    </row>
    <row r="1484" s="85" customFormat="1" customHeight="1" spans="1:25">
      <c r="A1484" s="98" t="s">
        <v>446</v>
      </c>
      <c r="B1484" s="24" t="s">
        <v>62</v>
      </c>
      <c r="C1484" s="98" t="s">
        <v>153</v>
      </c>
      <c r="D1484" s="98" t="s">
        <v>951</v>
      </c>
      <c r="E1484" s="161" t="s">
        <v>1910</v>
      </c>
      <c r="F1484" s="98" t="s">
        <v>1914</v>
      </c>
      <c r="G1484" s="172" t="s">
        <v>31</v>
      </c>
      <c r="H1484" s="100" t="s">
        <v>1912</v>
      </c>
      <c r="I1484" s="46" t="e">
        <f>VLOOKUP(H1484,'合同高级查询数据-4月返'!A:A,1,FALSE)</f>
        <v>#N/A</v>
      </c>
      <c r="J1484" s="160" t="s">
        <v>33</v>
      </c>
      <c r="K1484" s="160"/>
      <c r="L1484" s="25" t="s">
        <v>1924</v>
      </c>
      <c r="M1484" s="49"/>
      <c r="N1484" s="180" t="s">
        <v>1937</v>
      </c>
      <c r="O1484" s="181"/>
      <c r="P1484" s="182">
        <v>0</v>
      </c>
      <c r="Q1484" s="182">
        <v>288</v>
      </c>
      <c r="R1484" s="118">
        <v>0</v>
      </c>
      <c r="S1484" s="115">
        <v>202304</v>
      </c>
      <c r="T1484" s="186" t="s">
        <v>1938</v>
      </c>
      <c r="U1484" s="186"/>
      <c r="V1484" s="120"/>
      <c r="W1484" s="120"/>
      <c r="X1484" s="116">
        <v>44562</v>
      </c>
      <c r="Y1484" s="116">
        <v>45291</v>
      </c>
    </row>
    <row r="1485" s="85" customFormat="1" customHeight="1" spans="1:25">
      <c r="A1485" s="98" t="s">
        <v>446</v>
      </c>
      <c r="B1485" s="24" t="s">
        <v>62</v>
      </c>
      <c r="C1485" s="98" t="s">
        <v>153</v>
      </c>
      <c r="D1485" s="98" t="s">
        <v>951</v>
      </c>
      <c r="E1485" s="161" t="s">
        <v>1910</v>
      </c>
      <c r="F1485" s="98" t="s">
        <v>1914</v>
      </c>
      <c r="G1485" s="172" t="s">
        <v>31</v>
      </c>
      <c r="H1485" s="100" t="s">
        <v>1912</v>
      </c>
      <c r="I1485" s="46" t="e">
        <f>VLOOKUP(H1485,'合同高级查询数据-4月返'!A:A,1,FALSE)</f>
        <v>#N/A</v>
      </c>
      <c r="J1485" s="160" t="s">
        <v>33</v>
      </c>
      <c r="K1485" s="160"/>
      <c r="L1485" s="25" t="s">
        <v>1921</v>
      </c>
      <c r="M1485" s="49"/>
      <c r="N1485" s="180" t="s">
        <v>1937</v>
      </c>
      <c r="O1485" s="181"/>
      <c r="P1485" s="182">
        <v>0</v>
      </c>
      <c r="Q1485" s="182">
        <v>256</v>
      </c>
      <c r="R1485" s="118">
        <f t="shared" ref="R1485:R1516" si="37">ROUND(P1485*Q1485,2)</f>
        <v>0</v>
      </c>
      <c r="S1485" s="115">
        <v>202304</v>
      </c>
      <c r="T1485" s="186" t="s">
        <v>1939</v>
      </c>
      <c r="U1485" s="186"/>
      <c r="V1485" s="120"/>
      <c r="W1485" s="120"/>
      <c r="X1485" s="116">
        <v>44562</v>
      </c>
      <c r="Y1485" s="116">
        <v>45291</v>
      </c>
    </row>
    <row r="1486" s="85" customFormat="1" customHeight="1" spans="1:25">
      <c r="A1486" s="98" t="s">
        <v>446</v>
      </c>
      <c r="B1486" s="24" t="s">
        <v>62</v>
      </c>
      <c r="C1486" s="98" t="s">
        <v>153</v>
      </c>
      <c r="D1486" s="98" t="s">
        <v>951</v>
      </c>
      <c r="E1486" s="161" t="s">
        <v>1910</v>
      </c>
      <c r="F1486" s="98" t="s">
        <v>1914</v>
      </c>
      <c r="G1486" s="172" t="s">
        <v>31</v>
      </c>
      <c r="H1486" s="100" t="s">
        <v>1912</v>
      </c>
      <c r="I1486" s="46" t="e">
        <f>VLOOKUP(H1486,'合同高级查询数据-4月返'!A:A,1,FALSE)</f>
        <v>#N/A</v>
      </c>
      <c r="J1486" s="160" t="s">
        <v>33</v>
      </c>
      <c r="K1486" s="160"/>
      <c r="L1486" s="25" t="s">
        <v>1915</v>
      </c>
      <c r="M1486" s="49"/>
      <c r="N1486" s="180" t="s">
        <v>1937</v>
      </c>
      <c r="O1486" s="181"/>
      <c r="P1486" s="182">
        <v>0</v>
      </c>
      <c r="Q1486" s="182">
        <v>544</v>
      </c>
      <c r="R1486" s="118">
        <f t="shared" si="37"/>
        <v>0</v>
      </c>
      <c r="S1486" s="115">
        <v>202304</v>
      </c>
      <c r="T1486" s="186" t="s">
        <v>1940</v>
      </c>
      <c r="U1486" s="186"/>
      <c r="V1486" s="120"/>
      <c r="W1486" s="120"/>
      <c r="X1486" s="116">
        <v>44562</v>
      </c>
      <c r="Y1486" s="116">
        <v>45291</v>
      </c>
    </row>
    <row r="1487" s="85" customFormat="1" customHeight="1" spans="1:25">
      <c r="A1487" s="98" t="s">
        <v>446</v>
      </c>
      <c r="B1487" s="24" t="s">
        <v>62</v>
      </c>
      <c r="C1487" s="98" t="s">
        <v>153</v>
      </c>
      <c r="D1487" s="98" t="s">
        <v>951</v>
      </c>
      <c r="E1487" s="161" t="s">
        <v>1910</v>
      </c>
      <c r="F1487" s="98" t="s">
        <v>1914</v>
      </c>
      <c r="G1487" s="172" t="s">
        <v>31</v>
      </c>
      <c r="H1487" s="100" t="s">
        <v>1912</v>
      </c>
      <c r="I1487" s="46" t="e">
        <f>VLOOKUP(H1487,'合同高级查询数据-4月返'!A:A,1,FALSE)</f>
        <v>#N/A</v>
      </c>
      <c r="J1487" s="160" t="s">
        <v>33</v>
      </c>
      <c r="K1487" s="160"/>
      <c r="L1487" s="25" t="s">
        <v>1915</v>
      </c>
      <c r="M1487" s="49"/>
      <c r="N1487" s="180" t="s">
        <v>1937</v>
      </c>
      <c r="O1487" s="181"/>
      <c r="P1487" s="182">
        <v>0</v>
      </c>
      <c r="Q1487" s="182">
        <v>384</v>
      </c>
      <c r="R1487" s="118">
        <f t="shared" si="37"/>
        <v>0</v>
      </c>
      <c r="S1487" s="115">
        <v>202304</v>
      </c>
      <c r="T1487" s="186" t="s">
        <v>1941</v>
      </c>
      <c r="U1487" s="186"/>
      <c r="V1487" s="120"/>
      <c r="W1487" s="120"/>
      <c r="X1487" s="116">
        <v>44562</v>
      </c>
      <c r="Y1487" s="116">
        <v>45291</v>
      </c>
    </row>
    <row r="1488" s="85" customFormat="1" customHeight="1" spans="1:25">
      <c r="A1488" s="98" t="s">
        <v>446</v>
      </c>
      <c r="B1488" s="24" t="s">
        <v>62</v>
      </c>
      <c r="C1488" s="98" t="s">
        <v>153</v>
      </c>
      <c r="D1488" s="98" t="s">
        <v>951</v>
      </c>
      <c r="E1488" s="161" t="s">
        <v>1910</v>
      </c>
      <c r="F1488" s="98" t="s">
        <v>1914</v>
      </c>
      <c r="G1488" s="172" t="s">
        <v>31</v>
      </c>
      <c r="H1488" s="100" t="s">
        <v>1912</v>
      </c>
      <c r="I1488" s="46" t="e">
        <f>VLOOKUP(H1488,'合同高级查询数据-4月返'!A:A,1,FALSE)</f>
        <v>#N/A</v>
      </c>
      <c r="J1488" s="160" t="s">
        <v>1273</v>
      </c>
      <c r="K1488" s="160" t="s">
        <v>157</v>
      </c>
      <c r="L1488" s="179" t="s">
        <v>1928</v>
      </c>
      <c r="M1488" s="49"/>
      <c r="N1488" s="180" t="s">
        <v>1937</v>
      </c>
      <c r="O1488" s="181"/>
      <c r="P1488" s="182">
        <v>0</v>
      </c>
      <c r="Q1488" s="182">
        <f>1088+192</f>
        <v>1280</v>
      </c>
      <c r="R1488" s="118">
        <f t="shared" si="37"/>
        <v>0</v>
      </c>
      <c r="S1488" s="115">
        <v>202304</v>
      </c>
      <c r="T1488" s="186" t="s">
        <v>1942</v>
      </c>
      <c r="U1488" s="186"/>
      <c r="V1488" s="120"/>
      <c r="W1488" s="120"/>
      <c r="X1488" s="116">
        <v>44562</v>
      </c>
      <c r="Y1488" s="116">
        <v>45291</v>
      </c>
    </row>
    <row r="1489" s="85" customFormat="1" customHeight="1" spans="1:25">
      <c r="A1489" s="98" t="s">
        <v>446</v>
      </c>
      <c r="B1489" s="24" t="s">
        <v>62</v>
      </c>
      <c r="C1489" s="98" t="s">
        <v>153</v>
      </c>
      <c r="D1489" s="98" t="s">
        <v>951</v>
      </c>
      <c r="E1489" s="161" t="s">
        <v>1910</v>
      </c>
      <c r="F1489" s="98" t="s">
        <v>1914</v>
      </c>
      <c r="G1489" s="172" t="s">
        <v>31</v>
      </c>
      <c r="H1489" s="100" t="s">
        <v>1912</v>
      </c>
      <c r="I1489" s="46" t="e">
        <f>VLOOKUP(H1489,'合同高级查询数据-4月返'!A:A,1,FALSE)</f>
        <v>#N/A</v>
      </c>
      <c r="J1489" s="160" t="s">
        <v>1273</v>
      </c>
      <c r="K1489" s="160" t="s">
        <v>157</v>
      </c>
      <c r="L1489" s="179" t="s">
        <v>1928</v>
      </c>
      <c r="M1489" s="49"/>
      <c r="N1489" s="180">
        <v>44712</v>
      </c>
      <c r="O1489" s="259"/>
      <c r="P1489" s="182">
        <v>0</v>
      </c>
      <c r="Q1489" s="182">
        <v>-1280</v>
      </c>
      <c r="R1489" s="118">
        <f t="shared" si="37"/>
        <v>0</v>
      </c>
      <c r="S1489" s="115">
        <v>202304</v>
      </c>
      <c r="T1489" s="191" t="s">
        <v>1943</v>
      </c>
      <c r="U1489" s="186"/>
      <c r="V1489" s="120"/>
      <c r="W1489" s="120"/>
      <c r="X1489" s="116">
        <v>44562</v>
      </c>
      <c r="Y1489" s="116">
        <v>45291</v>
      </c>
    </row>
    <row r="1490" s="85" customFormat="1" customHeight="1" spans="1:25">
      <c r="A1490" s="98" t="s">
        <v>446</v>
      </c>
      <c r="B1490" s="24" t="s">
        <v>62</v>
      </c>
      <c r="C1490" s="98" t="s">
        <v>153</v>
      </c>
      <c r="D1490" s="98" t="s">
        <v>951</v>
      </c>
      <c r="E1490" s="161" t="s">
        <v>1910</v>
      </c>
      <c r="F1490" s="98" t="s">
        <v>1914</v>
      </c>
      <c r="G1490" s="172" t="s">
        <v>31</v>
      </c>
      <c r="H1490" s="100" t="s">
        <v>1912</v>
      </c>
      <c r="I1490" s="46" t="e">
        <f>VLOOKUP(H1490,'合同高级查询数据-4月返'!A:A,1,FALSE)</f>
        <v>#N/A</v>
      </c>
      <c r="J1490" s="160" t="s">
        <v>1273</v>
      </c>
      <c r="K1490" s="160" t="s">
        <v>157</v>
      </c>
      <c r="L1490" s="179" t="s">
        <v>1928</v>
      </c>
      <c r="M1490" s="49"/>
      <c r="N1490" s="180">
        <v>44718</v>
      </c>
      <c r="O1490" s="181"/>
      <c r="P1490" s="182">
        <v>0</v>
      </c>
      <c r="Q1490" s="182">
        <f>256*5</f>
        <v>1280</v>
      </c>
      <c r="R1490" s="118">
        <f t="shared" si="37"/>
        <v>0</v>
      </c>
      <c r="S1490" s="115">
        <v>202304</v>
      </c>
      <c r="T1490" s="191" t="s">
        <v>1944</v>
      </c>
      <c r="U1490" s="186"/>
      <c r="V1490" s="120"/>
      <c r="W1490" s="120"/>
      <c r="X1490" s="116">
        <v>44562</v>
      </c>
      <c r="Y1490" s="116">
        <v>45291</v>
      </c>
    </row>
    <row r="1491" s="85" customFormat="1" customHeight="1" spans="1:25">
      <c r="A1491" s="98" t="s">
        <v>446</v>
      </c>
      <c r="B1491" s="24" t="s">
        <v>62</v>
      </c>
      <c r="C1491" s="98" t="s">
        <v>153</v>
      </c>
      <c r="D1491" s="98" t="s">
        <v>951</v>
      </c>
      <c r="E1491" s="161" t="s">
        <v>1910</v>
      </c>
      <c r="F1491" s="98" t="s">
        <v>1914</v>
      </c>
      <c r="G1491" s="172" t="s">
        <v>31</v>
      </c>
      <c r="H1491" s="100" t="s">
        <v>1912</v>
      </c>
      <c r="I1491" s="46" t="e">
        <f>VLOOKUP(H1491,'合同高级查询数据-4月返'!A:A,1,FALSE)</f>
        <v>#N/A</v>
      </c>
      <c r="J1491" s="160" t="s">
        <v>959</v>
      </c>
      <c r="K1491" s="160" t="s">
        <v>157</v>
      </c>
      <c r="L1491" s="179"/>
      <c r="M1491" s="49"/>
      <c r="N1491" s="180" t="s">
        <v>1937</v>
      </c>
      <c r="O1491" s="181"/>
      <c r="P1491" s="182">
        <v>0</v>
      </c>
      <c r="Q1491" s="182">
        <v>768</v>
      </c>
      <c r="R1491" s="118">
        <f t="shared" si="37"/>
        <v>0</v>
      </c>
      <c r="S1491" s="115">
        <v>202304</v>
      </c>
      <c r="T1491" s="186" t="s">
        <v>1945</v>
      </c>
      <c r="U1491" s="186"/>
      <c r="V1491" s="120"/>
      <c r="W1491" s="120"/>
      <c r="X1491" s="116">
        <v>44562</v>
      </c>
      <c r="Y1491" s="116">
        <v>45291</v>
      </c>
    </row>
    <row r="1492" s="85" customFormat="1" customHeight="1" spans="1:25">
      <c r="A1492" s="98" t="s">
        <v>446</v>
      </c>
      <c r="B1492" s="24" t="s">
        <v>62</v>
      </c>
      <c r="C1492" s="98" t="s">
        <v>153</v>
      </c>
      <c r="D1492" s="98" t="s">
        <v>951</v>
      </c>
      <c r="E1492" s="161" t="s">
        <v>1910</v>
      </c>
      <c r="F1492" s="98" t="s">
        <v>1914</v>
      </c>
      <c r="G1492" s="172" t="s">
        <v>88</v>
      </c>
      <c r="H1492" s="100" t="s">
        <v>1912</v>
      </c>
      <c r="I1492" s="46" t="e">
        <f>VLOOKUP(H1492,'合同高级查询数据-4月返'!A:A,1,FALSE)</f>
        <v>#N/A</v>
      </c>
      <c r="J1492" s="160" t="s">
        <v>955</v>
      </c>
      <c r="K1492" s="160" t="s">
        <v>157</v>
      </c>
      <c r="L1492" s="179"/>
      <c r="M1492" s="49" t="s">
        <v>1922</v>
      </c>
      <c r="N1492" s="180">
        <v>43056</v>
      </c>
      <c r="O1492" s="181" t="s">
        <v>163</v>
      </c>
      <c r="P1492" s="182">
        <v>5000</v>
      </c>
      <c r="Q1492" s="182">
        <v>7</v>
      </c>
      <c r="R1492" s="118">
        <f t="shared" si="37"/>
        <v>35000</v>
      </c>
      <c r="S1492" s="115">
        <v>202304</v>
      </c>
      <c r="T1492" s="191" t="s">
        <v>1946</v>
      </c>
      <c r="U1492" s="186"/>
      <c r="V1492" s="120"/>
      <c r="W1492" s="120"/>
      <c r="X1492" s="116">
        <v>44562</v>
      </c>
      <c r="Y1492" s="116">
        <v>45291</v>
      </c>
    </row>
    <row r="1493" s="85" customFormat="1" customHeight="1" spans="1:25">
      <c r="A1493" s="98" t="s">
        <v>446</v>
      </c>
      <c r="B1493" s="24" t="s">
        <v>62</v>
      </c>
      <c r="C1493" s="98" t="s">
        <v>153</v>
      </c>
      <c r="D1493" s="98" t="s">
        <v>951</v>
      </c>
      <c r="E1493" s="161" t="s">
        <v>1910</v>
      </c>
      <c r="F1493" s="98" t="s">
        <v>1914</v>
      </c>
      <c r="G1493" s="172" t="s">
        <v>88</v>
      </c>
      <c r="H1493" s="100" t="s">
        <v>1912</v>
      </c>
      <c r="I1493" s="46" t="e">
        <f>VLOOKUP(H1493,'合同高级查询数据-4月返'!A:A,1,FALSE)</f>
        <v>#N/A</v>
      </c>
      <c r="J1493" s="160" t="s">
        <v>955</v>
      </c>
      <c r="K1493" s="160" t="s">
        <v>157</v>
      </c>
      <c r="L1493" s="179"/>
      <c r="M1493" s="49" t="s">
        <v>1922</v>
      </c>
      <c r="N1493" s="180">
        <v>43640</v>
      </c>
      <c r="O1493" s="181" t="s">
        <v>163</v>
      </c>
      <c r="P1493" s="182">
        <v>5000</v>
      </c>
      <c r="Q1493" s="182">
        <v>2</v>
      </c>
      <c r="R1493" s="118">
        <f t="shared" si="37"/>
        <v>10000</v>
      </c>
      <c r="S1493" s="115">
        <v>202304</v>
      </c>
      <c r="T1493" s="191" t="s">
        <v>1947</v>
      </c>
      <c r="U1493" s="186"/>
      <c r="V1493" s="120"/>
      <c r="W1493" s="120"/>
      <c r="X1493" s="116">
        <v>44562</v>
      </c>
      <c r="Y1493" s="116">
        <v>45291</v>
      </c>
    </row>
    <row r="1494" s="85" customFormat="1" customHeight="1" spans="1:25">
      <c r="A1494" s="98" t="s">
        <v>446</v>
      </c>
      <c r="B1494" s="24" t="s">
        <v>62</v>
      </c>
      <c r="C1494" s="98" t="s">
        <v>153</v>
      </c>
      <c r="D1494" s="98" t="s">
        <v>951</v>
      </c>
      <c r="E1494" s="161" t="s">
        <v>1910</v>
      </c>
      <c r="F1494" s="98" t="s">
        <v>1914</v>
      </c>
      <c r="G1494" s="172" t="s">
        <v>31</v>
      </c>
      <c r="H1494" s="100" t="s">
        <v>1912</v>
      </c>
      <c r="I1494" s="46" t="e">
        <f>VLOOKUP(H1494,'合同高级查询数据-4月返'!A:A,1,FALSE)</f>
        <v>#N/A</v>
      </c>
      <c r="J1494" s="160" t="s">
        <v>1948</v>
      </c>
      <c r="K1494" s="160" t="s">
        <v>157</v>
      </c>
      <c r="L1494" s="179"/>
      <c r="M1494" s="49"/>
      <c r="N1494" s="180">
        <v>42805</v>
      </c>
      <c r="O1494" s="181"/>
      <c r="P1494" s="182">
        <v>10</v>
      </c>
      <c r="Q1494" s="182">
        <v>1024</v>
      </c>
      <c r="R1494" s="118">
        <f t="shared" si="37"/>
        <v>10240</v>
      </c>
      <c r="S1494" s="115">
        <v>202304</v>
      </c>
      <c r="T1494" s="186"/>
      <c r="U1494" s="186"/>
      <c r="V1494" s="120"/>
      <c r="W1494" s="120"/>
      <c r="X1494" s="116">
        <v>44562</v>
      </c>
      <c r="Y1494" s="116">
        <v>45291</v>
      </c>
    </row>
    <row r="1495" s="85" customFormat="1" customHeight="1" spans="1:25">
      <c r="A1495" s="98" t="s">
        <v>446</v>
      </c>
      <c r="B1495" s="24" t="s">
        <v>62</v>
      </c>
      <c r="C1495" s="98" t="s">
        <v>153</v>
      </c>
      <c r="D1495" s="98" t="s">
        <v>951</v>
      </c>
      <c r="E1495" s="161" t="s">
        <v>1910</v>
      </c>
      <c r="F1495" s="98" t="s">
        <v>1914</v>
      </c>
      <c r="G1495" s="172" t="s">
        <v>31</v>
      </c>
      <c r="H1495" s="100" t="s">
        <v>1912</v>
      </c>
      <c r="I1495" s="46" t="e">
        <f>VLOOKUP(H1495,'合同高级查询数据-4月返'!A:A,1,FALSE)</f>
        <v>#N/A</v>
      </c>
      <c r="J1495" s="160" t="s">
        <v>1948</v>
      </c>
      <c r="K1495" s="160" t="s">
        <v>157</v>
      </c>
      <c r="L1495" s="179"/>
      <c r="M1495" s="49"/>
      <c r="N1495" s="180">
        <v>43770</v>
      </c>
      <c r="O1495" s="181"/>
      <c r="P1495" s="182">
        <v>10</v>
      </c>
      <c r="Q1495" s="182">
        <v>1024</v>
      </c>
      <c r="R1495" s="118">
        <f t="shared" si="37"/>
        <v>10240</v>
      </c>
      <c r="S1495" s="115">
        <v>202304</v>
      </c>
      <c r="T1495" s="186"/>
      <c r="U1495" s="186"/>
      <c r="V1495" s="120"/>
      <c r="W1495" s="120"/>
      <c r="X1495" s="116">
        <v>44562</v>
      </c>
      <c r="Y1495" s="116">
        <v>45291</v>
      </c>
    </row>
    <row r="1496" s="85" customFormat="1" customHeight="1" spans="1:25">
      <c r="A1496" s="98" t="s">
        <v>446</v>
      </c>
      <c r="B1496" s="24" t="s">
        <v>62</v>
      </c>
      <c r="C1496" s="98" t="s">
        <v>153</v>
      </c>
      <c r="D1496" s="98" t="s">
        <v>951</v>
      </c>
      <c r="E1496" s="161" t="s">
        <v>1910</v>
      </c>
      <c r="F1496" s="98" t="s">
        <v>1914</v>
      </c>
      <c r="G1496" s="172" t="s">
        <v>67</v>
      </c>
      <c r="H1496" s="100" t="s">
        <v>1912</v>
      </c>
      <c r="I1496" s="46" t="e">
        <f>VLOOKUP(H1496,'合同高级查询数据-4月返'!A:A,1,FALSE)</f>
        <v>#N/A</v>
      </c>
      <c r="J1496" s="160" t="s">
        <v>69</v>
      </c>
      <c r="K1496" s="160" t="s">
        <v>1949</v>
      </c>
      <c r="L1496" s="179"/>
      <c r="M1496" s="49"/>
      <c r="N1496" s="180">
        <v>44062</v>
      </c>
      <c r="O1496" s="181" t="s">
        <v>71</v>
      </c>
      <c r="P1496" s="182">
        <v>500</v>
      </c>
      <c r="Q1496" s="105">
        <v>26.1</v>
      </c>
      <c r="R1496" s="118">
        <f t="shared" si="37"/>
        <v>13050</v>
      </c>
      <c r="S1496" s="115">
        <v>202304</v>
      </c>
      <c r="T1496" s="186" t="s">
        <v>1950</v>
      </c>
      <c r="U1496" s="186"/>
      <c r="V1496" s="120"/>
      <c r="W1496" s="120"/>
      <c r="X1496" s="116">
        <v>44562</v>
      </c>
      <c r="Y1496" s="116">
        <v>45291</v>
      </c>
    </row>
    <row r="1497" s="85" customFormat="1" customHeight="1" spans="1:25">
      <c r="A1497" s="98" t="s">
        <v>446</v>
      </c>
      <c r="B1497" s="24" t="s">
        <v>62</v>
      </c>
      <c r="C1497" s="98" t="s">
        <v>153</v>
      </c>
      <c r="D1497" s="98" t="s">
        <v>951</v>
      </c>
      <c r="E1497" s="161" t="s">
        <v>1910</v>
      </c>
      <c r="F1497" s="98" t="s">
        <v>1914</v>
      </c>
      <c r="G1497" s="172" t="s">
        <v>31</v>
      </c>
      <c r="H1497" s="100" t="s">
        <v>1912</v>
      </c>
      <c r="I1497" s="46" t="e">
        <f>VLOOKUP(H1497,'合同高级查询数据-4月返'!A:A,1,FALSE)</f>
        <v>#N/A</v>
      </c>
      <c r="J1497" s="160" t="s">
        <v>33</v>
      </c>
      <c r="K1497" s="160" t="s">
        <v>1949</v>
      </c>
      <c r="L1497" s="25" t="s">
        <v>1915</v>
      </c>
      <c r="M1497" s="49" t="s">
        <v>1951</v>
      </c>
      <c r="N1497" s="180">
        <v>44176</v>
      </c>
      <c r="O1497" s="181"/>
      <c r="P1497" s="182">
        <v>0</v>
      </c>
      <c r="Q1497" s="182">
        <v>128</v>
      </c>
      <c r="R1497" s="118">
        <f t="shared" si="37"/>
        <v>0</v>
      </c>
      <c r="S1497" s="115">
        <v>202304</v>
      </c>
      <c r="T1497" s="186" t="s">
        <v>1952</v>
      </c>
      <c r="U1497" s="186"/>
      <c r="V1497" s="120"/>
      <c r="W1497" s="120"/>
      <c r="X1497" s="116">
        <v>44562</v>
      </c>
      <c r="Y1497" s="116">
        <v>45291</v>
      </c>
    </row>
    <row r="1498" s="85" customFormat="1" customHeight="1" spans="1:25">
      <c r="A1498" s="98" t="s">
        <v>446</v>
      </c>
      <c r="B1498" s="24" t="s">
        <v>62</v>
      </c>
      <c r="C1498" s="98" t="s">
        <v>153</v>
      </c>
      <c r="D1498" s="98" t="s">
        <v>951</v>
      </c>
      <c r="E1498" s="161" t="s">
        <v>1910</v>
      </c>
      <c r="F1498" s="98" t="s">
        <v>1914</v>
      </c>
      <c r="G1498" s="172" t="s">
        <v>31</v>
      </c>
      <c r="H1498" s="100" t="s">
        <v>1912</v>
      </c>
      <c r="I1498" s="46" t="e">
        <f>VLOOKUP(H1498,'合同高级查询数据-4月返'!A:A,1,FALSE)</f>
        <v>#N/A</v>
      </c>
      <c r="J1498" s="160" t="s">
        <v>33</v>
      </c>
      <c r="K1498" s="160" t="s">
        <v>157</v>
      </c>
      <c r="L1498" s="25" t="s">
        <v>1915</v>
      </c>
      <c r="M1498" s="49"/>
      <c r="N1498" s="180">
        <v>44562</v>
      </c>
      <c r="O1498" s="181" t="s">
        <v>37</v>
      </c>
      <c r="P1498" s="182">
        <v>0</v>
      </c>
      <c r="Q1498" s="182">
        <v>128</v>
      </c>
      <c r="R1498" s="118">
        <f t="shared" si="37"/>
        <v>0</v>
      </c>
      <c r="S1498" s="115">
        <v>202304</v>
      </c>
      <c r="T1498" s="186" t="s">
        <v>1953</v>
      </c>
      <c r="U1498" s="186"/>
      <c r="V1498" s="120"/>
      <c r="W1498" s="120"/>
      <c r="X1498" s="116">
        <v>44562</v>
      </c>
      <c r="Y1498" s="116">
        <v>45291</v>
      </c>
    </row>
    <row r="1499" s="85" customFormat="1" customHeight="1" spans="1:25">
      <c r="A1499" s="98" t="s">
        <v>446</v>
      </c>
      <c r="B1499" s="24" t="s">
        <v>62</v>
      </c>
      <c r="C1499" s="98" t="s">
        <v>153</v>
      </c>
      <c r="D1499" s="98" t="s">
        <v>951</v>
      </c>
      <c r="E1499" s="161" t="s">
        <v>1910</v>
      </c>
      <c r="F1499" s="98" t="s">
        <v>1914</v>
      </c>
      <c r="G1499" s="172" t="s">
        <v>31</v>
      </c>
      <c r="H1499" s="100" t="s">
        <v>1912</v>
      </c>
      <c r="I1499" s="46" t="e">
        <f>VLOOKUP(H1499,'合同高级查询数据-4月返'!A:A,1,FALSE)</f>
        <v>#N/A</v>
      </c>
      <c r="J1499" s="160" t="s">
        <v>33</v>
      </c>
      <c r="K1499" s="160" t="s">
        <v>157</v>
      </c>
      <c r="L1499" s="25" t="s">
        <v>1915</v>
      </c>
      <c r="M1499" s="49" t="s">
        <v>1954</v>
      </c>
      <c r="N1499" s="180">
        <v>44651</v>
      </c>
      <c r="O1499" s="181" t="s">
        <v>37</v>
      </c>
      <c r="P1499" s="182">
        <v>0</v>
      </c>
      <c r="Q1499" s="182">
        <v>-128</v>
      </c>
      <c r="R1499" s="118">
        <f t="shared" si="37"/>
        <v>0</v>
      </c>
      <c r="S1499" s="115">
        <v>202304</v>
      </c>
      <c r="T1499" s="186" t="s">
        <v>1955</v>
      </c>
      <c r="U1499" s="186"/>
      <c r="V1499" s="120"/>
      <c r="W1499" s="120"/>
      <c r="X1499" s="116">
        <v>44562</v>
      </c>
      <c r="Y1499" s="116">
        <v>45291</v>
      </c>
    </row>
    <row r="1500" s="85" customFormat="1" customHeight="1" spans="1:25">
      <c r="A1500" s="98" t="s">
        <v>446</v>
      </c>
      <c r="B1500" s="24" t="s">
        <v>62</v>
      </c>
      <c r="C1500" s="98" t="s">
        <v>153</v>
      </c>
      <c r="D1500" s="98" t="s">
        <v>951</v>
      </c>
      <c r="E1500" s="161" t="s">
        <v>1910</v>
      </c>
      <c r="F1500" s="98" t="s">
        <v>1914</v>
      </c>
      <c r="G1500" s="172" t="s">
        <v>88</v>
      </c>
      <c r="H1500" s="100" t="s">
        <v>1912</v>
      </c>
      <c r="I1500" s="46" t="e">
        <f>VLOOKUP(H1500,'合同高级查询数据-4月返'!A:A,1,FALSE)</f>
        <v>#N/A</v>
      </c>
      <c r="J1500" s="160" t="s">
        <v>955</v>
      </c>
      <c r="K1500" s="160" t="s">
        <v>1956</v>
      </c>
      <c r="L1500" s="179"/>
      <c r="M1500" s="49" t="s">
        <v>1922</v>
      </c>
      <c r="N1500" s="180">
        <v>44317</v>
      </c>
      <c r="O1500" s="181" t="s">
        <v>566</v>
      </c>
      <c r="P1500" s="182">
        <v>10000</v>
      </c>
      <c r="Q1500" s="182">
        <v>1</v>
      </c>
      <c r="R1500" s="118">
        <f t="shared" si="37"/>
        <v>10000</v>
      </c>
      <c r="S1500" s="115">
        <v>202304</v>
      </c>
      <c r="T1500" s="186" t="s">
        <v>1957</v>
      </c>
      <c r="U1500" s="186"/>
      <c r="V1500" s="120"/>
      <c r="W1500" s="120"/>
      <c r="X1500" s="116">
        <v>44562</v>
      </c>
      <c r="Y1500" s="116">
        <v>45291</v>
      </c>
    </row>
    <row r="1501" s="85" customFormat="1" customHeight="1" spans="1:25">
      <c r="A1501" s="98" t="s">
        <v>446</v>
      </c>
      <c r="B1501" s="24" t="s">
        <v>62</v>
      </c>
      <c r="C1501" s="98" t="s">
        <v>153</v>
      </c>
      <c r="D1501" s="98" t="s">
        <v>951</v>
      </c>
      <c r="E1501" s="161" t="s">
        <v>1910</v>
      </c>
      <c r="F1501" s="98" t="s">
        <v>1914</v>
      </c>
      <c r="G1501" s="172" t="s">
        <v>88</v>
      </c>
      <c r="H1501" s="100" t="s">
        <v>1912</v>
      </c>
      <c r="I1501" s="46" t="e">
        <f>VLOOKUP(H1501,'合同高级查询数据-4月返'!A:A,1,FALSE)</f>
        <v>#N/A</v>
      </c>
      <c r="J1501" s="160" t="s">
        <v>162</v>
      </c>
      <c r="K1501" s="160" t="s">
        <v>1956</v>
      </c>
      <c r="L1501" s="179" t="s">
        <v>1958</v>
      </c>
      <c r="M1501" s="49" t="s">
        <v>1916</v>
      </c>
      <c r="N1501" s="180">
        <v>44470</v>
      </c>
      <c r="O1501" s="181" t="s">
        <v>163</v>
      </c>
      <c r="P1501" s="182">
        <v>0</v>
      </c>
      <c r="Q1501" s="182">
        <v>22</v>
      </c>
      <c r="R1501" s="118">
        <f t="shared" si="37"/>
        <v>0</v>
      </c>
      <c r="S1501" s="115">
        <v>202304</v>
      </c>
      <c r="T1501" s="186" t="s">
        <v>1959</v>
      </c>
      <c r="U1501" s="186"/>
      <c r="V1501" s="120"/>
      <c r="W1501" s="120"/>
      <c r="X1501" s="116">
        <v>44562</v>
      </c>
      <c r="Y1501" s="116">
        <v>45291</v>
      </c>
    </row>
    <row r="1502" s="85" customFormat="1" customHeight="1" spans="1:25">
      <c r="A1502" s="98" t="s">
        <v>446</v>
      </c>
      <c r="B1502" s="24" t="s">
        <v>62</v>
      </c>
      <c r="C1502" s="98" t="s">
        <v>153</v>
      </c>
      <c r="D1502" s="98" t="s">
        <v>951</v>
      </c>
      <c r="E1502" s="161" t="s">
        <v>1910</v>
      </c>
      <c r="F1502" s="98" t="s">
        <v>1914</v>
      </c>
      <c r="G1502" s="172" t="s">
        <v>88</v>
      </c>
      <c r="H1502" s="100" t="s">
        <v>1912</v>
      </c>
      <c r="I1502" s="46" t="e">
        <f>VLOOKUP(H1502,'合同高级查询数据-4月返'!A:A,1,FALSE)</f>
        <v>#N/A</v>
      </c>
      <c r="J1502" s="160" t="s">
        <v>162</v>
      </c>
      <c r="K1502" s="160" t="s">
        <v>1956</v>
      </c>
      <c r="L1502" s="179" t="s">
        <v>1958</v>
      </c>
      <c r="M1502" s="49" t="s">
        <v>1916</v>
      </c>
      <c r="N1502" s="180">
        <v>44530</v>
      </c>
      <c r="O1502" s="181" t="s">
        <v>163</v>
      </c>
      <c r="P1502" s="182">
        <v>0</v>
      </c>
      <c r="Q1502" s="182">
        <v>-22</v>
      </c>
      <c r="R1502" s="118">
        <f t="shared" si="37"/>
        <v>0</v>
      </c>
      <c r="S1502" s="115">
        <v>202304</v>
      </c>
      <c r="T1502" s="186" t="s">
        <v>1960</v>
      </c>
      <c r="U1502" s="186"/>
      <c r="V1502" s="120"/>
      <c r="W1502" s="120"/>
      <c r="X1502" s="116">
        <v>44562</v>
      </c>
      <c r="Y1502" s="116">
        <v>45291</v>
      </c>
    </row>
    <row r="1503" s="85" customFormat="1" customHeight="1" spans="1:25">
      <c r="A1503" s="98" t="s">
        <v>446</v>
      </c>
      <c r="B1503" s="24" t="s">
        <v>62</v>
      </c>
      <c r="C1503" s="98" t="s">
        <v>153</v>
      </c>
      <c r="D1503" s="98" t="s">
        <v>951</v>
      </c>
      <c r="E1503" s="161" t="s">
        <v>1910</v>
      </c>
      <c r="F1503" s="98" t="s">
        <v>1914</v>
      </c>
      <c r="G1503" s="172" t="s">
        <v>67</v>
      </c>
      <c r="H1503" s="100" t="s">
        <v>1912</v>
      </c>
      <c r="I1503" s="46" t="e">
        <f>VLOOKUP(H1503,'合同高级查询数据-4月返'!A:A,1,FALSE)</f>
        <v>#N/A</v>
      </c>
      <c r="J1503" s="160" t="s">
        <v>69</v>
      </c>
      <c r="K1503" s="160" t="s">
        <v>1961</v>
      </c>
      <c r="L1503" s="179"/>
      <c r="M1503" s="49"/>
      <c r="N1503" s="180">
        <v>44621</v>
      </c>
      <c r="O1503" s="181" t="s">
        <v>71</v>
      </c>
      <c r="P1503" s="182">
        <v>2000</v>
      </c>
      <c r="Q1503" s="105">
        <v>1</v>
      </c>
      <c r="R1503" s="118">
        <f t="shared" si="37"/>
        <v>2000</v>
      </c>
      <c r="S1503" s="115">
        <v>202304</v>
      </c>
      <c r="T1503" s="186" t="s">
        <v>1962</v>
      </c>
      <c r="U1503" s="186"/>
      <c r="V1503" s="120"/>
      <c r="W1503" s="120"/>
      <c r="X1503" s="116">
        <v>44562</v>
      </c>
      <c r="Y1503" s="116">
        <v>45291</v>
      </c>
    </row>
    <row r="1504" s="85" customFormat="1" customHeight="1" spans="1:25">
      <c r="A1504" s="98" t="s">
        <v>446</v>
      </c>
      <c r="B1504" s="24" t="s">
        <v>62</v>
      </c>
      <c r="C1504" s="98" t="s">
        <v>153</v>
      </c>
      <c r="D1504" s="98" t="s">
        <v>951</v>
      </c>
      <c r="E1504" s="161" t="s">
        <v>1910</v>
      </c>
      <c r="F1504" s="98" t="s">
        <v>1914</v>
      </c>
      <c r="G1504" s="172" t="s">
        <v>67</v>
      </c>
      <c r="H1504" s="100" t="s">
        <v>1912</v>
      </c>
      <c r="I1504" s="46" t="e">
        <f>VLOOKUP(H1504,'合同高级查询数据-4月返'!A:A,1,FALSE)</f>
        <v>#N/A</v>
      </c>
      <c r="J1504" s="160" t="s">
        <v>69</v>
      </c>
      <c r="K1504" s="160" t="s">
        <v>1961</v>
      </c>
      <c r="L1504" s="179"/>
      <c r="M1504" s="49"/>
      <c r="N1504" s="180">
        <v>44621</v>
      </c>
      <c r="O1504" s="181" t="s">
        <v>71</v>
      </c>
      <c r="P1504" s="182">
        <v>2000</v>
      </c>
      <c r="Q1504" s="105">
        <v>1</v>
      </c>
      <c r="R1504" s="118">
        <f t="shared" si="37"/>
        <v>2000</v>
      </c>
      <c r="S1504" s="115">
        <v>202304</v>
      </c>
      <c r="T1504" s="186" t="s">
        <v>1962</v>
      </c>
      <c r="U1504" s="186"/>
      <c r="V1504" s="120"/>
      <c r="W1504" s="120"/>
      <c r="X1504" s="116">
        <v>44562</v>
      </c>
      <c r="Y1504" s="116">
        <v>45291</v>
      </c>
    </row>
    <row r="1505" s="85" customFormat="1" customHeight="1" spans="1:25">
      <c r="A1505" s="98" t="s">
        <v>446</v>
      </c>
      <c r="B1505" s="24" t="s">
        <v>62</v>
      </c>
      <c r="C1505" s="98" t="s">
        <v>153</v>
      </c>
      <c r="D1505" s="98" t="s">
        <v>951</v>
      </c>
      <c r="E1505" s="161" t="s">
        <v>1910</v>
      </c>
      <c r="F1505" s="98" t="s">
        <v>1914</v>
      </c>
      <c r="G1505" s="172" t="s">
        <v>88</v>
      </c>
      <c r="H1505" s="100" t="s">
        <v>1912</v>
      </c>
      <c r="I1505" s="46" t="e">
        <f>VLOOKUP(H1505,'合同高级查询数据-4月返'!A:A,1,FALSE)</f>
        <v>#N/A</v>
      </c>
      <c r="J1505" s="160" t="s">
        <v>162</v>
      </c>
      <c r="K1505" s="160" t="s">
        <v>157</v>
      </c>
      <c r="L1505" s="25" t="s">
        <v>1963</v>
      </c>
      <c r="M1505" s="49" t="s">
        <v>1964</v>
      </c>
      <c r="N1505" s="260">
        <v>44866</v>
      </c>
      <c r="O1505" s="181" t="s">
        <v>1535</v>
      </c>
      <c r="P1505" s="182">
        <v>4000</v>
      </c>
      <c r="Q1505" s="105">
        <v>2</v>
      </c>
      <c r="R1505" s="118">
        <f t="shared" si="37"/>
        <v>8000</v>
      </c>
      <c r="S1505" s="115">
        <v>202304</v>
      </c>
      <c r="T1505" s="186" t="s">
        <v>1965</v>
      </c>
      <c r="U1505" s="186"/>
      <c r="V1505" s="120"/>
      <c r="W1505" s="120"/>
      <c r="X1505" s="116">
        <v>44562</v>
      </c>
      <c r="Y1505" s="116">
        <v>45291</v>
      </c>
    </row>
    <row r="1506" s="86" customFormat="1" customHeight="1" spans="1:25">
      <c r="A1506" s="135" t="s">
        <v>446</v>
      </c>
      <c r="B1506" s="11" t="s">
        <v>62</v>
      </c>
      <c r="C1506" s="135" t="s">
        <v>153</v>
      </c>
      <c r="D1506" s="135" t="s">
        <v>951</v>
      </c>
      <c r="E1506" s="170" t="s">
        <v>1910</v>
      </c>
      <c r="F1506" s="135" t="s">
        <v>1914</v>
      </c>
      <c r="G1506" s="171" t="s">
        <v>31</v>
      </c>
      <c r="H1506" s="103" t="s">
        <v>1966</v>
      </c>
      <c r="I1506" s="30" t="e">
        <f>VLOOKUP(H1506,'合同高级查询数据-4月返'!A:A,1,FALSE)</f>
        <v>#N/A</v>
      </c>
      <c r="J1506" s="134" t="s">
        <v>33</v>
      </c>
      <c r="K1506" s="134" t="s">
        <v>1949</v>
      </c>
      <c r="L1506" s="174" t="s">
        <v>1958</v>
      </c>
      <c r="M1506" s="113" t="s">
        <v>1916</v>
      </c>
      <c r="N1506" s="175">
        <v>44470</v>
      </c>
      <c r="O1506" s="176"/>
      <c r="P1506" s="177">
        <v>0</v>
      </c>
      <c r="Q1506" s="177">
        <v>544</v>
      </c>
      <c r="R1506" s="130">
        <f t="shared" si="37"/>
        <v>0</v>
      </c>
      <c r="S1506" s="127">
        <v>202304</v>
      </c>
      <c r="T1506" s="211" t="s">
        <v>1967</v>
      </c>
      <c r="U1506" s="211"/>
      <c r="V1506" s="159"/>
      <c r="W1506" s="159"/>
      <c r="X1506" s="131"/>
      <c r="Y1506" s="131"/>
    </row>
    <row r="1507" s="86" customFormat="1" customHeight="1" spans="1:25">
      <c r="A1507" s="135" t="s">
        <v>446</v>
      </c>
      <c r="B1507" s="11" t="s">
        <v>62</v>
      </c>
      <c r="C1507" s="135" t="s">
        <v>153</v>
      </c>
      <c r="D1507" s="135" t="s">
        <v>951</v>
      </c>
      <c r="E1507" s="170" t="s">
        <v>1910</v>
      </c>
      <c r="F1507" s="135" t="s">
        <v>1914</v>
      </c>
      <c r="G1507" s="171" t="s">
        <v>31</v>
      </c>
      <c r="H1507" s="103" t="s">
        <v>1966</v>
      </c>
      <c r="I1507" s="30" t="e">
        <f>VLOOKUP(H1507,'合同高级查询数据-4月返'!A:A,1,FALSE)</f>
        <v>#N/A</v>
      </c>
      <c r="J1507" s="134" t="s">
        <v>33</v>
      </c>
      <c r="K1507" s="134" t="s">
        <v>1949</v>
      </c>
      <c r="L1507" s="174" t="s">
        <v>1958</v>
      </c>
      <c r="M1507" s="113" t="s">
        <v>1916</v>
      </c>
      <c r="N1507" s="175">
        <v>44530</v>
      </c>
      <c r="O1507" s="176"/>
      <c r="P1507" s="177">
        <v>0</v>
      </c>
      <c r="Q1507" s="177">
        <v>-544</v>
      </c>
      <c r="R1507" s="130">
        <f t="shared" si="37"/>
        <v>0</v>
      </c>
      <c r="S1507" s="127">
        <v>202304</v>
      </c>
      <c r="T1507" s="211" t="s">
        <v>1968</v>
      </c>
      <c r="U1507" s="211"/>
      <c r="V1507" s="159"/>
      <c r="W1507" s="159"/>
      <c r="X1507" s="131"/>
      <c r="Y1507" s="131"/>
    </row>
    <row r="1508" s="86" customFormat="1" customHeight="1" spans="1:25">
      <c r="A1508" s="135" t="s">
        <v>446</v>
      </c>
      <c r="B1508" s="11" t="s">
        <v>62</v>
      </c>
      <c r="C1508" s="135" t="s">
        <v>153</v>
      </c>
      <c r="D1508" s="135" t="s">
        <v>951</v>
      </c>
      <c r="E1508" s="170" t="s">
        <v>1910</v>
      </c>
      <c r="F1508" s="135" t="s">
        <v>1914</v>
      </c>
      <c r="G1508" s="171" t="s">
        <v>88</v>
      </c>
      <c r="H1508" s="103" t="s">
        <v>1969</v>
      </c>
      <c r="I1508" s="30" t="e">
        <f>VLOOKUP(H1508,'合同高级查询数据-4月返'!A:A,1,FALSE)</f>
        <v>#N/A</v>
      </c>
      <c r="J1508" s="134" t="s">
        <v>162</v>
      </c>
      <c r="K1508" s="134" t="s">
        <v>157</v>
      </c>
      <c r="L1508" s="110" t="s">
        <v>1970</v>
      </c>
      <c r="M1508" s="113" t="s">
        <v>1951</v>
      </c>
      <c r="N1508" s="261">
        <v>44743</v>
      </c>
      <c r="O1508" s="176" t="s">
        <v>163</v>
      </c>
      <c r="P1508" s="177">
        <v>0</v>
      </c>
      <c r="Q1508" s="112">
        <v>3</v>
      </c>
      <c r="R1508" s="130">
        <f t="shared" si="37"/>
        <v>0</v>
      </c>
      <c r="S1508" s="127">
        <v>202304</v>
      </c>
      <c r="T1508" s="211" t="s">
        <v>1971</v>
      </c>
      <c r="U1508" s="211"/>
      <c r="V1508" s="159"/>
      <c r="W1508" s="159"/>
      <c r="X1508" s="131"/>
      <c r="Y1508" s="131"/>
    </row>
    <row r="1509" s="86" customFormat="1" customHeight="1" spans="1:25">
      <c r="A1509" s="135" t="s">
        <v>446</v>
      </c>
      <c r="B1509" s="11" t="s">
        <v>62</v>
      </c>
      <c r="C1509" s="135" t="s">
        <v>153</v>
      </c>
      <c r="D1509" s="135" t="s">
        <v>951</v>
      </c>
      <c r="E1509" s="170" t="s">
        <v>1910</v>
      </c>
      <c r="F1509" s="135" t="s">
        <v>1914</v>
      </c>
      <c r="G1509" s="171" t="s">
        <v>88</v>
      </c>
      <c r="H1509" s="103" t="s">
        <v>1969</v>
      </c>
      <c r="I1509" s="30" t="e">
        <f>VLOOKUP(H1509,'合同高级查询数据-4月返'!A:A,1,FALSE)</f>
        <v>#N/A</v>
      </c>
      <c r="J1509" s="134" t="s">
        <v>162</v>
      </c>
      <c r="K1509" s="134" t="s">
        <v>157</v>
      </c>
      <c r="L1509" s="110" t="s">
        <v>1970</v>
      </c>
      <c r="M1509" s="113" t="s">
        <v>1951</v>
      </c>
      <c r="N1509" s="261">
        <v>45017</v>
      </c>
      <c r="O1509" s="176" t="s">
        <v>163</v>
      </c>
      <c r="P1509" s="177">
        <v>0</v>
      </c>
      <c r="Q1509" s="112">
        <v>1</v>
      </c>
      <c r="R1509" s="130">
        <f t="shared" si="37"/>
        <v>0</v>
      </c>
      <c r="S1509" s="127">
        <v>202304</v>
      </c>
      <c r="T1509" s="262" t="s">
        <v>1972</v>
      </c>
      <c r="U1509" s="211"/>
      <c r="V1509" s="159"/>
      <c r="W1509" s="159"/>
      <c r="X1509" s="131"/>
      <c r="Y1509" s="131"/>
    </row>
    <row r="1510" s="86" customFormat="1" customHeight="1" spans="1:25">
      <c r="A1510" s="135" t="s">
        <v>446</v>
      </c>
      <c r="B1510" s="11" t="s">
        <v>62</v>
      </c>
      <c r="C1510" s="135" t="s">
        <v>153</v>
      </c>
      <c r="D1510" s="135" t="s">
        <v>951</v>
      </c>
      <c r="E1510" s="170" t="s">
        <v>1910</v>
      </c>
      <c r="F1510" s="135" t="s">
        <v>1914</v>
      </c>
      <c r="G1510" s="171" t="s">
        <v>31</v>
      </c>
      <c r="H1510" s="103" t="s">
        <v>1969</v>
      </c>
      <c r="I1510" s="30" t="e">
        <f>VLOOKUP(H1510,'合同高级查询数据-4月返'!A:A,1,FALSE)</f>
        <v>#N/A</v>
      </c>
      <c r="J1510" s="134" t="s">
        <v>33</v>
      </c>
      <c r="K1510" s="134" t="s">
        <v>157</v>
      </c>
      <c r="L1510" s="110" t="s">
        <v>1970</v>
      </c>
      <c r="M1510" s="113"/>
      <c r="N1510" s="261">
        <v>44743</v>
      </c>
      <c r="O1510" s="176" t="s">
        <v>37</v>
      </c>
      <c r="P1510" s="177">
        <v>0</v>
      </c>
      <c r="Q1510" s="112">
        <v>288</v>
      </c>
      <c r="R1510" s="130">
        <f t="shared" si="37"/>
        <v>0</v>
      </c>
      <c r="S1510" s="127">
        <v>202304</v>
      </c>
      <c r="T1510" s="211" t="s">
        <v>1973</v>
      </c>
      <c r="U1510" s="211"/>
      <c r="V1510" s="159"/>
      <c r="W1510" s="159"/>
      <c r="X1510" s="131"/>
      <c r="Y1510" s="131"/>
    </row>
    <row r="1511" s="86" customFormat="1" customHeight="1" spans="1:25">
      <c r="A1511" s="135" t="s">
        <v>446</v>
      </c>
      <c r="B1511" s="11" t="s">
        <v>62</v>
      </c>
      <c r="C1511" s="135" t="s">
        <v>153</v>
      </c>
      <c r="D1511" s="135" t="s">
        <v>951</v>
      </c>
      <c r="E1511" s="170" t="s">
        <v>1910</v>
      </c>
      <c r="F1511" s="135" t="s">
        <v>1914</v>
      </c>
      <c r="G1511" s="171" t="s">
        <v>31</v>
      </c>
      <c r="H1511" s="103" t="s">
        <v>1974</v>
      </c>
      <c r="I1511" s="30" t="e">
        <f>VLOOKUP(H1511,'合同高级查询数据-4月返'!A:A,1,FALSE)</f>
        <v>#N/A</v>
      </c>
      <c r="J1511" s="134" t="s">
        <v>33</v>
      </c>
      <c r="K1511" s="134" t="s">
        <v>157</v>
      </c>
      <c r="L1511" s="110" t="s">
        <v>1963</v>
      </c>
      <c r="M1511" s="113"/>
      <c r="N1511" s="261">
        <v>44866</v>
      </c>
      <c r="O1511" s="176" t="s">
        <v>37</v>
      </c>
      <c r="P1511" s="177">
        <v>0</v>
      </c>
      <c r="Q1511" s="112">
        <v>2560</v>
      </c>
      <c r="R1511" s="130">
        <f t="shared" si="37"/>
        <v>0</v>
      </c>
      <c r="S1511" s="127">
        <v>202304</v>
      </c>
      <c r="T1511" s="211" t="s">
        <v>1975</v>
      </c>
      <c r="U1511" s="211"/>
      <c r="V1511" s="159"/>
      <c r="W1511" s="159"/>
      <c r="X1511" s="131"/>
      <c r="Y1511" s="131"/>
    </row>
    <row r="1512" s="85" customFormat="1" customHeight="1" spans="1:25">
      <c r="A1512" s="160" t="s">
        <v>446</v>
      </c>
      <c r="B1512" s="98" t="s">
        <v>62</v>
      </c>
      <c r="C1512" s="160" t="s">
        <v>238</v>
      </c>
      <c r="D1512" s="98" t="s">
        <v>642</v>
      </c>
      <c r="E1512" s="162" t="s">
        <v>1976</v>
      </c>
      <c r="F1512" s="160" t="s">
        <v>1977</v>
      </c>
      <c r="G1512" s="107" t="s">
        <v>346</v>
      </c>
      <c r="H1512" s="99" t="s">
        <v>1978</v>
      </c>
      <c r="I1512" s="46" t="e">
        <f>VLOOKUP(H1512,'合同高级查询数据-4月返'!A:A,1,FALSE)</f>
        <v>#N/A</v>
      </c>
      <c r="J1512" s="178" t="s">
        <v>346</v>
      </c>
      <c r="K1512" s="107" t="s">
        <v>1979</v>
      </c>
      <c r="L1512" s="107"/>
      <c r="M1512" s="49"/>
      <c r="N1512" s="73">
        <v>44166</v>
      </c>
      <c r="O1512" s="73" t="s">
        <v>1980</v>
      </c>
      <c r="P1512" s="164">
        <v>400000</v>
      </c>
      <c r="Q1512" s="118">
        <v>1</v>
      </c>
      <c r="R1512" s="118">
        <f t="shared" si="37"/>
        <v>400000</v>
      </c>
      <c r="S1512" s="115">
        <v>202304</v>
      </c>
      <c r="T1512" s="187" t="s">
        <v>1981</v>
      </c>
      <c r="U1512" s="248"/>
      <c r="V1512" s="165"/>
      <c r="W1512" s="165"/>
      <c r="X1512" s="116">
        <v>43647</v>
      </c>
      <c r="Y1512" s="116">
        <v>45107</v>
      </c>
    </row>
    <row r="1513" s="86" customFormat="1" customHeight="1" spans="1:25">
      <c r="A1513" s="35" t="s">
        <v>446</v>
      </c>
      <c r="B1513" s="135" t="s">
        <v>62</v>
      </c>
      <c r="C1513" s="11" t="s">
        <v>238</v>
      </c>
      <c r="D1513" s="11" t="s">
        <v>642</v>
      </c>
      <c r="E1513" s="30" t="s">
        <v>1982</v>
      </c>
      <c r="F1513" s="35" t="s">
        <v>1983</v>
      </c>
      <c r="G1513" s="35" t="s">
        <v>31</v>
      </c>
      <c r="H1513" s="103" t="s">
        <v>1984</v>
      </c>
      <c r="I1513" s="30" t="e">
        <f>VLOOKUP(H1513,'合同高级查询数据-4月返'!A:A,1,FALSE)</f>
        <v>#N/A</v>
      </c>
      <c r="J1513" s="155" t="s">
        <v>33</v>
      </c>
      <c r="K1513" s="35" t="s">
        <v>1303</v>
      </c>
      <c r="L1513" s="110" t="s">
        <v>1985</v>
      </c>
      <c r="M1513" s="35" t="s">
        <v>1305</v>
      </c>
      <c r="N1513" s="111">
        <v>44958</v>
      </c>
      <c r="O1513" s="35"/>
      <c r="P1513" s="125">
        <v>0</v>
      </c>
      <c r="Q1513" s="112">
        <v>160</v>
      </c>
      <c r="R1513" s="126">
        <f t="shared" si="37"/>
        <v>0</v>
      </c>
      <c r="S1513" s="127">
        <v>202304</v>
      </c>
      <c r="T1513" s="150" t="s">
        <v>1986</v>
      </c>
      <c r="U1513" s="150"/>
      <c r="V1513" s="225"/>
      <c r="W1513" s="225"/>
      <c r="X1513" s="131"/>
      <c r="Y1513" s="131"/>
    </row>
    <row r="1514" s="85" customFormat="1" customHeight="1" spans="1:25">
      <c r="A1514" s="98" t="s">
        <v>446</v>
      </c>
      <c r="B1514" s="98" t="s">
        <v>62</v>
      </c>
      <c r="C1514" s="160" t="s">
        <v>1987</v>
      </c>
      <c r="D1514" s="98" t="s">
        <v>642</v>
      </c>
      <c r="E1514" s="161" t="s">
        <v>1988</v>
      </c>
      <c r="F1514" s="98" t="s">
        <v>1989</v>
      </c>
      <c r="G1514" s="25" t="s">
        <v>346</v>
      </c>
      <c r="H1514" s="100" t="s">
        <v>1990</v>
      </c>
      <c r="I1514" s="46" t="e">
        <f>VLOOKUP(H1514,'合同高级查询数据-4月返'!A:A,1,FALSE)</f>
        <v>#N/A</v>
      </c>
      <c r="J1514" s="25" t="s">
        <v>346</v>
      </c>
      <c r="K1514" s="98" t="s">
        <v>1991</v>
      </c>
      <c r="L1514" s="163"/>
      <c r="M1514" s="49"/>
      <c r="N1514" s="73">
        <v>43831</v>
      </c>
      <c r="O1514" s="73" t="s">
        <v>1980</v>
      </c>
      <c r="P1514" s="207">
        <v>642045.5</v>
      </c>
      <c r="Q1514" s="118">
        <v>1</v>
      </c>
      <c r="R1514" s="118">
        <f t="shared" si="37"/>
        <v>642045.5</v>
      </c>
      <c r="S1514" s="115">
        <v>202304</v>
      </c>
      <c r="T1514" s="184" t="s">
        <v>1992</v>
      </c>
      <c r="U1514" s="185"/>
      <c r="V1514" s="165"/>
      <c r="W1514" s="165"/>
      <c r="X1514" s="116">
        <v>44197</v>
      </c>
      <c r="Y1514" s="116">
        <v>44561</v>
      </c>
    </row>
    <row r="1515" s="85" customFormat="1" customHeight="1" spans="1:25">
      <c r="A1515" s="98" t="s">
        <v>446</v>
      </c>
      <c r="B1515" s="98" t="s">
        <v>62</v>
      </c>
      <c r="C1515" s="160" t="s">
        <v>1987</v>
      </c>
      <c r="D1515" s="98" t="s">
        <v>642</v>
      </c>
      <c r="E1515" s="161" t="s">
        <v>1988</v>
      </c>
      <c r="F1515" s="98" t="s">
        <v>1989</v>
      </c>
      <c r="G1515" s="25" t="s">
        <v>346</v>
      </c>
      <c r="H1515" s="100" t="s">
        <v>1990</v>
      </c>
      <c r="I1515" s="46" t="e">
        <f>VLOOKUP(H1515,'合同高级查询数据-4月返'!A:A,1,FALSE)</f>
        <v>#N/A</v>
      </c>
      <c r="J1515" s="25" t="s">
        <v>346</v>
      </c>
      <c r="K1515" s="98" t="s">
        <v>1991</v>
      </c>
      <c r="L1515" s="163"/>
      <c r="M1515" s="49"/>
      <c r="N1515" s="73">
        <v>44561</v>
      </c>
      <c r="O1515" s="73" t="s">
        <v>1980</v>
      </c>
      <c r="P1515" s="207">
        <v>642045.5</v>
      </c>
      <c r="Q1515" s="118">
        <v>-1</v>
      </c>
      <c r="R1515" s="118">
        <f t="shared" si="37"/>
        <v>-642045.5</v>
      </c>
      <c r="S1515" s="115">
        <v>202304</v>
      </c>
      <c r="T1515" s="184" t="s">
        <v>1993</v>
      </c>
      <c r="U1515" s="185"/>
      <c r="V1515" s="165"/>
      <c r="W1515" s="165"/>
      <c r="X1515" s="116">
        <v>44197</v>
      </c>
      <c r="Y1515" s="116">
        <v>44561</v>
      </c>
    </row>
    <row r="1516" s="85" customFormat="1" customHeight="1" spans="1:25">
      <c r="A1516" s="160" t="s">
        <v>446</v>
      </c>
      <c r="B1516" s="98" t="s">
        <v>62</v>
      </c>
      <c r="C1516" s="98" t="s">
        <v>238</v>
      </c>
      <c r="D1516" s="98" t="s">
        <v>642</v>
      </c>
      <c r="E1516" s="162" t="s">
        <v>1988</v>
      </c>
      <c r="F1516" s="160" t="s">
        <v>1989</v>
      </c>
      <c r="G1516" s="25" t="s">
        <v>67</v>
      </c>
      <c r="H1516" s="258" t="s">
        <v>1994</v>
      </c>
      <c r="I1516" s="46" t="e">
        <f>VLOOKUP(H1516,'合同高级查询数据-4月返'!A:A,1,FALSE)</f>
        <v>#N/A</v>
      </c>
      <c r="J1516" s="178" t="s">
        <v>69</v>
      </c>
      <c r="K1516" s="107" t="s">
        <v>1995</v>
      </c>
      <c r="L1516" s="107"/>
      <c r="M1516" s="49"/>
      <c r="N1516" s="73">
        <v>44102</v>
      </c>
      <c r="O1516" s="73" t="s">
        <v>71</v>
      </c>
      <c r="P1516" s="164">
        <v>400</v>
      </c>
      <c r="Q1516" s="118">
        <v>30</v>
      </c>
      <c r="R1516" s="118">
        <f t="shared" si="37"/>
        <v>12000</v>
      </c>
      <c r="S1516" s="115">
        <v>202304</v>
      </c>
      <c r="T1516" s="184" t="s">
        <v>1996</v>
      </c>
      <c r="U1516" s="185"/>
      <c r="V1516" s="165"/>
      <c r="W1516" s="165"/>
      <c r="X1516" s="116">
        <v>44102</v>
      </c>
      <c r="Y1516" s="116">
        <v>45196</v>
      </c>
    </row>
    <row r="1517" s="85" customFormat="1" customHeight="1" spans="1:25">
      <c r="A1517" s="160" t="s">
        <v>446</v>
      </c>
      <c r="B1517" s="98" t="s">
        <v>62</v>
      </c>
      <c r="C1517" s="98" t="s">
        <v>238</v>
      </c>
      <c r="D1517" s="98" t="s">
        <v>642</v>
      </c>
      <c r="E1517" s="162" t="s">
        <v>1988</v>
      </c>
      <c r="F1517" s="160" t="s">
        <v>1989</v>
      </c>
      <c r="G1517" s="25" t="s">
        <v>67</v>
      </c>
      <c r="H1517" s="258" t="s">
        <v>1994</v>
      </c>
      <c r="I1517" s="46" t="e">
        <f>VLOOKUP(H1517,'合同高级查询数据-4月返'!A:A,1,FALSE)</f>
        <v>#N/A</v>
      </c>
      <c r="J1517" s="178" t="s">
        <v>69</v>
      </c>
      <c r="K1517" s="107" t="s">
        <v>1997</v>
      </c>
      <c r="L1517" s="107"/>
      <c r="M1517" s="49"/>
      <c r="N1517" s="73">
        <v>44102</v>
      </c>
      <c r="O1517" s="73" t="s">
        <v>71</v>
      </c>
      <c r="P1517" s="164">
        <v>400</v>
      </c>
      <c r="Q1517" s="118">
        <v>30</v>
      </c>
      <c r="R1517" s="118">
        <f t="shared" ref="R1517:R1548" si="38">ROUND(P1517*Q1517,2)</f>
        <v>12000</v>
      </c>
      <c r="S1517" s="115">
        <v>202304</v>
      </c>
      <c r="T1517" s="184" t="s">
        <v>1996</v>
      </c>
      <c r="U1517" s="185"/>
      <c r="V1517" s="165"/>
      <c r="W1517" s="165"/>
      <c r="X1517" s="116">
        <v>44102</v>
      </c>
      <c r="Y1517" s="116">
        <v>45196</v>
      </c>
    </row>
    <row r="1518" s="85" customFormat="1" customHeight="1" spans="1:25">
      <c r="A1518" s="160" t="s">
        <v>446</v>
      </c>
      <c r="B1518" s="98" t="s">
        <v>62</v>
      </c>
      <c r="C1518" s="98" t="s">
        <v>238</v>
      </c>
      <c r="D1518" s="98" t="s">
        <v>642</v>
      </c>
      <c r="E1518" s="162" t="s">
        <v>1988</v>
      </c>
      <c r="F1518" s="160" t="s">
        <v>1989</v>
      </c>
      <c r="G1518" s="25" t="s">
        <v>67</v>
      </c>
      <c r="H1518" s="258" t="s">
        <v>1994</v>
      </c>
      <c r="I1518" s="46" t="e">
        <f>VLOOKUP(H1518,'合同高级查询数据-4月返'!A:A,1,FALSE)</f>
        <v>#N/A</v>
      </c>
      <c r="J1518" s="178" t="s">
        <v>69</v>
      </c>
      <c r="K1518" s="107" t="s">
        <v>1998</v>
      </c>
      <c r="L1518" s="107"/>
      <c r="M1518" s="49"/>
      <c r="N1518" s="73">
        <v>44102</v>
      </c>
      <c r="O1518" s="73" t="s">
        <v>71</v>
      </c>
      <c r="P1518" s="164">
        <v>400</v>
      </c>
      <c r="Q1518" s="118">
        <v>30</v>
      </c>
      <c r="R1518" s="118">
        <f t="shared" si="38"/>
        <v>12000</v>
      </c>
      <c r="S1518" s="115">
        <v>202304</v>
      </c>
      <c r="T1518" s="184" t="s">
        <v>1996</v>
      </c>
      <c r="U1518" s="185"/>
      <c r="V1518" s="165"/>
      <c r="W1518" s="165"/>
      <c r="X1518" s="116">
        <v>44102</v>
      </c>
      <c r="Y1518" s="116">
        <v>45196</v>
      </c>
    </row>
    <row r="1519" s="85" customFormat="1" customHeight="1" spans="1:25">
      <c r="A1519" s="160" t="s">
        <v>446</v>
      </c>
      <c r="B1519" s="98" t="s">
        <v>62</v>
      </c>
      <c r="C1519" s="98" t="s">
        <v>238</v>
      </c>
      <c r="D1519" s="98" t="s">
        <v>642</v>
      </c>
      <c r="E1519" s="162" t="s">
        <v>1988</v>
      </c>
      <c r="F1519" s="160" t="s">
        <v>1989</v>
      </c>
      <c r="G1519" s="25" t="s">
        <v>67</v>
      </c>
      <c r="H1519" s="258" t="s">
        <v>1994</v>
      </c>
      <c r="I1519" s="46" t="e">
        <f>VLOOKUP(H1519,'合同高级查询数据-4月返'!A:A,1,FALSE)</f>
        <v>#N/A</v>
      </c>
      <c r="J1519" s="178" t="s">
        <v>69</v>
      </c>
      <c r="K1519" s="107" t="s">
        <v>1999</v>
      </c>
      <c r="L1519" s="107"/>
      <c r="M1519" s="49"/>
      <c r="N1519" s="73">
        <v>44102</v>
      </c>
      <c r="O1519" s="73" t="s">
        <v>71</v>
      </c>
      <c r="P1519" s="164">
        <v>400</v>
      </c>
      <c r="Q1519" s="118">
        <v>40</v>
      </c>
      <c r="R1519" s="118">
        <f t="shared" si="38"/>
        <v>16000</v>
      </c>
      <c r="S1519" s="115">
        <v>202304</v>
      </c>
      <c r="T1519" s="184" t="s">
        <v>1996</v>
      </c>
      <c r="U1519" s="185"/>
      <c r="V1519" s="165"/>
      <c r="W1519" s="165"/>
      <c r="X1519" s="116">
        <v>44102</v>
      </c>
      <c r="Y1519" s="116">
        <v>45196</v>
      </c>
    </row>
    <row r="1520" s="85" customFormat="1" customHeight="1" spans="1:25">
      <c r="A1520" s="160" t="s">
        <v>446</v>
      </c>
      <c r="B1520" s="98" t="s">
        <v>62</v>
      </c>
      <c r="C1520" s="98" t="s">
        <v>238</v>
      </c>
      <c r="D1520" s="98" t="s">
        <v>642</v>
      </c>
      <c r="E1520" s="162" t="s">
        <v>1988</v>
      </c>
      <c r="F1520" s="160" t="s">
        <v>1989</v>
      </c>
      <c r="G1520" s="25" t="s">
        <v>67</v>
      </c>
      <c r="H1520" s="258" t="s">
        <v>1994</v>
      </c>
      <c r="I1520" s="46" t="e">
        <f>VLOOKUP(H1520,'合同高级查询数据-4月返'!A:A,1,FALSE)</f>
        <v>#N/A</v>
      </c>
      <c r="J1520" s="178" t="s">
        <v>69</v>
      </c>
      <c r="K1520" s="107" t="s">
        <v>2000</v>
      </c>
      <c r="L1520" s="107"/>
      <c r="M1520" s="49"/>
      <c r="N1520" s="73">
        <v>44260</v>
      </c>
      <c r="O1520" s="73" t="s">
        <v>71</v>
      </c>
      <c r="P1520" s="164">
        <v>400</v>
      </c>
      <c r="Q1520" s="118">
        <v>55</v>
      </c>
      <c r="R1520" s="118">
        <f t="shared" si="38"/>
        <v>22000</v>
      </c>
      <c r="S1520" s="115">
        <v>202304</v>
      </c>
      <c r="T1520" s="167" t="s">
        <v>2000</v>
      </c>
      <c r="U1520" s="167"/>
      <c r="V1520" s="165"/>
      <c r="W1520" s="165"/>
      <c r="X1520" s="116">
        <v>44102</v>
      </c>
      <c r="Y1520" s="116">
        <v>45196</v>
      </c>
    </row>
    <row r="1521" s="85" customFormat="1" customHeight="1" spans="1:25">
      <c r="A1521" s="160" t="s">
        <v>446</v>
      </c>
      <c r="B1521" s="98" t="s">
        <v>62</v>
      </c>
      <c r="C1521" s="98" t="s">
        <v>238</v>
      </c>
      <c r="D1521" s="98" t="s">
        <v>642</v>
      </c>
      <c r="E1521" s="162" t="s">
        <v>1988</v>
      </c>
      <c r="F1521" s="160" t="s">
        <v>1989</v>
      </c>
      <c r="G1521" s="25" t="s">
        <v>67</v>
      </c>
      <c r="H1521" s="258" t="s">
        <v>1994</v>
      </c>
      <c r="I1521" s="46" t="e">
        <f>VLOOKUP(H1521,'合同高级查询数据-4月返'!A:A,1,FALSE)</f>
        <v>#N/A</v>
      </c>
      <c r="J1521" s="178" t="s">
        <v>69</v>
      </c>
      <c r="K1521" s="107" t="s">
        <v>2001</v>
      </c>
      <c r="L1521" s="107"/>
      <c r="M1521" s="49"/>
      <c r="N1521" s="73">
        <v>44260</v>
      </c>
      <c r="O1521" s="73" t="s">
        <v>71</v>
      </c>
      <c r="P1521" s="164">
        <v>400</v>
      </c>
      <c r="Q1521" s="118">
        <v>42.5</v>
      </c>
      <c r="R1521" s="118">
        <f t="shared" si="38"/>
        <v>17000</v>
      </c>
      <c r="S1521" s="115">
        <v>202304</v>
      </c>
      <c r="T1521" s="167" t="s">
        <v>2001</v>
      </c>
      <c r="U1521" s="167"/>
      <c r="V1521" s="165"/>
      <c r="W1521" s="165"/>
      <c r="X1521" s="116">
        <v>44102</v>
      </c>
      <c r="Y1521" s="116">
        <v>45196</v>
      </c>
    </row>
    <row r="1522" s="85" customFormat="1" customHeight="1" spans="1:25">
      <c r="A1522" s="160" t="s">
        <v>446</v>
      </c>
      <c r="B1522" s="98" t="s">
        <v>62</v>
      </c>
      <c r="C1522" s="98" t="s">
        <v>238</v>
      </c>
      <c r="D1522" s="98" t="s">
        <v>642</v>
      </c>
      <c r="E1522" s="162" t="s">
        <v>1988</v>
      </c>
      <c r="F1522" s="160" t="s">
        <v>1989</v>
      </c>
      <c r="G1522" s="25" t="s">
        <v>67</v>
      </c>
      <c r="H1522" s="258" t="s">
        <v>1994</v>
      </c>
      <c r="I1522" s="46" t="e">
        <f>VLOOKUP(H1522,'合同高级查询数据-4月返'!A:A,1,FALSE)</f>
        <v>#N/A</v>
      </c>
      <c r="J1522" s="178" t="s">
        <v>69</v>
      </c>
      <c r="K1522" s="107" t="s">
        <v>2002</v>
      </c>
      <c r="L1522" s="107"/>
      <c r="M1522" s="49"/>
      <c r="N1522" s="73">
        <v>44282</v>
      </c>
      <c r="O1522" s="73" t="s">
        <v>71</v>
      </c>
      <c r="P1522" s="164">
        <v>400</v>
      </c>
      <c r="Q1522" s="118">
        <v>93</v>
      </c>
      <c r="R1522" s="118">
        <f t="shared" si="38"/>
        <v>37200</v>
      </c>
      <c r="S1522" s="115">
        <v>202304</v>
      </c>
      <c r="T1522" s="167" t="s">
        <v>2002</v>
      </c>
      <c r="U1522" s="167"/>
      <c r="V1522" s="165"/>
      <c r="W1522" s="165"/>
      <c r="X1522" s="116">
        <v>44102</v>
      </c>
      <c r="Y1522" s="116">
        <v>45196</v>
      </c>
    </row>
    <row r="1523" s="85" customFormat="1" customHeight="1" spans="1:25">
      <c r="A1523" s="160" t="s">
        <v>446</v>
      </c>
      <c r="B1523" s="98" t="s">
        <v>62</v>
      </c>
      <c r="C1523" s="98" t="s">
        <v>238</v>
      </c>
      <c r="D1523" s="98" t="s">
        <v>642</v>
      </c>
      <c r="E1523" s="162" t="s">
        <v>1988</v>
      </c>
      <c r="F1523" s="160" t="s">
        <v>1989</v>
      </c>
      <c r="G1523" s="25" t="s">
        <v>67</v>
      </c>
      <c r="H1523" s="258" t="s">
        <v>1994</v>
      </c>
      <c r="I1523" s="46" t="e">
        <f>VLOOKUP(H1523,'合同高级查询数据-4月返'!A:A,1,FALSE)</f>
        <v>#N/A</v>
      </c>
      <c r="J1523" s="178" t="s">
        <v>69</v>
      </c>
      <c r="K1523" s="107" t="s">
        <v>2003</v>
      </c>
      <c r="L1523" s="107"/>
      <c r="M1523" s="49"/>
      <c r="N1523" s="73">
        <v>44282</v>
      </c>
      <c r="O1523" s="73" t="s">
        <v>71</v>
      </c>
      <c r="P1523" s="164">
        <v>400</v>
      </c>
      <c r="Q1523" s="118">
        <v>68</v>
      </c>
      <c r="R1523" s="118">
        <f t="shared" si="38"/>
        <v>27200</v>
      </c>
      <c r="S1523" s="115">
        <v>202304</v>
      </c>
      <c r="T1523" s="167" t="s">
        <v>2003</v>
      </c>
      <c r="U1523" s="167"/>
      <c r="V1523" s="165"/>
      <c r="W1523" s="165"/>
      <c r="X1523" s="116">
        <v>44102</v>
      </c>
      <c r="Y1523" s="116">
        <v>45196</v>
      </c>
    </row>
    <row r="1524" s="86" customFormat="1" customHeight="1" spans="1:25">
      <c r="A1524" s="135" t="s">
        <v>446</v>
      </c>
      <c r="B1524" s="11" t="s">
        <v>62</v>
      </c>
      <c r="C1524" s="135" t="s">
        <v>153</v>
      </c>
      <c r="D1524" s="135" t="s">
        <v>951</v>
      </c>
      <c r="E1524" s="170" t="s">
        <v>2004</v>
      </c>
      <c r="F1524" s="135" t="s">
        <v>2005</v>
      </c>
      <c r="G1524" s="171" t="s">
        <v>88</v>
      </c>
      <c r="H1524" s="103" t="s">
        <v>2006</v>
      </c>
      <c r="I1524" s="30" t="e">
        <f>VLOOKUP(H1524,'合同高级查询数据-4月返'!A:A,1,FALSE)</f>
        <v>#N/A</v>
      </c>
      <c r="J1524" s="134" t="s">
        <v>162</v>
      </c>
      <c r="K1524" s="134" t="s">
        <v>2007</v>
      </c>
      <c r="L1524" s="110" t="s">
        <v>2008</v>
      </c>
      <c r="M1524" s="113" t="s">
        <v>2009</v>
      </c>
      <c r="N1524" s="175">
        <v>43482</v>
      </c>
      <c r="O1524" s="176" t="s">
        <v>163</v>
      </c>
      <c r="P1524" s="209">
        <v>0</v>
      </c>
      <c r="Q1524" s="209">
        <v>7</v>
      </c>
      <c r="R1524" s="130">
        <f t="shared" si="38"/>
        <v>0</v>
      </c>
      <c r="S1524" s="127">
        <v>202304</v>
      </c>
      <c r="T1524" s="211" t="s">
        <v>2010</v>
      </c>
      <c r="U1524" s="211"/>
      <c r="V1524" s="159"/>
      <c r="W1524" s="159"/>
      <c r="X1524" s="131"/>
      <c r="Y1524" s="131"/>
    </row>
    <row r="1525" s="86" customFormat="1" customHeight="1" spans="1:25">
      <c r="A1525" s="135" t="s">
        <v>446</v>
      </c>
      <c r="B1525" s="11" t="s">
        <v>62</v>
      </c>
      <c r="C1525" s="135" t="s">
        <v>153</v>
      </c>
      <c r="D1525" s="135" t="s">
        <v>951</v>
      </c>
      <c r="E1525" s="170" t="s">
        <v>2004</v>
      </c>
      <c r="F1525" s="135" t="s">
        <v>2005</v>
      </c>
      <c r="G1525" s="171" t="s">
        <v>88</v>
      </c>
      <c r="H1525" s="103" t="s">
        <v>2006</v>
      </c>
      <c r="I1525" s="30" t="e">
        <f>VLOOKUP(H1525,'合同高级查询数据-4月返'!A:A,1,FALSE)</f>
        <v>#N/A</v>
      </c>
      <c r="J1525" s="134" t="s">
        <v>162</v>
      </c>
      <c r="K1525" s="134" t="s">
        <v>2011</v>
      </c>
      <c r="L1525" s="174" t="s">
        <v>2012</v>
      </c>
      <c r="M1525" s="113" t="s">
        <v>2009</v>
      </c>
      <c r="N1525" s="175">
        <v>43229</v>
      </c>
      <c r="O1525" s="176" t="s">
        <v>163</v>
      </c>
      <c r="P1525" s="209">
        <v>0</v>
      </c>
      <c r="Q1525" s="209">
        <v>7</v>
      </c>
      <c r="R1525" s="130">
        <f t="shared" si="38"/>
        <v>0</v>
      </c>
      <c r="S1525" s="127">
        <v>202304</v>
      </c>
      <c r="T1525" s="211" t="s">
        <v>2013</v>
      </c>
      <c r="U1525" s="211"/>
      <c r="V1525" s="159"/>
      <c r="W1525" s="159"/>
      <c r="X1525" s="131"/>
      <c r="Y1525" s="131"/>
    </row>
    <row r="1526" s="86" customFormat="1" customHeight="1" spans="1:25">
      <c r="A1526" s="135" t="s">
        <v>446</v>
      </c>
      <c r="B1526" s="11" t="s">
        <v>62</v>
      </c>
      <c r="C1526" s="135" t="s">
        <v>153</v>
      </c>
      <c r="D1526" s="135" t="s">
        <v>951</v>
      </c>
      <c r="E1526" s="170" t="s">
        <v>2004</v>
      </c>
      <c r="F1526" s="135" t="s">
        <v>2005</v>
      </c>
      <c r="G1526" s="171" t="s">
        <v>88</v>
      </c>
      <c r="H1526" s="103" t="s">
        <v>2006</v>
      </c>
      <c r="I1526" s="30" t="e">
        <f>VLOOKUP(H1526,'合同高级查询数据-4月返'!A:A,1,FALSE)</f>
        <v>#N/A</v>
      </c>
      <c r="J1526" s="134" t="s">
        <v>162</v>
      </c>
      <c r="K1526" s="134" t="s">
        <v>2011</v>
      </c>
      <c r="L1526" s="174" t="s">
        <v>2012</v>
      </c>
      <c r="M1526" s="113" t="s">
        <v>2009</v>
      </c>
      <c r="N1526" s="175">
        <v>44421</v>
      </c>
      <c r="O1526" s="176" t="s">
        <v>163</v>
      </c>
      <c r="P1526" s="209">
        <v>0</v>
      </c>
      <c r="Q1526" s="209">
        <v>-7</v>
      </c>
      <c r="R1526" s="130">
        <f t="shared" si="38"/>
        <v>0</v>
      </c>
      <c r="S1526" s="127">
        <v>202304</v>
      </c>
      <c r="T1526" s="211" t="s">
        <v>2014</v>
      </c>
      <c r="U1526" s="211"/>
      <c r="V1526" s="159"/>
      <c r="W1526" s="159"/>
      <c r="X1526" s="131"/>
      <c r="Y1526" s="131"/>
    </row>
    <row r="1527" s="86" customFormat="1" customHeight="1" spans="1:25">
      <c r="A1527" s="135" t="s">
        <v>446</v>
      </c>
      <c r="B1527" s="11" t="s">
        <v>62</v>
      </c>
      <c r="C1527" s="135" t="s">
        <v>153</v>
      </c>
      <c r="D1527" s="135" t="s">
        <v>951</v>
      </c>
      <c r="E1527" s="170" t="s">
        <v>2004</v>
      </c>
      <c r="F1527" s="135" t="s">
        <v>2005</v>
      </c>
      <c r="G1527" s="171" t="s">
        <v>88</v>
      </c>
      <c r="H1527" s="103" t="s">
        <v>2006</v>
      </c>
      <c r="I1527" s="30" t="e">
        <f>VLOOKUP(H1527,'合同高级查询数据-4月返'!A:A,1,FALSE)</f>
        <v>#N/A</v>
      </c>
      <c r="J1527" s="134" t="s">
        <v>162</v>
      </c>
      <c r="K1527" s="134" t="s">
        <v>2011</v>
      </c>
      <c r="L1527" s="174" t="s">
        <v>2015</v>
      </c>
      <c r="M1527" s="113" t="s">
        <v>2009</v>
      </c>
      <c r="N1527" s="175">
        <v>43997</v>
      </c>
      <c r="O1527" s="176" t="s">
        <v>163</v>
      </c>
      <c r="P1527" s="209">
        <v>0</v>
      </c>
      <c r="Q1527" s="209">
        <v>2</v>
      </c>
      <c r="R1527" s="130">
        <f t="shared" si="38"/>
        <v>0</v>
      </c>
      <c r="S1527" s="127">
        <v>202304</v>
      </c>
      <c r="T1527" s="211" t="s">
        <v>2016</v>
      </c>
      <c r="U1527" s="211"/>
      <c r="V1527" s="159"/>
      <c r="W1527" s="159"/>
      <c r="X1527" s="131"/>
      <c r="Y1527" s="131"/>
    </row>
    <row r="1528" s="86" customFormat="1" customHeight="1" spans="1:25">
      <c r="A1528" s="135" t="s">
        <v>446</v>
      </c>
      <c r="B1528" s="11" t="s">
        <v>62</v>
      </c>
      <c r="C1528" s="135" t="s">
        <v>153</v>
      </c>
      <c r="D1528" s="135" t="s">
        <v>951</v>
      </c>
      <c r="E1528" s="170" t="s">
        <v>2004</v>
      </c>
      <c r="F1528" s="135" t="s">
        <v>2005</v>
      </c>
      <c r="G1528" s="171" t="s">
        <v>88</v>
      </c>
      <c r="H1528" s="103" t="s">
        <v>2006</v>
      </c>
      <c r="I1528" s="30" t="e">
        <f>VLOOKUP(H1528,'合同高级查询数据-4月返'!A:A,1,FALSE)</f>
        <v>#N/A</v>
      </c>
      <c r="J1528" s="134" t="s">
        <v>162</v>
      </c>
      <c r="K1528" s="134" t="s">
        <v>2011</v>
      </c>
      <c r="L1528" s="174" t="s">
        <v>2015</v>
      </c>
      <c r="M1528" s="113" t="s">
        <v>2009</v>
      </c>
      <c r="N1528" s="175">
        <v>44617</v>
      </c>
      <c r="O1528" s="176" t="s">
        <v>163</v>
      </c>
      <c r="P1528" s="209">
        <v>0</v>
      </c>
      <c r="Q1528" s="209">
        <v>2</v>
      </c>
      <c r="R1528" s="130">
        <f t="shared" si="38"/>
        <v>0</v>
      </c>
      <c r="S1528" s="127">
        <v>202304</v>
      </c>
      <c r="T1528" s="211" t="s">
        <v>2017</v>
      </c>
      <c r="U1528" s="211"/>
      <c r="V1528" s="159"/>
      <c r="W1528" s="159"/>
      <c r="X1528" s="131"/>
      <c r="Y1528" s="131"/>
    </row>
    <row r="1529" s="86" customFormat="1" customHeight="1" spans="1:25">
      <c r="A1529" s="135" t="s">
        <v>446</v>
      </c>
      <c r="B1529" s="11" t="s">
        <v>62</v>
      </c>
      <c r="C1529" s="135" t="s">
        <v>153</v>
      </c>
      <c r="D1529" s="135" t="s">
        <v>951</v>
      </c>
      <c r="E1529" s="170" t="s">
        <v>2004</v>
      </c>
      <c r="F1529" s="135" t="s">
        <v>2005</v>
      </c>
      <c r="G1529" s="171" t="s">
        <v>88</v>
      </c>
      <c r="H1529" s="103" t="s">
        <v>2006</v>
      </c>
      <c r="I1529" s="30" t="e">
        <f>VLOOKUP(H1529,'合同高级查询数据-4月返'!A:A,1,FALSE)</f>
        <v>#N/A</v>
      </c>
      <c r="J1529" s="134" t="s">
        <v>162</v>
      </c>
      <c r="K1529" s="134" t="s">
        <v>2011</v>
      </c>
      <c r="L1529" s="174" t="s">
        <v>2015</v>
      </c>
      <c r="M1529" s="113" t="s">
        <v>2009</v>
      </c>
      <c r="N1529" s="175">
        <v>44712</v>
      </c>
      <c r="O1529" s="176" t="s">
        <v>163</v>
      </c>
      <c r="P1529" s="209">
        <v>0</v>
      </c>
      <c r="Q1529" s="209">
        <v>-4</v>
      </c>
      <c r="R1529" s="130">
        <f t="shared" si="38"/>
        <v>0</v>
      </c>
      <c r="S1529" s="127">
        <v>202304</v>
      </c>
      <c r="T1529" s="211" t="s">
        <v>2018</v>
      </c>
      <c r="U1529" s="211"/>
      <c r="V1529" s="159"/>
      <c r="W1529" s="159"/>
      <c r="X1529" s="131"/>
      <c r="Y1529" s="131"/>
    </row>
    <row r="1530" s="86" customFormat="1" customHeight="1" spans="1:25">
      <c r="A1530" s="135" t="s">
        <v>446</v>
      </c>
      <c r="B1530" s="11" t="s">
        <v>62</v>
      </c>
      <c r="C1530" s="135" t="s">
        <v>153</v>
      </c>
      <c r="D1530" s="135" t="s">
        <v>951</v>
      </c>
      <c r="E1530" s="170" t="s">
        <v>2004</v>
      </c>
      <c r="F1530" s="135" t="s">
        <v>2005</v>
      </c>
      <c r="G1530" s="171" t="s">
        <v>31</v>
      </c>
      <c r="H1530" s="103" t="s">
        <v>2006</v>
      </c>
      <c r="I1530" s="30" t="e">
        <f>VLOOKUP(H1530,'合同高级查询数据-4月返'!A:A,1,FALSE)</f>
        <v>#N/A</v>
      </c>
      <c r="J1530" s="134" t="s">
        <v>33</v>
      </c>
      <c r="K1530" s="134" t="s">
        <v>2011</v>
      </c>
      <c r="L1530" s="174" t="s">
        <v>2015</v>
      </c>
      <c r="M1530" s="113"/>
      <c r="N1530" s="175">
        <v>43997</v>
      </c>
      <c r="O1530" s="176"/>
      <c r="P1530" s="209">
        <v>0</v>
      </c>
      <c r="Q1530" s="209">
        <v>288</v>
      </c>
      <c r="R1530" s="130">
        <f t="shared" si="38"/>
        <v>0</v>
      </c>
      <c r="S1530" s="127">
        <v>202304</v>
      </c>
      <c r="T1530" s="211" t="s">
        <v>2019</v>
      </c>
      <c r="U1530" s="211"/>
      <c r="V1530" s="159"/>
      <c r="W1530" s="159"/>
      <c r="X1530" s="131"/>
      <c r="Y1530" s="131"/>
    </row>
    <row r="1531" s="86" customFormat="1" customHeight="1" spans="1:25">
      <c r="A1531" s="135" t="s">
        <v>446</v>
      </c>
      <c r="B1531" s="11" t="s">
        <v>62</v>
      </c>
      <c r="C1531" s="135" t="s">
        <v>153</v>
      </c>
      <c r="D1531" s="135" t="s">
        <v>951</v>
      </c>
      <c r="E1531" s="170" t="s">
        <v>2004</v>
      </c>
      <c r="F1531" s="135" t="s">
        <v>2005</v>
      </c>
      <c r="G1531" s="171" t="s">
        <v>31</v>
      </c>
      <c r="H1531" s="103" t="s">
        <v>2006</v>
      </c>
      <c r="I1531" s="30" t="e">
        <f>VLOOKUP(H1531,'合同高级查询数据-4月返'!A:A,1,FALSE)</f>
        <v>#N/A</v>
      </c>
      <c r="J1531" s="134" t="s">
        <v>33</v>
      </c>
      <c r="K1531" s="134" t="s">
        <v>2011</v>
      </c>
      <c r="L1531" s="174" t="s">
        <v>2015</v>
      </c>
      <c r="M1531" s="113"/>
      <c r="N1531" s="175">
        <v>44712</v>
      </c>
      <c r="O1531" s="176"/>
      <c r="P1531" s="209">
        <v>0</v>
      </c>
      <c r="Q1531" s="209">
        <v>-288</v>
      </c>
      <c r="R1531" s="130">
        <f t="shared" si="38"/>
        <v>0</v>
      </c>
      <c r="S1531" s="127">
        <v>202304</v>
      </c>
      <c r="T1531" s="211" t="s">
        <v>2020</v>
      </c>
      <c r="U1531" s="211"/>
      <c r="V1531" s="159"/>
      <c r="W1531" s="159"/>
      <c r="X1531" s="131"/>
      <c r="Y1531" s="131"/>
    </row>
    <row r="1532" s="86" customFormat="1" customHeight="1" spans="1:25">
      <c r="A1532" s="135" t="s">
        <v>446</v>
      </c>
      <c r="B1532" s="11" t="s">
        <v>62</v>
      </c>
      <c r="C1532" s="135" t="s">
        <v>153</v>
      </c>
      <c r="D1532" s="135" t="s">
        <v>951</v>
      </c>
      <c r="E1532" s="170" t="s">
        <v>2004</v>
      </c>
      <c r="F1532" s="135" t="s">
        <v>2005</v>
      </c>
      <c r="G1532" s="171" t="s">
        <v>88</v>
      </c>
      <c r="H1532" s="103" t="s">
        <v>2006</v>
      </c>
      <c r="I1532" s="30" t="e">
        <f>VLOOKUP(H1532,'合同高级查询数据-4月返'!A:A,1,FALSE)</f>
        <v>#N/A</v>
      </c>
      <c r="J1532" s="134" t="s">
        <v>2021</v>
      </c>
      <c r="K1532" s="134" t="s">
        <v>2011</v>
      </c>
      <c r="L1532" s="174" t="s">
        <v>2022</v>
      </c>
      <c r="M1532" s="113" t="s">
        <v>2009</v>
      </c>
      <c r="N1532" s="175" t="s">
        <v>737</v>
      </c>
      <c r="O1532" s="176" t="s">
        <v>163</v>
      </c>
      <c r="P1532" s="209">
        <v>0</v>
      </c>
      <c r="Q1532" s="209">
        <v>3</v>
      </c>
      <c r="R1532" s="130">
        <f t="shared" si="38"/>
        <v>0</v>
      </c>
      <c r="S1532" s="127">
        <v>202304</v>
      </c>
      <c r="T1532" s="211" t="s">
        <v>2023</v>
      </c>
      <c r="U1532" s="211"/>
      <c r="V1532" s="159"/>
      <c r="W1532" s="159"/>
      <c r="X1532" s="131"/>
      <c r="Y1532" s="131"/>
    </row>
    <row r="1533" s="86" customFormat="1" customHeight="1" spans="1:25">
      <c r="A1533" s="135" t="s">
        <v>446</v>
      </c>
      <c r="B1533" s="11" t="s">
        <v>62</v>
      </c>
      <c r="C1533" s="135" t="s">
        <v>153</v>
      </c>
      <c r="D1533" s="135" t="s">
        <v>951</v>
      </c>
      <c r="E1533" s="170" t="s">
        <v>2004</v>
      </c>
      <c r="F1533" s="135" t="s">
        <v>2005</v>
      </c>
      <c r="G1533" s="171" t="s">
        <v>31</v>
      </c>
      <c r="H1533" s="103" t="s">
        <v>2006</v>
      </c>
      <c r="I1533" s="30" t="e">
        <f>VLOOKUP(H1533,'合同高级查询数据-4月返'!A:A,1,FALSE)</f>
        <v>#N/A</v>
      </c>
      <c r="J1533" s="134" t="s">
        <v>1273</v>
      </c>
      <c r="K1533" s="134" t="s">
        <v>2011</v>
      </c>
      <c r="L1533" s="174" t="s">
        <v>2022</v>
      </c>
      <c r="M1533" s="113"/>
      <c r="N1533" s="175" t="s">
        <v>1329</v>
      </c>
      <c r="O1533" s="176"/>
      <c r="P1533" s="209">
        <v>20</v>
      </c>
      <c r="Q1533" s="209">
        <v>256</v>
      </c>
      <c r="R1533" s="130">
        <f t="shared" si="38"/>
        <v>5120</v>
      </c>
      <c r="S1533" s="127">
        <v>202304</v>
      </c>
      <c r="T1533" s="211" t="s">
        <v>2024</v>
      </c>
      <c r="U1533" s="211"/>
      <c r="V1533" s="159"/>
      <c r="W1533" s="159"/>
      <c r="X1533" s="131"/>
      <c r="Y1533" s="131"/>
    </row>
    <row r="1534" s="86" customFormat="1" customHeight="1" spans="1:25">
      <c r="A1534" s="135" t="s">
        <v>446</v>
      </c>
      <c r="B1534" s="11" t="s">
        <v>62</v>
      </c>
      <c r="C1534" s="135" t="s">
        <v>153</v>
      </c>
      <c r="D1534" s="135" t="s">
        <v>951</v>
      </c>
      <c r="E1534" s="170" t="s">
        <v>2004</v>
      </c>
      <c r="F1534" s="135" t="s">
        <v>2005</v>
      </c>
      <c r="G1534" s="171" t="s">
        <v>88</v>
      </c>
      <c r="H1534" s="103" t="s">
        <v>2006</v>
      </c>
      <c r="I1534" s="30" t="e">
        <f>VLOOKUP(H1534,'合同高级查询数据-4月返'!A:A,1,FALSE)</f>
        <v>#N/A</v>
      </c>
      <c r="J1534" s="134" t="s">
        <v>2021</v>
      </c>
      <c r="K1534" s="134" t="s">
        <v>2011</v>
      </c>
      <c r="L1534" s="174" t="s">
        <v>2022</v>
      </c>
      <c r="M1534" s="113" t="s">
        <v>2009</v>
      </c>
      <c r="N1534" s="175">
        <v>44804</v>
      </c>
      <c r="O1534" s="176" t="s">
        <v>163</v>
      </c>
      <c r="P1534" s="177">
        <v>0</v>
      </c>
      <c r="Q1534" s="177">
        <v>-3</v>
      </c>
      <c r="R1534" s="130">
        <f t="shared" si="38"/>
        <v>0</v>
      </c>
      <c r="S1534" s="127">
        <v>202304</v>
      </c>
      <c r="T1534" s="211" t="s">
        <v>2025</v>
      </c>
      <c r="U1534" s="211"/>
      <c r="V1534" s="159"/>
      <c r="W1534" s="159"/>
      <c r="X1534" s="131"/>
      <c r="Y1534" s="131"/>
    </row>
    <row r="1535" s="86" customFormat="1" customHeight="1" spans="1:25">
      <c r="A1535" s="135" t="s">
        <v>446</v>
      </c>
      <c r="B1535" s="11" t="s">
        <v>62</v>
      </c>
      <c r="C1535" s="135" t="s">
        <v>153</v>
      </c>
      <c r="D1535" s="135" t="s">
        <v>951</v>
      </c>
      <c r="E1535" s="170" t="s">
        <v>2004</v>
      </c>
      <c r="F1535" s="135" t="s">
        <v>2005</v>
      </c>
      <c r="G1535" s="171" t="s">
        <v>31</v>
      </c>
      <c r="H1535" s="103" t="s">
        <v>2006</v>
      </c>
      <c r="I1535" s="30" t="e">
        <f>VLOOKUP(H1535,'合同高级查询数据-4月返'!A:A,1,FALSE)</f>
        <v>#N/A</v>
      </c>
      <c r="J1535" s="134" t="s">
        <v>1273</v>
      </c>
      <c r="K1535" s="134" t="s">
        <v>2011</v>
      </c>
      <c r="L1535" s="174" t="s">
        <v>2022</v>
      </c>
      <c r="M1535" s="113"/>
      <c r="N1535" s="175">
        <v>44804</v>
      </c>
      <c r="O1535" s="176"/>
      <c r="P1535" s="177">
        <v>20</v>
      </c>
      <c r="Q1535" s="177">
        <v>-256</v>
      </c>
      <c r="R1535" s="130">
        <f t="shared" si="38"/>
        <v>-5120</v>
      </c>
      <c r="S1535" s="127">
        <v>202304</v>
      </c>
      <c r="T1535" s="211" t="s">
        <v>2026</v>
      </c>
      <c r="U1535" s="211"/>
      <c r="V1535" s="159"/>
      <c r="W1535" s="159"/>
      <c r="X1535" s="131"/>
      <c r="Y1535" s="131"/>
    </row>
    <row r="1536" s="86" customFormat="1" customHeight="1" spans="1:25">
      <c r="A1536" s="135" t="s">
        <v>446</v>
      </c>
      <c r="B1536" s="11" t="s">
        <v>62</v>
      </c>
      <c r="C1536" s="135" t="s">
        <v>153</v>
      </c>
      <c r="D1536" s="135" t="s">
        <v>951</v>
      </c>
      <c r="E1536" s="170" t="s">
        <v>2004</v>
      </c>
      <c r="F1536" s="135" t="s">
        <v>2005</v>
      </c>
      <c r="G1536" s="171" t="s">
        <v>88</v>
      </c>
      <c r="H1536" s="103" t="s">
        <v>2006</v>
      </c>
      <c r="I1536" s="30" t="e">
        <f>VLOOKUP(H1536,'合同高级查询数据-4月返'!A:A,1,FALSE)</f>
        <v>#N/A</v>
      </c>
      <c r="J1536" s="134" t="s">
        <v>162</v>
      </c>
      <c r="K1536" s="134" t="s">
        <v>2011</v>
      </c>
      <c r="L1536" s="110" t="s">
        <v>2027</v>
      </c>
      <c r="M1536" s="113" t="s">
        <v>2028</v>
      </c>
      <c r="N1536" s="175" t="s">
        <v>1329</v>
      </c>
      <c r="O1536" s="176" t="s">
        <v>503</v>
      </c>
      <c r="P1536" s="209">
        <v>0</v>
      </c>
      <c r="Q1536" s="209">
        <v>5</v>
      </c>
      <c r="R1536" s="130">
        <f t="shared" si="38"/>
        <v>0</v>
      </c>
      <c r="S1536" s="127">
        <v>202304</v>
      </c>
      <c r="T1536" s="211" t="s">
        <v>2029</v>
      </c>
      <c r="U1536" s="211"/>
      <c r="V1536" s="159"/>
      <c r="W1536" s="159"/>
      <c r="X1536" s="131"/>
      <c r="Y1536" s="131"/>
    </row>
    <row r="1537" s="86" customFormat="1" customHeight="1" spans="1:25">
      <c r="A1537" s="135" t="s">
        <v>446</v>
      </c>
      <c r="B1537" s="11" t="s">
        <v>62</v>
      </c>
      <c r="C1537" s="135" t="s">
        <v>153</v>
      </c>
      <c r="D1537" s="135" t="s">
        <v>951</v>
      </c>
      <c r="E1537" s="170" t="s">
        <v>2004</v>
      </c>
      <c r="F1537" s="135" t="s">
        <v>2005</v>
      </c>
      <c r="G1537" s="171" t="s">
        <v>31</v>
      </c>
      <c r="H1537" s="103" t="s">
        <v>2006</v>
      </c>
      <c r="I1537" s="30" t="e">
        <f>VLOOKUP(H1537,'合同高级查询数据-4月返'!A:A,1,FALSE)</f>
        <v>#N/A</v>
      </c>
      <c r="J1537" s="134" t="s">
        <v>33</v>
      </c>
      <c r="K1537" s="134" t="s">
        <v>2011</v>
      </c>
      <c r="L1537" s="110" t="s">
        <v>2027</v>
      </c>
      <c r="M1537" s="113"/>
      <c r="N1537" s="175">
        <v>42217</v>
      </c>
      <c r="O1537" s="176"/>
      <c r="P1537" s="209">
        <v>0</v>
      </c>
      <c r="Q1537" s="209">
        <v>256</v>
      </c>
      <c r="R1537" s="130">
        <f t="shared" si="38"/>
        <v>0</v>
      </c>
      <c r="S1537" s="127">
        <v>202304</v>
      </c>
      <c r="T1537" s="211" t="s">
        <v>2030</v>
      </c>
      <c r="U1537" s="211"/>
      <c r="V1537" s="159"/>
      <c r="W1537" s="159"/>
      <c r="X1537" s="131"/>
      <c r="Y1537" s="131"/>
    </row>
    <row r="1538" s="86" customFormat="1" customHeight="1" spans="1:25">
      <c r="A1538" s="135" t="s">
        <v>446</v>
      </c>
      <c r="B1538" s="11" t="s">
        <v>62</v>
      </c>
      <c r="C1538" s="135" t="s">
        <v>153</v>
      </c>
      <c r="D1538" s="135" t="s">
        <v>951</v>
      </c>
      <c r="E1538" s="170" t="s">
        <v>2004</v>
      </c>
      <c r="F1538" s="135" t="s">
        <v>2005</v>
      </c>
      <c r="G1538" s="171" t="s">
        <v>31</v>
      </c>
      <c r="H1538" s="103" t="s">
        <v>2006</v>
      </c>
      <c r="I1538" s="30" t="e">
        <f>VLOOKUP(H1538,'合同高级查询数据-4月返'!A:A,1,FALSE)</f>
        <v>#N/A</v>
      </c>
      <c r="J1538" s="134" t="s">
        <v>33</v>
      </c>
      <c r="K1538" s="134" t="s">
        <v>2011</v>
      </c>
      <c r="L1538" s="110" t="s">
        <v>2031</v>
      </c>
      <c r="M1538" s="113"/>
      <c r="N1538" s="175">
        <v>44153</v>
      </c>
      <c r="O1538" s="176"/>
      <c r="P1538" s="209">
        <v>0</v>
      </c>
      <c r="Q1538" s="209">
        <v>256</v>
      </c>
      <c r="R1538" s="130">
        <f t="shared" si="38"/>
        <v>0</v>
      </c>
      <c r="S1538" s="127">
        <v>202304</v>
      </c>
      <c r="T1538" s="211" t="s">
        <v>2032</v>
      </c>
      <c r="U1538" s="211"/>
      <c r="V1538" s="159"/>
      <c r="W1538" s="159"/>
      <c r="X1538" s="131"/>
      <c r="Y1538" s="131"/>
    </row>
    <row r="1539" s="86" customFormat="1" customHeight="1" spans="1:25">
      <c r="A1539" s="135" t="s">
        <v>446</v>
      </c>
      <c r="B1539" s="11" t="s">
        <v>62</v>
      </c>
      <c r="C1539" s="135" t="s">
        <v>153</v>
      </c>
      <c r="D1539" s="135" t="s">
        <v>951</v>
      </c>
      <c r="E1539" s="170" t="s">
        <v>2004</v>
      </c>
      <c r="F1539" s="135" t="s">
        <v>2005</v>
      </c>
      <c r="G1539" s="171" t="s">
        <v>31</v>
      </c>
      <c r="H1539" s="103" t="s">
        <v>2006</v>
      </c>
      <c r="I1539" s="30" t="e">
        <f>VLOOKUP(H1539,'合同高级查询数据-4月返'!A:A,1,FALSE)</f>
        <v>#N/A</v>
      </c>
      <c r="J1539" s="134" t="s">
        <v>33</v>
      </c>
      <c r="K1539" s="134" t="s">
        <v>2011</v>
      </c>
      <c r="L1539" s="110" t="s">
        <v>2008</v>
      </c>
      <c r="M1539" s="113"/>
      <c r="N1539" s="175">
        <v>44153</v>
      </c>
      <c r="O1539" s="176"/>
      <c r="P1539" s="209">
        <v>0</v>
      </c>
      <c r="Q1539" s="209">
        <v>544</v>
      </c>
      <c r="R1539" s="130">
        <f t="shared" si="38"/>
        <v>0</v>
      </c>
      <c r="S1539" s="127">
        <v>202304</v>
      </c>
      <c r="T1539" s="211" t="s">
        <v>2033</v>
      </c>
      <c r="U1539" s="211"/>
      <c r="V1539" s="159"/>
      <c r="W1539" s="159"/>
      <c r="X1539" s="131"/>
      <c r="Y1539" s="131"/>
    </row>
    <row r="1540" s="86" customFormat="1" customHeight="1" spans="1:25">
      <c r="A1540" s="135" t="s">
        <v>446</v>
      </c>
      <c r="B1540" s="11" t="s">
        <v>62</v>
      </c>
      <c r="C1540" s="135" t="s">
        <v>153</v>
      </c>
      <c r="D1540" s="135" t="s">
        <v>951</v>
      </c>
      <c r="E1540" s="170" t="s">
        <v>2004</v>
      </c>
      <c r="F1540" s="135" t="s">
        <v>2005</v>
      </c>
      <c r="G1540" s="171" t="s">
        <v>88</v>
      </c>
      <c r="H1540" s="103" t="s">
        <v>2006</v>
      </c>
      <c r="I1540" s="30" t="e">
        <f>VLOOKUP(H1540,'合同高级查询数据-4月返'!A:A,1,FALSE)</f>
        <v>#N/A</v>
      </c>
      <c r="J1540" s="134" t="s">
        <v>162</v>
      </c>
      <c r="K1540" s="134"/>
      <c r="L1540" s="110" t="s">
        <v>2034</v>
      </c>
      <c r="M1540" s="113" t="s">
        <v>2009</v>
      </c>
      <c r="N1540" s="175">
        <v>44531</v>
      </c>
      <c r="O1540" s="176" t="s">
        <v>163</v>
      </c>
      <c r="P1540" s="209">
        <v>0</v>
      </c>
      <c r="Q1540" s="209">
        <v>2</v>
      </c>
      <c r="R1540" s="130">
        <f t="shared" si="38"/>
        <v>0</v>
      </c>
      <c r="S1540" s="127">
        <v>202304</v>
      </c>
      <c r="T1540" s="211" t="s">
        <v>2035</v>
      </c>
      <c r="U1540" s="211"/>
      <c r="V1540" s="159"/>
      <c r="W1540" s="159"/>
      <c r="X1540" s="131"/>
      <c r="Y1540" s="131"/>
    </row>
    <row r="1541" s="86" customFormat="1" customHeight="1" spans="1:25">
      <c r="A1541" s="135" t="s">
        <v>446</v>
      </c>
      <c r="B1541" s="11" t="s">
        <v>62</v>
      </c>
      <c r="C1541" s="135" t="s">
        <v>153</v>
      </c>
      <c r="D1541" s="135" t="s">
        <v>951</v>
      </c>
      <c r="E1541" s="170" t="s">
        <v>2004</v>
      </c>
      <c r="F1541" s="135" t="s">
        <v>2005</v>
      </c>
      <c r="G1541" s="171" t="s">
        <v>88</v>
      </c>
      <c r="H1541" s="103" t="s">
        <v>2006</v>
      </c>
      <c r="I1541" s="30" t="e">
        <f>VLOOKUP(H1541,'合同高级查询数据-4月返'!A:A,1,FALSE)</f>
        <v>#N/A</v>
      </c>
      <c r="J1541" s="134" t="s">
        <v>162</v>
      </c>
      <c r="K1541" s="134"/>
      <c r="L1541" s="110" t="s">
        <v>2034</v>
      </c>
      <c r="M1541" s="113" t="s">
        <v>2009</v>
      </c>
      <c r="N1541" s="175">
        <v>44926</v>
      </c>
      <c r="O1541" s="176" t="s">
        <v>163</v>
      </c>
      <c r="P1541" s="209">
        <v>0</v>
      </c>
      <c r="Q1541" s="209">
        <v>-2</v>
      </c>
      <c r="R1541" s="130">
        <f t="shared" si="38"/>
        <v>0</v>
      </c>
      <c r="S1541" s="127">
        <v>202304</v>
      </c>
      <c r="T1541" s="211" t="s">
        <v>2035</v>
      </c>
      <c r="U1541" s="211"/>
      <c r="V1541" s="159"/>
      <c r="W1541" s="159"/>
      <c r="X1541" s="131"/>
      <c r="Y1541" s="131"/>
    </row>
    <row r="1542" s="86" customFormat="1" customHeight="1" spans="1:25">
      <c r="A1542" s="135" t="s">
        <v>446</v>
      </c>
      <c r="B1542" s="11" t="s">
        <v>62</v>
      </c>
      <c r="C1542" s="135" t="s">
        <v>153</v>
      </c>
      <c r="D1542" s="135" t="s">
        <v>951</v>
      </c>
      <c r="E1542" s="170" t="s">
        <v>2004</v>
      </c>
      <c r="F1542" s="135" t="s">
        <v>2005</v>
      </c>
      <c r="G1542" s="171" t="s">
        <v>88</v>
      </c>
      <c r="H1542" s="103" t="s">
        <v>2006</v>
      </c>
      <c r="I1542" s="30" t="e">
        <f>VLOOKUP(H1542,'合同高级查询数据-4月返'!A:A,1,FALSE)</f>
        <v>#N/A</v>
      </c>
      <c r="J1542" s="134" t="s">
        <v>162</v>
      </c>
      <c r="K1542" s="134"/>
      <c r="L1542" s="110" t="s">
        <v>2036</v>
      </c>
      <c r="M1542" s="113" t="s">
        <v>2009</v>
      </c>
      <c r="N1542" s="175">
        <v>44531</v>
      </c>
      <c r="O1542" s="176" t="s">
        <v>163</v>
      </c>
      <c r="P1542" s="209">
        <v>0</v>
      </c>
      <c r="Q1542" s="209">
        <v>2</v>
      </c>
      <c r="R1542" s="130">
        <f t="shared" si="38"/>
        <v>0</v>
      </c>
      <c r="S1542" s="127">
        <v>202304</v>
      </c>
      <c r="T1542" s="211" t="s">
        <v>2037</v>
      </c>
      <c r="U1542" s="211"/>
      <c r="V1542" s="159"/>
      <c r="W1542" s="159"/>
      <c r="X1542" s="131"/>
      <c r="Y1542" s="131"/>
    </row>
    <row r="1543" s="86" customFormat="1" customHeight="1" spans="1:25">
      <c r="A1543" s="135" t="s">
        <v>446</v>
      </c>
      <c r="B1543" s="11" t="s">
        <v>62</v>
      </c>
      <c r="C1543" s="135" t="s">
        <v>153</v>
      </c>
      <c r="D1543" s="135" t="s">
        <v>951</v>
      </c>
      <c r="E1543" s="170" t="s">
        <v>2004</v>
      </c>
      <c r="F1543" s="135" t="s">
        <v>2005</v>
      </c>
      <c r="G1543" s="171" t="s">
        <v>88</v>
      </c>
      <c r="H1543" s="103" t="s">
        <v>2006</v>
      </c>
      <c r="I1543" s="30" t="e">
        <f>VLOOKUP(H1543,'合同高级查询数据-4月返'!A:A,1,FALSE)</f>
        <v>#N/A</v>
      </c>
      <c r="J1543" s="134" t="s">
        <v>162</v>
      </c>
      <c r="K1543" s="134"/>
      <c r="L1543" s="110" t="s">
        <v>2036</v>
      </c>
      <c r="M1543" s="113" t="s">
        <v>2009</v>
      </c>
      <c r="N1543" s="175">
        <v>44926</v>
      </c>
      <c r="O1543" s="176" t="s">
        <v>163</v>
      </c>
      <c r="P1543" s="209">
        <v>0</v>
      </c>
      <c r="Q1543" s="209">
        <v>-2</v>
      </c>
      <c r="R1543" s="130">
        <f t="shared" si="38"/>
        <v>0</v>
      </c>
      <c r="S1543" s="127">
        <v>202304</v>
      </c>
      <c r="T1543" s="211" t="s">
        <v>2037</v>
      </c>
      <c r="U1543" s="211"/>
      <c r="V1543" s="159"/>
      <c r="W1543" s="159"/>
      <c r="X1543" s="131"/>
      <c r="Y1543" s="131"/>
    </row>
    <row r="1544" s="86" customFormat="1" customHeight="1" spans="1:25">
      <c r="A1544" s="135" t="s">
        <v>446</v>
      </c>
      <c r="B1544" s="11" t="s">
        <v>62</v>
      </c>
      <c r="C1544" s="135" t="s">
        <v>153</v>
      </c>
      <c r="D1544" s="135" t="s">
        <v>951</v>
      </c>
      <c r="E1544" s="170" t="s">
        <v>2004</v>
      </c>
      <c r="F1544" s="135" t="s">
        <v>2005</v>
      </c>
      <c r="G1544" s="171" t="s">
        <v>31</v>
      </c>
      <c r="H1544" s="103" t="s">
        <v>2006</v>
      </c>
      <c r="I1544" s="30" t="e">
        <f>VLOOKUP(H1544,'合同高级查询数据-4月返'!A:A,1,FALSE)</f>
        <v>#N/A</v>
      </c>
      <c r="J1544" s="134" t="s">
        <v>33</v>
      </c>
      <c r="K1544" s="134"/>
      <c r="L1544" s="110" t="s">
        <v>2034</v>
      </c>
      <c r="M1544" s="113"/>
      <c r="N1544" s="175">
        <v>44531</v>
      </c>
      <c r="O1544" s="176"/>
      <c r="P1544" s="209">
        <v>0</v>
      </c>
      <c r="Q1544" s="209">
        <f>128+160</f>
        <v>288</v>
      </c>
      <c r="R1544" s="130">
        <f t="shared" si="38"/>
        <v>0</v>
      </c>
      <c r="S1544" s="127">
        <v>202304</v>
      </c>
      <c r="T1544" s="211" t="s">
        <v>2038</v>
      </c>
      <c r="U1544" s="211"/>
      <c r="V1544" s="159"/>
      <c r="W1544" s="159"/>
      <c r="X1544" s="131"/>
      <c r="Y1544" s="131"/>
    </row>
    <row r="1545" s="86" customFormat="1" customHeight="1" spans="1:25">
      <c r="A1545" s="135" t="s">
        <v>446</v>
      </c>
      <c r="B1545" s="11" t="s">
        <v>62</v>
      </c>
      <c r="C1545" s="135" t="s">
        <v>153</v>
      </c>
      <c r="D1545" s="135" t="s">
        <v>951</v>
      </c>
      <c r="E1545" s="170" t="s">
        <v>2004</v>
      </c>
      <c r="F1545" s="135" t="s">
        <v>2005</v>
      </c>
      <c r="G1545" s="171" t="s">
        <v>31</v>
      </c>
      <c r="H1545" s="103" t="s">
        <v>2006</v>
      </c>
      <c r="I1545" s="30" t="e">
        <f>VLOOKUP(H1545,'合同高级查询数据-4月返'!A:A,1,FALSE)</f>
        <v>#N/A</v>
      </c>
      <c r="J1545" s="134" t="s">
        <v>33</v>
      </c>
      <c r="K1545" s="134"/>
      <c r="L1545" s="110" t="s">
        <v>2034</v>
      </c>
      <c r="M1545" s="113"/>
      <c r="N1545" s="175">
        <v>44926</v>
      </c>
      <c r="O1545" s="176"/>
      <c r="P1545" s="209">
        <v>0</v>
      </c>
      <c r="Q1545" s="209">
        <v>-288</v>
      </c>
      <c r="R1545" s="130">
        <f t="shared" si="38"/>
        <v>0</v>
      </c>
      <c r="S1545" s="127">
        <v>202304</v>
      </c>
      <c r="T1545" s="211" t="s">
        <v>2038</v>
      </c>
      <c r="U1545" s="211"/>
      <c r="V1545" s="159"/>
      <c r="W1545" s="159"/>
      <c r="X1545" s="131"/>
      <c r="Y1545" s="131"/>
    </row>
    <row r="1546" s="86" customFormat="1" customHeight="1" spans="1:25">
      <c r="A1546" s="135" t="s">
        <v>446</v>
      </c>
      <c r="B1546" s="11" t="s">
        <v>62</v>
      </c>
      <c r="C1546" s="135" t="s">
        <v>153</v>
      </c>
      <c r="D1546" s="135" t="s">
        <v>951</v>
      </c>
      <c r="E1546" s="170" t="s">
        <v>2004</v>
      </c>
      <c r="F1546" s="135" t="s">
        <v>2005</v>
      </c>
      <c r="G1546" s="171" t="s">
        <v>31</v>
      </c>
      <c r="H1546" s="103" t="s">
        <v>2006</v>
      </c>
      <c r="I1546" s="30" t="e">
        <f>VLOOKUP(H1546,'合同高级查询数据-4月返'!A:A,1,FALSE)</f>
        <v>#N/A</v>
      </c>
      <c r="J1546" s="134" t="s">
        <v>33</v>
      </c>
      <c r="K1546" s="134"/>
      <c r="L1546" s="110" t="s">
        <v>2036</v>
      </c>
      <c r="M1546" s="113"/>
      <c r="N1546" s="175">
        <v>44531</v>
      </c>
      <c r="O1546" s="176"/>
      <c r="P1546" s="209">
        <v>0</v>
      </c>
      <c r="Q1546" s="209">
        <v>160</v>
      </c>
      <c r="R1546" s="130">
        <f t="shared" si="38"/>
        <v>0</v>
      </c>
      <c r="S1546" s="127">
        <v>202304</v>
      </c>
      <c r="T1546" s="211" t="s">
        <v>2039</v>
      </c>
      <c r="U1546" s="211"/>
      <c r="V1546" s="159"/>
      <c r="W1546" s="159"/>
      <c r="X1546" s="131"/>
      <c r="Y1546" s="131"/>
    </row>
    <row r="1547" s="86" customFormat="1" customHeight="1" spans="1:25">
      <c r="A1547" s="135" t="s">
        <v>446</v>
      </c>
      <c r="B1547" s="11" t="s">
        <v>62</v>
      </c>
      <c r="C1547" s="135" t="s">
        <v>153</v>
      </c>
      <c r="D1547" s="135" t="s">
        <v>951</v>
      </c>
      <c r="E1547" s="170" t="s">
        <v>2004</v>
      </c>
      <c r="F1547" s="135" t="s">
        <v>2005</v>
      </c>
      <c r="G1547" s="171" t="s">
        <v>31</v>
      </c>
      <c r="H1547" s="103" t="s">
        <v>2006</v>
      </c>
      <c r="I1547" s="30" t="e">
        <f>VLOOKUP(H1547,'合同高级查询数据-4月返'!A:A,1,FALSE)</f>
        <v>#N/A</v>
      </c>
      <c r="J1547" s="134" t="s">
        <v>33</v>
      </c>
      <c r="K1547" s="134"/>
      <c r="L1547" s="110" t="s">
        <v>2036</v>
      </c>
      <c r="M1547" s="113"/>
      <c r="N1547" s="175">
        <v>44926</v>
      </c>
      <c r="O1547" s="176"/>
      <c r="P1547" s="209">
        <v>0</v>
      </c>
      <c r="Q1547" s="209">
        <v>-160</v>
      </c>
      <c r="R1547" s="130">
        <f t="shared" si="38"/>
        <v>0</v>
      </c>
      <c r="S1547" s="127">
        <v>202304</v>
      </c>
      <c r="T1547" s="211" t="s">
        <v>2039</v>
      </c>
      <c r="U1547" s="211"/>
      <c r="V1547" s="159"/>
      <c r="W1547" s="159"/>
      <c r="X1547" s="131"/>
      <c r="Y1547" s="131"/>
    </row>
    <row r="1548" s="85" customFormat="1" customHeight="1" spans="1:25">
      <c r="A1548" s="98" t="s">
        <v>446</v>
      </c>
      <c r="B1548" s="24" t="s">
        <v>62</v>
      </c>
      <c r="C1548" s="98" t="s">
        <v>153</v>
      </c>
      <c r="D1548" s="98" t="s">
        <v>951</v>
      </c>
      <c r="E1548" s="161" t="s">
        <v>2004</v>
      </c>
      <c r="F1548" s="98" t="s">
        <v>2005</v>
      </c>
      <c r="G1548" s="172" t="s">
        <v>346</v>
      </c>
      <c r="H1548" s="100" t="s">
        <v>2040</v>
      </c>
      <c r="I1548" s="46" t="e">
        <f>VLOOKUP(H1548,'合同高级查询数据-4月返'!A:A,1,FALSE)</f>
        <v>#N/A</v>
      </c>
      <c r="J1548" s="160" t="s">
        <v>346</v>
      </c>
      <c r="K1548" s="160" t="s">
        <v>2041</v>
      </c>
      <c r="L1548" s="179"/>
      <c r="M1548" s="49"/>
      <c r="N1548" s="180">
        <v>43704</v>
      </c>
      <c r="O1548" s="181" t="s">
        <v>2042</v>
      </c>
      <c r="P1548" s="208">
        <v>260000</v>
      </c>
      <c r="Q1548" s="208">
        <v>1</v>
      </c>
      <c r="R1548" s="118">
        <f t="shared" si="38"/>
        <v>260000</v>
      </c>
      <c r="S1548" s="115">
        <v>202304</v>
      </c>
      <c r="T1548" s="186" t="s">
        <v>2043</v>
      </c>
      <c r="U1548" s="186"/>
      <c r="V1548" s="120"/>
      <c r="W1548" s="120"/>
      <c r="X1548" s="116">
        <v>44800</v>
      </c>
      <c r="Y1548" s="116">
        <v>45164</v>
      </c>
    </row>
    <row r="1549" s="85" customFormat="1" customHeight="1" spans="1:25">
      <c r="A1549" s="98" t="s">
        <v>446</v>
      </c>
      <c r="B1549" s="24" t="s">
        <v>62</v>
      </c>
      <c r="C1549" s="98" t="s">
        <v>153</v>
      </c>
      <c r="D1549" s="98" t="s">
        <v>951</v>
      </c>
      <c r="E1549" s="161" t="s">
        <v>2004</v>
      </c>
      <c r="F1549" s="98" t="s">
        <v>2005</v>
      </c>
      <c r="G1549" s="172" t="s">
        <v>346</v>
      </c>
      <c r="H1549" s="100" t="s">
        <v>2040</v>
      </c>
      <c r="I1549" s="46" t="e">
        <f>VLOOKUP(H1549,'合同高级查询数据-4月返'!A:A,1,FALSE)</f>
        <v>#N/A</v>
      </c>
      <c r="J1549" s="160" t="s">
        <v>346</v>
      </c>
      <c r="K1549" s="160" t="s">
        <v>2044</v>
      </c>
      <c r="L1549" s="179"/>
      <c r="M1549" s="49"/>
      <c r="N1549" s="180">
        <v>43704</v>
      </c>
      <c r="O1549" s="181" t="s">
        <v>2042</v>
      </c>
      <c r="P1549" s="208">
        <v>260000</v>
      </c>
      <c r="Q1549" s="208">
        <v>1</v>
      </c>
      <c r="R1549" s="118">
        <f t="shared" ref="R1549:R1559" si="39">ROUND(P1549*Q1549,2)</f>
        <v>260000</v>
      </c>
      <c r="S1549" s="115">
        <v>202304</v>
      </c>
      <c r="T1549" s="186" t="s">
        <v>2045</v>
      </c>
      <c r="U1549" s="186"/>
      <c r="V1549" s="120"/>
      <c r="W1549" s="120"/>
      <c r="X1549" s="116">
        <v>44800</v>
      </c>
      <c r="Y1549" s="116">
        <v>45164</v>
      </c>
    </row>
    <row r="1550" s="86" customFormat="1" customHeight="1" spans="1:25">
      <c r="A1550" s="135" t="s">
        <v>446</v>
      </c>
      <c r="B1550" s="11" t="s">
        <v>62</v>
      </c>
      <c r="C1550" s="135" t="s">
        <v>153</v>
      </c>
      <c r="D1550" s="135" t="s">
        <v>951</v>
      </c>
      <c r="E1550" s="170" t="s">
        <v>2004</v>
      </c>
      <c r="F1550" s="135" t="s">
        <v>2005</v>
      </c>
      <c r="G1550" s="171" t="s">
        <v>88</v>
      </c>
      <c r="H1550" s="103" t="s">
        <v>2046</v>
      </c>
      <c r="I1550" s="30" t="e">
        <f>VLOOKUP(H1550,'合同高级查询数据-4月返'!A:A,1,FALSE)</f>
        <v>#N/A</v>
      </c>
      <c r="J1550" s="134" t="s">
        <v>162</v>
      </c>
      <c r="K1550" s="134"/>
      <c r="L1550" s="110" t="s">
        <v>2047</v>
      </c>
      <c r="M1550" s="113" t="s">
        <v>2009</v>
      </c>
      <c r="N1550" s="175">
        <v>44228</v>
      </c>
      <c r="O1550" s="176" t="s">
        <v>163</v>
      </c>
      <c r="P1550" s="209">
        <v>0</v>
      </c>
      <c r="Q1550" s="209">
        <v>4</v>
      </c>
      <c r="R1550" s="130">
        <f t="shared" si="39"/>
        <v>0</v>
      </c>
      <c r="S1550" s="127">
        <v>202304</v>
      </c>
      <c r="T1550" s="211" t="s">
        <v>2048</v>
      </c>
      <c r="U1550" s="211"/>
      <c r="V1550" s="159"/>
      <c r="W1550" s="159"/>
      <c r="X1550" s="131"/>
      <c r="Y1550" s="131"/>
    </row>
    <row r="1551" s="86" customFormat="1" customHeight="1" spans="1:25">
      <c r="A1551" s="135" t="s">
        <v>446</v>
      </c>
      <c r="B1551" s="11" t="s">
        <v>62</v>
      </c>
      <c r="C1551" s="135" t="s">
        <v>153</v>
      </c>
      <c r="D1551" s="135" t="s">
        <v>951</v>
      </c>
      <c r="E1551" s="170" t="s">
        <v>2004</v>
      </c>
      <c r="F1551" s="135" t="s">
        <v>2005</v>
      </c>
      <c r="G1551" s="171" t="s">
        <v>88</v>
      </c>
      <c r="H1551" s="103" t="s">
        <v>2046</v>
      </c>
      <c r="I1551" s="30" t="e">
        <f>VLOOKUP(H1551,'合同高级查询数据-4月返'!A:A,1,FALSE)</f>
        <v>#N/A</v>
      </c>
      <c r="J1551" s="134" t="s">
        <v>162</v>
      </c>
      <c r="K1551" s="134"/>
      <c r="L1551" s="110" t="s">
        <v>2047</v>
      </c>
      <c r="M1551" s="113" t="s">
        <v>2009</v>
      </c>
      <c r="N1551" s="175">
        <v>44573</v>
      </c>
      <c r="O1551" s="176" t="s">
        <v>163</v>
      </c>
      <c r="P1551" s="209">
        <v>0</v>
      </c>
      <c r="Q1551" s="209">
        <v>-1</v>
      </c>
      <c r="R1551" s="130">
        <f t="shared" si="39"/>
        <v>0</v>
      </c>
      <c r="S1551" s="127">
        <v>202304</v>
      </c>
      <c r="T1551" s="211" t="s">
        <v>2049</v>
      </c>
      <c r="U1551" s="211"/>
      <c r="V1551" s="159"/>
      <c r="W1551" s="159"/>
      <c r="X1551" s="131"/>
      <c r="Y1551" s="131"/>
    </row>
    <row r="1552" s="86" customFormat="1" customHeight="1" spans="1:25">
      <c r="A1552" s="135" t="s">
        <v>446</v>
      </c>
      <c r="B1552" s="11" t="s">
        <v>62</v>
      </c>
      <c r="C1552" s="135" t="s">
        <v>153</v>
      </c>
      <c r="D1552" s="135" t="s">
        <v>951</v>
      </c>
      <c r="E1552" s="170" t="s">
        <v>2004</v>
      </c>
      <c r="F1552" s="135" t="s">
        <v>2005</v>
      </c>
      <c r="G1552" s="171" t="s">
        <v>88</v>
      </c>
      <c r="H1552" s="103" t="s">
        <v>2046</v>
      </c>
      <c r="I1552" s="30" t="e">
        <f>VLOOKUP(H1552,'合同高级查询数据-4月返'!A:A,1,FALSE)</f>
        <v>#N/A</v>
      </c>
      <c r="J1552" s="134" t="s">
        <v>162</v>
      </c>
      <c r="K1552" s="134"/>
      <c r="L1552" s="110" t="s">
        <v>2047</v>
      </c>
      <c r="M1552" s="113" t="s">
        <v>2009</v>
      </c>
      <c r="N1552" s="175">
        <v>44883</v>
      </c>
      <c r="O1552" s="176" t="s">
        <v>163</v>
      </c>
      <c r="P1552" s="209">
        <v>0</v>
      </c>
      <c r="Q1552" s="209">
        <v>-3</v>
      </c>
      <c r="R1552" s="130">
        <f t="shared" si="39"/>
        <v>0</v>
      </c>
      <c r="S1552" s="127">
        <v>202304</v>
      </c>
      <c r="T1552" s="211" t="s">
        <v>2050</v>
      </c>
      <c r="U1552" s="211"/>
      <c r="V1552" s="159"/>
      <c r="W1552" s="159"/>
      <c r="X1552" s="131"/>
      <c r="Y1552" s="131"/>
    </row>
    <row r="1553" s="86" customFormat="1" customHeight="1" spans="1:25">
      <c r="A1553" s="135" t="s">
        <v>446</v>
      </c>
      <c r="B1553" s="11" t="s">
        <v>62</v>
      </c>
      <c r="C1553" s="135" t="s">
        <v>153</v>
      </c>
      <c r="D1553" s="135" t="s">
        <v>951</v>
      </c>
      <c r="E1553" s="170" t="s">
        <v>2004</v>
      </c>
      <c r="F1553" s="135" t="s">
        <v>2005</v>
      </c>
      <c r="G1553" s="171" t="s">
        <v>88</v>
      </c>
      <c r="H1553" s="103" t="s">
        <v>2046</v>
      </c>
      <c r="I1553" s="30" t="e">
        <f>VLOOKUP(H1553,'合同高级查询数据-4月返'!A:A,1,FALSE)</f>
        <v>#N/A</v>
      </c>
      <c r="J1553" s="134" t="s">
        <v>162</v>
      </c>
      <c r="K1553" s="134"/>
      <c r="L1553" s="110" t="s">
        <v>2047</v>
      </c>
      <c r="M1553" s="113" t="s">
        <v>2009</v>
      </c>
      <c r="N1553" s="175">
        <v>44896</v>
      </c>
      <c r="O1553" s="176" t="s">
        <v>163</v>
      </c>
      <c r="P1553" s="209">
        <v>0</v>
      </c>
      <c r="Q1553" s="209">
        <v>3</v>
      </c>
      <c r="R1553" s="130">
        <f t="shared" si="39"/>
        <v>0</v>
      </c>
      <c r="S1553" s="127">
        <v>202304</v>
      </c>
      <c r="T1553" s="211" t="s">
        <v>2051</v>
      </c>
      <c r="U1553" s="211"/>
      <c r="V1553" s="159"/>
      <c r="W1553" s="159"/>
      <c r="X1553" s="131"/>
      <c r="Y1553" s="131"/>
    </row>
    <row r="1554" s="86" customFormat="1" customHeight="1" spans="1:25">
      <c r="A1554" s="135" t="s">
        <v>446</v>
      </c>
      <c r="B1554" s="11" t="s">
        <v>62</v>
      </c>
      <c r="C1554" s="135" t="s">
        <v>153</v>
      </c>
      <c r="D1554" s="135" t="s">
        <v>951</v>
      </c>
      <c r="E1554" s="170" t="s">
        <v>2004</v>
      </c>
      <c r="F1554" s="135" t="s">
        <v>2005</v>
      </c>
      <c r="G1554" s="171" t="s">
        <v>31</v>
      </c>
      <c r="H1554" s="103" t="s">
        <v>2046</v>
      </c>
      <c r="I1554" s="30" t="e">
        <f>VLOOKUP(H1554,'合同高级查询数据-4月返'!A:A,1,FALSE)</f>
        <v>#N/A</v>
      </c>
      <c r="J1554" s="134" t="s">
        <v>33</v>
      </c>
      <c r="K1554" s="134"/>
      <c r="L1554" s="110" t="s">
        <v>2047</v>
      </c>
      <c r="M1554" s="113"/>
      <c r="N1554" s="175">
        <v>44228</v>
      </c>
      <c r="O1554" s="176"/>
      <c r="P1554" s="209">
        <v>0</v>
      </c>
      <c r="Q1554" s="209">
        <v>288</v>
      </c>
      <c r="R1554" s="130">
        <f t="shared" si="39"/>
        <v>0</v>
      </c>
      <c r="S1554" s="127">
        <v>202304</v>
      </c>
      <c r="T1554" s="211" t="s">
        <v>2052</v>
      </c>
      <c r="U1554" s="211"/>
      <c r="V1554" s="159"/>
      <c r="W1554" s="159"/>
      <c r="X1554" s="131"/>
      <c r="Y1554" s="131"/>
    </row>
    <row r="1555" s="86" customFormat="1" customHeight="1" spans="1:25">
      <c r="A1555" s="135" t="s">
        <v>446</v>
      </c>
      <c r="B1555" s="11" t="s">
        <v>62</v>
      </c>
      <c r="C1555" s="135" t="s">
        <v>153</v>
      </c>
      <c r="D1555" s="135" t="s">
        <v>951</v>
      </c>
      <c r="E1555" s="170" t="s">
        <v>2004</v>
      </c>
      <c r="F1555" s="135" t="s">
        <v>2005</v>
      </c>
      <c r="G1555" s="171" t="s">
        <v>31</v>
      </c>
      <c r="H1555" s="103" t="s">
        <v>2046</v>
      </c>
      <c r="I1555" s="30" t="e">
        <f>VLOOKUP(H1555,'合同高级查询数据-4月返'!A:A,1,FALSE)</f>
        <v>#N/A</v>
      </c>
      <c r="J1555" s="134" t="s">
        <v>33</v>
      </c>
      <c r="K1555" s="134"/>
      <c r="L1555" s="110" t="s">
        <v>2047</v>
      </c>
      <c r="M1555" s="113"/>
      <c r="N1555" s="175">
        <v>44883</v>
      </c>
      <c r="O1555" s="176"/>
      <c r="P1555" s="209">
        <v>0</v>
      </c>
      <c r="Q1555" s="209">
        <v>-288</v>
      </c>
      <c r="R1555" s="130">
        <f t="shared" si="39"/>
        <v>0</v>
      </c>
      <c r="S1555" s="127">
        <v>202304</v>
      </c>
      <c r="T1555" s="211" t="s">
        <v>2053</v>
      </c>
      <c r="U1555" s="211"/>
      <c r="V1555" s="159"/>
      <c r="W1555" s="159"/>
      <c r="X1555" s="131"/>
      <c r="Y1555" s="131"/>
    </row>
    <row r="1556" s="86" customFormat="1" customHeight="1" spans="1:25">
      <c r="A1556" s="135" t="s">
        <v>446</v>
      </c>
      <c r="B1556" s="11" t="s">
        <v>62</v>
      </c>
      <c r="C1556" s="135" t="s">
        <v>153</v>
      </c>
      <c r="D1556" s="135" t="s">
        <v>951</v>
      </c>
      <c r="E1556" s="170" t="s">
        <v>2004</v>
      </c>
      <c r="F1556" s="135" t="s">
        <v>2005</v>
      </c>
      <c r="G1556" s="171" t="s">
        <v>31</v>
      </c>
      <c r="H1556" s="103" t="s">
        <v>2046</v>
      </c>
      <c r="I1556" s="30" t="e">
        <f>VLOOKUP(H1556,'合同高级查询数据-4月返'!A:A,1,FALSE)</f>
        <v>#N/A</v>
      </c>
      <c r="J1556" s="134" t="s">
        <v>33</v>
      </c>
      <c r="K1556" s="134"/>
      <c r="L1556" s="110" t="s">
        <v>2047</v>
      </c>
      <c r="M1556" s="113"/>
      <c r="N1556" s="175">
        <v>44896</v>
      </c>
      <c r="O1556" s="176"/>
      <c r="P1556" s="209">
        <v>0</v>
      </c>
      <c r="Q1556" s="209">
        <v>288</v>
      </c>
      <c r="R1556" s="130">
        <f t="shared" si="39"/>
        <v>0</v>
      </c>
      <c r="S1556" s="127">
        <v>202304</v>
      </c>
      <c r="T1556" s="211" t="s">
        <v>2054</v>
      </c>
      <c r="U1556" s="211"/>
      <c r="V1556" s="159"/>
      <c r="W1556" s="159"/>
      <c r="X1556" s="131"/>
      <c r="Y1556" s="131"/>
    </row>
    <row r="1557" s="86" customFormat="1" customHeight="1" spans="1:25">
      <c r="A1557" s="135" t="s">
        <v>446</v>
      </c>
      <c r="B1557" s="11" t="s">
        <v>62</v>
      </c>
      <c r="C1557" s="135" t="s">
        <v>153</v>
      </c>
      <c r="D1557" s="135" t="s">
        <v>951</v>
      </c>
      <c r="E1557" s="170" t="s">
        <v>2004</v>
      </c>
      <c r="F1557" s="135" t="s">
        <v>2005</v>
      </c>
      <c r="G1557" s="171" t="s">
        <v>31</v>
      </c>
      <c r="H1557" s="103" t="s">
        <v>2055</v>
      </c>
      <c r="I1557" s="30" t="e">
        <f>VLOOKUP(H1557,'合同高级查询数据-4月返'!A:A,1,FALSE)</f>
        <v>#N/A</v>
      </c>
      <c r="J1557" s="134" t="s">
        <v>497</v>
      </c>
      <c r="K1557" s="134"/>
      <c r="L1557" s="174" t="s">
        <v>2056</v>
      </c>
      <c r="M1557" s="113"/>
      <c r="N1557" s="175" t="s">
        <v>1329</v>
      </c>
      <c r="O1557" s="176"/>
      <c r="P1557" s="209">
        <v>0</v>
      </c>
      <c r="Q1557" s="209">
        <v>1536</v>
      </c>
      <c r="R1557" s="130">
        <f t="shared" si="39"/>
        <v>0</v>
      </c>
      <c r="S1557" s="127">
        <v>202304</v>
      </c>
      <c r="T1557" s="211" t="s">
        <v>2057</v>
      </c>
      <c r="U1557" s="211"/>
      <c r="V1557" s="159"/>
      <c r="W1557" s="159"/>
      <c r="X1557" s="131"/>
      <c r="Y1557" s="131"/>
    </row>
    <row r="1558" s="86" customFormat="1" customHeight="1" spans="1:25">
      <c r="A1558" s="135" t="s">
        <v>446</v>
      </c>
      <c r="B1558" s="11" t="s">
        <v>62</v>
      </c>
      <c r="C1558" s="135" t="s">
        <v>153</v>
      </c>
      <c r="D1558" s="135" t="s">
        <v>951</v>
      </c>
      <c r="E1558" s="170" t="s">
        <v>2004</v>
      </c>
      <c r="F1558" s="135" t="s">
        <v>2005</v>
      </c>
      <c r="G1558" s="171" t="s">
        <v>88</v>
      </c>
      <c r="H1558" s="103" t="s">
        <v>2058</v>
      </c>
      <c r="I1558" s="30" t="e">
        <f>VLOOKUP(H1558,'合同高级查询数据-4月返'!A:A,1,FALSE)</f>
        <v>#N/A</v>
      </c>
      <c r="J1558" s="134" t="s">
        <v>162</v>
      </c>
      <c r="K1558" s="174"/>
      <c r="L1558" s="174" t="s">
        <v>2059</v>
      </c>
      <c r="M1558" s="113" t="s">
        <v>2060</v>
      </c>
      <c r="N1558" s="261">
        <v>44958</v>
      </c>
      <c r="O1558" s="263" t="s">
        <v>163</v>
      </c>
      <c r="P1558" s="209">
        <v>0</v>
      </c>
      <c r="Q1558" s="215">
        <v>3</v>
      </c>
      <c r="R1558" s="130">
        <f t="shared" si="39"/>
        <v>0</v>
      </c>
      <c r="S1558" s="127">
        <v>202304</v>
      </c>
      <c r="T1558" s="211" t="s">
        <v>2061</v>
      </c>
      <c r="U1558" s="264"/>
      <c r="V1558" s="131"/>
      <c r="W1558" s="131"/>
      <c r="X1558" s="131"/>
      <c r="Y1558" s="131"/>
    </row>
    <row r="1559" s="86" customFormat="1" customHeight="1" spans="1:25">
      <c r="A1559" s="135" t="s">
        <v>446</v>
      </c>
      <c r="B1559" s="11" t="s">
        <v>62</v>
      </c>
      <c r="C1559" s="135" t="s">
        <v>153</v>
      </c>
      <c r="D1559" s="135" t="s">
        <v>951</v>
      </c>
      <c r="E1559" s="170" t="s">
        <v>2004</v>
      </c>
      <c r="F1559" s="135" t="s">
        <v>2005</v>
      </c>
      <c r="G1559" s="171" t="s">
        <v>31</v>
      </c>
      <c r="H1559" s="103" t="s">
        <v>2058</v>
      </c>
      <c r="I1559" s="30" t="e">
        <f>VLOOKUP(H1559,'合同高级查询数据-4月返'!A:A,1,FALSE)</f>
        <v>#N/A</v>
      </c>
      <c r="J1559" s="134" t="s">
        <v>33</v>
      </c>
      <c r="K1559" s="134"/>
      <c r="L1559" s="110" t="s">
        <v>2059</v>
      </c>
      <c r="M1559" s="113" t="s">
        <v>2060</v>
      </c>
      <c r="N1559" s="175">
        <v>44958</v>
      </c>
      <c r="O1559" s="176"/>
      <c r="P1559" s="209">
        <v>0</v>
      </c>
      <c r="Q1559" s="209">
        <v>160</v>
      </c>
      <c r="R1559" s="130">
        <f t="shared" si="39"/>
        <v>0</v>
      </c>
      <c r="S1559" s="127">
        <v>202304</v>
      </c>
      <c r="T1559" s="211" t="s">
        <v>2062</v>
      </c>
      <c r="U1559" s="61"/>
      <c r="V1559" s="128"/>
      <c r="W1559" s="128"/>
      <c r="X1559" s="131"/>
      <c r="Y1559" s="131"/>
    </row>
    <row r="1560" s="86" customFormat="1" customHeight="1" spans="1:25">
      <c r="A1560" s="135" t="s">
        <v>446</v>
      </c>
      <c r="B1560" s="11" t="s">
        <v>62</v>
      </c>
      <c r="C1560" s="135" t="s">
        <v>153</v>
      </c>
      <c r="D1560" s="135" t="s">
        <v>951</v>
      </c>
      <c r="E1560" s="170" t="s">
        <v>2004</v>
      </c>
      <c r="F1560" s="135" t="s">
        <v>2005</v>
      </c>
      <c r="G1560" s="171" t="s">
        <v>88</v>
      </c>
      <c r="H1560" s="103" t="s">
        <v>2063</v>
      </c>
      <c r="I1560" s="30" t="e">
        <f>VLOOKUP(H1560,'合同高级查询数据-4月返'!A:A,1,FALSE)</f>
        <v>#N/A</v>
      </c>
      <c r="J1560" s="134" t="s">
        <v>90</v>
      </c>
      <c r="K1560" s="134" t="s">
        <v>2064</v>
      </c>
      <c r="L1560" s="174"/>
      <c r="M1560" s="113" t="s">
        <v>1505</v>
      </c>
      <c r="N1560" s="175">
        <v>43123</v>
      </c>
      <c r="O1560" s="176" t="s">
        <v>503</v>
      </c>
      <c r="P1560" s="209">
        <v>4866.67</v>
      </c>
      <c r="Q1560" s="209">
        <v>87</v>
      </c>
      <c r="R1560" s="130">
        <f>P1560*Q1560</f>
        <v>423400.29</v>
      </c>
      <c r="S1560" s="127">
        <v>202304</v>
      </c>
      <c r="T1560" s="211" t="s">
        <v>2065</v>
      </c>
      <c r="U1560" s="211"/>
      <c r="V1560" s="159"/>
      <c r="W1560" s="159"/>
      <c r="X1560" s="131"/>
      <c r="Y1560" s="131"/>
    </row>
    <row r="1561" s="86" customFormat="1" customHeight="1" spans="1:25">
      <c r="A1561" s="135" t="s">
        <v>446</v>
      </c>
      <c r="B1561" s="11" t="s">
        <v>62</v>
      </c>
      <c r="C1561" s="135" t="s">
        <v>153</v>
      </c>
      <c r="D1561" s="135" t="s">
        <v>951</v>
      </c>
      <c r="E1561" s="170" t="s">
        <v>2004</v>
      </c>
      <c r="F1561" s="135" t="s">
        <v>2005</v>
      </c>
      <c r="G1561" s="171" t="s">
        <v>88</v>
      </c>
      <c r="H1561" s="103" t="s">
        <v>2063</v>
      </c>
      <c r="I1561" s="30" t="e">
        <f>VLOOKUP(H1561,'合同高级查询数据-4月返'!A:A,1,FALSE)</f>
        <v>#N/A</v>
      </c>
      <c r="J1561" s="134" t="s">
        <v>90</v>
      </c>
      <c r="K1561" s="134" t="s">
        <v>2064</v>
      </c>
      <c r="L1561" s="174"/>
      <c r="M1561" s="113" t="s">
        <v>1505</v>
      </c>
      <c r="N1561" s="175">
        <v>43131</v>
      </c>
      <c r="O1561" s="176" t="s">
        <v>1419</v>
      </c>
      <c r="P1561" s="209">
        <v>14870.52</v>
      </c>
      <c r="Q1561" s="209">
        <v>6</v>
      </c>
      <c r="R1561" s="130">
        <f t="shared" ref="R1561:R1624" si="40">ROUND(P1561*Q1561,2)</f>
        <v>89223.12</v>
      </c>
      <c r="S1561" s="127">
        <v>202304</v>
      </c>
      <c r="T1561" s="211" t="s">
        <v>2066</v>
      </c>
      <c r="U1561" s="211"/>
      <c r="V1561" s="159"/>
      <c r="W1561" s="159"/>
      <c r="X1561" s="131"/>
      <c r="Y1561" s="131"/>
    </row>
    <row r="1562" s="86" customFormat="1" customHeight="1" spans="1:25">
      <c r="A1562" s="135" t="s">
        <v>446</v>
      </c>
      <c r="B1562" s="11" t="s">
        <v>62</v>
      </c>
      <c r="C1562" s="135" t="s">
        <v>153</v>
      </c>
      <c r="D1562" s="135" t="s">
        <v>951</v>
      </c>
      <c r="E1562" s="170" t="s">
        <v>2004</v>
      </c>
      <c r="F1562" s="135" t="s">
        <v>2005</v>
      </c>
      <c r="G1562" s="171" t="s">
        <v>88</v>
      </c>
      <c r="H1562" s="103" t="s">
        <v>2063</v>
      </c>
      <c r="I1562" s="30" t="e">
        <f>VLOOKUP(H1562,'合同高级查询数据-4月返'!A:A,1,FALSE)</f>
        <v>#N/A</v>
      </c>
      <c r="J1562" s="134" t="s">
        <v>90</v>
      </c>
      <c r="K1562" s="134" t="s">
        <v>2064</v>
      </c>
      <c r="L1562" s="174"/>
      <c r="M1562" s="113" t="s">
        <v>1505</v>
      </c>
      <c r="N1562" s="175">
        <v>43132</v>
      </c>
      <c r="O1562" s="176" t="s">
        <v>561</v>
      </c>
      <c r="P1562" s="209">
        <v>6488.59</v>
      </c>
      <c r="Q1562" s="209">
        <v>2</v>
      </c>
      <c r="R1562" s="130">
        <f t="shared" si="40"/>
        <v>12977.18</v>
      </c>
      <c r="S1562" s="127">
        <v>202304</v>
      </c>
      <c r="T1562" s="211" t="s">
        <v>2067</v>
      </c>
      <c r="U1562" s="211"/>
      <c r="V1562" s="159"/>
      <c r="W1562" s="159"/>
      <c r="X1562" s="131"/>
      <c r="Y1562" s="131"/>
    </row>
    <row r="1563" s="86" customFormat="1" customHeight="1" spans="1:25">
      <c r="A1563" s="135" t="s">
        <v>446</v>
      </c>
      <c r="B1563" s="11" t="s">
        <v>62</v>
      </c>
      <c r="C1563" s="135" t="s">
        <v>153</v>
      </c>
      <c r="D1563" s="135" t="s">
        <v>951</v>
      </c>
      <c r="E1563" s="170" t="s">
        <v>2004</v>
      </c>
      <c r="F1563" s="135" t="s">
        <v>2005</v>
      </c>
      <c r="G1563" s="171" t="s">
        <v>88</v>
      </c>
      <c r="H1563" s="103" t="s">
        <v>2063</v>
      </c>
      <c r="I1563" s="30" t="e">
        <f>VLOOKUP(H1563,'合同高级查询数据-4月返'!A:A,1,FALSE)</f>
        <v>#N/A</v>
      </c>
      <c r="J1563" s="134" t="s">
        <v>90</v>
      </c>
      <c r="K1563" s="134" t="s">
        <v>2064</v>
      </c>
      <c r="L1563" s="174"/>
      <c r="M1563" s="113" t="s">
        <v>1505</v>
      </c>
      <c r="N1563" s="175">
        <v>43131</v>
      </c>
      <c r="O1563" s="176" t="s">
        <v>564</v>
      </c>
      <c r="P1563" s="209">
        <v>8651.46</v>
      </c>
      <c r="Q1563" s="209">
        <v>1</v>
      </c>
      <c r="R1563" s="130">
        <f t="shared" si="40"/>
        <v>8651.46</v>
      </c>
      <c r="S1563" s="127">
        <v>202304</v>
      </c>
      <c r="T1563" s="211" t="s">
        <v>2068</v>
      </c>
      <c r="U1563" s="211"/>
      <c r="V1563" s="159"/>
      <c r="W1563" s="159"/>
      <c r="X1563" s="131"/>
      <c r="Y1563" s="131"/>
    </row>
    <row r="1564" s="86" customFormat="1" customHeight="1" spans="1:25">
      <c r="A1564" s="135" t="s">
        <v>446</v>
      </c>
      <c r="B1564" s="11" t="s">
        <v>62</v>
      </c>
      <c r="C1564" s="135" t="s">
        <v>153</v>
      </c>
      <c r="D1564" s="135" t="s">
        <v>951</v>
      </c>
      <c r="E1564" s="170" t="s">
        <v>2004</v>
      </c>
      <c r="F1564" s="135" t="s">
        <v>2005</v>
      </c>
      <c r="G1564" s="171" t="s">
        <v>88</v>
      </c>
      <c r="H1564" s="103" t="s">
        <v>2063</v>
      </c>
      <c r="I1564" s="30" t="e">
        <f>VLOOKUP(H1564,'合同高级查询数据-4月返'!A:A,1,FALSE)</f>
        <v>#N/A</v>
      </c>
      <c r="J1564" s="134" t="s">
        <v>90</v>
      </c>
      <c r="K1564" s="134" t="s">
        <v>2064</v>
      </c>
      <c r="L1564" s="174"/>
      <c r="M1564" s="113" t="s">
        <v>1505</v>
      </c>
      <c r="N1564" s="175">
        <v>43160</v>
      </c>
      <c r="O1564" s="176" t="s">
        <v>503</v>
      </c>
      <c r="P1564" s="209">
        <v>4866.67</v>
      </c>
      <c r="Q1564" s="209">
        <v>2</v>
      </c>
      <c r="R1564" s="130">
        <f t="shared" si="40"/>
        <v>9733.34</v>
      </c>
      <c r="S1564" s="127">
        <v>202304</v>
      </c>
      <c r="T1564" s="211" t="s">
        <v>2069</v>
      </c>
      <c r="U1564" s="211"/>
      <c r="V1564" s="159"/>
      <c r="W1564" s="159"/>
      <c r="X1564" s="131"/>
      <c r="Y1564" s="131"/>
    </row>
    <row r="1565" s="86" customFormat="1" customHeight="1" spans="1:25">
      <c r="A1565" s="135" t="s">
        <v>446</v>
      </c>
      <c r="B1565" s="11" t="s">
        <v>62</v>
      </c>
      <c r="C1565" s="135" t="s">
        <v>153</v>
      </c>
      <c r="D1565" s="135" t="s">
        <v>951</v>
      </c>
      <c r="E1565" s="170" t="s">
        <v>2004</v>
      </c>
      <c r="F1565" s="135" t="s">
        <v>2005</v>
      </c>
      <c r="G1565" s="171" t="s">
        <v>88</v>
      </c>
      <c r="H1565" s="103" t="s">
        <v>2063</v>
      </c>
      <c r="I1565" s="30" t="e">
        <f>VLOOKUP(H1565,'合同高级查询数据-4月返'!A:A,1,FALSE)</f>
        <v>#N/A</v>
      </c>
      <c r="J1565" s="134" t="s">
        <v>90</v>
      </c>
      <c r="K1565" s="134" t="s">
        <v>2064</v>
      </c>
      <c r="L1565" s="174"/>
      <c r="M1565" s="113" t="s">
        <v>1505</v>
      </c>
      <c r="N1565" s="175">
        <v>43231</v>
      </c>
      <c r="O1565" s="176" t="s">
        <v>503</v>
      </c>
      <c r="P1565" s="209">
        <v>4866.67</v>
      </c>
      <c r="Q1565" s="209">
        <v>2</v>
      </c>
      <c r="R1565" s="130">
        <f t="shared" si="40"/>
        <v>9733.34</v>
      </c>
      <c r="S1565" s="127">
        <v>202304</v>
      </c>
      <c r="T1565" s="211" t="s">
        <v>2070</v>
      </c>
      <c r="U1565" s="211"/>
      <c r="V1565" s="159"/>
      <c r="W1565" s="159"/>
      <c r="X1565" s="131"/>
      <c r="Y1565" s="131"/>
    </row>
    <row r="1566" s="86" customFormat="1" customHeight="1" spans="1:25">
      <c r="A1566" s="135" t="s">
        <v>446</v>
      </c>
      <c r="B1566" s="11" t="s">
        <v>62</v>
      </c>
      <c r="C1566" s="135" t="s">
        <v>153</v>
      </c>
      <c r="D1566" s="135" t="s">
        <v>951</v>
      </c>
      <c r="E1566" s="170" t="s">
        <v>2004</v>
      </c>
      <c r="F1566" s="135" t="s">
        <v>2005</v>
      </c>
      <c r="G1566" s="171" t="s">
        <v>88</v>
      </c>
      <c r="H1566" s="103" t="s">
        <v>2063</v>
      </c>
      <c r="I1566" s="30" t="e">
        <f>VLOOKUP(H1566,'合同高级查询数据-4月返'!A:A,1,FALSE)</f>
        <v>#N/A</v>
      </c>
      <c r="J1566" s="134" t="s">
        <v>90</v>
      </c>
      <c r="K1566" s="134" t="s">
        <v>2064</v>
      </c>
      <c r="L1566" s="174"/>
      <c r="M1566" s="113" t="s">
        <v>1505</v>
      </c>
      <c r="N1566" s="175">
        <v>43251</v>
      </c>
      <c r="O1566" s="176" t="s">
        <v>503</v>
      </c>
      <c r="P1566" s="209">
        <v>4866.67</v>
      </c>
      <c r="Q1566" s="209">
        <v>2</v>
      </c>
      <c r="R1566" s="130">
        <f t="shared" si="40"/>
        <v>9733.34</v>
      </c>
      <c r="S1566" s="127">
        <v>202304</v>
      </c>
      <c r="T1566" s="211" t="s">
        <v>2071</v>
      </c>
      <c r="U1566" s="211"/>
      <c r="V1566" s="159"/>
      <c r="W1566" s="159"/>
      <c r="X1566" s="131"/>
      <c r="Y1566" s="131"/>
    </row>
    <row r="1567" s="86" customFormat="1" customHeight="1" spans="1:25">
      <c r="A1567" s="135" t="s">
        <v>446</v>
      </c>
      <c r="B1567" s="11" t="s">
        <v>62</v>
      </c>
      <c r="C1567" s="135" t="s">
        <v>153</v>
      </c>
      <c r="D1567" s="135" t="s">
        <v>951</v>
      </c>
      <c r="E1567" s="170" t="s">
        <v>2004</v>
      </c>
      <c r="F1567" s="135" t="s">
        <v>2005</v>
      </c>
      <c r="G1567" s="171" t="s">
        <v>88</v>
      </c>
      <c r="H1567" s="103" t="s">
        <v>2063</v>
      </c>
      <c r="I1567" s="30" t="e">
        <f>VLOOKUP(H1567,'合同高级查询数据-4月返'!A:A,1,FALSE)</f>
        <v>#N/A</v>
      </c>
      <c r="J1567" s="134" t="s">
        <v>90</v>
      </c>
      <c r="K1567" s="134" t="s">
        <v>2064</v>
      </c>
      <c r="L1567" s="174"/>
      <c r="M1567" s="113" t="s">
        <v>1505</v>
      </c>
      <c r="N1567" s="175">
        <v>43252</v>
      </c>
      <c r="O1567" s="176" t="s">
        <v>503</v>
      </c>
      <c r="P1567" s="209">
        <v>4866.67</v>
      </c>
      <c r="Q1567" s="209">
        <v>1</v>
      </c>
      <c r="R1567" s="130">
        <f t="shared" si="40"/>
        <v>4866.67</v>
      </c>
      <c r="S1567" s="127">
        <v>202304</v>
      </c>
      <c r="T1567" s="211" t="s">
        <v>2072</v>
      </c>
      <c r="U1567" s="211"/>
      <c r="V1567" s="159"/>
      <c r="W1567" s="159"/>
      <c r="X1567" s="131"/>
      <c r="Y1567" s="131"/>
    </row>
    <row r="1568" s="86" customFormat="1" customHeight="1" spans="1:25">
      <c r="A1568" s="135" t="s">
        <v>446</v>
      </c>
      <c r="B1568" s="11" t="s">
        <v>62</v>
      </c>
      <c r="C1568" s="135" t="s">
        <v>153</v>
      </c>
      <c r="D1568" s="135" t="s">
        <v>951</v>
      </c>
      <c r="E1568" s="170" t="s">
        <v>2004</v>
      </c>
      <c r="F1568" s="135" t="s">
        <v>2005</v>
      </c>
      <c r="G1568" s="171" t="s">
        <v>88</v>
      </c>
      <c r="H1568" s="103" t="s">
        <v>2063</v>
      </c>
      <c r="I1568" s="30" t="e">
        <f>VLOOKUP(H1568,'合同高级查询数据-4月返'!A:A,1,FALSE)</f>
        <v>#N/A</v>
      </c>
      <c r="J1568" s="134" t="s">
        <v>90</v>
      </c>
      <c r="K1568" s="134" t="s">
        <v>2064</v>
      </c>
      <c r="L1568" s="174"/>
      <c r="M1568" s="113" t="s">
        <v>1505</v>
      </c>
      <c r="N1568" s="175">
        <v>43273</v>
      </c>
      <c r="O1568" s="176" t="s">
        <v>503</v>
      </c>
      <c r="P1568" s="209">
        <v>4866.67</v>
      </c>
      <c r="Q1568" s="209">
        <v>19</v>
      </c>
      <c r="R1568" s="130">
        <f t="shared" si="40"/>
        <v>92466.73</v>
      </c>
      <c r="S1568" s="127">
        <v>202304</v>
      </c>
      <c r="T1568" s="211" t="s">
        <v>2073</v>
      </c>
      <c r="U1568" s="211"/>
      <c r="V1568" s="159"/>
      <c r="W1568" s="159"/>
      <c r="X1568" s="131"/>
      <c r="Y1568" s="131"/>
    </row>
    <row r="1569" s="86" customFormat="1" customHeight="1" spans="1:25">
      <c r="A1569" s="135" t="s">
        <v>446</v>
      </c>
      <c r="B1569" s="11" t="s">
        <v>62</v>
      </c>
      <c r="C1569" s="135" t="s">
        <v>153</v>
      </c>
      <c r="D1569" s="135" t="s">
        <v>951</v>
      </c>
      <c r="E1569" s="170" t="s">
        <v>2004</v>
      </c>
      <c r="F1569" s="135" t="s">
        <v>2005</v>
      </c>
      <c r="G1569" s="171" t="s">
        <v>88</v>
      </c>
      <c r="H1569" s="103" t="s">
        <v>2063</v>
      </c>
      <c r="I1569" s="30" t="e">
        <f>VLOOKUP(H1569,'合同高级查询数据-4月返'!A:A,1,FALSE)</f>
        <v>#N/A</v>
      </c>
      <c r="J1569" s="134" t="s">
        <v>90</v>
      </c>
      <c r="K1569" s="134" t="s">
        <v>2064</v>
      </c>
      <c r="L1569" s="174"/>
      <c r="M1569" s="113" t="s">
        <v>1505</v>
      </c>
      <c r="N1569" s="175">
        <v>43276</v>
      </c>
      <c r="O1569" s="176" t="s">
        <v>503</v>
      </c>
      <c r="P1569" s="209">
        <v>4866.67</v>
      </c>
      <c r="Q1569" s="209">
        <v>1</v>
      </c>
      <c r="R1569" s="130">
        <f t="shared" si="40"/>
        <v>4866.67</v>
      </c>
      <c r="S1569" s="127">
        <v>202304</v>
      </c>
      <c r="T1569" s="211" t="s">
        <v>2074</v>
      </c>
      <c r="U1569" s="211"/>
      <c r="V1569" s="159"/>
      <c r="W1569" s="159"/>
      <c r="X1569" s="131"/>
      <c r="Y1569" s="131"/>
    </row>
    <row r="1570" s="86" customFormat="1" customHeight="1" spans="1:25">
      <c r="A1570" s="135" t="s">
        <v>446</v>
      </c>
      <c r="B1570" s="11" t="s">
        <v>62</v>
      </c>
      <c r="C1570" s="135" t="s">
        <v>153</v>
      </c>
      <c r="D1570" s="135" t="s">
        <v>951</v>
      </c>
      <c r="E1570" s="170" t="s">
        <v>2004</v>
      </c>
      <c r="F1570" s="135" t="s">
        <v>2005</v>
      </c>
      <c r="G1570" s="171" t="s">
        <v>88</v>
      </c>
      <c r="H1570" s="103" t="s">
        <v>2063</v>
      </c>
      <c r="I1570" s="30" t="e">
        <f>VLOOKUP(H1570,'合同高级查询数据-4月返'!A:A,1,FALSE)</f>
        <v>#N/A</v>
      </c>
      <c r="J1570" s="134" t="s">
        <v>90</v>
      </c>
      <c r="K1570" s="134" t="s">
        <v>2064</v>
      </c>
      <c r="L1570" s="174"/>
      <c r="M1570" s="113" t="s">
        <v>1505</v>
      </c>
      <c r="N1570" s="175">
        <v>43278</v>
      </c>
      <c r="O1570" s="176" t="s">
        <v>503</v>
      </c>
      <c r="P1570" s="209">
        <v>4866.67</v>
      </c>
      <c r="Q1570" s="209">
        <v>1</v>
      </c>
      <c r="R1570" s="130">
        <f t="shared" si="40"/>
        <v>4866.67</v>
      </c>
      <c r="S1570" s="127">
        <v>202304</v>
      </c>
      <c r="T1570" s="211" t="s">
        <v>2075</v>
      </c>
      <c r="U1570" s="211"/>
      <c r="V1570" s="159"/>
      <c r="W1570" s="159"/>
      <c r="X1570" s="131"/>
      <c r="Y1570" s="131"/>
    </row>
    <row r="1571" s="86" customFormat="1" customHeight="1" spans="1:25">
      <c r="A1571" s="135" t="s">
        <v>446</v>
      </c>
      <c r="B1571" s="11" t="s">
        <v>62</v>
      </c>
      <c r="C1571" s="135" t="s">
        <v>153</v>
      </c>
      <c r="D1571" s="135" t="s">
        <v>951</v>
      </c>
      <c r="E1571" s="170" t="s">
        <v>2004</v>
      </c>
      <c r="F1571" s="135" t="s">
        <v>2005</v>
      </c>
      <c r="G1571" s="171" t="s">
        <v>88</v>
      </c>
      <c r="H1571" s="103" t="s">
        <v>2063</v>
      </c>
      <c r="I1571" s="30" t="e">
        <f>VLOOKUP(H1571,'合同高级查询数据-4月返'!A:A,1,FALSE)</f>
        <v>#N/A</v>
      </c>
      <c r="J1571" s="134" t="s">
        <v>90</v>
      </c>
      <c r="K1571" s="134" t="s">
        <v>2064</v>
      </c>
      <c r="L1571" s="174"/>
      <c r="M1571" s="113" t="s">
        <v>1505</v>
      </c>
      <c r="N1571" s="175">
        <v>43301</v>
      </c>
      <c r="O1571" s="176" t="s">
        <v>503</v>
      </c>
      <c r="P1571" s="209">
        <v>4866.67</v>
      </c>
      <c r="Q1571" s="209">
        <v>9</v>
      </c>
      <c r="R1571" s="130">
        <f t="shared" si="40"/>
        <v>43800.03</v>
      </c>
      <c r="S1571" s="127">
        <v>202304</v>
      </c>
      <c r="T1571" s="211" t="s">
        <v>2076</v>
      </c>
      <c r="U1571" s="211"/>
      <c r="V1571" s="159"/>
      <c r="W1571" s="159"/>
      <c r="X1571" s="131"/>
      <c r="Y1571" s="131"/>
    </row>
    <row r="1572" s="86" customFormat="1" customHeight="1" spans="1:25">
      <c r="A1572" s="135" t="s">
        <v>446</v>
      </c>
      <c r="B1572" s="11" t="s">
        <v>62</v>
      </c>
      <c r="C1572" s="135" t="s">
        <v>153</v>
      </c>
      <c r="D1572" s="135" t="s">
        <v>951</v>
      </c>
      <c r="E1572" s="170" t="s">
        <v>2004</v>
      </c>
      <c r="F1572" s="135" t="s">
        <v>2005</v>
      </c>
      <c r="G1572" s="171" t="s">
        <v>88</v>
      </c>
      <c r="H1572" s="103" t="s">
        <v>2063</v>
      </c>
      <c r="I1572" s="30" t="e">
        <f>VLOOKUP(H1572,'合同高级查询数据-4月返'!A:A,1,FALSE)</f>
        <v>#N/A</v>
      </c>
      <c r="J1572" s="134" t="s">
        <v>90</v>
      </c>
      <c r="K1572" s="134" t="s">
        <v>2064</v>
      </c>
      <c r="L1572" s="174"/>
      <c r="M1572" s="113" t="s">
        <v>1505</v>
      </c>
      <c r="N1572" s="175">
        <v>43306</v>
      </c>
      <c r="O1572" s="176" t="s">
        <v>503</v>
      </c>
      <c r="P1572" s="209">
        <v>4866.67</v>
      </c>
      <c r="Q1572" s="209">
        <v>4</v>
      </c>
      <c r="R1572" s="130">
        <f t="shared" si="40"/>
        <v>19466.68</v>
      </c>
      <c r="S1572" s="127">
        <v>202304</v>
      </c>
      <c r="T1572" s="211" t="s">
        <v>2077</v>
      </c>
      <c r="U1572" s="211"/>
      <c r="V1572" s="159"/>
      <c r="W1572" s="159"/>
      <c r="X1572" s="131"/>
      <c r="Y1572" s="131"/>
    </row>
    <row r="1573" s="86" customFormat="1" customHeight="1" spans="1:25">
      <c r="A1573" s="135" t="s">
        <v>446</v>
      </c>
      <c r="B1573" s="11" t="s">
        <v>62</v>
      </c>
      <c r="C1573" s="135" t="s">
        <v>153</v>
      </c>
      <c r="D1573" s="135" t="s">
        <v>951</v>
      </c>
      <c r="E1573" s="170" t="s">
        <v>2004</v>
      </c>
      <c r="F1573" s="135" t="s">
        <v>2005</v>
      </c>
      <c r="G1573" s="171" t="s">
        <v>88</v>
      </c>
      <c r="H1573" s="103" t="s">
        <v>2063</v>
      </c>
      <c r="I1573" s="30" t="e">
        <f>VLOOKUP(H1573,'合同高级查询数据-4月返'!A:A,1,FALSE)</f>
        <v>#N/A</v>
      </c>
      <c r="J1573" s="134" t="s">
        <v>90</v>
      </c>
      <c r="K1573" s="134" t="s">
        <v>2064</v>
      </c>
      <c r="L1573" s="174"/>
      <c r="M1573" s="113" t="s">
        <v>1505</v>
      </c>
      <c r="N1573" s="175">
        <v>43335</v>
      </c>
      <c r="O1573" s="176" t="s">
        <v>503</v>
      </c>
      <c r="P1573" s="209">
        <v>4866.67</v>
      </c>
      <c r="Q1573" s="209">
        <v>13</v>
      </c>
      <c r="R1573" s="130">
        <f t="shared" si="40"/>
        <v>63266.71</v>
      </c>
      <c r="S1573" s="127">
        <v>202304</v>
      </c>
      <c r="T1573" s="211" t="s">
        <v>2078</v>
      </c>
      <c r="U1573" s="211"/>
      <c r="V1573" s="159"/>
      <c r="W1573" s="159"/>
      <c r="X1573" s="131"/>
      <c r="Y1573" s="131"/>
    </row>
    <row r="1574" s="86" customFormat="1" customHeight="1" spans="1:25">
      <c r="A1574" s="135" t="s">
        <v>446</v>
      </c>
      <c r="B1574" s="11" t="s">
        <v>62</v>
      </c>
      <c r="C1574" s="135" t="s">
        <v>153</v>
      </c>
      <c r="D1574" s="135" t="s">
        <v>951</v>
      </c>
      <c r="E1574" s="170" t="s">
        <v>2004</v>
      </c>
      <c r="F1574" s="135" t="s">
        <v>2005</v>
      </c>
      <c r="G1574" s="171" t="s">
        <v>88</v>
      </c>
      <c r="H1574" s="103" t="s">
        <v>2063</v>
      </c>
      <c r="I1574" s="30" t="e">
        <f>VLOOKUP(H1574,'合同高级查询数据-4月返'!A:A,1,FALSE)</f>
        <v>#N/A</v>
      </c>
      <c r="J1574" s="134" t="s">
        <v>90</v>
      </c>
      <c r="K1574" s="134" t="s">
        <v>2064</v>
      </c>
      <c r="L1574" s="174"/>
      <c r="M1574" s="113" t="s">
        <v>1505</v>
      </c>
      <c r="N1574" s="175">
        <v>43336</v>
      </c>
      <c r="O1574" s="176" t="s">
        <v>503</v>
      </c>
      <c r="P1574" s="209">
        <v>4866.67</v>
      </c>
      <c r="Q1574" s="209">
        <v>1</v>
      </c>
      <c r="R1574" s="130">
        <f t="shared" si="40"/>
        <v>4866.67</v>
      </c>
      <c r="S1574" s="127">
        <v>202304</v>
      </c>
      <c r="T1574" s="211" t="s">
        <v>2079</v>
      </c>
      <c r="U1574" s="211"/>
      <c r="V1574" s="159"/>
      <c r="W1574" s="159"/>
      <c r="X1574" s="131"/>
      <c r="Y1574" s="131"/>
    </row>
    <row r="1575" s="86" customFormat="1" customHeight="1" spans="1:25">
      <c r="A1575" s="135" t="s">
        <v>446</v>
      </c>
      <c r="B1575" s="11" t="s">
        <v>62</v>
      </c>
      <c r="C1575" s="135" t="s">
        <v>153</v>
      </c>
      <c r="D1575" s="135" t="s">
        <v>951</v>
      </c>
      <c r="E1575" s="170" t="s">
        <v>2004</v>
      </c>
      <c r="F1575" s="135" t="s">
        <v>2005</v>
      </c>
      <c r="G1575" s="171" t="s">
        <v>88</v>
      </c>
      <c r="H1575" s="103" t="s">
        <v>2063</v>
      </c>
      <c r="I1575" s="30" t="e">
        <f>VLOOKUP(H1575,'合同高级查询数据-4月返'!A:A,1,FALSE)</f>
        <v>#N/A</v>
      </c>
      <c r="J1575" s="134" t="s">
        <v>90</v>
      </c>
      <c r="K1575" s="134" t="s">
        <v>2064</v>
      </c>
      <c r="L1575" s="174"/>
      <c r="M1575" s="113" t="s">
        <v>1505</v>
      </c>
      <c r="N1575" s="175">
        <v>43339</v>
      </c>
      <c r="O1575" s="176" t="s">
        <v>503</v>
      </c>
      <c r="P1575" s="209">
        <v>4866.67</v>
      </c>
      <c r="Q1575" s="209">
        <v>7</v>
      </c>
      <c r="R1575" s="130">
        <f t="shared" si="40"/>
        <v>34066.69</v>
      </c>
      <c r="S1575" s="127">
        <v>202304</v>
      </c>
      <c r="T1575" s="211" t="s">
        <v>2080</v>
      </c>
      <c r="U1575" s="211"/>
      <c r="V1575" s="159"/>
      <c r="W1575" s="159"/>
      <c r="X1575" s="131"/>
      <c r="Y1575" s="131"/>
    </row>
    <row r="1576" s="86" customFormat="1" customHeight="1" spans="1:25">
      <c r="A1576" s="135" t="s">
        <v>446</v>
      </c>
      <c r="B1576" s="11" t="s">
        <v>62</v>
      </c>
      <c r="C1576" s="135" t="s">
        <v>153</v>
      </c>
      <c r="D1576" s="135" t="s">
        <v>951</v>
      </c>
      <c r="E1576" s="170" t="s">
        <v>2004</v>
      </c>
      <c r="F1576" s="135" t="s">
        <v>2005</v>
      </c>
      <c r="G1576" s="171" t="s">
        <v>88</v>
      </c>
      <c r="H1576" s="103" t="s">
        <v>2063</v>
      </c>
      <c r="I1576" s="30" t="e">
        <f>VLOOKUP(H1576,'合同高级查询数据-4月返'!A:A,1,FALSE)</f>
        <v>#N/A</v>
      </c>
      <c r="J1576" s="134" t="s">
        <v>90</v>
      </c>
      <c r="K1576" s="134" t="s">
        <v>2064</v>
      </c>
      <c r="L1576" s="174"/>
      <c r="M1576" s="113" t="s">
        <v>1505</v>
      </c>
      <c r="N1576" s="175">
        <v>43346</v>
      </c>
      <c r="O1576" s="176" t="s">
        <v>503</v>
      </c>
      <c r="P1576" s="209">
        <v>4866.67</v>
      </c>
      <c r="Q1576" s="209">
        <v>10</v>
      </c>
      <c r="R1576" s="130">
        <f t="shared" si="40"/>
        <v>48666.7</v>
      </c>
      <c r="S1576" s="127">
        <v>202304</v>
      </c>
      <c r="T1576" s="211" t="s">
        <v>2081</v>
      </c>
      <c r="U1576" s="211"/>
      <c r="V1576" s="159"/>
      <c r="W1576" s="159"/>
      <c r="X1576" s="131"/>
      <c r="Y1576" s="131"/>
    </row>
    <row r="1577" s="86" customFormat="1" customHeight="1" spans="1:25">
      <c r="A1577" s="135" t="s">
        <v>446</v>
      </c>
      <c r="B1577" s="11" t="s">
        <v>62</v>
      </c>
      <c r="C1577" s="135" t="s">
        <v>153</v>
      </c>
      <c r="D1577" s="135" t="s">
        <v>951</v>
      </c>
      <c r="E1577" s="170" t="s">
        <v>2004</v>
      </c>
      <c r="F1577" s="135" t="s">
        <v>2005</v>
      </c>
      <c r="G1577" s="171" t="s">
        <v>88</v>
      </c>
      <c r="H1577" s="103" t="s">
        <v>2063</v>
      </c>
      <c r="I1577" s="30" t="e">
        <f>VLOOKUP(H1577,'合同高级查询数据-4月返'!A:A,1,FALSE)</f>
        <v>#N/A</v>
      </c>
      <c r="J1577" s="134" t="s">
        <v>90</v>
      </c>
      <c r="K1577" s="134" t="s">
        <v>2064</v>
      </c>
      <c r="L1577" s="174"/>
      <c r="M1577" s="113" t="s">
        <v>1505</v>
      </c>
      <c r="N1577" s="175">
        <v>43353</v>
      </c>
      <c r="O1577" s="176" t="s">
        <v>503</v>
      </c>
      <c r="P1577" s="209">
        <v>4866.67</v>
      </c>
      <c r="Q1577" s="209">
        <v>10</v>
      </c>
      <c r="R1577" s="130">
        <f t="shared" si="40"/>
        <v>48666.7</v>
      </c>
      <c r="S1577" s="127">
        <v>202304</v>
      </c>
      <c r="T1577" s="211" t="s">
        <v>2082</v>
      </c>
      <c r="U1577" s="211"/>
      <c r="V1577" s="159"/>
      <c r="W1577" s="159"/>
      <c r="X1577" s="131"/>
      <c r="Y1577" s="131"/>
    </row>
    <row r="1578" s="86" customFormat="1" customHeight="1" spans="1:25">
      <c r="A1578" s="135" t="s">
        <v>446</v>
      </c>
      <c r="B1578" s="11" t="s">
        <v>62</v>
      </c>
      <c r="C1578" s="135" t="s">
        <v>153</v>
      </c>
      <c r="D1578" s="135" t="s">
        <v>951</v>
      </c>
      <c r="E1578" s="170" t="s">
        <v>2004</v>
      </c>
      <c r="F1578" s="135" t="s">
        <v>2005</v>
      </c>
      <c r="G1578" s="171" t="s">
        <v>88</v>
      </c>
      <c r="H1578" s="103" t="s">
        <v>2063</v>
      </c>
      <c r="I1578" s="30" t="e">
        <f>VLOOKUP(H1578,'合同高级查询数据-4月返'!A:A,1,FALSE)</f>
        <v>#N/A</v>
      </c>
      <c r="J1578" s="134" t="s">
        <v>90</v>
      </c>
      <c r="K1578" s="134" t="s">
        <v>2064</v>
      </c>
      <c r="L1578" s="174"/>
      <c r="M1578" s="113" t="s">
        <v>1505</v>
      </c>
      <c r="N1578" s="175">
        <v>43360</v>
      </c>
      <c r="O1578" s="176" t="s">
        <v>503</v>
      </c>
      <c r="P1578" s="209">
        <v>4866.67</v>
      </c>
      <c r="Q1578" s="209">
        <v>1</v>
      </c>
      <c r="R1578" s="130">
        <f t="shared" si="40"/>
        <v>4866.67</v>
      </c>
      <c r="S1578" s="127">
        <v>202304</v>
      </c>
      <c r="T1578" s="211" t="s">
        <v>2083</v>
      </c>
      <c r="U1578" s="211"/>
      <c r="V1578" s="159"/>
      <c r="W1578" s="159"/>
      <c r="X1578" s="131"/>
      <c r="Y1578" s="131"/>
    </row>
    <row r="1579" s="86" customFormat="1" customHeight="1" spans="1:25">
      <c r="A1579" s="135" t="s">
        <v>446</v>
      </c>
      <c r="B1579" s="11" t="s">
        <v>62</v>
      </c>
      <c r="C1579" s="135" t="s">
        <v>153</v>
      </c>
      <c r="D1579" s="135" t="s">
        <v>951</v>
      </c>
      <c r="E1579" s="170" t="s">
        <v>2004</v>
      </c>
      <c r="F1579" s="135" t="s">
        <v>2005</v>
      </c>
      <c r="G1579" s="171" t="s">
        <v>88</v>
      </c>
      <c r="H1579" s="103" t="s">
        <v>2063</v>
      </c>
      <c r="I1579" s="30" t="e">
        <f>VLOOKUP(H1579,'合同高级查询数据-4月返'!A:A,1,FALSE)</f>
        <v>#N/A</v>
      </c>
      <c r="J1579" s="134" t="s">
        <v>90</v>
      </c>
      <c r="K1579" s="134" t="s">
        <v>2064</v>
      </c>
      <c r="L1579" s="174"/>
      <c r="M1579" s="113" t="s">
        <v>1505</v>
      </c>
      <c r="N1579" s="175">
        <v>43404</v>
      </c>
      <c r="O1579" s="176" t="s">
        <v>503</v>
      </c>
      <c r="P1579" s="209">
        <v>4866.67</v>
      </c>
      <c r="Q1579" s="209">
        <v>12</v>
      </c>
      <c r="R1579" s="130">
        <f t="shared" si="40"/>
        <v>58400.04</v>
      </c>
      <c r="S1579" s="127">
        <v>202304</v>
      </c>
      <c r="T1579" s="211" t="s">
        <v>2084</v>
      </c>
      <c r="U1579" s="211"/>
      <c r="V1579" s="159"/>
      <c r="W1579" s="159"/>
      <c r="X1579" s="131"/>
      <c r="Y1579" s="131"/>
    </row>
    <row r="1580" s="86" customFormat="1" customHeight="1" spans="1:25">
      <c r="A1580" s="135" t="s">
        <v>446</v>
      </c>
      <c r="B1580" s="11" t="s">
        <v>62</v>
      </c>
      <c r="C1580" s="135" t="s">
        <v>153</v>
      </c>
      <c r="D1580" s="135" t="s">
        <v>951</v>
      </c>
      <c r="E1580" s="170" t="s">
        <v>2004</v>
      </c>
      <c r="F1580" s="135" t="s">
        <v>2005</v>
      </c>
      <c r="G1580" s="171" t="s">
        <v>88</v>
      </c>
      <c r="H1580" s="103" t="s">
        <v>2063</v>
      </c>
      <c r="I1580" s="30" t="e">
        <f>VLOOKUP(H1580,'合同高级查询数据-4月返'!A:A,1,FALSE)</f>
        <v>#N/A</v>
      </c>
      <c r="J1580" s="134" t="s">
        <v>90</v>
      </c>
      <c r="K1580" s="134" t="s">
        <v>2064</v>
      </c>
      <c r="L1580" s="174"/>
      <c r="M1580" s="113" t="s">
        <v>1505</v>
      </c>
      <c r="N1580" s="175">
        <v>43412</v>
      </c>
      <c r="O1580" s="176" t="s">
        <v>503</v>
      </c>
      <c r="P1580" s="209">
        <v>4866.67</v>
      </c>
      <c r="Q1580" s="209">
        <v>25</v>
      </c>
      <c r="R1580" s="130">
        <f t="shared" si="40"/>
        <v>121666.75</v>
      </c>
      <c r="S1580" s="127">
        <v>202304</v>
      </c>
      <c r="T1580" s="211" t="s">
        <v>2085</v>
      </c>
      <c r="U1580" s="211"/>
      <c r="V1580" s="159"/>
      <c r="W1580" s="159"/>
      <c r="X1580" s="131"/>
      <c r="Y1580" s="131"/>
    </row>
    <row r="1581" s="86" customFormat="1" customHeight="1" spans="1:25">
      <c r="A1581" s="135" t="s">
        <v>446</v>
      </c>
      <c r="B1581" s="11" t="s">
        <v>62</v>
      </c>
      <c r="C1581" s="135" t="s">
        <v>153</v>
      </c>
      <c r="D1581" s="135" t="s">
        <v>951</v>
      </c>
      <c r="E1581" s="170" t="s">
        <v>2004</v>
      </c>
      <c r="F1581" s="135" t="s">
        <v>2005</v>
      </c>
      <c r="G1581" s="171" t="s">
        <v>88</v>
      </c>
      <c r="H1581" s="103" t="s">
        <v>2063</v>
      </c>
      <c r="I1581" s="30" t="e">
        <f>VLOOKUP(H1581,'合同高级查询数据-4月返'!A:A,1,FALSE)</f>
        <v>#N/A</v>
      </c>
      <c r="J1581" s="134" t="s">
        <v>90</v>
      </c>
      <c r="K1581" s="134" t="s">
        <v>2064</v>
      </c>
      <c r="L1581" s="174"/>
      <c r="M1581" s="113" t="s">
        <v>1505</v>
      </c>
      <c r="N1581" s="175">
        <v>43416</v>
      </c>
      <c r="O1581" s="176" t="s">
        <v>503</v>
      </c>
      <c r="P1581" s="209">
        <v>4866.67</v>
      </c>
      <c r="Q1581" s="209">
        <v>2</v>
      </c>
      <c r="R1581" s="130">
        <f t="shared" si="40"/>
        <v>9733.34</v>
      </c>
      <c r="S1581" s="127">
        <v>202304</v>
      </c>
      <c r="T1581" s="211" t="s">
        <v>2086</v>
      </c>
      <c r="U1581" s="211"/>
      <c r="V1581" s="159"/>
      <c r="W1581" s="159"/>
      <c r="X1581" s="131"/>
      <c r="Y1581" s="131"/>
    </row>
    <row r="1582" s="86" customFormat="1" customHeight="1" spans="1:25">
      <c r="A1582" s="135" t="s">
        <v>446</v>
      </c>
      <c r="B1582" s="11" t="s">
        <v>62</v>
      </c>
      <c r="C1582" s="135" t="s">
        <v>153</v>
      </c>
      <c r="D1582" s="135" t="s">
        <v>951</v>
      </c>
      <c r="E1582" s="170" t="s">
        <v>2004</v>
      </c>
      <c r="F1582" s="135" t="s">
        <v>2005</v>
      </c>
      <c r="G1582" s="171" t="s">
        <v>88</v>
      </c>
      <c r="H1582" s="103" t="s">
        <v>2063</v>
      </c>
      <c r="I1582" s="30" t="e">
        <f>VLOOKUP(H1582,'合同高级查询数据-4月返'!A:A,1,FALSE)</f>
        <v>#N/A</v>
      </c>
      <c r="J1582" s="134" t="s">
        <v>90</v>
      </c>
      <c r="K1582" s="134" t="s">
        <v>2064</v>
      </c>
      <c r="L1582" s="174"/>
      <c r="M1582" s="113" t="s">
        <v>1505</v>
      </c>
      <c r="N1582" s="175">
        <v>43417</v>
      </c>
      <c r="O1582" s="176" t="s">
        <v>503</v>
      </c>
      <c r="P1582" s="209">
        <v>4866.67</v>
      </c>
      <c r="Q1582" s="209">
        <v>9</v>
      </c>
      <c r="R1582" s="130">
        <f t="shared" si="40"/>
        <v>43800.03</v>
      </c>
      <c r="S1582" s="127">
        <v>202304</v>
      </c>
      <c r="T1582" s="211" t="s">
        <v>2087</v>
      </c>
      <c r="U1582" s="211"/>
      <c r="V1582" s="159"/>
      <c r="W1582" s="159"/>
      <c r="X1582" s="131"/>
      <c r="Y1582" s="131"/>
    </row>
    <row r="1583" s="86" customFormat="1" customHeight="1" spans="1:25">
      <c r="A1583" s="135" t="s">
        <v>446</v>
      </c>
      <c r="B1583" s="11" t="s">
        <v>62</v>
      </c>
      <c r="C1583" s="135" t="s">
        <v>153</v>
      </c>
      <c r="D1583" s="135" t="s">
        <v>951</v>
      </c>
      <c r="E1583" s="170" t="s">
        <v>2004</v>
      </c>
      <c r="F1583" s="135" t="s">
        <v>2005</v>
      </c>
      <c r="G1583" s="171" t="s">
        <v>88</v>
      </c>
      <c r="H1583" s="103" t="s">
        <v>2063</v>
      </c>
      <c r="I1583" s="30" t="e">
        <f>VLOOKUP(H1583,'合同高级查询数据-4月返'!A:A,1,FALSE)</f>
        <v>#N/A</v>
      </c>
      <c r="J1583" s="134" t="s">
        <v>90</v>
      </c>
      <c r="K1583" s="134" t="s">
        <v>2064</v>
      </c>
      <c r="L1583" s="174"/>
      <c r="M1583" s="113" t="s">
        <v>1505</v>
      </c>
      <c r="N1583" s="175">
        <v>43424</v>
      </c>
      <c r="O1583" s="176" t="s">
        <v>503</v>
      </c>
      <c r="P1583" s="209">
        <v>4866.67</v>
      </c>
      <c r="Q1583" s="209">
        <v>2</v>
      </c>
      <c r="R1583" s="130">
        <f t="shared" si="40"/>
        <v>9733.34</v>
      </c>
      <c r="S1583" s="127">
        <v>202304</v>
      </c>
      <c r="T1583" s="211" t="s">
        <v>2088</v>
      </c>
      <c r="U1583" s="211"/>
      <c r="V1583" s="159"/>
      <c r="W1583" s="159"/>
      <c r="X1583" s="131"/>
      <c r="Y1583" s="131"/>
    </row>
    <row r="1584" s="86" customFormat="1" customHeight="1" spans="1:25">
      <c r="A1584" s="135" t="s">
        <v>446</v>
      </c>
      <c r="B1584" s="11" t="s">
        <v>62</v>
      </c>
      <c r="C1584" s="135" t="s">
        <v>153</v>
      </c>
      <c r="D1584" s="135" t="s">
        <v>951</v>
      </c>
      <c r="E1584" s="170" t="s">
        <v>2004</v>
      </c>
      <c r="F1584" s="135" t="s">
        <v>2005</v>
      </c>
      <c r="G1584" s="171" t="s">
        <v>88</v>
      </c>
      <c r="H1584" s="103" t="s">
        <v>2063</v>
      </c>
      <c r="I1584" s="30" t="e">
        <f>VLOOKUP(H1584,'合同高级查询数据-4月返'!A:A,1,FALSE)</f>
        <v>#N/A</v>
      </c>
      <c r="J1584" s="134" t="s">
        <v>90</v>
      </c>
      <c r="K1584" s="134" t="s">
        <v>2064</v>
      </c>
      <c r="L1584" s="174"/>
      <c r="M1584" s="113" t="s">
        <v>1505</v>
      </c>
      <c r="N1584" s="175">
        <v>43434</v>
      </c>
      <c r="O1584" s="176" t="s">
        <v>503</v>
      </c>
      <c r="P1584" s="209">
        <v>4866.67</v>
      </c>
      <c r="Q1584" s="209">
        <v>-2</v>
      </c>
      <c r="R1584" s="130">
        <f t="shared" si="40"/>
        <v>-9733.34</v>
      </c>
      <c r="S1584" s="127">
        <v>202304</v>
      </c>
      <c r="T1584" s="211" t="s">
        <v>2089</v>
      </c>
      <c r="U1584" s="211"/>
      <c r="V1584" s="159"/>
      <c r="W1584" s="159"/>
      <c r="X1584" s="131"/>
      <c r="Y1584" s="131"/>
    </row>
    <row r="1585" s="86" customFormat="1" customHeight="1" spans="1:25">
      <c r="A1585" s="135" t="s">
        <v>446</v>
      </c>
      <c r="B1585" s="11" t="s">
        <v>62</v>
      </c>
      <c r="C1585" s="135" t="s">
        <v>153</v>
      </c>
      <c r="D1585" s="135" t="s">
        <v>951</v>
      </c>
      <c r="E1585" s="170" t="s">
        <v>2004</v>
      </c>
      <c r="F1585" s="135" t="s">
        <v>2005</v>
      </c>
      <c r="G1585" s="171" t="s">
        <v>88</v>
      </c>
      <c r="H1585" s="103" t="s">
        <v>2063</v>
      </c>
      <c r="I1585" s="30" t="e">
        <f>VLOOKUP(H1585,'合同高级查询数据-4月返'!A:A,1,FALSE)</f>
        <v>#N/A</v>
      </c>
      <c r="J1585" s="134" t="s">
        <v>90</v>
      </c>
      <c r="K1585" s="134" t="s">
        <v>2064</v>
      </c>
      <c r="L1585" s="174"/>
      <c r="M1585" s="113" t="s">
        <v>1505</v>
      </c>
      <c r="N1585" s="175">
        <v>43434</v>
      </c>
      <c r="O1585" s="176" t="s">
        <v>503</v>
      </c>
      <c r="P1585" s="209">
        <v>4866.67</v>
      </c>
      <c r="Q1585" s="209">
        <v>11</v>
      </c>
      <c r="R1585" s="130">
        <f t="shared" si="40"/>
        <v>53533.37</v>
      </c>
      <c r="S1585" s="127">
        <v>202304</v>
      </c>
      <c r="T1585" s="211" t="s">
        <v>2090</v>
      </c>
      <c r="U1585" s="211"/>
      <c r="V1585" s="159"/>
      <c r="W1585" s="159"/>
      <c r="X1585" s="131"/>
      <c r="Y1585" s="131"/>
    </row>
    <row r="1586" s="86" customFormat="1" customHeight="1" spans="1:25">
      <c r="A1586" s="135" t="s">
        <v>446</v>
      </c>
      <c r="B1586" s="11" t="s">
        <v>62</v>
      </c>
      <c r="C1586" s="135" t="s">
        <v>153</v>
      </c>
      <c r="D1586" s="135" t="s">
        <v>951</v>
      </c>
      <c r="E1586" s="170" t="s">
        <v>2004</v>
      </c>
      <c r="F1586" s="135" t="s">
        <v>2005</v>
      </c>
      <c r="G1586" s="171" t="s">
        <v>88</v>
      </c>
      <c r="H1586" s="103" t="s">
        <v>2063</v>
      </c>
      <c r="I1586" s="30" t="e">
        <f>VLOOKUP(H1586,'合同高级查询数据-4月返'!A:A,1,FALSE)</f>
        <v>#N/A</v>
      </c>
      <c r="J1586" s="134" t="s">
        <v>90</v>
      </c>
      <c r="K1586" s="134" t="s">
        <v>2064</v>
      </c>
      <c r="L1586" s="174"/>
      <c r="M1586" s="113" t="s">
        <v>1505</v>
      </c>
      <c r="N1586" s="175">
        <v>43436</v>
      </c>
      <c r="O1586" s="176" t="s">
        <v>503</v>
      </c>
      <c r="P1586" s="209">
        <v>4866.67</v>
      </c>
      <c r="Q1586" s="209">
        <v>1</v>
      </c>
      <c r="R1586" s="130">
        <f t="shared" si="40"/>
        <v>4866.67</v>
      </c>
      <c r="S1586" s="127">
        <v>202304</v>
      </c>
      <c r="T1586" s="211" t="s">
        <v>2091</v>
      </c>
      <c r="U1586" s="211"/>
      <c r="V1586" s="159"/>
      <c r="W1586" s="159"/>
      <c r="X1586" s="131"/>
      <c r="Y1586" s="131"/>
    </row>
    <row r="1587" s="86" customFormat="1" customHeight="1" spans="1:25">
      <c r="A1587" s="135" t="s">
        <v>446</v>
      </c>
      <c r="B1587" s="11" t="s">
        <v>62</v>
      </c>
      <c r="C1587" s="135" t="s">
        <v>153</v>
      </c>
      <c r="D1587" s="135" t="s">
        <v>951</v>
      </c>
      <c r="E1587" s="170" t="s">
        <v>2004</v>
      </c>
      <c r="F1587" s="135" t="s">
        <v>2005</v>
      </c>
      <c r="G1587" s="171" t="s">
        <v>88</v>
      </c>
      <c r="H1587" s="103" t="s">
        <v>2063</v>
      </c>
      <c r="I1587" s="30" t="e">
        <f>VLOOKUP(H1587,'合同高级查询数据-4月返'!A:A,1,FALSE)</f>
        <v>#N/A</v>
      </c>
      <c r="J1587" s="134" t="s">
        <v>90</v>
      </c>
      <c r="K1587" s="134" t="s">
        <v>2064</v>
      </c>
      <c r="L1587" s="174"/>
      <c r="M1587" s="113" t="s">
        <v>1505</v>
      </c>
      <c r="N1587" s="175">
        <v>43462</v>
      </c>
      <c r="O1587" s="176" t="s">
        <v>503</v>
      </c>
      <c r="P1587" s="209">
        <v>4866.67</v>
      </c>
      <c r="Q1587" s="209">
        <v>4</v>
      </c>
      <c r="R1587" s="130">
        <f t="shared" si="40"/>
        <v>19466.68</v>
      </c>
      <c r="S1587" s="127">
        <v>202304</v>
      </c>
      <c r="T1587" s="211" t="s">
        <v>2092</v>
      </c>
      <c r="U1587" s="211"/>
      <c r="V1587" s="159"/>
      <c r="W1587" s="159"/>
      <c r="X1587" s="131"/>
      <c r="Y1587" s="131"/>
    </row>
    <row r="1588" s="86" customFormat="1" customHeight="1" spans="1:25">
      <c r="A1588" s="135" t="s">
        <v>446</v>
      </c>
      <c r="B1588" s="11" t="s">
        <v>62</v>
      </c>
      <c r="C1588" s="135" t="s">
        <v>153</v>
      </c>
      <c r="D1588" s="135" t="s">
        <v>951</v>
      </c>
      <c r="E1588" s="170" t="s">
        <v>2004</v>
      </c>
      <c r="F1588" s="135" t="s">
        <v>2005</v>
      </c>
      <c r="G1588" s="171" t="s">
        <v>88</v>
      </c>
      <c r="H1588" s="103" t="s">
        <v>2063</v>
      </c>
      <c r="I1588" s="30" t="e">
        <f>VLOOKUP(H1588,'合同高级查询数据-4月返'!A:A,1,FALSE)</f>
        <v>#N/A</v>
      </c>
      <c r="J1588" s="134" t="s">
        <v>90</v>
      </c>
      <c r="K1588" s="134" t="s">
        <v>2064</v>
      </c>
      <c r="L1588" s="174"/>
      <c r="M1588" s="113" t="s">
        <v>1505</v>
      </c>
      <c r="N1588" s="175">
        <v>43484</v>
      </c>
      <c r="O1588" s="176" t="s">
        <v>503</v>
      </c>
      <c r="P1588" s="209">
        <v>4866.67</v>
      </c>
      <c r="Q1588" s="209">
        <v>20</v>
      </c>
      <c r="R1588" s="130">
        <f t="shared" si="40"/>
        <v>97333.4</v>
      </c>
      <c r="S1588" s="127">
        <v>202304</v>
      </c>
      <c r="T1588" s="211" t="s">
        <v>2093</v>
      </c>
      <c r="U1588" s="211"/>
      <c r="V1588" s="159"/>
      <c r="W1588" s="159"/>
      <c r="X1588" s="131"/>
      <c r="Y1588" s="131"/>
    </row>
    <row r="1589" s="86" customFormat="1" customHeight="1" spans="1:25">
      <c r="A1589" s="135" t="s">
        <v>446</v>
      </c>
      <c r="B1589" s="11" t="s">
        <v>62</v>
      </c>
      <c r="C1589" s="135" t="s">
        <v>153</v>
      </c>
      <c r="D1589" s="135" t="s">
        <v>951</v>
      </c>
      <c r="E1589" s="170" t="s">
        <v>2004</v>
      </c>
      <c r="F1589" s="135" t="s">
        <v>2005</v>
      </c>
      <c r="G1589" s="171" t="s">
        <v>88</v>
      </c>
      <c r="H1589" s="103" t="s">
        <v>2063</v>
      </c>
      <c r="I1589" s="30" t="e">
        <f>VLOOKUP(H1589,'合同高级查询数据-4月返'!A:A,1,FALSE)</f>
        <v>#N/A</v>
      </c>
      <c r="J1589" s="134" t="s">
        <v>90</v>
      </c>
      <c r="K1589" s="134" t="s">
        <v>2064</v>
      </c>
      <c r="L1589" s="174"/>
      <c r="M1589" s="113" t="s">
        <v>1505</v>
      </c>
      <c r="N1589" s="175">
        <v>43484</v>
      </c>
      <c r="O1589" s="176" t="s">
        <v>503</v>
      </c>
      <c r="P1589" s="209">
        <v>4866.67</v>
      </c>
      <c r="Q1589" s="209">
        <v>20</v>
      </c>
      <c r="R1589" s="130">
        <f t="shared" si="40"/>
        <v>97333.4</v>
      </c>
      <c r="S1589" s="127">
        <v>202304</v>
      </c>
      <c r="T1589" s="211" t="s">
        <v>2094</v>
      </c>
      <c r="U1589" s="211"/>
      <c r="V1589" s="159"/>
      <c r="W1589" s="159"/>
      <c r="X1589" s="131"/>
      <c r="Y1589" s="131"/>
    </row>
    <row r="1590" s="86" customFormat="1" customHeight="1" spans="1:25">
      <c r="A1590" s="135" t="s">
        <v>446</v>
      </c>
      <c r="B1590" s="11" t="s">
        <v>62</v>
      </c>
      <c r="C1590" s="135" t="s">
        <v>153</v>
      </c>
      <c r="D1590" s="135" t="s">
        <v>951</v>
      </c>
      <c r="E1590" s="170" t="s">
        <v>2004</v>
      </c>
      <c r="F1590" s="135" t="s">
        <v>2005</v>
      </c>
      <c r="G1590" s="171" t="s">
        <v>88</v>
      </c>
      <c r="H1590" s="103" t="s">
        <v>2063</v>
      </c>
      <c r="I1590" s="30" t="e">
        <f>VLOOKUP(H1590,'合同高级查询数据-4月返'!A:A,1,FALSE)</f>
        <v>#N/A</v>
      </c>
      <c r="J1590" s="134" t="s">
        <v>90</v>
      </c>
      <c r="K1590" s="134" t="s">
        <v>2064</v>
      </c>
      <c r="L1590" s="174"/>
      <c r="M1590" s="113" t="s">
        <v>1505</v>
      </c>
      <c r="N1590" s="175">
        <v>43486</v>
      </c>
      <c r="O1590" s="176" t="s">
        <v>503</v>
      </c>
      <c r="P1590" s="209">
        <v>4866.67</v>
      </c>
      <c r="Q1590" s="209">
        <v>26</v>
      </c>
      <c r="R1590" s="130">
        <f t="shared" si="40"/>
        <v>126533.42</v>
      </c>
      <c r="S1590" s="127">
        <v>202304</v>
      </c>
      <c r="T1590" s="211" t="s">
        <v>2095</v>
      </c>
      <c r="U1590" s="211"/>
      <c r="V1590" s="159"/>
      <c r="W1590" s="159"/>
      <c r="X1590" s="131"/>
      <c r="Y1590" s="131"/>
    </row>
    <row r="1591" s="86" customFormat="1" customHeight="1" spans="1:25">
      <c r="A1591" s="135" t="s">
        <v>446</v>
      </c>
      <c r="B1591" s="11" t="s">
        <v>62</v>
      </c>
      <c r="C1591" s="135" t="s">
        <v>153</v>
      </c>
      <c r="D1591" s="135" t="s">
        <v>951</v>
      </c>
      <c r="E1591" s="170" t="s">
        <v>2004</v>
      </c>
      <c r="F1591" s="135" t="s">
        <v>2005</v>
      </c>
      <c r="G1591" s="171" t="s">
        <v>88</v>
      </c>
      <c r="H1591" s="103" t="s">
        <v>2063</v>
      </c>
      <c r="I1591" s="30" t="e">
        <f>VLOOKUP(H1591,'合同高级查询数据-4月返'!A:A,1,FALSE)</f>
        <v>#N/A</v>
      </c>
      <c r="J1591" s="134" t="s">
        <v>90</v>
      </c>
      <c r="K1591" s="134" t="s">
        <v>2064</v>
      </c>
      <c r="L1591" s="174"/>
      <c r="M1591" s="113" t="s">
        <v>1505</v>
      </c>
      <c r="N1591" s="175">
        <v>43490</v>
      </c>
      <c r="O1591" s="176" t="s">
        <v>503</v>
      </c>
      <c r="P1591" s="209">
        <v>4866.67</v>
      </c>
      <c r="Q1591" s="209">
        <v>1</v>
      </c>
      <c r="R1591" s="130">
        <f t="shared" si="40"/>
        <v>4866.67</v>
      </c>
      <c r="S1591" s="127">
        <v>202304</v>
      </c>
      <c r="T1591" s="211" t="s">
        <v>2096</v>
      </c>
      <c r="U1591" s="211"/>
      <c r="V1591" s="159"/>
      <c r="W1591" s="159"/>
      <c r="X1591" s="131"/>
      <c r="Y1591" s="131"/>
    </row>
    <row r="1592" s="86" customFormat="1" customHeight="1" spans="1:25">
      <c r="A1592" s="135" t="s">
        <v>446</v>
      </c>
      <c r="B1592" s="11" t="s">
        <v>62</v>
      </c>
      <c r="C1592" s="135" t="s">
        <v>153</v>
      </c>
      <c r="D1592" s="135" t="s">
        <v>951</v>
      </c>
      <c r="E1592" s="170" t="s">
        <v>2004</v>
      </c>
      <c r="F1592" s="135" t="s">
        <v>2005</v>
      </c>
      <c r="G1592" s="171" t="s">
        <v>88</v>
      </c>
      <c r="H1592" s="103" t="s">
        <v>2063</v>
      </c>
      <c r="I1592" s="30" t="e">
        <f>VLOOKUP(H1592,'合同高级查询数据-4月返'!A:A,1,FALSE)</f>
        <v>#N/A</v>
      </c>
      <c r="J1592" s="134" t="s">
        <v>90</v>
      </c>
      <c r="K1592" s="134" t="s">
        <v>2064</v>
      </c>
      <c r="L1592" s="174"/>
      <c r="M1592" s="113" t="s">
        <v>1505</v>
      </c>
      <c r="N1592" s="175">
        <v>43542</v>
      </c>
      <c r="O1592" s="176" t="s">
        <v>503</v>
      </c>
      <c r="P1592" s="209">
        <v>4866.67</v>
      </c>
      <c r="Q1592" s="209">
        <v>2</v>
      </c>
      <c r="R1592" s="130">
        <f t="shared" si="40"/>
        <v>9733.34</v>
      </c>
      <c r="S1592" s="127">
        <v>202304</v>
      </c>
      <c r="T1592" s="211" t="s">
        <v>2097</v>
      </c>
      <c r="U1592" s="211"/>
      <c r="V1592" s="159"/>
      <c r="W1592" s="159"/>
      <c r="X1592" s="131"/>
      <c r="Y1592" s="131"/>
    </row>
    <row r="1593" s="86" customFormat="1" customHeight="1" spans="1:25">
      <c r="A1593" s="135" t="s">
        <v>446</v>
      </c>
      <c r="B1593" s="11" t="s">
        <v>62</v>
      </c>
      <c r="C1593" s="135" t="s">
        <v>153</v>
      </c>
      <c r="D1593" s="135" t="s">
        <v>951</v>
      </c>
      <c r="E1593" s="170" t="s">
        <v>2004</v>
      </c>
      <c r="F1593" s="135" t="s">
        <v>2005</v>
      </c>
      <c r="G1593" s="171" t="s">
        <v>88</v>
      </c>
      <c r="H1593" s="103" t="s">
        <v>2063</v>
      </c>
      <c r="I1593" s="30" t="e">
        <f>VLOOKUP(H1593,'合同高级查询数据-4月返'!A:A,1,FALSE)</f>
        <v>#N/A</v>
      </c>
      <c r="J1593" s="134" t="s">
        <v>90</v>
      </c>
      <c r="K1593" s="134" t="s">
        <v>2064</v>
      </c>
      <c r="L1593" s="174"/>
      <c r="M1593" s="113" t="s">
        <v>1505</v>
      </c>
      <c r="N1593" s="175">
        <v>43594</v>
      </c>
      <c r="O1593" s="176" t="s">
        <v>503</v>
      </c>
      <c r="P1593" s="209">
        <v>4866.67</v>
      </c>
      <c r="Q1593" s="209">
        <v>16</v>
      </c>
      <c r="R1593" s="130">
        <f t="shared" si="40"/>
        <v>77866.72</v>
      </c>
      <c r="S1593" s="127">
        <v>202304</v>
      </c>
      <c r="T1593" s="211" t="s">
        <v>2098</v>
      </c>
      <c r="U1593" s="211"/>
      <c r="V1593" s="159"/>
      <c r="W1593" s="159"/>
      <c r="X1593" s="131"/>
      <c r="Y1593" s="131"/>
    </row>
    <row r="1594" s="86" customFormat="1" customHeight="1" spans="1:25">
      <c r="A1594" s="135" t="s">
        <v>446</v>
      </c>
      <c r="B1594" s="11" t="s">
        <v>62</v>
      </c>
      <c r="C1594" s="135" t="s">
        <v>153</v>
      </c>
      <c r="D1594" s="135" t="s">
        <v>951</v>
      </c>
      <c r="E1594" s="170" t="s">
        <v>2004</v>
      </c>
      <c r="F1594" s="135" t="s">
        <v>2005</v>
      </c>
      <c r="G1594" s="171" t="s">
        <v>88</v>
      </c>
      <c r="H1594" s="103" t="s">
        <v>2063</v>
      </c>
      <c r="I1594" s="30" t="e">
        <f>VLOOKUP(H1594,'合同高级查询数据-4月返'!A:A,1,FALSE)</f>
        <v>#N/A</v>
      </c>
      <c r="J1594" s="134" t="s">
        <v>90</v>
      </c>
      <c r="K1594" s="134" t="s">
        <v>2064</v>
      </c>
      <c r="L1594" s="174"/>
      <c r="M1594" s="113" t="s">
        <v>1505</v>
      </c>
      <c r="N1594" s="175">
        <v>43595</v>
      </c>
      <c r="O1594" s="176" t="s">
        <v>503</v>
      </c>
      <c r="P1594" s="209">
        <v>4866.67</v>
      </c>
      <c r="Q1594" s="209">
        <v>10</v>
      </c>
      <c r="R1594" s="130">
        <f t="shared" si="40"/>
        <v>48666.7</v>
      </c>
      <c r="S1594" s="127">
        <v>202304</v>
      </c>
      <c r="T1594" s="211" t="s">
        <v>2099</v>
      </c>
      <c r="U1594" s="211"/>
      <c r="V1594" s="159"/>
      <c r="W1594" s="159"/>
      <c r="X1594" s="131"/>
      <c r="Y1594" s="131"/>
    </row>
    <row r="1595" s="86" customFormat="1" customHeight="1" spans="1:25">
      <c r="A1595" s="135" t="s">
        <v>446</v>
      </c>
      <c r="B1595" s="11" t="s">
        <v>62</v>
      </c>
      <c r="C1595" s="135" t="s">
        <v>153</v>
      </c>
      <c r="D1595" s="135" t="s">
        <v>951</v>
      </c>
      <c r="E1595" s="170" t="s">
        <v>2004</v>
      </c>
      <c r="F1595" s="135" t="s">
        <v>2005</v>
      </c>
      <c r="G1595" s="171" t="s">
        <v>88</v>
      </c>
      <c r="H1595" s="103" t="s">
        <v>2063</v>
      </c>
      <c r="I1595" s="30" t="e">
        <f>VLOOKUP(H1595,'合同高级查询数据-4月返'!A:A,1,FALSE)</f>
        <v>#N/A</v>
      </c>
      <c r="J1595" s="134" t="s">
        <v>90</v>
      </c>
      <c r="K1595" s="134" t="s">
        <v>2064</v>
      </c>
      <c r="L1595" s="174"/>
      <c r="M1595" s="113" t="s">
        <v>1505</v>
      </c>
      <c r="N1595" s="175">
        <v>43600</v>
      </c>
      <c r="O1595" s="176" t="s">
        <v>503</v>
      </c>
      <c r="P1595" s="209">
        <v>4866.67</v>
      </c>
      <c r="Q1595" s="209">
        <v>20</v>
      </c>
      <c r="R1595" s="130">
        <f t="shared" si="40"/>
        <v>97333.4</v>
      </c>
      <c r="S1595" s="127">
        <v>202304</v>
      </c>
      <c r="T1595" s="211" t="s">
        <v>2100</v>
      </c>
      <c r="U1595" s="211"/>
      <c r="V1595" s="159"/>
      <c r="W1595" s="159"/>
      <c r="X1595" s="131"/>
      <c r="Y1595" s="131"/>
    </row>
    <row r="1596" s="86" customFormat="1" customHeight="1" spans="1:25">
      <c r="A1596" s="135" t="s">
        <v>446</v>
      </c>
      <c r="B1596" s="11" t="s">
        <v>62</v>
      </c>
      <c r="C1596" s="135" t="s">
        <v>153</v>
      </c>
      <c r="D1596" s="135" t="s">
        <v>951</v>
      </c>
      <c r="E1596" s="170" t="s">
        <v>2004</v>
      </c>
      <c r="F1596" s="135" t="s">
        <v>2005</v>
      </c>
      <c r="G1596" s="171" t="s">
        <v>88</v>
      </c>
      <c r="H1596" s="103" t="s">
        <v>2063</v>
      </c>
      <c r="I1596" s="30" t="e">
        <f>VLOOKUP(H1596,'合同高级查询数据-4月返'!A:A,1,FALSE)</f>
        <v>#N/A</v>
      </c>
      <c r="J1596" s="134" t="s">
        <v>90</v>
      </c>
      <c r="K1596" s="134" t="s">
        <v>2064</v>
      </c>
      <c r="L1596" s="174"/>
      <c r="M1596" s="113" t="s">
        <v>1505</v>
      </c>
      <c r="N1596" s="175">
        <v>43600</v>
      </c>
      <c r="O1596" s="176" t="s">
        <v>503</v>
      </c>
      <c r="P1596" s="209">
        <v>4866.67</v>
      </c>
      <c r="Q1596" s="209">
        <v>5</v>
      </c>
      <c r="R1596" s="130">
        <f t="shared" si="40"/>
        <v>24333.35</v>
      </c>
      <c r="S1596" s="127">
        <v>202304</v>
      </c>
      <c r="T1596" s="211" t="s">
        <v>2101</v>
      </c>
      <c r="U1596" s="211"/>
      <c r="V1596" s="159"/>
      <c r="W1596" s="159"/>
      <c r="X1596" s="131"/>
      <c r="Y1596" s="131"/>
    </row>
    <row r="1597" s="86" customFormat="1" customHeight="1" spans="1:25">
      <c r="A1597" s="135" t="s">
        <v>446</v>
      </c>
      <c r="B1597" s="11" t="s">
        <v>62</v>
      </c>
      <c r="C1597" s="135" t="s">
        <v>153</v>
      </c>
      <c r="D1597" s="135" t="s">
        <v>951</v>
      </c>
      <c r="E1597" s="170" t="s">
        <v>2004</v>
      </c>
      <c r="F1597" s="135" t="s">
        <v>2005</v>
      </c>
      <c r="G1597" s="171" t="s">
        <v>88</v>
      </c>
      <c r="H1597" s="103" t="s">
        <v>2063</v>
      </c>
      <c r="I1597" s="30" t="e">
        <f>VLOOKUP(H1597,'合同高级查询数据-4月返'!A:A,1,FALSE)</f>
        <v>#N/A</v>
      </c>
      <c r="J1597" s="134" t="s">
        <v>90</v>
      </c>
      <c r="K1597" s="134" t="s">
        <v>2064</v>
      </c>
      <c r="L1597" s="174"/>
      <c r="M1597" s="113" t="s">
        <v>1505</v>
      </c>
      <c r="N1597" s="175">
        <v>43616</v>
      </c>
      <c r="O1597" s="176" t="s">
        <v>503</v>
      </c>
      <c r="P1597" s="209">
        <v>4866.67</v>
      </c>
      <c r="Q1597" s="209">
        <v>12</v>
      </c>
      <c r="R1597" s="130">
        <f t="shared" si="40"/>
        <v>58400.04</v>
      </c>
      <c r="S1597" s="127">
        <v>202304</v>
      </c>
      <c r="T1597" s="211" t="s">
        <v>2102</v>
      </c>
      <c r="U1597" s="211"/>
      <c r="V1597" s="159"/>
      <c r="W1597" s="159"/>
      <c r="X1597" s="131"/>
      <c r="Y1597" s="131"/>
    </row>
    <row r="1598" s="86" customFormat="1" customHeight="1" spans="1:25">
      <c r="A1598" s="135" t="s">
        <v>446</v>
      </c>
      <c r="B1598" s="11" t="s">
        <v>62</v>
      </c>
      <c r="C1598" s="135" t="s">
        <v>153</v>
      </c>
      <c r="D1598" s="135" t="s">
        <v>951</v>
      </c>
      <c r="E1598" s="170" t="s">
        <v>2004</v>
      </c>
      <c r="F1598" s="135" t="s">
        <v>2005</v>
      </c>
      <c r="G1598" s="171" t="s">
        <v>88</v>
      </c>
      <c r="H1598" s="103" t="s">
        <v>2063</v>
      </c>
      <c r="I1598" s="30" t="e">
        <f>VLOOKUP(H1598,'合同高级查询数据-4月返'!A:A,1,FALSE)</f>
        <v>#N/A</v>
      </c>
      <c r="J1598" s="134" t="s">
        <v>90</v>
      </c>
      <c r="K1598" s="134" t="s">
        <v>2064</v>
      </c>
      <c r="L1598" s="174"/>
      <c r="M1598" s="113" t="s">
        <v>1505</v>
      </c>
      <c r="N1598" s="175">
        <v>43644</v>
      </c>
      <c r="O1598" s="176" t="s">
        <v>503</v>
      </c>
      <c r="P1598" s="209">
        <v>4866.67</v>
      </c>
      <c r="Q1598" s="209">
        <v>5</v>
      </c>
      <c r="R1598" s="130">
        <f t="shared" si="40"/>
        <v>24333.35</v>
      </c>
      <c r="S1598" s="127">
        <v>202304</v>
      </c>
      <c r="T1598" s="211" t="s">
        <v>2103</v>
      </c>
      <c r="U1598" s="211"/>
      <c r="V1598" s="159"/>
      <c r="W1598" s="159"/>
      <c r="X1598" s="131"/>
      <c r="Y1598" s="131"/>
    </row>
    <row r="1599" s="86" customFormat="1" customHeight="1" spans="1:25">
      <c r="A1599" s="135" t="s">
        <v>446</v>
      </c>
      <c r="B1599" s="11" t="s">
        <v>62</v>
      </c>
      <c r="C1599" s="135" t="s">
        <v>153</v>
      </c>
      <c r="D1599" s="135" t="s">
        <v>951</v>
      </c>
      <c r="E1599" s="170" t="s">
        <v>2004</v>
      </c>
      <c r="F1599" s="135" t="s">
        <v>2005</v>
      </c>
      <c r="G1599" s="171" t="s">
        <v>88</v>
      </c>
      <c r="H1599" s="103" t="s">
        <v>2063</v>
      </c>
      <c r="I1599" s="30" t="e">
        <f>VLOOKUP(H1599,'合同高级查询数据-4月返'!A:A,1,FALSE)</f>
        <v>#N/A</v>
      </c>
      <c r="J1599" s="134" t="s">
        <v>90</v>
      </c>
      <c r="K1599" s="134" t="s">
        <v>2064</v>
      </c>
      <c r="L1599" s="174"/>
      <c r="M1599" s="113" t="s">
        <v>1505</v>
      </c>
      <c r="N1599" s="175">
        <v>43612</v>
      </c>
      <c r="O1599" s="176" t="s">
        <v>564</v>
      </c>
      <c r="P1599" s="209">
        <v>8651.46</v>
      </c>
      <c r="Q1599" s="209">
        <v>-1</v>
      </c>
      <c r="R1599" s="130">
        <f t="shared" si="40"/>
        <v>-8651.46</v>
      </c>
      <c r="S1599" s="127">
        <v>202304</v>
      </c>
      <c r="T1599" s="211" t="s">
        <v>2104</v>
      </c>
      <c r="U1599" s="211"/>
      <c r="V1599" s="159"/>
      <c r="W1599" s="159"/>
      <c r="X1599" s="131"/>
      <c r="Y1599" s="131"/>
    </row>
    <row r="1600" s="86" customFormat="1" customHeight="1" spans="1:25">
      <c r="A1600" s="135" t="s">
        <v>446</v>
      </c>
      <c r="B1600" s="11" t="s">
        <v>62</v>
      </c>
      <c r="C1600" s="135" t="s">
        <v>153</v>
      </c>
      <c r="D1600" s="135" t="s">
        <v>951</v>
      </c>
      <c r="E1600" s="170" t="s">
        <v>2004</v>
      </c>
      <c r="F1600" s="135" t="s">
        <v>2005</v>
      </c>
      <c r="G1600" s="171" t="s">
        <v>88</v>
      </c>
      <c r="H1600" s="103" t="s">
        <v>2063</v>
      </c>
      <c r="I1600" s="30" t="e">
        <f>VLOOKUP(H1600,'合同高级查询数据-4月返'!A:A,1,FALSE)</f>
        <v>#N/A</v>
      </c>
      <c r="J1600" s="134" t="s">
        <v>90</v>
      </c>
      <c r="K1600" s="134" t="s">
        <v>2064</v>
      </c>
      <c r="L1600" s="174"/>
      <c r="M1600" s="113" t="s">
        <v>1505</v>
      </c>
      <c r="N1600" s="175">
        <v>43656</v>
      </c>
      <c r="O1600" s="176" t="s">
        <v>503</v>
      </c>
      <c r="P1600" s="209">
        <v>4866.67</v>
      </c>
      <c r="Q1600" s="209">
        <v>10</v>
      </c>
      <c r="R1600" s="130">
        <f t="shared" si="40"/>
        <v>48666.7</v>
      </c>
      <c r="S1600" s="127">
        <v>202304</v>
      </c>
      <c r="T1600" s="211" t="s">
        <v>2105</v>
      </c>
      <c r="U1600" s="211"/>
      <c r="V1600" s="159"/>
      <c r="W1600" s="159"/>
      <c r="X1600" s="131"/>
      <c r="Y1600" s="131"/>
    </row>
    <row r="1601" s="86" customFormat="1" customHeight="1" spans="1:25">
      <c r="A1601" s="135" t="s">
        <v>446</v>
      </c>
      <c r="B1601" s="11" t="s">
        <v>62</v>
      </c>
      <c r="C1601" s="135" t="s">
        <v>153</v>
      </c>
      <c r="D1601" s="135" t="s">
        <v>951</v>
      </c>
      <c r="E1601" s="170" t="s">
        <v>2004</v>
      </c>
      <c r="F1601" s="135" t="s">
        <v>2005</v>
      </c>
      <c r="G1601" s="171" t="s">
        <v>88</v>
      </c>
      <c r="H1601" s="103" t="s">
        <v>2063</v>
      </c>
      <c r="I1601" s="30" t="e">
        <f>VLOOKUP(H1601,'合同高级查询数据-4月返'!A:A,1,FALSE)</f>
        <v>#N/A</v>
      </c>
      <c r="J1601" s="134" t="s">
        <v>90</v>
      </c>
      <c r="K1601" s="134" t="s">
        <v>2064</v>
      </c>
      <c r="L1601" s="174"/>
      <c r="M1601" s="113" t="s">
        <v>1505</v>
      </c>
      <c r="N1601" s="175">
        <v>43656</v>
      </c>
      <c r="O1601" s="176" t="s">
        <v>503</v>
      </c>
      <c r="P1601" s="209">
        <v>4866.67</v>
      </c>
      <c r="Q1601" s="209">
        <v>8</v>
      </c>
      <c r="R1601" s="130">
        <f t="shared" si="40"/>
        <v>38933.36</v>
      </c>
      <c r="S1601" s="127">
        <v>202304</v>
      </c>
      <c r="T1601" s="211" t="s">
        <v>2106</v>
      </c>
      <c r="U1601" s="211"/>
      <c r="V1601" s="159"/>
      <c r="W1601" s="159"/>
      <c r="X1601" s="131"/>
      <c r="Y1601" s="131"/>
    </row>
    <row r="1602" s="86" customFormat="1" customHeight="1" spans="1:25">
      <c r="A1602" s="135" t="s">
        <v>446</v>
      </c>
      <c r="B1602" s="11" t="s">
        <v>62</v>
      </c>
      <c r="C1602" s="135" t="s">
        <v>153</v>
      </c>
      <c r="D1602" s="135" t="s">
        <v>951</v>
      </c>
      <c r="E1602" s="170" t="s">
        <v>2004</v>
      </c>
      <c r="F1602" s="135" t="s">
        <v>2005</v>
      </c>
      <c r="G1602" s="171" t="s">
        <v>88</v>
      </c>
      <c r="H1602" s="103" t="s">
        <v>2063</v>
      </c>
      <c r="I1602" s="30" t="e">
        <f>VLOOKUP(H1602,'合同高级查询数据-4月返'!A:A,1,FALSE)</f>
        <v>#N/A</v>
      </c>
      <c r="J1602" s="134" t="s">
        <v>90</v>
      </c>
      <c r="K1602" s="134" t="s">
        <v>2064</v>
      </c>
      <c r="L1602" s="174"/>
      <c r="M1602" s="113" t="s">
        <v>1505</v>
      </c>
      <c r="N1602" s="175">
        <v>43686</v>
      </c>
      <c r="O1602" s="176" t="s">
        <v>503</v>
      </c>
      <c r="P1602" s="209">
        <v>4866.67</v>
      </c>
      <c r="Q1602" s="209">
        <v>1</v>
      </c>
      <c r="R1602" s="130">
        <f t="shared" si="40"/>
        <v>4866.67</v>
      </c>
      <c r="S1602" s="127">
        <v>202304</v>
      </c>
      <c r="T1602" s="211" t="s">
        <v>2107</v>
      </c>
      <c r="U1602" s="211"/>
      <c r="V1602" s="159"/>
      <c r="W1602" s="159"/>
      <c r="X1602" s="131"/>
      <c r="Y1602" s="131"/>
    </row>
    <row r="1603" s="86" customFormat="1" customHeight="1" spans="1:25">
      <c r="A1603" s="135" t="s">
        <v>446</v>
      </c>
      <c r="B1603" s="11" t="s">
        <v>62</v>
      </c>
      <c r="C1603" s="135" t="s">
        <v>153</v>
      </c>
      <c r="D1603" s="135" t="s">
        <v>951</v>
      </c>
      <c r="E1603" s="170" t="s">
        <v>2004</v>
      </c>
      <c r="F1603" s="135" t="s">
        <v>2005</v>
      </c>
      <c r="G1603" s="171" t="s">
        <v>88</v>
      </c>
      <c r="H1603" s="103" t="s">
        <v>2063</v>
      </c>
      <c r="I1603" s="30" t="e">
        <f>VLOOKUP(H1603,'合同高级查询数据-4月返'!A:A,1,FALSE)</f>
        <v>#N/A</v>
      </c>
      <c r="J1603" s="134" t="s">
        <v>90</v>
      </c>
      <c r="K1603" s="134" t="s">
        <v>2064</v>
      </c>
      <c r="L1603" s="174"/>
      <c r="M1603" s="113" t="s">
        <v>1505</v>
      </c>
      <c r="N1603" s="175">
        <v>43696</v>
      </c>
      <c r="O1603" s="176" t="s">
        <v>564</v>
      </c>
      <c r="P1603" s="209">
        <v>8651.46</v>
      </c>
      <c r="Q1603" s="209">
        <v>1</v>
      </c>
      <c r="R1603" s="130">
        <f t="shared" si="40"/>
        <v>8651.46</v>
      </c>
      <c r="S1603" s="127">
        <v>202304</v>
      </c>
      <c r="T1603" s="211" t="s">
        <v>2108</v>
      </c>
      <c r="U1603" s="211"/>
      <c r="V1603" s="159"/>
      <c r="W1603" s="159"/>
      <c r="X1603" s="131"/>
      <c r="Y1603" s="131"/>
    </row>
    <row r="1604" s="86" customFormat="1" customHeight="1" spans="1:25">
      <c r="A1604" s="135" t="s">
        <v>446</v>
      </c>
      <c r="B1604" s="11" t="s">
        <v>62</v>
      </c>
      <c r="C1604" s="135" t="s">
        <v>153</v>
      </c>
      <c r="D1604" s="135" t="s">
        <v>951</v>
      </c>
      <c r="E1604" s="170" t="s">
        <v>2004</v>
      </c>
      <c r="F1604" s="135" t="s">
        <v>2005</v>
      </c>
      <c r="G1604" s="171" t="s">
        <v>88</v>
      </c>
      <c r="H1604" s="103" t="s">
        <v>2063</v>
      </c>
      <c r="I1604" s="30" t="e">
        <f>VLOOKUP(H1604,'合同高级查询数据-4月返'!A:A,1,FALSE)</f>
        <v>#N/A</v>
      </c>
      <c r="J1604" s="134" t="s">
        <v>90</v>
      </c>
      <c r="K1604" s="134" t="s">
        <v>2064</v>
      </c>
      <c r="L1604" s="174"/>
      <c r="M1604" s="113" t="s">
        <v>1505</v>
      </c>
      <c r="N1604" s="175">
        <v>44031</v>
      </c>
      <c r="O1604" s="176" t="s">
        <v>503</v>
      </c>
      <c r="P1604" s="209">
        <v>4866.67</v>
      </c>
      <c r="Q1604" s="209">
        <v>1</v>
      </c>
      <c r="R1604" s="130">
        <f t="shared" si="40"/>
        <v>4866.67</v>
      </c>
      <c r="S1604" s="127">
        <v>202304</v>
      </c>
      <c r="T1604" s="211" t="s">
        <v>2109</v>
      </c>
      <c r="U1604" s="211"/>
      <c r="V1604" s="159"/>
      <c r="W1604" s="159"/>
      <c r="X1604" s="131"/>
      <c r="Y1604" s="131"/>
    </row>
    <row r="1605" s="86" customFormat="1" customHeight="1" spans="1:25">
      <c r="A1605" s="135" t="s">
        <v>446</v>
      </c>
      <c r="B1605" s="11" t="s">
        <v>62</v>
      </c>
      <c r="C1605" s="135" t="s">
        <v>153</v>
      </c>
      <c r="D1605" s="135" t="s">
        <v>951</v>
      </c>
      <c r="E1605" s="170" t="s">
        <v>2004</v>
      </c>
      <c r="F1605" s="135" t="s">
        <v>2005</v>
      </c>
      <c r="G1605" s="171" t="s">
        <v>88</v>
      </c>
      <c r="H1605" s="103" t="s">
        <v>2063</v>
      </c>
      <c r="I1605" s="30" t="e">
        <f>VLOOKUP(H1605,'合同高级查询数据-4月返'!A:A,1,FALSE)</f>
        <v>#N/A</v>
      </c>
      <c r="J1605" s="134" t="s">
        <v>90</v>
      </c>
      <c r="K1605" s="134" t="s">
        <v>2064</v>
      </c>
      <c r="L1605" s="174"/>
      <c r="M1605" s="113" t="s">
        <v>1505</v>
      </c>
      <c r="N1605" s="175">
        <v>44150</v>
      </c>
      <c r="O1605" s="176" t="s">
        <v>503</v>
      </c>
      <c r="P1605" s="209">
        <v>4866.67</v>
      </c>
      <c r="Q1605" s="209">
        <v>-1</v>
      </c>
      <c r="R1605" s="130">
        <f t="shared" si="40"/>
        <v>-4866.67</v>
      </c>
      <c r="S1605" s="127">
        <v>202304</v>
      </c>
      <c r="T1605" s="211" t="s">
        <v>2110</v>
      </c>
      <c r="U1605" s="211"/>
      <c r="V1605" s="159"/>
      <c r="W1605" s="159"/>
      <c r="X1605" s="131"/>
      <c r="Y1605" s="131"/>
    </row>
    <row r="1606" s="86" customFormat="1" customHeight="1" spans="1:25">
      <c r="A1606" s="135" t="s">
        <v>446</v>
      </c>
      <c r="B1606" s="11" t="s">
        <v>62</v>
      </c>
      <c r="C1606" s="135" t="s">
        <v>153</v>
      </c>
      <c r="D1606" s="135" t="s">
        <v>951</v>
      </c>
      <c r="E1606" s="170" t="s">
        <v>2004</v>
      </c>
      <c r="F1606" s="135" t="s">
        <v>2005</v>
      </c>
      <c r="G1606" s="171" t="s">
        <v>346</v>
      </c>
      <c r="H1606" s="103" t="s">
        <v>2111</v>
      </c>
      <c r="I1606" s="30" t="e">
        <f>VLOOKUP(H1606,'合同高级查询数据-4月返'!A:A,1,FALSE)</f>
        <v>#N/A</v>
      </c>
      <c r="J1606" s="134" t="s">
        <v>346</v>
      </c>
      <c r="K1606" s="134" t="s">
        <v>2112</v>
      </c>
      <c r="L1606" s="174"/>
      <c r="M1606" s="113"/>
      <c r="N1606" s="175">
        <v>43140</v>
      </c>
      <c r="O1606" s="176" t="s">
        <v>1980</v>
      </c>
      <c r="P1606" s="209">
        <v>300000</v>
      </c>
      <c r="Q1606" s="209">
        <v>1</v>
      </c>
      <c r="R1606" s="130">
        <f t="shared" si="40"/>
        <v>300000</v>
      </c>
      <c r="S1606" s="127">
        <v>202304</v>
      </c>
      <c r="T1606" s="211" t="s">
        <v>2113</v>
      </c>
      <c r="U1606" s="211"/>
      <c r="V1606" s="159"/>
      <c r="W1606" s="159"/>
      <c r="X1606" s="131"/>
      <c r="Y1606" s="131"/>
    </row>
    <row r="1607" s="86" customFormat="1" customHeight="1" spans="1:25">
      <c r="A1607" s="135" t="s">
        <v>446</v>
      </c>
      <c r="B1607" s="11" t="s">
        <v>62</v>
      </c>
      <c r="C1607" s="135" t="s">
        <v>153</v>
      </c>
      <c r="D1607" s="135" t="s">
        <v>951</v>
      </c>
      <c r="E1607" s="170" t="s">
        <v>2004</v>
      </c>
      <c r="F1607" s="135" t="s">
        <v>2005</v>
      </c>
      <c r="G1607" s="171" t="s">
        <v>88</v>
      </c>
      <c r="H1607" s="103" t="s">
        <v>2114</v>
      </c>
      <c r="I1607" s="30" t="e">
        <f>VLOOKUP(H1607,'合同高级查询数据-4月返'!A:A,1,FALSE)</f>
        <v>#N/A</v>
      </c>
      <c r="J1607" s="134" t="s">
        <v>90</v>
      </c>
      <c r="K1607" s="134" t="s">
        <v>2064</v>
      </c>
      <c r="L1607" s="174"/>
      <c r="M1607" s="113" t="s">
        <v>1505</v>
      </c>
      <c r="N1607" s="175">
        <v>44974</v>
      </c>
      <c r="O1607" s="176" t="s">
        <v>574</v>
      </c>
      <c r="P1607" s="209">
        <v>14870.52</v>
      </c>
      <c r="Q1607" s="209">
        <v>2</v>
      </c>
      <c r="R1607" s="130">
        <f t="shared" si="40"/>
        <v>29741.04</v>
      </c>
      <c r="S1607" s="127">
        <v>202304</v>
      </c>
      <c r="T1607" s="211" t="s">
        <v>2115</v>
      </c>
      <c r="U1607" s="211"/>
      <c r="V1607" s="159"/>
      <c r="W1607" s="159"/>
      <c r="X1607" s="131"/>
      <c r="Y1607" s="131"/>
    </row>
    <row r="1608" s="85" customFormat="1" customHeight="1" spans="1:25">
      <c r="A1608" s="160" t="s">
        <v>446</v>
      </c>
      <c r="B1608" s="98" t="s">
        <v>62</v>
      </c>
      <c r="C1608" s="98" t="s">
        <v>813</v>
      </c>
      <c r="D1608" s="98" t="s">
        <v>642</v>
      </c>
      <c r="E1608" s="162" t="s">
        <v>2116</v>
      </c>
      <c r="F1608" s="160" t="s">
        <v>2117</v>
      </c>
      <c r="G1608" s="107" t="s">
        <v>88</v>
      </c>
      <c r="H1608" s="99" t="s">
        <v>2118</v>
      </c>
      <c r="I1608" s="46" t="e">
        <f>VLOOKUP(H1608,'合同高级查询数据-4月返'!A:A,1,FALSE)</f>
        <v>#N/A</v>
      </c>
      <c r="J1608" s="47" t="s">
        <v>90</v>
      </c>
      <c r="K1608" s="160" t="s">
        <v>920</v>
      </c>
      <c r="L1608" s="107"/>
      <c r="M1608" s="49" t="s">
        <v>845</v>
      </c>
      <c r="N1608" s="73">
        <v>44228</v>
      </c>
      <c r="O1608" s="73" t="s">
        <v>503</v>
      </c>
      <c r="P1608" s="164">
        <v>5323.03</v>
      </c>
      <c r="Q1608" s="164">
        <v>500</v>
      </c>
      <c r="R1608" s="118">
        <f t="shared" si="40"/>
        <v>2661515</v>
      </c>
      <c r="S1608" s="115">
        <v>202304</v>
      </c>
      <c r="T1608" s="187" t="s">
        <v>2119</v>
      </c>
      <c r="U1608" s="248"/>
      <c r="V1608" s="165"/>
      <c r="W1608" s="165"/>
      <c r="X1608" s="116">
        <v>44228</v>
      </c>
      <c r="Y1608" s="116">
        <v>45382</v>
      </c>
    </row>
    <row r="1609" s="85" customFormat="1" customHeight="1" spans="1:25">
      <c r="A1609" s="160" t="s">
        <v>446</v>
      </c>
      <c r="B1609" s="98" t="s">
        <v>62</v>
      </c>
      <c r="C1609" s="98" t="s">
        <v>813</v>
      </c>
      <c r="D1609" s="98" t="s">
        <v>642</v>
      </c>
      <c r="E1609" s="162" t="s">
        <v>2116</v>
      </c>
      <c r="F1609" s="160" t="s">
        <v>2117</v>
      </c>
      <c r="G1609" s="107" t="s">
        <v>88</v>
      </c>
      <c r="H1609" s="99" t="s">
        <v>2118</v>
      </c>
      <c r="I1609" s="46" t="e">
        <f>VLOOKUP(H1609,'合同高级查询数据-4月返'!A:A,1,FALSE)</f>
        <v>#N/A</v>
      </c>
      <c r="J1609" s="47" t="s">
        <v>90</v>
      </c>
      <c r="K1609" s="160" t="s">
        <v>920</v>
      </c>
      <c r="L1609" s="107"/>
      <c r="M1609" s="49" t="s">
        <v>845</v>
      </c>
      <c r="N1609" s="73">
        <v>45007</v>
      </c>
      <c r="O1609" s="73" t="s">
        <v>503</v>
      </c>
      <c r="P1609" s="164">
        <v>5323.03</v>
      </c>
      <c r="Q1609" s="164">
        <v>-10</v>
      </c>
      <c r="R1609" s="118">
        <f t="shared" si="40"/>
        <v>-53230.3</v>
      </c>
      <c r="S1609" s="115">
        <v>202304</v>
      </c>
      <c r="T1609" s="187" t="s">
        <v>2120</v>
      </c>
      <c r="U1609" s="248"/>
      <c r="V1609" s="165"/>
      <c r="W1609" s="165"/>
      <c r="X1609" s="116">
        <v>44228</v>
      </c>
      <c r="Y1609" s="116">
        <v>45382</v>
      </c>
    </row>
    <row r="1610" s="85" customFormat="1" customHeight="1" spans="1:25">
      <c r="A1610" s="160" t="s">
        <v>446</v>
      </c>
      <c r="B1610" s="98" t="s">
        <v>62</v>
      </c>
      <c r="C1610" s="98" t="s">
        <v>813</v>
      </c>
      <c r="D1610" s="98" t="s">
        <v>642</v>
      </c>
      <c r="E1610" s="162" t="s">
        <v>2116</v>
      </c>
      <c r="F1610" s="160" t="s">
        <v>2121</v>
      </c>
      <c r="G1610" s="25" t="s">
        <v>346</v>
      </c>
      <c r="H1610" s="99" t="s">
        <v>2122</v>
      </c>
      <c r="I1610" s="46" t="e">
        <f>VLOOKUP(H1610,'合同高级查询数据-4月返'!A:A,1,FALSE)</f>
        <v>#N/A</v>
      </c>
      <c r="J1610" s="25" t="s">
        <v>346</v>
      </c>
      <c r="K1610" s="25" t="s">
        <v>2123</v>
      </c>
      <c r="L1610" s="107"/>
      <c r="M1610" s="49"/>
      <c r="N1610" s="73">
        <v>44337</v>
      </c>
      <c r="O1610" s="107" t="s">
        <v>1521</v>
      </c>
      <c r="P1610" s="164">
        <v>2880</v>
      </c>
      <c r="Q1610" s="118">
        <v>1</v>
      </c>
      <c r="R1610" s="118">
        <f t="shared" si="40"/>
        <v>2880</v>
      </c>
      <c r="S1610" s="115">
        <v>202304</v>
      </c>
      <c r="T1610" s="119" t="s">
        <v>2123</v>
      </c>
      <c r="U1610" s="166"/>
      <c r="V1610" s="165"/>
      <c r="W1610" s="165"/>
      <c r="X1610" s="116">
        <v>44702</v>
      </c>
      <c r="Y1610" s="116">
        <v>45066</v>
      </c>
    </row>
    <row r="1611" s="86" customFormat="1" customHeight="1" spans="1:25">
      <c r="A1611" s="35" t="s">
        <v>446</v>
      </c>
      <c r="B1611" s="135" t="s">
        <v>62</v>
      </c>
      <c r="C1611" s="11" t="s">
        <v>813</v>
      </c>
      <c r="D1611" s="11" t="s">
        <v>642</v>
      </c>
      <c r="E1611" s="30" t="s">
        <v>2116</v>
      </c>
      <c r="F1611" s="35" t="s">
        <v>2124</v>
      </c>
      <c r="G1611" s="142" t="s">
        <v>88</v>
      </c>
      <c r="H1611" s="152" t="s">
        <v>2125</v>
      </c>
      <c r="I1611" s="30" t="e">
        <f>VLOOKUP(H1611,'合同高级查询数据-4月返'!A:A,1,FALSE)</f>
        <v>#N/A</v>
      </c>
      <c r="J1611" s="155" t="s">
        <v>162</v>
      </c>
      <c r="K1611" s="35" t="s">
        <v>813</v>
      </c>
      <c r="L1611" s="110" t="s">
        <v>2124</v>
      </c>
      <c r="M1611" s="113" t="s">
        <v>2126</v>
      </c>
      <c r="N1611" s="146">
        <v>41653</v>
      </c>
      <c r="O1611" s="146" t="s">
        <v>702</v>
      </c>
      <c r="P1611" s="156">
        <v>5000</v>
      </c>
      <c r="Q1611" s="130">
        <v>8</v>
      </c>
      <c r="R1611" s="130">
        <f t="shared" si="40"/>
        <v>40000</v>
      </c>
      <c r="S1611" s="127">
        <v>202304</v>
      </c>
      <c r="T1611" s="190" t="s">
        <v>2127</v>
      </c>
      <c r="U1611" s="190"/>
      <c r="V1611" s="159"/>
      <c r="W1611" s="159"/>
      <c r="X1611" s="131"/>
      <c r="Y1611" s="131"/>
    </row>
    <row r="1612" s="86" customFormat="1" customHeight="1" spans="1:25">
      <c r="A1612" s="35" t="s">
        <v>446</v>
      </c>
      <c r="B1612" s="135" t="s">
        <v>62</v>
      </c>
      <c r="C1612" s="11" t="s">
        <v>813</v>
      </c>
      <c r="D1612" s="11" t="s">
        <v>642</v>
      </c>
      <c r="E1612" s="30" t="s">
        <v>2116</v>
      </c>
      <c r="F1612" s="35" t="s">
        <v>2124</v>
      </c>
      <c r="G1612" s="142" t="s">
        <v>88</v>
      </c>
      <c r="H1612" s="152" t="s">
        <v>2125</v>
      </c>
      <c r="I1612" s="30" t="e">
        <f>VLOOKUP(H1612,'合同高级查询数据-4月返'!A:A,1,FALSE)</f>
        <v>#N/A</v>
      </c>
      <c r="J1612" s="155" t="s">
        <v>162</v>
      </c>
      <c r="K1612" s="35" t="s">
        <v>813</v>
      </c>
      <c r="L1612" s="110" t="s">
        <v>2124</v>
      </c>
      <c r="M1612" s="113" t="s">
        <v>2126</v>
      </c>
      <c r="N1612" s="146">
        <v>41653</v>
      </c>
      <c r="O1612" s="146" t="s">
        <v>702</v>
      </c>
      <c r="P1612" s="156">
        <v>5000</v>
      </c>
      <c r="Q1612" s="130">
        <v>3</v>
      </c>
      <c r="R1612" s="130">
        <f t="shared" si="40"/>
        <v>15000</v>
      </c>
      <c r="S1612" s="127">
        <v>202304</v>
      </c>
      <c r="T1612" s="190" t="s">
        <v>2128</v>
      </c>
      <c r="U1612" s="190"/>
      <c r="V1612" s="159"/>
      <c r="W1612" s="159"/>
      <c r="X1612" s="131"/>
      <c r="Y1612" s="131"/>
    </row>
    <row r="1613" s="86" customFormat="1" customHeight="1" spans="1:25">
      <c r="A1613" s="35" t="s">
        <v>446</v>
      </c>
      <c r="B1613" s="135" t="s">
        <v>62</v>
      </c>
      <c r="C1613" s="11" t="s">
        <v>813</v>
      </c>
      <c r="D1613" s="11" t="s">
        <v>642</v>
      </c>
      <c r="E1613" s="30" t="s">
        <v>2116</v>
      </c>
      <c r="F1613" s="35" t="s">
        <v>2124</v>
      </c>
      <c r="G1613" s="142" t="s">
        <v>88</v>
      </c>
      <c r="H1613" s="152" t="s">
        <v>2125</v>
      </c>
      <c r="I1613" s="30" t="e">
        <f>VLOOKUP(H1613,'合同高级查询数据-4月返'!A:A,1,FALSE)</f>
        <v>#N/A</v>
      </c>
      <c r="J1613" s="155" t="s">
        <v>162</v>
      </c>
      <c r="K1613" s="35" t="s">
        <v>813</v>
      </c>
      <c r="L1613" s="110" t="s">
        <v>2124</v>
      </c>
      <c r="M1613" s="113" t="s">
        <v>2126</v>
      </c>
      <c r="N1613" s="146">
        <v>44439</v>
      </c>
      <c r="O1613" s="146" t="s">
        <v>702</v>
      </c>
      <c r="P1613" s="156">
        <v>5000</v>
      </c>
      <c r="Q1613" s="130">
        <v>-9</v>
      </c>
      <c r="R1613" s="130">
        <f t="shared" si="40"/>
        <v>-45000</v>
      </c>
      <c r="S1613" s="127">
        <v>202304</v>
      </c>
      <c r="T1613" s="268" t="s">
        <v>2129</v>
      </c>
      <c r="U1613" s="268"/>
      <c r="V1613" s="159"/>
      <c r="W1613" s="159"/>
      <c r="X1613" s="131"/>
      <c r="Y1613" s="131"/>
    </row>
    <row r="1614" s="86" customFormat="1" customHeight="1" spans="1:25">
      <c r="A1614" s="35" t="s">
        <v>446</v>
      </c>
      <c r="B1614" s="135" t="s">
        <v>62</v>
      </c>
      <c r="C1614" s="11" t="s">
        <v>813</v>
      </c>
      <c r="D1614" s="11" t="s">
        <v>642</v>
      </c>
      <c r="E1614" s="30" t="s">
        <v>2116</v>
      </c>
      <c r="F1614" s="35" t="s">
        <v>2124</v>
      </c>
      <c r="G1614" s="142" t="s">
        <v>88</v>
      </c>
      <c r="H1614" s="152" t="s">
        <v>2125</v>
      </c>
      <c r="I1614" s="30" t="e">
        <f>VLOOKUP(H1614,'合同高级查询数据-4月返'!A:A,1,FALSE)</f>
        <v>#N/A</v>
      </c>
      <c r="J1614" s="155" t="s">
        <v>162</v>
      </c>
      <c r="K1614" s="35" t="s">
        <v>813</v>
      </c>
      <c r="L1614" s="110" t="s">
        <v>2124</v>
      </c>
      <c r="M1614" s="113" t="s">
        <v>2126</v>
      </c>
      <c r="N1614" s="146">
        <v>44439</v>
      </c>
      <c r="O1614" s="146" t="s">
        <v>702</v>
      </c>
      <c r="P1614" s="156">
        <v>5000</v>
      </c>
      <c r="Q1614" s="130">
        <v>-2</v>
      </c>
      <c r="R1614" s="130">
        <f t="shared" si="40"/>
        <v>-10000</v>
      </c>
      <c r="S1614" s="127">
        <v>202304</v>
      </c>
      <c r="T1614" s="268" t="s">
        <v>2130</v>
      </c>
      <c r="U1614" s="268"/>
      <c r="V1614" s="159"/>
      <c r="W1614" s="159"/>
      <c r="X1614" s="131"/>
      <c r="Y1614" s="131"/>
    </row>
    <row r="1615" s="86" customFormat="1" customHeight="1" spans="1:25">
      <c r="A1615" s="35" t="s">
        <v>446</v>
      </c>
      <c r="B1615" s="135" t="s">
        <v>62</v>
      </c>
      <c r="C1615" s="11" t="s">
        <v>813</v>
      </c>
      <c r="D1615" s="11" t="s">
        <v>642</v>
      </c>
      <c r="E1615" s="30" t="s">
        <v>2116</v>
      </c>
      <c r="F1615" s="35" t="s">
        <v>2124</v>
      </c>
      <c r="G1615" s="142" t="s">
        <v>88</v>
      </c>
      <c r="H1615" s="152" t="s">
        <v>2125</v>
      </c>
      <c r="I1615" s="30" t="e">
        <f>VLOOKUP(H1615,'合同高级查询数据-4月返'!A:A,1,FALSE)</f>
        <v>#N/A</v>
      </c>
      <c r="J1615" s="155" t="s">
        <v>162</v>
      </c>
      <c r="K1615" s="35" t="s">
        <v>813</v>
      </c>
      <c r="L1615" s="110" t="s">
        <v>2124</v>
      </c>
      <c r="M1615" s="113" t="s">
        <v>2126</v>
      </c>
      <c r="N1615" s="146">
        <v>44440</v>
      </c>
      <c r="O1615" s="146" t="s">
        <v>702</v>
      </c>
      <c r="P1615" s="156">
        <v>5000</v>
      </c>
      <c r="Q1615" s="130">
        <v>14</v>
      </c>
      <c r="R1615" s="130">
        <f t="shared" si="40"/>
        <v>70000</v>
      </c>
      <c r="S1615" s="127">
        <v>202304</v>
      </c>
      <c r="T1615" s="268" t="s">
        <v>2131</v>
      </c>
      <c r="U1615" s="268"/>
      <c r="V1615" s="159"/>
      <c r="W1615" s="159"/>
      <c r="X1615" s="131"/>
      <c r="Y1615" s="131"/>
    </row>
    <row r="1616" s="86" customFormat="1" customHeight="1" spans="1:25">
      <c r="A1616" s="35" t="s">
        <v>446</v>
      </c>
      <c r="B1616" s="135" t="s">
        <v>62</v>
      </c>
      <c r="C1616" s="11" t="s">
        <v>813</v>
      </c>
      <c r="D1616" s="11" t="s">
        <v>642</v>
      </c>
      <c r="E1616" s="30" t="s">
        <v>2116</v>
      </c>
      <c r="F1616" s="35" t="s">
        <v>2124</v>
      </c>
      <c r="G1616" s="142" t="s">
        <v>88</v>
      </c>
      <c r="H1616" s="152" t="s">
        <v>2125</v>
      </c>
      <c r="I1616" s="30" t="e">
        <f>VLOOKUP(H1616,'合同高级查询数据-4月返'!A:A,1,FALSE)</f>
        <v>#N/A</v>
      </c>
      <c r="J1616" s="155" t="s">
        <v>162</v>
      </c>
      <c r="K1616" s="35" t="s">
        <v>813</v>
      </c>
      <c r="L1616" s="110" t="s">
        <v>2124</v>
      </c>
      <c r="M1616" s="113" t="s">
        <v>2126</v>
      </c>
      <c r="N1616" s="146">
        <v>44440</v>
      </c>
      <c r="O1616" s="146" t="s">
        <v>702</v>
      </c>
      <c r="P1616" s="156">
        <v>5000</v>
      </c>
      <c r="Q1616" s="130">
        <v>1</v>
      </c>
      <c r="R1616" s="130">
        <f t="shared" si="40"/>
        <v>5000</v>
      </c>
      <c r="S1616" s="127">
        <v>202304</v>
      </c>
      <c r="T1616" s="268" t="s">
        <v>2132</v>
      </c>
      <c r="U1616" s="268"/>
      <c r="V1616" s="159"/>
      <c r="W1616" s="159"/>
      <c r="X1616" s="131"/>
      <c r="Y1616" s="131"/>
    </row>
    <row r="1617" s="86" customFormat="1" customHeight="1" spans="1:25">
      <c r="A1617" s="35" t="s">
        <v>446</v>
      </c>
      <c r="B1617" s="135" t="s">
        <v>62</v>
      </c>
      <c r="C1617" s="11" t="s">
        <v>813</v>
      </c>
      <c r="D1617" s="11" t="s">
        <v>642</v>
      </c>
      <c r="E1617" s="30" t="s">
        <v>2116</v>
      </c>
      <c r="F1617" s="35" t="s">
        <v>2124</v>
      </c>
      <c r="G1617" s="142" t="s">
        <v>88</v>
      </c>
      <c r="H1617" s="152" t="s">
        <v>2125</v>
      </c>
      <c r="I1617" s="30" t="e">
        <f>VLOOKUP(H1617,'合同高级查询数据-4月返'!A:A,1,FALSE)</f>
        <v>#N/A</v>
      </c>
      <c r="J1617" s="155" t="s">
        <v>162</v>
      </c>
      <c r="K1617" s="35" t="s">
        <v>813</v>
      </c>
      <c r="L1617" s="110" t="s">
        <v>2124</v>
      </c>
      <c r="M1617" s="113" t="s">
        <v>2126</v>
      </c>
      <c r="N1617" s="146">
        <v>44453</v>
      </c>
      <c r="O1617" s="146" t="s">
        <v>702</v>
      </c>
      <c r="P1617" s="156">
        <v>5000</v>
      </c>
      <c r="Q1617" s="130">
        <v>-4</v>
      </c>
      <c r="R1617" s="130">
        <f t="shared" si="40"/>
        <v>-20000</v>
      </c>
      <c r="S1617" s="127">
        <v>202304</v>
      </c>
      <c r="T1617" s="268" t="s">
        <v>2133</v>
      </c>
      <c r="U1617" s="268"/>
      <c r="V1617" s="159"/>
      <c r="W1617" s="159"/>
      <c r="X1617" s="131"/>
      <c r="Y1617" s="131"/>
    </row>
    <row r="1618" s="86" customFormat="1" customHeight="1" spans="1:25">
      <c r="A1618" s="35" t="s">
        <v>446</v>
      </c>
      <c r="B1618" s="135" t="s">
        <v>62</v>
      </c>
      <c r="C1618" s="11" t="s">
        <v>813</v>
      </c>
      <c r="D1618" s="11" t="s">
        <v>642</v>
      </c>
      <c r="E1618" s="30" t="s">
        <v>2116</v>
      </c>
      <c r="F1618" s="35" t="s">
        <v>2124</v>
      </c>
      <c r="G1618" s="142" t="s">
        <v>88</v>
      </c>
      <c r="H1618" s="152" t="s">
        <v>2125</v>
      </c>
      <c r="I1618" s="30" t="e">
        <f>VLOOKUP(H1618,'合同高级查询数据-4月返'!A:A,1,FALSE)</f>
        <v>#N/A</v>
      </c>
      <c r="J1618" s="155" t="s">
        <v>162</v>
      </c>
      <c r="K1618" s="35" t="s">
        <v>813</v>
      </c>
      <c r="L1618" s="110" t="s">
        <v>2124</v>
      </c>
      <c r="M1618" s="113" t="s">
        <v>2126</v>
      </c>
      <c r="N1618" s="146">
        <v>43719</v>
      </c>
      <c r="O1618" s="146" t="s">
        <v>702</v>
      </c>
      <c r="P1618" s="156">
        <v>5000</v>
      </c>
      <c r="Q1618" s="130">
        <v>-2</v>
      </c>
      <c r="R1618" s="130">
        <f t="shared" si="40"/>
        <v>-10000</v>
      </c>
      <c r="S1618" s="127">
        <v>202304</v>
      </c>
      <c r="T1618" s="190" t="s">
        <v>2134</v>
      </c>
      <c r="U1618" s="190"/>
      <c r="V1618" s="159"/>
      <c r="W1618" s="159"/>
      <c r="X1618" s="131"/>
      <c r="Y1618" s="131"/>
    </row>
    <row r="1619" s="86" customFormat="1" customHeight="1" spans="1:25">
      <c r="A1619" s="35" t="s">
        <v>446</v>
      </c>
      <c r="B1619" s="135" t="s">
        <v>62</v>
      </c>
      <c r="C1619" s="11" t="s">
        <v>813</v>
      </c>
      <c r="D1619" s="11" t="s">
        <v>642</v>
      </c>
      <c r="E1619" s="30" t="s">
        <v>2116</v>
      </c>
      <c r="F1619" s="35" t="s">
        <v>2124</v>
      </c>
      <c r="G1619" s="142" t="s">
        <v>88</v>
      </c>
      <c r="H1619" s="152" t="s">
        <v>2125</v>
      </c>
      <c r="I1619" s="30" t="e">
        <f>VLOOKUP(H1619,'合同高级查询数据-4月返'!A:A,1,FALSE)</f>
        <v>#N/A</v>
      </c>
      <c r="J1619" s="155" t="s">
        <v>162</v>
      </c>
      <c r="K1619" s="35" t="s">
        <v>813</v>
      </c>
      <c r="L1619" s="110" t="s">
        <v>2124</v>
      </c>
      <c r="M1619" s="113" t="s">
        <v>2126</v>
      </c>
      <c r="N1619" s="146">
        <v>43959</v>
      </c>
      <c r="O1619" s="146" t="s">
        <v>702</v>
      </c>
      <c r="P1619" s="156">
        <v>5000</v>
      </c>
      <c r="Q1619" s="130">
        <v>2</v>
      </c>
      <c r="R1619" s="126">
        <f t="shared" si="40"/>
        <v>10000</v>
      </c>
      <c r="S1619" s="127">
        <v>202304</v>
      </c>
      <c r="T1619" s="190" t="s">
        <v>2135</v>
      </c>
      <c r="U1619" s="190"/>
      <c r="V1619" s="159"/>
      <c r="W1619" s="159"/>
      <c r="X1619" s="131"/>
      <c r="Y1619" s="131"/>
    </row>
    <row r="1620" s="86" customFormat="1" customHeight="1" spans="1:25">
      <c r="A1620" s="35" t="s">
        <v>446</v>
      </c>
      <c r="B1620" s="135" t="s">
        <v>62</v>
      </c>
      <c r="C1620" s="11" t="s">
        <v>813</v>
      </c>
      <c r="D1620" s="11" t="s">
        <v>642</v>
      </c>
      <c r="E1620" s="30" t="s">
        <v>2116</v>
      </c>
      <c r="F1620" s="35" t="s">
        <v>2124</v>
      </c>
      <c r="G1620" s="142" t="s">
        <v>88</v>
      </c>
      <c r="H1620" s="152" t="s">
        <v>2125</v>
      </c>
      <c r="I1620" s="30" t="e">
        <f>VLOOKUP(H1620,'合同高级查询数据-4月返'!A:A,1,FALSE)</f>
        <v>#N/A</v>
      </c>
      <c r="J1620" s="155" t="s">
        <v>162</v>
      </c>
      <c r="K1620" s="35" t="s">
        <v>813</v>
      </c>
      <c r="L1620" s="110" t="s">
        <v>2124</v>
      </c>
      <c r="M1620" s="113" t="s">
        <v>2126</v>
      </c>
      <c r="N1620" s="146">
        <v>44827</v>
      </c>
      <c r="O1620" s="146" t="s">
        <v>702</v>
      </c>
      <c r="P1620" s="156">
        <v>5000</v>
      </c>
      <c r="Q1620" s="130">
        <v>-7</v>
      </c>
      <c r="R1620" s="130">
        <f t="shared" si="40"/>
        <v>-35000</v>
      </c>
      <c r="S1620" s="127">
        <v>202304</v>
      </c>
      <c r="T1620" s="190" t="s">
        <v>2136</v>
      </c>
      <c r="U1620" s="190"/>
      <c r="V1620" s="159"/>
      <c r="W1620" s="159"/>
      <c r="X1620" s="131"/>
      <c r="Y1620" s="131"/>
    </row>
    <row r="1621" s="86" customFormat="1" customHeight="1" spans="1:25">
      <c r="A1621" s="35" t="s">
        <v>446</v>
      </c>
      <c r="B1621" s="135" t="s">
        <v>62</v>
      </c>
      <c r="C1621" s="11" t="s">
        <v>813</v>
      </c>
      <c r="D1621" s="11" t="s">
        <v>642</v>
      </c>
      <c r="E1621" s="30" t="s">
        <v>2116</v>
      </c>
      <c r="F1621" s="35" t="s">
        <v>2124</v>
      </c>
      <c r="G1621" s="142" t="s">
        <v>31</v>
      </c>
      <c r="H1621" s="152" t="s">
        <v>2125</v>
      </c>
      <c r="I1621" s="30" t="e">
        <f>VLOOKUP(H1621,'合同高级查询数据-4月返'!A:A,1,FALSE)</f>
        <v>#N/A</v>
      </c>
      <c r="J1621" s="155" t="s">
        <v>33</v>
      </c>
      <c r="K1621" s="35" t="s">
        <v>813</v>
      </c>
      <c r="L1621" s="110" t="s">
        <v>2124</v>
      </c>
      <c r="M1621" s="113" t="s">
        <v>2126</v>
      </c>
      <c r="N1621" s="146" t="s">
        <v>2137</v>
      </c>
      <c r="O1621" s="146"/>
      <c r="P1621" s="156">
        <v>0</v>
      </c>
      <c r="Q1621" s="130">
        <v>544</v>
      </c>
      <c r="R1621" s="130">
        <f t="shared" si="40"/>
        <v>0</v>
      </c>
      <c r="S1621" s="127">
        <v>202304</v>
      </c>
      <c r="T1621" s="190" t="s">
        <v>2138</v>
      </c>
      <c r="U1621" s="190"/>
      <c r="V1621" s="159"/>
      <c r="W1621" s="159"/>
      <c r="X1621" s="131"/>
      <c r="Y1621" s="131"/>
    </row>
    <row r="1622" s="86" customFormat="1" customHeight="1" spans="1:25">
      <c r="A1622" s="35" t="s">
        <v>446</v>
      </c>
      <c r="B1622" s="135" t="s">
        <v>62</v>
      </c>
      <c r="C1622" s="11" t="s">
        <v>813</v>
      </c>
      <c r="D1622" s="11" t="s">
        <v>642</v>
      </c>
      <c r="E1622" s="30" t="s">
        <v>2116</v>
      </c>
      <c r="F1622" s="35" t="s">
        <v>2124</v>
      </c>
      <c r="G1622" s="142" t="s">
        <v>31</v>
      </c>
      <c r="H1622" s="152" t="s">
        <v>2125</v>
      </c>
      <c r="I1622" s="30" t="e">
        <f>VLOOKUP(H1622,'合同高级查询数据-4月返'!A:A,1,FALSE)</f>
        <v>#N/A</v>
      </c>
      <c r="J1622" s="155" t="s">
        <v>33</v>
      </c>
      <c r="K1622" s="35" t="s">
        <v>813</v>
      </c>
      <c r="L1622" s="110" t="s">
        <v>2124</v>
      </c>
      <c r="M1622" s="113" t="s">
        <v>2126</v>
      </c>
      <c r="N1622" s="146" t="s">
        <v>2137</v>
      </c>
      <c r="O1622" s="146"/>
      <c r="P1622" s="156">
        <v>0</v>
      </c>
      <c r="Q1622" s="130">
        <v>128</v>
      </c>
      <c r="R1622" s="130">
        <f t="shared" si="40"/>
        <v>0</v>
      </c>
      <c r="S1622" s="127">
        <v>202304</v>
      </c>
      <c r="T1622" s="190" t="s">
        <v>2139</v>
      </c>
      <c r="U1622" s="190"/>
      <c r="V1622" s="159"/>
      <c r="W1622" s="159"/>
      <c r="X1622" s="131"/>
      <c r="Y1622" s="131"/>
    </row>
    <row r="1623" s="86" customFormat="1" customHeight="1" spans="1:25">
      <c r="A1623" s="35" t="s">
        <v>446</v>
      </c>
      <c r="B1623" s="135" t="s">
        <v>62</v>
      </c>
      <c r="C1623" s="11" t="s">
        <v>813</v>
      </c>
      <c r="D1623" s="11" t="s">
        <v>642</v>
      </c>
      <c r="E1623" s="30" t="s">
        <v>2116</v>
      </c>
      <c r="F1623" s="35" t="s">
        <v>2124</v>
      </c>
      <c r="G1623" s="142" t="s">
        <v>31</v>
      </c>
      <c r="H1623" s="152" t="s">
        <v>2125</v>
      </c>
      <c r="I1623" s="30" t="e">
        <f>VLOOKUP(H1623,'合同高级查询数据-4月返'!A:A,1,FALSE)</f>
        <v>#N/A</v>
      </c>
      <c r="J1623" s="155" t="s">
        <v>33</v>
      </c>
      <c r="K1623" s="35" t="s">
        <v>813</v>
      </c>
      <c r="L1623" s="110" t="s">
        <v>2124</v>
      </c>
      <c r="M1623" s="113" t="s">
        <v>2126</v>
      </c>
      <c r="N1623" s="146">
        <v>44827</v>
      </c>
      <c r="O1623" s="146"/>
      <c r="P1623" s="156">
        <v>0</v>
      </c>
      <c r="Q1623" s="130">
        <v>-256</v>
      </c>
      <c r="R1623" s="130">
        <f t="shared" si="40"/>
        <v>0</v>
      </c>
      <c r="S1623" s="127">
        <v>202304</v>
      </c>
      <c r="T1623" s="190" t="s">
        <v>2140</v>
      </c>
      <c r="U1623" s="190"/>
      <c r="V1623" s="159"/>
      <c r="W1623" s="159"/>
      <c r="X1623" s="131"/>
      <c r="Y1623" s="131"/>
    </row>
    <row r="1624" s="85" customFormat="1" customHeight="1" spans="1:25">
      <c r="A1624" s="98" t="s">
        <v>446</v>
      </c>
      <c r="B1624" s="98" t="s">
        <v>62</v>
      </c>
      <c r="C1624" s="98" t="s">
        <v>238</v>
      </c>
      <c r="D1624" s="98" t="s">
        <v>642</v>
      </c>
      <c r="E1624" s="161" t="s">
        <v>2141</v>
      </c>
      <c r="F1624" s="98" t="s">
        <v>2142</v>
      </c>
      <c r="G1624" s="25" t="s">
        <v>67</v>
      </c>
      <c r="H1624" s="100" t="s">
        <v>2143</v>
      </c>
      <c r="I1624" s="46" t="e">
        <f>VLOOKUP(H1624,'合同高级查询数据-4月返'!A:A,1,FALSE)</f>
        <v>#N/A</v>
      </c>
      <c r="J1624" s="25" t="s">
        <v>69</v>
      </c>
      <c r="K1624" s="160" t="s">
        <v>2144</v>
      </c>
      <c r="L1624" s="179"/>
      <c r="M1624" s="49"/>
      <c r="N1624" s="241">
        <v>44423</v>
      </c>
      <c r="O1624" s="229" t="s">
        <v>71</v>
      </c>
      <c r="P1624" s="207">
        <v>340</v>
      </c>
      <c r="Q1624" s="117">
        <v>1.31</v>
      </c>
      <c r="R1624" s="118">
        <f t="shared" si="40"/>
        <v>445.4</v>
      </c>
      <c r="S1624" s="115">
        <v>202304</v>
      </c>
      <c r="T1624" s="222" t="s">
        <v>2145</v>
      </c>
      <c r="U1624" s="223"/>
      <c r="V1624" s="165"/>
      <c r="W1624" s="165"/>
      <c r="X1624" s="116">
        <v>44411</v>
      </c>
      <c r="Y1624" s="116">
        <v>45140</v>
      </c>
    </row>
    <row r="1625" s="85" customFormat="1" customHeight="1" spans="1:25">
      <c r="A1625" s="98" t="s">
        <v>446</v>
      </c>
      <c r="B1625" s="98" t="s">
        <v>62</v>
      </c>
      <c r="C1625" s="98" t="s">
        <v>238</v>
      </c>
      <c r="D1625" s="98" t="s">
        <v>642</v>
      </c>
      <c r="E1625" s="161" t="s">
        <v>2141</v>
      </c>
      <c r="F1625" s="98" t="s">
        <v>2142</v>
      </c>
      <c r="G1625" s="25" t="s">
        <v>67</v>
      </c>
      <c r="H1625" s="100" t="s">
        <v>2143</v>
      </c>
      <c r="I1625" s="46" t="e">
        <f>VLOOKUP(H1625,'合同高级查询数据-4月返'!A:A,1,FALSE)</f>
        <v>#N/A</v>
      </c>
      <c r="J1625" s="25" t="s">
        <v>69</v>
      </c>
      <c r="K1625" s="160" t="s">
        <v>2144</v>
      </c>
      <c r="L1625" s="179"/>
      <c r="M1625" s="49"/>
      <c r="N1625" s="241">
        <v>44423</v>
      </c>
      <c r="O1625" s="229" t="s">
        <v>71</v>
      </c>
      <c r="P1625" s="207">
        <v>340</v>
      </c>
      <c r="Q1625" s="117">
        <v>3.42</v>
      </c>
      <c r="R1625" s="118">
        <f t="shared" ref="R1625:R1688" si="41">ROUND(P1625*Q1625,2)</f>
        <v>1162.8</v>
      </c>
      <c r="S1625" s="115">
        <v>202304</v>
      </c>
      <c r="T1625" s="222" t="s">
        <v>2145</v>
      </c>
      <c r="U1625" s="223"/>
      <c r="V1625" s="165"/>
      <c r="W1625" s="165"/>
      <c r="X1625" s="116">
        <v>44411</v>
      </c>
      <c r="Y1625" s="116">
        <v>45140</v>
      </c>
    </row>
    <row r="1626" s="85" customFormat="1" customHeight="1" spans="1:25">
      <c r="A1626" s="98" t="s">
        <v>446</v>
      </c>
      <c r="B1626" s="98" t="s">
        <v>62</v>
      </c>
      <c r="C1626" s="98" t="s">
        <v>238</v>
      </c>
      <c r="D1626" s="98" t="s">
        <v>642</v>
      </c>
      <c r="E1626" s="161" t="s">
        <v>2141</v>
      </c>
      <c r="F1626" s="98" t="s">
        <v>2142</v>
      </c>
      <c r="G1626" s="25" t="s">
        <v>67</v>
      </c>
      <c r="H1626" s="100" t="s">
        <v>2143</v>
      </c>
      <c r="I1626" s="46" t="e">
        <f>VLOOKUP(H1626,'合同高级查询数据-4月返'!A:A,1,FALSE)</f>
        <v>#N/A</v>
      </c>
      <c r="J1626" s="25" t="s">
        <v>69</v>
      </c>
      <c r="K1626" s="160" t="s">
        <v>2144</v>
      </c>
      <c r="L1626" s="179"/>
      <c r="M1626" s="49"/>
      <c r="N1626" s="241">
        <v>44423</v>
      </c>
      <c r="O1626" s="229" t="s">
        <v>71</v>
      </c>
      <c r="P1626" s="207">
        <v>340</v>
      </c>
      <c r="Q1626" s="117">
        <v>2.13</v>
      </c>
      <c r="R1626" s="118">
        <f t="shared" si="41"/>
        <v>724.2</v>
      </c>
      <c r="S1626" s="115">
        <v>202304</v>
      </c>
      <c r="T1626" s="222" t="s">
        <v>2145</v>
      </c>
      <c r="U1626" s="223"/>
      <c r="V1626" s="165"/>
      <c r="W1626" s="165"/>
      <c r="X1626" s="116">
        <v>44411</v>
      </c>
      <c r="Y1626" s="116">
        <v>45140</v>
      </c>
    </row>
    <row r="1627" s="85" customFormat="1" customHeight="1" spans="1:25">
      <c r="A1627" s="98" t="s">
        <v>446</v>
      </c>
      <c r="B1627" s="98" t="s">
        <v>62</v>
      </c>
      <c r="C1627" s="98" t="s">
        <v>238</v>
      </c>
      <c r="D1627" s="98" t="s">
        <v>642</v>
      </c>
      <c r="E1627" s="161" t="s">
        <v>2141</v>
      </c>
      <c r="F1627" s="98" t="s">
        <v>2142</v>
      </c>
      <c r="G1627" s="25" t="s">
        <v>67</v>
      </c>
      <c r="H1627" s="100" t="s">
        <v>2143</v>
      </c>
      <c r="I1627" s="46" t="e">
        <f>VLOOKUP(H1627,'合同高级查询数据-4月返'!A:A,1,FALSE)</f>
        <v>#N/A</v>
      </c>
      <c r="J1627" s="25" t="s">
        <v>69</v>
      </c>
      <c r="K1627" s="160" t="s">
        <v>2144</v>
      </c>
      <c r="L1627" s="179"/>
      <c r="M1627" s="49"/>
      <c r="N1627" s="241">
        <v>44423</v>
      </c>
      <c r="O1627" s="229" t="s">
        <v>71</v>
      </c>
      <c r="P1627" s="207">
        <v>340</v>
      </c>
      <c r="Q1627" s="117">
        <v>2.13</v>
      </c>
      <c r="R1627" s="118">
        <f t="shared" si="41"/>
        <v>724.2</v>
      </c>
      <c r="S1627" s="115">
        <v>202304</v>
      </c>
      <c r="T1627" s="222" t="s">
        <v>2145</v>
      </c>
      <c r="U1627" s="223"/>
      <c r="V1627" s="165"/>
      <c r="W1627" s="165"/>
      <c r="X1627" s="116">
        <v>44411</v>
      </c>
      <c r="Y1627" s="116">
        <v>45140</v>
      </c>
    </row>
    <row r="1628" s="85" customFormat="1" customHeight="1" spans="1:25">
      <c r="A1628" s="98" t="s">
        <v>446</v>
      </c>
      <c r="B1628" s="98" t="s">
        <v>62</v>
      </c>
      <c r="C1628" s="98" t="s">
        <v>238</v>
      </c>
      <c r="D1628" s="98" t="s">
        <v>642</v>
      </c>
      <c r="E1628" s="161" t="s">
        <v>2141</v>
      </c>
      <c r="F1628" s="98" t="s">
        <v>2142</v>
      </c>
      <c r="G1628" s="25" t="s">
        <v>67</v>
      </c>
      <c r="H1628" s="100" t="s">
        <v>2143</v>
      </c>
      <c r="I1628" s="46" t="e">
        <f>VLOOKUP(H1628,'合同高级查询数据-4月返'!A:A,1,FALSE)</f>
        <v>#N/A</v>
      </c>
      <c r="J1628" s="25" t="s">
        <v>69</v>
      </c>
      <c r="K1628" s="160" t="s">
        <v>2146</v>
      </c>
      <c r="L1628" s="179"/>
      <c r="M1628" s="49"/>
      <c r="N1628" s="241">
        <v>44441</v>
      </c>
      <c r="O1628" s="229" t="s">
        <v>71</v>
      </c>
      <c r="P1628" s="207">
        <v>340</v>
      </c>
      <c r="Q1628" s="117">
        <v>133.3</v>
      </c>
      <c r="R1628" s="118">
        <f t="shared" si="41"/>
        <v>45322</v>
      </c>
      <c r="S1628" s="115">
        <v>202304</v>
      </c>
      <c r="T1628" s="243" t="s">
        <v>2147</v>
      </c>
      <c r="U1628" s="269"/>
      <c r="V1628" s="165"/>
      <c r="W1628" s="165"/>
      <c r="X1628" s="116">
        <v>44411</v>
      </c>
      <c r="Y1628" s="116">
        <v>45140</v>
      </c>
    </row>
    <row r="1629" s="85" customFormat="1" customHeight="1" spans="1:25">
      <c r="A1629" s="98" t="s">
        <v>446</v>
      </c>
      <c r="B1629" s="98" t="s">
        <v>62</v>
      </c>
      <c r="C1629" s="98" t="s">
        <v>238</v>
      </c>
      <c r="D1629" s="98" t="s">
        <v>642</v>
      </c>
      <c r="E1629" s="161" t="s">
        <v>2141</v>
      </c>
      <c r="F1629" s="98" t="s">
        <v>2142</v>
      </c>
      <c r="G1629" s="25" t="s">
        <v>67</v>
      </c>
      <c r="H1629" s="100" t="s">
        <v>2143</v>
      </c>
      <c r="I1629" s="46" t="e">
        <f>VLOOKUP(H1629,'合同高级查询数据-4月返'!A:A,1,FALSE)</f>
        <v>#N/A</v>
      </c>
      <c r="J1629" s="25" t="s">
        <v>69</v>
      </c>
      <c r="K1629" s="160" t="s">
        <v>2148</v>
      </c>
      <c r="L1629" s="179"/>
      <c r="M1629" s="49"/>
      <c r="N1629" s="241">
        <v>44441</v>
      </c>
      <c r="O1629" s="229" t="s">
        <v>71</v>
      </c>
      <c r="P1629" s="207">
        <v>3500</v>
      </c>
      <c r="Q1629" s="117">
        <v>1</v>
      </c>
      <c r="R1629" s="118">
        <f t="shared" si="41"/>
        <v>3500</v>
      </c>
      <c r="S1629" s="115">
        <v>202304</v>
      </c>
      <c r="T1629" s="243" t="s">
        <v>2149</v>
      </c>
      <c r="U1629" s="269"/>
      <c r="V1629" s="165"/>
      <c r="W1629" s="165"/>
      <c r="X1629" s="116">
        <v>44411</v>
      </c>
      <c r="Y1629" s="116">
        <v>45140</v>
      </c>
    </row>
    <row r="1630" s="85" customFormat="1" customHeight="1" spans="1:25">
      <c r="A1630" s="98" t="s">
        <v>446</v>
      </c>
      <c r="B1630" s="98" t="s">
        <v>62</v>
      </c>
      <c r="C1630" s="98" t="s">
        <v>238</v>
      </c>
      <c r="D1630" s="98" t="s">
        <v>642</v>
      </c>
      <c r="E1630" s="161" t="s">
        <v>2141</v>
      </c>
      <c r="F1630" s="98" t="s">
        <v>2142</v>
      </c>
      <c r="G1630" s="25" t="s">
        <v>67</v>
      </c>
      <c r="H1630" s="100" t="s">
        <v>2143</v>
      </c>
      <c r="I1630" s="46" t="e">
        <f>VLOOKUP(H1630,'合同高级查询数据-4月返'!A:A,1,FALSE)</f>
        <v>#N/A</v>
      </c>
      <c r="J1630" s="25" t="s">
        <v>69</v>
      </c>
      <c r="K1630" s="160" t="s">
        <v>2146</v>
      </c>
      <c r="L1630" s="179"/>
      <c r="M1630" s="49"/>
      <c r="N1630" s="241">
        <v>44441</v>
      </c>
      <c r="O1630" s="229" t="s">
        <v>71</v>
      </c>
      <c r="P1630" s="207">
        <v>340</v>
      </c>
      <c r="Q1630" s="117">
        <v>109.8</v>
      </c>
      <c r="R1630" s="118">
        <f t="shared" si="41"/>
        <v>37332</v>
      </c>
      <c r="S1630" s="115">
        <v>202304</v>
      </c>
      <c r="T1630" s="243" t="s">
        <v>2150</v>
      </c>
      <c r="U1630" s="269"/>
      <c r="V1630" s="165"/>
      <c r="W1630" s="165"/>
      <c r="X1630" s="116">
        <v>44411</v>
      </c>
      <c r="Y1630" s="116">
        <v>45140</v>
      </c>
    </row>
    <row r="1631" s="85" customFormat="1" customHeight="1" spans="1:25">
      <c r="A1631" s="98" t="s">
        <v>446</v>
      </c>
      <c r="B1631" s="98" t="s">
        <v>62</v>
      </c>
      <c r="C1631" s="98" t="s">
        <v>238</v>
      </c>
      <c r="D1631" s="98" t="s">
        <v>642</v>
      </c>
      <c r="E1631" s="161" t="s">
        <v>2141</v>
      </c>
      <c r="F1631" s="98" t="s">
        <v>2142</v>
      </c>
      <c r="G1631" s="25" t="s">
        <v>67</v>
      </c>
      <c r="H1631" s="100" t="s">
        <v>2143</v>
      </c>
      <c r="I1631" s="46" t="e">
        <f>VLOOKUP(H1631,'合同高级查询数据-4月返'!A:A,1,FALSE)</f>
        <v>#N/A</v>
      </c>
      <c r="J1631" s="25" t="s">
        <v>69</v>
      </c>
      <c r="K1631" s="160" t="s">
        <v>2148</v>
      </c>
      <c r="L1631" s="179"/>
      <c r="M1631" s="49"/>
      <c r="N1631" s="241">
        <v>44441</v>
      </c>
      <c r="O1631" s="229" t="s">
        <v>71</v>
      </c>
      <c r="P1631" s="207">
        <v>3500</v>
      </c>
      <c r="Q1631" s="117">
        <v>1</v>
      </c>
      <c r="R1631" s="118">
        <f t="shared" si="41"/>
        <v>3500</v>
      </c>
      <c r="S1631" s="115">
        <v>202304</v>
      </c>
      <c r="T1631" s="243" t="s">
        <v>2151</v>
      </c>
      <c r="U1631" s="269"/>
      <c r="V1631" s="165"/>
      <c r="W1631" s="165"/>
      <c r="X1631" s="116">
        <v>44411</v>
      </c>
      <c r="Y1631" s="116">
        <v>45140</v>
      </c>
    </row>
    <row r="1632" s="85" customFormat="1" customHeight="1" spans="1:25">
      <c r="A1632" s="98" t="s">
        <v>446</v>
      </c>
      <c r="B1632" s="98" t="s">
        <v>62</v>
      </c>
      <c r="C1632" s="98" t="s">
        <v>238</v>
      </c>
      <c r="D1632" s="98" t="s">
        <v>642</v>
      </c>
      <c r="E1632" s="161" t="s">
        <v>2141</v>
      </c>
      <c r="F1632" s="98" t="s">
        <v>2142</v>
      </c>
      <c r="G1632" s="25" t="s">
        <v>67</v>
      </c>
      <c r="H1632" s="100" t="s">
        <v>2143</v>
      </c>
      <c r="I1632" s="46" t="e">
        <f>VLOOKUP(H1632,'合同高级查询数据-4月返'!A:A,1,FALSE)</f>
        <v>#N/A</v>
      </c>
      <c r="J1632" s="25" t="s">
        <v>69</v>
      </c>
      <c r="K1632" s="160" t="s">
        <v>2146</v>
      </c>
      <c r="L1632" s="179"/>
      <c r="M1632" s="49"/>
      <c r="N1632" s="241">
        <v>44441</v>
      </c>
      <c r="O1632" s="229" t="s">
        <v>71</v>
      </c>
      <c r="P1632" s="207">
        <v>340</v>
      </c>
      <c r="Q1632" s="117">
        <v>113.2</v>
      </c>
      <c r="R1632" s="118">
        <f t="shared" si="41"/>
        <v>38488</v>
      </c>
      <c r="S1632" s="115">
        <v>202304</v>
      </c>
      <c r="T1632" s="243" t="s">
        <v>2152</v>
      </c>
      <c r="U1632" s="269"/>
      <c r="V1632" s="165"/>
      <c r="W1632" s="165"/>
      <c r="X1632" s="116">
        <v>44411</v>
      </c>
      <c r="Y1632" s="116">
        <v>45140</v>
      </c>
    </row>
    <row r="1633" s="85" customFormat="1" customHeight="1" spans="1:25">
      <c r="A1633" s="98" t="s">
        <v>446</v>
      </c>
      <c r="B1633" s="98" t="s">
        <v>62</v>
      </c>
      <c r="C1633" s="98" t="s">
        <v>238</v>
      </c>
      <c r="D1633" s="98" t="s">
        <v>642</v>
      </c>
      <c r="E1633" s="161" t="s">
        <v>2141</v>
      </c>
      <c r="F1633" s="98" t="s">
        <v>2142</v>
      </c>
      <c r="G1633" s="25" t="s">
        <v>67</v>
      </c>
      <c r="H1633" s="100" t="s">
        <v>2143</v>
      </c>
      <c r="I1633" s="46" t="e">
        <f>VLOOKUP(H1633,'合同高级查询数据-4月返'!A:A,1,FALSE)</f>
        <v>#N/A</v>
      </c>
      <c r="J1633" s="25" t="s">
        <v>69</v>
      </c>
      <c r="K1633" s="160" t="s">
        <v>2148</v>
      </c>
      <c r="L1633" s="179"/>
      <c r="M1633" s="49"/>
      <c r="N1633" s="241">
        <v>44441</v>
      </c>
      <c r="O1633" s="229" t="s">
        <v>71</v>
      </c>
      <c r="P1633" s="207">
        <v>3500</v>
      </c>
      <c r="Q1633" s="117">
        <v>1</v>
      </c>
      <c r="R1633" s="118">
        <f t="shared" si="41"/>
        <v>3500</v>
      </c>
      <c r="S1633" s="115">
        <v>202304</v>
      </c>
      <c r="T1633" s="243" t="s">
        <v>2153</v>
      </c>
      <c r="U1633" s="269"/>
      <c r="V1633" s="165"/>
      <c r="W1633" s="165"/>
      <c r="X1633" s="116">
        <v>44411</v>
      </c>
      <c r="Y1633" s="116">
        <v>45140</v>
      </c>
    </row>
    <row r="1634" s="85" customFormat="1" customHeight="1" spans="1:25">
      <c r="A1634" s="98" t="s">
        <v>446</v>
      </c>
      <c r="B1634" s="98" t="s">
        <v>62</v>
      </c>
      <c r="C1634" s="98" t="s">
        <v>238</v>
      </c>
      <c r="D1634" s="98" t="s">
        <v>642</v>
      </c>
      <c r="E1634" s="161" t="s">
        <v>2141</v>
      </c>
      <c r="F1634" s="98" t="s">
        <v>2142</v>
      </c>
      <c r="G1634" s="25" t="s">
        <v>67</v>
      </c>
      <c r="H1634" s="100" t="s">
        <v>2143</v>
      </c>
      <c r="I1634" s="46" t="e">
        <f>VLOOKUP(H1634,'合同高级查询数据-4月返'!A:A,1,FALSE)</f>
        <v>#N/A</v>
      </c>
      <c r="J1634" s="25" t="s">
        <v>69</v>
      </c>
      <c r="K1634" s="160" t="s">
        <v>2146</v>
      </c>
      <c r="L1634" s="179"/>
      <c r="M1634" s="49"/>
      <c r="N1634" s="241">
        <v>44441</v>
      </c>
      <c r="O1634" s="229" t="s">
        <v>71</v>
      </c>
      <c r="P1634" s="207">
        <v>340</v>
      </c>
      <c r="Q1634" s="117">
        <v>105</v>
      </c>
      <c r="R1634" s="118">
        <f t="shared" si="41"/>
        <v>35700</v>
      </c>
      <c r="S1634" s="115">
        <v>202304</v>
      </c>
      <c r="T1634" s="243" t="s">
        <v>2154</v>
      </c>
      <c r="U1634" s="269"/>
      <c r="V1634" s="165"/>
      <c r="W1634" s="165"/>
      <c r="X1634" s="116">
        <v>44411</v>
      </c>
      <c r="Y1634" s="116">
        <v>45140</v>
      </c>
    </row>
    <row r="1635" s="85" customFormat="1" customHeight="1" spans="1:25">
      <c r="A1635" s="98" t="s">
        <v>446</v>
      </c>
      <c r="B1635" s="98" t="s">
        <v>62</v>
      </c>
      <c r="C1635" s="98" t="s">
        <v>238</v>
      </c>
      <c r="D1635" s="98" t="s">
        <v>642</v>
      </c>
      <c r="E1635" s="161" t="s">
        <v>2141</v>
      </c>
      <c r="F1635" s="98" t="s">
        <v>2142</v>
      </c>
      <c r="G1635" s="25" t="s">
        <v>67</v>
      </c>
      <c r="H1635" s="100" t="s">
        <v>2143</v>
      </c>
      <c r="I1635" s="46" t="e">
        <f>VLOOKUP(H1635,'合同高级查询数据-4月返'!A:A,1,FALSE)</f>
        <v>#N/A</v>
      </c>
      <c r="J1635" s="25" t="s">
        <v>69</v>
      </c>
      <c r="K1635" s="160" t="s">
        <v>2155</v>
      </c>
      <c r="L1635" s="179"/>
      <c r="M1635" s="49"/>
      <c r="N1635" s="241">
        <v>44441</v>
      </c>
      <c r="O1635" s="229" t="s">
        <v>71</v>
      </c>
      <c r="P1635" s="207">
        <v>340</v>
      </c>
      <c r="Q1635" s="117">
        <v>136.7</v>
      </c>
      <c r="R1635" s="118">
        <f t="shared" si="41"/>
        <v>46478</v>
      </c>
      <c r="S1635" s="115">
        <v>202304</v>
      </c>
      <c r="T1635" s="243" t="s">
        <v>2156</v>
      </c>
      <c r="U1635" s="269"/>
      <c r="V1635" s="165"/>
      <c r="W1635" s="165"/>
      <c r="X1635" s="116">
        <v>44411</v>
      </c>
      <c r="Y1635" s="116">
        <v>45140</v>
      </c>
    </row>
    <row r="1636" s="85" customFormat="1" customHeight="1" spans="1:25">
      <c r="A1636" s="98" t="s">
        <v>446</v>
      </c>
      <c r="B1636" s="98" t="s">
        <v>62</v>
      </c>
      <c r="C1636" s="98" t="s">
        <v>238</v>
      </c>
      <c r="D1636" s="98" t="s">
        <v>642</v>
      </c>
      <c r="E1636" s="161" t="s">
        <v>2141</v>
      </c>
      <c r="F1636" s="98" t="s">
        <v>2142</v>
      </c>
      <c r="G1636" s="25" t="s">
        <v>67</v>
      </c>
      <c r="H1636" s="100" t="s">
        <v>2143</v>
      </c>
      <c r="I1636" s="46" t="e">
        <f>VLOOKUP(H1636,'合同高级查询数据-4月返'!A:A,1,FALSE)</f>
        <v>#N/A</v>
      </c>
      <c r="J1636" s="25" t="s">
        <v>69</v>
      </c>
      <c r="K1636" s="160" t="s">
        <v>2157</v>
      </c>
      <c r="L1636" s="179"/>
      <c r="M1636" s="49"/>
      <c r="N1636" s="241">
        <v>44441</v>
      </c>
      <c r="O1636" s="229" t="s">
        <v>71</v>
      </c>
      <c r="P1636" s="207">
        <v>3500</v>
      </c>
      <c r="Q1636" s="117">
        <v>1</v>
      </c>
      <c r="R1636" s="118">
        <f t="shared" si="41"/>
        <v>3500</v>
      </c>
      <c r="S1636" s="115">
        <v>202304</v>
      </c>
      <c r="T1636" s="243" t="s">
        <v>2158</v>
      </c>
      <c r="U1636" s="269"/>
      <c r="V1636" s="165"/>
      <c r="W1636" s="165"/>
      <c r="X1636" s="116">
        <v>44411</v>
      </c>
      <c r="Y1636" s="116">
        <v>45140</v>
      </c>
    </row>
    <row r="1637" s="85" customFormat="1" customHeight="1" spans="1:25">
      <c r="A1637" s="98" t="s">
        <v>446</v>
      </c>
      <c r="B1637" s="98" t="s">
        <v>62</v>
      </c>
      <c r="C1637" s="98" t="s">
        <v>238</v>
      </c>
      <c r="D1637" s="98" t="s">
        <v>642</v>
      </c>
      <c r="E1637" s="161" t="s">
        <v>2141</v>
      </c>
      <c r="F1637" s="98" t="s">
        <v>2142</v>
      </c>
      <c r="G1637" s="25" t="s">
        <v>67</v>
      </c>
      <c r="H1637" s="100" t="s">
        <v>2143</v>
      </c>
      <c r="I1637" s="46" t="e">
        <f>VLOOKUP(H1637,'合同高级查询数据-4月返'!A:A,1,FALSE)</f>
        <v>#N/A</v>
      </c>
      <c r="J1637" s="25" t="s">
        <v>69</v>
      </c>
      <c r="K1637" s="160" t="s">
        <v>2155</v>
      </c>
      <c r="L1637" s="179"/>
      <c r="M1637" s="49"/>
      <c r="N1637" s="241">
        <v>44441</v>
      </c>
      <c r="O1637" s="229" t="s">
        <v>71</v>
      </c>
      <c r="P1637" s="207">
        <v>340</v>
      </c>
      <c r="Q1637" s="117">
        <v>151.7</v>
      </c>
      <c r="R1637" s="118">
        <f t="shared" si="41"/>
        <v>51578</v>
      </c>
      <c r="S1637" s="115">
        <v>202304</v>
      </c>
      <c r="T1637" s="243" t="s">
        <v>2159</v>
      </c>
      <c r="U1637" s="269"/>
      <c r="V1637" s="165"/>
      <c r="W1637" s="165"/>
      <c r="X1637" s="116">
        <v>44411</v>
      </c>
      <c r="Y1637" s="116">
        <v>45140</v>
      </c>
    </row>
    <row r="1638" s="85" customFormat="1" customHeight="1" spans="1:25">
      <c r="A1638" s="98" t="s">
        <v>446</v>
      </c>
      <c r="B1638" s="98" t="s">
        <v>62</v>
      </c>
      <c r="C1638" s="98" t="s">
        <v>238</v>
      </c>
      <c r="D1638" s="98" t="s">
        <v>642</v>
      </c>
      <c r="E1638" s="161" t="s">
        <v>2141</v>
      </c>
      <c r="F1638" s="98" t="s">
        <v>2142</v>
      </c>
      <c r="G1638" s="25" t="s">
        <v>67</v>
      </c>
      <c r="H1638" s="100" t="s">
        <v>2143</v>
      </c>
      <c r="I1638" s="46" t="e">
        <f>VLOOKUP(H1638,'合同高级查询数据-4月返'!A:A,1,FALSE)</f>
        <v>#N/A</v>
      </c>
      <c r="J1638" s="25" t="s">
        <v>69</v>
      </c>
      <c r="K1638" s="160" t="s">
        <v>2157</v>
      </c>
      <c r="L1638" s="179"/>
      <c r="M1638" s="49"/>
      <c r="N1638" s="241">
        <v>44441</v>
      </c>
      <c r="O1638" s="229" t="s">
        <v>71</v>
      </c>
      <c r="P1638" s="207">
        <v>3500</v>
      </c>
      <c r="Q1638" s="117">
        <v>1</v>
      </c>
      <c r="R1638" s="118">
        <f t="shared" si="41"/>
        <v>3500</v>
      </c>
      <c r="S1638" s="115">
        <v>202304</v>
      </c>
      <c r="T1638" s="243" t="s">
        <v>2160</v>
      </c>
      <c r="U1638" s="269"/>
      <c r="V1638" s="165"/>
      <c r="W1638" s="165"/>
      <c r="X1638" s="116">
        <v>44411</v>
      </c>
      <c r="Y1638" s="116">
        <v>45140</v>
      </c>
    </row>
    <row r="1639" s="85" customFormat="1" customHeight="1" spans="1:25">
      <c r="A1639" s="98" t="s">
        <v>446</v>
      </c>
      <c r="B1639" s="98" t="s">
        <v>62</v>
      </c>
      <c r="C1639" s="98" t="s">
        <v>238</v>
      </c>
      <c r="D1639" s="98" t="s">
        <v>642</v>
      </c>
      <c r="E1639" s="161" t="s">
        <v>2141</v>
      </c>
      <c r="F1639" s="98" t="s">
        <v>2142</v>
      </c>
      <c r="G1639" s="25" t="s">
        <v>67</v>
      </c>
      <c r="H1639" s="100" t="s">
        <v>2143</v>
      </c>
      <c r="I1639" s="46" t="e">
        <f>VLOOKUP(H1639,'合同高级查询数据-4月返'!A:A,1,FALSE)</f>
        <v>#N/A</v>
      </c>
      <c r="J1639" s="25" t="s">
        <v>69</v>
      </c>
      <c r="K1639" s="160" t="s">
        <v>2155</v>
      </c>
      <c r="L1639" s="179"/>
      <c r="M1639" s="49"/>
      <c r="N1639" s="241">
        <v>44441</v>
      </c>
      <c r="O1639" s="229" t="s">
        <v>71</v>
      </c>
      <c r="P1639" s="207">
        <v>340</v>
      </c>
      <c r="Q1639" s="117">
        <v>181.3</v>
      </c>
      <c r="R1639" s="118">
        <f t="shared" si="41"/>
        <v>61642</v>
      </c>
      <c r="S1639" s="115">
        <v>202304</v>
      </c>
      <c r="T1639" s="243" t="s">
        <v>2161</v>
      </c>
      <c r="U1639" s="269"/>
      <c r="V1639" s="165"/>
      <c r="W1639" s="165"/>
      <c r="X1639" s="116">
        <v>44411</v>
      </c>
      <c r="Y1639" s="116">
        <v>45140</v>
      </c>
    </row>
    <row r="1640" s="85" customFormat="1" customHeight="1" spans="1:25">
      <c r="A1640" s="98" t="s">
        <v>446</v>
      </c>
      <c r="B1640" s="98" t="s">
        <v>62</v>
      </c>
      <c r="C1640" s="98" t="s">
        <v>238</v>
      </c>
      <c r="D1640" s="98" t="s">
        <v>642</v>
      </c>
      <c r="E1640" s="161" t="s">
        <v>2141</v>
      </c>
      <c r="F1640" s="98" t="s">
        <v>2142</v>
      </c>
      <c r="G1640" s="25" t="s">
        <v>67</v>
      </c>
      <c r="H1640" s="100" t="s">
        <v>2143</v>
      </c>
      <c r="I1640" s="46" t="e">
        <f>VLOOKUP(H1640,'合同高级查询数据-4月返'!A:A,1,FALSE)</f>
        <v>#N/A</v>
      </c>
      <c r="J1640" s="25" t="s">
        <v>69</v>
      </c>
      <c r="K1640" s="160" t="s">
        <v>2157</v>
      </c>
      <c r="L1640" s="179"/>
      <c r="M1640" s="49"/>
      <c r="N1640" s="241">
        <v>44441</v>
      </c>
      <c r="O1640" s="229" t="s">
        <v>71</v>
      </c>
      <c r="P1640" s="207">
        <v>3500</v>
      </c>
      <c r="Q1640" s="117">
        <v>1</v>
      </c>
      <c r="R1640" s="118">
        <f t="shared" si="41"/>
        <v>3500</v>
      </c>
      <c r="S1640" s="115">
        <v>202304</v>
      </c>
      <c r="T1640" s="243" t="s">
        <v>2162</v>
      </c>
      <c r="U1640" s="269"/>
      <c r="V1640" s="165"/>
      <c r="W1640" s="165"/>
      <c r="X1640" s="116">
        <v>44411</v>
      </c>
      <c r="Y1640" s="116">
        <v>45140</v>
      </c>
    </row>
    <row r="1641" s="85" customFormat="1" customHeight="1" spans="1:25">
      <c r="A1641" s="98" t="s">
        <v>446</v>
      </c>
      <c r="B1641" s="98" t="s">
        <v>62</v>
      </c>
      <c r="C1641" s="98" t="s">
        <v>238</v>
      </c>
      <c r="D1641" s="98" t="s">
        <v>642</v>
      </c>
      <c r="E1641" s="161" t="s">
        <v>2141</v>
      </c>
      <c r="F1641" s="98" t="s">
        <v>2142</v>
      </c>
      <c r="G1641" s="25" t="s">
        <v>67</v>
      </c>
      <c r="H1641" s="100" t="s">
        <v>2143</v>
      </c>
      <c r="I1641" s="46" t="e">
        <f>VLOOKUP(H1641,'合同高级查询数据-4月返'!A:A,1,FALSE)</f>
        <v>#N/A</v>
      </c>
      <c r="J1641" s="25" t="s">
        <v>69</v>
      </c>
      <c r="K1641" s="160" t="s">
        <v>2155</v>
      </c>
      <c r="L1641" s="179"/>
      <c r="M1641" s="49"/>
      <c r="N1641" s="241">
        <v>44441</v>
      </c>
      <c r="O1641" s="229" t="s">
        <v>71</v>
      </c>
      <c r="P1641" s="207">
        <v>340</v>
      </c>
      <c r="Q1641" s="117">
        <v>115.5</v>
      </c>
      <c r="R1641" s="118">
        <f t="shared" si="41"/>
        <v>39270</v>
      </c>
      <c r="S1641" s="115">
        <v>202304</v>
      </c>
      <c r="T1641" s="243" t="s">
        <v>2163</v>
      </c>
      <c r="U1641" s="269"/>
      <c r="V1641" s="165"/>
      <c r="W1641" s="165"/>
      <c r="X1641" s="116">
        <v>44411</v>
      </c>
      <c r="Y1641" s="116">
        <v>45140</v>
      </c>
    </row>
    <row r="1642" s="85" customFormat="1" customHeight="1" spans="1:25">
      <c r="A1642" s="98" t="s">
        <v>446</v>
      </c>
      <c r="B1642" s="98" t="s">
        <v>62</v>
      </c>
      <c r="C1642" s="98" t="s">
        <v>238</v>
      </c>
      <c r="D1642" s="98" t="s">
        <v>642</v>
      </c>
      <c r="E1642" s="161" t="s">
        <v>2141</v>
      </c>
      <c r="F1642" s="98" t="s">
        <v>2142</v>
      </c>
      <c r="G1642" s="25" t="s">
        <v>67</v>
      </c>
      <c r="H1642" s="100" t="s">
        <v>2143</v>
      </c>
      <c r="I1642" s="46" t="e">
        <f>VLOOKUP(H1642,'合同高级查询数据-4月返'!A:A,1,FALSE)</f>
        <v>#N/A</v>
      </c>
      <c r="J1642" s="25" t="s">
        <v>69</v>
      </c>
      <c r="K1642" s="160" t="s">
        <v>2157</v>
      </c>
      <c r="L1642" s="179"/>
      <c r="M1642" s="49"/>
      <c r="N1642" s="241">
        <v>44441</v>
      </c>
      <c r="O1642" s="229" t="s">
        <v>71</v>
      </c>
      <c r="P1642" s="207">
        <v>3500</v>
      </c>
      <c r="Q1642" s="117">
        <v>1</v>
      </c>
      <c r="R1642" s="118">
        <f t="shared" si="41"/>
        <v>3500</v>
      </c>
      <c r="S1642" s="115">
        <v>202304</v>
      </c>
      <c r="T1642" s="243" t="s">
        <v>2164</v>
      </c>
      <c r="U1642" s="269"/>
      <c r="V1642" s="165"/>
      <c r="W1642" s="165"/>
      <c r="X1642" s="116">
        <v>44411</v>
      </c>
      <c r="Y1642" s="116">
        <v>45140</v>
      </c>
    </row>
    <row r="1643" s="86" customFormat="1" customHeight="1" spans="1:25">
      <c r="A1643" s="135" t="s">
        <v>446</v>
      </c>
      <c r="B1643" s="11" t="s">
        <v>62</v>
      </c>
      <c r="C1643" s="135" t="s">
        <v>153</v>
      </c>
      <c r="D1643" s="135" t="s">
        <v>951</v>
      </c>
      <c r="E1643" s="170" t="s">
        <v>2165</v>
      </c>
      <c r="F1643" s="135" t="s">
        <v>2166</v>
      </c>
      <c r="G1643" s="171" t="s">
        <v>88</v>
      </c>
      <c r="H1643" s="103" t="s">
        <v>2167</v>
      </c>
      <c r="I1643" s="30" t="e">
        <f>VLOOKUP(H1643,'合同高级查询数据-4月返'!A:A,1,FALSE)</f>
        <v>#N/A</v>
      </c>
      <c r="J1643" s="134" t="s">
        <v>162</v>
      </c>
      <c r="K1643" s="134" t="s">
        <v>2168</v>
      </c>
      <c r="L1643" s="110" t="s">
        <v>2166</v>
      </c>
      <c r="M1643" s="113" t="s">
        <v>2169</v>
      </c>
      <c r="N1643" s="175">
        <v>43333</v>
      </c>
      <c r="O1643" s="176" t="s">
        <v>163</v>
      </c>
      <c r="P1643" s="209">
        <v>3000</v>
      </c>
      <c r="Q1643" s="209">
        <v>6</v>
      </c>
      <c r="R1643" s="130">
        <f t="shared" si="41"/>
        <v>18000</v>
      </c>
      <c r="S1643" s="127">
        <v>202304</v>
      </c>
      <c r="T1643" s="211" t="s">
        <v>2170</v>
      </c>
      <c r="U1643" s="211"/>
      <c r="V1643" s="159"/>
      <c r="W1643" s="159"/>
      <c r="X1643" s="131"/>
      <c r="Y1643" s="131"/>
    </row>
    <row r="1644" s="86" customFormat="1" customHeight="1" spans="1:25">
      <c r="A1644" s="135" t="s">
        <v>446</v>
      </c>
      <c r="B1644" s="11" t="s">
        <v>62</v>
      </c>
      <c r="C1644" s="135" t="s">
        <v>153</v>
      </c>
      <c r="D1644" s="135" t="s">
        <v>951</v>
      </c>
      <c r="E1644" s="170" t="s">
        <v>2165</v>
      </c>
      <c r="F1644" s="135" t="s">
        <v>2166</v>
      </c>
      <c r="G1644" s="171" t="s">
        <v>88</v>
      </c>
      <c r="H1644" s="103" t="s">
        <v>2167</v>
      </c>
      <c r="I1644" s="30" t="e">
        <f>VLOOKUP(H1644,'合同高级查询数据-4月返'!A:A,1,FALSE)</f>
        <v>#N/A</v>
      </c>
      <c r="J1644" s="134" t="s">
        <v>162</v>
      </c>
      <c r="K1644" s="134" t="s">
        <v>2168</v>
      </c>
      <c r="L1644" s="110" t="s">
        <v>2166</v>
      </c>
      <c r="M1644" s="113" t="s">
        <v>2169</v>
      </c>
      <c r="N1644" s="175">
        <v>44500</v>
      </c>
      <c r="O1644" s="176" t="s">
        <v>163</v>
      </c>
      <c r="P1644" s="209">
        <v>3000</v>
      </c>
      <c r="Q1644" s="209">
        <v>-2</v>
      </c>
      <c r="R1644" s="130">
        <f t="shared" si="41"/>
        <v>-6000</v>
      </c>
      <c r="S1644" s="127">
        <v>202304</v>
      </c>
      <c r="T1644" s="211" t="s">
        <v>2171</v>
      </c>
      <c r="U1644" s="211"/>
      <c r="V1644" s="159"/>
      <c r="W1644" s="159"/>
      <c r="X1644" s="131"/>
      <c r="Y1644" s="131"/>
    </row>
    <row r="1645" s="86" customFormat="1" customHeight="1" spans="1:25">
      <c r="A1645" s="135" t="s">
        <v>446</v>
      </c>
      <c r="B1645" s="11" t="s">
        <v>62</v>
      </c>
      <c r="C1645" s="135" t="s">
        <v>153</v>
      </c>
      <c r="D1645" s="135" t="s">
        <v>951</v>
      </c>
      <c r="E1645" s="170" t="s">
        <v>2165</v>
      </c>
      <c r="F1645" s="135" t="s">
        <v>2166</v>
      </c>
      <c r="G1645" s="171" t="s">
        <v>31</v>
      </c>
      <c r="H1645" s="103" t="s">
        <v>2167</v>
      </c>
      <c r="I1645" s="30" t="e">
        <f>VLOOKUP(H1645,'合同高级查询数据-4月返'!A:A,1,FALSE)</f>
        <v>#N/A</v>
      </c>
      <c r="J1645" s="134" t="s">
        <v>33</v>
      </c>
      <c r="K1645" s="134" t="s">
        <v>2168</v>
      </c>
      <c r="L1645" s="110" t="s">
        <v>2166</v>
      </c>
      <c r="M1645" s="113"/>
      <c r="N1645" s="175">
        <v>43333</v>
      </c>
      <c r="O1645" s="176"/>
      <c r="P1645" s="209">
        <v>0</v>
      </c>
      <c r="Q1645" s="209">
        <v>288</v>
      </c>
      <c r="R1645" s="130">
        <f t="shared" si="41"/>
        <v>0</v>
      </c>
      <c r="S1645" s="127">
        <v>202304</v>
      </c>
      <c r="T1645" s="211" t="s">
        <v>2172</v>
      </c>
      <c r="U1645" s="211"/>
      <c r="V1645" s="159"/>
      <c r="W1645" s="159"/>
      <c r="X1645" s="131"/>
      <c r="Y1645" s="131"/>
    </row>
    <row r="1646" s="85" customFormat="1" customHeight="1" spans="1:25">
      <c r="A1646" s="203" t="s">
        <v>446</v>
      </c>
      <c r="B1646" s="204" t="s">
        <v>83</v>
      </c>
      <c r="C1646" s="204" t="s">
        <v>2173</v>
      </c>
      <c r="D1646" s="24" t="s">
        <v>75</v>
      </c>
      <c r="E1646" s="205" t="s">
        <v>2174</v>
      </c>
      <c r="F1646" s="203" t="s">
        <v>2175</v>
      </c>
      <c r="G1646" s="203" t="s">
        <v>346</v>
      </c>
      <c r="H1646" s="99" t="s">
        <v>2176</v>
      </c>
      <c r="I1646" s="46" t="e">
        <f>VLOOKUP(H1646,'合同高级查询数据-4月返'!A:A,1,FALSE)</f>
        <v>#N/A</v>
      </c>
      <c r="J1646" s="47" t="s">
        <v>346</v>
      </c>
      <c r="K1646" s="203" t="s">
        <v>2177</v>
      </c>
      <c r="L1646" s="206"/>
      <c r="M1646" s="49"/>
      <c r="N1646" s="265">
        <v>43891</v>
      </c>
      <c r="O1646" s="265" t="s">
        <v>2178</v>
      </c>
      <c r="P1646" s="207">
        <v>600000</v>
      </c>
      <c r="Q1646" s="164">
        <v>1</v>
      </c>
      <c r="R1646" s="207">
        <f t="shared" si="41"/>
        <v>600000</v>
      </c>
      <c r="S1646" s="115">
        <v>202304</v>
      </c>
      <c r="T1646" s="184" t="s">
        <v>2179</v>
      </c>
      <c r="U1646" s="186"/>
      <c r="V1646" s="120"/>
      <c r="W1646" s="120"/>
      <c r="X1646" s="116">
        <v>43647</v>
      </c>
      <c r="Y1646" s="116">
        <v>45107</v>
      </c>
    </row>
    <row r="1647" s="86" customFormat="1" customHeight="1" spans="1:25">
      <c r="A1647" s="35" t="s">
        <v>444</v>
      </c>
      <c r="B1647" s="135" t="s">
        <v>62</v>
      </c>
      <c r="C1647" s="11" t="s">
        <v>238</v>
      </c>
      <c r="D1647" s="11" t="s">
        <v>642</v>
      </c>
      <c r="E1647" s="30" t="s">
        <v>2180</v>
      </c>
      <c r="F1647" s="35" t="s">
        <v>2181</v>
      </c>
      <c r="G1647" s="35" t="s">
        <v>31</v>
      </c>
      <c r="H1647" s="103" t="s">
        <v>2182</v>
      </c>
      <c r="I1647" s="30" t="e">
        <f>VLOOKUP(H1647,'合同高级查询数据-4月返'!A:A,1,FALSE)</f>
        <v>#N/A</v>
      </c>
      <c r="J1647" s="155" t="s">
        <v>33</v>
      </c>
      <c r="K1647" s="35" t="s">
        <v>1303</v>
      </c>
      <c r="L1647" s="110" t="s">
        <v>2183</v>
      </c>
      <c r="M1647" s="35" t="s">
        <v>1305</v>
      </c>
      <c r="N1647" s="111">
        <v>44958</v>
      </c>
      <c r="O1647" s="35"/>
      <c r="P1647" s="125">
        <v>0</v>
      </c>
      <c r="Q1647" s="112">
        <v>160</v>
      </c>
      <c r="R1647" s="126">
        <f t="shared" si="41"/>
        <v>0</v>
      </c>
      <c r="S1647" s="127">
        <v>202304</v>
      </c>
      <c r="T1647" s="150" t="s">
        <v>2184</v>
      </c>
      <c r="U1647" s="150"/>
      <c r="V1647" s="225"/>
      <c r="W1647" s="225"/>
      <c r="X1647" s="131"/>
      <c r="Y1647" s="131"/>
    </row>
    <row r="1648" s="85" customFormat="1" customHeight="1" spans="1:25">
      <c r="A1648" s="98" t="s">
        <v>444</v>
      </c>
      <c r="B1648" s="98" t="s">
        <v>62</v>
      </c>
      <c r="C1648" s="98" t="s">
        <v>238</v>
      </c>
      <c r="D1648" s="98" t="s">
        <v>642</v>
      </c>
      <c r="E1648" s="161" t="s">
        <v>2185</v>
      </c>
      <c r="F1648" s="98" t="s">
        <v>2186</v>
      </c>
      <c r="G1648" s="172" t="s">
        <v>31</v>
      </c>
      <c r="H1648" s="100" t="s">
        <v>2187</v>
      </c>
      <c r="I1648" s="46" t="e">
        <f>VLOOKUP(H1648,'合同高级查询数据-4月返'!A:A,1,FALSE)</f>
        <v>#N/A</v>
      </c>
      <c r="J1648" s="160" t="s">
        <v>497</v>
      </c>
      <c r="K1648" s="160" t="s">
        <v>556</v>
      </c>
      <c r="L1648" s="179"/>
      <c r="M1648" s="49"/>
      <c r="N1648" s="180"/>
      <c r="O1648" s="266" t="s">
        <v>37</v>
      </c>
      <c r="P1648" s="182">
        <v>0</v>
      </c>
      <c r="Q1648" s="182">
        <v>1024</v>
      </c>
      <c r="R1648" s="118">
        <f t="shared" si="41"/>
        <v>0</v>
      </c>
      <c r="S1648" s="115">
        <v>202304</v>
      </c>
      <c r="T1648" s="186" t="s">
        <v>2188</v>
      </c>
      <c r="U1648" s="186"/>
      <c r="V1648" s="270"/>
      <c r="W1648" s="270"/>
      <c r="X1648" s="116">
        <v>44682</v>
      </c>
      <c r="Y1648" s="116">
        <v>45046</v>
      </c>
    </row>
    <row r="1649" s="85" customFormat="1" customHeight="1" spans="1:25">
      <c r="A1649" s="160" t="s">
        <v>444</v>
      </c>
      <c r="B1649" s="98" t="s">
        <v>62</v>
      </c>
      <c r="C1649" s="98" t="s">
        <v>238</v>
      </c>
      <c r="D1649" s="98" t="s">
        <v>642</v>
      </c>
      <c r="E1649" s="162" t="s">
        <v>2185</v>
      </c>
      <c r="F1649" s="160" t="s">
        <v>2186</v>
      </c>
      <c r="G1649" s="160" t="s">
        <v>31</v>
      </c>
      <c r="H1649" s="100" t="s">
        <v>2187</v>
      </c>
      <c r="I1649" s="46" t="e">
        <f>VLOOKUP(H1649,'合同高级查询数据-4月返'!A:A,1,FALSE)</f>
        <v>#N/A</v>
      </c>
      <c r="J1649" s="160" t="s">
        <v>800</v>
      </c>
      <c r="K1649" s="160" t="s">
        <v>801</v>
      </c>
      <c r="L1649" s="160" t="s">
        <v>2186</v>
      </c>
      <c r="M1649" s="160"/>
      <c r="N1649" s="267">
        <v>43872</v>
      </c>
      <c r="O1649" s="160" t="s">
        <v>1221</v>
      </c>
      <c r="P1649" s="182">
        <v>0</v>
      </c>
      <c r="Q1649" s="182">
        <v>512</v>
      </c>
      <c r="R1649" s="118">
        <f t="shared" si="41"/>
        <v>0</v>
      </c>
      <c r="S1649" s="115">
        <v>202304</v>
      </c>
      <c r="T1649" s="119" t="s">
        <v>2189</v>
      </c>
      <c r="U1649" s="166"/>
      <c r="V1649" s="165"/>
      <c r="W1649" s="165"/>
      <c r="X1649" s="116">
        <v>44682</v>
      </c>
      <c r="Y1649" s="116">
        <v>45046</v>
      </c>
    </row>
    <row r="1650" s="85" customFormat="1" customHeight="1" spans="1:25">
      <c r="A1650" s="160" t="s">
        <v>444</v>
      </c>
      <c r="B1650" s="98" t="s">
        <v>62</v>
      </c>
      <c r="C1650" s="98" t="s">
        <v>238</v>
      </c>
      <c r="D1650" s="98" t="s">
        <v>642</v>
      </c>
      <c r="E1650" s="162" t="s">
        <v>2185</v>
      </c>
      <c r="F1650" s="160" t="s">
        <v>2186</v>
      </c>
      <c r="G1650" s="160" t="s">
        <v>31</v>
      </c>
      <c r="H1650" s="100" t="s">
        <v>2187</v>
      </c>
      <c r="I1650" s="46" t="e">
        <f>VLOOKUP(H1650,'合同高级查询数据-4月返'!A:A,1,FALSE)</f>
        <v>#N/A</v>
      </c>
      <c r="J1650" s="160" t="s">
        <v>800</v>
      </c>
      <c r="K1650" s="160" t="s">
        <v>801</v>
      </c>
      <c r="L1650" s="160" t="s">
        <v>2186</v>
      </c>
      <c r="M1650" s="160"/>
      <c r="N1650" s="267">
        <v>44153</v>
      </c>
      <c r="O1650" s="160" t="s">
        <v>1221</v>
      </c>
      <c r="P1650" s="182">
        <v>0</v>
      </c>
      <c r="Q1650" s="182">
        <v>512</v>
      </c>
      <c r="R1650" s="118">
        <f t="shared" si="41"/>
        <v>0</v>
      </c>
      <c r="S1650" s="115">
        <v>202304</v>
      </c>
      <c r="T1650" s="119" t="s">
        <v>2190</v>
      </c>
      <c r="U1650" s="166"/>
      <c r="V1650" s="165"/>
      <c r="W1650" s="165"/>
      <c r="X1650" s="116">
        <v>44682</v>
      </c>
      <c r="Y1650" s="116">
        <v>45046</v>
      </c>
    </row>
    <row r="1651" s="85" customFormat="1" customHeight="1" spans="1:25">
      <c r="A1651" s="160" t="s">
        <v>444</v>
      </c>
      <c r="B1651" s="98" t="s">
        <v>62</v>
      </c>
      <c r="C1651" s="98" t="s">
        <v>238</v>
      </c>
      <c r="D1651" s="98" t="s">
        <v>642</v>
      </c>
      <c r="E1651" s="162" t="s">
        <v>2185</v>
      </c>
      <c r="F1651" s="160" t="s">
        <v>2186</v>
      </c>
      <c r="G1651" s="160" t="s">
        <v>31</v>
      </c>
      <c r="H1651" s="100" t="s">
        <v>2187</v>
      </c>
      <c r="I1651" s="46" t="e">
        <f>VLOOKUP(H1651,'合同高级查询数据-4月返'!A:A,1,FALSE)</f>
        <v>#N/A</v>
      </c>
      <c r="J1651" s="160" t="s">
        <v>800</v>
      </c>
      <c r="K1651" s="160" t="s">
        <v>801</v>
      </c>
      <c r="L1651" s="160" t="s">
        <v>2186</v>
      </c>
      <c r="M1651" s="160"/>
      <c r="N1651" s="267">
        <v>44180</v>
      </c>
      <c r="O1651" s="160" t="s">
        <v>1224</v>
      </c>
      <c r="P1651" s="182">
        <v>0</v>
      </c>
      <c r="Q1651" s="182">
        <f>256*4</f>
        <v>1024</v>
      </c>
      <c r="R1651" s="118">
        <f t="shared" si="41"/>
        <v>0</v>
      </c>
      <c r="S1651" s="115">
        <v>202304</v>
      </c>
      <c r="T1651" s="119" t="s">
        <v>2191</v>
      </c>
      <c r="U1651" s="166"/>
      <c r="V1651" s="165"/>
      <c r="W1651" s="165"/>
      <c r="X1651" s="116">
        <v>44682</v>
      </c>
      <c r="Y1651" s="116">
        <v>45046</v>
      </c>
    </row>
    <row r="1652" s="85" customFormat="1" customHeight="1" spans="1:25">
      <c r="A1652" s="160" t="s">
        <v>444</v>
      </c>
      <c r="B1652" s="98" t="s">
        <v>62</v>
      </c>
      <c r="C1652" s="98" t="s">
        <v>238</v>
      </c>
      <c r="D1652" s="98" t="s">
        <v>642</v>
      </c>
      <c r="E1652" s="162" t="s">
        <v>2185</v>
      </c>
      <c r="F1652" s="160" t="s">
        <v>2186</v>
      </c>
      <c r="G1652" s="160" t="s">
        <v>31</v>
      </c>
      <c r="H1652" s="100" t="s">
        <v>2187</v>
      </c>
      <c r="I1652" s="46" t="e">
        <f>VLOOKUP(H1652,'合同高级查询数据-4月返'!A:A,1,FALSE)</f>
        <v>#N/A</v>
      </c>
      <c r="J1652" s="160" t="s">
        <v>800</v>
      </c>
      <c r="K1652" s="160" t="s">
        <v>801</v>
      </c>
      <c r="L1652" s="160" t="s">
        <v>2186</v>
      </c>
      <c r="M1652" s="160"/>
      <c r="N1652" s="267">
        <v>44350</v>
      </c>
      <c r="O1652" s="160" t="s">
        <v>1226</v>
      </c>
      <c r="P1652" s="182">
        <v>0</v>
      </c>
      <c r="Q1652" s="182">
        <f>256*12</f>
        <v>3072</v>
      </c>
      <c r="R1652" s="118">
        <f t="shared" si="41"/>
        <v>0</v>
      </c>
      <c r="S1652" s="115">
        <v>202304</v>
      </c>
      <c r="T1652" s="122" t="s">
        <v>2192</v>
      </c>
      <c r="U1652" s="166"/>
      <c r="V1652" s="165"/>
      <c r="W1652" s="165"/>
      <c r="X1652" s="116">
        <v>44682</v>
      </c>
      <c r="Y1652" s="116">
        <v>45046</v>
      </c>
    </row>
    <row r="1653" s="85" customFormat="1" customHeight="1" spans="1:25">
      <c r="A1653" s="160" t="s">
        <v>444</v>
      </c>
      <c r="B1653" s="98" t="s">
        <v>62</v>
      </c>
      <c r="C1653" s="98" t="s">
        <v>238</v>
      </c>
      <c r="D1653" s="98" t="s">
        <v>642</v>
      </c>
      <c r="E1653" s="162" t="s">
        <v>2193</v>
      </c>
      <c r="F1653" s="160" t="s">
        <v>2194</v>
      </c>
      <c r="G1653" s="160" t="s">
        <v>346</v>
      </c>
      <c r="H1653" s="162" t="s">
        <v>2195</v>
      </c>
      <c r="I1653" s="46" t="e">
        <f>VLOOKUP(H1653,'合同高级查询数据-4月返'!A:A,1,FALSE)</f>
        <v>#N/A</v>
      </c>
      <c r="J1653" s="178" t="s">
        <v>346</v>
      </c>
      <c r="K1653" s="160" t="s">
        <v>2196</v>
      </c>
      <c r="L1653" s="160"/>
      <c r="M1653" s="49"/>
      <c r="N1653" s="267">
        <v>43600</v>
      </c>
      <c r="O1653" s="160" t="s">
        <v>1528</v>
      </c>
      <c r="P1653" s="182">
        <v>35000</v>
      </c>
      <c r="Q1653" s="105">
        <v>1</v>
      </c>
      <c r="R1653" s="118">
        <f t="shared" si="41"/>
        <v>35000</v>
      </c>
      <c r="S1653" s="115">
        <v>202304</v>
      </c>
      <c r="T1653" s="271" t="s">
        <v>2197</v>
      </c>
      <c r="U1653" s="272"/>
      <c r="V1653" s="165"/>
      <c r="W1653" s="165"/>
      <c r="X1653" s="116">
        <v>44713</v>
      </c>
      <c r="Y1653" s="116">
        <v>45077</v>
      </c>
    </row>
    <row r="1654" s="86" customFormat="1" customHeight="1" spans="1:25">
      <c r="A1654" s="135" t="s">
        <v>444</v>
      </c>
      <c r="B1654" s="135" t="s">
        <v>62</v>
      </c>
      <c r="C1654" s="135" t="s">
        <v>238</v>
      </c>
      <c r="D1654" s="135" t="s">
        <v>642</v>
      </c>
      <c r="E1654" s="170" t="s">
        <v>2193</v>
      </c>
      <c r="F1654" s="135" t="s">
        <v>2198</v>
      </c>
      <c r="G1654" s="171" t="s">
        <v>31</v>
      </c>
      <c r="H1654" s="103" t="s">
        <v>2199</v>
      </c>
      <c r="I1654" s="30" t="e">
        <f>VLOOKUP(H1654,'合同高级查询数据-4月返'!A:A,1,FALSE)</f>
        <v>#N/A</v>
      </c>
      <c r="J1654" s="155" t="s">
        <v>33</v>
      </c>
      <c r="K1654" s="134" t="s">
        <v>2200</v>
      </c>
      <c r="L1654" s="110" t="s">
        <v>2201</v>
      </c>
      <c r="M1654" s="113"/>
      <c r="N1654" s="175">
        <v>44450</v>
      </c>
      <c r="O1654" s="176" t="s">
        <v>37</v>
      </c>
      <c r="P1654" s="177">
        <v>0</v>
      </c>
      <c r="Q1654" s="177">
        <v>512</v>
      </c>
      <c r="R1654" s="130">
        <f t="shared" si="41"/>
        <v>0</v>
      </c>
      <c r="S1654" s="127">
        <v>202304</v>
      </c>
      <c r="T1654" s="211" t="s">
        <v>2202</v>
      </c>
      <c r="U1654" s="211"/>
      <c r="V1654" s="149"/>
      <c r="W1654" s="149"/>
      <c r="X1654" s="131"/>
      <c r="Y1654" s="131"/>
    </row>
    <row r="1655" s="86" customFormat="1" customHeight="1" spans="1:25">
      <c r="A1655" s="135" t="s">
        <v>444</v>
      </c>
      <c r="B1655" s="135" t="s">
        <v>62</v>
      </c>
      <c r="C1655" s="135" t="s">
        <v>238</v>
      </c>
      <c r="D1655" s="135" t="s">
        <v>642</v>
      </c>
      <c r="E1655" s="170" t="s">
        <v>2193</v>
      </c>
      <c r="F1655" s="135" t="s">
        <v>2198</v>
      </c>
      <c r="G1655" s="171" t="s">
        <v>31</v>
      </c>
      <c r="H1655" s="103" t="s">
        <v>2199</v>
      </c>
      <c r="I1655" s="30" t="e">
        <f>VLOOKUP(H1655,'合同高级查询数据-4月返'!A:A,1,FALSE)</f>
        <v>#N/A</v>
      </c>
      <c r="J1655" s="155" t="s">
        <v>33</v>
      </c>
      <c r="K1655" s="134" t="s">
        <v>2200</v>
      </c>
      <c r="L1655" s="110" t="s">
        <v>2201</v>
      </c>
      <c r="M1655" s="113"/>
      <c r="N1655" s="175">
        <v>44915</v>
      </c>
      <c r="O1655" s="176" t="s">
        <v>37</v>
      </c>
      <c r="P1655" s="177">
        <v>30</v>
      </c>
      <c r="Q1655" s="177">
        <v>-256</v>
      </c>
      <c r="R1655" s="130">
        <f t="shared" si="41"/>
        <v>-7680</v>
      </c>
      <c r="S1655" s="127">
        <v>202304</v>
      </c>
      <c r="T1655" s="211" t="s">
        <v>2203</v>
      </c>
      <c r="U1655" s="211"/>
      <c r="V1655" s="149"/>
      <c r="W1655" s="149"/>
      <c r="X1655" s="131"/>
      <c r="Y1655" s="131"/>
    </row>
    <row r="1656" s="86" customFormat="1" customHeight="1" spans="1:25">
      <c r="A1656" s="135" t="s">
        <v>444</v>
      </c>
      <c r="B1656" s="135" t="s">
        <v>62</v>
      </c>
      <c r="C1656" s="135" t="s">
        <v>238</v>
      </c>
      <c r="D1656" s="135" t="s">
        <v>642</v>
      </c>
      <c r="E1656" s="170" t="s">
        <v>2193</v>
      </c>
      <c r="F1656" s="135" t="s">
        <v>2198</v>
      </c>
      <c r="G1656" s="171" t="s">
        <v>31</v>
      </c>
      <c r="H1656" s="103" t="s">
        <v>2199</v>
      </c>
      <c r="I1656" s="30" t="e">
        <f>VLOOKUP(H1656,'合同高级查询数据-4月返'!A:A,1,FALSE)</f>
        <v>#N/A</v>
      </c>
      <c r="J1656" s="134" t="s">
        <v>497</v>
      </c>
      <c r="K1656" s="134" t="s">
        <v>2200</v>
      </c>
      <c r="L1656" s="174" t="s">
        <v>2204</v>
      </c>
      <c r="M1656" s="113"/>
      <c r="N1656" s="175">
        <v>44450</v>
      </c>
      <c r="O1656" s="176" t="s">
        <v>37</v>
      </c>
      <c r="P1656" s="177">
        <v>30</v>
      </c>
      <c r="Q1656" s="177">
        <v>1792</v>
      </c>
      <c r="R1656" s="130">
        <f t="shared" si="41"/>
        <v>53760</v>
      </c>
      <c r="S1656" s="127">
        <v>202304</v>
      </c>
      <c r="T1656" s="211" t="s">
        <v>2205</v>
      </c>
      <c r="U1656" s="211"/>
      <c r="V1656" s="149"/>
      <c r="W1656" s="149"/>
      <c r="X1656" s="131"/>
      <c r="Y1656" s="131"/>
    </row>
    <row r="1657" s="86" customFormat="1" customHeight="1" spans="1:25">
      <c r="A1657" s="135" t="s">
        <v>444</v>
      </c>
      <c r="B1657" s="135" t="s">
        <v>62</v>
      </c>
      <c r="C1657" s="135" t="s">
        <v>238</v>
      </c>
      <c r="D1657" s="135" t="s">
        <v>642</v>
      </c>
      <c r="E1657" s="170" t="s">
        <v>2193</v>
      </c>
      <c r="F1657" s="135" t="s">
        <v>2198</v>
      </c>
      <c r="G1657" s="171" t="s">
        <v>31</v>
      </c>
      <c r="H1657" s="103" t="s">
        <v>2199</v>
      </c>
      <c r="I1657" s="30" t="e">
        <f>VLOOKUP(H1657,'合同高级查询数据-4月返'!A:A,1,FALSE)</f>
        <v>#N/A</v>
      </c>
      <c r="J1657" s="134" t="s">
        <v>497</v>
      </c>
      <c r="K1657" s="134" t="s">
        <v>2200</v>
      </c>
      <c r="L1657" s="174" t="s">
        <v>2204</v>
      </c>
      <c r="M1657" s="113"/>
      <c r="N1657" s="146">
        <v>44748</v>
      </c>
      <c r="O1657" s="176" t="s">
        <v>37</v>
      </c>
      <c r="P1657" s="177">
        <v>30</v>
      </c>
      <c r="Q1657" s="145">
        <v>512</v>
      </c>
      <c r="R1657" s="130">
        <f t="shared" si="41"/>
        <v>15360</v>
      </c>
      <c r="S1657" s="127">
        <v>202304</v>
      </c>
      <c r="T1657" s="198" t="s">
        <v>2206</v>
      </c>
      <c r="U1657" s="211"/>
      <c r="V1657" s="149"/>
      <c r="W1657" s="149"/>
      <c r="X1657" s="131"/>
      <c r="Y1657" s="131"/>
    </row>
    <row r="1658" s="86" customFormat="1" customHeight="1" spans="1:25">
      <c r="A1658" s="135" t="s">
        <v>444</v>
      </c>
      <c r="B1658" s="135" t="s">
        <v>62</v>
      </c>
      <c r="C1658" s="135" t="s">
        <v>238</v>
      </c>
      <c r="D1658" s="135" t="s">
        <v>642</v>
      </c>
      <c r="E1658" s="170" t="s">
        <v>2193</v>
      </c>
      <c r="F1658" s="135" t="s">
        <v>2198</v>
      </c>
      <c r="G1658" s="171" t="s">
        <v>31</v>
      </c>
      <c r="H1658" s="103" t="s">
        <v>2199</v>
      </c>
      <c r="I1658" s="30" t="e">
        <f>VLOOKUP(H1658,'合同高级查询数据-4月返'!A:A,1,FALSE)</f>
        <v>#N/A</v>
      </c>
      <c r="J1658" s="155" t="s">
        <v>33</v>
      </c>
      <c r="K1658" s="134" t="s">
        <v>2200</v>
      </c>
      <c r="L1658" s="110" t="s">
        <v>2201</v>
      </c>
      <c r="M1658" s="113"/>
      <c r="N1658" s="175">
        <v>44555</v>
      </c>
      <c r="O1658" s="176" t="s">
        <v>37</v>
      </c>
      <c r="P1658" s="177">
        <v>30</v>
      </c>
      <c r="Q1658" s="177">
        <v>512</v>
      </c>
      <c r="R1658" s="130">
        <f t="shared" si="41"/>
        <v>15360</v>
      </c>
      <c r="S1658" s="127">
        <v>202304</v>
      </c>
      <c r="T1658" s="211" t="s">
        <v>2207</v>
      </c>
      <c r="U1658" s="211"/>
      <c r="V1658" s="149"/>
      <c r="W1658" s="149"/>
      <c r="X1658" s="131"/>
      <c r="Y1658" s="131"/>
    </row>
    <row r="1659" s="86" customFormat="1" customHeight="1" spans="1:25">
      <c r="A1659" s="135" t="s">
        <v>444</v>
      </c>
      <c r="B1659" s="135" t="s">
        <v>62</v>
      </c>
      <c r="C1659" s="135" t="s">
        <v>238</v>
      </c>
      <c r="D1659" s="135" t="s">
        <v>642</v>
      </c>
      <c r="E1659" s="170" t="s">
        <v>2193</v>
      </c>
      <c r="F1659" s="135" t="s">
        <v>2198</v>
      </c>
      <c r="G1659" s="171" t="s">
        <v>31</v>
      </c>
      <c r="H1659" s="103" t="s">
        <v>2199</v>
      </c>
      <c r="I1659" s="30" t="e">
        <f>VLOOKUP(H1659,'合同高级查询数据-4月返'!A:A,1,FALSE)</f>
        <v>#N/A</v>
      </c>
      <c r="J1659" s="155" t="s">
        <v>33</v>
      </c>
      <c r="K1659" s="134" t="s">
        <v>2200</v>
      </c>
      <c r="L1659" s="110" t="s">
        <v>2201</v>
      </c>
      <c r="M1659" s="113"/>
      <c r="N1659" s="175">
        <v>44926</v>
      </c>
      <c r="O1659" s="176" t="s">
        <v>37</v>
      </c>
      <c r="P1659" s="177">
        <v>30</v>
      </c>
      <c r="Q1659" s="177">
        <v>-512</v>
      </c>
      <c r="R1659" s="130">
        <f t="shared" si="41"/>
        <v>-15360</v>
      </c>
      <c r="S1659" s="127">
        <v>202304</v>
      </c>
      <c r="T1659" s="211" t="s">
        <v>2208</v>
      </c>
      <c r="U1659" s="211"/>
      <c r="V1659" s="149"/>
      <c r="W1659" s="149"/>
      <c r="X1659" s="131"/>
      <c r="Y1659" s="131"/>
    </row>
    <row r="1660" s="86" customFormat="1" customHeight="1" spans="1:25">
      <c r="A1660" s="135" t="s">
        <v>444</v>
      </c>
      <c r="B1660" s="135" t="s">
        <v>62</v>
      </c>
      <c r="C1660" s="135" t="s">
        <v>238</v>
      </c>
      <c r="D1660" s="135" t="s">
        <v>642</v>
      </c>
      <c r="E1660" s="170" t="s">
        <v>2193</v>
      </c>
      <c r="F1660" s="135" t="s">
        <v>2198</v>
      </c>
      <c r="G1660" s="171" t="s">
        <v>88</v>
      </c>
      <c r="H1660" s="103" t="s">
        <v>2199</v>
      </c>
      <c r="I1660" s="30" t="e">
        <f>VLOOKUP(H1660,'合同高级查询数据-4月返'!A:A,1,FALSE)</f>
        <v>#N/A</v>
      </c>
      <c r="J1660" s="134" t="s">
        <v>162</v>
      </c>
      <c r="K1660" s="134" t="s">
        <v>2200</v>
      </c>
      <c r="L1660" s="110" t="s">
        <v>2201</v>
      </c>
      <c r="M1660" s="113" t="s">
        <v>2209</v>
      </c>
      <c r="N1660" s="175">
        <v>44450</v>
      </c>
      <c r="O1660" s="176" t="s">
        <v>503</v>
      </c>
      <c r="P1660" s="177">
        <v>5000</v>
      </c>
      <c r="Q1660" s="177">
        <v>1</v>
      </c>
      <c r="R1660" s="130">
        <f t="shared" si="41"/>
        <v>5000</v>
      </c>
      <c r="S1660" s="127">
        <v>202304</v>
      </c>
      <c r="T1660" s="211" t="s">
        <v>2210</v>
      </c>
      <c r="U1660" s="211"/>
      <c r="V1660" s="149"/>
      <c r="W1660" s="149"/>
      <c r="X1660" s="131"/>
      <c r="Y1660" s="131"/>
    </row>
    <row r="1661" s="85" customFormat="1" customHeight="1" spans="1:25">
      <c r="A1661" s="22" t="s">
        <v>444</v>
      </c>
      <c r="B1661" s="98" t="s">
        <v>62</v>
      </c>
      <c r="C1661" s="22" t="s">
        <v>238</v>
      </c>
      <c r="D1661" s="24" t="s">
        <v>642</v>
      </c>
      <c r="E1661" s="46" t="s">
        <v>2211</v>
      </c>
      <c r="F1661" s="22" t="s">
        <v>2212</v>
      </c>
      <c r="G1661" s="107" t="s">
        <v>88</v>
      </c>
      <c r="H1661" s="99" t="s">
        <v>2213</v>
      </c>
      <c r="I1661" s="46" t="e">
        <f>VLOOKUP(H1661,'合同高级查询数据-4月返'!A:A,1,FALSE)</f>
        <v>#N/A</v>
      </c>
      <c r="J1661" s="178" t="s">
        <v>162</v>
      </c>
      <c r="K1661" s="107" t="s">
        <v>1256</v>
      </c>
      <c r="L1661" s="25" t="s">
        <v>2214</v>
      </c>
      <c r="M1661" s="49" t="s">
        <v>2215</v>
      </c>
      <c r="N1661" s="180">
        <v>44682</v>
      </c>
      <c r="O1661" s="107" t="s">
        <v>92</v>
      </c>
      <c r="P1661" s="108">
        <v>4300</v>
      </c>
      <c r="Q1661" s="108">
        <v>4</v>
      </c>
      <c r="R1661" s="118">
        <f t="shared" si="41"/>
        <v>17200</v>
      </c>
      <c r="S1661" s="273">
        <v>202304</v>
      </c>
      <c r="T1661" s="186" t="s">
        <v>2216</v>
      </c>
      <c r="U1661" s="106"/>
      <c r="V1661" s="120"/>
      <c r="W1661" s="120"/>
      <c r="X1661" s="116">
        <v>44682</v>
      </c>
      <c r="Y1661" s="116">
        <v>45046</v>
      </c>
    </row>
    <row r="1662" s="85" customFormat="1" customHeight="1" spans="1:25">
      <c r="A1662" s="22" t="s">
        <v>444</v>
      </c>
      <c r="B1662" s="98" t="s">
        <v>62</v>
      </c>
      <c r="C1662" s="22" t="s">
        <v>238</v>
      </c>
      <c r="D1662" s="24" t="s">
        <v>642</v>
      </c>
      <c r="E1662" s="46" t="s">
        <v>2211</v>
      </c>
      <c r="F1662" s="22" t="s">
        <v>2212</v>
      </c>
      <c r="G1662" s="107" t="s">
        <v>88</v>
      </c>
      <c r="H1662" s="99" t="s">
        <v>2213</v>
      </c>
      <c r="I1662" s="46" t="e">
        <f>VLOOKUP(H1662,'合同高级查询数据-4月返'!A:A,1,FALSE)</f>
        <v>#N/A</v>
      </c>
      <c r="J1662" s="178" t="s">
        <v>162</v>
      </c>
      <c r="K1662" s="107" t="s">
        <v>1256</v>
      </c>
      <c r="L1662" s="25" t="s">
        <v>2214</v>
      </c>
      <c r="M1662" s="49" t="s">
        <v>2215</v>
      </c>
      <c r="N1662" s="180">
        <v>44742</v>
      </c>
      <c r="O1662" s="107" t="s">
        <v>92</v>
      </c>
      <c r="P1662" s="108">
        <v>4300</v>
      </c>
      <c r="Q1662" s="108">
        <v>-4</v>
      </c>
      <c r="R1662" s="118">
        <f t="shared" si="41"/>
        <v>-17200</v>
      </c>
      <c r="S1662" s="273">
        <v>202304</v>
      </c>
      <c r="T1662" s="186" t="s">
        <v>2217</v>
      </c>
      <c r="U1662" s="106"/>
      <c r="V1662" s="120"/>
      <c r="W1662" s="120"/>
      <c r="X1662" s="116">
        <v>44682</v>
      </c>
      <c r="Y1662" s="116">
        <v>45046</v>
      </c>
    </row>
    <row r="1663" s="85" customFormat="1" customHeight="1" spans="1:25">
      <c r="A1663" s="22" t="s">
        <v>444</v>
      </c>
      <c r="B1663" s="98" t="s">
        <v>62</v>
      </c>
      <c r="C1663" s="22" t="s">
        <v>238</v>
      </c>
      <c r="D1663" s="24" t="s">
        <v>642</v>
      </c>
      <c r="E1663" s="46" t="s">
        <v>2211</v>
      </c>
      <c r="F1663" s="22" t="s">
        <v>2212</v>
      </c>
      <c r="G1663" s="107" t="s">
        <v>88</v>
      </c>
      <c r="H1663" s="99" t="s">
        <v>2213</v>
      </c>
      <c r="I1663" s="46" t="e">
        <f>VLOOKUP(H1663,'合同高级查询数据-4月返'!A:A,1,FALSE)</f>
        <v>#N/A</v>
      </c>
      <c r="J1663" s="178" t="s">
        <v>162</v>
      </c>
      <c r="K1663" s="107" t="s">
        <v>1256</v>
      </c>
      <c r="L1663" s="25" t="s">
        <v>2214</v>
      </c>
      <c r="M1663" s="49" t="s">
        <v>2215</v>
      </c>
      <c r="N1663" s="180">
        <v>44743</v>
      </c>
      <c r="O1663" s="107" t="s">
        <v>92</v>
      </c>
      <c r="P1663" s="108">
        <v>4300</v>
      </c>
      <c r="Q1663" s="108">
        <v>4</v>
      </c>
      <c r="R1663" s="118">
        <f t="shared" si="41"/>
        <v>17200</v>
      </c>
      <c r="S1663" s="273">
        <v>202304</v>
      </c>
      <c r="T1663" s="186" t="s">
        <v>2218</v>
      </c>
      <c r="U1663" s="106"/>
      <c r="V1663" s="120"/>
      <c r="W1663" s="120"/>
      <c r="X1663" s="116">
        <v>44682</v>
      </c>
      <c r="Y1663" s="116">
        <v>45046</v>
      </c>
    </row>
    <row r="1664" s="85" customFormat="1" customHeight="1" spans="1:25">
      <c r="A1664" s="22" t="s">
        <v>444</v>
      </c>
      <c r="B1664" s="98" t="s">
        <v>62</v>
      </c>
      <c r="C1664" s="22" t="s">
        <v>238</v>
      </c>
      <c r="D1664" s="24" t="s">
        <v>642</v>
      </c>
      <c r="E1664" s="46" t="s">
        <v>2211</v>
      </c>
      <c r="F1664" s="22" t="s">
        <v>2212</v>
      </c>
      <c r="G1664" s="107" t="s">
        <v>31</v>
      </c>
      <c r="H1664" s="99" t="s">
        <v>2213</v>
      </c>
      <c r="I1664" s="46" t="e">
        <f>VLOOKUP(H1664,'合同高级查询数据-4月返'!A:A,1,FALSE)</f>
        <v>#N/A</v>
      </c>
      <c r="J1664" s="178" t="s">
        <v>33</v>
      </c>
      <c r="K1664" s="107" t="s">
        <v>1256</v>
      </c>
      <c r="L1664" s="25" t="s">
        <v>2214</v>
      </c>
      <c r="M1664" s="49" t="s">
        <v>2215</v>
      </c>
      <c r="N1664" s="180">
        <v>44682</v>
      </c>
      <c r="O1664" s="107"/>
      <c r="P1664" s="108">
        <v>0</v>
      </c>
      <c r="Q1664" s="108">
        <v>288</v>
      </c>
      <c r="R1664" s="118">
        <f t="shared" si="41"/>
        <v>0</v>
      </c>
      <c r="S1664" s="273">
        <v>202304</v>
      </c>
      <c r="T1664" s="186" t="s">
        <v>2219</v>
      </c>
      <c r="U1664" s="106"/>
      <c r="V1664" s="120"/>
      <c r="W1664" s="120"/>
      <c r="X1664" s="116">
        <v>44682</v>
      </c>
      <c r="Y1664" s="116">
        <v>45046</v>
      </c>
    </row>
    <row r="1665" s="85" customFormat="1" customHeight="1" spans="1:25">
      <c r="A1665" s="22" t="s">
        <v>444</v>
      </c>
      <c r="B1665" s="98" t="s">
        <v>62</v>
      </c>
      <c r="C1665" s="22" t="s">
        <v>238</v>
      </c>
      <c r="D1665" s="24" t="s">
        <v>642</v>
      </c>
      <c r="E1665" s="46" t="s">
        <v>2211</v>
      </c>
      <c r="F1665" s="22" t="s">
        <v>2212</v>
      </c>
      <c r="G1665" s="107" t="s">
        <v>31</v>
      </c>
      <c r="H1665" s="99" t="s">
        <v>2213</v>
      </c>
      <c r="I1665" s="46" t="e">
        <f>VLOOKUP(H1665,'合同高级查询数据-4月返'!A:A,1,FALSE)</f>
        <v>#N/A</v>
      </c>
      <c r="J1665" s="178" t="s">
        <v>33</v>
      </c>
      <c r="K1665" s="107" t="s">
        <v>1256</v>
      </c>
      <c r="L1665" s="25" t="s">
        <v>2214</v>
      </c>
      <c r="M1665" s="49" t="s">
        <v>2215</v>
      </c>
      <c r="N1665" s="180">
        <v>44742</v>
      </c>
      <c r="O1665" s="107"/>
      <c r="P1665" s="108">
        <v>0</v>
      </c>
      <c r="Q1665" s="108">
        <v>-288</v>
      </c>
      <c r="R1665" s="118">
        <f t="shared" si="41"/>
        <v>0</v>
      </c>
      <c r="S1665" s="273">
        <v>202304</v>
      </c>
      <c r="T1665" s="186" t="s">
        <v>2220</v>
      </c>
      <c r="U1665" s="106"/>
      <c r="V1665" s="120"/>
      <c r="W1665" s="120"/>
      <c r="X1665" s="116">
        <v>44682</v>
      </c>
      <c r="Y1665" s="116">
        <v>45046</v>
      </c>
    </row>
    <row r="1666" s="85" customFormat="1" customHeight="1" spans="1:25">
      <c r="A1666" s="22" t="s">
        <v>444</v>
      </c>
      <c r="B1666" s="98" t="s">
        <v>62</v>
      </c>
      <c r="C1666" s="22" t="s">
        <v>238</v>
      </c>
      <c r="D1666" s="24" t="s">
        <v>642</v>
      </c>
      <c r="E1666" s="46" t="s">
        <v>2211</v>
      </c>
      <c r="F1666" s="22" t="s">
        <v>2212</v>
      </c>
      <c r="G1666" s="107" t="s">
        <v>31</v>
      </c>
      <c r="H1666" s="99" t="s">
        <v>2213</v>
      </c>
      <c r="I1666" s="46" t="e">
        <f>VLOOKUP(H1666,'合同高级查询数据-4月返'!A:A,1,FALSE)</f>
        <v>#N/A</v>
      </c>
      <c r="J1666" s="178" t="s">
        <v>33</v>
      </c>
      <c r="K1666" s="107" t="s">
        <v>1256</v>
      </c>
      <c r="L1666" s="25" t="s">
        <v>2214</v>
      </c>
      <c r="M1666" s="49" t="s">
        <v>2215</v>
      </c>
      <c r="N1666" s="180">
        <v>44743</v>
      </c>
      <c r="O1666" s="107"/>
      <c r="P1666" s="108">
        <v>0</v>
      </c>
      <c r="Q1666" s="108">
        <v>128</v>
      </c>
      <c r="R1666" s="118">
        <f t="shared" si="41"/>
        <v>0</v>
      </c>
      <c r="S1666" s="273">
        <v>202304</v>
      </c>
      <c r="T1666" s="186" t="s">
        <v>2221</v>
      </c>
      <c r="U1666" s="106"/>
      <c r="V1666" s="120"/>
      <c r="W1666" s="120"/>
      <c r="X1666" s="116">
        <v>44682</v>
      </c>
      <c r="Y1666" s="116">
        <v>45046</v>
      </c>
    </row>
    <row r="1667" s="85" customFormat="1" customHeight="1" spans="1:25">
      <c r="A1667" s="98" t="s">
        <v>444</v>
      </c>
      <c r="B1667" s="24" t="s">
        <v>62</v>
      </c>
      <c r="C1667" s="22" t="s">
        <v>238</v>
      </c>
      <c r="D1667" s="24" t="s">
        <v>642</v>
      </c>
      <c r="E1667" s="46" t="s">
        <v>2222</v>
      </c>
      <c r="F1667" s="22" t="s">
        <v>2223</v>
      </c>
      <c r="G1667" s="172" t="s">
        <v>88</v>
      </c>
      <c r="H1667" s="99" t="s">
        <v>2224</v>
      </c>
      <c r="I1667" s="46" t="e">
        <f>VLOOKUP(H1667,'合同高级查询数据-4月返'!A:A,1,FALSE)</f>
        <v>#N/A</v>
      </c>
      <c r="J1667" s="160" t="s">
        <v>162</v>
      </c>
      <c r="K1667" s="107" t="s">
        <v>2225</v>
      </c>
      <c r="L1667" s="179" t="s">
        <v>2223</v>
      </c>
      <c r="M1667" s="49" t="s">
        <v>2226</v>
      </c>
      <c r="N1667" s="180">
        <v>44927</v>
      </c>
      <c r="O1667" s="181" t="s">
        <v>92</v>
      </c>
      <c r="P1667" s="182">
        <v>4300</v>
      </c>
      <c r="Q1667" s="105">
        <v>1</v>
      </c>
      <c r="R1667" s="118">
        <f t="shared" si="41"/>
        <v>4300</v>
      </c>
      <c r="S1667" s="115">
        <v>202304</v>
      </c>
      <c r="T1667" s="186" t="s">
        <v>2227</v>
      </c>
      <c r="U1667" s="186"/>
      <c r="V1667" s="120"/>
      <c r="W1667" s="120"/>
      <c r="X1667" s="116">
        <v>44905</v>
      </c>
      <c r="Y1667" s="116">
        <v>45269</v>
      </c>
    </row>
    <row r="1668" s="85" customFormat="1" customHeight="1" spans="1:25">
      <c r="A1668" s="98" t="s">
        <v>444</v>
      </c>
      <c r="B1668" s="24" t="s">
        <v>62</v>
      </c>
      <c r="C1668" s="22" t="s">
        <v>238</v>
      </c>
      <c r="D1668" s="24" t="s">
        <v>642</v>
      </c>
      <c r="E1668" s="46" t="s">
        <v>2222</v>
      </c>
      <c r="F1668" s="22" t="s">
        <v>2223</v>
      </c>
      <c r="G1668" s="172" t="s">
        <v>31</v>
      </c>
      <c r="H1668" s="99" t="s">
        <v>2224</v>
      </c>
      <c r="I1668" s="46" t="e">
        <f>VLOOKUP(H1668,'合同高级查询数据-4月返'!A:A,1,FALSE)</f>
        <v>#N/A</v>
      </c>
      <c r="J1668" s="160" t="s">
        <v>33</v>
      </c>
      <c r="K1668" s="107" t="s">
        <v>2225</v>
      </c>
      <c r="L1668" s="179" t="s">
        <v>2223</v>
      </c>
      <c r="M1668" s="49" t="s">
        <v>2226</v>
      </c>
      <c r="N1668" s="180">
        <v>44927</v>
      </c>
      <c r="O1668" s="181"/>
      <c r="P1668" s="182">
        <v>0</v>
      </c>
      <c r="Q1668" s="105">
        <v>32</v>
      </c>
      <c r="R1668" s="118">
        <f t="shared" si="41"/>
        <v>0</v>
      </c>
      <c r="S1668" s="115">
        <v>202304</v>
      </c>
      <c r="T1668" s="186" t="s">
        <v>2228</v>
      </c>
      <c r="U1668" s="186"/>
      <c r="V1668" s="120"/>
      <c r="W1668" s="120"/>
      <c r="X1668" s="116">
        <v>44905</v>
      </c>
      <c r="Y1668" s="116">
        <v>45269</v>
      </c>
    </row>
    <row r="1669" s="85" customFormat="1" customHeight="1" spans="1:25">
      <c r="A1669" s="160" t="s">
        <v>444</v>
      </c>
      <c r="B1669" s="98" t="s">
        <v>62</v>
      </c>
      <c r="C1669" s="98" t="s">
        <v>238</v>
      </c>
      <c r="D1669" s="98" t="s">
        <v>642</v>
      </c>
      <c r="E1669" s="162" t="s">
        <v>2229</v>
      </c>
      <c r="F1669" s="160" t="s">
        <v>2230</v>
      </c>
      <c r="G1669" s="107" t="s">
        <v>88</v>
      </c>
      <c r="H1669" s="99" t="s">
        <v>2231</v>
      </c>
      <c r="I1669" s="46" t="e">
        <f>VLOOKUP(H1669,'合同高级查询数据-4月返'!A:A,1,FALSE)</f>
        <v>#N/A</v>
      </c>
      <c r="J1669" s="47" t="s">
        <v>90</v>
      </c>
      <c r="K1669" s="160" t="s">
        <v>2232</v>
      </c>
      <c r="L1669" s="107"/>
      <c r="M1669" s="49" t="s">
        <v>2233</v>
      </c>
      <c r="N1669" s="73">
        <v>43804</v>
      </c>
      <c r="O1669" s="107" t="s">
        <v>525</v>
      </c>
      <c r="P1669" s="164">
        <v>8700</v>
      </c>
      <c r="Q1669" s="164">
        <v>6</v>
      </c>
      <c r="R1669" s="118">
        <f t="shared" si="41"/>
        <v>52200</v>
      </c>
      <c r="S1669" s="115">
        <v>202304</v>
      </c>
      <c r="T1669" s="119" t="s">
        <v>2234</v>
      </c>
      <c r="U1669" s="166"/>
      <c r="V1669" s="165"/>
      <c r="W1669" s="165"/>
      <c r="X1669" s="116">
        <v>43709</v>
      </c>
      <c r="Y1669" s="116">
        <v>45900</v>
      </c>
    </row>
    <row r="1670" s="85" customFormat="1" customHeight="1" spans="1:25">
      <c r="A1670" s="160" t="s">
        <v>444</v>
      </c>
      <c r="B1670" s="98" t="s">
        <v>62</v>
      </c>
      <c r="C1670" s="98" t="s">
        <v>238</v>
      </c>
      <c r="D1670" s="98" t="s">
        <v>642</v>
      </c>
      <c r="E1670" s="162" t="s">
        <v>2229</v>
      </c>
      <c r="F1670" s="160" t="s">
        <v>2230</v>
      </c>
      <c r="G1670" s="107" t="s">
        <v>88</v>
      </c>
      <c r="H1670" s="99" t="s">
        <v>2231</v>
      </c>
      <c r="I1670" s="46" t="e">
        <f>VLOOKUP(H1670,'合同高级查询数据-4月返'!A:A,1,FALSE)</f>
        <v>#N/A</v>
      </c>
      <c r="J1670" s="47" t="s">
        <v>90</v>
      </c>
      <c r="K1670" s="160" t="s">
        <v>2232</v>
      </c>
      <c r="L1670" s="107"/>
      <c r="M1670" s="49" t="s">
        <v>2233</v>
      </c>
      <c r="N1670" s="73">
        <v>43804</v>
      </c>
      <c r="O1670" s="107" t="s">
        <v>503</v>
      </c>
      <c r="P1670" s="164">
        <v>5800</v>
      </c>
      <c r="Q1670" s="164">
        <v>24</v>
      </c>
      <c r="R1670" s="118">
        <f t="shared" si="41"/>
        <v>139200</v>
      </c>
      <c r="S1670" s="115">
        <v>202304</v>
      </c>
      <c r="T1670" s="119"/>
      <c r="U1670" s="166"/>
      <c r="V1670" s="165"/>
      <c r="W1670" s="165"/>
      <c r="X1670" s="116">
        <v>43709</v>
      </c>
      <c r="Y1670" s="116">
        <v>45900</v>
      </c>
    </row>
    <row r="1671" s="85" customFormat="1" customHeight="1" spans="1:25">
      <c r="A1671" s="160" t="s">
        <v>444</v>
      </c>
      <c r="B1671" s="98" t="s">
        <v>62</v>
      </c>
      <c r="C1671" s="98" t="s">
        <v>238</v>
      </c>
      <c r="D1671" s="98" t="s">
        <v>642</v>
      </c>
      <c r="E1671" s="162" t="s">
        <v>2229</v>
      </c>
      <c r="F1671" s="160" t="s">
        <v>2230</v>
      </c>
      <c r="G1671" s="107" t="s">
        <v>88</v>
      </c>
      <c r="H1671" s="99" t="s">
        <v>2231</v>
      </c>
      <c r="I1671" s="46" t="e">
        <f>VLOOKUP(H1671,'合同高级查询数据-4月返'!A:A,1,FALSE)</f>
        <v>#N/A</v>
      </c>
      <c r="J1671" s="47" t="s">
        <v>90</v>
      </c>
      <c r="K1671" s="160" t="s">
        <v>2232</v>
      </c>
      <c r="L1671" s="107"/>
      <c r="M1671" s="49" t="s">
        <v>2233</v>
      </c>
      <c r="N1671" s="73">
        <v>43807</v>
      </c>
      <c r="O1671" s="107" t="s">
        <v>525</v>
      </c>
      <c r="P1671" s="164">
        <v>8700</v>
      </c>
      <c r="Q1671" s="164">
        <v>4</v>
      </c>
      <c r="R1671" s="118">
        <f t="shared" si="41"/>
        <v>34800</v>
      </c>
      <c r="S1671" s="115">
        <v>202304</v>
      </c>
      <c r="T1671" s="119" t="s">
        <v>2234</v>
      </c>
      <c r="U1671" s="166"/>
      <c r="V1671" s="165"/>
      <c r="W1671" s="165"/>
      <c r="X1671" s="116">
        <v>43709</v>
      </c>
      <c r="Y1671" s="116">
        <v>45900</v>
      </c>
    </row>
    <row r="1672" s="85" customFormat="1" customHeight="1" spans="1:25">
      <c r="A1672" s="160" t="s">
        <v>444</v>
      </c>
      <c r="B1672" s="98" t="s">
        <v>62</v>
      </c>
      <c r="C1672" s="98" t="s">
        <v>238</v>
      </c>
      <c r="D1672" s="98" t="s">
        <v>642</v>
      </c>
      <c r="E1672" s="162" t="s">
        <v>2229</v>
      </c>
      <c r="F1672" s="160" t="s">
        <v>2230</v>
      </c>
      <c r="G1672" s="107" t="s">
        <v>88</v>
      </c>
      <c r="H1672" s="99" t="s">
        <v>2231</v>
      </c>
      <c r="I1672" s="46" t="e">
        <f>VLOOKUP(H1672,'合同高级查询数据-4月返'!A:A,1,FALSE)</f>
        <v>#N/A</v>
      </c>
      <c r="J1672" s="47" t="s">
        <v>90</v>
      </c>
      <c r="K1672" s="160" t="s">
        <v>2232</v>
      </c>
      <c r="L1672" s="107"/>
      <c r="M1672" s="49" t="s">
        <v>2233</v>
      </c>
      <c r="N1672" s="73">
        <v>43800</v>
      </c>
      <c r="O1672" s="107" t="s">
        <v>503</v>
      </c>
      <c r="P1672" s="164">
        <v>5800</v>
      </c>
      <c r="Q1672" s="164">
        <v>23</v>
      </c>
      <c r="R1672" s="118">
        <f t="shared" si="41"/>
        <v>133400</v>
      </c>
      <c r="S1672" s="115">
        <v>202304</v>
      </c>
      <c r="T1672" s="119"/>
      <c r="U1672" s="166"/>
      <c r="V1672" s="165"/>
      <c r="W1672" s="165"/>
      <c r="X1672" s="116">
        <v>43709</v>
      </c>
      <c r="Y1672" s="116">
        <v>45900</v>
      </c>
    </row>
    <row r="1673" s="85" customFormat="1" customHeight="1" spans="1:25">
      <c r="A1673" s="160" t="s">
        <v>444</v>
      </c>
      <c r="B1673" s="98" t="s">
        <v>62</v>
      </c>
      <c r="C1673" s="98" t="s">
        <v>238</v>
      </c>
      <c r="D1673" s="98" t="s">
        <v>642</v>
      </c>
      <c r="E1673" s="162" t="s">
        <v>2229</v>
      </c>
      <c r="F1673" s="160" t="s">
        <v>2230</v>
      </c>
      <c r="G1673" s="107" t="s">
        <v>88</v>
      </c>
      <c r="H1673" s="99" t="s">
        <v>2231</v>
      </c>
      <c r="I1673" s="46" t="e">
        <f>VLOOKUP(H1673,'合同高级查询数据-4月返'!A:A,1,FALSE)</f>
        <v>#N/A</v>
      </c>
      <c r="J1673" s="47" t="s">
        <v>90</v>
      </c>
      <c r="K1673" s="160" t="s">
        <v>2232</v>
      </c>
      <c r="L1673" s="107"/>
      <c r="M1673" s="49" t="s">
        <v>2233</v>
      </c>
      <c r="N1673" s="73">
        <v>43800</v>
      </c>
      <c r="O1673" s="107" t="s">
        <v>606</v>
      </c>
      <c r="P1673" s="164">
        <v>31637</v>
      </c>
      <c r="Q1673" s="164">
        <v>10</v>
      </c>
      <c r="R1673" s="118">
        <f t="shared" si="41"/>
        <v>316370</v>
      </c>
      <c r="S1673" s="115">
        <v>202304</v>
      </c>
      <c r="T1673" s="119"/>
      <c r="U1673" s="166"/>
      <c r="V1673" s="165"/>
      <c r="W1673" s="165"/>
      <c r="X1673" s="116">
        <v>43709</v>
      </c>
      <c r="Y1673" s="116">
        <v>45900</v>
      </c>
    </row>
    <row r="1674" s="85" customFormat="1" customHeight="1" spans="1:25">
      <c r="A1674" s="160" t="s">
        <v>444</v>
      </c>
      <c r="B1674" s="98" t="s">
        <v>62</v>
      </c>
      <c r="C1674" s="98" t="s">
        <v>238</v>
      </c>
      <c r="D1674" s="98" t="s">
        <v>642</v>
      </c>
      <c r="E1674" s="162" t="s">
        <v>2229</v>
      </c>
      <c r="F1674" s="160" t="s">
        <v>2230</v>
      </c>
      <c r="G1674" s="107" t="s">
        <v>88</v>
      </c>
      <c r="H1674" s="99" t="s">
        <v>2231</v>
      </c>
      <c r="I1674" s="46" t="e">
        <f>VLOOKUP(H1674,'合同高级查询数据-4月返'!A:A,1,FALSE)</f>
        <v>#N/A</v>
      </c>
      <c r="J1674" s="47" t="s">
        <v>90</v>
      </c>
      <c r="K1674" s="160" t="s">
        <v>2232</v>
      </c>
      <c r="L1674" s="107"/>
      <c r="M1674" s="49" t="s">
        <v>2233</v>
      </c>
      <c r="N1674" s="73">
        <v>43800</v>
      </c>
      <c r="O1674" s="107" t="s">
        <v>525</v>
      </c>
      <c r="P1674" s="164">
        <v>8700</v>
      </c>
      <c r="Q1674" s="164">
        <v>2</v>
      </c>
      <c r="R1674" s="118">
        <f t="shared" si="41"/>
        <v>17400</v>
      </c>
      <c r="S1674" s="115">
        <v>202304</v>
      </c>
      <c r="T1674" s="119"/>
      <c r="U1674" s="166"/>
      <c r="V1674" s="165"/>
      <c r="W1674" s="165"/>
      <c r="X1674" s="116">
        <v>43709</v>
      </c>
      <c r="Y1674" s="116">
        <v>45900</v>
      </c>
    </row>
    <row r="1675" s="85" customFormat="1" customHeight="1" spans="1:25">
      <c r="A1675" s="160" t="s">
        <v>444</v>
      </c>
      <c r="B1675" s="98" t="s">
        <v>62</v>
      </c>
      <c r="C1675" s="98" t="s">
        <v>238</v>
      </c>
      <c r="D1675" s="98" t="s">
        <v>642</v>
      </c>
      <c r="E1675" s="162" t="s">
        <v>2229</v>
      </c>
      <c r="F1675" s="160" t="s">
        <v>2230</v>
      </c>
      <c r="G1675" s="107" t="s">
        <v>88</v>
      </c>
      <c r="H1675" s="99" t="s">
        <v>2231</v>
      </c>
      <c r="I1675" s="46" t="e">
        <f>VLOOKUP(H1675,'合同高级查询数据-4月返'!A:A,1,FALSE)</f>
        <v>#N/A</v>
      </c>
      <c r="J1675" s="47" t="s">
        <v>90</v>
      </c>
      <c r="K1675" s="160" t="s">
        <v>2232</v>
      </c>
      <c r="L1675" s="107"/>
      <c r="M1675" s="49" t="s">
        <v>2233</v>
      </c>
      <c r="N1675" s="73">
        <v>43800</v>
      </c>
      <c r="O1675" s="107" t="s">
        <v>566</v>
      </c>
      <c r="P1675" s="164">
        <v>11864</v>
      </c>
      <c r="Q1675" s="164">
        <v>14</v>
      </c>
      <c r="R1675" s="118">
        <f t="shared" si="41"/>
        <v>166096</v>
      </c>
      <c r="S1675" s="115">
        <v>202304</v>
      </c>
      <c r="T1675" s="119"/>
      <c r="U1675" s="166"/>
      <c r="V1675" s="165"/>
      <c r="W1675" s="165"/>
      <c r="X1675" s="116">
        <v>43709</v>
      </c>
      <c r="Y1675" s="116">
        <v>45900</v>
      </c>
    </row>
    <row r="1676" s="85" customFormat="1" customHeight="1" spans="1:25">
      <c r="A1676" s="160" t="s">
        <v>444</v>
      </c>
      <c r="B1676" s="98" t="s">
        <v>62</v>
      </c>
      <c r="C1676" s="98" t="s">
        <v>238</v>
      </c>
      <c r="D1676" s="98" t="s">
        <v>642</v>
      </c>
      <c r="E1676" s="162" t="s">
        <v>2229</v>
      </c>
      <c r="F1676" s="160" t="s">
        <v>2230</v>
      </c>
      <c r="G1676" s="107" t="s">
        <v>88</v>
      </c>
      <c r="H1676" s="99" t="s">
        <v>2231</v>
      </c>
      <c r="I1676" s="46" t="e">
        <f>VLOOKUP(H1676,'合同高级查询数据-4月返'!A:A,1,FALSE)</f>
        <v>#N/A</v>
      </c>
      <c r="J1676" s="47" t="s">
        <v>90</v>
      </c>
      <c r="K1676" s="160" t="s">
        <v>2232</v>
      </c>
      <c r="L1676" s="107"/>
      <c r="M1676" s="49" t="s">
        <v>2233</v>
      </c>
      <c r="N1676" s="73">
        <v>43830</v>
      </c>
      <c r="O1676" s="107" t="s">
        <v>503</v>
      </c>
      <c r="P1676" s="164">
        <v>5800</v>
      </c>
      <c r="Q1676" s="164">
        <v>6</v>
      </c>
      <c r="R1676" s="118">
        <f t="shared" si="41"/>
        <v>34800</v>
      </c>
      <c r="S1676" s="115">
        <v>202304</v>
      </c>
      <c r="T1676" s="119" t="s">
        <v>2235</v>
      </c>
      <c r="U1676" s="166"/>
      <c r="V1676" s="165"/>
      <c r="W1676" s="165"/>
      <c r="X1676" s="116">
        <v>43709</v>
      </c>
      <c r="Y1676" s="116">
        <v>45900</v>
      </c>
    </row>
    <row r="1677" s="85" customFormat="1" customHeight="1" spans="1:25">
      <c r="A1677" s="160" t="s">
        <v>444</v>
      </c>
      <c r="B1677" s="98" t="s">
        <v>62</v>
      </c>
      <c r="C1677" s="98" t="s">
        <v>238</v>
      </c>
      <c r="D1677" s="98" t="s">
        <v>642</v>
      </c>
      <c r="E1677" s="162" t="s">
        <v>2229</v>
      </c>
      <c r="F1677" s="160" t="s">
        <v>2230</v>
      </c>
      <c r="G1677" s="107" t="s">
        <v>88</v>
      </c>
      <c r="H1677" s="99" t="s">
        <v>2231</v>
      </c>
      <c r="I1677" s="46" t="e">
        <f>VLOOKUP(H1677,'合同高级查询数据-4月返'!A:A,1,FALSE)</f>
        <v>#N/A</v>
      </c>
      <c r="J1677" s="47" t="s">
        <v>90</v>
      </c>
      <c r="K1677" s="160" t="s">
        <v>2232</v>
      </c>
      <c r="L1677" s="107"/>
      <c r="M1677" s="49" t="s">
        <v>2233</v>
      </c>
      <c r="N1677" s="73">
        <v>43906</v>
      </c>
      <c r="O1677" s="107" t="s">
        <v>503</v>
      </c>
      <c r="P1677" s="164">
        <v>5800</v>
      </c>
      <c r="Q1677" s="164">
        <v>4</v>
      </c>
      <c r="R1677" s="118">
        <f t="shared" si="41"/>
        <v>23200</v>
      </c>
      <c r="S1677" s="115">
        <v>202304</v>
      </c>
      <c r="T1677" s="119" t="s">
        <v>2236</v>
      </c>
      <c r="U1677" s="166"/>
      <c r="V1677" s="165"/>
      <c r="W1677" s="165"/>
      <c r="X1677" s="116">
        <v>43709</v>
      </c>
      <c r="Y1677" s="116">
        <v>45900</v>
      </c>
    </row>
    <row r="1678" s="85" customFormat="1" customHeight="1" spans="1:25">
      <c r="A1678" s="160" t="s">
        <v>444</v>
      </c>
      <c r="B1678" s="98" t="s">
        <v>62</v>
      </c>
      <c r="C1678" s="98" t="s">
        <v>238</v>
      </c>
      <c r="D1678" s="98" t="s">
        <v>642</v>
      </c>
      <c r="E1678" s="162" t="s">
        <v>2229</v>
      </c>
      <c r="F1678" s="160" t="s">
        <v>2230</v>
      </c>
      <c r="G1678" s="107" t="s">
        <v>88</v>
      </c>
      <c r="H1678" s="99" t="s">
        <v>2231</v>
      </c>
      <c r="I1678" s="46" t="e">
        <f>VLOOKUP(H1678,'合同高级查询数据-4月返'!A:A,1,FALSE)</f>
        <v>#N/A</v>
      </c>
      <c r="J1678" s="47" t="s">
        <v>90</v>
      </c>
      <c r="K1678" s="160" t="s">
        <v>2232</v>
      </c>
      <c r="L1678" s="107"/>
      <c r="M1678" s="49" t="s">
        <v>2233</v>
      </c>
      <c r="N1678" s="73">
        <v>43936</v>
      </c>
      <c r="O1678" s="107" t="s">
        <v>503</v>
      </c>
      <c r="P1678" s="164">
        <v>5800</v>
      </c>
      <c r="Q1678" s="164">
        <v>2</v>
      </c>
      <c r="R1678" s="118">
        <f t="shared" si="41"/>
        <v>11600</v>
      </c>
      <c r="S1678" s="115">
        <v>202304</v>
      </c>
      <c r="T1678" s="119" t="s">
        <v>2237</v>
      </c>
      <c r="U1678" s="166"/>
      <c r="V1678" s="165"/>
      <c r="W1678" s="165"/>
      <c r="X1678" s="116">
        <v>43709</v>
      </c>
      <c r="Y1678" s="116">
        <v>45900</v>
      </c>
    </row>
    <row r="1679" s="85" customFormat="1" customHeight="1" spans="1:25">
      <c r="A1679" s="160" t="s">
        <v>444</v>
      </c>
      <c r="B1679" s="98" t="s">
        <v>62</v>
      </c>
      <c r="C1679" s="98" t="s">
        <v>238</v>
      </c>
      <c r="D1679" s="98" t="s">
        <v>642</v>
      </c>
      <c r="E1679" s="162" t="s">
        <v>2229</v>
      </c>
      <c r="F1679" s="160" t="s">
        <v>2230</v>
      </c>
      <c r="G1679" s="107" t="s">
        <v>88</v>
      </c>
      <c r="H1679" s="99" t="s">
        <v>2231</v>
      </c>
      <c r="I1679" s="46" t="e">
        <f>VLOOKUP(H1679,'合同高级查询数据-4月返'!A:A,1,FALSE)</f>
        <v>#N/A</v>
      </c>
      <c r="J1679" s="47" t="s">
        <v>90</v>
      </c>
      <c r="K1679" s="160" t="s">
        <v>2232</v>
      </c>
      <c r="L1679" s="107"/>
      <c r="M1679" s="49" t="s">
        <v>2233</v>
      </c>
      <c r="N1679" s="73">
        <v>43948</v>
      </c>
      <c r="O1679" s="107" t="s">
        <v>503</v>
      </c>
      <c r="P1679" s="164">
        <v>5800</v>
      </c>
      <c r="Q1679" s="164">
        <v>-8</v>
      </c>
      <c r="R1679" s="118">
        <f t="shared" si="41"/>
        <v>-46400</v>
      </c>
      <c r="S1679" s="115">
        <v>202304</v>
      </c>
      <c r="T1679" s="119" t="s">
        <v>2238</v>
      </c>
      <c r="U1679" s="166"/>
      <c r="V1679" s="165"/>
      <c r="W1679" s="165"/>
      <c r="X1679" s="116">
        <v>43709</v>
      </c>
      <c r="Y1679" s="116">
        <v>45900</v>
      </c>
    </row>
    <row r="1680" s="85" customFormat="1" customHeight="1" spans="1:25">
      <c r="A1680" s="160" t="s">
        <v>444</v>
      </c>
      <c r="B1680" s="98" t="s">
        <v>62</v>
      </c>
      <c r="C1680" s="98" t="s">
        <v>238</v>
      </c>
      <c r="D1680" s="98" t="s">
        <v>642</v>
      </c>
      <c r="E1680" s="162" t="s">
        <v>2229</v>
      </c>
      <c r="F1680" s="160" t="s">
        <v>2230</v>
      </c>
      <c r="G1680" s="107" t="s">
        <v>88</v>
      </c>
      <c r="H1680" s="99" t="s">
        <v>2231</v>
      </c>
      <c r="I1680" s="46" t="e">
        <f>VLOOKUP(H1680,'合同高级查询数据-4月返'!A:A,1,FALSE)</f>
        <v>#N/A</v>
      </c>
      <c r="J1680" s="47" t="s">
        <v>90</v>
      </c>
      <c r="K1680" s="160" t="s">
        <v>2232</v>
      </c>
      <c r="L1680" s="107"/>
      <c r="M1680" s="49" t="s">
        <v>2233</v>
      </c>
      <c r="N1680" s="73">
        <v>43970</v>
      </c>
      <c r="O1680" s="107" t="s">
        <v>503</v>
      </c>
      <c r="P1680" s="164">
        <v>5800</v>
      </c>
      <c r="Q1680" s="164">
        <v>1</v>
      </c>
      <c r="R1680" s="118">
        <f t="shared" si="41"/>
        <v>5800</v>
      </c>
      <c r="S1680" s="115">
        <v>202304</v>
      </c>
      <c r="T1680" s="119" t="s">
        <v>2239</v>
      </c>
      <c r="U1680" s="166"/>
      <c r="V1680" s="165"/>
      <c r="W1680" s="165"/>
      <c r="X1680" s="116">
        <v>43709</v>
      </c>
      <c r="Y1680" s="116">
        <v>45900</v>
      </c>
    </row>
    <row r="1681" s="85" customFormat="1" customHeight="1" spans="1:25">
      <c r="A1681" s="160" t="s">
        <v>444</v>
      </c>
      <c r="B1681" s="98" t="s">
        <v>62</v>
      </c>
      <c r="C1681" s="98" t="s">
        <v>238</v>
      </c>
      <c r="D1681" s="98" t="s">
        <v>642</v>
      </c>
      <c r="E1681" s="162" t="s">
        <v>2229</v>
      </c>
      <c r="F1681" s="160" t="s">
        <v>2230</v>
      </c>
      <c r="G1681" s="107" t="s">
        <v>88</v>
      </c>
      <c r="H1681" s="99" t="s">
        <v>2231</v>
      </c>
      <c r="I1681" s="46" t="e">
        <f>VLOOKUP(H1681,'合同高级查询数据-4月返'!A:A,1,FALSE)</f>
        <v>#N/A</v>
      </c>
      <c r="J1681" s="47" t="s">
        <v>90</v>
      </c>
      <c r="K1681" s="160" t="s">
        <v>2232</v>
      </c>
      <c r="L1681" s="107"/>
      <c r="M1681" s="49" t="s">
        <v>2233</v>
      </c>
      <c r="N1681" s="73">
        <v>43981</v>
      </c>
      <c r="O1681" s="107" t="s">
        <v>503</v>
      </c>
      <c r="P1681" s="164">
        <v>5800</v>
      </c>
      <c r="Q1681" s="164">
        <v>2</v>
      </c>
      <c r="R1681" s="118">
        <f t="shared" si="41"/>
        <v>11600</v>
      </c>
      <c r="S1681" s="115">
        <v>202304</v>
      </c>
      <c r="T1681" s="119" t="s">
        <v>2240</v>
      </c>
      <c r="U1681" s="166"/>
      <c r="V1681" s="165"/>
      <c r="W1681" s="165"/>
      <c r="X1681" s="116">
        <v>43709</v>
      </c>
      <c r="Y1681" s="116">
        <v>45900</v>
      </c>
    </row>
    <row r="1682" s="85" customFormat="1" customHeight="1" spans="1:25">
      <c r="A1682" s="160" t="s">
        <v>444</v>
      </c>
      <c r="B1682" s="98" t="s">
        <v>62</v>
      </c>
      <c r="C1682" s="98" t="s">
        <v>238</v>
      </c>
      <c r="D1682" s="98" t="s">
        <v>642</v>
      </c>
      <c r="E1682" s="162" t="s">
        <v>2229</v>
      </c>
      <c r="F1682" s="160" t="s">
        <v>2230</v>
      </c>
      <c r="G1682" s="107" t="s">
        <v>88</v>
      </c>
      <c r="H1682" s="99" t="s">
        <v>2231</v>
      </c>
      <c r="I1682" s="46" t="e">
        <f>VLOOKUP(H1682,'合同高级查询数据-4月返'!A:A,1,FALSE)</f>
        <v>#N/A</v>
      </c>
      <c r="J1682" s="47" t="s">
        <v>90</v>
      </c>
      <c r="K1682" s="160" t="s">
        <v>2232</v>
      </c>
      <c r="L1682" s="107"/>
      <c r="M1682" s="49" t="s">
        <v>2233</v>
      </c>
      <c r="N1682" s="73">
        <v>43987</v>
      </c>
      <c r="O1682" s="107" t="s">
        <v>503</v>
      </c>
      <c r="P1682" s="164">
        <v>5800</v>
      </c>
      <c r="Q1682" s="164">
        <v>1</v>
      </c>
      <c r="R1682" s="118">
        <f t="shared" si="41"/>
        <v>5800</v>
      </c>
      <c r="S1682" s="115">
        <v>202304</v>
      </c>
      <c r="T1682" s="119" t="s">
        <v>2241</v>
      </c>
      <c r="U1682" s="166"/>
      <c r="V1682" s="165"/>
      <c r="W1682" s="165"/>
      <c r="X1682" s="116">
        <v>43709</v>
      </c>
      <c r="Y1682" s="116">
        <v>45900</v>
      </c>
    </row>
    <row r="1683" s="85" customFormat="1" customHeight="1" spans="1:25">
      <c r="A1683" s="160" t="s">
        <v>444</v>
      </c>
      <c r="B1683" s="98" t="s">
        <v>62</v>
      </c>
      <c r="C1683" s="98" t="s">
        <v>238</v>
      </c>
      <c r="D1683" s="98" t="s">
        <v>642</v>
      </c>
      <c r="E1683" s="162" t="s">
        <v>2229</v>
      </c>
      <c r="F1683" s="160" t="s">
        <v>2230</v>
      </c>
      <c r="G1683" s="107" t="s">
        <v>88</v>
      </c>
      <c r="H1683" s="99" t="s">
        <v>2231</v>
      </c>
      <c r="I1683" s="46" t="e">
        <f>VLOOKUP(H1683,'合同高级查询数据-4月返'!A:A,1,FALSE)</f>
        <v>#N/A</v>
      </c>
      <c r="J1683" s="47" t="s">
        <v>90</v>
      </c>
      <c r="K1683" s="160" t="s">
        <v>2232</v>
      </c>
      <c r="L1683" s="107"/>
      <c r="M1683" s="49" t="s">
        <v>2233</v>
      </c>
      <c r="N1683" s="73">
        <v>44004</v>
      </c>
      <c r="O1683" s="107" t="s">
        <v>503</v>
      </c>
      <c r="P1683" s="164">
        <v>5800</v>
      </c>
      <c r="Q1683" s="164">
        <v>1</v>
      </c>
      <c r="R1683" s="118">
        <f t="shared" si="41"/>
        <v>5800</v>
      </c>
      <c r="S1683" s="115">
        <v>202304</v>
      </c>
      <c r="T1683" s="119" t="s">
        <v>2242</v>
      </c>
      <c r="U1683" s="166"/>
      <c r="V1683" s="165"/>
      <c r="W1683" s="165"/>
      <c r="X1683" s="116">
        <v>43709</v>
      </c>
      <c r="Y1683" s="116">
        <v>45900</v>
      </c>
    </row>
    <row r="1684" s="85" customFormat="1" customHeight="1" spans="1:25">
      <c r="A1684" s="160" t="s">
        <v>444</v>
      </c>
      <c r="B1684" s="98" t="s">
        <v>62</v>
      </c>
      <c r="C1684" s="98" t="s">
        <v>238</v>
      </c>
      <c r="D1684" s="98" t="s">
        <v>642</v>
      </c>
      <c r="E1684" s="162" t="s">
        <v>2229</v>
      </c>
      <c r="F1684" s="160" t="s">
        <v>2230</v>
      </c>
      <c r="G1684" s="107" t="s">
        <v>88</v>
      </c>
      <c r="H1684" s="99" t="s">
        <v>2231</v>
      </c>
      <c r="I1684" s="46" t="e">
        <f>VLOOKUP(H1684,'合同高级查询数据-4月返'!A:A,1,FALSE)</f>
        <v>#N/A</v>
      </c>
      <c r="J1684" s="47" t="s">
        <v>90</v>
      </c>
      <c r="K1684" s="160" t="s">
        <v>2232</v>
      </c>
      <c r="L1684" s="107"/>
      <c r="M1684" s="49" t="s">
        <v>2233</v>
      </c>
      <c r="N1684" s="73">
        <v>44006</v>
      </c>
      <c r="O1684" s="107" t="s">
        <v>503</v>
      </c>
      <c r="P1684" s="164">
        <v>5800</v>
      </c>
      <c r="Q1684" s="164">
        <v>1</v>
      </c>
      <c r="R1684" s="118">
        <f t="shared" si="41"/>
        <v>5800</v>
      </c>
      <c r="S1684" s="115">
        <v>202304</v>
      </c>
      <c r="T1684" s="119" t="s">
        <v>2243</v>
      </c>
      <c r="U1684" s="166"/>
      <c r="V1684" s="165"/>
      <c r="W1684" s="165"/>
      <c r="X1684" s="116">
        <v>43709</v>
      </c>
      <c r="Y1684" s="116">
        <v>45900</v>
      </c>
    </row>
    <row r="1685" s="85" customFormat="1" customHeight="1" spans="1:25">
      <c r="A1685" s="160" t="s">
        <v>444</v>
      </c>
      <c r="B1685" s="98" t="s">
        <v>62</v>
      </c>
      <c r="C1685" s="98" t="s">
        <v>238</v>
      </c>
      <c r="D1685" s="98" t="s">
        <v>642</v>
      </c>
      <c r="E1685" s="162" t="s">
        <v>2229</v>
      </c>
      <c r="F1685" s="160" t="s">
        <v>2230</v>
      </c>
      <c r="G1685" s="107" t="s">
        <v>88</v>
      </c>
      <c r="H1685" s="99" t="s">
        <v>2231</v>
      </c>
      <c r="I1685" s="46" t="e">
        <f>VLOOKUP(H1685,'合同高级查询数据-4月返'!A:A,1,FALSE)</f>
        <v>#N/A</v>
      </c>
      <c r="J1685" s="47" t="s">
        <v>90</v>
      </c>
      <c r="K1685" s="160" t="s">
        <v>2232</v>
      </c>
      <c r="L1685" s="107"/>
      <c r="M1685" s="49" t="s">
        <v>2233</v>
      </c>
      <c r="N1685" s="73">
        <v>43987</v>
      </c>
      <c r="O1685" s="107" t="s">
        <v>503</v>
      </c>
      <c r="P1685" s="164">
        <v>5800</v>
      </c>
      <c r="Q1685" s="164">
        <v>-1</v>
      </c>
      <c r="R1685" s="118">
        <f t="shared" si="41"/>
        <v>-5800</v>
      </c>
      <c r="S1685" s="115">
        <v>202304</v>
      </c>
      <c r="T1685" s="119" t="s">
        <v>2244</v>
      </c>
      <c r="U1685" s="166"/>
      <c r="V1685" s="165"/>
      <c r="W1685" s="165"/>
      <c r="X1685" s="116">
        <v>43709</v>
      </c>
      <c r="Y1685" s="116">
        <v>45900</v>
      </c>
    </row>
    <row r="1686" s="85" customFormat="1" customHeight="1" spans="1:25">
      <c r="A1686" s="160" t="s">
        <v>444</v>
      </c>
      <c r="B1686" s="98" t="s">
        <v>62</v>
      </c>
      <c r="C1686" s="98" t="s">
        <v>238</v>
      </c>
      <c r="D1686" s="98" t="s">
        <v>642</v>
      </c>
      <c r="E1686" s="162" t="s">
        <v>2229</v>
      </c>
      <c r="F1686" s="160" t="s">
        <v>2230</v>
      </c>
      <c r="G1686" s="107" t="s">
        <v>88</v>
      </c>
      <c r="H1686" s="99" t="s">
        <v>2231</v>
      </c>
      <c r="I1686" s="46" t="e">
        <f>VLOOKUP(H1686,'合同高级查询数据-4月返'!A:A,1,FALSE)</f>
        <v>#N/A</v>
      </c>
      <c r="J1686" s="47" t="s">
        <v>90</v>
      </c>
      <c r="K1686" s="160" t="s">
        <v>2232</v>
      </c>
      <c r="L1686" s="107"/>
      <c r="M1686" s="49" t="s">
        <v>2233</v>
      </c>
      <c r="N1686" s="73">
        <v>43992</v>
      </c>
      <c r="O1686" s="107" t="s">
        <v>503</v>
      </c>
      <c r="P1686" s="164">
        <v>5800</v>
      </c>
      <c r="Q1686" s="164">
        <v>1</v>
      </c>
      <c r="R1686" s="118">
        <f t="shared" si="41"/>
        <v>5800</v>
      </c>
      <c r="S1686" s="115">
        <v>202304</v>
      </c>
      <c r="T1686" s="119" t="s">
        <v>2245</v>
      </c>
      <c r="U1686" s="166"/>
      <c r="V1686" s="165"/>
      <c r="W1686" s="165"/>
      <c r="X1686" s="116">
        <v>43709</v>
      </c>
      <c r="Y1686" s="116">
        <v>45900</v>
      </c>
    </row>
    <row r="1687" s="85" customFormat="1" customHeight="1" spans="1:25">
      <c r="A1687" s="160" t="s">
        <v>444</v>
      </c>
      <c r="B1687" s="98" t="s">
        <v>62</v>
      </c>
      <c r="C1687" s="98" t="s">
        <v>238</v>
      </c>
      <c r="D1687" s="98" t="s">
        <v>642</v>
      </c>
      <c r="E1687" s="162" t="s">
        <v>2229</v>
      </c>
      <c r="F1687" s="160" t="s">
        <v>2230</v>
      </c>
      <c r="G1687" s="107" t="s">
        <v>88</v>
      </c>
      <c r="H1687" s="99" t="s">
        <v>2231</v>
      </c>
      <c r="I1687" s="46" t="e">
        <f>VLOOKUP(H1687,'合同高级查询数据-4月返'!A:A,1,FALSE)</f>
        <v>#N/A</v>
      </c>
      <c r="J1687" s="47" t="s">
        <v>90</v>
      </c>
      <c r="K1687" s="160" t="s">
        <v>2232</v>
      </c>
      <c r="L1687" s="107"/>
      <c r="M1687" s="49" t="s">
        <v>2233</v>
      </c>
      <c r="N1687" s="73">
        <v>44011</v>
      </c>
      <c r="O1687" s="107" t="s">
        <v>503</v>
      </c>
      <c r="P1687" s="164">
        <v>5800</v>
      </c>
      <c r="Q1687" s="164">
        <v>1</v>
      </c>
      <c r="R1687" s="118">
        <f t="shared" si="41"/>
        <v>5800</v>
      </c>
      <c r="S1687" s="115">
        <v>202304</v>
      </c>
      <c r="T1687" s="119" t="s">
        <v>2246</v>
      </c>
      <c r="U1687" s="166"/>
      <c r="V1687" s="165"/>
      <c r="W1687" s="165"/>
      <c r="X1687" s="116">
        <v>43709</v>
      </c>
      <c r="Y1687" s="116">
        <v>45900</v>
      </c>
    </row>
    <row r="1688" s="85" customFormat="1" customHeight="1" spans="1:25">
      <c r="A1688" s="160" t="s">
        <v>444</v>
      </c>
      <c r="B1688" s="98" t="s">
        <v>62</v>
      </c>
      <c r="C1688" s="98" t="s">
        <v>238</v>
      </c>
      <c r="D1688" s="98" t="s">
        <v>642</v>
      </c>
      <c r="E1688" s="162" t="s">
        <v>2229</v>
      </c>
      <c r="F1688" s="160" t="s">
        <v>2230</v>
      </c>
      <c r="G1688" s="107" t="s">
        <v>88</v>
      </c>
      <c r="H1688" s="99" t="s">
        <v>2231</v>
      </c>
      <c r="I1688" s="46" t="e">
        <f>VLOOKUP(H1688,'合同高级查询数据-4月返'!A:A,1,FALSE)</f>
        <v>#N/A</v>
      </c>
      <c r="J1688" s="47" t="s">
        <v>90</v>
      </c>
      <c r="K1688" s="160" t="s">
        <v>2232</v>
      </c>
      <c r="L1688" s="107"/>
      <c r="M1688" s="49" t="s">
        <v>2233</v>
      </c>
      <c r="N1688" s="73">
        <v>43981</v>
      </c>
      <c r="O1688" s="107" t="s">
        <v>503</v>
      </c>
      <c r="P1688" s="164">
        <v>5800</v>
      </c>
      <c r="Q1688" s="164">
        <v>5</v>
      </c>
      <c r="R1688" s="118">
        <f t="shared" si="41"/>
        <v>29000</v>
      </c>
      <c r="S1688" s="115">
        <v>202304</v>
      </c>
      <c r="T1688" s="119" t="s">
        <v>2247</v>
      </c>
      <c r="U1688" s="166"/>
      <c r="V1688" s="165"/>
      <c r="W1688" s="165"/>
      <c r="X1688" s="116">
        <v>43709</v>
      </c>
      <c r="Y1688" s="116">
        <v>45900</v>
      </c>
    </row>
    <row r="1689" s="85" customFormat="1" customHeight="1" spans="1:25">
      <c r="A1689" s="160" t="s">
        <v>444</v>
      </c>
      <c r="B1689" s="98" t="s">
        <v>62</v>
      </c>
      <c r="C1689" s="98" t="s">
        <v>238</v>
      </c>
      <c r="D1689" s="98" t="s">
        <v>642</v>
      </c>
      <c r="E1689" s="162" t="s">
        <v>2229</v>
      </c>
      <c r="F1689" s="160" t="s">
        <v>2230</v>
      </c>
      <c r="G1689" s="107" t="s">
        <v>88</v>
      </c>
      <c r="H1689" s="99" t="s">
        <v>2231</v>
      </c>
      <c r="I1689" s="46" t="e">
        <f>VLOOKUP(H1689,'合同高级查询数据-4月返'!A:A,1,FALSE)</f>
        <v>#N/A</v>
      </c>
      <c r="J1689" s="47" t="s">
        <v>90</v>
      </c>
      <c r="K1689" s="160" t="s">
        <v>2232</v>
      </c>
      <c r="L1689" s="107"/>
      <c r="M1689" s="49" t="s">
        <v>2233</v>
      </c>
      <c r="N1689" s="73">
        <v>44019</v>
      </c>
      <c r="O1689" s="107" t="s">
        <v>503</v>
      </c>
      <c r="P1689" s="164">
        <v>5800</v>
      </c>
      <c r="Q1689" s="164">
        <v>3</v>
      </c>
      <c r="R1689" s="118">
        <f t="shared" ref="R1689:R1752" si="42">ROUND(P1689*Q1689,2)</f>
        <v>17400</v>
      </c>
      <c r="S1689" s="115">
        <v>202304</v>
      </c>
      <c r="T1689" s="119" t="s">
        <v>2248</v>
      </c>
      <c r="U1689" s="166"/>
      <c r="V1689" s="165"/>
      <c r="W1689" s="165"/>
      <c r="X1689" s="116">
        <v>43709</v>
      </c>
      <c r="Y1689" s="116">
        <v>45900</v>
      </c>
    </row>
    <row r="1690" s="85" customFormat="1" customHeight="1" spans="1:25">
      <c r="A1690" s="160" t="s">
        <v>444</v>
      </c>
      <c r="B1690" s="98" t="s">
        <v>62</v>
      </c>
      <c r="C1690" s="98" t="s">
        <v>238</v>
      </c>
      <c r="D1690" s="98" t="s">
        <v>642</v>
      </c>
      <c r="E1690" s="162" t="s">
        <v>2229</v>
      </c>
      <c r="F1690" s="160" t="s">
        <v>2230</v>
      </c>
      <c r="G1690" s="107" t="s">
        <v>88</v>
      </c>
      <c r="H1690" s="99" t="s">
        <v>2231</v>
      </c>
      <c r="I1690" s="46" t="e">
        <f>VLOOKUP(H1690,'合同高级查询数据-4月返'!A:A,1,FALSE)</f>
        <v>#N/A</v>
      </c>
      <c r="J1690" s="47" t="s">
        <v>90</v>
      </c>
      <c r="K1690" s="160" t="s">
        <v>2232</v>
      </c>
      <c r="L1690" s="107"/>
      <c r="M1690" s="49" t="s">
        <v>2233</v>
      </c>
      <c r="N1690" s="73">
        <v>44023</v>
      </c>
      <c r="O1690" s="107" t="s">
        <v>503</v>
      </c>
      <c r="P1690" s="164">
        <v>5800</v>
      </c>
      <c r="Q1690" s="164">
        <v>7</v>
      </c>
      <c r="R1690" s="118">
        <f t="shared" si="42"/>
        <v>40600</v>
      </c>
      <c r="S1690" s="115">
        <v>202304</v>
      </c>
      <c r="T1690" s="119" t="s">
        <v>2249</v>
      </c>
      <c r="U1690" s="166"/>
      <c r="V1690" s="165"/>
      <c r="W1690" s="165"/>
      <c r="X1690" s="116">
        <v>43709</v>
      </c>
      <c r="Y1690" s="116">
        <v>45900</v>
      </c>
    </row>
    <row r="1691" s="85" customFormat="1" customHeight="1" spans="1:25">
      <c r="A1691" s="160" t="s">
        <v>444</v>
      </c>
      <c r="B1691" s="98" t="s">
        <v>62</v>
      </c>
      <c r="C1691" s="98" t="s">
        <v>238</v>
      </c>
      <c r="D1691" s="98" t="s">
        <v>642</v>
      </c>
      <c r="E1691" s="162" t="s">
        <v>2229</v>
      </c>
      <c r="F1691" s="160" t="s">
        <v>2230</v>
      </c>
      <c r="G1691" s="107" t="s">
        <v>88</v>
      </c>
      <c r="H1691" s="99" t="s">
        <v>2231</v>
      </c>
      <c r="I1691" s="46" t="e">
        <f>VLOOKUP(H1691,'合同高级查询数据-4月返'!A:A,1,FALSE)</f>
        <v>#N/A</v>
      </c>
      <c r="J1691" s="47" t="s">
        <v>90</v>
      </c>
      <c r="K1691" s="160" t="s">
        <v>2232</v>
      </c>
      <c r="L1691" s="107"/>
      <c r="M1691" s="49" t="s">
        <v>2233</v>
      </c>
      <c r="N1691" s="73">
        <v>44025</v>
      </c>
      <c r="O1691" s="107" t="s">
        <v>503</v>
      </c>
      <c r="P1691" s="164">
        <v>5800</v>
      </c>
      <c r="Q1691" s="164">
        <v>63</v>
      </c>
      <c r="R1691" s="118">
        <f t="shared" si="42"/>
        <v>365400</v>
      </c>
      <c r="S1691" s="115">
        <v>202304</v>
      </c>
      <c r="T1691" s="119" t="s">
        <v>2250</v>
      </c>
      <c r="U1691" s="166"/>
      <c r="V1691" s="165"/>
      <c r="W1691" s="165"/>
      <c r="X1691" s="116">
        <v>43709</v>
      </c>
      <c r="Y1691" s="116">
        <v>45900</v>
      </c>
    </row>
    <row r="1692" s="85" customFormat="1" customHeight="1" spans="1:25">
      <c r="A1692" s="160" t="s">
        <v>444</v>
      </c>
      <c r="B1692" s="98" t="s">
        <v>62</v>
      </c>
      <c r="C1692" s="98" t="s">
        <v>238</v>
      </c>
      <c r="D1692" s="98" t="s">
        <v>642</v>
      </c>
      <c r="E1692" s="162" t="s">
        <v>2229</v>
      </c>
      <c r="F1692" s="160" t="s">
        <v>2230</v>
      </c>
      <c r="G1692" s="107" t="s">
        <v>88</v>
      </c>
      <c r="H1692" s="99" t="s">
        <v>2231</v>
      </c>
      <c r="I1692" s="46" t="e">
        <f>VLOOKUP(H1692,'合同高级查询数据-4月返'!A:A,1,FALSE)</f>
        <v>#N/A</v>
      </c>
      <c r="J1692" s="47" t="s">
        <v>90</v>
      </c>
      <c r="K1692" s="160" t="s">
        <v>2232</v>
      </c>
      <c r="L1692" s="107"/>
      <c r="M1692" s="49" t="s">
        <v>2233</v>
      </c>
      <c r="N1692" s="73">
        <v>44026</v>
      </c>
      <c r="O1692" s="107" t="s">
        <v>503</v>
      </c>
      <c r="P1692" s="164">
        <v>5800</v>
      </c>
      <c r="Q1692" s="164">
        <v>149</v>
      </c>
      <c r="R1692" s="118">
        <f t="shared" si="42"/>
        <v>864200</v>
      </c>
      <c r="S1692" s="115">
        <v>202304</v>
      </c>
      <c r="T1692" s="119" t="s">
        <v>2251</v>
      </c>
      <c r="U1692" s="166"/>
      <c r="V1692" s="165"/>
      <c r="W1692" s="165"/>
      <c r="X1692" s="116">
        <v>43709</v>
      </c>
      <c r="Y1692" s="116">
        <v>45900</v>
      </c>
    </row>
    <row r="1693" s="85" customFormat="1" customHeight="1" spans="1:25">
      <c r="A1693" s="160" t="s">
        <v>444</v>
      </c>
      <c r="B1693" s="98" t="s">
        <v>62</v>
      </c>
      <c r="C1693" s="98" t="s">
        <v>238</v>
      </c>
      <c r="D1693" s="98" t="s">
        <v>642</v>
      </c>
      <c r="E1693" s="162" t="s">
        <v>2229</v>
      </c>
      <c r="F1693" s="160" t="s">
        <v>2230</v>
      </c>
      <c r="G1693" s="107" t="s">
        <v>88</v>
      </c>
      <c r="H1693" s="99" t="s">
        <v>2231</v>
      </c>
      <c r="I1693" s="46" t="e">
        <f>VLOOKUP(H1693,'合同高级查询数据-4月返'!A:A,1,FALSE)</f>
        <v>#N/A</v>
      </c>
      <c r="J1693" s="47" t="s">
        <v>90</v>
      </c>
      <c r="K1693" s="160" t="s">
        <v>2232</v>
      </c>
      <c r="L1693" s="107"/>
      <c r="M1693" s="49" t="s">
        <v>2233</v>
      </c>
      <c r="N1693" s="73">
        <v>44027</v>
      </c>
      <c r="O1693" s="107" t="s">
        <v>503</v>
      </c>
      <c r="P1693" s="164">
        <v>5800</v>
      </c>
      <c r="Q1693" s="164">
        <v>11</v>
      </c>
      <c r="R1693" s="118">
        <f t="shared" si="42"/>
        <v>63800</v>
      </c>
      <c r="S1693" s="115">
        <v>202304</v>
      </c>
      <c r="T1693" s="119" t="s">
        <v>2252</v>
      </c>
      <c r="U1693" s="166"/>
      <c r="V1693" s="165"/>
      <c r="W1693" s="165"/>
      <c r="X1693" s="116">
        <v>43709</v>
      </c>
      <c r="Y1693" s="116">
        <v>45900</v>
      </c>
    </row>
    <row r="1694" s="85" customFormat="1" customHeight="1" spans="1:25">
      <c r="A1694" s="160" t="s">
        <v>444</v>
      </c>
      <c r="B1694" s="98" t="s">
        <v>62</v>
      </c>
      <c r="C1694" s="98" t="s">
        <v>238</v>
      </c>
      <c r="D1694" s="98" t="s">
        <v>642</v>
      </c>
      <c r="E1694" s="162" t="s">
        <v>2229</v>
      </c>
      <c r="F1694" s="160" t="s">
        <v>2230</v>
      </c>
      <c r="G1694" s="107" t="s">
        <v>88</v>
      </c>
      <c r="H1694" s="99" t="s">
        <v>2231</v>
      </c>
      <c r="I1694" s="46" t="e">
        <f>VLOOKUP(H1694,'合同高级查询数据-4月返'!A:A,1,FALSE)</f>
        <v>#N/A</v>
      </c>
      <c r="J1694" s="47" t="s">
        <v>90</v>
      </c>
      <c r="K1694" s="160" t="s">
        <v>2232</v>
      </c>
      <c r="L1694" s="107"/>
      <c r="M1694" s="49" t="s">
        <v>2233</v>
      </c>
      <c r="N1694" s="73">
        <v>44028</v>
      </c>
      <c r="O1694" s="107" t="s">
        <v>503</v>
      </c>
      <c r="P1694" s="164">
        <v>5800</v>
      </c>
      <c r="Q1694" s="164">
        <v>4</v>
      </c>
      <c r="R1694" s="118">
        <f t="shared" si="42"/>
        <v>23200</v>
      </c>
      <c r="S1694" s="115">
        <v>202304</v>
      </c>
      <c r="T1694" s="119" t="s">
        <v>2253</v>
      </c>
      <c r="U1694" s="166"/>
      <c r="V1694" s="165"/>
      <c r="W1694" s="165"/>
      <c r="X1694" s="116">
        <v>43709</v>
      </c>
      <c r="Y1694" s="116">
        <v>45900</v>
      </c>
    </row>
    <row r="1695" s="85" customFormat="1" customHeight="1" spans="1:25">
      <c r="A1695" s="160" t="s">
        <v>444</v>
      </c>
      <c r="B1695" s="98" t="s">
        <v>62</v>
      </c>
      <c r="C1695" s="98" t="s">
        <v>238</v>
      </c>
      <c r="D1695" s="98" t="s">
        <v>642</v>
      </c>
      <c r="E1695" s="162" t="s">
        <v>2229</v>
      </c>
      <c r="F1695" s="160" t="s">
        <v>2230</v>
      </c>
      <c r="G1695" s="107" t="s">
        <v>88</v>
      </c>
      <c r="H1695" s="99" t="s">
        <v>2231</v>
      </c>
      <c r="I1695" s="46" t="e">
        <f>VLOOKUP(H1695,'合同高级查询数据-4月返'!A:A,1,FALSE)</f>
        <v>#N/A</v>
      </c>
      <c r="J1695" s="47" t="s">
        <v>90</v>
      </c>
      <c r="K1695" s="160" t="s">
        <v>2232</v>
      </c>
      <c r="L1695" s="107"/>
      <c r="M1695" s="49" t="s">
        <v>2233</v>
      </c>
      <c r="N1695" s="73">
        <v>44035</v>
      </c>
      <c r="O1695" s="107" t="s">
        <v>566</v>
      </c>
      <c r="P1695" s="164">
        <v>11864</v>
      </c>
      <c r="Q1695" s="164">
        <v>2</v>
      </c>
      <c r="R1695" s="118">
        <f t="shared" si="42"/>
        <v>23728</v>
      </c>
      <c r="S1695" s="115">
        <v>202304</v>
      </c>
      <c r="T1695" s="119" t="s">
        <v>2254</v>
      </c>
      <c r="U1695" s="166"/>
      <c r="V1695" s="165"/>
      <c r="W1695" s="165"/>
      <c r="X1695" s="116">
        <v>43709</v>
      </c>
      <c r="Y1695" s="116">
        <v>45900</v>
      </c>
    </row>
    <row r="1696" s="85" customFormat="1" customHeight="1" spans="1:25">
      <c r="A1696" s="160" t="s">
        <v>444</v>
      </c>
      <c r="B1696" s="98" t="s">
        <v>62</v>
      </c>
      <c r="C1696" s="98" t="s">
        <v>238</v>
      </c>
      <c r="D1696" s="98" t="s">
        <v>642</v>
      </c>
      <c r="E1696" s="162" t="s">
        <v>2229</v>
      </c>
      <c r="F1696" s="160" t="s">
        <v>2230</v>
      </c>
      <c r="G1696" s="107" t="s">
        <v>88</v>
      </c>
      <c r="H1696" s="99" t="s">
        <v>2231</v>
      </c>
      <c r="I1696" s="46" t="e">
        <f>VLOOKUP(H1696,'合同高级查询数据-4月返'!A:A,1,FALSE)</f>
        <v>#N/A</v>
      </c>
      <c r="J1696" s="47" t="s">
        <v>90</v>
      </c>
      <c r="K1696" s="160" t="s">
        <v>2232</v>
      </c>
      <c r="L1696" s="107"/>
      <c r="M1696" s="49" t="s">
        <v>2233</v>
      </c>
      <c r="N1696" s="73">
        <v>44041</v>
      </c>
      <c r="O1696" s="107" t="s">
        <v>503</v>
      </c>
      <c r="P1696" s="164">
        <v>5800</v>
      </c>
      <c r="Q1696" s="164">
        <v>-10</v>
      </c>
      <c r="R1696" s="118">
        <f t="shared" si="42"/>
        <v>-58000</v>
      </c>
      <c r="S1696" s="115">
        <v>202304</v>
      </c>
      <c r="T1696" s="119" t="s">
        <v>2255</v>
      </c>
      <c r="U1696" s="166"/>
      <c r="V1696" s="165"/>
      <c r="W1696" s="165"/>
      <c r="X1696" s="116">
        <v>43709</v>
      </c>
      <c r="Y1696" s="116">
        <v>45900</v>
      </c>
    </row>
    <row r="1697" s="85" customFormat="1" customHeight="1" spans="1:25">
      <c r="A1697" s="160" t="s">
        <v>444</v>
      </c>
      <c r="B1697" s="98" t="s">
        <v>62</v>
      </c>
      <c r="C1697" s="98" t="s">
        <v>238</v>
      </c>
      <c r="D1697" s="98" t="s">
        <v>642</v>
      </c>
      <c r="E1697" s="162" t="s">
        <v>2229</v>
      </c>
      <c r="F1697" s="160" t="s">
        <v>2230</v>
      </c>
      <c r="G1697" s="107" t="s">
        <v>88</v>
      </c>
      <c r="H1697" s="99" t="s">
        <v>2231</v>
      </c>
      <c r="I1697" s="46" t="e">
        <f>VLOOKUP(H1697,'合同高级查询数据-4月返'!A:A,1,FALSE)</f>
        <v>#N/A</v>
      </c>
      <c r="J1697" s="47" t="s">
        <v>90</v>
      </c>
      <c r="K1697" s="160" t="s">
        <v>2232</v>
      </c>
      <c r="L1697" s="107"/>
      <c r="M1697" s="49" t="s">
        <v>2256</v>
      </c>
      <c r="N1697" s="73">
        <v>44063</v>
      </c>
      <c r="O1697" s="107" t="s">
        <v>503</v>
      </c>
      <c r="P1697" s="164">
        <v>5800</v>
      </c>
      <c r="Q1697" s="164">
        <v>1</v>
      </c>
      <c r="R1697" s="118">
        <f t="shared" si="42"/>
        <v>5800</v>
      </c>
      <c r="S1697" s="115">
        <v>202304</v>
      </c>
      <c r="T1697" s="119" t="s">
        <v>2257</v>
      </c>
      <c r="U1697" s="166"/>
      <c r="V1697" s="165"/>
      <c r="W1697" s="165"/>
      <c r="X1697" s="116">
        <v>43709</v>
      </c>
      <c r="Y1697" s="116">
        <v>45900</v>
      </c>
    </row>
    <row r="1698" s="85" customFormat="1" customHeight="1" spans="1:25">
      <c r="A1698" s="160" t="s">
        <v>444</v>
      </c>
      <c r="B1698" s="98" t="s">
        <v>62</v>
      </c>
      <c r="C1698" s="98" t="s">
        <v>238</v>
      </c>
      <c r="D1698" s="98" t="s">
        <v>642</v>
      </c>
      <c r="E1698" s="162" t="s">
        <v>2229</v>
      </c>
      <c r="F1698" s="160" t="s">
        <v>2230</v>
      </c>
      <c r="G1698" s="107" t="s">
        <v>88</v>
      </c>
      <c r="H1698" s="99" t="s">
        <v>2231</v>
      </c>
      <c r="I1698" s="46" t="e">
        <f>VLOOKUP(H1698,'合同高级查询数据-4月返'!A:A,1,FALSE)</f>
        <v>#N/A</v>
      </c>
      <c r="J1698" s="47" t="s">
        <v>90</v>
      </c>
      <c r="K1698" s="160" t="s">
        <v>2232</v>
      </c>
      <c r="L1698" s="107"/>
      <c r="M1698" s="49" t="s">
        <v>2233</v>
      </c>
      <c r="N1698" s="73">
        <v>44069</v>
      </c>
      <c r="O1698" s="107" t="s">
        <v>503</v>
      </c>
      <c r="P1698" s="164">
        <v>5800</v>
      </c>
      <c r="Q1698" s="164">
        <v>31</v>
      </c>
      <c r="R1698" s="118">
        <f t="shared" si="42"/>
        <v>179800</v>
      </c>
      <c r="S1698" s="115">
        <v>202304</v>
      </c>
      <c r="T1698" s="119" t="s">
        <v>2258</v>
      </c>
      <c r="U1698" s="166"/>
      <c r="V1698" s="165"/>
      <c r="W1698" s="165"/>
      <c r="X1698" s="116">
        <v>43709</v>
      </c>
      <c r="Y1698" s="116">
        <v>45900</v>
      </c>
    </row>
    <row r="1699" s="85" customFormat="1" customHeight="1" spans="1:25">
      <c r="A1699" s="160" t="s">
        <v>444</v>
      </c>
      <c r="B1699" s="98" t="s">
        <v>62</v>
      </c>
      <c r="C1699" s="98" t="s">
        <v>238</v>
      </c>
      <c r="D1699" s="98" t="s">
        <v>642</v>
      </c>
      <c r="E1699" s="162" t="s">
        <v>2229</v>
      </c>
      <c r="F1699" s="160" t="s">
        <v>2230</v>
      </c>
      <c r="G1699" s="107" t="s">
        <v>88</v>
      </c>
      <c r="H1699" s="99" t="s">
        <v>2231</v>
      </c>
      <c r="I1699" s="46" t="e">
        <f>VLOOKUP(H1699,'合同高级查询数据-4月返'!A:A,1,FALSE)</f>
        <v>#N/A</v>
      </c>
      <c r="J1699" s="47" t="s">
        <v>90</v>
      </c>
      <c r="K1699" s="160" t="s">
        <v>2232</v>
      </c>
      <c r="L1699" s="107"/>
      <c r="M1699" s="49" t="s">
        <v>2233</v>
      </c>
      <c r="N1699" s="73">
        <v>44070</v>
      </c>
      <c r="O1699" s="107" t="s">
        <v>503</v>
      </c>
      <c r="P1699" s="164">
        <v>5800</v>
      </c>
      <c r="Q1699" s="164">
        <v>58</v>
      </c>
      <c r="R1699" s="118">
        <f t="shared" si="42"/>
        <v>336400</v>
      </c>
      <c r="S1699" s="115">
        <v>202304</v>
      </c>
      <c r="T1699" s="119" t="s">
        <v>2259</v>
      </c>
      <c r="U1699" s="166"/>
      <c r="V1699" s="165"/>
      <c r="W1699" s="165"/>
      <c r="X1699" s="116">
        <v>43709</v>
      </c>
      <c r="Y1699" s="116">
        <v>45900</v>
      </c>
    </row>
    <row r="1700" s="85" customFormat="1" customHeight="1" spans="1:25">
      <c r="A1700" s="160" t="s">
        <v>444</v>
      </c>
      <c r="B1700" s="98" t="s">
        <v>62</v>
      </c>
      <c r="C1700" s="98" t="s">
        <v>238</v>
      </c>
      <c r="D1700" s="98" t="s">
        <v>642</v>
      </c>
      <c r="E1700" s="162" t="s">
        <v>2229</v>
      </c>
      <c r="F1700" s="160" t="s">
        <v>2230</v>
      </c>
      <c r="G1700" s="107" t="s">
        <v>88</v>
      </c>
      <c r="H1700" s="99" t="s">
        <v>2231</v>
      </c>
      <c r="I1700" s="46" t="e">
        <f>VLOOKUP(H1700,'合同高级查询数据-4月返'!A:A,1,FALSE)</f>
        <v>#N/A</v>
      </c>
      <c r="J1700" s="47" t="s">
        <v>90</v>
      </c>
      <c r="K1700" s="160" t="s">
        <v>2232</v>
      </c>
      <c r="L1700" s="107"/>
      <c r="M1700" s="49" t="s">
        <v>2233</v>
      </c>
      <c r="N1700" s="73">
        <v>44013</v>
      </c>
      <c r="O1700" s="107" t="s">
        <v>600</v>
      </c>
      <c r="P1700" s="164">
        <v>200</v>
      </c>
      <c r="Q1700" s="164">
        <v>14</v>
      </c>
      <c r="R1700" s="118">
        <f t="shared" si="42"/>
        <v>2800</v>
      </c>
      <c r="S1700" s="115">
        <v>202304</v>
      </c>
      <c r="T1700" s="119" t="s">
        <v>2260</v>
      </c>
      <c r="U1700" s="166"/>
      <c r="V1700" s="165"/>
      <c r="W1700" s="165"/>
      <c r="X1700" s="116">
        <v>43709</v>
      </c>
      <c r="Y1700" s="116">
        <v>45900</v>
      </c>
    </row>
    <row r="1701" s="85" customFormat="1" customHeight="1" spans="1:25">
      <c r="A1701" s="160" t="s">
        <v>444</v>
      </c>
      <c r="B1701" s="98" t="s">
        <v>62</v>
      </c>
      <c r="C1701" s="98" t="s">
        <v>238</v>
      </c>
      <c r="D1701" s="98" t="s">
        <v>642</v>
      </c>
      <c r="E1701" s="162" t="s">
        <v>2229</v>
      </c>
      <c r="F1701" s="160" t="s">
        <v>2230</v>
      </c>
      <c r="G1701" s="107" t="s">
        <v>88</v>
      </c>
      <c r="H1701" s="99" t="s">
        <v>2231</v>
      </c>
      <c r="I1701" s="46" t="e">
        <f>VLOOKUP(H1701,'合同高级查询数据-4月返'!A:A,1,FALSE)</f>
        <v>#N/A</v>
      </c>
      <c r="J1701" s="47" t="s">
        <v>90</v>
      </c>
      <c r="K1701" s="160" t="s">
        <v>2232</v>
      </c>
      <c r="L1701" s="107"/>
      <c r="M1701" s="49" t="s">
        <v>2256</v>
      </c>
      <c r="N1701" s="73">
        <v>44089</v>
      </c>
      <c r="O1701" s="107" t="s">
        <v>503</v>
      </c>
      <c r="P1701" s="164">
        <v>5800</v>
      </c>
      <c r="Q1701" s="164">
        <v>1</v>
      </c>
      <c r="R1701" s="118">
        <f t="shared" si="42"/>
        <v>5800</v>
      </c>
      <c r="S1701" s="115">
        <v>202304</v>
      </c>
      <c r="T1701" s="119" t="s">
        <v>2261</v>
      </c>
      <c r="U1701" s="166"/>
      <c r="V1701" s="165"/>
      <c r="W1701" s="165"/>
      <c r="X1701" s="116">
        <v>43709</v>
      </c>
      <c r="Y1701" s="116">
        <v>45900</v>
      </c>
    </row>
    <row r="1702" s="85" customFormat="1" customHeight="1" spans="1:25">
      <c r="A1702" s="160" t="s">
        <v>444</v>
      </c>
      <c r="B1702" s="98" t="s">
        <v>62</v>
      </c>
      <c r="C1702" s="98" t="s">
        <v>238</v>
      </c>
      <c r="D1702" s="98" t="s">
        <v>642</v>
      </c>
      <c r="E1702" s="162" t="s">
        <v>2229</v>
      </c>
      <c r="F1702" s="160" t="s">
        <v>2230</v>
      </c>
      <c r="G1702" s="107" t="s">
        <v>88</v>
      </c>
      <c r="H1702" s="99" t="s">
        <v>2231</v>
      </c>
      <c r="I1702" s="46" t="e">
        <f>VLOOKUP(H1702,'合同高级查询数据-4月返'!A:A,1,FALSE)</f>
        <v>#N/A</v>
      </c>
      <c r="J1702" s="47" t="s">
        <v>90</v>
      </c>
      <c r="K1702" s="160" t="s">
        <v>2232</v>
      </c>
      <c r="L1702" s="107"/>
      <c r="M1702" s="49" t="s">
        <v>2233</v>
      </c>
      <c r="N1702" s="73">
        <v>44084</v>
      </c>
      <c r="O1702" s="107" t="s">
        <v>503</v>
      </c>
      <c r="P1702" s="164">
        <v>5800</v>
      </c>
      <c r="Q1702" s="164">
        <v>15</v>
      </c>
      <c r="R1702" s="118">
        <f t="shared" si="42"/>
        <v>87000</v>
      </c>
      <c r="S1702" s="115">
        <v>202304</v>
      </c>
      <c r="T1702" s="119" t="s">
        <v>2262</v>
      </c>
      <c r="U1702" s="166"/>
      <c r="V1702" s="165"/>
      <c r="W1702" s="165"/>
      <c r="X1702" s="116">
        <v>43709</v>
      </c>
      <c r="Y1702" s="116">
        <v>45900</v>
      </c>
    </row>
    <row r="1703" s="85" customFormat="1" customHeight="1" spans="1:25">
      <c r="A1703" s="160" t="s">
        <v>444</v>
      </c>
      <c r="B1703" s="98" t="s">
        <v>62</v>
      </c>
      <c r="C1703" s="98" t="s">
        <v>238</v>
      </c>
      <c r="D1703" s="98" t="s">
        <v>642</v>
      </c>
      <c r="E1703" s="162" t="s">
        <v>2229</v>
      </c>
      <c r="F1703" s="160" t="s">
        <v>2230</v>
      </c>
      <c r="G1703" s="107" t="s">
        <v>88</v>
      </c>
      <c r="H1703" s="99" t="s">
        <v>2231</v>
      </c>
      <c r="I1703" s="46" t="e">
        <f>VLOOKUP(H1703,'合同高级查询数据-4月返'!A:A,1,FALSE)</f>
        <v>#N/A</v>
      </c>
      <c r="J1703" s="47" t="s">
        <v>90</v>
      </c>
      <c r="K1703" s="160" t="s">
        <v>2232</v>
      </c>
      <c r="L1703" s="107"/>
      <c r="M1703" s="49" t="s">
        <v>2233</v>
      </c>
      <c r="N1703" s="73">
        <v>44089</v>
      </c>
      <c r="O1703" s="107" t="s">
        <v>503</v>
      </c>
      <c r="P1703" s="164">
        <v>5800</v>
      </c>
      <c r="Q1703" s="164">
        <v>15</v>
      </c>
      <c r="R1703" s="118">
        <f t="shared" si="42"/>
        <v>87000</v>
      </c>
      <c r="S1703" s="115">
        <v>202304</v>
      </c>
      <c r="T1703" s="119" t="s">
        <v>2263</v>
      </c>
      <c r="U1703" s="166"/>
      <c r="V1703" s="165"/>
      <c r="W1703" s="165"/>
      <c r="X1703" s="116">
        <v>43709</v>
      </c>
      <c r="Y1703" s="116">
        <v>45900</v>
      </c>
    </row>
    <row r="1704" s="85" customFormat="1" customHeight="1" spans="1:25">
      <c r="A1704" s="160" t="s">
        <v>444</v>
      </c>
      <c r="B1704" s="98" t="s">
        <v>62</v>
      </c>
      <c r="C1704" s="98" t="s">
        <v>238</v>
      </c>
      <c r="D1704" s="98" t="s">
        <v>642</v>
      </c>
      <c r="E1704" s="162" t="s">
        <v>2229</v>
      </c>
      <c r="F1704" s="160" t="s">
        <v>2230</v>
      </c>
      <c r="G1704" s="107" t="s">
        <v>88</v>
      </c>
      <c r="H1704" s="99" t="s">
        <v>2231</v>
      </c>
      <c r="I1704" s="46" t="e">
        <f>VLOOKUP(H1704,'合同高级查询数据-4月返'!A:A,1,FALSE)</f>
        <v>#N/A</v>
      </c>
      <c r="J1704" s="47" t="s">
        <v>90</v>
      </c>
      <c r="K1704" s="160" t="s">
        <v>2232</v>
      </c>
      <c r="L1704" s="107"/>
      <c r="M1704" s="49" t="s">
        <v>2233</v>
      </c>
      <c r="N1704" s="73">
        <v>44092</v>
      </c>
      <c r="O1704" s="107" t="s">
        <v>503</v>
      </c>
      <c r="P1704" s="164">
        <v>5800</v>
      </c>
      <c r="Q1704" s="164">
        <v>314</v>
      </c>
      <c r="R1704" s="118">
        <f t="shared" si="42"/>
        <v>1821200</v>
      </c>
      <c r="S1704" s="115">
        <v>202304</v>
      </c>
      <c r="T1704" s="119" t="s">
        <v>2264</v>
      </c>
      <c r="U1704" s="166"/>
      <c r="V1704" s="165"/>
      <c r="W1704" s="165"/>
      <c r="X1704" s="116">
        <v>43709</v>
      </c>
      <c r="Y1704" s="116">
        <v>45900</v>
      </c>
    </row>
    <row r="1705" s="85" customFormat="1" customHeight="1" spans="1:25">
      <c r="A1705" s="160" t="s">
        <v>444</v>
      </c>
      <c r="B1705" s="98" t="s">
        <v>62</v>
      </c>
      <c r="C1705" s="98" t="s">
        <v>238</v>
      </c>
      <c r="D1705" s="98" t="s">
        <v>642</v>
      </c>
      <c r="E1705" s="162" t="s">
        <v>2229</v>
      </c>
      <c r="F1705" s="160" t="s">
        <v>2230</v>
      </c>
      <c r="G1705" s="107" t="s">
        <v>88</v>
      </c>
      <c r="H1705" s="99" t="s">
        <v>2231</v>
      </c>
      <c r="I1705" s="46" t="e">
        <f>VLOOKUP(H1705,'合同高级查询数据-4月返'!A:A,1,FALSE)</f>
        <v>#N/A</v>
      </c>
      <c r="J1705" s="47" t="s">
        <v>90</v>
      </c>
      <c r="K1705" s="160" t="s">
        <v>2232</v>
      </c>
      <c r="L1705" s="107"/>
      <c r="M1705" s="49" t="s">
        <v>2233</v>
      </c>
      <c r="N1705" s="73">
        <v>44089</v>
      </c>
      <c r="O1705" s="107" t="s">
        <v>503</v>
      </c>
      <c r="P1705" s="164">
        <v>5800</v>
      </c>
      <c r="Q1705" s="164">
        <v>23</v>
      </c>
      <c r="R1705" s="118">
        <f t="shared" si="42"/>
        <v>133400</v>
      </c>
      <c r="S1705" s="115">
        <v>202304</v>
      </c>
      <c r="T1705" s="119" t="s">
        <v>2265</v>
      </c>
      <c r="U1705" s="166"/>
      <c r="V1705" s="165"/>
      <c r="W1705" s="165"/>
      <c r="X1705" s="116">
        <v>43709</v>
      </c>
      <c r="Y1705" s="116">
        <v>45900</v>
      </c>
    </row>
    <row r="1706" s="85" customFormat="1" customHeight="1" spans="1:25">
      <c r="A1706" s="160" t="s">
        <v>444</v>
      </c>
      <c r="B1706" s="98" t="s">
        <v>62</v>
      </c>
      <c r="C1706" s="98" t="s">
        <v>238</v>
      </c>
      <c r="D1706" s="98" t="s">
        <v>642</v>
      </c>
      <c r="E1706" s="162" t="s">
        <v>2229</v>
      </c>
      <c r="F1706" s="160" t="s">
        <v>2230</v>
      </c>
      <c r="G1706" s="107" t="s">
        <v>88</v>
      </c>
      <c r="H1706" s="99" t="s">
        <v>2231</v>
      </c>
      <c r="I1706" s="46" t="e">
        <f>VLOOKUP(H1706,'合同高级查询数据-4月返'!A:A,1,FALSE)</f>
        <v>#N/A</v>
      </c>
      <c r="J1706" s="47" t="s">
        <v>90</v>
      </c>
      <c r="K1706" s="160" t="s">
        <v>2232</v>
      </c>
      <c r="L1706" s="107"/>
      <c r="M1706" s="49" t="s">
        <v>2233</v>
      </c>
      <c r="N1706" s="73">
        <v>44090</v>
      </c>
      <c r="O1706" s="107" t="s">
        <v>503</v>
      </c>
      <c r="P1706" s="164">
        <v>5800</v>
      </c>
      <c r="Q1706" s="164">
        <v>21</v>
      </c>
      <c r="R1706" s="118">
        <f t="shared" si="42"/>
        <v>121800</v>
      </c>
      <c r="S1706" s="115">
        <v>202304</v>
      </c>
      <c r="T1706" s="119" t="s">
        <v>2266</v>
      </c>
      <c r="U1706" s="166"/>
      <c r="V1706" s="165"/>
      <c r="W1706" s="165"/>
      <c r="X1706" s="116">
        <v>43709</v>
      </c>
      <c r="Y1706" s="116">
        <v>45900</v>
      </c>
    </row>
    <row r="1707" s="85" customFormat="1" customHeight="1" spans="1:25">
      <c r="A1707" s="160" t="s">
        <v>444</v>
      </c>
      <c r="B1707" s="98" t="s">
        <v>62</v>
      </c>
      <c r="C1707" s="98" t="s">
        <v>238</v>
      </c>
      <c r="D1707" s="98" t="s">
        <v>642</v>
      </c>
      <c r="E1707" s="162" t="s">
        <v>2229</v>
      </c>
      <c r="F1707" s="160" t="s">
        <v>2230</v>
      </c>
      <c r="G1707" s="107" t="s">
        <v>88</v>
      </c>
      <c r="H1707" s="99" t="s">
        <v>2231</v>
      </c>
      <c r="I1707" s="46" t="e">
        <f>VLOOKUP(H1707,'合同高级查询数据-4月返'!A:A,1,FALSE)</f>
        <v>#N/A</v>
      </c>
      <c r="J1707" s="47" t="s">
        <v>90</v>
      </c>
      <c r="K1707" s="160" t="s">
        <v>2232</v>
      </c>
      <c r="L1707" s="107"/>
      <c r="M1707" s="49" t="s">
        <v>2233</v>
      </c>
      <c r="N1707" s="73">
        <v>44092</v>
      </c>
      <c r="O1707" s="107" t="s">
        <v>503</v>
      </c>
      <c r="P1707" s="164">
        <v>5800</v>
      </c>
      <c r="Q1707" s="164">
        <v>60</v>
      </c>
      <c r="R1707" s="118">
        <f t="shared" si="42"/>
        <v>348000</v>
      </c>
      <c r="S1707" s="115">
        <v>202304</v>
      </c>
      <c r="T1707" s="119" t="s">
        <v>2267</v>
      </c>
      <c r="U1707" s="166"/>
      <c r="V1707" s="165"/>
      <c r="W1707" s="165"/>
      <c r="X1707" s="116">
        <v>43709</v>
      </c>
      <c r="Y1707" s="116">
        <v>45900</v>
      </c>
    </row>
    <row r="1708" s="85" customFormat="1" customHeight="1" spans="1:25">
      <c r="A1708" s="160" t="s">
        <v>444</v>
      </c>
      <c r="B1708" s="98" t="s">
        <v>62</v>
      </c>
      <c r="C1708" s="98" t="s">
        <v>238</v>
      </c>
      <c r="D1708" s="98" t="s">
        <v>642</v>
      </c>
      <c r="E1708" s="162" t="s">
        <v>2229</v>
      </c>
      <c r="F1708" s="160" t="s">
        <v>2230</v>
      </c>
      <c r="G1708" s="107" t="s">
        <v>88</v>
      </c>
      <c r="H1708" s="99" t="s">
        <v>2231</v>
      </c>
      <c r="I1708" s="46" t="e">
        <f>VLOOKUP(H1708,'合同高级查询数据-4月返'!A:A,1,FALSE)</f>
        <v>#N/A</v>
      </c>
      <c r="J1708" s="47" t="s">
        <v>90</v>
      </c>
      <c r="K1708" s="160" t="s">
        <v>2232</v>
      </c>
      <c r="L1708" s="107"/>
      <c r="M1708" s="49" t="s">
        <v>2233</v>
      </c>
      <c r="N1708" s="73">
        <v>44093</v>
      </c>
      <c r="O1708" s="107" t="s">
        <v>503</v>
      </c>
      <c r="P1708" s="164">
        <v>5800</v>
      </c>
      <c r="Q1708" s="164">
        <v>192</v>
      </c>
      <c r="R1708" s="118">
        <f t="shared" si="42"/>
        <v>1113600</v>
      </c>
      <c r="S1708" s="115">
        <v>202304</v>
      </c>
      <c r="T1708" s="119" t="s">
        <v>2268</v>
      </c>
      <c r="U1708" s="166"/>
      <c r="V1708" s="165"/>
      <c r="W1708" s="165"/>
      <c r="X1708" s="116">
        <v>43709</v>
      </c>
      <c r="Y1708" s="116">
        <v>45900</v>
      </c>
    </row>
    <row r="1709" s="85" customFormat="1" customHeight="1" spans="1:25">
      <c r="A1709" s="160" t="s">
        <v>444</v>
      </c>
      <c r="B1709" s="98" t="s">
        <v>62</v>
      </c>
      <c r="C1709" s="98" t="s">
        <v>238</v>
      </c>
      <c r="D1709" s="98" t="s">
        <v>642</v>
      </c>
      <c r="E1709" s="162" t="s">
        <v>2229</v>
      </c>
      <c r="F1709" s="160" t="s">
        <v>2230</v>
      </c>
      <c r="G1709" s="107" t="s">
        <v>88</v>
      </c>
      <c r="H1709" s="99" t="s">
        <v>2231</v>
      </c>
      <c r="I1709" s="46" t="e">
        <f>VLOOKUP(H1709,'合同高级查询数据-4月返'!A:A,1,FALSE)</f>
        <v>#N/A</v>
      </c>
      <c r="J1709" s="47" t="s">
        <v>90</v>
      </c>
      <c r="K1709" s="160" t="s">
        <v>2232</v>
      </c>
      <c r="L1709" s="107"/>
      <c r="M1709" s="49" t="s">
        <v>2233</v>
      </c>
      <c r="N1709" s="73">
        <v>44096</v>
      </c>
      <c r="O1709" s="107" t="s">
        <v>503</v>
      </c>
      <c r="P1709" s="164">
        <v>5800</v>
      </c>
      <c r="Q1709" s="164">
        <v>-1</v>
      </c>
      <c r="R1709" s="118">
        <f t="shared" si="42"/>
        <v>-5800</v>
      </c>
      <c r="S1709" s="115">
        <v>202304</v>
      </c>
      <c r="T1709" s="119" t="s">
        <v>2269</v>
      </c>
      <c r="U1709" s="166"/>
      <c r="V1709" s="165"/>
      <c r="W1709" s="165"/>
      <c r="X1709" s="116">
        <v>43709</v>
      </c>
      <c r="Y1709" s="116">
        <v>45900</v>
      </c>
    </row>
    <row r="1710" s="85" customFormat="1" customHeight="1" spans="1:25">
      <c r="A1710" s="160" t="s">
        <v>444</v>
      </c>
      <c r="B1710" s="98" t="s">
        <v>62</v>
      </c>
      <c r="C1710" s="98" t="s">
        <v>238</v>
      </c>
      <c r="D1710" s="98" t="s">
        <v>642</v>
      </c>
      <c r="E1710" s="162" t="s">
        <v>2229</v>
      </c>
      <c r="F1710" s="160" t="s">
        <v>2230</v>
      </c>
      <c r="G1710" s="107" t="s">
        <v>88</v>
      </c>
      <c r="H1710" s="99" t="s">
        <v>2231</v>
      </c>
      <c r="I1710" s="46" t="e">
        <f>VLOOKUP(H1710,'合同高级查询数据-4月返'!A:A,1,FALSE)</f>
        <v>#N/A</v>
      </c>
      <c r="J1710" s="47" t="s">
        <v>90</v>
      </c>
      <c r="K1710" s="160" t="s">
        <v>2232</v>
      </c>
      <c r="L1710" s="107"/>
      <c r="M1710" s="49" t="s">
        <v>2256</v>
      </c>
      <c r="N1710" s="73">
        <v>44101</v>
      </c>
      <c r="O1710" s="107" t="s">
        <v>503</v>
      </c>
      <c r="P1710" s="164">
        <v>5800</v>
      </c>
      <c r="Q1710" s="164">
        <v>2</v>
      </c>
      <c r="R1710" s="118">
        <f t="shared" si="42"/>
        <v>11600</v>
      </c>
      <c r="S1710" s="115">
        <v>202304</v>
      </c>
      <c r="T1710" s="119" t="s">
        <v>2270</v>
      </c>
      <c r="U1710" s="166"/>
      <c r="V1710" s="165"/>
      <c r="W1710" s="165"/>
      <c r="X1710" s="116">
        <v>43709</v>
      </c>
      <c r="Y1710" s="116">
        <v>45900</v>
      </c>
    </row>
    <row r="1711" s="85" customFormat="1" customHeight="1" spans="1:25">
      <c r="A1711" s="160" t="s">
        <v>444</v>
      </c>
      <c r="B1711" s="98" t="s">
        <v>62</v>
      </c>
      <c r="C1711" s="98" t="s">
        <v>238</v>
      </c>
      <c r="D1711" s="98" t="s">
        <v>642</v>
      </c>
      <c r="E1711" s="162" t="s">
        <v>2229</v>
      </c>
      <c r="F1711" s="160" t="s">
        <v>2230</v>
      </c>
      <c r="G1711" s="107" t="s">
        <v>88</v>
      </c>
      <c r="H1711" s="99" t="s">
        <v>2231</v>
      </c>
      <c r="I1711" s="46" t="e">
        <f>VLOOKUP(H1711,'合同高级查询数据-4月返'!A:A,1,FALSE)</f>
        <v>#N/A</v>
      </c>
      <c r="J1711" s="47" t="s">
        <v>90</v>
      </c>
      <c r="K1711" s="160" t="s">
        <v>2232</v>
      </c>
      <c r="L1711" s="107"/>
      <c r="M1711" s="49" t="s">
        <v>2233</v>
      </c>
      <c r="N1711" s="73">
        <v>44089</v>
      </c>
      <c r="O1711" s="107" t="s">
        <v>503</v>
      </c>
      <c r="P1711" s="164">
        <v>5800</v>
      </c>
      <c r="Q1711" s="164">
        <v>17</v>
      </c>
      <c r="R1711" s="118">
        <f t="shared" si="42"/>
        <v>98600</v>
      </c>
      <c r="S1711" s="115">
        <v>202304</v>
      </c>
      <c r="T1711" s="119" t="s">
        <v>2271</v>
      </c>
      <c r="U1711" s="166"/>
      <c r="V1711" s="165"/>
      <c r="W1711" s="165"/>
      <c r="X1711" s="116">
        <v>43709</v>
      </c>
      <c r="Y1711" s="116">
        <v>45900</v>
      </c>
    </row>
    <row r="1712" s="85" customFormat="1" customHeight="1" spans="1:25">
      <c r="A1712" s="160" t="s">
        <v>444</v>
      </c>
      <c r="B1712" s="98" t="s">
        <v>62</v>
      </c>
      <c r="C1712" s="98" t="s">
        <v>238</v>
      </c>
      <c r="D1712" s="98" t="s">
        <v>642</v>
      </c>
      <c r="E1712" s="162" t="s">
        <v>2229</v>
      </c>
      <c r="F1712" s="160" t="s">
        <v>2230</v>
      </c>
      <c r="G1712" s="107" t="s">
        <v>88</v>
      </c>
      <c r="H1712" s="99" t="s">
        <v>2231</v>
      </c>
      <c r="I1712" s="46" t="e">
        <f>VLOOKUP(H1712,'合同高级查询数据-4月返'!A:A,1,FALSE)</f>
        <v>#N/A</v>
      </c>
      <c r="J1712" s="47" t="s">
        <v>90</v>
      </c>
      <c r="K1712" s="160" t="s">
        <v>2232</v>
      </c>
      <c r="L1712" s="107"/>
      <c r="M1712" s="49" t="s">
        <v>2233</v>
      </c>
      <c r="N1712" s="73">
        <v>44151</v>
      </c>
      <c r="O1712" s="107" t="s">
        <v>503</v>
      </c>
      <c r="P1712" s="164">
        <v>5800</v>
      </c>
      <c r="Q1712" s="164">
        <v>4</v>
      </c>
      <c r="R1712" s="118">
        <f t="shared" si="42"/>
        <v>23200</v>
      </c>
      <c r="S1712" s="115">
        <v>202304</v>
      </c>
      <c r="T1712" s="119" t="s">
        <v>2272</v>
      </c>
      <c r="U1712" s="166"/>
      <c r="V1712" s="165"/>
      <c r="W1712" s="165"/>
      <c r="X1712" s="116">
        <v>43709</v>
      </c>
      <c r="Y1712" s="116">
        <v>45900</v>
      </c>
    </row>
    <row r="1713" s="85" customFormat="1" customHeight="1" spans="1:25">
      <c r="A1713" s="160" t="s">
        <v>444</v>
      </c>
      <c r="B1713" s="98" t="s">
        <v>62</v>
      </c>
      <c r="C1713" s="98" t="s">
        <v>238</v>
      </c>
      <c r="D1713" s="98" t="s">
        <v>642</v>
      </c>
      <c r="E1713" s="162" t="s">
        <v>2229</v>
      </c>
      <c r="F1713" s="160" t="s">
        <v>2230</v>
      </c>
      <c r="G1713" s="107" t="s">
        <v>88</v>
      </c>
      <c r="H1713" s="99" t="s">
        <v>2231</v>
      </c>
      <c r="I1713" s="46" t="e">
        <f>VLOOKUP(H1713,'合同高级查询数据-4月返'!A:A,1,FALSE)</f>
        <v>#N/A</v>
      </c>
      <c r="J1713" s="47" t="s">
        <v>90</v>
      </c>
      <c r="K1713" s="160" t="s">
        <v>2232</v>
      </c>
      <c r="L1713" s="107"/>
      <c r="M1713" s="49" t="s">
        <v>2233</v>
      </c>
      <c r="N1713" s="73">
        <v>44168</v>
      </c>
      <c r="O1713" s="107" t="s">
        <v>566</v>
      </c>
      <c r="P1713" s="164">
        <v>11864</v>
      </c>
      <c r="Q1713" s="164">
        <v>4</v>
      </c>
      <c r="R1713" s="118">
        <f t="shared" si="42"/>
        <v>47456</v>
      </c>
      <c r="S1713" s="115">
        <v>202304</v>
      </c>
      <c r="T1713" s="119" t="s">
        <v>2273</v>
      </c>
      <c r="U1713" s="166"/>
      <c r="V1713" s="165"/>
      <c r="W1713" s="165"/>
      <c r="X1713" s="116">
        <v>43709</v>
      </c>
      <c r="Y1713" s="116">
        <v>45900</v>
      </c>
    </row>
    <row r="1714" s="85" customFormat="1" customHeight="1" spans="1:25">
      <c r="A1714" s="160" t="s">
        <v>444</v>
      </c>
      <c r="B1714" s="98" t="s">
        <v>62</v>
      </c>
      <c r="C1714" s="98" t="s">
        <v>238</v>
      </c>
      <c r="D1714" s="98" t="s">
        <v>642</v>
      </c>
      <c r="E1714" s="162" t="s">
        <v>2229</v>
      </c>
      <c r="F1714" s="160" t="s">
        <v>2230</v>
      </c>
      <c r="G1714" s="107" t="s">
        <v>88</v>
      </c>
      <c r="H1714" s="99" t="s">
        <v>2231</v>
      </c>
      <c r="I1714" s="46" t="e">
        <f>VLOOKUP(H1714,'合同高级查询数据-4月返'!A:A,1,FALSE)</f>
        <v>#N/A</v>
      </c>
      <c r="J1714" s="47" t="s">
        <v>90</v>
      </c>
      <c r="K1714" s="160" t="s">
        <v>2232</v>
      </c>
      <c r="L1714" s="107"/>
      <c r="M1714" s="49" t="s">
        <v>2233</v>
      </c>
      <c r="N1714" s="73">
        <v>44168</v>
      </c>
      <c r="O1714" s="107" t="s">
        <v>606</v>
      </c>
      <c r="P1714" s="164">
        <v>31637</v>
      </c>
      <c r="Q1714" s="164">
        <v>2</v>
      </c>
      <c r="R1714" s="118">
        <f t="shared" si="42"/>
        <v>63274</v>
      </c>
      <c r="S1714" s="115">
        <v>202304</v>
      </c>
      <c r="T1714" s="119" t="s">
        <v>2274</v>
      </c>
      <c r="U1714" s="166"/>
      <c r="V1714" s="165"/>
      <c r="W1714" s="165"/>
      <c r="X1714" s="116">
        <v>43709</v>
      </c>
      <c r="Y1714" s="116">
        <v>45900</v>
      </c>
    </row>
    <row r="1715" s="85" customFormat="1" customHeight="1" spans="1:25">
      <c r="A1715" s="160" t="s">
        <v>444</v>
      </c>
      <c r="B1715" s="98" t="s">
        <v>62</v>
      </c>
      <c r="C1715" s="98" t="s">
        <v>238</v>
      </c>
      <c r="D1715" s="98" t="s">
        <v>642</v>
      </c>
      <c r="E1715" s="162" t="s">
        <v>2229</v>
      </c>
      <c r="F1715" s="160" t="s">
        <v>2230</v>
      </c>
      <c r="G1715" s="107" t="s">
        <v>88</v>
      </c>
      <c r="H1715" s="99" t="s">
        <v>2231</v>
      </c>
      <c r="I1715" s="46" t="e">
        <f>VLOOKUP(H1715,'合同高级查询数据-4月返'!A:A,1,FALSE)</f>
        <v>#N/A</v>
      </c>
      <c r="J1715" s="47" t="s">
        <v>90</v>
      </c>
      <c r="K1715" s="160" t="s">
        <v>2275</v>
      </c>
      <c r="L1715" s="107"/>
      <c r="M1715" s="49" t="s">
        <v>2233</v>
      </c>
      <c r="N1715" s="73">
        <v>44200</v>
      </c>
      <c r="O1715" s="107" t="s">
        <v>503</v>
      </c>
      <c r="P1715" s="164">
        <v>5800</v>
      </c>
      <c r="Q1715" s="164">
        <v>222</v>
      </c>
      <c r="R1715" s="118">
        <f t="shared" si="42"/>
        <v>1287600</v>
      </c>
      <c r="S1715" s="115">
        <v>202304</v>
      </c>
      <c r="T1715" s="119" t="s">
        <v>2276</v>
      </c>
      <c r="U1715" s="166"/>
      <c r="V1715" s="165"/>
      <c r="W1715" s="165"/>
      <c r="X1715" s="116">
        <v>43709</v>
      </c>
      <c r="Y1715" s="116">
        <v>45900</v>
      </c>
    </row>
    <row r="1716" s="85" customFormat="1" customHeight="1" spans="1:25">
      <c r="A1716" s="160" t="s">
        <v>444</v>
      </c>
      <c r="B1716" s="98" t="s">
        <v>62</v>
      </c>
      <c r="C1716" s="98" t="s">
        <v>238</v>
      </c>
      <c r="D1716" s="98" t="s">
        <v>642</v>
      </c>
      <c r="E1716" s="162" t="s">
        <v>2229</v>
      </c>
      <c r="F1716" s="160" t="s">
        <v>2230</v>
      </c>
      <c r="G1716" s="107" t="s">
        <v>88</v>
      </c>
      <c r="H1716" s="99" t="s">
        <v>2231</v>
      </c>
      <c r="I1716" s="46" t="e">
        <f>VLOOKUP(H1716,'合同高级查询数据-4月返'!A:A,1,FALSE)</f>
        <v>#N/A</v>
      </c>
      <c r="J1716" s="47" t="s">
        <v>90</v>
      </c>
      <c r="K1716" s="160" t="s">
        <v>2275</v>
      </c>
      <c r="L1716" s="107"/>
      <c r="M1716" s="49" t="s">
        <v>2233</v>
      </c>
      <c r="N1716" s="73">
        <v>44205</v>
      </c>
      <c r="O1716" s="107" t="s">
        <v>503</v>
      </c>
      <c r="P1716" s="164">
        <v>5800</v>
      </c>
      <c r="Q1716" s="164">
        <v>3</v>
      </c>
      <c r="R1716" s="118">
        <f t="shared" si="42"/>
        <v>17400</v>
      </c>
      <c r="S1716" s="115">
        <v>202304</v>
      </c>
      <c r="T1716" s="119" t="s">
        <v>2277</v>
      </c>
      <c r="U1716" s="166"/>
      <c r="V1716" s="165"/>
      <c r="W1716" s="165"/>
      <c r="X1716" s="116">
        <v>43709</v>
      </c>
      <c r="Y1716" s="116">
        <v>45900</v>
      </c>
    </row>
    <row r="1717" s="85" customFormat="1" customHeight="1" spans="1:25">
      <c r="A1717" s="160" t="s">
        <v>444</v>
      </c>
      <c r="B1717" s="98" t="s">
        <v>62</v>
      </c>
      <c r="C1717" s="98" t="s">
        <v>238</v>
      </c>
      <c r="D1717" s="98" t="s">
        <v>642</v>
      </c>
      <c r="E1717" s="162" t="s">
        <v>2229</v>
      </c>
      <c r="F1717" s="160" t="s">
        <v>2230</v>
      </c>
      <c r="G1717" s="107" t="s">
        <v>88</v>
      </c>
      <c r="H1717" s="99" t="s">
        <v>2231</v>
      </c>
      <c r="I1717" s="46" t="e">
        <f>VLOOKUP(H1717,'合同高级查询数据-4月返'!A:A,1,FALSE)</f>
        <v>#N/A</v>
      </c>
      <c r="J1717" s="47" t="s">
        <v>90</v>
      </c>
      <c r="K1717" s="160" t="s">
        <v>2275</v>
      </c>
      <c r="L1717" s="107"/>
      <c r="M1717" s="49" t="s">
        <v>2233</v>
      </c>
      <c r="N1717" s="73">
        <v>44207</v>
      </c>
      <c r="O1717" s="107" t="s">
        <v>503</v>
      </c>
      <c r="P1717" s="164">
        <v>5800</v>
      </c>
      <c r="Q1717" s="164">
        <v>417</v>
      </c>
      <c r="R1717" s="118">
        <f t="shared" si="42"/>
        <v>2418600</v>
      </c>
      <c r="S1717" s="115">
        <v>202304</v>
      </c>
      <c r="T1717" s="119" t="s">
        <v>2278</v>
      </c>
      <c r="U1717" s="166"/>
      <c r="V1717" s="165"/>
      <c r="W1717" s="165"/>
      <c r="X1717" s="116">
        <v>43709</v>
      </c>
      <c r="Y1717" s="116">
        <v>45900</v>
      </c>
    </row>
    <row r="1718" s="85" customFormat="1" customHeight="1" spans="1:25">
      <c r="A1718" s="160" t="s">
        <v>444</v>
      </c>
      <c r="B1718" s="98" t="s">
        <v>62</v>
      </c>
      <c r="C1718" s="98" t="s">
        <v>238</v>
      </c>
      <c r="D1718" s="98" t="s">
        <v>642</v>
      </c>
      <c r="E1718" s="162" t="s">
        <v>2229</v>
      </c>
      <c r="F1718" s="160" t="s">
        <v>2230</v>
      </c>
      <c r="G1718" s="107" t="s">
        <v>88</v>
      </c>
      <c r="H1718" s="99" t="s">
        <v>2231</v>
      </c>
      <c r="I1718" s="46" t="e">
        <f>VLOOKUP(H1718,'合同高级查询数据-4月返'!A:A,1,FALSE)</f>
        <v>#N/A</v>
      </c>
      <c r="J1718" s="47" t="s">
        <v>90</v>
      </c>
      <c r="K1718" s="160" t="s">
        <v>2275</v>
      </c>
      <c r="L1718" s="107"/>
      <c r="M1718" s="49" t="s">
        <v>2233</v>
      </c>
      <c r="N1718" s="73">
        <v>44209</v>
      </c>
      <c r="O1718" s="107" t="s">
        <v>503</v>
      </c>
      <c r="P1718" s="164">
        <v>5800</v>
      </c>
      <c r="Q1718" s="164">
        <v>19</v>
      </c>
      <c r="R1718" s="118">
        <f t="shared" si="42"/>
        <v>110200</v>
      </c>
      <c r="S1718" s="115">
        <v>202304</v>
      </c>
      <c r="T1718" s="119" t="s">
        <v>2279</v>
      </c>
      <c r="U1718" s="166"/>
      <c r="V1718" s="165"/>
      <c r="W1718" s="165"/>
      <c r="X1718" s="116">
        <v>43709</v>
      </c>
      <c r="Y1718" s="116">
        <v>45900</v>
      </c>
    </row>
    <row r="1719" s="85" customFormat="1" customHeight="1" spans="1:25">
      <c r="A1719" s="160" t="s">
        <v>444</v>
      </c>
      <c r="B1719" s="98" t="s">
        <v>62</v>
      </c>
      <c r="C1719" s="98" t="s">
        <v>238</v>
      </c>
      <c r="D1719" s="98" t="s">
        <v>642</v>
      </c>
      <c r="E1719" s="162" t="s">
        <v>2229</v>
      </c>
      <c r="F1719" s="160" t="s">
        <v>2230</v>
      </c>
      <c r="G1719" s="107" t="s">
        <v>88</v>
      </c>
      <c r="H1719" s="99" t="s">
        <v>2231</v>
      </c>
      <c r="I1719" s="46" t="e">
        <f>VLOOKUP(H1719,'合同高级查询数据-4月返'!A:A,1,FALSE)</f>
        <v>#N/A</v>
      </c>
      <c r="J1719" s="47" t="s">
        <v>90</v>
      </c>
      <c r="K1719" s="160" t="s">
        <v>2275</v>
      </c>
      <c r="L1719" s="107"/>
      <c r="M1719" s="49" t="s">
        <v>2233</v>
      </c>
      <c r="N1719" s="73">
        <v>44211</v>
      </c>
      <c r="O1719" s="107" t="s">
        <v>503</v>
      </c>
      <c r="P1719" s="164">
        <v>5800</v>
      </c>
      <c r="Q1719" s="164">
        <v>22</v>
      </c>
      <c r="R1719" s="118">
        <f t="shared" si="42"/>
        <v>127600</v>
      </c>
      <c r="S1719" s="115">
        <v>202304</v>
      </c>
      <c r="T1719" s="119" t="s">
        <v>2280</v>
      </c>
      <c r="U1719" s="166"/>
      <c r="V1719" s="165"/>
      <c r="W1719" s="165"/>
      <c r="X1719" s="116">
        <v>43709</v>
      </c>
      <c r="Y1719" s="116">
        <v>45900</v>
      </c>
    </row>
    <row r="1720" s="85" customFormat="1" customHeight="1" spans="1:25">
      <c r="A1720" s="160" t="s">
        <v>444</v>
      </c>
      <c r="B1720" s="98" t="s">
        <v>62</v>
      </c>
      <c r="C1720" s="98" t="s">
        <v>238</v>
      </c>
      <c r="D1720" s="98" t="s">
        <v>642</v>
      </c>
      <c r="E1720" s="162" t="s">
        <v>2229</v>
      </c>
      <c r="F1720" s="160" t="s">
        <v>2230</v>
      </c>
      <c r="G1720" s="107" t="s">
        <v>88</v>
      </c>
      <c r="H1720" s="99" t="s">
        <v>2231</v>
      </c>
      <c r="I1720" s="46" t="e">
        <f>VLOOKUP(H1720,'合同高级查询数据-4月返'!A:A,1,FALSE)</f>
        <v>#N/A</v>
      </c>
      <c r="J1720" s="47" t="s">
        <v>90</v>
      </c>
      <c r="K1720" s="160" t="s">
        <v>2275</v>
      </c>
      <c r="L1720" s="107"/>
      <c r="M1720" s="49" t="s">
        <v>2233</v>
      </c>
      <c r="N1720" s="73">
        <v>44214</v>
      </c>
      <c r="O1720" s="107" t="s">
        <v>503</v>
      </c>
      <c r="P1720" s="164">
        <v>5800</v>
      </c>
      <c r="Q1720" s="164">
        <v>26</v>
      </c>
      <c r="R1720" s="118">
        <f t="shared" si="42"/>
        <v>150800</v>
      </c>
      <c r="S1720" s="115">
        <v>202304</v>
      </c>
      <c r="T1720" s="119" t="s">
        <v>2281</v>
      </c>
      <c r="U1720" s="166"/>
      <c r="V1720" s="165"/>
      <c r="W1720" s="165"/>
      <c r="X1720" s="116">
        <v>43709</v>
      </c>
      <c r="Y1720" s="116">
        <v>45900</v>
      </c>
    </row>
    <row r="1721" s="85" customFormat="1" customHeight="1" spans="1:25">
      <c r="A1721" s="160" t="s">
        <v>444</v>
      </c>
      <c r="B1721" s="98" t="s">
        <v>62</v>
      </c>
      <c r="C1721" s="98" t="s">
        <v>238</v>
      </c>
      <c r="D1721" s="98" t="s">
        <v>642</v>
      </c>
      <c r="E1721" s="162" t="s">
        <v>2229</v>
      </c>
      <c r="F1721" s="160" t="s">
        <v>2230</v>
      </c>
      <c r="G1721" s="107" t="s">
        <v>88</v>
      </c>
      <c r="H1721" s="99" t="s">
        <v>2231</v>
      </c>
      <c r="I1721" s="46" t="e">
        <f>VLOOKUP(H1721,'合同高级查询数据-4月返'!A:A,1,FALSE)</f>
        <v>#N/A</v>
      </c>
      <c r="J1721" s="47" t="s">
        <v>90</v>
      </c>
      <c r="K1721" s="160" t="s">
        <v>2275</v>
      </c>
      <c r="L1721" s="107"/>
      <c r="M1721" s="49" t="s">
        <v>2233</v>
      </c>
      <c r="N1721" s="73">
        <v>44200</v>
      </c>
      <c r="O1721" s="107" t="s">
        <v>525</v>
      </c>
      <c r="P1721" s="164">
        <v>8700</v>
      </c>
      <c r="Q1721" s="164">
        <v>2</v>
      </c>
      <c r="R1721" s="118">
        <f t="shared" si="42"/>
        <v>17400</v>
      </c>
      <c r="S1721" s="115">
        <v>202304</v>
      </c>
      <c r="T1721" s="119" t="s">
        <v>2282</v>
      </c>
      <c r="U1721" s="166"/>
      <c r="V1721" s="165"/>
      <c r="W1721" s="165"/>
      <c r="X1721" s="116">
        <v>43709</v>
      </c>
      <c r="Y1721" s="116">
        <v>45900</v>
      </c>
    </row>
    <row r="1722" s="85" customFormat="1" customHeight="1" spans="1:25">
      <c r="A1722" s="160" t="s">
        <v>444</v>
      </c>
      <c r="B1722" s="98" t="s">
        <v>62</v>
      </c>
      <c r="C1722" s="98" t="s">
        <v>238</v>
      </c>
      <c r="D1722" s="98" t="s">
        <v>642</v>
      </c>
      <c r="E1722" s="162" t="s">
        <v>2229</v>
      </c>
      <c r="F1722" s="160" t="s">
        <v>2230</v>
      </c>
      <c r="G1722" s="107" t="s">
        <v>88</v>
      </c>
      <c r="H1722" s="99" t="s">
        <v>2231</v>
      </c>
      <c r="I1722" s="46" t="e">
        <f>VLOOKUP(H1722,'合同高级查询数据-4月返'!A:A,1,FALSE)</f>
        <v>#N/A</v>
      </c>
      <c r="J1722" s="47" t="s">
        <v>90</v>
      </c>
      <c r="K1722" s="160" t="s">
        <v>2275</v>
      </c>
      <c r="L1722" s="107"/>
      <c r="M1722" s="49" t="s">
        <v>2233</v>
      </c>
      <c r="N1722" s="73">
        <v>44200</v>
      </c>
      <c r="O1722" s="107" t="s">
        <v>566</v>
      </c>
      <c r="P1722" s="164">
        <v>11864</v>
      </c>
      <c r="Q1722" s="164">
        <v>4</v>
      </c>
      <c r="R1722" s="118">
        <f t="shared" si="42"/>
        <v>47456</v>
      </c>
      <c r="S1722" s="115">
        <v>202304</v>
      </c>
      <c r="T1722" s="119" t="s">
        <v>2283</v>
      </c>
      <c r="U1722" s="166"/>
      <c r="V1722" s="165"/>
      <c r="W1722" s="165"/>
      <c r="X1722" s="116">
        <v>43709</v>
      </c>
      <c r="Y1722" s="116">
        <v>45900</v>
      </c>
    </row>
    <row r="1723" s="85" customFormat="1" customHeight="1" spans="1:25">
      <c r="A1723" s="160" t="s">
        <v>444</v>
      </c>
      <c r="B1723" s="98" t="s">
        <v>62</v>
      </c>
      <c r="C1723" s="98" t="s">
        <v>238</v>
      </c>
      <c r="D1723" s="98" t="s">
        <v>642</v>
      </c>
      <c r="E1723" s="162" t="s">
        <v>2229</v>
      </c>
      <c r="F1723" s="160" t="s">
        <v>2230</v>
      </c>
      <c r="G1723" s="107" t="s">
        <v>88</v>
      </c>
      <c r="H1723" s="99" t="s">
        <v>2231</v>
      </c>
      <c r="I1723" s="46" t="e">
        <f>VLOOKUP(H1723,'合同高级查询数据-4月返'!A:A,1,FALSE)</f>
        <v>#N/A</v>
      </c>
      <c r="J1723" s="47" t="s">
        <v>90</v>
      </c>
      <c r="K1723" s="160" t="s">
        <v>2275</v>
      </c>
      <c r="L1723" s="107"/>
      <c r="M1723" s="49" t="s">
        <v>2233</v>
      </c>
      <c r="N1723" s="73">
        <v>44200</v>
      </c>
      <c r="O1723" s="107" t="s">
        <v>606</v>
      </c>
      <c r="P1723" s="164">
        <v>31637</v>
      </c>
      <c r="Q1723" s="164">
        <v>8</v>
      </c>
      <c r="R1723" s="118">
        <f t="shared" si="42"/>
        <v>253096</v>
      </c>
      <c r="S1723" s="115">
        <v>202304</v>
      </c>
      <c r="T1723" s="119" t="s">
        <v>2284</v>
      </c>
      <c r="U1723" s="166"/>
      <c r="V1723" s="165"/>
      <c r="W1723" s="165"/>
      <c r="X1723" s="116">
        <v>43709</v>
      </c>
      <c r="Y1723" s="116">
        <v>45900</v>
      </c>
    </row>
    <row r="1724" s="85" customFormat="1" customHeight="1" spans="1:25">
      <c r="A1724" s="160" t="s">
        <v>444</v>
      </c>
      <c r="B1724" s="98" t="s">
        <v>62</v>
      </c>
      <c r="C1724" s="98" t="s">
        <v>238</v>
      </c>
      <c r="D1724" s="98" t="s">
        <v>642</v>
      </c>
      <c r="E1724" s="162" t="s">
        <v>2229</v>
      </c>
      <c r="F1724" s="160" t="s">
        <v>2230</v>
      </c>
      <c r="G1724" s="107" t="s">
        <v>88</v>
      </c>
      <c r="H1724" s="99" t="s">
        <v>2231</v>
      </c>
      <c r="I1724" s="46" t="e">
        <f>VLOOKUP(H1724,'合同高级查询数据-4月返'!A:A,1,FALSE)</f>
        <v>#N/A</v>
      </c>
      <c r="J1724" s="47" t="s">
        <v>90</v>
      </c>
      <c r="K1724" s="160" t="s">
        <v>2275</v>
      </c>
      <c r="L1724" s="107"/>
      <c r="M1724" s="49" t="s">
        <v>2233</v>
      </c>
      <c r="N1724" s="73">
        <v>44224</v>
      </c>
      <c r="O1724" s="107" t="s">
        <v>503</v>
      </c>
      <c r="P1724" s="164">
        <v>5800</v>
      </c>
      <c r="Q1724" s="164">
        <v>-3</v>
      </c>
      <c r="R1724" s="118">
        <f t="shared" si="42"/>
        <v>-17400</v>
      </c>
      <c r="S1724" s="115">
        <v>202304</v>
      </c>
      <c r="T1724" s="119" t="s">
        <v>2285</v>
      </c>
      <c r="U1724" s="166"/>
      <c r="V1724" s="165"/>
      <c r="W1724" s="165"/>
      <c r="X1724" s="116">
        <v>43709</v>
      </c>
      <c r="Y1724" s="116">
        <v>45900</v>
      </c>
    </row>
    <row r="1725" s="85" customFormat="1" customHeight="1" spans="1:25">
      <c r="A1725" s="160" t="s">
        <v>444</v>
      </c>
      <c r="B1725" s="98" t="s">
        <v>62</v>
      </c>
      <c r="C1725" s="98" t="s">
        <v>238</v>
      </c>
      <c r="D1725" s="98" t="s">
        <v>642</v>
      </c>
      <c r="E1725" s="162" t="s">
        <v>2229</v>
      </c>
      <c r="F1725" s="160" t="s">
        <v>2230</v>
      </c>
      <c r="G1725" s="107" t="s">
        <v>88</v>
      </c>
      <c r="H1725" s="99" t="s">
        <v>2231</v>
      </c>
      <c r="I1725" s="46" t="e">
        <f>VLOOKUP(H1725,'合同高级查询数据-4月返'!A:A,1,FALSE)</f>
        <v>#N/A</v>
      </c>
      <c r="J1725" s="47" t="s">
        <v>90</v>
      </c>
      <c r="K1725" s="160" t="s">
        <v>2275</v>
      </c>
      <c r="L1725" s="107"/>
      <c r="M1725" s="49" t="s">
        <v>2233</v>
      </c>
      <c r="N1725" s="73">
        <v>44200</v>
      </c>
      <c r="O1725" s="107" t="s">
        <v>600</v>
      </c>
      <c r="P1725" s="164">
        <v>200</v>
      </c>
      <c r="Q1725" s="164">
        <v>10</v>
      </c>
      <c r="R1725" s="118">
        <f t="shared" si="42"/>
        <v>2000</v>
      </c>
      <c r="S1725" s="115">
        <v>202304</v>
      </c>
      <c r="T1725" s="119" t="s">
        <v>2286</v>
      </c>
      <c r="U1725" s="166"/>
      <c r="V1725" s="165"/>
      <c r="W1725" s="165"/>
      <c r="X1725" s="116">
        <v>43709</v>
      </c>
      <c r="Y1725" s="116">
        <v>45900</v>
      </c>
    </row>
    <row r="1726" s="85" customFormat="1" customHeight="1" spans="1:25">
      <c r="A1726" s="160" t="s">
        <v>444</v>
      </c>
      <c r="B1726" s="98" t="s">
        <v>62</v>
      </c>
      <c r="C1726" s="98" t="s">
        <v>238</v>
      </c>
      <c r="D1726" s="98" t="s">
        <v>642</v>
      </c>
      <c r="E1726" s="162" t="s">
        <v>2229</v>
      </c>
      <c r="F1726" s="160" t="s">
        <v>2230</v>
      </c>
      <c r="G1726" s="107" t="s">
        <v>88</v>
      </c>
      <c r="H1726" s="99" t="s">
        <v>2231</v>
      </c>
      <c r="I1726" s="46" t="e">
        <f>VLOOKUP(H1726,'合同高级查询数据-4月返'!A:A,1,FALSE)</f>
        <v>#N/A</v>
      </c>
      <c r="J1726" s="47" t="s">
        <v>90</v>
      </c>
      <c r="K1726" s="160" t="s">
        <v>2232</v>
      </c>
      <c r="L1726" s="107"/>
      <c r="M1726" s="49" t="s">
        <v>2233</v>
      </c>
      <c r="N1726" s="73">
        <v>44166</v>
      </c>
      <c r="O1726" s="107" t="s">
        <v>600</v>
      </c>
      <c r="P1726" s="164">
        <v>200</v>
      </c>
      <c r="Q1726" s="164">
        <v>2</v>
      </c>
      <c r="R1726" s="118">
        <f t="shared" si="42"/>
        <v>400</v>
      </c>
      <c r="S1726" s="115">
        <v>202304</v>
      </c>
      <c r="T1726" s="119" t="s">
        <v>2287</v>
      </c>
      <c r="U1726" s="166"/>
      <c r="V1726" s="165"/>
      <c r="W1726" s="165"/>
      <c r="X1726" s="116">
        <v>43709</v>
      </c>
      <c r="Y1726" s="116">
        <v>45900</v>
      </c>
    </row>
    <row r="1727" s="85" customFormat="1" customHeight="1" spans="1:25">
      <c r="A1727" s="160" t="s">
        <v>444</v>
      </c>
      <c r="B1727" s="98" t="s">
        <v>62</v>
      </c>
      <c r="C1727" s="98" t="s">
        <v>238</v>
      </c>
      <c r="D1727" s="98" t="s">
        <v>642</v>
      </c>
      <c r="E1727" s="162" t="s">
        <v>2229</v>
      </c>
      <c r="F1727" s="160" t="s">
        <v>2230</v>
      </c>
      <c r="G1727" s="107" t="s">
        <v>88</v>
      </c>
      <c r="H1727" s="99" t="s">
        <v>2231</v>
      </c>
      <c r="I1727" s="46" t="e">
        <f>VLOOKUP(H1727,'合同高级查询数据-4月返'!A:A,1,FALSE)</f>
        <v>#N/A</v>
      </c>
      <c r="J1727" s="47" t="s">
        <v>90</v>
      </c>
      <c r="K1727" s="160" t="s">
        <v>2275</v>
      </c>
      <c r="L1727" s="107"/>
      <c r="M1727" s="49" t="s">
        <v>2233</v>
      </c>
      <c r="N1727" s="73">
        <v>44286</v>
      </c>
      <c r="O1727" s="107" t="s">
        <v>503</v>
      </c>
      <c r="P1727" s="164">
        <v>5800</v>
      </c>
      <c r="Q1727" s="164">
        <v>2</v>
      </c>
      <c r="R1727" s="118">
        <f t="shared" si="42"/>
        <v>11600</v>
      </c>
      <c r="S1727" s="115">
        <v>202304</v>
      </c>
      <c r="T1727" s="119" t="s">
        <v>2288</v>
      </c>
      <c r="U1727" s="166"/>
      <c r="V1727" s="165"/>
      <c r="W1727" s="165"/>
      <c r="X1727" s="116">
        <v>43709</v>
      </c>
      <c r="Y1727" s="116">
        <v>45900</v>
      </c>
    </row>
    <row r="1728" s="85" customFormat="1" customHeight="1" spans="1:25">
      <c r="A1728" s="160" t="s">
        <v>444</v>
      </c>
      <c r="B1728" s="98" t="s">
        <v>62</v>
      </c>
      <c r="C1728" s="98" t="s">
        <v>238</v>
      </c>
      <c r="D1728" s="98" t="s">
        <v>642</v>
      </c>
      <c r="E1728" s="162" t="s">
        <v>2229</v>
      </c>
      <c r="F1728" s="160" t="s">
        <v>2230</v>
      </c>
      <c r="G1728" s="107" t="s">
        <v>88</v>
      </c>
      <c r="H1728" s="99" t="s">
        <v>2231</v>
      </c>
      <c r="I1728" s="46" t="e">
        <f>VLOOKUP(H1728,'合同高级查询数据-4月返'!A:A,1,FALSE)</f>
        <v>#N/A</v>
      </c>
      <c r="J1728" s="47" t="s">
        <v>90</v>
      </c>
      <c r="K1728" s="160" t="s">
        <v>2275</v>
      </c>
      <c r="L1728" s="107"/>
      <c r="M1728" s="49" t="s">
        <v>2233</v>
      </c>
      <c r="N1728" s="73">
        <v>44302</v>
      </c>
      <c r="O1728" s="107" t="s">
        <v>503</v>
      </c>
      <c r="P1728" s="164">
        <v>5800</v>
      </c>
      <c r="Q1728" s="164">
        <v>39</v>
      </c>
      <c r="R1728" s="118">
        <f t="shared" si="42"/>
        <v>226200</v>
      </c>
      <c r="S1728" s="115">
        <v>202304</v>
      </c>
      <c r="T1728" s="119" t="s">
        <v>2289</v>
      </c>
      <c r="U1728" s="166"/>
      <c r="V1728" s="165"/>
      <c r="W1728" s="165"/>
      <c r="X1728" s="116">
        <v>43709</v>
      </c>
      <c r="Y1728" s="116">
        <v>45900</v>
      </c>
    </row>
    <row r="1729" s="85" customFormat="1" customHeight="1" spans="1:25">
      <c r="A1729" s="160" t="s">
        <v>444</v>
      </c>
      <c r="B1729" s="98" t="s">
        <v>62</v>
      </c>
      <c r="C1729" s="98" t="s">
        <v>238</v>
      </c>
      <c r="D1729" s="98" t="s">
        <v>642</v>
      </c>
      <c r="E1729" s="162" t="s">
        <v>2229</v>
      </c>
      <c r="F1729" s="160" t="s">
        <v>2230</v>
      </c>
      <c r="G1729" s="107" t="s">
        <v>88</v>
      </c>
      <c r="H1729" s="99" t="s">
        <v>2231</v>
      </c>
      <c r="I1729" s="46" t="e">
        <f>VLOOKUP(H1729,'合同高级查询数据-4月返'!A:A,1,FALSE)</f>
        <v>#N/A</v>
      </c>
      <c r="J1729" s="47" t="s">
        <v>90</v>
      </c>
      <c r="K1729" s="160" t="s">
        <v>2275</v>
      </c>
      <c r="L1729" s="107"/>
      <c r="M1729" s="49" t="s">
        <v>2233</v>
      </c>
      <c r="N1729" s="73">
        <v>44303</v>
      </c>
      <c r="O1729" s="107" t="s">
        <v>503</v>
      </c>
      <c r="P1729" s="164">
        <v>5800</v>
      </c>
      <c r="Q1729" s="164">
        <v>1</v>
      </c>
      <c r="R1729" s="118">
        <f t="shared" si="42"/>
        <v>5800</v>
      </c>
      <c r="S1729" s="115">
        <v>202304</v>
      </c>
      <c r="T1729" s="119" t="s">
        <v>2290</v>
      </c>
      <c r="U1729" s="166"/>
      <c r="V1729" s="165"/>
      <c r="W1729" s="165"/>
      <c r="X1729" s="116">
        <v>43709</v>
      </c>
      <c r="Y1729" s="116">
        <v>45900</v>
      </c>
    </row>
    <row r="1730" s="85" customFormat="1" customHeight="1" spans="1:25">
      <c r="A1730" s="160" t="s">
        <v>444</v>
      </c>
      <c r="B1730" s="98" t="s">
        <v>62</v>
      </c>
      <c r="C1730" s="98" t="s">
        <v>238</v>
      </c>
      <c r="D1730" s="98" t="s">
        <v>642</v>
      </c>
      <c r="E1730" s="162" t="s">
        <v>2229</v>
      </c>
      <c r="F1730" s="160" t="s">
        <v>2230</v>
      </c>
      <c r="G1730" s="107" t="s">
        <v>88</v>
      </c>
      <c r="H1730" s="99" t="s">
        <v>2231</v>
      </c>
      <c r="I1730" s="46" t="e">
        <f>VLOOKUP(H1730,'合同高级查询数据-4月返'!A:A,1,FALSE)</f>
        <v>#N/A</v>
      </c>
      <c r="J1730" s="47" t="s">
        <v>90</v>
      </c>
      <c r="K1730" s="160" t="s">
        <v>2275</v>
      </c>
      <c r="L1730" s="107"/>
      <c r="M1730" s="49" t="s">
        <v>2233</v>
      </c>
      <c r="N1730" s="73">
        <v>44306</v>
      </c>
      <c r="O1730" s="107" t="s">
        <v>503</v>
      </c>
      <c r="P1730" s="164">
        <v>5800</v>
      </c>
      <c r="Q1730" s="164">
        <v>16</v>
      </c>
      <c r="R1730" s="118">
        <f t="shared" si="42"/>
        <v>92800</v>
      </c>
      <c r="S1730" s="115">
        <v>202304</v>
      </c>
      <c r="T1730" s="119" t="s">
        <v>2291</v>
      </c>
      <c r="U1730" s="166"/>
      <c r="V1730" s="165"/>
      <c r="W1730" s="165"/>
      <c r="X1730" s="116">
        <v>43709</v>
      </c>
      <c r="Y1730" s="116">
        <v>45900</v>
      </c>
    </row>
    <row r="1731" s="85" customFormat="1" customHeight="1" spans="1:25">
      <c r="A1731" s="160" t="s">
        <v>444</v>
      </c>
      <c r="B1731" s="98" t="s">
        <v>62</v>
      </c>
      <c r="C1731" s="98" t="s">
        <v>238</v>
      </c>
      <c r="D1731" s="98" t="s">
        <v>642</v>
      </c>
      <c r="E1731" s="162" t="s">
        <v>2229</v>
      </c>
      <c r="F1731" s="160" t="s">
        <v>2230</v>
      </c>
      <c r="G1731" s="107" t="s">
        <v>88</v>
      </c>
      <c r="H1731" s="99" t="s">
        <v>2231</v>
      </c>
      <c r="I1731" s="46" t="e">
        <f>VLOOKUP(H1731,'合同高级查询数据-4月返'!A:A,1,FALSE)</f>
        <v>#N/A</v>
      </c>
      <c r="J1731" s="47" t="s">
        <v>90</v>
      </c>
      <c r="K1731" s="160" t="s">
        <v>2275</v>
      </c>
      <c r="L1731" s="107"/>
      <c r="M1731" s="49" t="s">
        <v>2233</v>
      </c>
      <c r="N1731" s="73">
        <v>44307</v>
      </c>
      <c r="O1731" s="107" t="s">
        <v>503</v>
      </c>
      <c r="P1731" s="164">
        <v>5800</v>
      </c>
      <c r="Q1731" s="164">
        <v>99</v>
      </c>
      <c r="R1731" s="118">
        <f t="shared" si="42"/>
        <v>574200</v>
      </c>
      <c r="S1731" s="115">
        <v>202304</v>
      </c>
      <c r="T1731" s="119" t="s">
        <v>2292</v>
      </c>
      <c r="U1731" s="166"/>
      <c r="V1731" s="165"/>
      <c r="W1731" s="165"/>
      <c r="X1731" s="116">
        <v>43709</v>
      </c>
      <c r="Y1731" s="116">
        <v>45900</v>
      </c>
    </row>
    <row r="1732" s="85" customFormat="1" customHeight="1" spans="1:25">
      <c r="A1732" s="160" t="s">
        <v>444</v>
      </c>
      <c r="B1732" s="98" t="s">
        <v>62</v>
      </c>
      <c r="C1732" s="98" t="s">
        <v>238</v>
      </c>
      <c r="D1732" s="98" t="s">
        <v>642</v>
      </c>
      <c r="E1732" s="162" t="s">
        <v>2229</v>
      </c>
      <c r="F1732" s="160" t="s">
        <v>2230</v>
      </c>
      <c r="G1732" s="107" t="s">
        <v>88</v>
      </c>
      <c r="H1732" s="99" t="s">
        <v>2231</v>
      </c>
      <c r="I1732" s="46" t="e">
        <f>VLOOKUP(H1732,'合同高级查询数据-4月返'!A:A,1,FALSE)</f>
        <v>#N/A</v>
      </c>
      <c r="J1732" s="47" t="s">
        <v>90</v>
      </c>
      <c r="K1732" s="160" t="s">
        <v>2275</v>
      </c>
      <c r="L1732" s="107"/>
      <c r="M1732" s="49" t="s">
        <v>2233</v>
      </c>
      <c r="N1732" s="73">
        <v>44310</v>
      </c>
      <c r="O1732" s="107" t="s">
        <v>503</v>
      </c>
      <c r="P1732" s="164">
        <v>5800</v>
      </c>
      <c r="Q1732" s="164">
        <v>16</v>
      </c>
      <c r="R1732" s="118">
        <f t="shared" si="42"/>
        <v>92800</v>
      </c>
      <c r="S1732" s="115">
        <v>202304</v>
      </c>
      <c r="T1732" s="119" t="s">
        <v>2293</v>
      </c>
      <c r="U1732" s="166"/>
      <c r="V1732" s="165"/>
      <c r="W1732" s="165"/>
      <c r="X1732" s="116">
        <v>43709</v>
      </c>
      <c r="Y1732" s="116">
        <v>45900</v>
      </c>
    </row>
    <row r="1733" s="85" customFormat="1" customHeight="1" spans="1:25">
      <c r="A1733" s="160" t="s">
        <v>444</v>
      </c>
      <c r="B1733" s="98" t="s">
        <v>62</v>
      </c>
      <c r="C1733" s="98" t="s">
        <v>238</v>
      </c>
      <c r="D1733" s="98" t="s">
        <v>642</v>
      </c>
      <c r="E1733" s="162" t="s">
        <v>2229</v>
      </c>
      <c r="F1733" s="160" t="s">
        <v>2230</v>
      </c>
      <c r="G1733" s="107" t="s">
        <v>88</v>
      </c>
      <c r="H1733" s="99" t="s">
        <v>2231</v>
      </c>
      <c r="I1733" s="46" t="e">
        <f>VLOOKUP(H1733,'合同高级查询数据-4月返'!A:A,1,FALSE)</f>
        <v>#N/A</v>
      </c>
      <c r="J1733" s="47" t="s">
        <v>90</v>
      </c>
      <c r="K1733" s="160" t="s">
        <v>2275</v>
      </c>
      <c r="L1733" s="107"/>
      <c r="M1733" s="49" t="s">
        <v>2233</v>
      </c>
      <c r="N1733" s="73">
        <v>44314</v>
      </c>
      <c r="O1733" s="107" t="s">
        <v>503</v>
      </c>
      <c r="P1733" s="164">
        <v>5800</v>
      </c>
      <c r="Q1733" s="164">
        <v>9</v>
      </c>
      <c r="R1733" s="118">
        <f t="shared" si="42"/>
        <v>52200</v>
      </c>
      <c r="S1733" s="115">
        <v>202304</v>
      </c>
      <c r="T1733" s="119" t="s">
        <v>2294</v>
      </c>
      <c r="U1733" s="166"/>
      <c r="V1733" s="165"/>
      <c r="W1733" s="165"/>
      <c r="X1733" s="116">
        <v>43709</v>
      </c>
      <c r="Y1733" s="116">
        <v>45900</v>
      </c>
    </row>
    <row r="1734" s="85" customFormat="1" customHeight="1" spans="1:25">
      <c r="A1734" s="160" t="s">
        <v>444</v>
      </c>
      <c r="B1734" s="98" t="s">
        <v>62</v>
      </c>
      <c r="C1734" s="98" t="s">
        <v>238</v>
      </c>
      <c r="D1734" s="98" t="s">
        <v>642</v>
      </c>
      <c r="E1734" s="162" t="s">
        <v>2229</v>
      </c>
      <c r="F1734" s="160" t="s">
        <v>2230</v>
      </c>
      <c r="G1734" s="107" t="s">
        <v>88</v>
      </c>
      <c r="H1734" s="99" t="s">
        <v>2231</v>
      </c>
      <c r="I1734" s="46" t="e">
        <f>VLOOKUP(H1734,'合同高级查询数据-4月返'!A:A,1,FALSE)</f>
        <v>#N/A</v>
      </c>
      <c r="J1734" s="47" t="s">
        <v>90</v>
      </c>
      <c r="K1734" s="160" t="s">
        <v>2232</v>
      </c>
      <c r="L1734" s="107"/>
      <c r="M1734" s="49" t="s">
        <v>2256</v>
      </c>
      <c r="N1734" s="73">
        <v>44334</v>
      </c>
      <c r="O1734" s="107" t="s">
        <v>503</v>
      </c>
      <c r="P1734" s="164">
        <v>5800</v>
      </c>
      <c r="Q1734" s="164">
        <v>1</v>
      </c>
      <c r="R1734" s="118">
        <f t="shared" si="42"/>
        <v>5800</v>
      </c>
      <c r="S1734" s="115">
        <v>202304</v>
      </c>
      <c r="T1734" s="119" t="s">
        <v>2295</v>
      </c>
      <c r="U1734" s="166"/>
      <c r="V1734" s="165"/>
      <c r="W1734" s="165"/>
      <c r="X1734" s="116">
        <v>43709</v>
      </c>
      <c r="Y1734" s="116">
        <v>45900</v>
      </c>
    </row>
    <row r="1735" s="85" customFormat="1" customHeight="1" spans="1:25">
      <c r="A1735" s="160" t="s">
        <v>444</v>
      </c>
      <c r="B1735" s="98" t="s">
        <v>62</v>
      </c>
      <c r="C1735" s="98" t="s">
        <v>238</v>
      </c>
      <c r="D1735" s="98" t="s">
        <v>642</v>
      </c>
      <c r="E1735" s="162" t="s">
        <v>2229</v>
      </c>
      <c r="F1735" s="160" t="s">
        <v>2230</v>
      </c>
      <c r="G1735" s="107" t="s">
        <v>88</v>
      </c>
      <c r="H1735" s="99" t="s">
        <v>2231</v>
      </c>
      <c r="I1735" s="46" t="e">
        <f>VLOOKUP(H1735,'合同高级查询数据-4月返'!A:A,1,FALSE)</f>
        <v>#N/A</v>
      </c>
      <c r="J1735" s="47" t="s">
        <v>90</v>
      </c>
      <c r="K1735" s="160" t="s">
        <v>2275</v>
      </c>
      <c r="L1735" s="107"/>
      <c r="M1735" s="49" t="s">
        <v>2256</v>
      </c>
      <c r="N1735" s="73">
        <v>44334</v>
      </c>
      <c r="O1735" s="107" t="s">
        <v>503</v>
      </c>
      <c r="P1735" s="164">
        <v>5800</v>
      </c>
      <c r="Q1735" s="164">
        <v>2</v>
      </c>
      <c r="R1735" s="118">
        <f t="shared" si="42"/>
        <v>11600</v>
      </c>
      <c r="S1735" s="115">
        <v>202304</v>
      </c>
      <c r="T1735" s="119" t="s">
        <v>2296</v>
      </c>
      <c r="U1735" s="166"/>
      <c r="V1735" s="165"/>
      <c r="W1735" s="165"/>
      <c r="X1735" s="116">
        <v>43709</v>
      </c>
      <c r="Y1735" s="116">
        <v>45900</v>
      </c>
    </row>
    <row r="1736" s="85" customFormat="1" customHeight="1" spans="1:25">
      <c r="A1736" s="160" t="s">
        <v>444</v>
      </c>
      <c r="B1736" s="98" t="s">
        <v>62</v>
      </c>
      <c r="C1736" s="98" t="s">
        <v>238</v>
      </c>
      <c r="D1736" s="98" t="s">
        <v>642</v>
      </c>
      <c r="E1736" s="162" t="s">
        <v>2229</v>
      </c>
      <c r="F1736" s="160" t="s">
        <v>2230</v>
      </c>
      <c r="G1736" s="107" t="s">
        <v>88</v>
      </c>
      <c r="H1736" s="99" t="s">
        <v>2231</v>
      </c>
      <c r="I1736" s="46" t="e">
        <f>VLOOKUP(H1736,'合同高级查询数据-4月返'!A:A,1,FALSE)</f>
        <v>#N/A</v>
      </c>
      <c r="J1736" s="47" t="s">
        <v>90</v>
      </c>
      <c r="K1736" s="160" t="s">
        <v>2275</v>
      </c>
      <c r="L1736" s="107"/>
      <c r="M1736" s="49" t="s">
        <v>2233</v>
      </c>
      <c r="N1736" s="73">
        <v>44331</v>
      </c>
      <c r="O1736" s="107" t="s">
        <v>503</v>
      </c>
      <c r="P1736" s="164">
        <v>5800</v>
      </c>
      <c r="Q1736" s="164">
        <v>2</v>
      </c>
      <c r="R1736" s="118">
        <f t="shared" si="42"/>
        <v>11600</v>
      </c>
      <c r="S1736" s="115">
        <v>202304</v>
      </c>
      <c r="T1736" s="119" t="s">
        <v>2297</v>
      </c>
      <c r="U1736" s="166"/>
      <c r="V1736" s="165"/>
      <c r="W1736" s="165"/>
      <c r="X1736" s="116">
        <v>43709</v>
      </c>
      <c r="Y1736" s="116">
        <v>45900</v>
      </c>
    </row>
    <row r="1737" s="85" customFormat="1" customHeight="1" spans="1:25">
      <c r="A1737" s="160" t="s">
        <v>444</v>
      </c>
      <c r="B1737" s="98" t="s">
        <v>62</v>
      </c>
      <c r="C1737" s="98" t="s">
        <v>238</v>
      </c>
      <c r="D1737" s="98" t="s">
        <v>642</v>
      </c>
      <c r="E1737" s="162" t="s">
        <v>2229</v>
      </c>
      <c r="F1737" s="160" t="s">
        <v>2230</v>
      </c>
      <c r="G1737" s="107" t="s">
        <v>88</v>
      </c>
      <c r="H1737" s="99" t="s">
        <v>2231</v>
      </c>
      <c r="I1737" s="46" t="e">
        <f>VLOOKUP(H1737,'合同高级查询数据-4月返'!A:A,1,FALSE)</f>
        <v>#N/A</v>
      </c>
      <c r="J1737" s="47" t="s">
        <v>90</v>
      </c>
      <c r="K1737" s="160" t="s">
        <v>2275</v>
      </c>
      <c r="L1737" s="107"/>
      <c r="M1737" s="49" t="s">
        <v>2233</v>
      </c>
      <c r="N1737" s="73">
        <v>44332</v>
      </c>
      <c r="O1737" s="107" t="s">
        <v>503</v>
      </c>
      <c r="P1737" s="164">
        <v>5800</v>
      </c>
      <c r="Q1737" s="164">
        <v>1</v>
      </c>
      <c r="R1737" s="118">
        <f t="shared" si="42"/>
        <v>5800</v>
      </c>
      <c r="S1737" s="115">
        <v>202304</v>
      </c>
      <c r="T1737" s="119" t="s">
        <v>2298</v>
      </c>
      <c r="U1737" s="166"/>
      <c r="V1737" s="165"/>
      <c r="W1737" s="165"/>
      <c r="X1737" s="116">
        <v>43709</v>
      </c>
      <c r="Y1737" s="116">
        <v>45900</v>
      </c>
    </row>
    <row r="1738" s="85" customFormat="1" customHeight="1" spans="1:25">
      <c r="A1738" s="160" t="s">
        <v>444</v>
      </c>
      <c r="B1738" s="98" t="s">
        <v>62</v>
      </c>
      <c r="C1738" s="98" t="s">
        <v>238</v>
      </c>
      <c r="D1738" s="98" t="s">
        <v>642</v>
      </c>
      <c r="E1738" s="162" t="s">
        <v>2229</v>
      </c>
      <c r="F1738" s="160" t="s">
        <v>2230</v>
      </c>
      <c r="G1738" s="107" t="s">
        <v>88</v>
      </c>
      <c r="H1738" s="99" t="s">
        <v>2231</v>
      </c>
      <c r="I1738" s="46" t="e">
        <f>VLOOKUP(H1738,'合同高级查询数据-4月返'!A:A,1,FALSE)</f>
        <v>#N/A</v>
      </c>
      <c r="J1738" s="47" t="s">
        <v>90</v>
      </c>
      <c r="K1738" s="160" t="s">
        <v>2275</v>
      </c>
      <c r="L1738" s="107"/>
      <c r="M1738" s="49" t="s">
        <v>2233</v>
      </c>
      <c r="N1738" s="73">
        <v>44333</v>
      </c>
      <c r="O1738" s="107" t="s">
        <v>503</v>
      </c>
      <c r="P1738" s="164">
        <v>5800</v>
      </c>
      <c r="Q1738" s="164">
        <v>20</v>
      </c>
      <c r="R1738" s="118">
        <f t="shared" si="42"/>
        <v>116000</v>
      </c>
      <c r="S1738" s="115">
        <v>202304</v>
      </c>
      <c r="T1738" s="119" t="s">
        <v>2299</v>
      </c>
      <c r="U1738" s="166"/>
      <c r="V1738" s="165"/>
      <c r="W1738" s="165"/>
      <c r="X1738" s="116">
        <v>43709</v>
      </c>
      <c r="Y1738" s="116">
        <v>45900</v>
      </c>
    </row>
    <row r="1739" s="85" customFormat="1" customHeight="1" spans="1:25">
      <c r="A1739" s="160" t="s">
        <v>444</v>
      </c>
      <c r="B1739" s="98" t="s">
        <v>62</v>
      </c>
      <c r="C1739" s="98" t="s">
        <v>238</v>
      </c>
      <c r="D1739" s="98" t="s">
        <v>642</v>
      </c>
      <c r="E1739" s="162" t="s">
        <v>2229</v>
      </c>
      <c r="F1739" s="160" t="s">
        <v>2230</v>
      </c>
      <c r="G1739" s="107" t="s">
        <v>88</v>
      </c>
      <c r="H1739" s="99" t="s">
        <v>2231</v>
      </c>
      <c r="I1739" s="46" t="e">
        <f>VLOOKUP(H1739,'合同高级查询数据-4月返'!A:A,1,FALSE)</f>
        <v>#N/A</v>
      </c>
      <c r="J1739" s="47" t="s">
        <v>90</v>
      </c>
      <c r="K1739" s="160" t="s">
        <v>2275</v>
      </c>
      <c r="L1739" s="107"/>
      <c r="M1739" s="49" t="s">
        <v>2233</v>
      </c>
      <c r="N1739" s="73">
        <v>44334</v>
      </c>
      <c r="O1739" s="107" t="s">
        <v>503</v>
      </c>
      <c r="P1739" s="164">
        <v>5800</v>
      </c>
      <c r="Q1739" s="164">
        <v>65</v>
      </c>
      <c r="R1739" s="118">
        <f t="shared" si="42"/>
        <v>377000</v>
      </c>
      <c r="S1739" s="115">
        <v>202304</v>
      </c>
      <c r="T1739" s="119" t="s">
        <v>2300</v>
      </c>
      <c r="U1739" s="166"/>
      <c r="V1739" s="165"/>
      <c r="W1739" s="165"/>
      <c r="X1739" s="116">
        <v>43709</v>
      </c>
      <c r="Y1739" s="116">
        <v>45900</v>
      </c>
    </row>
    <row r="1740" s="85" customFormat="1" customHeight="1" spans="1:25">
      <c r="A1740" s="160" t="s">
        <v>444</v>
      </c>
      <c r="B1740" s="98" t="s">
        <v>62</v>
      </c>
      <c r="C1740" s="98" t="s">
        <v>238</v>
      </c>
      <c r="D1740" s="98" t="s">
        <v>642</v>
      </c>
      <c r="E1740" s="162" t="s">
        <v>2229</v>
      </c>
      <c r="F1740" s="160" t="s">
        <v>2230</v>
      </c>
      <c r="G1740" s="107" t="s">
        <v>88</v>
      </c>
      <c r="H1740" s="99" t="s">
        <v>2231</v>
      </c>
      <c r="I1740" s="46" t="e">
        <f>VLOOKUP(H1740,'合同高级查询数据-4月返'!A:A,1,FALSE)</f>
        <v>#N/A</v>
      </c>
      <c r="J1740" s="47" t="s">
        <v>90</v>
      </c>
      <c r="K1740" s="160" t="s">
        <v>2275</v>
      </c>
      <c r="L1740" s="107"/>
      <c r="M1740" s="49" t="s">
        <v>2233</v>
      </c>
      <c r="N1740" s="73">
        <v>44335</v>
      </c>
      <c r="O1740" s="107" t="s">
        <v>503</v>
      </c>
      <c r="P1740" s="164">
        <v>5800</v>
      </c>
      <c r="Q1740" s="164">
        <v>60</v>
      </c>
      <c r="R1740" s="118">
        <f t="shared" si="42"/>
        <v>348000</v>
      </c>
      <c r="S1740" s="115">
        <v>202304</v>
      </c>
      <c r="T1740" s="119" t="s">
        <v>2301</v>
      </c>
      <c r="U1740" s="166"/>
      <c r="V1740" s="165"/>
      <c r="W1740" s="165"/>
      <c r="X1740" s="116">
        <v>43709</v>
      </c>
      <c r="Y1740" s="116">
        <v>45900</v>
      </c>
    </row>
    <row r="1741" s="85" customFormat="1" customHeight="1" spans="1:25">
      <c r="A1741" s="160" t="s">
        <v>444</v>
      </c>
      <c r="B1741" s="98" t="s">
        <v>62</v>
      </c>
      <c r="C1741" s="98" t="s">
        <v>238</v>
      </c>
      <c r="D1741" s="98" t="s">
        <v>642</v>
      </c>
      <c r="E1741" s="162" t="s">
        <v>2229</v>
      </c>
      <c r="F1741" s="160" t="s">
        <v>2230</v>
      </c>
      <c r="G1741" s="107" t="s">
        <v>88</v>
      </c>
      <c r="H1741" s="99" t="s">
        <v>2231</v>
      </c>
      <c r="I1741" s="46" t="e">
        <f>VLOOKUP(H1741,'合同高级查询数据-4月返'!A:A,1,FALSE)</f>
        <v>#N/A</v>
      </c>
      <c r="J1741" s="47" t="s">
        <v>90</v>
      </c>
      <c r="K1741" s="160" t="s">
        <v>2275</v>
      </c>
      <c r="L1741" s="107"/>
      <c r="M1741" s="49" t="s">
        <v>2233</v>
      </c>
      <c r="N1741" s="73">
        <v>44337</v>
      </c>
      <c r="O1741" s="107" t="s">
        <v>503</v>
      </c>
      <c r="P1741" s="164">
        <v>5800</v>
      </c>
      <c r="Q1741" s="164">
        <v>19</v>
      </c>
      <c r="R1741" s="118">
        <f t="shared" si="42"/>
        <v>110200</v>
      </c>
      <c r="S1741" s="115">
        <v>202304</v>
      </c>
      <c r="T1741" s="119" t="s">
        <v>2302</v>
      </c>
      <c r="U1741" s="166"/>
      <c r="V1741" s="165"/>
      <c r="W1741" s="165"/>
      <c r="X1741" s="116">
        <v>43709</v>
      </c>
      <c r="Y1741" s="116">
        <v>45900</v>
      </c>
    </row>
    <row r="1742" s="85" customFormat="1" customHeight="1" spans="1:25">
      <c r="A1742" s="160" t="s">
        <v>444</v>
      </c>
      <c r="B1742" s="98" t="s">
        <v>62</v>
      </c>
      <c r="C1742" s="98" t="s">
        <v>238</v>
      </c>
      <c r="D1742" s="98" t="s">
        <v>642</v>
      </c>
      <c r="E1742" s="162" t="s">
        <v>2229</v>
      </c>
      <c r="F1742" s="160" t="s">
        <v>2230</v>
      </c>
      <c r="G1742" s="107" t="s">
        <v>88</v>
      </c>
      <c r="H1742" s="99" t="s">
        <v>2231</v>
      </c>
      <c r="I1742" s="46" t="e">
        <f>VLOOKUP(H1742,'合同高级查询数据-4月返'!A:A,1,FALSE)</f>
        <v>#N/A</v>
      </c>
      <c r="J1742" s="47" t="s">
        <v>90</v>
      </c>
      <c r="K1742" s="160" t="s">
        <v>2275</v>
      </c>
      <c r="L1742" s="107"/>
      <c r="M1742" s="49" t="s">
        <v>2233</v>
      </c>
      <c r="N1742" s="73">
        <v>44870</v>
      </c>
      <c r="O1742" s="107" t="s">
        <v>503</v>
      </c>
      <c r="P1742" s="164">
        <v>5800</v>
      </c>
      <c r="Q1742" s="164">
        <v>-9</v>
      </c>
      <c r="R1742" s="118">
        <f t="shared" si="42"/>
        <v>-52200</v>
      </c>
      <c r="S1742" s="115">
        <v>202304</v>
      </c>
      <c r="T1742" s="119" t="s">
        <v>2303</v>
      </c>
      <c r="U1742" s="166"/>
      <c r="V1742" s="165"/>
      <c r="W1742" s="165"/>
      <c r="X1742" s="116">
        <v>43709</v>
      </c>
      <c r="Y1742" s="116">
        <v>45900</v>
      </c>
    </row>
    <row r="1743" s="85" customFormat="1" customHeight="1" spans="1:25">
      <c r="A1743" s="160" t="s">
        <v>444</v>
      </c>
      <c r="B1743" s="98" t="s">
        <v>62</v>
      </c>
      <c r="C1743" s="98" t="s">
        <v>238</v>
      </c>
      <c r="D1743" s="98" t="s">
        <v>642</v>
      </c>
      <c r="E1743" s="162" t="s">
        <v>2229</v>
      </c>
      <c r="F1743" s="160" t="s">
        <v>2230</v>
      </c>
      <c r="G1743" s="107" t="s">
        <v>88</v>
      </c>
      <c r="H1743" s="99" t="s">
        <v>2231</v>
      </c>
      <c r="I1743" s="46" t="e">
        <f>VLOOKUP(H1743,'合同高级查询数据-4月返'!A:A,1,FALSE)</f>
        <v>#N/A</v>
      </c>
      <c r="J1743" s="47" t="s">
        <v>90</v>
      </c>
      <c r="K1743" s="160" t="s">
        <v>2232</v>
      </c>
      <c r="L1743" s="107"/>
      <c r="M1743" s="49" t="s">
        <v>2233</v>
      </c>
      <c r="N1743" s="73">
        <v>44972</v>
      </c>
      <c r="O1743" s="107" t="s">
        <v>600</v>
      </c>
      <c r="P1743" s="164">
        <v>200</v>
      </c>
      <c r="Q1743" s="164">
        <v>-2</v>
      </c>
      <c r="R1743" s="118">
        <f t="shared" si="42"/>
        <v>-400</v>
      </c>
      <c r="S1743" s="115">
        <v>202304</v>
      </c>
      <c r="T1743" s="119" t="s">
        <v>2304</v>
      </c>
      <c r="U1743" s="166"/>
      <c r="V1743" s="165"/>
      <c r="W1743" s="165"/>
      <c r="X1743" s="116">
        <v>43709</v>
      </c>
      <c r="Y1743" s="116">
        <v>45900</v>
      </c>
    </row>
    <row r="1744" s="85" customFormat="1" customHeight="1" spans="1:25">
      <c r="A1744" s="160" t="s">
        <v>444</v>
      </c>
      <c r="B1744" s="98" t="s">
        <v>62</v>
      </c>
      <c r="C1744" s="98" t="s">
        <v>238</v>
      </c>
      <c r="D1744" s="98" t="s">
        <v>642</v>
      </c>
      <c r="E1744" s="162" t="s">
        <v>2229</v>
      </c>
      <c r="F1744" s="160" t="s">
        <v>2230</v>
      </c>
      <c r="G1744" s="107" t="s">
        <v>88</v>
      </c>
      <c r="H1744" s="99" t="s">
        <v>2231</v>
      </c>
      <c r="I1744" s="46" t="e">
        <f>VLOOKUP(H1744,'合同高级查询数据-4月返'!A:A,1,FALSE)</f>
        <v>#N/A</v>
      </c>
      <c r="J1744" s="47" t="s">
        <v>90</v>
      </c>
      <c r="K1744" s="160" t="s">
        <v>2275</v>
      </c>
      <c r="L1744" s="107"/>
      <c r="M1744" s="49" t="s">
        <v>2233</v>
      </c>
      <c r="N1744" s="73">
        <v>44985</v>
      </c>
      <c r="O1744" s="107" t="s">
        <v>503</v>
      </c>
      <c r="P1744" s="164">
        <v>5800</v>
      </c>
      <c r="Q1744" s="164">
        <v>-9</v>
      </c>
      <c r="R1744" s="118">
        <f t="shared" si="42"/>
        <v>-52200</v>
      </c>
      <c r="S1744" s="115">
        <v>202304</v>
      </c>
      <c r="T1744" s="167" t="s">
        <v>2305</v>
      </c>
      <c r="U1744" s="166"/>
      <c r="V1744" s="165"/>
      <c r="W1744" s="165"/>
      <c r="X1744" s="116">
        <v>43709</v>
      </c>
      <c r="Y1744" s="116">
        <v>45900</v>
      </c>
    </row>
    <row r="1745" s="85" customFormat="1" customHeight="1" spans="1:25">
      <c r="A1745" s="160" t="s">
        <v>444</v>
      </c>
      <c r="B1745" s="98" t="s">
        <v>62</v>
      </c>
      <c r="C1745" s="98" t="s">
        <v>238</v>
      </c>
      <c r="D1745" s="98" t="s">
        <v>642</v>
      </c>
      <c r="E1745" s="162" t="s">
        <v>2229</v>
      </c>
      <c r="F1745" s="160" t="s">
        <v>2230</v>
      </c>
      <c r="G1745" s="107" t="s">
        <v>346</v>
      </c>
      <c r="H1745" s="99" t="s">
        <v>2306</v>
      </c>
      <c r="I1745" s="46" t="e">
        <f>VLOOKUP(H1745,'合同高级查询数据-4月返'!A:A,1,FALSE)</f>
        <v>#N/A</v>
      </c>
      <c r="J1745" s="107" t="s">
        <v>346</v>
      </c>
      <c r="K1745" s="160" t="s">
        <v>2307</v>
      </c>
      <c r="L1745" s="107"/>
      <c r="M1745" s="49"/>
      <c r="N1745" s="73">
        <v>43984</v>
      </c>
      <c r="O1745" s="107" t="s">
        <v>2042</v>
      </c>
      <c r="P1745" s="164">
        <v>225000</v>
      </c>
      <c r="Q1745" s="118">
        <v>1</v>
      </c>
      <c r="R1745" s="118">
        <f t="shared" si="42"/>
        <v>225000</v>
      </c>
      <c r="S1745" s="115">
        <v>202304</v>
      </c>
      <c r="T1745" s="184" t="s">
        <v>2308</v>
      </c>
      <c r="U1745" s="166"/>
      <c r="V1745" s="165"/>
      <c r="W1745" s="165"/>
      <c r="X1745" s="116">
        <v>43709</v>
      </c>
      <c r="Y1745" s="116">
        <v>45900</v>
      </c>
    </row>
    <row r="1746" s="85" customFormat="1" customHeight="1" spans="1:25">
      <c r="A1746" s="160" t="s">
        <v>444</v>
      </c>
      <c r="B1746" s="98" t="s">
        <v>62</v>
      </c>
      <c r="C1746" s="98" t="s">
        <v>238</v>
      </c>
      <c r="D1746" s="98" t="s">
        <v>642</v>
      </c>
      <c r="E1746" s="162" t="s">
        <v>2229</v>
      </c>
      <c r="F1746" s="160" t="s">
        <v>2230</v>
      </c>
      <c r="G1746" s="107" t="s">
        <v>346</v>
      </c>
      <c r="H1746" s="99" t="s">
        <v>2306</v>
      </c>
      <c r="I1746" s="46" t="e">
        <f>VLOOKUP(H1746,'合同高级查询数据-4月返'!A:A,1,FALSE)</f>
        <v>#N/A</v>
      </c>
      <c r="J1746" s="107" t="s">
        <v>346</v>
      </c>
      <c r="K1746" s="160" t="s">
        <v>2307</v>
      </c>
      <c r="L1746" s="107"/>
      <c r="M1746" s="49"/>
      <c r="N1746" s="73">
        <v>44985</v>
      </c>
      <c r="O1746" s="107" t="s">
        <v>2042</v>
      </c>
      <c r="P1746" s="164">
        <v>225000</v>
      </c>
      <c r="Q1746" s="118">
        <v>-1</v>
      </c>
      <c r="R1746" s="118">
        <f t="shared" si="42"/>
        <v>-225000</v>
      </c>
      <c r="S1746" s="115">
        <v>202304</v>
      </c>
      <c r="T1746" s="184" t="s">
        <v>2309</v>
      </c>
      <c r="U1746" s="185"/>
      <c r="V1746" s="165"/>
      <c r="W1746" s="165"/>
      <c r="X1746" s="116">
        <v>43709</v>
      </c>
      <c r="Y1746" s="116">
        <v>45900</v>
      </c>
    </row>
    <row r="1747" s="85" customFormat="1" customHeight="1" spans="1:25">
      <c r="A1747" s="160" t="s">
        <v>444</v>
      </c>
      <c r="B1747" s="98" t="s">
        <v>62</v>
      </c>
      <c r="C1747" s="98" t="s">
        <v>238</v>
      </c>
      <c r="D1747" s="98" t="s">
        <v>642</v>
      </c>
      <c r="E1747" s="162" t="s">
        <v>2229</v>
      </c>
      <c r="F1747" s="160" t="s">
        <v>2230</v>
      </c>
      <c r="G1747" s="25" t="s">
        <v>67</v>
      </c>
      <c r="H1747" s="99" t="s">
        <v>2306</v>
      </c>
      <c r="I1747" s="46" t="e">
        <f>VLOOKUP(H1747,'合同高级查询数据-4月返'!A:A,1,FALSE)</f>
        <v>#N/A</v>
      </c>
      <c r="J1747" s="25" t="s">
        <v>69</v>
      </c>
      <c r="K1747" s="160" t="s">
        <v>2310</v>
      </c>
      <c r="L1747" s="107"/>
      <c r="M1747" s="49"/>
      <c r="N1747" s="73">
        <v>43746</v>
      </c>
      <c r="O1747" s="107" t="s">
        <v>1716</v>
      </c>
      <c r="P1747" s="164">
        <v>385</v>
      </c>
      <c r="Q1747" s="118">
        <v>231.34</v>
      </c>
      <c r="R1747" s="118">
        <f t="shared" si="42"/>
        <v>89065.9</v>
      </c>
      <c r="S1747" s="115">
        <v>202304</v>
      </c>
      <c r="T1747" s="119" t="s">
        <v>2311</v>
      </c>
      <c r="U1747" s="166"/>
      <c r="V1747" s="165"/>
      <c r="W1747" s="165"/>
      <c r="X1747" s="116">
        <v>43709</v>
      </c>
      <c r="Y1747" s="116">
        <v>45900</v>
      </c>
    </row>
    <row r="1748" s="85" customFormat="1" customHeight="1" spans="1:25">
      <c r="A1748" s="160" t="s">
        <v>444</v>
      </c>
      <c r="B1748" s="98" t="s">
        <v>62</v>
      </c>
      <c r="C1748" s="98" t="s">
        <v>238</v>
      </c>
      <c r="D1748" s="98" t="s">
        <v>642</v>
      </c>
      <c r="E1748" s="162" t="s">
        <v>2229</v>
      </c>
      <c r="F1748" s="160" t="s">
        <v>2230</v>
      </c>
      <c r="G1748" s="25" t="s">
        <v>67</v>
      </c>
      <c r="H1748" s="99" t="s">
        <v>2306</v>
      </c>
      <c r="I1748" s="46" t="e">
        <f>VLOOKUP(H1748,'合同高级查询数据-4月返'!A:A,1,FALSE)</f>
        <v>#N/A</v>
      </c>
      <c r="J1748" s="25" t="s">
        <v>69</v>
      </c>
      <c r="K1748" s="160" t="s">
        <v>2312</v>
      </c>
      <c r="L1748" s="107"/>
      <c r="M1748" s="49"/>
      <c r="N1748" s="73">
        <v>43746</v>
      </c>
      <c r="O1748" s="107" t="s">
        <v>1716</v>
      </c>
      <c r="P1748" s="164">
        <v>385</v>
      </c>
      <c r="Q1748" s="118">
        <v>448.4</v>
      </c>
      <c r="R1748" s="118">
        <f t="shared" si="42"/>
        <v>172634</v>
      </c>
      <c r="S1748" s="115">
        <v>202304</v>
      </c>
      <c r="T1748" s="119" t="s">
        <v>2313</v>
      </c>
      <c r="U1748" s="166"/>
      <c r="V1748" s="165"/>
      <c r="W1748" s="165"/>
      <c r="X1748" s="116">
        <v>43709</v>
      </c>
      <c r="Y1748" s="116">
        <v>45900</v>
      </c>
    </row>
    <row r="1749" s="85" customFormat="1" customHeight="1" spans="1:25">
      <c r="A1749" s="160" t="s">
        <v>444</v>
      </c>
      <c r="B1749" s="98" t="s">
        <v>62</v>
      </c>
      <c r="C1749" s="98" t="s">
        <v>238</v>
      </c>
      <c r="D1749" s="98" t="s">
        <v>642</v>
      </c>
      <c r="E1749" s="162" t="s">
        <v>2229</v>
      </c>
      <c r="F1749" s="160" t="s">
        <v>2230</v>
      </c>
      <c r="G1749" s="107" t="s">
        <v>88</v>
      </c>
      <c r="H1749" s="99" t="s">
        <v>2314</v>
      </c>
      <c r="I1749" s="46" t="e">
        <f>VLOOKUP(H1749,'合同高级查询数据-4月返'!A:A,1,FALSE)</f>
        <v>#N/A</v>
      </c>
      <c r="J1749" s="47" t="s">
        <v>90</v>
      </c>
      <c r="K1749" s="160" t="s">
        <v>2275</v>
      </c>
      <c r="L1749" s="107"/>
      <c r="M1749" s="49" t="s">
        <v>2233</v>
      </c>
      <c r="N1749" s="73">
        <v>44337</v>
      </c>
      <c r="O1749" s="107" t="s">
        <v>503</v>
      </c>
      <c r="P1749" s="164">
        <v>5800</v>
      </c>
      <c r="Q1749" s="164">
        <v>11</v>
      </c>
      <c r="R1749" s="118">
        <f t="shared" si="42"/>
        <v>63800</v>
      </c>
      <c r="S1749" s="115">
        <v>202304</v>
      </c>
      <c r="T1749" s="119" t="s">
        <v>2315</v>
      </c>
      <c r="U1749" s="166"/>
      <c r="V1749" s="165"/>
      <c r="W1749" s="165"/>
      <c r="X1749" s="116">
        <v>43709</v>
      </c>
      <c r="Y1749" s="116">
        <v>45900</v>
      </c>
    </row>
    <row r="1750" s="85" customFormat="1" customHeight="1" spans="1:25">
      <c r="A1750" s="160" t="s">
        <v>444</v>
      </c>
      <c r="B1750" s="98" t="s">
        <v>62</v>
      </c>
      <c r="C1750" s="98" t="s">
        <v>238</v>
      </c>
      <c r="D1750" s="98" t="s">
        <v>642</v>
      </c>
      <c r="E1750" s="162" t="s">
        <v>2229</v>
      </c>
      <c r="F1750" s="160" t="s">
        <v>2230</v>
      </c>
      <c r="G1750" s="107" t="s">
        <v>88</v>
      </c>
      <c r="H1750" s="99" t="s">
        <v>2314</v>
      </c>
      <c r="I1750" s="46" t="e">
        <f>VLOOKUP(H1750,'合同高级查询数据-4月返'!A:A,1,FALSE)</f>
        <v>#N/A</v>
      </c>
      <c r="J1750" s="47" t="s">
        <v>90</v>
      </c>
      <c r="K1750" s="160" t="s">
        <v>2275</v>
      </c>
      <c r="L1750" s="107"/>
      <c r="M1750" s="49" t="s">
        <v>2256</v>
      </c>
      <c r="N1750" s="73">
        <v>44365</v>
      </c>
      <c r="O1750" s="107" t="s">
        <v>503</v>
      </c>
      <c r="P1750" s="164">
        <v>5800</v>
      </c>
      <c r="Q1750" s="164">
        <v>2</v>
      </c>
      <c r="R1750" s="118">
        <f t="shared" si="42"/>
        <v>11600</v>
      </c>
      <c r="S1750" s="115">
        <v>202304</v>
      </c>
      <c r="T1750" s="119" t="s">
        <v>2316</v>
      </c>
      <c r="U1750" s="166"/>
      <c r="V1750" s="165"/>
      <c r="W1750" s="165"/>
      <c r="X1750" s="116">
        <v>43709</v>
      </c>
      <c r="Y1750" s="116">
        <v>45900</v>
      </c>
    </row>
    <row r="1751" s="85" customFormat="1" customHeight="1" spans="1:25">
      <c r="A1751" s="160" t="s">
        <v>444</v>
      </c>
      <c r="B1751" s="98" t="s">
        <v>62</v>
      </c>
      <c r="C1751" s="98" t="s">
        <v>238</v>
      </c>
      <c r="D1751" s="98" t="s">
        <v>642</v>
      </c>
      <c r="E1751" s="162" t="s">
        <v>2229</v>
      </c>
      <c r="F1751" s="160" t="s">
        <v>2230</v>
      </c>
      <c r="G1751" s="107" t="s">
        <v>88</v>
      </c>
      <c r="H1751" s="99" t="s">
        <v>2314</v>
      </c>
      <c r="I1751" s="46" t="e">
        <f>VLOOKUP(H1751,'合同高级查询数据-4月返'!A:A,1,FALSE)</f>
        <v>#N/A</v>
      </c>
      <c r="J1751" s="47" t="s">
        <v>90</v>
      </c>
      <c r="K1751" s="160" t="s">
        <v>2275</v>
      </c>
      <c r="L1751" s="107"/>
      <c r="M1751" s="49" t="s">
        <v>2233</v>
      </c>
      <c r="N1751" s="73">
        <v>44379</v>
      </c>
      <c r="O1751" s="107" t="s">
        <v>503</v>
      </c>
      <c r="P1751" s="164">
        <v>5800</v>
      </c>
      <c r="Q1751" s="164">
        <v>8</v>
      </c>
      <c r="R1751" s="118">
        <f t="shared" si="42"/>
        <v>46400</v>
      </c>
      <c r="S1751" s="115">
        <v>202304</v>
      </c>
      <c r="T1751" s="119" t="s">
        <v>2317</v>
      </c>
      <c r="U1751" s="166"/>
      <c r="V1751" s="165"/>
      <c r="W1751" s="165"/>
      <c r="X1751" s="116">
        <v>43709</v>
      </c>
      <c r="Y1751" s="116">
        <v>45900</v>
      </c>
    </row>
    <row r="1752" s="85" customFormat="1" customHeight="1" spans="1:25">
      <c r="A1752" s="160" t="s">
        <v>444</v>
      </c>
      <c r="B1752" s="98" t="s">
        <v>62</v>
      </c>
      <c r="C1752" s="98" t="s">
        <v>238</v>
      </c>
      <c r="D1752" s="98" t="s">
        <v>642</v>
      </c>
      <c r="E1752" s="162" t="s">
        <v>2229</v>
      </c>
      <c r="F1752" s="160" t="s">
        <v>2230</v>
      </c>
      <c r="G1752" s="107" t="s">
        <v>88</v>
      </c>
      <c r="H1752" s="99" t="s">
        <v>2314</v>
      </c>
      <c r="I1752" s="46" t="e">
        <f>VLOOKUP(H1752,'合同高级查询数据-4月返'!A:A,1,FALSE)</f>
        <v>#N/A</v>
      </c>
      <c r="J1752" s="47" t="s">
        <v>90</v>
      </c>
      <c r="K1752" s="160" t="s">
        <v>2275</v>
      </c>
      <c r="L1752" s="107"/>
      <c r="M1752" s="49" t="s">
        <v>2233</v>
      </c>
      <c r="N1752" s="73">
        <v>44391</v>
      </c>
      <c r="O1752" s="107" t="s">
        <v>503</v>
      </c>
      <c r="P1752" s="164">
        <v>5800</v>
      </c>
      <c r="Q1752" s="164">
        <v>8</v>
      </c>
      <c r="R1752" s="118">
        <f t="shared" si="42"/>
        <v>46400</v>
      </c>
      <c r="S1752" s="115">
        <v>202304</v>
      </c>
      <c r="T1752" s="119" t="s">
        <v>2318</v>
      </c>
      <c r="U1752" s="166"/>
      <c r="V1752" s="165"/>
      <c r="W1752" s="165"/>
      <c r="X1752" s="116">
        <v>43709</v>
      </c>
      <c r="Y1752" s="116">
        <v>45900</v>
      </c>
    </row>
    <row r="1753" s="85" customFormat="1" customHeight="1" spans="1:25">
      <c r="A1753" s="160" t="s">
        <v>444</v>
      </c>
      <c r="B1753" s="98" t="s">
        <v>62</v>
      </c>
      <c r="C1753" s="98" t="s">
        <v>238</v>
      </c>
      <c r="D1753" s="98" t="s">
        <v>642</v>
      </c>
      <c r="E1753" s="162" t="s">
        <v>2229</v>
      </c>
      <c r="F1753" s="160" t="s">
        <v>2230</v>
      </c>
      <c r="G1753" s="107" t="s">
        <v>88</v>
      </c>
      <c r="H1753" s="99" t="s">
        <v>2314</v>
      </c>
      <c r="I1753" s="46" t="e">
        <f>VLOOKUP(H1753,'合同高级查询数据-4月返'!A:A,1,FALSE)</f>
        <v>#N/A</v>
      </c>
      <c r="J1753" s="47" t="s">
        <v>90</v>
      </c>
      <c r="K1753" s="160" t="s">
        <v>2275</v>
      </c>
      <c r="L1753" s="107"/>
      <c r="M1753" s="49" t="s">
        <v>2233</v>
      </c>
      <c r="N1753" s="73">
        <v>44392</v>
      </c>
      <c r="O1753" s="107" t="s">
        <v>503</v>
      </c>
      <c r="P1753" s="164">
        <v>5800</v>
      </c>
      <c r="Q1753" s="164">
        <v>2</v>
      </c>
      <c r="R1753" s="118">
        <f t="shared" ref="R1753:R1766" si="43">ROUND(P1753*Q1753,2)</f>
        <v>11600</v>
      </c>
      <c r="S1753" s="115">
        <v>202304</v>
      </c>
      <c r="T1753" s="119" t="s">
        <v>2319</v>
      </c>
      <c r="U1753" s="166"/>
      <c r="V1753" s="165"/>
      <c r="W1753" s="165"/>
      <c r="X1753" s="116">
        <v>43709</v>
      </c>
      <c r="Y1753" s="116">
        <v>45900</v>
      </c>
    </row>
    <row r="1754" s="85" customFormat="1" customHeight="1" spans="1:25">
      <c r="A1754" s="160" t="s">
        <v>444</v>
      </c>
      <c r="B1754" s="98" t="s">
        <v>62</v>
      </c>
      <c r="C1754" s="98" t="s">
        <v>238</v>
      </c>
      <c r="D1754" s="98" t="s">
        <v>642</v>
      </c>
      <c r="E1754" s="162" t="s">
        <v>2229</v>
      </c>
      <c r="F1754" s="160" t="s">
        <v>2230</v>
      </c>
      <c r="G1754" s="107" t="s">
        <v>88</v>
      </c>
      <c r="H1754" s="99" t="s">
        <v>2314</v>
      </c>
      <c r="I1754" s="46" t="e">
        <f>VLOOKUP(H1754,'合同高级查询数据-4月返'!A:A,1,FALSE)</f>
        <v>#N/A</v>
      </c>
      <c r="J1754" s="47" t="s">
        <v>90</v>
      </c>
      <c r="K1754" s="160" t="s">
        <v>2275</v>
      </c>
      <c r="L1754" s="107"/>
      <c r="M1754" s="49" t="s">
        <v>2233</v>
      </c>
      <c r="N1754" s="73">
        <v>44477</v>
      </c>
      <c r="O1754" s="107" t="s">
        <v>503</v>
      </c>
      <c r="P1754" s="164">
        <v>5800</v>
      </c>
      <c r="Q1754" s="164">
        <v>49</v>
      </c>
      <c r="R1754" s="118">
        <f t="shared" si="43"/>
        <v>284200</v>
      </c>
      <c r="S1754" s="115">
        <v>202304</v>
      </c>
      <c r="T1754" s="119" t="s">
        <v>2320</v>
      </c>
      <c r="U1754" s="166"/>
      <c r="V1754" s="165"/>
      <c r="W1754" s="165"/>
      <c r="X1754" s="116">
        <v>43709</v>
      </c>
      <c r="Y1754" s="116">
        <v>45900</v>
      </c>
    </row>
    <row r="1755" s="85" customFormat="1" customHeight="1" spans="1:25">
      <c r="A1755" s="160" t="s">
        <v>444</v>
      </c>
      <c r="B1755" s="98" t="s">
        <v>62</v>
      </c>
      <c r="C1755" s="98" t="s">
        <v>238</v>
      </c>
      <c r="D1755" s="98" t="s">
        <v>642</v>
      </c>
      <c r="E1755" s="162" t="s">
        <v>2229</v>
      </c>
      <c r="F1755" s="160" t="s">
        <v>2230</v>
      </c>
      <c r="G1755" s="107" t="s">
        <v>88</v>
      </c>
      <c r="H1755" s="99" t="s">
        <v>2314</v>
      </c>
      <c r="I1755" s="46" t="e">
        <f>VLOOKUP(H1755,'合同高级查询数据-4月返'!A:A,1,FALSE)</f>
        <v>#N/A</v>
      </c>
      <c r="J1755" s="47" t="s">
        <v>90</v>
      </c>
      <c r="K1755" s="160" t="s">
        <v>2275</v>
      </c>
      <c r="L1755" s="107"/>
      <c r="M1755" s="49" t="s">
        <v>2233</v>
      </c>
      <c r="N1755" s="73">
        <v>44479</v>
      </c>
      <c r="O1755" s="107" t="s">
        <v>503</v>
      </c>
      <c r="P1755" s="164">
        <v>5800</v>
      </c>
      <c r="Q1755" s="164">
        <v>6</v>
      </c>
      <c r="R1755" s="118">
        <f t="shared" si="43"/>
        <v>34800</v>
      </c>
      <c r="S1755" s="115">
        <v>202304</v>
      </c>
      <c r="T1755" s="119" t="s">
        <v>2321</v>
      </c>
      <c r="U1755" s="166"/>
      <c r="V1755" s="165"/>
      <c r="W1755" s="165"/>
      <c r="X1755" s="116">
        <v>43709</v>
      </c>
      <c r="Y1755" s="116">
        <v>45900</v>
      </c>
    </row>
    <row r="1756" s="85" customFormat="1" customHeight="1" spans="1:25">
      <c r="A1756" s="160" t="s">
        <v>444</v>
      </c>
      <c r="B1756" s="98" t="s">
        <v>62</v>
      </c>
      <c r="C1756" s="98" t="s">
        <v>238</v>
      </c>
      <c r="D1756" s="98" t="s">
        <v>642</v>
      </c>
      <c r="E1756" s="162" t="s">
        <v>2229</v>
      </c>
      <c r="F1756" s="160" t="s">
        <v>2230</v>
      </c>
      <c r="G1756" s="107" t="s">
        <v>88</v>
      </c>
      <c r="H1756" s="99" t="s">
        <v>2314</v>
      </c>
      <c r="I1756" s="46" t="e">
        <f>VLOOKUP(H1756,'合同高级查询数据-4月返'!A:A,1,FALSE)</f>
        <v>#N/A</v>
      </c>
      <c r="J1756" s="47" t="s">
        <v>90</v>
      </c>
      <c r="K1756" s="160" t="s">
        <v>2275</v>
      </c>
      <c r="L1756" s="107"/>
      <c r="M1756" s="49" t="s">
        <v>2233</v>
      </c>
      <c r="N1756" s="73">
        <v>44393</v>
      </c>
      <c r="O1756" s="107" t="s">
        <v>503</v>
      </c>
      <c r="P1756" s="164">
        <v>5800</v>
      </c>
      <c r="Q1756" s="164">
        <v>2</v>
      </c>
      <c r="R1756" s="118">
        <f t="shared" si="43"/>
        <v>11600</v>
      </c>
      <c r="S1756" s="115">
        <v>202304</v>
      </c>
      <c r="T1756" s="119" t="s">
        <v>2322</v>
      </c>
      <c r="U1756" s="166"/>
      <c r="V1756" s="165"/>
      <c r="W1756" s="165"/>
      <c r="X1756" s="116">
        <v>43709</v>
      </c>
      <c r="Y1756" s="116">
        <v>45900</v>
      </c>
    </row>
    <row r="1757" s="85" customFormat="1" customHeight="1" spans="1:25">
      <c r="A1757" s="160" t="s">
        <v>444</v>
      </c>
      <c r="B1757" s="98" t="s">
        <v>62</v>
      </c>
      <c r="C1757" s="98" t="s">
        <v>238</v>
      </c>
      <c r="D1757" s="98" t="s">
        <v>642</v>
      </c>
      <c r="E1757" s="162" t="s">
        <v>2229</v>
      </c>
      <c r="F1757" s="160" t="s">
        <v>2230</v>
      </c>
      <c r="G1757" s="107" t="s">
        <v>88</v>
      </c>
      <c r="H1757" s="99" t="s">
        <v>2314</v>
      </c>
      <c r="I1757" s="46" t="e">
        <f>VLOOKUP(H1757,'合同高级查询数据-4月返'!A:A,1,FALSE)</f>
        <v>#N/A</v>
      </c>
      <c r="J1757" s="47" t="s">
        <v>90</v>
      </c>
      <c r="K1757" s="160" t="s">
        <v>2232</v>
      </c>
      <c r="L1757" s="107"/>
      <c r="M1757" s="49" t="s">
        <v>2256</v>
      </c>
      <c r="N1757" s="73">
        <v>44568</v>
      </c>
      <c r="O1757" s="107" t="s">
        <v>503</v>
      </c>
      <c r="P1757" s="164">
        <v>5800</v>
      </c>
      <c r="Q1757" s="164">
        <v>1</v>
      </c>
      <c r="R1757" s="118">
        <f t="shared" si="43"/>
        <v>5800</v>
      </c>
      <c r="S1757" s="115">
        <v>202304</v>
      </c>
      <c r="T1757" s="119" t="s">
        <v>2323</v>
      </c>
      <c r="U1757" s="166"/>
      <c r="V1757" s="165"/>
      <c r="W1757" s="165"/>
      <c r="X1757" s="116">
        <v>43709</v>
      </c>
      <c r="Y1757" s="116">
        <v>45900</v>
      </c>
    </row>
    <row r="1758" s="85" customFormat="1" customHeight="1" spans="1:25">
      <c r="A1758" s="160" t="s">
        <v>444</v>
      </c>
      <c r="B1758" s="98" t="s">
        <v>62</v>
      </c>
      <c r="C1758" s="98" t="s">
        <v>238</v>
      </c>
      <c r="D1758" s="98" t="s">
        <v>642</v>
      </c>
      <c r="E1758" s="162" t="s">
        <v>2229</v>
      </c>
      <c r="F1758" s="160" t="s">
        <v>2230</v>
      </c>
      <c r="G1758" s="107" t="s">
        <v>88</v>
      </c>
      <c r="H1758" s="99" t="s">
        <v>2314</v>
      </c>
      <c r="I1758" s="46" t="e">
        <f>VLOOKUP(H1758,'合同高级查询数据-4月返'!A:A,1,FALSE)</f>
        <v>#N/A</v>
      </c>
      <c r="J1758" s="47" t="s">
        <v>90</v>
      </c>
      <c r="K1758" s="160" t="s">
        <v>2275</v>
      </c>
      <c r="L1758" s="107"/>
      <c r="M1758" s="49" t="s">
        <v>2233</v>
      </c>
      <c r="N1758" s="73">
        <v>44869</v>
      </c>
      <c r="O1758" s="107" t="s">
        <v>503</v>
      </c>
      <c r="P1758" s="164">
        <v>5800</v>
      </c>
      <c r="Q1758" s="164">
        <v>-4</v>
      </c>
      <c r="R1758" s="118">
        <f t="shared" si="43"/>
        <v>-23200</v>
      </c>
      <c r="S1758" s="115">
        <v>202304</v>
      </c>
      <c r="T1758" s="119" t="s">
        <v>2324</v>
      </c>
      <c r="U1758" s="166"/>
      <c r="V1758" s="165"/>
      <c r="W1758" s="165"/>
      <c r="X1758" s="116">
        <v>43709</v>
      </c>
      <c r="Y1758" s="116">
        <v>45900</v>
      </c>
    </row>
    <row r="1759" s="85" customFormat="1" customHeight="1" spans="1:25">
      <c r="A1759" s="160" t="s">
        <v>444</v>
      </c>
      <c r="B1759" s="98" t="s">
        <v>62</v>
      </c>
      <c r="C1759" s="98" t="s">
        <v>238</v>
      </c>
      <c r="D1759" s="98" t="s">
        <v>642</v>
      </c>
      <c r="E1759" s="162" t="s">
        <v>2229</v>
      </c>
      <c r="F1759" s="160" t="s">
        <v>2230</v>
      </c>
      <c r="G1759" s="107" t="s">
        <v>88</v>
      </c>
      <c r="H1759" s="99" t="s">
        <v>2314</v>
      </c>
      <c r="I1759" s="46" t="e">
        <f>VLOOKUP(H1759,'合同高级查询数据-4月返'!A:A,1,FALSE)</f>
        <v>#N/A</v>
      </c>
      <c r="J1759" s="47" t="s">
        <v>90</v>
      </c>
      <c r="K1759" s="160" t="s">
        <v>2275</v>
      </c>
      <c r="L1759" s="107"/>
      <c r="M1759" s="49" t="s">
        <v>2233</v>
      </c>
      <c r="N1759" s="73">
        <v>44870</v>
      </c>
      <c r="O1759" s="107" t="s">
        <v>503</v>
      </c>
      <c r="P1759" s="164">
        <v>5800</v>
      </c>
      <c r="Q1759" s="164">
        <v>-5</v>
      </c>
      <c r="R1759" s="118">
        <f t="shared" si="43"/>
        <v>-29000</v>
      </c>
      <c r="S1759" s="115">
        <v>202304</v>
      </c>
      <c r="T1759" s="119" t="s">
        <v>2325</v>
      </c>
      <c r="U1759" s="166"/>
      <c r="V1759" s="165"/>
      <c r="W1759" s="165"/>
      <c r="X1759" s="116">
        <v>43709</v>
      </c>
      <c r="Y1759" s="116">
        <v>45900</v>
      </c>
    </row>
    <row r="1760" s="85" customFormat="1" customHeight="1" spans="1:25">
      <c r="A1760" s="160" t="s">
        <v>444</v>
      </c>
      <c r="B1760" s="98" t="s">
        <v>62</v>
      </c>
      <c r="C1760" s="98" t="s">
        <v>238</v>
      </c>
      <c r="D1760" s="98" t="s">
        <v>642</v>
      </c>
      <c r="E1760" s="162" t="s">
        <v>2229</v>
      </c>
      <c r="F1760" s="160" t="s">
        <v>2230</v>
      </c>
      <c r="G1760" s="107" t="s">
        <v>88</v>
      </c>
      <c r="H1760" s="99" t="s">
        <v>2314</v>
      </c>
      <c r="I1760" s="46" t="e">
        <f>VLOOKUP(H1760,'合同高级查询数据-4月返'!A:A,1,FALSE)</f>
        <v>#N/A</v>
      </c>
      <c r="J1760" s="47" t="s">
        <v>90</v>
      </c>
      <c r="K1760" s="160" t="s">
        <v>2275</v>
      </c>
      <c r="L1760" s="107"/>
      <c r="M1760" s="49" t="s">
        <v>2233</v>
      </c>
      <c r="N1760" s="73">
        <v>44958</v>
      </c>
      <c r="O1760" s="107" t="s">
        <v>503</v>
      </c>
      <c r="P1760" s="164">
        <v>5800</v>
      </c>
      <c r="Q1760" s="164">
        <v>1</v>
      </c>
      <c r="R1760" s="118">
        <f t="shared" si="43"/>
        <v>5800</v>
      </c>
      <c r="S1760" s="115">
        <v>202304</v>
      </c>
      <c r="T1760" s="119" t="s">
        <v>2326</v>
      </c>
      <c r="U1760" s="166"/>
      <c r="V1760" s="165"/>
      <c r="W1760" s="165"/>
      <c r="X1760" s="116">
        <v>43709</v>
      </c>
      <c r="Y1760" s="116">
        <v>45900</v>
      </c>
    </row>
    <row r="1761" s="85" customFormat="1" customHeight="1" spans="1:25">
      <c r="A1761" s="160" t="s">
        <v>444</v>
      </c>
      <c r="B1761" s="98" t="s">
        <v>62</v>
      </c>
      <c r="C1761" s="98" t="s">
        <v>238</v>
      </c>
      <c r="D1761" s="98" t="s">
        <v>642</v>
      </c>
      <c r="E1761" s="162" t="s">
        <v>2229</v>
      </c>
      <c r="F1761" s="160" t="s">
        <v>2230</v>
      </c>
      <c r="G1761" s="25" t="s">
        <v>67</v>
      </c>
      <c r="H1761" s="99" t="s">
        <v>2314</v>
      </c>
      <c r="I1761" s="46" t="e">
        <f>VLOOKUP(H1761,'合同高级查询数据-4月返'!A:A,1,FALSE)</f>
        <v>#N/A</v>
      </c>
      <c r="J1761" s="25" t="s">
        <v>69</v>
      </c>
      <c r="K1761" s="160" t="s">
        <v>2327</v>
      </c>
      <c r="L1761" s="107"/>
      <c r="M1761" s="49"/>
      <c r="N1761" s="73">
        <v>44393</v>
      </c>
      <c r="O1761" s="107" t="s">
        <v>71</v>
      </c>
      <c r="P1761" s="164">
        <v>385</v>
      </c>
      <c r="Q1761" s="118">
        <v>100</v>
      </c>
      <c r="R1761" s="118">
        <f t="shared" si="43"/>
        <v>38500</v>
      </c>
      <c r="S1761" s="115">
        <v>202304</v>
      </c>
      <c r="T1761" s="119" t="s">
        <v>2328</v>
      </c>
      <c r="U1761" s="166"/>
      <c r="V1761" s="165"/>
      <c r="W1761" s="165"/>
      <c r="X1761" s="116">
        <v>43709</v>
      </c>
      <c r="Y1761" s="116">
        <v>45900</v>
      </c>
    </row>
    <row r="1762" s="85" customFormat="1" customHeight="1" spans="1:25">
      <c r="A1762" s="160" t="s">
        <v>444</v>
      </c>
      <c r="B1762" s="98" t="s">
        <v>62</v>
      </c>
      <c r="C1762" s="98" t="s">
        <v>238</v>
      </c>
      <c r="D1762" s="98" t="s">
        <v>642</v>
      </c>
      <c r="E1762" s="162" t="s">
        <v>2229</v>
      </c>
      <c r="F1762" s="160" t="s">
        <v>2230</v>
      </c>
      <c r="G1762" s="25" t="s">
        <v>67</v>
      </c>
      <c r="H1762" s="99" t="s">
        <v>2314</v>
      </c>
      <c r="I1762" s="46" t="e">
        <f>VLOOKUP(H1762,'合同高级查询数据-4月返'!A:A,1,FALSE)</f>
        <v>#N/A</v>
      </c>
      <c r="J1762" s="25" t="s">
        <v>69</v>
      </c>
      <c r="K1762" s="160" t="s">
        <v>2327</v>
      </c>
      <c r="L1762" s="107"/>
      <c r="M1762" s="49"/>
      <c r="N1762" s="73">
        <v>44393</v>
      </c>
      <c r="O1762" s="107" t="s">
        <v>71</v>
      </c>
      <c r="P1762" s="164">
        <v>385</v>
      </c>
      <c r="Q1762" s="118">
        <v>83</v>
      </c>
      <c r="R1762" s="118">
        <f t="shared" si="43"/>
        <v>31955</v>
      </c>
      <c r="S1762" s="115">
        <v>202304</v>
      </c>
      <c r="T1762" s="119" t="s">
        <v>2329</v>
      </c>
      <c r="U1762" s="166"/>
      <c r="V1762" s="165"/>
      <c r="W1762" s="165"/>
      <c r="X1762" s="116">
        <v>43709</v>
      </c>
      <c r="Y1762" s="116">
        <v>45900</v>
      </c>
    </row>
    <row r="1763" s="85" customFormat="1" customHeight="1" spans="1:25">
      <c r="A1763" s="160" t="s">
        <v>444</v>
      </c>
      <c r="B1763" s="98" t="s">
        <v>62</v>
      </c>
      <c r="C1763" s="98" t="s">
        <v>238</v>
      </c>
      <c r="D1763" s="98" t="s">
        <v>642</v>
      </c>
      <c r="E1763" s="162" t="s">
        <v>2229</v>
      </c>
      <c r="F1763" s="160" t="s">
        <v>2230</v>
      </c>
      <c r="G1763" s="107" t="s">
        <v>67</v>
      </c>
      <c r="H1763" s="99" t="s">
        <v>2314</v>
      </c>
      <c r="I1763" s="46" t="e">
        <f>VLOOKUP(H1763,'合同高级查询数据-4月返'!A:A,1,FALSE)</f>
        <v>#N/A</v>
      </c>
      <c r="J1763" s="107" t="s">
        <v>69</v>
      </c>
      <c r="K1763" s="160" t="s">
        <v>2327</v>
      </c>
      <c r="L1763" s="107"/>
      <c r="M1763" s="49"/>
      <c r="N1763" s="73">
        <v>44427</v>
      </c>
      <c r="O1763" s="107" t="s">
        <v>71</v>
      </c>
      <c r="P1763" s="164">
        <v>385</v>
      </c>
      <c r="Q1763" s="118">
        <v>90.6</v>
      </c>
      <c r="R1763" s="118">
        <f t="shared" si="43"/>
        <v>34881</v>
      </c>
      <c r="S1763" s="115">
        <v>202304</v>
      </c>
      <c r="T1763" s="184" t="s">
        <v>2330</v>
      </c>
      <c r="U1763" s="185"/>
      <c r="V1763" s="165"/>
      <c r="W1763" s="165"/>
      <c r="X1763" s="116">
        <v>43709</v>
      </c>
      <c r="Y1763" s="116">
        <v>45900</v>
      </c>
    </row>
    <row r="1764" s="85" customFormat="1" customHeight="1" spans="1:25">
      <c r="A1764" s="160" t="s">
        <v>444</v>
      </c>
      <c r="B1764" s="98" t="s">
        <v>62</v>
      </c>
      <c r="C1764" s="98" t="s">
        <v>238</v>
      </c>
      <c r="D1764" s="98" t="s">
        <v>642</v>
      </c>
      <c r="E1764" s="162" t="s">
        <v>2229</v>
      </c>
      <c r="F1764" s="160" t="s">
        <v>2230</v>
      </c>
      <c r="G1764" s="107" t="s">
        <v>67</v>
      </c>
      <c r="H1764" s="99" t="s">
        <v>2314</v>
      </c>
      <c r="I1764" s="46" t="e">
        <f>VLOOKUP(H1764,'合同高级查询数据-4月返'!A:A,1,FALSE)</f>
        <v>#N/A</v>
      </c>
      <c r="J1764" s="107" t="s">
        <v>69</v>
      </c>
      <c r="K1764" s="160" t="s">
        <v>2327</v>
      </c>
      <c r="L1764" s="107"/>
      <c r="M1764" s="49"/>
      <c r="N1764" s="73">
        <v>44442</v>
      </c>
      <c r="O1764" s="107" t="s">
        <v>71</v>
      </c>
      <c r="P1764" s="164">
        <v>385</v>
      </c>
      <c r="Q1764" s="118">
        <v>104.9</v>
      </c>
      <c r="R1764" s="118">
        <f t="shared" si="43"/>
        <v>40386.5</v>
      </c>
      <c r="S1764" s="115">
        <v>202304</v>
      </c>
      <c r="T1764" s="184" t="s">
        <v>2331</v>
      </c>
      <c r="U1764" s="185"/>
      <c r="V1764" s="165"/>
      <c r="W1764" s="165"/>
      <c r="X1764" s="116">
        <v>43709</v>
      </c>
      <c r="Y1764" s="116">
        <v>45900</v>
      </c>
    </row>
    <row r="1765" s="85" customFormat="1" customHeight="1" spans="1:25">
      <c r="A1765" s="160" t="s">
        <v>444</v>
      </c>
      <c r="B1765" s="98" t="s">
        <v>62</v>
      </c>
      <c r="C1765" s="98" t="s">
        <v>238</v>
      </c>
      <c r="D1765" s="98" t="s">
        <v>642</v>
      </c>
      <c r="E1765" s="162" t="s">
        <v>2229</v>
      </c>
      <c r="F1765" s="160" t="s">
        <v>2230</v>
      </c>
      <c r="G1765" s="107" t="s">
        <v>67</v>
      </c>
      <c r="H1765" s="99" t="s">
        <v>2314</v>
      </c>
      <c r="I1765" s="46" t="e">
        <f>VLOOKUP(H1765,'合同高级查询数据-4月返'!A:A,1,FALSE)</f>
        <v>#N/A</v>
      </c>
      <c r="J1765" s="107" t="s">
        <v>69</v>
      </c>
      <c r="K1765" s="160" t="s">
        <v>2332</v>
      </c>
      <c r="L1765" s="107"/>
      <c r="M1765" s="49"/>
      <c r="N1765" s="73">
        <v>44501</v>
      </c>
      <c r="O1765" s="107" t="s">
        <v>71</v>
      </c>
      <c r="P1765" s="164">
        <v>385</v>
      </c>
      <c r="Q1765" s="118">
        <v>40.4</v>
      </c>
      <c r="R1765" s="118">
        <f t="shared" si="43"/>
        <v>15554</v>
      </c>
      <c r="S1765" s="115">
        <v>202304</v>
      </c>
      <c r="T1765" s="184" t="s">
        <v>2333</v>
      </c>
      <c r="U1765" s="185"/>
      <c r="V1765" s="165"/>
      <c r="W1765" s="165"/>
      <c r="X1765" s="116">
        <v>43709</v>
      </c>
      <c r="Y1765" s="116">
        <v>45900</v>
      </c>
    </row>
    <row r="1766" s="85" customFormat="1" customHeight="1" spans="1:25">
      <c r="A1766" s="160" t="s">
        <v>444</v>
      </c>
      <c r="B1766" s="98" t="s">
        <v>62</v>
      </c>
      <c r="C1766" s="98" t="s">
        <v>238</v>
      </c>
      <c r="D1766" s="98" t="s">
        <v>642</v>
      </c>
      <c r="E1766" s="162" t="s">
        <v>2229</v>
      </c>
      <c r="F1766" s="160" t="s">
        <v>2230</v>
      </c>
      <c r="G1766" s="107" t="s">
        <v>67</v>
      </c>
      <c r="H1766" s="99" t="s">
        <v>2314</v>
      </c>
      <c r="I1766" s="46" t="e">
        <f>VLOOKUP(H1766,'合同高级查询数据-4月返'!A:A,1,FALSE)</f>
        <v>#N/A</v>
      </c>
      <c r="J1766" s="107" t="s">
        <v>69</v>
      </c>
      <c r="K1766" s="160" t="s">
        <v>2332</v>
      </c>
      <c r="L1766" s="107"/>
      <c r="M1766" s="49"/>
      <c r="N1766" s="73">
        <v>44501</v>
      </c>
      <c r="O1766" s="107" t="s">
        <v>71</v>
      </c>
      <c r="P1766" s="164">
        <v>385</v>
      </c>
      <c r="Q1766" s="118">
        <v>66.5</v>
      </c>
      <c r="R1766" s="118">
        <f t="shared" si="43"/>
        <v>25602.5</v>
      </c>
      <c r="S1766" s="115">
        <v>202304</v>
      </c>
      <c r="T1766" s="184" t="s">
        <v>2333</v>
      </c>
      <c r="U1766" s="185"/>
      <c r="V1766" s="165"/>
      <c r="W1766" s="165"/>
      <c r="X1766" s="116">
        <v>43709</v>
      </c>
      <c r="Y1766" s="116">
        <v>45900</v>
      </c>
    </row>
    <row r="1767" s="85" customFormat="1" customHeight="1" spans="1:25">
      <c r="A1767" s="22" t="s">
        <v>444</v>
      </c>
      <c r="B1767" s="98" t="s">
        <v>62</v>
      </c>
      <c r="C1767" s="24" t="s">
        <v>238</v>
      </c>
      <c r="D1767" s="24" t="s">
        <v>642</v>
      </c>
      <c r="E1767" s="46" t="s">
        <v>2229</v>
      </c>
      <c r="F1767" s="22" t="s">
        <v>2230</v>
      </c>
      <c r="G1767" s="107" t="s">
        <v>88</v>
      </c>
      <c r="H1767" s="100" t="s">
        <v>2334</v>
      </c>
      <c r="I1767" s="46" t="str">
        <f>VLOOKUP(H1767,'合同高级查询数据-4月返'!A:A,1,FALSE)</f>
        <v>182315IDC00075</v>
      </c>
      <c r="J1767" s="178" t="s">
        <v>162</v>
      </c>
      <c r="K1767" s="22" t="s">
        <v>2335</v>
      </c>
      <c r="L1767" s="109" t="s">
        <v>2230</v>
      </c>
      <c r="M1767" s="49" t="s">
        <v>2336</v>
      </c>
      <c r="N1767" s="73">
        <v>42309</v>
      </c>
      <c r="O1767" s="107" t="s">
        <v>163</v>
      </c>
      <c r="P1767" s="108">
        <v>5000</v>
      </c>
      <c r="Q1767" s="118">
        <v>8</v>
      </c>
      <c r="R1767" s="118">
        <f>Q1767*P1767</f>
        <v>40000</v>
      </c>
      <c r="S1767" s="115">
        <v>202304</v>
      </c>
      <c r="T1767" s="119" t="s">
        <v>2337</v>
      </c>
      <c r="U1767" s="119"/>
      <c r="V1767" s="120"/>
      <c r="W1767" s="120"/>
      <c r="X1767" s="116">
        <v>44927</v>
      </c>
      <c r="Y1767" s="116">
        <v>45107</v>
      </c>
    </row>
    <row r="1768" s="85" customFormat="1" customHeight="1" spans="1:25">
      <c r="A1768" s="22" t="s">
        <v>444</v>
      </c>
      <c r="B1768" s="98" t="s">
        <v>62</v>
      </c>
      <c r="C1768" s="24" t="s">
        <v>238</v>
      </c>
      <c r="D1768" s="24" t="s">
        <v>642</v>
      </c>
      <c r="E1768" s="46" t="s">
        <v>2229</v>
      </c>
      <c r="F1768" s="22" t="s">
        <v>2230</v>
      </c>
      <c r="G1768" s="107" t="s">
        <v>88</v>
      </c>
      <c r="H1768" s="100" t="s">
        <v>2334</v>
      </c>
      <c r="I1768" s="46" t="str">
        <f>VLOOKUP(H1768,'合同高级查询数据-4月返'!A:A,1,FALSE)</f>
        <v>182315IDC00075</v>
      </c>
      <c r="J1768" s="178" t="s">
        <v>162</v>
      </c>
      <c r="K1768" s="22" t="s">
        <v>2335</v>
      </c>
      <c r="L1768" s="109" t="s">
        <v>2230</v>
      </c>
      <c r="M1768" s="49" t="s">
        <v>2336</v>
      </c>
      <c r="N1768" s="73">
        <v>44712</v>
      </c>
      <c r="O1768" s="107" t="s">
        <v>163</v>
      </c>
      <c r="P1768" s="108">
        <v>5000</v>
      </c>
      <c r="Q1768" s="118">
        <v>-8</v>
      </c>
      <c r="R1768" s="118">
        <f>Q1768*P1768</f>
        <v>-40000</v>
      </c>
      <c r="S1768" s="115">
        <v>202304</v>
      </c>
      <c r="T1768" s="119" t="s">
        <v>2338</v>
      </c>
      <c r="U1768" s="119"/>
      <c r="V1768" s="120"/>
      <c r="W1768" s="120"/>
      <c r="X1768" s="116">
        <v>44927</v>
      </c>
      <c r="Y1768" s="116">
        <v>45107</v>
      </c>
    </row>
    <row r="1769" s="85" customFormat="1" customHeight="1" spans="1:25">
      <c r="A1769" s="22" t="s">
        <v>444</v>
      </c>
      <c r="B1769" s="98" t="s">
        <v>62</v>
      </c>
      <c r="C1769" s="24" t="s">
        <v>238</v>
      </c>
      <c r="D1769" s="24" t="s">
        <v>642</v>
      </c>
      <c r="E1769" s="46" t="s">
        <v>2229</v>
      </c>
      <c r="F1769" s="22" t="s">
        <v>2230</v>
      </c>
      <c r="G1769" s="107" t="s">
        <v>88</v>
      </c>
      <c r="H1769" s="100" t="s">
        <v>2334</v>
      </c>
      <c r="I1769" s="46" t="str">
        <f>VLOOKUP(H1769,'合同高级查询数据-4月返'!A:A,1,FALSE)</f>
        <v>182315IDC00075</v>
      </c>
      <c r="J1769" s="178" t="s">
        <v>1287</v>
      </c>
      <c r="K1769" s="22" t="s">
        <v>2335</v>
      </c>
      <c r="L1769" s="107" t="s">
        <v>2339</v>
      </c>
      <c r="M1769" s="49" t="s">
        <v>2340</v>
      </c>
      <c r="N1769" s="73">
        <v>42430</v>
      </c>
      <c r="O1769" s="107" t="s">
        <v>163</v>
      </c>
      <c r="P1769" s="108">
        <v>5000</v>
      </c>
      <c r="Q1769" s="118">
        <v>4</v>
      </c>
      <c r="R1769" s="118">
        <f>Q1769*P1769</f>
        <v>20000</v>
      </c>
      <c r="S1769" s="115">
        <v>202304</v>
      </c>
      <c r="T1769" s="119" t="s">
        <v>2341</v>
      </c>
      <c r="U1769" s="119"/>
      <c r="V1769" s="120"/>
      <c r="W1769" s="120"/>
      <c r="X1769" s="116">
        <v>44927</v>
      </c>
      <c r="Y1769" s="116">
        <v>45107</v>
      </c>
    </row>
    <row r="1770" s="85" customFormat="1" customHeight="1" spans="1:25">
      <c r="A1770" s="22" t="s">
        <v>444</v>
      </c>
      <c r="B1770" s="98" t="s">
        <v>62</v>
      </c>
      <c r="C1770" s="24" t="s">
        <v>238</v>
      </c>
      <c r="D1770" s="24" t="s">
        <v>642</v>
      </c>
      <c r="E1770" s="46" t="s">
        <v>2229</v>
      </c>
      <c r="F1770" s="22" t="s">
        <v>2230</v>
      </c>
      <c r="G1770" s="107" t="s">
        <v>88</v>
      </c>
      <c r="H1770" s="100" t="s">
        <v>2334</v>
      </c>
      <c r="I1770" s="46" t="str">
        <f>VLOOKUP(H1770,'合同高级查询数据-4月返'!A:A,1,FALSE)</f>
        <v>182315IDC00075</v>
      </c>
      <c r="J1770" s="178" t="s">
        <v>1287</v>
      </c>
      <c r="K1770" s="22" t="s">
        <v>2335</v>
      </c>
      <c r="L1770" s="107" t="s">
        <v>2339</v>
      </c>
      <c r="M1770" s="49" t="s">
        <v>2340</v>
      </c>
      <c r="N1770" s="73">
        <v>44644</v>
      </c>
      <c r="O1770" s="107" t="s">
        <v>163</v>
      </c>
      <c r="P1770" s="108">
        <v>5000</v>
      </c>
      <c r="Q1770" s="118">
        <v>-1</v>
      </c>
      <c r="R1770" s="118">
        <f>ROUND(P1770*Q1770,2)</f>
        <v>-5000</v>
      </c>
      <c r="S1770" s="115">
        <v>202304</v>
      </c>
      <c r="T1770" s="119" t="s">
        <v>2342</v>
      </c>
      <c r="U1770" s="119"/>
      <c r="V1770" s="120"/>
      <c r="W1770" s="120"/>
      <c r="X1770" s="116">
        <v>44927</v>
      </c>
      <c r="Y1770" s="116">
        <v>45107</v>
      </c>
    </row>
    <row r="1771" s="85" customFormat="1" customHeight="1" spans="1:25">
      <c r="A1771" s="24" t="s">
        <v>444</v>
      </c>
      <c r="B1771" s="98" t="s">
        <v>62</v>
      </c>
      <c r="C1771" s="22" t="s">
        <v>238</v>
      </c>
      <c r="D1771" s="24" t="s">
        <v>642</v>
      </c>
      <c r="E1771" s="23" t="s">
        <v>2229</v>
      </c>
      <c r="F1771" s="24" t="s">
        <v>2230</v>
      </c>
      <c r="G1771" s="24" t="s">
        <v>88</v>
      </c>
      <c r="H1771" s="100" t="s">
        <v>2334</v>
      </c>
      <c r="I1771" s="46" t="str">
        <f>VLOOKUP(H1771,'合同高级查询数据-4月返'!A:A,1,FALSE)</f>
        <v>182315IDC00075</v>
      </c>
      <c r="J1771" s="178" t="s">
        <v>162</v>
      </c>
      <c r="K1771" s="22" t="s">
        <v>2343</v>
      </c>
      <c r="L1771" s="25" t="s">
        <v>2344</v>
      </c>
      <c r="M1771" s="49" t="s">
        <v>2336</v>
      </c>
      <c r="N1771" s="73">
        <v>44013</v>
      </c>
      <c r="O1771" s="73" t="s">
        <v>163</v>
      </c>
      <c r="P1771" s="275">
        <v>5000</v>
      </c>
      <c r="Q1771" s="118">
        <v>3</v>
      </c>
      <c r="R1771" s="117">
        <f>ROUND(P1771*Q1771,2)</f>
        <v>15000</v>
      </c>
      <c r="S1771" s="115">
        <v>202304</v>
      </c>
      <c r="T1771" s="119" t="s">
        <v>2345</v>
      </c>
      <c r="U1771" s="119"/>
      <c r="V1771" s="210"/>
      <c r="W1771" s="210"/>
      <c r="X1771" s="116">
        <v>44927</v>
      </c>
      <c r="Y1771" s="116">
        <v>45107</v>
      </c>
    </row>
    <row r="1772" s="85" customFormat="1" customHeight="1" spans="1:25">
      <c r="A1772" s="24" t="s">
        <v>444</v>
      </c>
      <c r="B1772" s="98" t="s">
        <v>62</v>
      </c>
      <c r="C1772" s="22" t="s">
        <v>238</v>
      </c>
      <c r="D1772" s="24" t="s">
        <v>642</v>
      </c>
      <c r="E1772" s="23" t="s">
        <v>2229</v>
      </c>
      <c r="F1772" s="24" t="s">
        <v>2230</v>
      </c>
      <c r="G1772" s="24" t="s">
        <v>88</v>
      </c>
      <c r="H1772" s="100" t="s">
        <v>2334</v>
      </c>
      <c r="I1772" s="46" t="str">
        <f>VLOOKUP(H1772,'合同高级查询数据-4月返'!A:A,1,FALSE)</f>
        <v>182315IDC00075</v>
      </c>
      <c r="J1772" s="178" t="s">
        <v>162</v>
      </c>
      <c r="K1772" s="22" t="s">
        <v>2343</v>
      </c>
      <c r="L1772" s="25" t="s">
        <v>2344</v>
      </c>
      <c r="M1772" s="49" t="s">
        <v>2336</v>
      </c>
      <c r="N1772" s="73">
        <v>44555</v>
      </c>
      <c r="O1772" s="73" t="s">
        <v>163</v>
      </c>
      <c r="P1772" s="275">
        <v>5000</v>
      </c>
      <c r="Q1772" s="118">
        <v>-1</v>
      </c>
      <c r="R1772" s="118">
        <f>ROUND(P1772*Q1772,2)</f>
        <v>-5000</v>
      </c>
      <c r="S1772" s="115">
        <v>202304</v>
      </c>
      <c r="T1772" s="119" t="s">
        <v>2346</v>
      </c>
      <c r="U1772" s="119"/>
      <c r="V1772" s="210"/>
      <c r="W1772" s="210"/>
      <c r="X1772" s="116">
        <v>44927</v>
      </c>
      <c r="Y1772" s="116">
        <v>45107</v>
      </c>
    </row>
    <row r="1773" s="85" customFormat="1" customHeight="1" spans="1:25">
      <c r="A1773" s="24" t="s">
        <v>444</v>
      </c>
      <c r="B1773" s="98" t="s">
        <v>62</v>
      </c>
      <c r="C1773" s="22" t="s">
        <v>238</v>
      </c>
      <c r="D1773" s="24" t="s">
        <v>642</v>
      </c>
      <c r="E1773" s="23" t="s">
        <v>2229</v>
      </c>
      <c r="F1773" s="24" t="s">
        <v>2230</v>
      </c>
      <c r="G1773" s="24" t="s">
        <v>88</v>
      </c>
      <c r="H1773" s="100" t="s">
        <v>2334</v>
      </c>
      <c r="I1773" s="46" t="str">
        <f>VLOOKUP(H1773,'合同高级查询数据-4月返'!A:A,1,FALSE)</f>
        <v>182315IDC00075</v>
      </c>
      <c r="J1773" s="178" t="s">
        <v>162</v>
      </c>
      <c r="K1773" s="22" t="s">
        <v>2343</v>
      </c>
      <c r="L1773" s="25" t="s">
        <v>2344</v>
      </c>
      <c r="M1773" s="49" t="s">
        <v>2336</v>
      </c>
      <c r="N1773" s="73">
        <v>44773</v>
      </c>
      <c r="O1773" s="73" t="s">
        <v>163</v>
      </c>
      <c r="P1773" s="275">
        <v>5000</v>
      </c>
      <c r="Q1773" s="118">
        <v>-1</v>
      </c>
      <c r="R1773" s="118">
        <f>ROUND(P1773*Q1773,2)</f>
        <v>-5000</v>
      </c>
      <c r="S1773" s="115">
        <v>202304</v>
      </c>
      <c r="T1773" s="119" t="s">
        <v>2347</v>
      </c>
      <c r="U1773" s="119"/>
      <c r="V1773" s="210"/>
      <c r="W1773" s="210"/>
      <c r="X1773" s="116">
        <v>44927</v>
      </c>
      <c r="Y1773" s="116">
        <v>45107</v>
      </c>
    </row>
    <row r="1774" s="85" customFormat="1" customHeight="1" spans="1:25">
      <c r="A1774" s="22" t="s">
        <v>444</v>
      </c>
      <c r="B1774" s="98" t="s">
        <v>62</v>
      </c>
      <c r="C1774" s="24" t="s">
        <v>238</v>
      </c>
      <c r="D1774" s="24" t="s">
        <v>642</v>
      </c>
      <c r="E1774" s="46" t="s">
        <v>2229</v>
      </c>
      <c r="F1774" s="22" t="s">
        <v>2230</v>
      </c>
      <c r="G1774" s="107" t="s">
        <v>31</v>
      </c>
      <c r="H1774" s="100" t="s">
        <v>2334</v>
      </c>
      <c r="I1774" s="46" t="str">
        <f>VLOOKUP(H1774,'合同高级查询数据-4月返'!A:A,1,FALSE)</f>
        <v>182315IDC00075</v>
      </c>
      <c r="J1774" s="178" t="s">
        <v>1273</v>
      </c>
      <c r="K1774" s="22" t="s">
        <v>2335</v>
      </c>
      <c r="L1774" s="107" t="s">
        <v>2339</v>
      </c>
      <c r="M1774" s="49"/>
      <c r="N1774" s="73">
        <v>42430</v>
      </c>
      <c r="O1774" s="107"/>
      <c r="P1774" s="108">
        <v>0</v>
      </c>
      <c r="Q1774" s="118">
        <v>424</v>
      </c>
      <c r="R1774" s="118">
        <f t="shared" ref="R1774:R1779" si="44">ROUND(Q1774*P1774,2)</f>
        <v>0</v>
      </c>
      <c r="S1774" s="115">
        <v>202304</v>
      </c>
      <c r="T1774" s="119" t="s">
        <v>2348</v>
      </c>
      <c r="U1774" s="119"/>
      <c r="V1774" s="120"/>
      <c r="W1774" s="120"/>
      <c r="X1774" s="116">
        <v>44927</v>
      </c>
      <c r="Y1774" s="116">
        <v>45107</v>
      </c>
    </row>
    <row r="1775" s="85" customFormat="1" customHeight="1" spans="1:25">
      <c r="A1775" s="22" t="s">
        <v>444</v>
      </c>
      <c r="B1775" s="98" t="s">
        <v>62</v>
      </c>
      <c r="C1775" s="24" t="s">
        <v>238</v>
      </c>
      <c r="D1775" s="24" t="s">
        <v>642</v>
      </c>
      <c r="E1775" s="46" t="s">
        <v>2229</v>
      </c>
      <c r="F1775" s="22" t="s">
        <v>2230</v>
      </c>
      <c r="G1775" s="107" t="s">
        <v>31</v>
      </c>
      <c r="H1775" s="100" t="s">
        <v>2334</v>
      </c>
      <c r="I1775" s="46" t="str">
        <f>VLOOKUP(H1775,'合同高级查询数据-4月返'!A:A,1,FALSE)</f>
        <v>182315IDC00075</v>
      </c>
      <c r="J1775" s="178" t="s">
        <v>1273</v>
      </c>
      <c r="K1775" s="22" t="s">
        <v>2335</v>
      </c>
      <c r="L1775" s="107" t="s">
        <v>2339</v>
      </c>
      <c r="M1775" s="49"/>
      <c r="N1775" s="73">
        <v>42430</v>
      </c>
      <c r="O1775" s="107"/>
      <c r="P1775" s="108">
        <v>50</v>
      </c>
      <c r="Q1775" s="118">
        <v>344</v>
      </c>
      <c r="R1775" s="118">
        <f t="shared" si="44"/>
        <v>17200</v>
      </c>
      <c r="S1775" s="115">
        <v>202304</v>
      </c>
      <c r="T1775" s="119" t="s">
        <v>2349</v>
      </c>
      <c r="U1775" s="119"/>
      <c r="V1775" s="120"/>
      <c r="W1775" s="120"/>
      <c r="X1775" s="116">
        <v>44927</v>
      </c>
      <c r="Y1775" s="116">
        <v>45107</v>
      </c>
    </row>
    <row r="1776" s="85" customFormat="1" customHeight="1" spans="1:25">
      <c r="A1776" s="24" t="s">
        <v>444</v>
      </c>
      <c r="B1776" s="98" t="s">
        <v>62</v>
      </c>
      <c r="C1776" s="22" t="s">
        <v>238</v>
      </c>
      <c r="D1776" s="24" t="s">
        <v>642</v>
      </c>
      <c r="E1776" s="23" t="s">
        <v>2229</v>
      </c>
      <c r="F1776" s="24" t="s">
        <v>2230</v>
      </c>
      <c r="G1776" s="24" t="s">
        <v>31</v>
      </c>
      <c r="H1776" s="100" t="s">
        <v>2334</v>
      </c>
      <c r="I1776" s="46" t="str">
        <f>VLOOKUP(H1776,'合同高级查询数据-4月返'!A:A,1,FALSE)</f>
        <v>182315IDC00075</v>
      </c>
      <c r="J1776" s="178" t="s">
        <v>33</v>
      </c>
      <c r="K1776" s="22" t="s">
        <v>2343</v>
      </c>
      <c r="L1776" s="109" t="s">
        <v>2344</v>
      </c>
      <c r="M1776" s="49"/>
      <c r="N1776" s="73">
        <v>44013</v>
      </c>
      <c r="O1776" s="73"/>
      <c r="P1776" s="275">
        <v>0</v>
      </c>
      <c r="Q1776" s="118">
        <v>288</v>
      </c>
      <c r="R1776" s="118">
        <f t="shared" si="44"/>
        <v>0</v>
      </c>
      <c r="S1776" s="115">
        <v>202304</v>
      </c>
      <c r="T1776" s="119" t="s">
        <v>2350</v>
      </c>
      <c r="U1776" s="119"/>
      <c r="V1776" s="210"/>
      <c r="W1776" s="210"/>
      <c r="X1776" s="116">
        <v>44927</v>
      </c>
      <c r="Y1776" s="116">
        <v>45107</v>
      </c>
    </row>
    <row r="1777" s="85" customFormat="1" customHeight="1" spans="1:25">
      <c r="A1777" s="24" t="s">
        <v>444</v>
      </c>
      <c r="B1777" s="98" t="s">
        <v>62</v>
      </c>
      <c r="C1777" s="22" t="s">
        <v>238</v>
      </c>
      <c r="D1777" s="24" t="s">
        <v>642</v>
      </c>
      <c r="E1777" s="23" t="s">
        <v>2229</v>
      </c>
      <c r="F1777" s="24" t="s">
        <v>2230</v>
      </c>
      <c r="G1777" s="24" t="s">
        <v>31</v>
      </c>
      <c r="H1777" s="100" t="s">
        <v>2334</v>
      </c>
      <c r="I1777" s="46" t="str">
        <f>VLOOKUP(H1777,'合同高级查询数据-4月返'!A:A,1,FALSE)</f>
        <v>182315IDC00075</v>
      </c>
      <c r="J1777" s="178" t="s">
        <v>33</v>
      </c>
      <c r="K1777" s="22" t="s">
        <v>2343</v>
      </c>
      <c r="L1777" s="109" t="s">
        <v>2344</v>
      </c>
      <c r="M1777" s="49"/>
      <c r="N1777" s="73">
        <v>44773</v>
      </c>
      <c r="O1777" s="73"/>
      <c r="P1777" s="275">
        <v>0</v>
      </c>
      <c r="Q1777" s="118">
        <v>-128</v>
      </c>
      <c r="R1777" s="118">
        <f t="shared" si="44"/>
        <v>0</v>
      </c>
      <c r="S1777" s="115">
        <v>202304</v>
      </c>
      <c r="T1777" s="119" t="s">
        <v>2351</v>
      </c>
      <c r="U1777" s="119"/>
      <c r="V1777" s="210"/>
      <c r="W1777" s="210"/>
      <c r="X1777" s="116">
        <v>44927</v>
      </c>
      <c r="Y1777" s="116">
        <v>45107</v>
      </c>
    </row>
    <row r="1778" s="85" customFormat="1" customHeight="1" spans="1:25">
      <c r="A1778" s="203" t="s">
        <v>444</v>
      </c>
      <c r="B1778" s="98" t="s">
        <v>62</v>
      </c>
      <c r="C1778" s="204" t="s">
        <v>238</v>
      </c>
      <c r="D1778" s="24" t="s">
        <v>642</v>
      </c>
      <c r="E1778" s="205" t="s">
        <v>2229</v>
      </c>
      <c r="F1778" s="203" t="s">
        <v>2230</v>
      </c>
      <c r="G1778" s="25" t="s">
        <v>31</v>
      </c>
      <c r="H1778" s="100" t="s">
        <v>2334</v>
      </c>
      <c r="I1778" s="46" t="str">
        <f>VLOOKUP(H1778,'合同高级查询数据-4月返'!A:A,1,FALSE)</f>
        <v>182315IDC00075</v>
      </c>
      <c r="J1778" s="178" t="s">
        <v>33</v>
      </c>
      <c r="K1778" s="203" t="s">
        <v>2352</v>
      </c>
      <c r="L1778" s="109" t="s">
        <v>2230</v>
      </c>
      <c r="M1778" s="49"/>
      <c r="N1778" s="73">
        <v>42309</v>
      </c>
      <c r="O1778" s="73"/>
      <c r="P1778" s="275">
        <v>0</v>
      </c>
      <c r="Q1778" s="212">
        <v>544</v>
      </c>
      <c r="R1778" s="118">
        <f t="shared" si="44"/>
        <v>0</v>
      </c>
      <c r="S1778" s="115">
        <v>202304</v>
      </c>
      <c r="T1778" s="184" t="s">
        <v>2353</v>
      </c>
      <c r="U1778" s="184"/>
      <c r="V1778" s="276"/>
      <c r="W1778" s="276"/>
      <c r="X1778" s="116">
        <v>44927</v>
      </c>
      <c r="Y1778" s="116">
        <v>45107</v>
      </c>
    </row>
    <row r="1779" s="85" customFormat="1" customHeight="1" spans="1:25">
      <c r="A1779" s="203" t="s">
        <v>444</v>
      </c>
      <c r="B1779" s="98" t="s">
        <v>62</v>
      </c>
      <c r="C1779" s="204" t="s">
        <v>238</v>
      </c>
      <c r="D1779" s="24" t="s">
        <v>642</v>
      </c>
      <c r="E1779" s="205" t="s">
        <v>2229</v>
      </c>
      <c r="F1779" s="203" t="s">
        <v>2230</v>
      </c>
      <c r="G1779" s="25" t="s">
        <v>31</v>
      </c>
      <c r="H1779" s="100" t="s">
        <v>2334</v>
      </c>
      <c r="I1779" s="46" t="str">
        <f>VLOOKUP(H1779,'合同高级查询数据-4月返'!A:A,1,FALSE)</f>
        <v>182315IDC00075</v>
      </c>
      <c r="J1779" s="178" t="s">
        <v>33</v>
      </c>
      <c r="K1779" s="203" t="s">
        <v>2352</v>
      </c>
      <c r="L1779" s="109" t="s">
        <v>2230</v>
      </c>
      <c r="M1779" s="49"/>
      <c r="N1779" s="73">
        <v>44712</v>
      </c>
      <c r="O1779" s="73"/>
      <c r="P1779" s="275">
        <v>0</v>
      </c>
      <c r="Q1779" s="212">
        <v>-544</v>
      </c>
      <c r="R1779" s="118">
        <f t="shared" si="44"/>
        <v>0</v>
      </c>
      <c r="S1779" s="115">
        <v>202304</v>
      </c>
      <c r="T1779" s="184" t="s">
        <v>2354</v>
      </c>
      <c r="U1779" s="184"/>
      <c r="V1779" s="276"/>
      <c r="W1779" s="276"/>
      <c r="X1779" s="116">
        <v>44927</v>
      </c>
      <c r="Y1779" s="116">
        <v>45107</v>
      </c>
    </row>
    <row r="1780" s="86" customFormat="1" customHeight="1" spans="1:25">
      <c r="A1780" s="134" t="s">
        <v>444</v>
      </c>
      <c r="B1780" s="135" t="s">
        <v>62</v>
      </c>
      <c r="C1780" s="135" t="s">
        <v>238</v>
      </c>
      <c r="D1780" s="135" t="s">
        <v>642</v>
      </c>
      <c r="E1780" s="136" t="s">
        <v>2229</v>
      </c>
      <c r="F1780" s="134" t="s">
        <v>2230</v>
      </c>
      <c r="G1780" s="142" t="s">
        <v>88</v>
      </c>
      <c r="H1780" s="152" t="s">
        <v>2355</v>
      </c>
      <c r="I1780" s="30" t="e">
        <f>VLOOKUP(H1780,'合同高级查询数据-4月返'!A:A,1,FALSE)</f>
        <v>#N/A</v>
      </c>
      <c r="J1780" s="31" t="s">
        <v>90</v>
      </c>
      <c r="K1780" s="134" t="s">
        <v>2232</v>
      </c>
      <c r="L1780" s="142"/>
      <c r="M1780" s="113" t="s">
        <v>2233</v>
      </c>
      <c r="N1780" s="146">
        <v>44973</v>
      </c>
      <c r="O1780" s="142" t="s">
        <v>574</v>
      </c>
      <c r="P1780" s="145">
        <f>5800/20*62.5</f>
        <v>18125</v>
      </c>
      <c r="Q1780" s="145">
        <v>2</v>
      </c>
      <c r="R1780" s="130">
        <f t="shared" ref="R1780:R1811" si="45">ROUND(P1780*Q1780,2)</f>
        <v>36250</v>
      </c>
      <c r="S1780" s="127">
        <v>202304</v>
      </c>
      <c r="T1780" s="150" t="s">
        <v>2304</v>
      </c>
      <c r="U1780" s="148"/>
      <c r="V1780" s="149"/>
      <c r="W1780" s="149"/>
      <c r="X1780" s="131"/>
      <c r="Y1780" s="131"/>
    </row>
    <row r="1781" s="86" customFormat="1" customHeight="1" spans="1:25">
      <c r="A1781" s="135" t="s">
        <v>444</v>
      </c>
      <c r="B1781" s="11" t="s">
        <v>62</v>
      </c>
      <c r="C1781" s="135" t="s">
        <v>238</v>
      </c>
      <c r="D1781" s="11" t="s">
        <v>642</v>
      </c>
      <c r="E1781" s="170" t="s">
        <v>2356</v>
      </c>
      <c r="F1781" s="135" t="s">
        <v>2357</v>
      </c>
      <c r="G1781" s="171" t="s">
        <v>88</v>
      </c>
      <c r="H1781" s="14" t="s">
        <v>2358</v>
      </c>
      <c r="I1781" s="30" t="e">
        <f>VLOOKUP(H1781,'合同高级查询数据-4月返'!A:A,1,FALSE)</f>
        <v>#N/A</v>
      </c>
      <c r="J1781" s="134" t="s">
        <v>162</v>
      </c>
      <c r="K1781" s="174" t="s">
        <v>2357</v>
      </c>
      <c r="L1781" s="174" t="s">
        <v>2359</v>
      </c>
      <c r="M1781" s="113" t="s">
        <v>2360</v>
      </c>
      <c r="N1781" s="175">
        <v>44835</v>
      </c>
      <c r="O1781" s="176" t="s">
        <v>92</v>
      </c>
      <c r="P1781" s="177">
        <v>5000</v>
      </c>
      <c r="Q1781" s="112">
        <v>3</v>
      </c>
      <c r="R1781" s="130">
        <f t="shared" si="45"/>
        <v>15000</v>
      </c>
      <c r="S1781" s="277">
        <v>202304</v>
      </c>
      <c r="T1781" s="278" t="s">
        <v>2361</v>
      </c>
      <c r="U1781" s="128"/>
      <c r="V1781" s="128"/>
      <c r="W1781" s="128"/>
      <c r="X1781" s="131"/>
      <c r="Y1781" s="131"/>
    </row>
    <row r="1782" s="85" customFormat="1" customHeight="1" spans="1:25">
      <c r="A1782" s="98" t="s">
        <v>444</v>
      </c>
      <c r="B1782" s="24" t="s">
        <v>62</v>
      </c>
      <c r="C1782" s="98" t="s">
        <v>238</v>
      </c>
      <c r="D1782" s="24" t="s">
        <v>642</v>
      </c>
      <c r="E1782" s="161" t="s">
        <v>2356</v>
      </c>
      <c r="F1782" s="98" t="s">
        <v>2357</v>
      </c>
      <c r="G1782" s="172" t="s">
        <v>31</v>
      </c>
      <c r="H1782" s="274" t="s">
        <v>2362</v>
      </c>
      <c r="I1782" s="46" t="str">
        <f>VLOOKUP(H1782,'合同高级查询数据-4月返'!A:A,1,FALSE)</f>
        <v>182315IDC00158</v>
      </c>
      <c r="J1782" s="160" t="s">
        <v>33</v>
      </c>
      <c r="K1782" s="179" t="s">
        <v>2357</v>
      </c>
      <c r="L1782" s="179" t="s">
        <v>2357</v>
      </c>
      <c r="M1782" s="49" t="s">
        <v>2363</v>
      </c>
      <c r="N1782" s="180">
        <v>44835</v>
      </c>
      <c r="O1782" s="181"/>
      <c r="P1782" s="182">
        <v>0</v>
      </c>
      <c r="Q1782" s="105">
        <v>256</v>
      </c>
      <c r="R1782" s="118">
        <f t="shared" si="45"/>
        <v>0</v>
      </c>
      <c r="S1782" s="279">
        <v>202304</v>
      </c>
      <c r="T1782" s="121" t="s">
        <v>2364</v>
      </c>
      <c r="U1782" s="121"/>
      <c r="V1782" s="121"/>
      <c r="W1782" s="121"/>
      <c r="X1782" s="116">
        <v>44927</v>
      </c>
      <c r="Y1782" s="116">
        <v>45077</v>
      </c>
    </row>
    <row r="1783" s="86" customFormat="1" customHeight="1" spans="1:25">
      <c r="A1783" s="135" t="s">
        <v>444</v>
      </c>
      <c r="B1783" s="11" t="s">
        <v>62</v>
      </c>
      <c r="C1783" s="135" t="s">
        <v>238</v>
      </c>
      <c r="D1783" s="11" t="s">
        <v>642</v>
      </c>
      <c r="E1783" s="170" t="s">
        <v>2356</v>
      </c>
      <c r="F1783" s="135" t="s">
        <v>2357</v>
      </c>
      <c r="G1783" s="171" t="s">
        <v>88</v>
      </c>
      <c r="H1783" s="14" t="s">
        <v>2358</v>
      </c>
      <c r="I1783" s="30" t="e">
        <f>VLOOKUP(H1783,'合同高级查询数据-4月返'!A:A,1,FALSE)</f>
        <v>#N/A</v>
      </c>
      <c r="J1783" s="134" t="s">
        <v>162</v>
      </c>
      <c r="K1783" s="174" t="s">
        <v>2357</v>
      </c>
      <c r="L1783" s="174" t="s">
        <v>2359</v>
      </c>
      <c r="M1783" s="113" t="s">
        <v>2360</v>
      </c>
      <c r="N1783" s="175">
        <v>44942</v>
      </c>
      <c r="O1783" s="176" t="s">
        <v>92</v>
      </c>
      <c r="P1783" s="177">
        <v>5000</v>
      </c>
      <c r="Q1783" s="112">
        <v>3</v>
      </c>
      <c r="R1783" s="130">
        <f t="shared" si="45"/>
        <v>15000</v>
      </c>
      <c r="S1783" s="277">
        <v>202304</v>
      </c>
      <c r="T1783" s="128" t="s">
        <v>2365</v>
      </c>
      <c r="U1783" s="128"/>
      <c r="V1783" s="128"/>
      <c r="W1783" s="128"/>
      <c r="X1783" s="131"/>
      <c r="Y1783" s="131"/>
    </row>
    <row r="1784" s="86" customFormat="1" customHeight="1" spans="1:25">
      <c r="A1784" s="135" t="s">
        <v>444</v>
      </c>
      <c r="B1784" s="11" t="s">
        <v>62</v>
      </c>
      <c r="C1784" s="135" t="s">
        <v>238</v>
      </c>
      <c r="D1784" s="11" t="s">
        <v>642</v>
      </c>
      <c r="E1784" s="170" t="s">
        <v>2356</v>
      </c>
      <c r="F1784" s="135" t="s">
        <v>2357</v>
      </c>
      <c r="G1784" s="171" t="s">
        <v>88</v>
      </c>
      <c r="H1784" s="14" t="s">
        <v>2358</v>
      </c>
      <c r="I1784" s="30" t="e">
        <f>VLOOKUP(H1784,'合同高级查询数据-4月返'!A:A,1,FALSE)</f>
        <v>#N/A</v>
      </c>
      <c r="J1784" s="134" t="s">
        <v>162</v>
      </c>
      <c r="K1784" s="174" t="s">
        <v>2357</v>
      </c>
      <c r="L1784" s="174" t="s">
        <v>2359</v>
      </c>
      <c r="M1784" s="113" t="s">
        <v>2360</v>
      </c>
      <c r="N1784" s="175">
        <v>45005</v>
      </c>
      <c r="O1784" s="176" t="s">
        <v>92</v>
      </c>
      <c r="P1784" s="177">
        <v>5000</v>
      </c>
      <c r="Q1784" s="112">
        <v>3</v>
      </c>
      <c r="R1784" s="130">
        <f t="shared" si="45"/>
        <v>15000</v>
      </c>
      <c r="S1784" s="277">
        <v>202304</v>
      </c>
      <c r="T1784" s="128" t="s">
        <v>2366</v>
      </c>
      <c r="U1784" s="128"/>
      <c r="V1784" s="128"/>
      <c r="W1784" s="128"/>
      <c r="X1784" s="131"/>
      <c r="Y1784" s="131"/>
    </row>
    <row r="1785" s="85" customFormat="1" customHeight="1" spans="1:25">
      <c r="A1785" s="24" t="s">
        <v>444</v>
      </c>
      <c r="B1785" s="98" t="s">
        <v>62</v>
      </c>
      <c r="C1785" s="24" t="s">
        <v>238</v>
      </c>
      <c r="D1785" s="24" t="s">
        <v>642</v>
      </c>
      <c r="E1785" s="23" t="s">
        <v>2356</v>
      </c>
      <c r="F1785" s="22" t="s">
        <v>2357</v>
      </c>
      <c r="G1785" s="172" t="s">
        <v>88</v>
      </c>
      <c r="H1785" s="100" t="s">
        <v>2362</v>
      </c>
      <c r="I1785" s="46" t="str">
        <f>VLOOKUP(H1785,'合同高级查询数据-4月返'!A:A,1,FALSE)</f>
        <v>182315IDC00158</v>
      </c>
      <c r="J1785" s="22" t="s">
        <v>162</v>
      </c>
      <c r="K1785" s="22" t="s">
        <v>2357</v>
      </c>
      <c r="L1785" s="25" t="s">
        <v>2357</v>
      </c>
      <c r="M1785" s="49" t="s">
        <v>2367</v>
      </c>
      <c r="N1785" s="180">
        <v>43497</v>
      </c>
      <c r="O1785" s="181" t="s">
        <v>702</v>
      </c>
      <c r="P1785" s="114">
        <v>4300</v>
      </c>
      <c r="Q1785" s="105">
        <v>7</v>
      </c>
      <c r="R1785" s="118">
        <f t="shared" si="45"/>
        <v>30100</v>
      </c>
      <c r="S1785" s="115">
        <v>202304</v>
      </c>
      <c r="T1785" s="186" t="s">
        <v>2368</v>
      </c>
      <c r="U1785" s="186"/>
      <c r="V1785" s="120"/>
      <c r="W1785" s="120"/>
      <c r="X1785" s="116">
        <v>44927</v>
      </c>
      <c r="Y1785" s="116">
        <v>45077</v>
      </c>
    </row>
    <row r="1786" s="85" customFormat="1" customHeight="1" spans="1:25">
      <c r="A1786" s="24" t="s">
        <v>444</v>
      </c>
      <c r="B1786" s="98" t="s">
        <v>62</v>
      </c>
      <c r="C1786" s="24" t="s">
        <v>238</v>
      </c>
      <c r="D1786" s="24" t="s">
        <v>642</v>
      </c>
      <c r="E1786" s="23" t="s">
        <v>2356</v>
      </c>
      <c r="F1786" s="22" t="s">
        <v>2357</v>
      </c>
      <c r="G1786" s="172" t="s">
        <v>88</v>
      </c>
      <c r="H1786" s="100" t="s">
        <v>2362</v>
      </c>
      <c r="I1786" s="46" t="str">
        <f>VLOOKUP(H1786,'合同高级查询数据-4月返'!A:A,1,FALSE)</f>
        <v>182315IDC00158</v>
      </c>
      <c r="J1786" s="22" t="s">
        <v>162</v>
      </c>
      <c r="K1786" s="22" t="s">
        <v>2357</v>
      </c>
      <c r="L1786" s="25" t="s">
        <v>2357</v>
      </c>
      <c r="M1786" s="49" t="s">
        <v>2367</v>
      </c>
      <c r="N1786" s="180">
        <v>44713</v>
      </c>
      <c r="O1786" s="181" t="s">
        <v>702</v>
      </c>
      <c r="P1786" s="114">
        <v>4300</v>
      </c>
      <c r="Q1786" s="105">
        <v>-6</v>
      </c>
      <c r="R1786" s="118">
        <f t="shared" si="45"/>
        <v>-25800</v>
      </c>
      <c r="S1786" s="115">
        <v>202304</v>
      </c>
      <c r="T1786" s="186" t="s">
        <v>2369</v>
      </c>
      <c r="U1786" s="186"/>
      <c r="V1786" s="120"/>
      <c r="W1786" s="120"/>
      <c r="X1786" s="116">
        <v>44927</v>
      </c>
      <c r="Y1786" s="116">
        <v>45077</v>
      </c>
    </row>
    <row r="1787" s="85" customFormat="1" customHeight="1" spans="1:25">
      <c r="A1787" s="24" t="s">
        <v>444</v>
      </c>
      <c r="B1787" s="98" t="s">
        <v>62</v>
      </c>
      <c r="C1787" s="24" t="s">
        <v>238</v>
      </c>
      <c r="D1787" s="24" t="s">
        <v>642</v>
      </c>
      <c r="E1787" s="23" t="s">
        <v>2356</v>
      </c>
      <c r="F1787" s="22" t="s">
        <v>2357</v>
      </c>
      <c r="G1787" s="172" t="s">
        <v>31</v>
      </c>
      <c r="H1787" s="100" t="s">
        <v>2370</v>
      </c>
      <c r="I1787" s="46" t="str">
        <f>VLOOKUP(H1787,'合同高级查询数据-4月返'!A:A,1,FALSE)</f>
        <v>182315IDC00077</v>
      </c>
      <c r="J1787" s="22" t="s">
        <v>33</v>
      </c>
      <c r="K1787" s="22" t="s">
        <v>2357</v>
      </c>
      <c r="L1787" s="25" t="s">
        <v>2359</v>
      </c>
      <c r="M1787" s="49"/>
      <c r="N1787" s="180">
        <v>43497</v>
      </c>
      <c r="O1787" s="181"/>
      <c r="P1787" s="114">
        <v>0</v>
      </c>
      <c r="Q1787" s="105">
        <v>256</v>
      </c>
      <c r="R1787" s="118">
        <f t="shared" si="45"/>
        <v>0</v>
      </c>
      <c r="S1787" s="115">
        <v>202304</v>
      </c>
      <c r="T1787" s="186" t="s">
        <v>2371</v>
      </c>
      <c r="U1787" s="186"/>
      <c r="V1787" s="120"/>
      <c r="W1787" s="120"/>
      <c r="X1787" s="116">
        <v>44927</v>
      </c>
      <c r="Y1787" s="116">
        <v>45107</v>
      </c>
    </row>
    <row r="1788" s="85" customFormat="1" customHeight="1" spans="1:25">
      <c r="A1788" s="24" t="s">
        <v>444</v>
      </c>
      <c r="B1788" s="98" t="s">
        <v>62</v>
      </c>
      <c r="C1788" s="24" t="s">
        <v>238</v>
      </c>
      <c r="D1788" s="24" t="s">
        <v>642</v>
      </c>
      <c r="E1788" s="23" t="s">
        <v>2356</v>
      </c>
      <c r="F1788" s="22" t="s">
        <v>2357</v>
      </c>
      <c r="G1788" s="172" t="s">
        <v>31</v>
      </c>
      <c r="H1788" s="100" t="s">
        <v>2370</v>
      </c>
      <c r="I1788" s="46" t="str">
        <f>VLOOKUP(H1788,'合同高级查询数据-4月返'!A:A,1,FALSE)</f>
        <v>182315IDC00077</v>
      </c>
      <c r="J1788" s="22" t="s">
        <v>33</v>
      </c>
      <c r="K1788" s="22" t="s">
        <v>2357</v>
      </c>
      <c r="L1788" s="25" t="s">
        <v>2359</v>
      </c>
      <c r="M1788" s="49"/>
      <c r="N1788" s="180">
        <v>43497</v>
      </c>
      <c r="O1788" s="181"/>
      <c r="P1788" s="114">
        <v>0</v>
      </c>
      <c r="Q1788" s="105">
        <v>32</v>
      </c>
      <c r="R1788" s="118">
        <f t="shared" si="45"/>
        <v>0</v>
      </c>
      <c r="S1788" s="115">
        <v>202304</v>
      </c>
      <c r="T1788" s="186" t="s">
        <v>2372</v>
      </c>
      <c r="U1788" s="186"/>
      <c r="V1788" s="120"/>
      <c r="W1788" s="120"/>
      <c r="X1788" s="116">
        <v>44927</v>
      </c>
      <c r="Y1788" s="116">
        <v>45107</v>
      </c>
    </row>
    <row r="1789" s="86" customFormat="1" customHeight="1" spans="1:25">
      <c r="A1789" s="11" t="s">
        <v>444</v>
      </c>
      <c r="B1789" s="135" t="s">
        <v>62</v>
      </c>
      <c r="C1789" s="11" t="s">
        <v>238</v>
      </c>
      <c r="D1789" s="11" t="s">
        <v>642</v>
      </c>
      <c r="E1789" s="13" t="s">
        <v>2373</v>
      </c>
      <c r="F1789" s="35" t="s">
        <v>2374</v>
      </c>
      <c r="G1789" s="171" t="s">
        <v>88</v>
      </c>
      <c r="H1789" s="103" t="s">
        <v>2375</v>
      </c>
      <c r="I1789" s="30" t="e">
        <f>VLOOKUP(H1789,'合同高级查询数据-4月返'!A:A,1,FALSE)</f>
        <v>#N/A</v>
      </c>
      <c r="J1789" s="35" t="s">
        <v>162</v>
      </c>
      <c r="K1789" s="35" t="s">
        <v>2376</v>
      </c>
      <c r="L1789" s="110" t="s">
        <v>2377</v>
      </c>
      <c r="M1789" s="113" t="s">
        <v>2378</v>
      </c>
      <c r="N1789" s="175">
        <v>44777</v>
      </c>
      <c r="O1789" s="176" t="s">
        <v>702</v>
      </c>
      <c r="P1789" s="125">
        <v>0</v>
      </c>
      <c r="Q1789" s="112">
        <v>1</v>
      </c>
      <c r="R1789" s="130">
        <f t="shared" si="45"/>
        <v>0</v>
      </c>
      <c r="S1789" s="127">
        <v>202304</v>
      </c>
      <c r="T1789" s="211" t="s">
        <v>2379</v>
      </c>
      <c r="U1789" s="211"/>
      <c r="V1789" s="159"/>
      <c r="W1789" s="159"/>
      <c r="X1789" s="131"/>
      <c r="Y1789" s="131"/>
    </row>
    <row r="1790" s="85" customFormat="1" customHeight="1" spans="1:25">
      <c r="A1790" s="24" t="s">
        <v>444</v>
      </c>
      <c r="B1790" s="98" t="s">
        <v>62</v>
      </c>
      <c r="C1790" s="24" t="s">
        <v>238</v>
      </c>
      <c r="D1790" s="24" t="s">
        <v>642</v>
      </c>
      <c r="E1790" s="23" t="s">
        <v>2373</v>
      </c>
      <c r="F1790" s="22" t="s">
        <v>2374</v>
      </c>
      <c r="G1790" s="172" t="s">
        <v>88</v>
      </c>
      <c r="H1790" s="100" t="s">
        <v>2380</v>
      </c>
      <c r="I1790" s="46" t="str">
        <f>VLOOKUP(H1790,'合同高级查询数据-4月返'!A:A,1,FALSE)</f>
        <v>182315IDC00076</v>
      </c>
      <c r="J1790" s="22" t="s">
        <v>162</v>
      </c>
      <c r="K1790" s="22" t="s">
        <v>2376</v>
      </c>
      <c r="L1790" s="25" t="s">
        <v>2377</v>
      </c>
      <c r="M1790" s="49" t="s">
        <v>2378</v>
      </c>
      <c r="N1790" s="180">
        <v>44774</v>
      </c>
      <c r="O1790" s="181" t="s">
        <v>702</v>
      </c>
      <c r="P1790" s="114">
        <v>4000</v>
      </c>
      <c r="Q1790" s="105">
        <v>1</v>
      </c>
      <c r="R1790" s="118">
        <f t="shared" si="45"/>
        <v>4000</v>
      </c>
      <c r="S1790" s="115">
        <v>202304</v>
      </c>
      <c r="T1790" s="186" t="s">
        <v>2381</v>
      </c>
      <c r="U1790" s="186"/>
      <c r="V1790" s="120"/>
      <c r="W1790" s="120"/>
      <c r="X1790" s="116">
        <v>44927</v>
      </c>
      <c r="Y1790" s="116">
        <v>45107</v>
      </c>
    </row>
    <row r="1791" s="86" customFormat="1" customHeight="1" spans="1:25">
      <c r="A1791" s="135" t="s">
        <v>444</v>
      </c>
      <c r="B1791" s="11" t="s">
        <v>62</v>
      </c>
      <c r="C1791" s="135" t="s">
        <v>238</v>
      </c>
      <c r="D1791" s="11" t="s">
        <v>642</v>
      </c>
      <c r="E1791" s="170" t="s">
        <v>2373</v>
      </c>
      <c r="F1791" s="135" t="s">
        <v>2374</v>
      </c>
      <c r="G1791" s="171" t="s">
        <v>67</v>
      </c>
      <c r="H1791" s="103" t="s">
        <v>2375</v>
      </c>
      <c r="I1791" s="30" t="e">
        <f>VLOOKUP(H1791,'合同高级查询数据-4月返'!A:A,1,FALSE)</f>
        <v>#N/A</v>
      </c>
      <c r="J1791" s="134" t="s">
        <v>69</v>
      </c>
      <c r="K1791" s="134"/>
      <c r="L1791" s="174" t="s">
        <v>2382</v>
      </c>
      <c r="M1791" s="113"/>
      <c r="N1791" s="175">
        <v>44743</v>
      </c>
      <c r="O1791" s="263" t="s">
        <v>2383</v>
      </c>
      <c r="P1791" s="209">
        <v>3500</v>
      </c>
      <c r="Q1791" s="215">
        <v>2</v>
      </c>
      <c r="R1791" s="130">
        <f t="shared" si="45"/>
        <v>7000</v>
      </c>
      <c r="S1791" s="127">
        <v>202304</v>
      </c>
      <c r="T1791" s="211" t="s">
        <v>2384</v>
      </c>
      <c r="U1791" s="211"/>
      <c r="V1791" s="159"/>
      <c r="W1791" s="159"/>
      <c r="X1791" s="131"/>
      <c r="Y1791" s="131"/>
    </row>
    <row r="1792" s="85" customFormat="1" customHeight="1" spans="1:25">
      <c r="A1792" s="24" t="s">
        <v>444</v>
      </c>
      <c r="B1792" s="98" t="s">
        <v>62</v>
      </c>
      <c r="C1792" s="24" t="s">
        <v>238</v>
      </c>
      <c r="D1792" s="24" t="s">
        <v>642</v>
      </c>
      <c r="E1792" s="23" t="s">
        <v>2373</v>
      </c>
      <c r="F1792" s="22" t="s">
        <v>2374</v>
      </c>
      <c r="G1792" s="172" t="s">
        <v>88</v>
      </c>
      <c r="H1792" s="100" t="s">
        <v>2380</v>
      </c>
      <c r="I1792" s="46" t="str">
        <f>VLOOKUP(H1792,'合同高级查询数据-4月返'!A:A,1,FALSE)</f>
        <v>182315IDC00076</v>
      </c>
      <c r="J1792" s="22" t="s">
        <v>162</v>
      </c>
      <c r="K1792" s="22" t="s">
        <v>2376</v>
      </c>
      <c r="L1792" s="25" t="s">
        <v>2377</v>
      </c>
      <c r="M1792" s="49" t="s">
        <v>2378</v>
      </c>
      <c r="N1792" s="180">
        <v>43405</v>
      </c>
      <c r="O1792" s="181" t="s">
        <v>702</v>
      </c>
      <c r="P1792" s="114">
        <v>4000</v>
      </c>
      <c r="Q1792" s="105">
        <v>2</v>
      </c>
      <c r="R1792" s="118">
        <f t="shared" si="45"/>
        <v>8000</v>
      </c>
      <c r="S1792" s="115">
        <v>202304</v>
      </c>
      <c r="T1792" s="186" t="s">
        <v>2385</v>
      </c>
      <c r="U1792" s="186"/>
      <c r="V1792" s="120"/>
      <c r="W1792" s="120"/>
      <c r="X1792" s="116">
        <v>44927</v>
      </c>
      <c r="Y1792" s="116">
        <v>45107</v>
      </c>
    </row>
    <row r="1793" s="86" customFormat="1" customHeight="1" spans="1:25">
      <c r="A1793" s="11" t="s">
        <v>444</v>
      </c>
      <c r="B1793" s="135" t="s">
        <v>62</v>
      </c>
      <c r="C1793" s="11" t="s">
        <v>238</v>
      </c>
      <c r="D1793" s="11" t="s">
        <v>642</v>
      </c>
      <c r="E1793" s="13" t="s">
        <v>2373</v>
      </c>
      <c r="F1793" s="35" t="s">
        <v>2374</v>
      </c>
      <c r="G1793" s="171" t="s">
        <v>88</v>
      </c>
      <c r="H1793" s="103" t="s">
        <v>2386</v>
      </c>
      <c r="I1793" s="30" t="e">
        <f>VLOOKUP(H1793,'合同高级查询数据-4月返'!A:A,1,FALSE)</f>
        <v>#N/A</v>
      </c>
      <c r="J1793" s="35" t="s">
        <v>162</v>
      </c>
      <c r="K1793" s="35" t="s">
        <v>2387</v>
      </c>
      <c r="L1793" s="174" t="s">
        <v>2374</v>
      </c>
      <c r="M1793" s="113" t="s">
        <v>2388</v>
      </c>
      <c r="N1793" s="175">
        <v>43210</v>
      </c>
      <c r="O1793" s="176" t="s">
        <v>92</v>
      </c>
      <c r="P1793" s="125">
        <v>4500</v>
      </c>
      <c r="Q1793" s="112">
        <v>5</v>
      </c>
      <c r="R1793" s="130">
        <f t="shared" si="45"/>
        <v>22500</v>
      </c>
      <c r="S1793" s="127">
        <v>202304</v>
      </c>
      <c r="T1793" s="211" t="s">
        <v>2389</v>
      </c>
      <c r="U1793" s="211"/>
      <c r="V1793" s="159"/>
      <c r="W1793" s="159"/>
      <c r="X1793" s="131"/>
      <c r="Y1793" s="131"/>
    </row>
    <row r="1794" s="86" customFormat="1" customHeight="1" spans="1:25">
      <c r="A1794" s="11" t="s">
        <v>444</v>
      </c>
      <c r="B1794" s="135" t="s">
        <v>62</v>
      </c>
      <c r="C1794" s="11" t="s">
        <v>238</v>
      </c>
      <c r="D1794" s="11" t="s">
        <v>642</v>
      </c>
      <c r="E1794" s="13" t="s">
        <v>2373</v>
      </c>
      <c r="F1794" s="35" t="s">
        <v>2374</v>
      </c>
      <c r="G1794" s="171" t="s">
        <v>88</v>
      </c>
      <c r="H1794" s="103" t="s">
        <v>2386</v>
      </c>
      <c r="I1794" s="30" t="e">
        <f>VLOOKUP(H1794,'合同高级查询数据-4月返'!A:A,1,FALSE)</f>
        <v>#N/A</v>
      </c>
      <c r="J1794" s="35" t="s">
        <v>162</v>
      </c>
      <c r="K1794" s="35" t="s">
        <v>2387</v>
      </c>
      <c r="L1794" s="174" t="s">
        <v>2374</v>
      </c>
      <c r="M1794" s="113" t="s">
        <v>2388</v>
      </c>
      <c r="N1794" s="175">
        <v>44681</v>
      </c>
      <c r="O1794" s="176" t="s">
        <v>92</v>
      </c>
      <c r="P1794" s="125">
        <v>4500</v>
      </c>
      <c r="Q1794" s="112">
        <v>-5</v>
      </c>
      <c r="R1794" s="130">
        <f t="shared" si="45"/>
        <v>-22500</v>
      </c>
      <c r="S1794" s="127">
        <v>202304</v>
      </c>
      <c r="T1794" s="211" t="s">
        <v>2390</v>
      </c>
      <c r="U1794" s="211"/>
      <c r="V1794" s="159"/>
      <c r="W1794" s="159"/>
      <c r="X1794" s="131"/>
      <c r="Y1794" s="131"/>
    </row>
    <row r="1795" s="85" customFormat="1" customHeight="1" spans="1:25">
      <c r="A1795" s="24" t="s">
        <v>444</v>
      </c>
      <c r="B1795" s="98" t="s">
        <v>62</v>
      </c>
      <c r="C1795" s="24" t="s">
        <v>238</v>
      </c>
      <c r="D1795" s="24" t="s">
        <v>642</v>
      </c>
      <c r="E1795" s="23" t="s">
        <v>2373</v>
      </c>
      <c r="F1795" s="22" t="s">
        <v>2374</v>
      </c>
      <c r="G1795" s="172" t="s">
        <v>31</v>
      </c>
      <c r="H1795" s="100" t="s">
        <v>2380</v>
      </c>
      <c r="I1795" s="46" t="str">
        <f>VLOOKUP(H1795,'合同高级查询数据-4月返'!A:A,1,FALSE)</f>
        <v>182315IDC00076</v>
      </c>
      <c r="J1795" s="22" t="s">
        <v>33</v>
      </c>
      <c r="K1795" s="22" t="s">
        <v>2387</v>
      </c>
      <c r="L1795" s="179" t="s">
        <v>2374</v>
      </c>
      <c r="M1795" s="49" t="s">
        <v>2391</v>
      </c>
      <c r="N1795" s="180">
        <v>43210</v>
      </c>
      <c r="O1795" s="181"/>
      <c r="P1795" s="114">
        <v>0</v>
      </c>
      <c r="Q1795" s="105">
        <v>288</v>
      </c>
      <c r="R1795" s="118">
        <f t="shared" si="45"/>
        <v>0</v>
      </c>
      <c r="S1795" s="115">
        <v>202304</v>
      </c>
      <c r="T1795" s="186" t="s">
        <v>2392</v>
      </c>
      <c r="U1795" s="186"/>
      <c r="V1795" s="120"/>
      <c r="W1795" s="120"/>
      <c r="X1795" s="116">
        <v>44927</v>
      </c>
      <c r="Y1795" s="116">
        <v>45107</v>
      </c>
    </row>
    <row r="1796" s="85" customFormat="1" customHeight="1" spans="1:25">
      <c r="A1796" s="24" t="s">
        <v>444</v>
      </c>
      <c r="B1796" s="98" t="s">
        <v>62</v>
      </c>
      <c r="C1796" s="24" t="s">
        <v>238</v>
      </c>
      <c r="D1796" s="24" t="s">
        <v>642</v>
      </c>
      <c r="E1796" s="23" t="s">
        <v>2373</v>
      </c>
      <c r="F1796" s="22" t="s">
        <v>2374</v>
      </c>
      <c r="G1796" s="172" t="s">
        <v>31</v>
      </c>
      <c r="H1796" s="100" t="s">
        <v>2380</v>
      </c>
      <c r="I1796" s="46" t="str">
        <f>VLOOKUP(H1796,'合同高级查询数据-4月返'!A:A,1,FALSE)</f>
        <v>182315IDC00076</v>
      </c>
      <c r="J1796" s="22" t="s">
        <v>33</v>
      </c>
      <c r="K1796" s="22" t="s">
        <v>2387</v>
      </c>
      <c r="L1796" s="179" t="s">
        <v>2374</v>
      </c>
      <c r="M1796" s="49" t="s">
        <v>2391</v>
      </c>
      <c r="N1796" s="180">
        <v>44681</v>
      </c>
      <c r="O1796" s="181"/>
      <c r="P1796" s="114">
        <v>0</v>
      </c>
      <c r="Q1796" s="105">
        <v>-288</v>
      </c>
      <c r="R1796" s="118">
        <f t="shared" si="45"/>
        <v>0</v>
      </c>
      <c r="S1796" s="115">
        <v>202304</v>
      </c>
      <c r="T1796" s="186" t="s">
        <v>2393</v>
      </c>
      <c r="U1796" s="186"/>
      <c r="V1796" s="120"/>
      <c r="W1796" s="120"/>
      <c r="X1796" s="116">
        <v>44927</v>
      </c>
      <c r="Y1796" s="116">
        <v>45107</v>
      </c>
    </row>
    <row r="1797" s="85" customFormat="1" customHeight="1" spans="1:25">
      <c r="A1797" s="24" t="s">
        <v>444</v>
      </c>
      <c r="B1797" s="98" t="s">
        <v>62</v>
      </c>
      <c r="C1797" s="24" t="s">
        <v>238</v>
      </c>
      <c r="D1797" s="24" t="s">
        <v>642</v>
      </c>
      <c r="E1797" s="23" t="s">
        <v>2373</v>
      </c>
      <c r="F1797" s="22" t="s">
        <v>2374</v>
      </c>
      <c r="G1797" s="172" t="s">
        <v>88</v>
      </c>
      <c r="H1797" s="100" t="s">
        <v>2380</v>
      </c>
      <c r="I1797" s="46" t="str">
        <f>VLOOKUP(H1797,'合同高级查询数据-4月返'!A:A,1,FALSE)</f>
        <v>182315IDC00076</v>
      </c>
      <c r="J1797" s="22" t="s">
        <v>162</v>
      </c>
      <c r="K1797" s="22" t="s">
        <v>2376</v>
      </c>
      <c r="L1797" s="25" t="s">
        <v>2377</v>
      </c>
      <c r="M1797" s="49" t="s">
        <v>2378</v>
      </c>
      <c r="N1797" s="180">
        <v>43405</v>
      </c>
      <c r="O1797" s="181" t="s">
        <v>702</v>
      </c>
      <c r="P1797" s="114">
        <v>4000</v>
      </c>
      <c r="Q1797" s="105">
        <v>4</v>
      </c>
      <c r="R1797" s="118">
        <f t="shared" si="45"/>
        <v>16000</v>
      </c>
      <c r="S1797" s="115">
        <v>202304</v>
      </c>
      <c r="T1797" s="186" t="s">
        <v>2394</v>
      </c>
      <c r="U1797" s="186"/>
      <c r="V1797" s="120"/>
      <c r="W1797" s="120"/>
      <c r="X1797" s="116">
        <v>44927</v>
      </c>
      <c r="Y1797" s="116">
        <v>45107</v>
      </c>
    </row>
    <row r="1798" s="85" customFormat="1" customHeight="1" spans="1:25">
      <c r="A1798" s="24" t="s">
        <v>444</v>
      </c>
      <c r="B1798" s="98" t="s">
        <v>62</v>
      </c>
      <c r="C1798" s="24" t="s">
        <v>238</v>
      </c>
      <c r="D1798" s="24" t="s">
        <v>642</v>
      </c>
      <c r="E1798" s="23" t="s">
        <v>2373</v>
      </c>
      <c r="F1798" s="22" t="s">
        <v>2374</v>
      </c>
      <c r="G1798" s="172" t="s">
        <v>31</v>
      </c>
      <c r="H1798" s="100" t="s">
        <v>2380</v>
      </c>
      <c r="I1798" s="46" t="str">
        <f>VLOOKUP(H1798,'合同高级查询数据-4月返'!A:A,1,FALSE)</f>
        <v>182315IDC00076</v>
      </c>
      <c r="J1798" s="22" t="s">
        <v>33</v>
      </c>
      <c r="K1798" s="22" t="s">
        <v>2376</v>
      </c>
      <c r="L1798" s="25" t="s">
        <v>2377</v>
      </c>
      <c r="M1798" s="49" t="s">
        <v>2395</v>
      </c>
      <c r="N1798" s="180">
        <v>43405</v>
      </c>
      <c r="O1798" s="181"/>
      <c r="P1798" s="114">
        <v>0</v>
      </c>
      <c r="Q1798" s="105">
        <v>256</v>
      </c>
      <c r="R1798" s="118">
        <f t="shared" si="45"/>
        <v>0</v>
      </c>
      <c r="S1798" s="115">
        <v>202304</v>
      </c>
      <c r="T1798" s="186" t="s">
        <v>2396</v>
      </c>
      <c r="U1798" s="186"/>
      <c r="V1798" s="120"/>
      <c r="W1798" s="120"/>
      <c r="X1798" s="116">
        <v>44927</v>
      </c>
      <c r="Y1798" s="116">
        <v>45107</v>
      </c>
    </row>
    <row r="1799" s="85" customFormat="1" customHeight="1" spans="1:25">
      <c r="A1799" s="24" t="s">
        <v>444</v>
      </c>
      <c r="B1799" s="98" t="s">
        <v>62</v>
      </c>
      <c r="C1799" s="24" t="s">
        <v>238</v>
      </c>
      <c r="D1799" s="24" t="s">
        <v>642</v>
      </c>
      <c r="E1799" s="23" t="s">
        <v>2373</v>
      </c>
      <c r="F1799" s="22" t="s">
        <v>2374</v>
      </c>
      <c r="G1799" s="172" t="s">
        <v>88</v>
      </c>
      <c r="H1799" s="100" t="s">
        <v>2380</v>
      </c>
      <c r="I1799" s="46" t="str">
        <f>VLOOKUP(H1799,'合同高级查询数据-4月返'!A:A,1,FALSE)</f>
        <v>182315IDC00076</v>
      </c>
      <c r="J1799" s="22" t="s">
        <v>162</v>
      </c>
      <c r="K1799" s="22" t="s">
        <v>2397</v>
      </c>
      <c r="L1799" s="25" t="s">
        <v>2398</v>
      </c>
      <c r="M1799" s="49" t="s">
        <v>2399</v>
      </c>
      <c r="N1799" s="180">
        <v>43580</v>
      </c>
      <c r="O1799" s="181" t="s">
        <v>702</v>
      </c>
      <c r="P1799" s="114">
        <v>4000</v>
      </c>
      <c r="Q1799" s="105">
        <v>10</v>
      </c>
      <c r="R1799" s="118">
        <f t="shared" si="45"/>
        <v>40000</v>
      </c>
      <c r="S1799" s="115">
        <v>202304</v>
      </c>
      <c r="T1799" s="186" t="s">
        <v>2400</v>
      </c>
      <c r="U1799" s="186"/>
      <c r="V1799" s="120"/>
      <c r="W1799" s="120"/>
      <c r="X1799" s="116">
        <v>44927</v>
      </c>
      <c r="Y1799" s="116">
        <v>45107</v>
      </c>
    </row>
    <row r="1800" s="85" customFormat="1" customHeight="1" spans="1:25">
      <c r="A1800" s="24" t="s">
        <v>444</v>
      </c>
      <c r="B1800" s="98" t="s">
        <v>62</v>
      </c>
      <c r="C1800" s="24" t="s">
        <v>238</v>
      </c>
      <c r="D1800" s="24" t="s">
        <v>642</v>
      </c>
      <c r="E1800" s="23" t="s">
        <v>2373</v>
      </c>
      <c r="F1800" s="22" t="s">
        <v>2374</v>
      </c>
      <c r="G1800" s="172" t="s">
        <v>88</v>
      </c>
      <c r="H1800" s="100" t="s">
        <v>2380</v>
      </c>
      <c r="I1800" s="46" t="str">
        <f>VLOOKUP(H1800,'合同高级查询数据-4月返'!A:A,1,FALSE)</f>
        <v>182315IDC00076</v>
      </c>
      <c r="J1800" s="22" t="s">
        <v>162</v>
      </c>
      <c r="K1800" s="22" t="s">
        <v>2397</v>
      </c>
      <c r="L1800" s="25" t="s">
        <v>2398</v>
      </c>
      <c r="M1800" s="49" t="s">
        <v>2399</v>
      </c>
      <c r="N1800" s="180">
        <v>43580</v>
      </c>
      <c r="O1800" s="181" t="s">
        <v>702</v>
      </c>
      <c r="P1800" s="114">
        <v>4000</v>
      </c>
      <c r="Q1800" s="105">
        <v>3</v>
      </c>
      <c r="R1800" s="118">
        <f t="shared" si="45"/>
        <v>12000</v>
      </c>
      <c r="S1800" s="115">
        <v>202304</v>
      </c>
      <c r="T1800" s="186" t="s">
        <v>2401</v>
      </c>
      <c r="U1800" s="186"/>
      <c r="V1800" s="120"/>
      <c r="W1800" s="120"/>
      <c r="X1800" s="116">
        <v>44927</v>
      </c>
      <c r="Y1800" s="116">
        <v>45107</v>
      </c>
    </row>
    <row r="1801" s="85" customFormat="1" customHeight="1" spans="1:25">
      <c r="A1801" s="24" t="s">
        <v>444</v>
      </c>
      <c r="B1801" s="98" t="s">
        <v>62</v>
      </c>
      <c r="C1801" s="24" t="s">
        <v>238</v>
      </c>
      <c r="D1801" s="24" t="s">
        <v>642</v>
      </c>
      <c r="E1801" s="23" t="s">
        <v>2373</v>
      </c>
      <c r="F1801" s="22" t="s">
        <v>2374</v>
      </c>
      <c r="G1801" s="172" t="s">
        <v>88</v>
      </c>
      <c r="H1801" s="100" t="s">
        <v>2380</v>
      </c>
      <c r="I1801" s="46" t="str">
        <f>VLOOKUP(H1801,'合同高级查询数据-4月返'!A:A,1,FALSE)</f>
        <v>182315IDC00076</v>
      </c>
      <c r="J1801" s="22" t="s">
        <v>162</v>
      </c>
      <c r="K1801" s="22" t="s">
        <v>2397</v>
      </c>
      <c r="L1801" s="25" t="s">
        <v>2398</v>
      </c>
      <c r="M1801" s="49" t="s">
        <v>2399</v>
      </c>
      <c r="N1801" s="180">
        <v>44712</v>
      </c>
      <c r="O1801" s="181" t="s">
        <v>702</v>
      </c>
      <c r="P1801" s="114">
        <v>4000</v>
      </c>
      <c r="Q1801" s="105">
        <v>-6</v>
      </c>
      <c r="R1801" s="118">
        <f t="shared" si="45"/>
        <v>-24000</v>
      </c>
      <c r="S1801" s="115">
        <v>202304</v>
      </c>
      <c r="T1801" s="186" t="s">
        <v>2402</v>
      </c>
      <c r="U1801" s="186"/>
      <c r="V1801" s="120"/>
      <c r="W1801" s="120"/>
      <c r="X1801" s="116">
        <v>44927</v>
      </c>
      <c r="Y1801" s="116">
        <v>45107</v>
      </c>
    </row>
    <row r="1802" s="85" customFormat="1" customHeight="1" spans="1:25">
      <c r="A1802" s="24" t="s">
        <v>444</v>
      </c>
      <c r="B1802" s="98" t="s">
        <v>62</v>
      </c>
      <c r="C1802" s="24" t="s">
        <v>238</v>
      </c>
      <c r="D1802" s="24" t="s">
        <v>642</v>
      </c>
      <c r="E1802" s="23" t="s">
        <v>2373</v>
      </c>
      <c r="F1802" s="22" t="s">
        <v>2374</v>
      </c>
      <c r="G1802" s="172" t="s">
        <v>88</v>
      </c>
      <c r="H1802" s="100" t="s">
        <v>2380</v>
      </c>
      <c r="I1802" s="46" t="str">
        <f>VLOOKUP(H1802,'合同高级查询数据-4月返'!A:A,1,FALSE)</f>
        <v>182315IDC00076</v>
      </c>
      <c r="J1802" s="22" t="s">
        <v>162</v>
      </c>
      <c r="K1802" s="22" t="s">
        <v>2397</v>
      </c>
      <c r="L1802" s="25" t="s">
        <v>2398</v>
      </c>
      <c r="M1802" s="49" t="s">
        <v>2399</v>
      </c>
      <c r="N1802" s="180">
        <v>44317</v>
      </c>
      <c r="O1802" s="181" t="s">
        <v>702</v>
      </c>
      <c r="P1802" s="114">
        <v>4000</v>
      </c>
      <c r="Q1802" s="105">
        <v>1</v>
      </c>
      <c r="R1802" s="118">
        <f t="shared" si="45"/>
        <v>4000</v>
      </c>
      <c r="S1802" s="115">
        <v>202304</v>
      </c>
      <c r="T1802" s="186" t="s">
        <v>2403</v>
      </c>
      <c r="U1802" s="186"/>
      <c r="V1802" s="120"/>
      <c r="W1802" s="120"/>
      <c r="X1802" s="116">
        <v>44927</v>
      </c>
      <c r="Y1802" s="116">
        <v>45107</v>
      </c>
    </row>
    <row r="1803" s="85" customFormat="1" customHeight="1" spans="1:25">
      <c r="A1803" s="24" t="s">
        <v>444</v>
      </c>
      <c r="B1803" s="98" t="s">
        <v>62</v>
      </c>
      <c r="C1803" s="24" t="s">
        <v>238</v>
      </c>
      <c r="D1803" s="24" t="s">
        <v>642</v>
      </c>
      <c r="E1803" s="23" t="s">
        <v>2373</v>
      </c>
      <c r="F1803" s="22" t="s">
        <v>2374</v>
      </c>
      <c r="G1803" s="172" t="s">
        <v>88</v>
      </c>
      <c r="H1803" s="100" t="s">
        <v>2380</v>
      </c>
      <c r="I1803" s="46" t="str">
        <f>VLOOKUP(H1803,'合同高级查询数据-4月返'!A:A,1,FALSE)</f>
        <v>182315IDC00076</v>
      </c>
      <c r="J1803" s="22" t="s">
        <v>162</v>
      </c>
      <c r="K1803" s="22" t="s">
        <v>2397</v>
      </c>
      <c r="L1803" s="25" t="s">
        <v>2398</v>
      </c>
      <c r="M1803" s="49" t="s">
        <v>2399</v>
      </c>
      <c r="N1803" s="180">
        <v>44573</v>
      </c>
      <c r="O1803" s="181" t="s">
        <v>702</v>
      </c>
      <c r="P1803" s="114">
        <v>4000</v>
      </c>
      <c r="Q1803" s="105">
        <v>2</v>
      </c>
      <c r="R1803" s="118">
        <f t="shared" si="45"/>
        <v>8000</v>
      </c>
      <c r="S1803" s="115">
        <v>202304</v>
      </c>
      <c r="T1803" s="186" t="s">
        <v>2404</v>
      </c>
      <c r="U1803" s="186"/>
      <c r="V1803" s="120"/>
      <c r="W1803" s="120"/>
      <c r="X1803" s="116">
        <v>44927</v>
      </c>
      <c r="Y1803" s="116">
        <v>45107</v>
      </c>
    </row>
    <row r="1804" s="85" customFormat="1" customHeight="1" spans="1:25">
      <c r="A1804" s="24" t="s">
        <v>444</v>
      </c>
      <c r="B1804" s="98" t="s">
        <v>62</v>
      </c>
      <c r="C1804" s="24" t="s">
        <v>238</v>
      </c>
      <c r="D1804" s="24" t="s">
        <v>642</v>
      </c>
      <c r="E1804" s="23" t="s">
        <v>2373</v>
      </c>
      <c r="F1804" s="22" t="s">
        <v>2374</v>
      </c>
      <c r="G1804" s="172" t="s">
        <v>88</v>
      </c>
      <c r="H1804" s="100" t="s">
        <v>2380</v>
      </c>
      <c r="I1804" s="46" t="str">
        <f>VLOOKUP(H1804,'合同高级查询数据-4月返'!A:A,1,FALSE)</f>
        <v>182315IDC00076</v>
      </c>
      <c r="J1804" s="22" t="s">
        <v>162</v>
      </c>
      <c r="K1804" s="22" t="s">
        <v>2397</v>
      </c>
      <c r="L1804" s="25" t="s">
        <v>2398</v>
      </c>
      <c r="M1804" s="49" t="s">
        <v>2399</v>
      </c>
      <c r="N1804" s="180">
        <v>44773</v>
      </c>
      <c r="O1804" s="181" t="s">
        <v>702</v>
      </c>
      <c r="P1804" s="114">
        <v>4000</v>
      </c>
      <c r="Q1804" s="105">
        <v>-4</v>
      </c>
      <c r="R1804" s="118">
        <f t="shared" si="45"/>
        <v>-16000</v>
      </c>
      <c r="S1804" s="115">
        <v>202304</v>
      </c>
      <c r="T1804" s="186" t="s">
        <v>2405</v>
      </c>
      <c r="U1804" s="186"/>
      <c r="V1804" s="120"/>
      <c r="W1804" s="120"/>
      <c r="X1804" s="116">
        <v>44927</v>
      </c>
      <c r="Y1804" s="116">
        <v>45107</v>
      </c>
    </row>
    <row r="1805" s="85" customFormat="1" customHeight="1" spans="1:25">
      <c r="A1805" s="24" t="s">
        <v>444</v>
      </c>
      <c r="B1805" s="98" t="s">
        <v>62</v>
      </c>
      <c r="C1805" s="24" t="s">
        <v>238</v>
      </c>
      <c r="D1805" s="24" t="s">
        <v>642</v>
      </c>
      <c r="E1805" s="23" t="s">
        <v>2373</v>
      </c>
      <c r="F1805" s="22" t="s">
        <v>2374</v>
      </c>
      <c r="G1805" s="172" t="s">
        <v>31</v>
      </c>
      <c r="H1805" s="100" t="s">
        <v>2380</v>
      </c>
      <c r="I1805" s="46" t="str">
        <f>VLOOKUP(H1805,'合同高级查询数据-4月返'!A:A,1,FALSE)</f>
        <v>182315IDC00076</v>
      </c>
      <c r="J1805" s="22" t="s">
        <v>33</v>
      </c>
      <c r="K1805" s="22" t="s">
        <v>2397</v>
      </c>
      <c r="L1805" s="25" t="s">
        <v>2398</v>
      </c>
      <c r="M1805" s="49" t="s">
        <v>2406</v>
      </c>
      <c r="N1805" s="180">
        <v>43580</v>
      </c>
      <c r="O1805" s="181"/>
      <c r="P1805" s="114">
        <v>0</v>
      </c>
      <c r="Q1805" s="105">
        <v>256</v>
      </c>
      <c r="R1805" s="118">
        <f t="shared" si="45"/>
        <v>0</v>
      </c>
      <c r="S1805" s="115">
        <v>202304</v>
      </c>
      <c r="T1805" s="186" t="s">
        <v>2407</v>
      </c>
      <c r="U1805" s="186"/>
      <c r="V1805" s="120"/>
      <c r="W1805" s="120"/>
      <c r="X1805" s="116">
        <v>44927</v>
      </c>
      <c r="Y1805" s="116">
        <v>45107</v>
      </c>
    </row>
    <row r="1806" s="85" customFormat="1" customHeight="1" spans="1:25">
      <c r="A1806" s="24" t="s">
        <v>444</v>
      </c>
      <c r="B1806" s="98" t="s">
        <v>62</v>
      </c>
      <c r="C1806" s="24" t="s">
        <v>238</v>
      </c>
      <c r="D1806" s="24" t="s">
        <v>642</v>
      </c>
      <c r="E1806" s="23" t="s">
        <v>2373</v>
      </c>
      <c r="F1806" s="22" t="s">
        <v>2374</v>
      </c>
      <c r="G1806" s="172" t="s">
        <v>31</v>
      </c>
      <c r="H1806" s="100" t="s">
        <v>2380</v>
      </c>
      <c r="I1806" s="46" t="str">
        <f>VLOOKUP(H1806,'合同高级查询数据-4月返'!A:A,1,FALSE)</f>
        <v>182315IDC00076</v>
      </c>
      <c r="J1806" s="22" t="s">
        <v>33</v>
      </c>
      <c r="K1806" s="22" t="s">
        <v>2397</v>
      </c>
      <c r="L1806" s="25" t="s">
        <v>2398</v>
      </c>
      <c r="M1806" s="49" t="s">
        <v>2406</v>
      </c>
      <c r="N1806" s="180">
        <v>43580</v>
      </c>
      <c r="O1806" s="181"/>
      <c r="P1806" s="114">
        <v>0</v>
      </c>
      <c r="Q1806" s="105">
        <v>288</v>
      </c>
      <c r="R1806" s="118">
        <f t="shared" si="45"/>
        <v>0</v>
      </c>
      <c r="S1806" s="115">
        <v>202304</v>
      </c>
      <c r="T1806" s="186" t="s">
        <v>2408</v>
      </c>
      <c r="U1806" s="186"/>
      <c r="V1806" s="120"/>
      <c r="W1806" s="120"/>
      <c r="X1806" s="116">
        <v>44927</v>
      </c>
      <c r="Y1806" s="116">
        <v>45107</v>
      </c>
    </row>
    <row r="1807" s="85" customFormat="1" customHeight="1" spans="1:25">
      <c r="A1807" s="24" t="s">
        <v>444</v>
      </c>
      <c r="B1807" s="98" t="s">
        <v>62</v>
      </c>
      <c r="C1807" s="24" t="s">
        <v>238</v>
      </c>
      <c r="D1807" s="24" t="s">
        <v>642</v>
      </c>
      <c r="E1807" s="23" t="s">
        <v>2373</v>
      </c>
      <c r="F1807" s="22" t="s">
        <v>2374</v>
      </c>
      <c r="G1807" s="172" t="s">
        <v>31</v>
      </c>
      <c r="H1807" s="100" t="s">
        <v>2380</v>
      </c>
      <c r="I1807" s="46" t="str">
        <f>VLOOKUP(H1807,'合同高级查询数据-4月返'!A:A,1,FALSE)</f>
        <v>182315IDC00076</v>
      </c>
      <c r="J1807" s="22" t="s">
        <v>33</v>
      </c>
      <c r="K1807" s="22" t="s">
        <v>2397</v>
      </c>
      <c r="L1807" s="25" t="s">
        <v>2398</v>
      </c>
      <c r="M1807" s="49" t="s">
        <v>2406</v>
      </c>
      <c r="N1807" s="180">
        <v>44773</v>
      </c>
      <c r="O1807" s="181"/>
      <c r="P1807" s="114">
        <v>0</v>
      </c>
      <c r="Q1807" s="105">
        <v>-288</v>
      </c>
      <c r="R1807" s="118">
        <f t="shared" si="45"/>
        <v>0</v>
      </c>
      <c r="S1807" s="115">
        <v>202304</v>
      </c>
      <c r="T1807" s="186" t="s">
        <v>2409</v>
      </c>
      <c r="U1807" s="186"/>
      <c r="V1807" s="120"/>
      <c r="W1807" s="120"/>
      <c r="X1807" s="116">
        <v>44927</v>
      </c>
      <c r="Y1807" s="116">
        <v>45107</v>
      </c>
    </row>
    <row r="1808" s="85" customFormat="1" customHeight="1" spans="1:25">
      <c r="A1808" s="24" t="s">
        <v>444</v>
      </c>
      <c r="B1808" s="98" t="s">
        <v>62</v>
      </c>
      <c r="C1808" s="24" t="s">
        <v>238</v>
      </c>
      <c r="D1808" s="24" t="s">
        <v>642</v>
      </c>
      <c r="E1808" s="23" t="s">
        <v>2373</v>
      </c>
      <c r="F1808" s="22" t="s">
        <v>2374</v>
      </c>
      <c r="G1808" s="172" t="s">
        <v>31</v>
      </c>
      <c r="H1808" s="100" t="s">
        <v>2380</v>
      </c>
      <c r="I1808" s="46" t="str">
        <f>VLOOKUP(H1808,'合同高级查询数据-4月返'!A:A,1,FALSE)</f>
        <v>182315IDC00076</v>
      </c>
      <c r="J1808" s="22" t="s">
        <v>33</v>
      </c>
      <c r="K1808" s="22" t="s">
        <v>2397</v>
      </c>
      <c r="L1808" s="25" t="s">
        <v>2398</v>
      </c>
      <c r="M1808" s="49" t="s">
        <v>2406</v>
      </c>
      <c r="N1808" s="180">
        <v>43678</v>
      </c>
      <c r="O1808" s="181"/>
      <c r="P1808" s="114">
        <v>0</v>
      </c>
      <c r="Q1808" s="105">
        <v>128</v>
      </c>
      <c r="R1808" s="118">
        <f t="shared" si="45"/>
        <v>0</v>
      </c>
      <c r="S1808" s="115">
        <v>202304</v>
      </c>
      <c r="T1808" s="186" t="s">
        <v>2410</v>
      </c>
      <c r="U1808" s="186"/>
      <c r="V1808" s="120"/>
      <c r="W1808" s="120"/>
      <c r="X1808" s="116">
        <v>44927</v>
      </c>
      <c r="Y1808" s="116">
        <v>45107</v>
      </c>
    </row>
    <row r="1809" s="85" customFormat="1" customHeight="1" spans="1:25">
      <c r="A1809" s="24" t="s">
        <v>444</v>
      </c>
      <c r="B1809" s="98" t="s">
        <v>62</v>
      </c>
      <c r="C1809" s="24" t="s">
        <v>238</v>
      </c>
      <c r="D1809" s="24" t="s">
        <v>642</v>
      </c>
      <c r="E1809" s="23" t="s">
        <v>2373</v>
      </c>
      <c r="F1809" s="22" t="s">
        <v>2374</v>
      </c>
      <c r="G1809" s="172" t="s">
        <v>31</v>
      </c>
      <c r="H1809" s="100" t="s">
        <v>2380</v>
      </c>
      <c r="I1809" s="46" t="str">
        <f>VLOOKUP(H1809,'合同高级查询数据-4月返'!A:A,1,FALSE)</f>
        <v>182315IDC00076</v>
      </c>
      <c r="J1809" s="22" t="s">
        <v>33</v>
      </c>
      <c r="K1809" s="22" t="s">
        <v>2397</v>
      </c>
      <c r="L1809" s="25" t="s">
        <v>2398</v>
      </c>
      <c r="M1809" s="49" t="s">
        <v>2406</v>
      </c>
      <c r="N1809" s="180">
        <v>43678</v>
      </c>
      <c r="O1809" s="181"/>
      <c r="P1809" s="114">
        <v>0</v>
      </c>
      <c r="Q1809" s="105">
        <v>256</v>
      </c>
      <c r="R1809" s="118">
        <f t="shared" si="45"/>
        <v>0</v>
      </c>
      <c r="S1809" s="115">
        <v>202304</v>
      </c>
      <c r="T1809" s="186" t="s">
        <v>2411</v>
      </c>
      <c r="U1809" s="186"/>
      <c r="V1809" s="120"/>
      <c r="W1809" s="120"/>
      <c r="X1809" s="116">
        <v>44927</v>
      </c>
      <c r="Y1809" s="116">
        <v>45107</v>
      </c>
    </row>
    <row r="1810" s="85" customFormat="1" customHeight="1" spans="1:25">
      <c r="A1810" s="24" t="s">
        <v>444</v>
      </c>
      <c r="B1810" s="98" t="s">
        <v>62</v>
      </c>
      <c r="C1810" s="24" t="s">
        <v>238</v>
      </c>
      <c r="D1810" s="24" t="s">
        <v>642</v>
      </c>
      <c r="E1810" s="23" t="s">
        <v>2373</v>
      </c>
      <c r="F1810" s="22" t="s">
        <v>2374</v>
      </c>
      <c r="G1810" s="172" t="s">
        <v>31</v>
      </c>
      <c r="H1810" s="100" t="s">
        <v>2380</v>
      </c>
      <c r="I1810" s="46" t="str">
        <f>VLOOKUP(H1810,'合同高级查询数据-4月返'!A:A,1,FALSE)</f>
        <v>182315IDC00076</v>
      </c>
      <c r="J1810" s="22" t="s">
        <v>33</v>
      </c>
      <c r="K1810" s="22" t="s">
        <v>2397</v>
      </c>
      <c r="L1810" s="25" t="s">
        <v>2398</v>
      </c>
      <c r="M1810" s="49" t="s">
        <v>2406</v>
      </c>
      <c r="N1810" s="180">
        <v>44773</v>
      </c>
      <c r="O1810" s="181"/>
      <c r="P1810" s="114">
        <v>0</v>
      </c>
      <c r="Q1810" s="105">
        <v>-256</v>
      </c>
      <c r="R1810" s="118">
        <f t="shared" si="45"/>
        <v>0</v>
      </c>
      <c r="S1810" s="115">
        <v>202304</v>
      </c>
      <c r="T1810" s="186" t="s">
        <v>2412</v>
      </c>
      <c r="U1810" s="186"/>
      <c r="V1810" s="120"/>
      <c r="W1810" s="120"/>
      <c r="X1810" s="116">
        <v>44927</v>
      </c>
      <c r="Y1810" s="116">
        <v>45107</v>
      </c>
    </row>
    <row r="1811" s="85" customFormat="1" customHeight="1" spans="1:25">
      <c r="A1811" s="24" t="s">
        <v>444</v>
      </c>
      <c r="B1811" s="98" t="s">
        <v>62</v>
      </c>
      <c r="C1811" s="24" t="s">
        <v>238</v>
      </c>
      <c r="D1811" s="24" t="s">
        <v>642</v>
      </c>
      <c r="E1811" s="23" t="s">
        <v>2373</v>
      </c>
      <c r="F1811" s="22" t="s">
        <v>2374</v>
      </c>
      <c r="G1811" s="172" t="s">
        <v>31</v>
      </c>
      <c r="H1811" s="100" t="s">
        <v>2380</v>
      </c>
      <c r="I1811" s="46" t="str">
        <f>VLOOKUP(H1811,'合同高级查询数据-4月返'!A:A,1,FALSE)</f>
        <v>182315IDC00076</v>
      </c>
      <c r="J1811" s="22" t="s">
        <v>33</v>
      </c>
      <c r="K1811" s="22" t="s">
        <v>2397</v>
      </c>
      <c r="L1811" s="25" t="s">
        <v>2398</v>
      </c>
      <c r="M1811" s="49" t="s">
        <v>2406</v>
      </c>
      <c r="N1811" s="180">
        <v>44573</v>
      </c>
      <c r="O1811" s="181"/>
      <c r="P1811" s="114">
        <v>0</v>
      </c>
      <c r="Q1811" s="105">
        <v>128</v>
      </c>
      <c r="R1811" s="118">
        <f t="shared" si="45"/>
        <v>0</v>
      </c>
      <c r="S1811" s="115">
        <v>202304</v>
      </c>
      <c r="T1811" s="186" t="s">
        <v>2413</v>
      </c>
      <c r="U1811" s="186"/>
      <c r="V1811" s="120"/>
      <c r="W1811" s="120"/>
      <c r="X1811" s="116">
        <v>44927</v>
      </c>
      <c r="Y1811" s="116">
        <v>45107</v>
      </c>
    </row>
    <row r="1812" s="86" customFormat="1" customHeight="1" spans="1:25">
      <c r="A1812" s="135" t="s">
        <v>444</v>
      </c>
      <c r="B1812" s="11" t="s">
        <v>62</v>
      </c>
      <c r="C1812" s="135" t="s">
        <v>153</v>
      </c>
      <c r="D1812" s="135" t="s">
        <v>951</v>
      </c>
      <c r="E1812" s="170" t="s">
        <v>2414</v>
      </c>
      <c r="F1812" s="135" t="s">
        <v>2415</v>
      </c>
      <c r="G1812" s="171" t="s">
        <v>67</v>
      </c>
      <c r="H1812" s="103" t="s">
        <v>2416</v>
      </c>
      <c r="I1812" s="30" t="e">
        <f>VLOOKUP(H1812,'合同高级查询数据-4月返'!A:A,1,FALSE)</f>
        <v>#N/A</v>
      </c>
      <c r="J1812" s="134" t="s">
        <v>69</v>
      </c>
      <c r="K1812" s="134" t="s">
        <v>2417</v>
      </c>
      <c r="L1812" s="174"/>
      <c r="M1812" s="113"/>
      <c r="N1812" s="175">
        <v>43556</v>
      </c>
      <c r="O1812" s="176"/>
      <c r="P1812" s="209">
        <v>500</v>
      </c>
      <c r="Q1812" s="209">
        <v>85</v>
      </c>
      <c r="R1812" s="130">
        <f t="shared" ref="R1812:R1836" si="46">ROUND(P1812*Q1812,2)</f>
        <v>42500</v>
      </c>
      <c r="S1812" s="127">
        <v>202304</v>
      </c>
      <c r="T1812" s="211" t="s">
        <v>2418</v>
      </c>
      <c r="U1812" s="211"/>
      <c r="V1812" s="159"/>
      <c r="W1812" s="159"/>
      <c r="X1812" s="131"/>
      <c r="Y1812" s="131"/>
    </row>
    <row r="1813" s="86" customFormat="1" customHeight="1" spans="1:25">
      <c r="A1813" s="135" t="s">
        <v>444</v>
      </c>
      <c r="B1813" s="11" t="s">
        <v>62</v>
      </c>
      <c r="C1813" s="135" t="s">
        <v>153</v>
      </c>
      <c r="D1813" s="135" t="s">
        <v>951</v>
      </c>
      <c r="E1813" s="170" t="s">
        <v>2414</v>
      </c>
      <c r="F1813" s="135" t="s">
        <v>2415</v>
      </c>
      <c r="G1813" s="171" t="s">
        <v>88</v>
      </c>
      <c r="H1813" s="103" t="s">
        <v>2416</v>
      </c>
      <c r="I1813" s="30" t="e">
        <f>VLOOKUP(H1813,'合同高级查询数据-4月返'!A:A,1,FALSE)</f>
        <v>#N/A</v>
      </c>
      <c r="J1813" s="134" t="s">
        <v>162</v>
      </c>
      <c r="K1813" s="134" t="s">
        <v>157</v>
      </c>
      <c r="L1813" s="110" t="s">
        <v>2419</v>
      </c>
      <c r="M1813" s="113" t="s">
        <v>2420</v>
      </c>
      <c r="N1813" s="175">
        <v>43556</v>
      </c>
      <c r="O1813" s="176" t="s">
        <v>92</v>
      </c>
      <c r="P1813" s="209">
        <v>5000</v>
      </c>
      <c r="Q1813" s="209">
        <v>1</v>
      </c>
      <c r="R1813" s="130">
        <f t="shared" si="46"/>
        <v>5000</v>
      </c>
      <c r="S1813" s="127">
        <v>202304</v>
      </c>
      <c r="T1813" s="211" t="s">
        <v>2421</v>
      </c>
      <c r="U1813" s="211"/>
      <c r="V1813" s="159"/>
      <c r="W1813" s="159"/>
      <c r="X1813" s="131"/>
      <c r="Y1813" s="131"/>
    </row>
    <row r="1814" s="85" customFormat="1" customHeight="1" spans="1:25">
      <c r="A1814" s="98" t="s">
        <v>444</v>
      </c>
      <c r="B1814" s="24" t="s">
        <v>62</v>
      </c>
      <c r="C1814" s="98" t="s">
        <v>153</v>
      </c>
      <c r="D1814" s="98" t="s">
        <v>951</v>
      </c>
      <c r="E1814" s="161" t="s">
        <v>2414</v>
      </c>
      <c r="F1814" s="98" t="s">
        <v>2415</v>
      </c>
      <c r="G1814" s="172" t="s">
        <v>88</v>
      </c>
      <c r="H1814" s="100" t="s">
        <v>2422</v>
      </c>
      <c r="I1814" s="46" t="e">
        <f>VLOOKUP(H1814,'合同高级查询数据-4月返'!A:A,1,FALSE)</f>
        <v>#N/A</v>
      </c>
      <c r="J1814" s="160" t="s">
        <v>2423</v>
      </c>
      <c r="K1814" s="160" t="s">
        <v>157</v>
      </c>
      <c r="L1814" s="179"/>
      <c r="M1814" s="49" t="s">
        <v>2424</v>
      </c>
      <c r="N1814" s="180">
        <v>43311</v>
      </c>
      <c r="O1814" s="181" t="s">
        <v>92</v>
      </c>
      <c r="P1814" s="208">
        <v>5000</v>
      </c>
      <c r="Q1814" s="208">
        <v>4</v>
      </c>
      <c r="R1814" s="118">
        <f t="shared" si="46"/>
        <v>20000</v>
      </c>
      <c r="S1814" s="115">
        <v>202304</v>
      </c>
      <c r="T1814" s="186" t="s">
        <v>2425</v>
      </c>
      <c r="U1814" s="186"/>
      <c r="V1814" s="120"/>
      <c r="W1814" s="120"/>
      <c r="X1814" s="116">
        <v>44927</v>
      </c>
      <c r="Y1814" s="116">
        <v>45107</v>
      </c>
    </row>
    <row r="1815" s="85" customFormat="1" customHeight="1" spans="1:25">
      <c r="A1815" s="98" t="s">
        <v>444</v>
      </c>
      <c r="B1815" s="24" t="s">
        <v>62</v>
      </c>
      <c r="C1815" s="98" t="s">
        <v>153</v>
      </c>
      <c r="D1815" s="98" t="s">
        <v>951</v>
      </c>
      <c r="E1815" s="161" t="s">
        <v>2414</v>
      </c>
      <c r="F1815" s="98" t="s">
        <v>2415</v>
      </c>
      <c r="G1815" s="172" t="s">
        <v>88</v>
      </c>
      <c r="H1815" s="100" t="s">
        <v>2422</v>
      </c>
      <c r="I1815" s="46" t="e">
        <f>VLOOKUP(H1815,'合同高级查询数据-4月返'!A:A,1,FALSE)</f>
        <v>#N/A</v>
      </c>
      <c r="J1815" s="160" t="s">
        <v>2423</v>
      </c>
      <c r="K1815" s="160" t="s">
        <v>157</v>
      </c>
      <c r="L1815" s="179"/>
      <c r="M1815" s="49" t="s">
        <v>2424</v>
      </c>
      <c r="N1815" s="180">
        <v>43686</v>
      </c>
      <c r="O1815" s="181" t="s">
        <v>92</v>
      </c>
      <c r="P1815" s="208">
        <v>5000</v>
      </c>
      <c r="Q1815" s="208">
        <v>-4</v>
      </c>
      <c r="R1815" s="118">
        <f t="shared" si="46"/>
        <v>-20000</v>
      </c>
      <c r="S1815" s="115">
        <v>202304</v>
      </c>
      <c r="T1815" s="186" t="s">
        <v>2426</v>
      </c>
      <c r="U1815" s="186"/>
      <c r="V1815" s="120"/>
      <c r="W1815" s="120"/>
      <c r="X1815" s="116">
        <v>44927</v>
      </c>
      <c r="Y1815" s="116">
        <v>45107</v>
      </c>
    </row>
    <row r="1816" s="85" customFormat="1" customHeight="1" spans="1:25">
      <c r="A1816" s="98" t="s">
        <v>444</v>
      </c>
      <c r="B1816" s="24" t="s">
        <v>62</v>
      </c>
      <c r="C1816" s="98" t="s">
        <v>153</v>
      </c>
      <c r="D1816" s="98" t="s">
        <v>951</v>
      </c>
      <c r="E1816" s="161" t="s">
        <v>2414</v>
      </c>
      <c r="F1816" s="98" t="s">
        <v>2415</v>
      </c>
      <c r="G1816" s="172" t="s">
        <v>88</v>
      </c>
      <c r="H1816" s="100" t="s">
        <v>2422</v>
      </c>
      <c r="I1816" s="46" t="e">
        <f>VLOOKUP(H1816,'合同高级查询数据-4月返'!A:A,1,FALSE)</f>
        <v>#N/A</v>
      </c>
      <c r="J1816" s="160" t="s">
        <v>2423</v>
      </c>
      <c r="K1816" s="160" t="s">
        <v>157</v>
      </c>
      <c r="L1816" s="179" t="s">
        <v>2415</v>
      </c>
      <c r="M1816" s="49" t="s">
        <v>2427</v>
      </c>
      <c r="N1816" s="180">
        <v>43101</v>
      </c>
      <c r="O1816" s="181" t="s">
        <v>92</v>
      </c>
      <c r="P1816" s="208">
        <v>5000</v>
      </c>
      <c r="Q1816" s="208">
        <v>9</v>
      </c>
      <c r="R1816" s="118">
        <f t="shared" si="46"/>
        <v>45000</v>
      </c>
      <c r="S1816" s="115">
        <v>202304</v>
      </c>
      <c r="T1816" s="186" t="s">
        <v>2428</v>
      </c>
      <c r="U1816" s="186"/>
      <c r="V1816" s="120"/>
      <c r="W1816" s="120"/>
      <c r="X1816" s="116">
        <v>44927</v>
      </c>
      <c r="Y1816" s="116">
        <v>45107</v>
      </c>
    </row>
    <row r="1817" s="85" customFormat="1" customHeight="1" spans="1:25">
      <c r="A1817" s="98" t="s">
        <v>444</v>
      </c>
      <c r="B1817" s="24" t="s">
        <v>62</v>
      </c>
      <c r="C1817" s="98" t="s">
        <v>153</v>
      </c>
      <c r="D1817" s="98" t="s">
        <v>951</v>
      </c>
      <c r="E1817" s="161" t="s">
        <v>2414</v>
      </c>
      <c r="F1817" s="98" t="s">
        <v>2415</v>
      </c>
      <c r="G1817" s="172" t="s">
        <v>88</v>
      </c>
      <c r="H1817" s="100" t="s">
        <v>2422</v>
      </c>
      <c r="I1817" s="46" t="e">
        <f>VLOOKUP(H1817,'合同高级查询数据-4月返'!A:A,1,FALSE)</f>
        <v>#N/A</v>
      </c>
      <c r="J1817" s="160" t="s">
        <v>2423</v>
      </c>
      <c r="K1817" s="160" t="s">
        <v>157</v>
      </c>
      <c r="L1817" s="179" t="s">
        <v>2415</v>
      </c>
      <c r="M1817" s="49" t="s">
        <v>2427</v>
      </c>
      <c r="N1817" s="180">
        <v>44773</v>
      </c>
      <c r="O1817" s="181" t="s">
        <v>92</v>
      </c>
      <c r="P1817" s="208">
        <v>5000</v>
      </c>
      <c r="Q1817" s="208">
        <v>-9</v>
      </c>
      <c r="R1817" s="118">
        <f t="shared" si="46"/>
        <v>-45000</v>
      </c>
      <c r="S1817" s="115">
        <v>202304</v>
      </c>
      <c r="T1817" s="186" t="s">
        <v>2429</v>
      </c>
      <c r="U1817" s="186"/>
      <c r="V1817" s="120"/>
      <c r="W1817" s="120"/>
      <c r="X1817" s="116">
        <v>44927</v>
      </c>
      <c r="Y1817" s="116">
        <v>45107</v>
      </c>
    </row>
    <row r="1818" s="85" customFormat="1" customHeight="1" spans="1:25">
      <c r="A1818" s="98" t="s">
        <v>444</v>
      </c>
      <c r="B1818" s="24" t="s">
        <v>62</v>
      </c>
      <c r="C1818" s="98" t="s">
        <v>153</v>
      </c>
      <c r="D1818" s="98" t="s">
        <v>951</v>
      </c>
      <c r="E1818" s="161" t="s">
        <v>2414</v>
      </c>
      <c r="F1818" s="98" t="s">
        <v>2415</v>
      </c>
      <c r="G1818" s="172" t="s">
        <v>88</v>
      </c>
      <c r="H1818" s="100" t="s">
        <v>2422</v>
      </c>
      <c r="I1818" s="46" t="e">
        <f>VLOOKUP(H1818,'合同高级查询数据-4月返'!A:A,1,FALSE)</f>
        <v>#N/A</v>
      </c>
      <c r="J1818" s="160" t="s">
        <v>2423</v>
      </c>
      <c r="K1818" s="160" t="s">
        <v>157</v>
      </c>
      <c r="L1818" s="25" t="s">
        <v>2419</v>
      </c>
      <c r="M1818" s="49" t="s">
        <v>2420</v>
      </c>
      <c r="N1818" s="180">
        <v>43101</v>
      </c>
      <c r="O1818" s="181" t="s">
        <v>92</v>
      </c>
      <c r="P1818" s="208">
        <v>5000</v>
      </c>
      <c r="Q1818" s="208">
        <v>10</v>
      </c>
      <c r="R1818" s="118">
        <f t="shared" si="46"/>
        <v>50000</v>
      </c>
      <c r="S1818" s="115">
        <v>202304</v>
      </c>
      <c r="T1818" s="186" t="s">
        <v>2430</v>
      </c>
      <c r="U1818" s="186"/>
      <c r="V1818" s="120"/>
      <c r="W1818" s="120"/>
      <c r="X1818" s="116">
        <v>44927</v>
      </c>
      <c r="Y1818" s="116">
        <v>45107</v>
      </c>
    </row>
    <row r="1819" s="85" customFormat="1" customHeight="1" spans="1:25">
      <c r="A1819" s="98" t="s">
        <v>444</v>
      </c>
      <c r="B1819" s="24" t="s">
        <v>62</v>
      </c>
      <c r="C1819" s="98" t="s">
        <v>153</v>
      </c>
      <c r="D1819" s="98" t="s">
        <v>951</v>
      </c>
      <c r="E1819" s="161" t="s">
        <v>2414</v>
      </c>
      <c r="F1819" s="98" t="s">
        <v>2415</v>
      </c>
      <c r="G1819" s="172" t="s">
        <v>88</v>
      </c>
      <c r="H1819" s="100" t="s">
        <v>2422</v>
      </c>
      <c r="I1819" s="46" t="e">
        <f>VLOOKUP(H1819,'合同高级查询数据-4月返'!A:A,1,FALSE)</f>
        <v>#N/A</v>
      </c>
      <c r="J1819" s="160" t="s">
        <v>2423</v>
      </c>
      <c r="K1819" s="160" t="s">
        <v>157</v>
      </c>
      <c r="L1819" s="25" t="s">
        <v>2431</v>
      </c>
      <c r="M1819" s="49" t="s">
        <v>2420</v>
      </c>
      <c r="N1819" s="180">
        <v>43101</v>
      </c>
      <c r="O1819" s="181" t="s">
        <v>92</v>
      </c>
      <c r="P1819" s="208">
        <v>5000</v>
      </c>
      <c r="Q1819" s="208">
        <v>4</v>
      </c>
      <c r="R1819" s="118">
        <f t="shared" si="46"/>
        <v>20000</v>
      </c>
      <c r="S1819" s="115">
        <v>202304</v>
      </c>
      <c r="T1819" s="186" t="s">
        <v>2432</v>
      </c>
      <c r="U1819" s="186"/>
      <c r="V1819" s="120"/>
      <c r="W1819" s="120"/>
      <c r="X1819" s="116">
        <v>44927</v>
      </c>
      <c r="Y1819" s="116">
        <v>45107</v>
      </c>
    </row>
    <row r="1820" s="85" customFormat="1" customHeight="1" spans="1:25">
      <c r="A1820" s="98" t="s">
        <v>444</v>
      </c>
      <c r="B1820" s="24" t="s">
        <v>62</v>
      </c>
      <c r="C1820" s="98" t="s">
        <v>153</v>
      </c>
      <c r="D1820" s="98" t="s">
        <v>951</v>
      </c>
      <c r="E1820" s="161" t="s">
        <v>2414</v>
      </c>
      <c r="F1820" s="98" t="s">
        <v>2415</v>
      </c>
      <c r="G1820" s="172" t="s">
        <v>88</v>
      </c>
      <c r="H1820" s="100" t="s">
        <v>2422</v>
      </c>
      <c r="I1820" s="46" t="e">
        <f>VLOOKUP(H1820,'合同高级查询数据-4月返'!A:A,1,FALSE)</f>
        <v>#N/A</v>
      </c>
      <c r="J1820" s="160" t="s">
        <v>2423</v>
      </c>
      <c r="K1820" s="160" t="s">
        <v>157</v>
      </c>
      <c r="L1820" s="25" t="s">
        <v>2419</v>
      </c>
      <c r="M1820" s="49" t="s">
        <v>2420</v>
      </c>
      <c r="N1820" s="180">
        <v>44447</v>
      </c>
      <c r="O1820" s="181" t="s">
        <v>92</v>
      </c>
      <c r="P1820" s="208">
        <v>5000</v>
      </c>
      <c r="Q1820" s="208">
        <v>-3</v>
      </c>
      <c r="R1820" s="118">
        <f t="shared" si="46"/>
        <v>-15000</v>
      </c>
      <c r="S1820" s="115">
        <v>202304</v>
      </c>
      <c r="T1820" s="186" t="s">
        <v>2430</v>
      </c>
      <c r="U1820" s="186"/>
      <c r="V1820" s="120"/>
      <c r="W1820" s="120"/>
      <c r="X1820" s="116">
        <v>44927</v>
      </c>
      <c r="Y1820" s="116">
        <v>45107</v>
      </c>
    </row>
    <row r="1821" s="85" customFormat="1" customHeight="1" spans="1:25">
      <c r="A1821" s="98" t="s">
        <v>444</v>
      </c>
      <c r="B1821" s="24" t="s">
        <v>62</v>
      </c>
      <c r="C1821" s="98" t="s">
        <v>153</v>
      </c>
      <c r="D1821" s="98" t="s">
        <v>951</v>
      </c>
      <c r="E1821" s="161" t="s">
        <v>2414</v>
      </c>
      <c r="F1821" s="98" t="s">
        <v>2415</v>
      </c>
      <c r="G1821" s="172" t="s">
        <v>88</v>
      </c>
      <c r="H1821" s="100" t="s">
        <v>2422</v>
      </c>
      <c r="I1821" s="46" t="e">
        <f>VLOOKUP(H1821,'合同高级查询数据-4月返'!A:A,1,FALSE)</f>
        <v>#N/A</v>
      </c>
      <c r="J1821" s="160" t="s">
        <v>162</v>
      </c>
      <c r="K1821" s="160" t="s">
        <v>157</v>
      </c>
      <c r="L1821" s="25" t="s">
        <v>2431</v>
      </c>
      <c r="M1821" s="49" t="s">
        <v>2420</v>
      </c>
      <c r="N1821" s="180">
        <v>43686</v>
      </c>
      <c r="O1821" s="181" t="s">
        <v>92</v>
      </c>
      <c r="P1821" s="208">
        <v>5000</v>
      </c>
      <c r="Q1821" s="208">
        <v>3</v>
      </c>
      <c r="R1821" s="118">
        <f t="shared" si="46"/>
        <v>15000</v>
      </c>
      <c r="S1821" s="115">
        <v>202304</v>
      </c>
      <c r="T1821" s="186" t="s">
        <v>2433</v>
      </c>
      <c r="U1821" s="186"/>
      <c r="V1821" s="120"/>
      <c r="W1821" s="120"/>
      <c r="X1821" s="116">
        <v>44927</v>
      </c>
      <c r="Y1821" s="116">
        <v>45107</v>
      </c>
    </row>
    <row r="1822" s="85" customFormat="1" customHeight="1" spans="1:25">
      <c r="A1822" s="98" t="s">
        <v>444</v>
      </c>
      <c r="B1822" s="24" t="s">
        <v>62</v>
      </c>
      <c r="C1822" s="98" t="s">
        <v>153</v>
      </c>
      <c r="D1822" s="98" t="s">
        <v>951</v>
      </c>
      <c r="E1822" s="161" t="s">
        <v>2414</v>
      </c>
      <c r="F1822" s="98" t="s">
        <v>2415</v>
      </c>
      <c r="G1822" s="172" t="s">
        <v>88</v>
      </c>
      <c r="H1822" s="100" t="s">
        <v>2422</v>
      </c>
      <c r="I1822" s="46" t="e">
        <f>VLOOKUP(H1822,'合同高级查询数据-4月返'!A:A,1,FALSE)</f>
        <v>#N/A</v>
      </c>
      <c r="J1822" s="160" t="s">
        <v>162</v>
      </c>
      <c r="K1822" s="160" t="s">
        <v>157</v>
      </c>
      <c r="L1822" s="25" t="s">
        <v>2431</v>
      </c>
      <c r="M1822" s="49" t="s">
        <v>2420</v>
      </c>
      <c r="N1822" s="180">
        <v>44298</v>
      </c>
      <c r="O1822" s="181" t="s">
        <v>92</v>
      </c>
      <c r="P1822" s="208">
        <v>5000</v>
      </c>
      <c r="Q1822" s="208">
        <v>1</v>
      </c>
      <c r="R1822" s="118">
        <f t="shared" si="46"/>
        <v>5000</v>
      </c>
      <c r="S1822" s="115">
        <v>202304</v>
      </c>
      <c r="T1822" s="186" t="s">
        <v>2434</v>
      </c>
      <c r="U1822" s="186"/>
      <c r="V1822" s="120"/>
      <c r="W1822" s="120"/>
      <c r="X1822" s="116">
        <v>44927</v>
      </c>
      <c r="Y1822" s="116">
        <v>45107</v>
      </c>
    </row>
    <row r="1823" s="85" customFormat="1" customHeight="1" spans="1:25">
      <c r="A1823" s="98" t="s">
        <v>444</v>
      </c>
      <c r="B1823" s="24" t="s">
        <v>62</v>
      </c>
      <c r="C1823" s="98" t="s">
        <v>153</v>
      </c>
      <c r="D1823" s="98" t="s">
        <v>951</v>
      </c>
      <c r="E1823" s="161" t="s">
        <v>2414</v>
      </c>
      <c r="F1823" s="98" t="s">
        <v>2415</v>
      </c>
      <c r="G1823" s="172" t="s">
        <v>88</v>
      </c>
      <c r="H1823" s="100" t="s">
        <v>2422</v>
      </c>
      <c r="I1823" s="46" t="e">
        <f>VLOOKUP(H1823,'合同高级查询数据-4月返'!A:A,1,FALSE)</f>
        <v>#N/A</v>
      </c>
      <c r="J1823" s="160" t="s">
        <v>162</v>
      </c>
      <c r="K1823" s="160" t="s">
        <v>157</v>
      </c>
      <c r="L1823" s="25" t="s">
        <v>2431</v>
      </c>
      <c r="M1823" s="49" t="s">
        <v>2420</v>
      </c>
      <c r="N1823" s="180">
        <v>44729</v>
      </c>
      <c r="O1823" s="181" t="s">
        <v>92</v>
      </c>
      <c r="P1823" s="208">
        <v>5000</v>
      </c>
      <c r="Q1823" s="208">
        <v>-2</v>
      </c>
      <c r="R1823" s="118">
        <f t="shared" si="46"/>
        <v>-10000</v>
      </c>
      <c r="S1823" s="115">
        <v>202304</v>
      </c>
      <c r="T1823" s="186" t="s">
        <v>2435</v>
      </c>
      <c r="U1823" s="186"/>
      <c r="V1823" s="120"/>
      <c r="W1823" s="120"/>
      <c r="X1823" s="116">
        <v>44927</v>
      </c>
      <c r="Y1823" s="116">
        <v>45107</v>
      </c>
    </row>
    <row r="1824" s="85" customFormat="1" customHeight="1" spans="1:25">
      <c r="A1824" s="98" t="s">
        <v>444</v>
      </c>
      <c r="B1824" s="24" t="s">
        <v>62</v>
      </c>
      <c r="C1824" s="98" t="s">
        <v>153</v>
      </c>
      <c r="D1824" s="98" t="s">
        <v>951</v>
      </c>
      <c r="E1824" s="161" t="s">
        <v>2414</v>
      </c>
      <c r="F1824" s="98" t="s">
        <v>2415</v>
      </c>
      <c r="G1824" s="172" t="s">
        <v>31</v>
      </c>
      <c r="H1824" s="100" t="s">
        <v>2422</v>
      </c>
      <c r="I1824" s="46" t="e">
        <f>VLOOKUP(H1824,'合同高级查询数据-4月返'!A:A,1,FALSE)</f>
        <v>#N/A</v>
      </c>
      <c r="J1824" s="160" t="s">
        <v>33</v>
      </c>
      <c r="K1824" s="160" t="s">
        <v>157</v>
      </c>
      <c r="L1824" s="179" t="s">
        <v>2415</v>
      </c>
      <c r="M1824" s="49" t="s">
        <v>2420</v>
      </c>
      <c r="N1824" s="180" t="s">
        <v>1329</v>
      </c>
      <c r="O1824" s="181" t="s">
        <v>37</v>
      </c>
      <c r="P1824" s="208">
        <v>0</v>
      </c>
      <c r="Q1824" s="208">
        <v>544</v>
      </c>
      <c r="R1824" s="118">
        <f t="shared" si="46"/>
        <v>0</v>
      </c>
      <c r="S1824" s="115">
        <v>202304</v>
      </c>
      <c r="T1824" s="186" t="s">
        <v>2436</v>
      </c>
      <c r="U1824" s="186"/>
      <c r="V1824" s="120"/>
      <c r="W1824" s="120"/>
      <c r="X1824" s="116">
        <v>44927</v>
      </c>
      <c r="Y1824" s="116">
        <v>45107</v>
      </c>
    </row>
    <row r="1825" s="85" customFormat="1" customHeight="1" spans="1:25">
      <c r="A1825" s="98" t="s">
        <v>444</v>
      </c>
      <c r="B1825" s="24" t="s">
        <v>62</v>
      </c>
      <c r="C1825" s="98" t="s">
        <v>153</v>
      </c>
      <c r="D1825" s="98" t="s">
        <v>951</v>
      </c>
      <c r="E1825" s="161" t="s">
        <v>2414</v>
      </c>
      <c r="F1825" s="98" t="s">
        <v>2415</v>
      </c>
      <c r="G1825" s="172" t="s">
        <v>31</v>
      </c>
      <c r="H1825" s="100" t="s">
        <v>2422</v>
      </c>
      <c r="I1825" s="46" t="e">
        <f>VLOOKUP(H1825,'合同高级查询数据-4月返'!A:A,1,FALSE)</f>
        <v>#N/A</v>
      </c>
      <c r="J1825" s="160" t="s">
        <v>33</v>
      </c>
      <c r="K1825" s="160" t="s">
        <v>157</v>
      </c>
      <c r="L1825" s="179" t="s">
        <v>2415</v>
      </c>
      <c r="M1825" s="49" t="s">
        <v>2420</v>
      </c>
      <c r="N1825" s="180">
        <v>44773</v>
      </c>
      <c r="O1825" s="181" t="s">
        <v>37</v>
      </c>
      <c r="P1825" s="208">
        <v>0</v>
      </c>
      <c r="Q1825" s="208">
        <v>-544</v>
      </c>
      <c r="R1825" s="118">
        <f t="shared" si="46"/>
        <v>0</v>
      </c>
      <c r="S1825" s="115">
        <v>202304</v>
      </c>
      <c r="T1825" s="186" t="s">
        <v>2437</v>
      </c>
      <c r="U1825" s="186"/>
      <c r="V1825" s="120"/>
      <c r="W1825" s="120"/>
      <c r="X1825" s="116">
        <v>44927</v>
      </c>
      <c r="Y1825" s="116">
        <v>45107</v>
      </c>
    </row>
    <row r="1826" s="85" customFormat="1" customHeight="1" spans="1:25">
      <c r="A1826" s="98" t="s">
        <v>444</v>
      </c>
      <c r="B1826" s="24" t="s">
        <v>62</v>
      </c>
      <c r="C1826" s="98" t="s">
        <v>153</v>
      </c>
      <c r="D1826" s="98" t="s">
        <v>951</v>
      </c>
      <c r="E1826" s="161" t="s">
        <v>2414</v>
      </c>
      <c r="F1826" s="98" t="s">
        <v>2415</v>
      </c>
      <c r="G1826" s="172" t="s">
        <v>31</v>
      </c>
      <c r="H1826" s="100" t="s">
        <v>2422</v>
      </c>
      <c r="I1826" s="46" t="e">
        <f>VLOOKUP(H1826,'合同高级查询数据-4月返'!A:A,1,FALSE)</f>
        <v>#N/A</v>
      </c>
      <c r="J1826" s="160" t="s">
        <v>33</v>
      </c>
      <c r="K1826" s="160" t="s">
        <v>157</v>
      </c>
      <c r="L1826" s="179" t="s">
        <v>2431</v>
      </c>
      <c r="M1826" s="49" t="s">
        <v>2420</v>
      </c>
      <c r="N1826" s="180" t="s">
        <v>1329</v>
      </c>
      <c r="O1826" s="181" t="s">
        <v>37</v>
      </c>
      <c r="P1826" s="208">
        <v>0</v>
      </c>
      <c r="Q1826" s="208">
        <v>384</v>
      </c>
      <c r="R1826" s="118">
        <f t="shared" si="46"/>
        <v>0</v>
      </c>
      <c r="S1826" s="115">
        <v>202304</v>
      </c>
      <c r="T1826" s="186" t="s">
        <v>2438</v>
      </c>
      <c r="U1826" s="186"/>
      <c r="V1826" s="120"/>
      <c r="W1826" s="120"/>
      <c r="X1826" s="116">
        <v>44927</v>
      </c>
      <c r="Y1826" s="116">
        <v>45107</v>
      </c>
    </row>
    <row r="1827" s="85" customFormat="1" customHeight="1" spans="1:25">
      <c r="A1827" s="98" t="s">
        <v>444</v>
      </c>
      <c r="B1827" s="24" t="s">
        <v>62</v>
      </c>
      <c r="C1827" s="98" t="s">
        <v>153</v>
      </c>
      <c r="D1827" s="98" t="s">
        <v>951</v>
      </c>
      <c r="E1827" s="161" t="s">
        <v>2414</v>
      </c>
      <c r="F1827" s="98" t="s">
        <v>2415</v>
      </c>
      <c r="G1827" s="172" t="s">
        <v>31</v>
      </c>
      <c r="H1827" s="100" t="s">
        <v>2422</v>
      </c>
      <c r="I1827" s="46" t="e">
        <f>VLOOKUP(H1827,'合同高级查询数据-4月返'!A:A,1,FALSE)</f>
        <v>#N/A</v>
      </c>
      <c r="J1827" s="160" t="s">
        <v>33</v>
      </c>
      <c r="K1827" s="160" t="s">
        <v>157</v>
      </c>
      <c r="L1827" s="25" t="s">
        <v>2431</v>
      </c>
      <c r="M1827" s="49" t="s">
        <v>2420</v>
      </c>
      <c r="N1827" s="180" t="s">
        <v>1329</v>
      </c>
      <c r="O1827" s="181" t="s">
        <v>37</v>
      </c>
      <c r="P1827" s="208">
        <v>0</v>
      </c>
      <c r="Q1827" s="208">
        <v>288</v>
      </c>
      <c r="R1827" s="118">
        <f t="shared" si="46"/>
        <v>0</v>
      </c>
      <c r="S1827" s="115">
        <v>202304</v>
      </c>
      <c r="T1827" s="186" t="s">
        <v>2439</v>
      </c>
      <c r="U1827" s="186"/>
      <c r="V1827" s="120"/>
      <c r="W1827" s="120"/>
      <c r="X1827" s="116">
        <v>44927</v>
      </c>
      <c r="Y1827" s="116">
        <v>45107</v>
      </c>
    </row>
    <row r="1828" s="85" customFormat="1" customHeight="1" spans="1:25">
      <c r="A1828" s="98" t="s">
        <v>444</v>
      </c>
      <c r="B1828" s="24" t="s">
        <v>62</v>
      </c>
      <c r="C1828" s="98" t="s">
        <v>153</v>
      </c>
      <c r="D1828" s="98" t="s">
        <v>951</v>
      </c>
      <c r="E1828" s="161" t="s">
        <v>2414</v>
      </c>
      <c r="F1828" s="98" t="s">
        <v>2415</v>
      </c>
      <c r="G1828" s="172" t="s">
        <v>31</v>
      </c>
      <c r="H1828" s="100" t="s">
        <v>2422</v>
      </c>
      <c r="I1828" s="46" t="e">
        <f>VLOOKUP(H1828,'合同高级查询数据-4月返'!A:A,1,FALSE)</f>
        <v>#N/A</v>
      </c>
      <c r="J1828" s="160" t="s">
        <v>33</v>
      </c>
      <c r="K1828" s="160" t="s">
        <v>157</v>
      </c>
      <c r="L1828" s="25" t="s">
        <v>2419</v>
      </c>
      <c r="M1828" s="49" t="s">
        <v>2420</v>
      </c>
      <c r="N1828" s="180" t="s">
        <v>1329</v>
      </c>
      <c r="O1828" s="181" t="s">
        <v>37</v>
      </c>
      <c r="P1828" s="208">
        <v>0</v>
      </c>
      <c r="Q1828" s="208">
        <v>544</v>
      </c>
      <c r="R1828" s="118">
        <f t="shared" si="46"/>
        <v>0</v>
      </c>
      <c r="S1828" s="115">
        <v>202304</v>
      </c>
      <c r="T1828" s="186" t="s">
        <v>2440</v>
      </c>
      <c r="U1828" s="186"/>
      <c r="V1828" s="120"/>
      <c r="W1828" s="120"/>
      <c r="X1828" s="116">
        <v>44927</v>
      </c>
      <c r="Y1828" s="116">
        <v>45107</v>
      </c>
    </row>
    <row r="1829" s="85" customFormat="1" customHeight="1" spans="1:25">
      <c r="A1829" s="98" t="s">
        <v>444</v>
      </c>
      <c r="B1829" s="24" t="s">
        <v>62</v>
      </c>
      <c r="C1829" s="98" t="s">
        <v>153</v>
      </c>
      <c r="D1829" s="98" t="s">
        <v>951</v>
      </c>
      <c r="E1829" s="161" t="s">
        <v>2414</v>
      </c>
      <c r="F1829" s="98" t="s">
        <v>2415</v>
      </c>
      <c r="G1829" s="172" t="s">
        <v>31</v>
      </c>
      <c r="H1829" s="100" t="s">
        <v>2422</v>
      </c>
      <c r="I1829" s="46" t="e">
        <f>VLOOKUP(H1829,'合同高级查询数据-4月返'!A:A,1,FALSE)</f>
        <v>#N/A</v>
      </c>
      <c r="J1829" s="160" t="s">
        <v>33</v>
      </c>
      <c r="K1829" s="160" t="s">
        <v>157</v>
      </c>
      <c r="L1829" s="25" t="s">
        <v>2441</v>
      </c>
      <c r="M1829" s="49" t="s">
        <v>2442</v>
      </c>
      <c r="N1829" s="180">
        <v>44839</v>
      </c>
      <c r="O1829" s="181"/>
      <c r="P1829" s="208">
        <v>0</v>
      </c>
      <c r="Q1829" s="208">
        <v>224</v>
      </c>
      <c r="R1829" s="118">
        <f t="shared" si="46"/>
        <v>0</v>
      </c>
      <c r="S1829" s="115">
        <v>202304</v>
      </c>
      <c r="T1829" s="191" t="s">
        <v>2443</v>
      </c>
      <c r="U1829" s="186"/>
      <c r="V1829" s="120"/>
      <c r="W1829" s="120"/>
      <c r="X1829" s="116">
        <v>44927</v>
      </c>
      <c r="Y1829" s="116">
        <v>45107</v>
      </c>
    </row>
    <row r="1830" s="85" customFormat="1" customHeight="1" spans="1:25">
      <c r="A1830" s="98" t="s">
        <v>444</v>
      </c>
      <c r="B1830" s="24" t="s">
        <v>62</v>
      </c>
      <c r="C1830" s="98" t="s">
        <v>153</v>
      </c>
      <c r="D1830" s="98" t="s">
        <v>951</v>
      </c>
      <c r="E1830" s="161" t="s">
        <v>2414</v>
      </c>
      <c r="F1830" s="98" t="s">
        <v>2415</v>
      </c>
      <c r="G1830" s="172" t="s">
        <v>88</v>
      </c>
      <c r="H1830" s="100" t="s">
        <v>2422</v>
      </c>
      <c r="I1830" s="46" t="e">
        <f>VLOOKUP(H1830,'合同高级查询数据-4月返'!A:A,1,FALSE)</f>
        <v>#N/A</v>
      </c>
      <c r="J1830" s="160" t="s">
        <v>162</v>
      </c>
      <c r="K1830" s="160" t="s">
        <v>157</v>
      </c>
      <c r="L1830" s="25" t="s">
        <v>2441</v>
      </c>
      <c r="M1830" s="49" t="s">
        <v>2442</v>
      </c>
      <c r="N1830" s="180">
        <v>44835</v>
      </c>
      <c r="O1830" s="181" t="s">
        <v>1306</v>
      </c>
      <c r="P1830" s="208">
        <v>5000</v>
      </c>
      <c r="Q1830" s="208">
        <v>1</v>
      </c>
      <c r="R1830" s="118">
        <f t="shared" si="46"/>
        <v>5000</v>
      </c>
      <c r="S1830" s="115">
        <v>202304</v>
      </c>
      <c r="T1830" s="186" t="s">
        <v>2444</v>
      </c>
      <c r="U1830" s="186"/>
      <c r="V1830" s="120"/>
      <c r="W1830" s="120"/>
      <c r="X1830" s="116">
        <v>44927</v>
      </c>
      <c r="Y1830" s="116">
        <v>45107</v>
      </c>
    </row>
    <row r="1831" s="85" customFormat="1" customHeight="1" spans="1:25">
      <c r="A1831" s="98" t="s">
        <v>444</v>
      </c>
      <c r="B1831" s="24" t="s">
        <v>62</v>
      </c>
      <c r="C1831" s="98" t="s">
        <v>153</v>
      </c>
      <c r="D1831" s="98" t="s">
        <v>951</v>
      </c>
      <c r="E1831" s="161" t="s">
        <v>2445</v>
      </c>
      <c r="F1831" s="98" t="s">
        <v>2446</v>
      </c>
      <c r="G1831" s="172" t="s">
        <v>88</v>
      </c>
      <c r="H1831" s="100" t="s">
        <v>2447</v>
      </c>
      <c r="I1831" s="46" t="e">
        <f>VLOOKUP(H1831,'合同高级查询数据-4月返'!A:A,1,FALSE)</f>
        <v>#N/A</v>
      </c>
      <c r="J1831" s="160" t="s">
        <v>162</v>
      </c>
      <c r="K1831" s="160" t="s">
        <v>2448</v>
      </c>
      <c r="L1831" s="25" t="s">
        <v>2448</v>
      </c>
      <c r="M1831" s="49" t="s">
        <v>2449</v>
      </c>
      <c r="N1831" s="180">
        <v>43849</v>
      </c>
      <c r="O1831" s="181" t="s">
        <v>163</v>
      </c>
      <c r="P1831" s="208">
        <v>5000</v>
      </c>
      <c r="Q1831" s="208">
        <v>8</v>
      </c>
      <c r="R1831" s="118">
        <f t="shared" si="46"/>
        <v>40000</v>
      </c>
      <c r="S1831" s="115">
        <v>202304</v>
      </c>
      <c r="T1831" s="186" t="s">
        <v>2450</v>
      </c>
      <c r="U1831" s="186"/>
      <c r="V1831" s="120"/>
      <c r="W1831" s="120"/>
      <c r="X1831" s="116">
        <v>44927</v>
      </c>
      <c r="Y1831" s="116">
        <v>45107</v>
      </c>
    </row>
    <row r="1832" s="85" customFormat="1" customHeight="1" spans="1:25">
      <c r="A1832" s="98" t="s">
        <v>444</v>
      </c>
      <c r="B1832" s="24" t="s">
        <v>62</v>
      </c>
      <c r="C1832" s="98" t="s">
        <v>153</v>
      </c>
      <c r="D1832" s="98" t="s">
        <v>951</v>
      </c>
      <c r="E1832" s="161" t="s">
        <v>2445</v>
      </c>
      <c r="F1832" s="98" t="s">
        <v>2446</v>
      </c>
      <c r="G1832" s="172" t="s">
        <v>88</v>
      </c>
      <c r="H1832" s="100" t="s">
        <v>2447</v>
      </c>
      <c r="I1832" s="46" t="e">
        <f>VLOOKUP(H1832,'合同高级查询数据-4月返'!A:A,1,FALSE)</f>
        <v>#N/A</v>
      </c>
      <c r="J1832" s="160" t="s">
        <v>162</v>
      </c>
      <c r="K1832" s="160" t="s">
        <v>2448</v>
      </c>
      <c r="L1832" s="25" t="s">
        <v>2448</v>
      </c>
      <c r="M1832" s="49" t="s">
        <v>2449</v>
      </c>
      <c r="N1832" s="180">
        <v>44408</v>
      </c>
      <c r="O1832" s="181" t="s">
        <v>163</v>
      </c>
      <c r="P1832" s="208">
        <v>5000</v>
      </c>
      <c r="Q1832" s="208">
        <v>-2</v>
      </c>
      <c r="R1832" s="118">
        <f t="shared" si="46"/>
        <v>-10000</v>
      </c>
      <c r="S1832" s="115">
        <v>202304</v>
      </c>
      <c r="T1832" s="186" t="s">
        <v>2451</v>
      </c>
      <c r="U1832" s="186"/>
      <c r="V1832" s="120"/>
      <c r="W1832" s="120"/>
      <c r="X1832" s="116">
        <v>44927</v>
      </c>
      <c r="Y1832" s="116">
        <v>45107</v>
      </c>
    </row>
    <row r="1833" s="85" customFormat="1" customHeight="1" spans="1:25">
      <c r="A1833" s="98" t="s">
        <v>444</v>
      </c>
      <c r="B1833" s="24" t="s">
        <v>62</v>
      </c>
      <c r="C1833" s="98" t="s">
        <v>153</v>
      </c>
      <c r="D1833" s="98" t="s">
        <v>951</v>
      </c>
      <c r="E1833" s="161" t="s">
        <v>2445</v>
      </c>
      <c r="F1833" s="98" t="s">
        <v>2446</v>
      </c>
      <c r="G1833" s="172" t="s">
        <v>88</v>
      </c>
      <c r="H1833" s="100" t="s">
        <v>2447</v>
      </c>
      <c r="I1833" s="46" t="e">
        <f>VLOOKUP(H1833,'合同高级查询数据-4月返'!A:A,1,FALSE)</f>
        <v>#N/A</v>
      </c>
      <c r="J1833" s="160" t="s">
        <v>162</v>
      </c>
      <c r="K1833" s="160" t="s">
        <v>2448</v>
      </c>
      <c r="L1833" s="25" t="s">
        <v>2448</v>
      </c>
      <c r="M1833" s="49" t="s">
        <v>2449</v>
      </c>
      <c r="N1833" s="180">
        <v>44773</v>
      </c>
      <c r="O1833" s="181" t="s">
        <v>163</v>
      </c>
      <c r="P1833" s="208">
        <v>5000</v>
      </c>
      <c r="Q1833" s="208">
        <v>-1</v>
      </c>
      <c r="R1833" s="118">
        <f t="shared" si="46"/>
        <v>-5000</v>
      </c>
      <c r="S1833" s="115">
        <v>202304</v>
      </c>
      <c r="T1833" s="186" t="s">
        <v>2452</v>
      </c>
      <c r="U1833" s="186"/>
      <c r="V1833" s="120"/>
      <c r="W1833" s="120"/>
      <c r="X1833" s="116">
        <v>44927</v>
      </c>
      <c r="Y1833" s="116">
        <v>45107</v>
      </c>
    </row>
    <row r="1834" s="85" customFormat="1" customHeight="1" spans="1:25">
      <c r="A1834" s="98" t="s">
        <v>444</v>
      </c>
      <c r="B1834" s="24" t="s">
        <v>62</v>
      </c>
      <c r="C1834" s="98" t="s">
        <v>153</v>
      </c>
      <c r="D1834" s="98" t="s">
        <v>951</v>
      </c>
      <c r="E1834" s="161" t="s">
        <v>2445</v>
      </c>
      <c r="F1834" s="98" t="s">
        <v>2446</v>
      </c>
      <c r="G1834" s="172" t="s">
        <v>88</v>
      </c>
      <c r="H1834" s="100" t="s">
        <v>2447</v>
      </c>
      <c r="I1834" s="46" t="e">
        <f>VLOOKUP(H1834,'合同高级查询数据-4月返'!A:A,1,FALSE)</f>
        <v>#N/A</v>
      </c>
      <c r="J1834" s="160" t="s">
        <v>162</v>
      </c>
      <c r="K1834" s="160" t="s">
        <v>2453</v>
      </c>
      <c r="L1834" s="25" t="s">
        <v>2454</v>
      </c>
      <c r="M1834" s="49" t="s">
        <v>2455</v>
      </c>
      <c r="N1834" s="180">
        <v>44197</v>
      </c>
      <c r="O1834" s="181" t="s">
        <v>163</v>
      </c>
      <c r="P1834" s="208">
        <v>5000</v>
      </c>
      <c r="Q1834" s="208">
        <v>4</v>
      </c>
      <c r="R1834" s="118">
        <f t="shared" si="46"/>
        <v>20000</v>
      </c>
      <c r="S1834" s="115">
        <v>202304</v>
      </c>
      <c r="T1834" s="186" t="s">
        <v>2456</v>
      </c>
      <c r="U1834" s="186"/>
      <c r="V1834" s="120"/>
      <c r="W1834" s="120"/>
      <c r="X1834" s="116">
        <v>44927</v>
      </c>
      <c r="Y1834" s="116">
        <v>45107</v>
      </c>
    </row>
    <row r="1835" s="85" customFormat="1" customHeight="1" spans="1:25">
      <c r="A1835" s="98" t="s">
        <v>444</v>
      </c>
      <c r="B1835" s="24" t="s">
        <v>62</v>
      </c>
      <c r="C1835" s="98" t="s">
        <v>153</v>
      </c>
      <c r="D1835" s="98" t="s">
        <v>951</v>
      </c>
      <c r="E1835" s="161" t="s">
        <v>2445</v>
      </c>
      <c r="F1835" s="98" t="s">
        <v>2446</v>
      </c>
      <c r="G1835" s="172" t="s">
        <v>31</v>
      </c>
      <c r="H1835" s="100" t="s">
        <v>2447</v>
      </c>
      <c r="I1835" s="46" t="e">
        <f>VLOOKUP(H1835,'合同高级查询数据-4月返'!A:A,1,FALSE)</f>
        <v>#N/A</v>
      </c>
      <c r="J1835" s="160" t="s">
        <v>33</v>
      </c>
      <c r="K1835" s="160" t="s">
        <v>2448</v>
      </c>
      <c r="L1835" s="25" t="s">
        <v>2448</v>
      </c>
      <c r="M1835" s="49" t="s">
        <v>2449</v>
      </c>
      <c r="N1835" s="180" t="s">
        <v>1329</v>
      </c>
      <c r="O1835" s="181"/>
      <c r="P1835" s="208">
        <v>0</v>
      </c>
      <c r="Q1835" s="208">
        <v>544</v>
      </c>
      <c r="R1835" s="118">
        <f t="shared" si="46"/>
        <v>0</v>
      </c>
      <c r="S1835" s="115">
        <v>202304</v>
      </c>
      <c r="T1835" s="186" t="s">
        <v>2457</v>
      </c>
      <c r="U1835" s="186"/>
      <c r="V1835" s="120"/>
      <c r="W1835" s="120"/>
      <c r="X1835" s="116">
        <v>44927</v>
      </c>
      <c r="Y1835" s="116">
        <v>45107</v>
      </c>
    </row>
    <row r="1836" s="85" customFormat="1" customHeight="1" spans="1:25">
      <c r="A1836" s="98" t="s">
        <v>444</v>
      </c>
      <c r="B1836" s="24" t="s">
        <v>62</v>
      </c>
      <c r="C1836" s="98" t="s">
        <v>153</v>
      </c>
      <c r="D1836" s="98" t="s">
        <v>951</v>
      </c>
      <c r="E1836" s="161" t="s">
        <v>2445</v>
      </c>
      <c r="F1836" s="98" t="s">
        <v>2446</v>
      </c>
      <c r="G1836" s="172" t="s">
        <v>31</v>
      </c>
      <c r="H1836" s="100" t="s">
        <v>2447</v>
      </c>
      <c r="I1836" s="46" t="e">
        <f>VLOOKUP(H1836,'合同高级查询数据-4月返'!A:A,1,FALSE)</f>
        <v>#N/A</v>
      </c>
      <c r="J1836" s="160" t="s">
        <v>33</v>
      </c>
      <c r="K1836" s="160" t="s">
        <v>2448</v>
      </c>
      <c r="L1836" s="25" t="s">
        <v>2448</v>
      </c>
      <c r="M1836" s="49" t="s">
        <v>2449</v>
      </c>
      <c r="N1836" s="180">
        <v>44773</v>
      </c>
      <c r="O1836" s="181"/>
      <c r="P1836" s="208">
        <v>0</v>
      </c>
      <c r="Q1836" s="208">
        <v>-256</v>
      </c>
      <c r="R1836" s="118">
        <f t="shared" si="46"/>
        <v>0</v>
      </c>
      <c r="S1836" s="115">
        <v>202304</v>
      </c>
      <c r="T1836" s="186" t="s">
        <v>2458</v>
      </c>
      <c r="U1836" s="186"/>
      <c r="V1836" s="120"/>
      <c r="W1836" s="120"/>
      <c r="X1836" s="116">
        <v>44927</v>
      </c>
      <c r="Y1836" s="116">
        <v>45107</v>
      </c>
    </row>
    <row r="1837" s="85" customFormat="1" customHeight="1" spans="1:25">
      <c r="A1837" s="98" t="s">
        <v>444</v>
      </c>
      <c r="B1837" s="24" t="s">
        <v>62</v>
      </c>
      <c r="C1837" s="98" t="s">
        <v>153</v>
      </c>
      <c r="D1837" s="98" t="s">
        <v>951</v>
      </c>
      <c r="E1837" s="161" t="s">
        <v>2445</v>
      </c>
      <c r="F1837" s="98" t="s">
        <v>2446</v>
      </c>
      <c r="G1837" s="172" t="s">
        <v>31</v>
      </c>
      <c r="H1837" s="100" t="s">
        <v>2447</v>
      </c>
      <c r="I1837" s="46" t="e">
        <f>VLOOKUP(H1837,'合同高级查询数据-4月返'!A:A,1,FALSE)</f>
        <v>#N/A</v>
      </c>
      <c r="J1837" s="160" t="s">
        <v>33</v>
      </c>
      <c r="K1837" s="160" t="s">
        <v>2453</v>
      </c>
      <c r="L1837" s="25" t="s">
        <v>2454</v>
      </c>
      <c r="M1837" s="49" t="s">
        <v>2449</v>
      </c>
      <c r="N1837" s="180">
        <v>44228</v>
      </c>
      <c r="O1837" s="181"/>
      <c r="P1837" s="208">
        <v>0</v>
      </c>
      <c r="Q1837" s="208">
        <v>288</v>
      </c>
      <c r="R1837" s="118">
        <v>0</v>
      </c>
      <c r="S1837" s="115">
        <v>202304</v>
      </c>
      <c r="T1837" s="186" t="s">
        <v>2459</v>
      </c>
      <c r="U1837" s="280"/>
      <c r="V1837" s="281"/>
      <c r="W1837" s="281"/>
      <c r="X1837" s="116">
        <v>44927</v>
      </c>
      <c r="Y1837" s="116">
        <v>45107</v>
      </c>
    </row>
    <row r="1838" s="86" customFormat="1" customHeight="1" spans="1:25">
      <c r="A1838" s="135" t="s">
        <v>444</v>
      </c>
      <c r="B1838" s="11" t="s">
        <v>62</v>
      </c>
      <c r="C1838" s="135" t="s">
        <v>153</v>
      </c>
      <c r="D1838" s="135" t="s">
        <v>951</v>
      </c>
      <c r="E1838" s="170" t="s">
        <v>2445</v>
      </c>
      <c r="F1838" s="135" t="s">
        <v>2446</v>
      </c>
      <c r="G1838" s="171" t="s">
        <v>31</v>
      </c>
      <c r="H1838" s="103" t="s">
        <v>2460</v>
      </c>
      <c r="I1838" s="30" t="e">
        <f>VLOOKUP(H1838,'合同高级查询数据-4月返'!A:A,1,FALSE)</f>
        <v>#N/A</v>
      </c>
      <c r="J1838" s="134" t="s">
        <v>33</v>
      </c>
      <c r="K1838" s="134" t="s">
        <v>2461</v>
      </c>
      <c r="L1838" s="134" t="s">
        <v>2461</v>
      </c>
      <c r="M1838" s="113" t="s">
        <v>1489</v>
      </c>
      <c r="N1838" s="175" t="s">
        <v>1329</v>
      </c>
      <c r="O1838" s="176" t="s">
        <v>37</v>
      </c>
      <c r="P1838" s="209"/>
      <c r="Q1838" s="209">
        <v>256</v>
      </c>
      <c r="R1838" s="130">
        <f t="shared" ref="R1838:R1855" si="47">ROUND(P1838*Q1838,2)</f>
        <v>0</v>
      </c>
      <c r="S1838" s="127">
        <v>202304</v>
      </c>
      <c r="T1838" s="211" t="s">
        <v>2462</v>
      </c>
      <c r="U1838" s="211"/>
      <c r="V1838" s="159"/>
      <c r="W1838" s="159"/>
      <c r="X1838" s="131"/>
      <c r="Y1838" s="131"/>
    </row>
    <row r="1839" s="85" customFormat="1" customHeight="1" spans="1:25">
      <c r="A1839" s="22" t="s">
        <v>444</v>
      </c>
      <c r="B1839" s="98" t="s">
        <v>62</v>
      </c>
      <c r="C1839" s="24" t="s">
        <v>153</v>
      </c>
      <c r="D1839" s="98" t="s">
        <v>951</v>
      </c>
      <c r="E1839" s="46" t="s">
        <v>2463</v>
      </c>
      <c r="F1839" s="22" t="s">
        <v>2464</v>
      </c>
      <c r="G1839" s="22" t="s">
        <v>31</v>
      </c>
      <c r="H1839" s="100" t="s">
        <v>2465</v>
      </c>
      <c r="I1839" s="46" t="str">
        <f>VLOOKUP(H1839,'合同高级查询数据-4月返'!A:A,1,FALSE)</f>
        <v>182315IDC00113</v>
      </c>
      <c r="J1839" s="178" t="s">
        <v>33</v>
      </c>
      <c r="K1839" s="22" t="s">
        <v>2466</v>
      </c>
      <c r="L1839" s="25" t="s">
        <v>2467</v>
      </c>
      <c r="M1839" s="22" t="s">
        <v>2468</v>
      </c>
      <c r="N1839" s="241">
        <v>44967</v>
      </c>
      <c r="O1839" s="22"/>
      <c r="P1839" s="114">
        <v>0</v>
      </c>
      <c r="Q1839" s="105">
        <v>1536</v>
      </c>
      <c r="R1839" s="117">
        <f t="shared" si="47"/>
        <v>0</v>
      </c>
      <c r="S1839" s="115">
        <v>202304</v>
      </c>
      <c r="T1839" s="122" t="s">
        <v>2469</v>
      </c>
      <c r="U1839" s="119"/>
      <c r="V1839" s="282"/>
      <c r="W1839" s="282"/>
      <c r="X1839" s="116">
        <v>44967</v>
      </c>
      <c r="Y1839" s="116">
        <v>45107</v>
      </c>
    </row>
    <row r="1840" s="85" customFormat="1" customHeight="1" spans="1:25">
      <c r="A1840" s="22" t="s">
        <v>444</v>
      </c>
      <c r="B1840" s="98" t="s">
        <v>62</v>
      </c>
      <c r="C1840" s="24" t="s">
        <v>153</v>
      </c>
      <c r="D1840" s="98" t="s">
        <v>951</v>
      </c>
      <c r="E1840" s="46" t="s">
        <v>2463</v>
      </c>
      <c r="F1840" s="22" t="s">
        <v>2464</v>
      </c>
      <c r="G1840" s="22" t="s">
        <v>88</v>
      </c>
      <c r="H1840" s="100" t="s">
        <v>2465</v>
      </c>
      <c r="I1840" s="46" t="str">
        <f>VLOOKUP(H1840,'合同高级查询数据-4月返'!A:A,1,FALSE)</f>
        <v>182315IDC00113</v>
      </c>
      <c r="J1840" s="178" t="s">
        <v>2470</v>
      </c>
      <c r="K1840" s="22" t="s">
        <v>2466</v>
      </c>
      <c r="L1840" s="25" t="s">
        <v>2467</v>
      </c>
      <c r="M1840" s="22" t="s">
        <v>2468</v>
      </c>
      <c r="N1840" s="241">
        <v>45008</v>
      </c>
      <c r="O1840" s="22" t="s">
        <v>1306</v>
      </c>
      <c r="P1840" s="114">
        <v>5900</v>
      </c>
      <c r="Q1840" s="105">
        <v>1</v>
      </c>
      <c r="R1840" s="118">
        <f t="shared" si="47"/>
        <v>5900</v>
      </c>
      <c r="S1840" s="115">
        <v>202304</v>
      </c>
      <c r="T1840" s="119" t="s">
        <v>2471</v>
      </c>
      <c r="U1840" s="119"/>
      <c r="V1840" s="282"/>
      <c r="W1840" s="282"/>
      <c r="X1840" s="116">
        <v>44967</v>
      </c>
      <c r="Y1840" s="116">
        <v>45107</v>
      </c>
    </row>
    <row r="1841" s="86" customFormat="1" customHeight="1" spans="1:25">
      <c r="A1841" s="135" t="s">
        <v>444</v>
      </c>
      <c r="B1841" s="135" t="s">
        <v>62</v>
      </c>
      <c r="C1841" s="135" t="s">
        <v>813</v>
      </c>
      <c r="D1841" s="135" t="s">
        <v>642</v>
      </c>
      <c r="E1841" s="170" t="s">
        <v>2472</v>
      </c>
      <c r="F1841" s="134" t="s">
        <v>2473</v>
      </c>
      <c r="G1841" s="171" t="s">
        <v>31</v>
      </c>
      <c r="H1841" s="103" t="s">
        <v>2474</v>
      </c>
      <c r="I1841" s="30" t="e">
        <f>VLOOKUP(H1841,'合同高级查询数据-4月返'!A:A,1,FALSE)</f>
        <v>#N/A</v>
      </c>
      <c r="J1841" s="134" t="s">
        <v>497</v>
      </c>
      <c r="K1841" s="134" t="s">
        <v>813</v>
      </c>
      <c r="L1841" s="174" t="s">
        <v>2473</v>
      </c>
      <c r="M1841" s="113"/>
      <c r="N1841" s="175">
        <v>41760</v>
      </c>
      <c r="O1841" s="176" t="s">
        <v>37</v>
      </c>
      <c r="P1841" s="177">
        <v>0</v>
      </c>
      <c r="Q1841" s="177">
        <v>3153</v>
      </c>
      <c r="R1841" s="130">
        <f t="shared" si="47"/>
        <v>0</v>
      </c>
      <c r="S1841" s="127">
        <v>202304</v>
      </c>
      <c r="T1841" s="211" t="s">
        <v>2475</v>
      </c>
      <c r="U1841" s="211"/>
      <c r="V1841" s="149"/>
      <c r="W1841" s="149"/>
      <c r="X1841" s="131"/>
      <c r="Y1841" s="131"/>
    </row>
    <row r="1842" s="86" customFormat="1" customHeight="1" spans="1:25">
      <c r="A1842" s="135" t="s">
        <v>444</v>
      </c>
      <c r="B1842" s="135" t="s">
        <v>62</v>
      </c>
      <c r="C1842" s="135" t="s">
        <v>813</v>
      </c>
      <c r="D1842" s="135" t="s">
        <v>642</v>
      </c>
      <c r="E1842" s="170" t="s">
        <v>2472</v>
      </c>
      <c r="F1842" s="134" t="s">
        <v>2473</v>
      </c>
      <c r="G1842" s="171" t="s">
        <v>31</v>
      </c>
      <c r="H1842" s="103" t="s">
        <v>2474</v>
      </c>
      <c r="I1842" s="30" t="e">
        <f>VLOOKUP(H1842,'合同高级查询数据-4月返'!A:A,1,FALSE)</f>
        <v>#N/A</v>
      </c>
      <c r="J1842" s="134" t="s">
        <v>497</v>
      </c>
      <c r="K1842" s="134" t="s">
        <v>813</v>
      </c>
      <c r="L1842" s="174" t="s">
        <v>2473</v>
      </c>
      <c r="M1842" s="113"/>
      <c r="N1842" s="175">
        <v>44651</v>
      </c>
      <c r="O1842" s="176" t="s">
        <v>37</v>
      </c>
      <c r="P1842" s="177">
        <v>0</v>
      </c>
      <c r="Q1842" s="177">
        <v>-3153</v>
      </c>
      <c r="R1842" s="130">
        <f t="shared" si="47"/>
        <v>0</v>
      </c>
      <c r="S1842" s="127">
        <v>202304</v>
      </c>
      <c r="T1842" s="211" t="s">
        <v>2476</v>
      </c>
      <c r="U1842" s="211"/>
      <c r="V1842" s="149"/>
      <c r="W1842" s="149"/>
      <c r="X1842" s="131"/>
      <c r="Y1842" s="131"/>
    </row>
    <row r="1843" s="86" customFormat="1" customHeight="1" spans="1:25">
      <c r="A1843" s="135" t="s">
        <v>444</v>
      </c>
      <c r="B1843" s="135" t="s">
        <v>62</v>
      </c>
      <c r="C1843" s="135" t="s">
        <v>813</v>
      </c>
      <c r="D1843" s="135" t="s">
        <v>642</v>
      </c>
      <c r="E1843" s="170" t="s">
        <v>2472</v>
      </c>
      <c r="F1843" s="134" t="s">
        <v>2473</v>
      </c>
      <c r="G1843" s="171" t="s">
        <v>88</v>
      </c>
      <c r="H1843" s="103" t="s">
        <v>2474</v>
      </c>
      <c r="I1843" s="30" t="e">
        <f>VLOOKUP(H1843,'合同高级查询数据-4月返'!A:A,1,FALSE)</f>
        <v>#N/A</v>
      </c>
      <c r="J1843" s="134" t="s">
        <v>90</v>
      </c>
      <c r="K1843" s="134" t="s">
        <v>2477</v>
      </c>
      <c r="L1843" s="174"/>
      <c r="M1843" s="113" t="s">
        <v>2478</v>
      </c>
      <c r="N1843" s="175" t="s">
        <v>558</v>
      </c>
      <c r="O1843" s="176" t="s">
        <v>503</v>
      </c>
      <c r="P1843" s="177">
        <v>6500</v>
      </c>
      <c r="Q1843" s="177">
        <v>592</v>
      </c>
      <c r="R1843" s="130">
        <f t="shared" si="47"/>
        <v>3848000</v>
      </c>
      <c r="S1843" s="127">
        <v>202304</v>
      </c>
      <c r="T1843" s="211" t="s">
        <v>2479</v>
      </c>
      <c r="U1843" s="211"/>
      <c r="V1843" s="149"/>
      <c r="W1843" s="149"/>
      <c r="X1843" s="131"/>
      <c r="Y1843" s="131"/>
    </row>
    <row r="1844" s="86" customFormat="1" customHeight="1" spans="1:25">
      <c r="A1844" s="135" t="s">
        <v>444</v>
      </c>
      <c r="B1844" s="135" t="s">
        <v>62</v>
      </c>
      <c r="C1844" s="135" t="s">
        <v>813</v>
      </c>
      <c r="D1844" s="135" t="s">
        <v>642</v>
      </c>
      <c r="E1844" s="170" t="s">
        <v>2472</v>
      </c>
      <c r="F1844" s="134" t="s">
        <v>2473</v>
      </c>
      <c r="G1844" s="171" t="s">
        <v>88</v>
      </c>
      <c r="H1844" s="103" t="s">
        <v>2474</v>
      </c>
      <c r="I1844" s="30" t="e">
        <f>VLOOKUP(H1844,'合同高级查询数据-4月返'!A:A,1,FALSE)</f>
        <v>#N/A</v>
      </c>
      <c r="J1844" s="134" t="s">
        <v>90</v>
      </c>
      <c r="K1844" s="134" t="s">
        <v>2477</v>
      </c>
      <c r="L1844" s="174"/>
      <c r="M1844" s="113" t="s">
        <v>2478</v>
      </c>
      <c r="N1844" s="175" t="s">
        <v>558</v>
      </c>
      <c r="O1844" s="176" t="s">
        <v>561</v>
      </c>
      <c r="P1844" s="177">
        <v>8864</v>
      </c>
      <c r="Q1844" s="177">
        <v>5</v>
      </c>
      <c r="R1844" s="130">
        <f t="shared" si="47"/>
        <v>44320</v>
      </c>
      <c r="S1844" s="127">
        <v>202304</v>
      </c>
      <c r="T1844" s="211" t="s">
        <v>2479</v>
      </c>
      <c r="U1844" s="211"/>
      <c r="V1844" s="149"/>
      <c r="W1844" s="149"/>
      <c r="X1844" s="131"/>
      <c r="Y1844" s="131"/>
    </row>
    <row r="1845" s="86" customFormat="1" customHeight="1" spans="1:25">
      <c r="A1845" s="135" t="s">
        <v>444</v>
      </c>
      <c r="B1845" s="135" t="s">
        <v>62</v>
      </c>
      <c r="C1845" s="135" t="s">
        <v>813</v>
      </c>
      <c r="D1845" s="135" t="s">
        <v>642</v>
      </c>
      <c r="E1845" s="170" t="s">
        <v>2472</v>
      </c>
      <c r="F1845" s="134" t="s">
        <v>2473</v>
      </c>
      <c r="G1845" s="171" t="s">
        <v>88</v>
      </c>
      <c r="H1845" s="103" t="s">
        <v>2474</v>
      </c>
      <c r="I1845" s="30" t="e">
        <f>VLOOKUP(H1845,'合同高级查询数据-4月返'!A:A,1,FALSE)</f>
        <v>#N/A</v>
      </c>
      <c r="J1845" s="134" t="s">
        <v>90</v>
      </c>
      <c r="K1845" s="134" t="s">
        <v>2477</v>
      </c>
      <c r="L1845" s="174"/>
      <c r="M1845" s="113" t="s">
        <v>2478</v>
      </c>
      <c r="N1845" s="175" t="s">
        <v>558</v>
      </c>
      <c r="O1845" s="176" t="s">
        <v>574</v>
      </c>
      <c r="P1845" s="177">
        <v>20313</v>
      </c>
      <c r="Q1845" s="177">
        <v>4</v>
      </c>
      <c r="R1845" s="130">
        <f t="shared" si="47"/>
        <v>81252</v>
      </c>
      <c r="S1845" s="127">
        <v>202304</v>
      </c>
      <c r="T1845" s="211" t="s">
        <v>2479</v>
      </c>
      <c r="U1845" s="211"/>
      <c r="V1845" s="149"/>
      <c r="W1845" s="149"/>
      <c r="X1845" s="131"/>
      <c r="Y1845" s="131"/>
    </row>
    <row r="1846" s="86" customFormat="1" customHeight="1" spans="1:25">
      <c r="A1846" s="135" t="s">
        <v>444</v>
      </c>
      <c r="B1846" s="135" t="s">
        <v>62</v>
      </c>
      <c r="C1846" s="135" t="s">
        <v>813</v>
      </c>
      <c r="D1846" s="135" t="s">
        <v>642</v>
      </c>
      <c r="E1846" s="170" t="s">
        <v>2472</v>
      </c>
      <c r="F1846" s="134" t="s">
        <v>2473</v>
      </c>
      <c r="G1846" s="171" t="s">
        <v>88</v>
      </c>
      <c r="H1846" s="103" t="s">
        <v>2474</v>
      </c>
      <c r="I1846" s="30" t="e">
        <f>VLOOKUP(H1846,'合同高级查询数据-4月返'!A:A,1,FALSE)</f>
        <v>#N/A</v>
      </c>
      <c r="J1846" s="134" t="s">
        <v>90</v>
      </c>
      <c r="K1846" s="134" t="s">
        <v>2477</v>
      </c>
      <c r="L1846" s="174"/>
      <c r="M1846" s="113" t="s">
        <v>2478</v>
      </c>
      <c r="N1846" s="175">
        <v>44651</v>
      </c>
      <c r="O1846" s="176" t="s">
        <v>503</v>
      </c>
      <c r="P1846" s="177">
        <v>6500</v>
      </c>
      <c r="Q1846" s="177">
        <v>-592</v>
      </c>
      <c r="R1846" s="130">
        <f t="shared" si="47"/>
        <v>-3848000</v>
      </c>
      <c r="S1846" s="127">
        <v>202304</v>
      </c>
      <c r="T1846" s="211" t="s">
        <v>2476</v>
      </c>
      <c r="U1846" s="211"/>
      <c r="V1846" s="149"/>
      <c r="W1846" s="149"/>
      <c r="X1846" s="131"/>
      <c r="Y1846" s="131"/>
    </row>
    <row r="1847" s="86" customFormat="1" customHeight="1" spans="1:25">
      <c r="A1847" s="135" t="s">
        <v>444</v>
      </c>
      <c r="B1847" s="135" t="s">
        <v>62</v>
      </c>
      <c r="C1847" s="135" t="s">
        <v>813</v>
      </c>
      <c r="D1847" s="135" t="s">
        <v>642</v>
      </c>
      <c r="E1847" s="170" t="s">
        <v>2472</v>
      </c>
      <c r="F1847" s="134" t="s">
        <v>2473</v>
      </c>
      <c r="G1847" s="171" t="s">
        <v>88</v>
      </c>
      <c r="H1847" s="103" t="s">
        <v>2474</v>
      </c>
      <c r="I1847" s="30" t="e">
        <f>VLOOKUP(H1847,'合同高级查询数据-4月返'!A:A,1,FALSE)</f>
        <v>#N/A</v>
      </c>
      <c r="J1847" s="134" t="s">
        <v>90</v>
      </c>
      <c r="K1847" s="134" t="s">
        <v>2477</v>
      </c>
      <c r="L1847" s="174"/>
      <c r="M1847" s="113" t="s">
        <v>2478</v>
      </c>
      <c r="N1847" s="175">
        <v>44651</v>
      </c>
      <c r="O1847" s="176" t="s">
        <v>561</v>
      </c>
      <c r="P1847" s="177">
        <v>8864</v>
      </c>
      <c r="Q1847" s="177">
        <v>-5</v>
      </c>
      <c r="R1847" s="130">
        <f t="shared" si="47"/>
        <v>-44320</v>
      </c>
      <c r="S1847" s="127">
        <v>202304</v>
      </c>
      <c r="T1847" s="211" t="s">
        <v>2476</v>
      </c>
      <c r="U1847" s="211"/>
      <c r="V1847" s="149"/>
      <c r="W1847" s="149"/>
      <c r="X1847" s="131"/>
      <c r="Y1847" s="131"/>
    </row>
    <row r="1848" s="86" customFormat="1" customHeight="1" spans="1:25">
      <c r="A1848" s="135" t="s">
        <v>444</v>
      </c>
      <c r="B1848" s="135" t="s">
        <v>62</v>
      </c>
      <c r="C1848" s="135" t="s">
        <v>813</v>
      </c>
      <c r="D1848" s="135" t="s">
        <v>642</v>
      </c>
      <c r="E1848" s="170" t="s">
        <v>2472</v>
      </c>
      <c r="F1848" s="134" t="s">
        <v>2473</v>
      </c>
      <c r="G1848" s="171" t="s">
        <v>88</v>
      </c>
      <c r="H1848" s="103" t="s">
        <v>2474</v>
      </c>
      <c r="I1848" s="30" t="e">
        <f>VLOOKUP(H1848,'合同高级查询数据-4月返'!A:A,1,FALSE)</f>
        <v>#N/A</v>
      </c>
      <c r="J1848" s="134" t="s">
        <v>90</v>
      </c>
      <c r="K1848" s="134" t="s">
        <v>2477</v>
      </c>
      <c r="L1848" s="174"/>
      <c r="M1848" s="113" t="s">
        <v>2478</v>
      </c>
      <c r="N1848" s="175">
        <v>44651</v>
      </c>
      <c r="O1848" s="176" t="s">
        <v>574</v>
      </c>
      <c r="P1848" s="177">
        <v>20313</v>
      </c>
      <c r="Q1848" s="177">
        <v>-4</v>
      </c>
      <c r="R1848" s="130">
        <f t="shared" si="47"/>
        <v>-81252</v>
      </c>
      <c r="S1848" s="127">
        <v>202304</v>
      </c>
      <c r="T1848" s="211" t="s">
        <v>2476</v>
      </c>
      <c r="U1848" s="211"/>
      <c r="V1848" s="149"/>
      <c r="W1848" s="149"/>
      <c r="X1848" s="131"/>
      <c r="Y1848" s="131"/>
    </row>
    <row r="1849" s="86" customFormat="1" customHeight="1" spans="1:25">
      <c r="A1849" s="11" t="s">
        <v>444</v>
      </c>
      <c r="B1849" s="135" t="s">
        <v>62</v>
      </c>
      <c r="C1849" s="11" t="s">
        <v>813</v>
      </c>
      <c r="D1849" s="11" t="s">
        <v>642</v>
      </c>
      <c r="E1849" s="13" t="s">
        <v>2472</v>
      </c>
      <c r="F1849" s="35" t="s">
        <v>2473</v>
      </c>
      <c r="G1849" s="171" t="s">
        <v>88</v>
      </c>
      <c r="H1849" s="103" t="s">
        <v>2480</v>
      </c>
      <c r="I1849" s="30" t="e">
        <f>VLOOKUP(H1849,'合同高级查询数据-4月返'!A:A,1,FALSE)</f>
        <v>#N/A</v>
      </c>
      <c r="J1849" s="35" t="s">
        <v>162</v>
      </c>
      <c r="K1849" s="35" t="s">
        <v>813</v>
      </c>
      <c r="L1849" s="110" t="s">
        <v>2481</v>
      </c>
      <c r="M1849" s="113" t="s">
        <v>2482</v>
      </c>
      <c r="N1849" s="175">
        <v>44011</v>
      </c>
      <c r="O1849" s="176" t="s">
        <v>503</v>
      </c>
      <c r="P1849" s="125">
        <v>6500</v>
      </c>
      <c r="Q1849" s="112">
        <v>3</v>
      </c>
      <c r="R1849" s="130">
        <f t="shared" si="47"/>
        <v>19500</v>
      </c>
      <c r="S1849" s="127">
        <v>202304</v>
      </c>
      <c r="T1849" s="211" t="s">
        <v>2483</v>
      </c>
      <c r="U1849" s="211"/>
      <c r="V1849" s="159"/>
      <c r="W1849" s="159"/>
      <c r="X1849" s="131"/>
      <c r="Y1849" s="131"/>
    </row>
    <row r="1850" s="86" customFormat="1" customHeight="1" spans="1:25">
      <c r="A1850" s="11" t="s">
        <v>444</v>
      </c>
      <c r="B1850" s="135" t="s">
        <v>62</v>
      </c>
      <c r="C1850" s="11" t="s">
        <v>813</v>
      </c>
      <c r="D1850" s="11" t="s">
        <v>642</v>
      </c>
      <c r="E1850" s="13" t="s">
        <v>2472</v>
      </c>
      <c r="F1850" s="35" t="s">
        <v>2473</v>
      </c>
      <c r="G1850" s="171" t="s">
        <v>88</v>
      </c>
      <c r="H1850" s="103" t="s">
        <v>2480</v>
      </c>
      <c r="I1850" s="30" t="e">
        <f>VLOOKUP(H1850,'合同高级查询数据-4月返'!A:A,1,FALSE)</f>
        <v>#N/A</v>
      </c>
      <c r="J1850" s="35" t="s">
        <v>162</v>
      </c>
      <c r="K1850" s="35" t="s">
        <v>813</v>
      </c>
      <c r="L1850" s="110" t="s">
        <v>2481</v>
      </c>
      <c r="M1850" s="113" t="s">
        <v>2482</v>
      </c>
      <c r="N1850" s="175">
        <v>44792</v>
      </c>
      <c r="O1850" s="176" t="s">
        <v>503</v>
      </c>
      <c r="P1850" s="125">
        <v>6500</v>
      </c>
      <c r="Q1850" s="112">
        <v>-2</v>
      </c>
      <c r="R1850" s="130">
        <f t="shared" si="47"/>
        <v>-13000</v>
      </c>
      <c r="S1850" s="127">
        <v>202304</v>
      </c>
      <c r="T1850" s="211" t="s">
        <v>2484</v>
      </c>
      <c r="U1850" s="211"/>
      <c r="V1850" s="159"/>
      <c r="W1850" s="159"/>
      <c r="X1850" s="131"/>
      <c r="Y1850" s="131"/>
    </row>
    <row r="1851" s="86" customFormat="1" customHeight="1" spans="1:25">
      <c r="A1851" s="11" t="s">
        <v>444</v>
      </c>
      <c r="B1851" s="135" t="s">
        <v>62</v>
      </c>
      <c r="C1851" s="11" t="s">
        <v>813</v>
      </c>
      <c r="D1851" s="11" t="s">
        <v>642</v>
      </c>
      <c r="E1851" s="13" t="s">
        <v>2472</v>
      </c>
      <c r="F1851" s="35" t="s">
        <v>2473</v>
      </c>
      <c r="G1851" s="171" t="s">
        <v>31</v>
      </c>
      <c r="H1851" s="103" t="s">
        <v>2480</v>
      </c>
      <c r="I1851" s="30" t="e">
        <f>VLOOKUP(H1851,'合同高级查询数据-4月返'!A:A,1,FALSE)</f>
        <v>#N/A</v>
      </c>
      <c r="J1851" s="35" t="s">
        <v>33</v>
      </c>
      <c r="K1851" s="35" t="s">
        <v>813</v>
      </c>
      <c r="L1851" s="110" t="s">
        <v>2481</v>
      </c>
      <c r="M1851" s="113" t="s">
        <v>2482</v>
      </c>
      <c r="N1851" s="175">
        <v>44011</v>
      </c>
      <c r="O1851" s="176"/>
      <c r="P1851" s="125">
        <v>0</v>
      </c>
      <c r="Q1851" s="112">
        <v>48</v>
      </c>
      <c r="R1851" s="130">
        <f t="shared" si="47"/>
        <v>0</v>
      </c>
      <c r="S1851" s="127">
        <v>202304</v>
      </c>
      <c r="T1851" s="236" t="s">
        <v>2485</v>
      </c>
      <c r="U1851" s="211"/>
      <c r="V1851" s="159"/>
      <c r="W1851" s="159"/>
      <c r="X1851" s="131"/>
      <c r="Y1851" s="131"/>
    </row>
    <row r="1852" s="86" customFormat="1" customHeight="1" spans="1:25">
      <c r="A1852" s="11" t="s">
        <v>444</v>
      </c>
      <c r="B1852" s="135" t="s">
        <v>62</v>
      </c>
      <c r="C1852" s="11" t="s">
        <v>813</v>
      </c>
      <c r="D1852" s="11" t="s">
        <v>642</v>
      </c>
      <c r="E1852" s="13" t="s">
        <v>2472</v>
      </c>
      <c r="F1852" s="35" t="s">
        <v>2473</v>
      </c>
      <c r="G1852" s="171" t="s">
        <v>31</v>
      </c>
      <c r="H1852" s="103" t="s">
        <v>2480</v>
      </c>
      <c r="I1852" s="30" t="e">
        <f>VLOOKUP(H1852,'合同高级查询数据-4月返'!A:A,1,FALSE)</f>
        <v>#N/A</v>
      </c>
      <c r="J1852" s="35" t="s">
        <v>33</v>
      </c>
      <c r="K1852" s="35" t="s">
        <v>813</v>
      </c>
      <c r="L1852" s="110" t="s">
        <v>2481</v>
      </c>
      <c r="M1852" s="113" t="s">
        <v>2482</v>
      </c>
      <c r="N1852" s="175">
        <v>44011</v>
      </c>
      <c r="O1852" s="176"/>
      <c r="P1852" s="125">
        <v>50</v>
      </c>
      <c r="Q1852" s="112">
        <v>240</v>
      </c>
      <c r="R1852" s="130">
        <f t="shared" si="47"/>
        <v>12000</v>
      </c>
      <c r="S1852" s="127">
        <v>202304</v>
      </c>
      <c r="T1852" s="236" t="s">
        <v>2485</v>
      </c>
      <c r="U1852" s="211"/>
      <c r="V1852" s="159"/>
      <c r="W1852" s="159"/>
      <c r="X1852" s="131"/>
      <c r="Y1852" s="131"/>
    </row>
    <row r="1853" s="86" customFormat="1" customHeight="1" spans="1:25">
      <c r="A1853" s="11" t="s">
        <v>444</v>
      </c>
      <c r="B1853" s="135" t="s">
        <v>62</v>
      </c>
      <c r="C1853" s="11" t="s">
        <v>813</v>
      </c>
      <c r="D1853" s="11" t="s">
        <v>642</v>
      </c>
      <c r="E1853" s="13" t="s">
        <v>2472</v>
      </c>
      <c r="F1853" s="35" t="s">
        <v>2473</v>
      </c>
      <c r="G1853" s="171" t="s">
        <v>31</v>
      </c>
      <c r="H1853" s="103" t="s">
        <v>2480</v>
      </c>
      <c r="I1853" s="30" t="e">
        <f>VLOOKUP(H1853,'合同高级查询数据-4月返'!A:A,1,FALSE)</f>
        <v>#N/A</v>
      </c>
      <c r="J1853" s="35" t="s">
        <v>33</v>
      </c>
      <c r="K1853" s="35" t="s">
        <v>813</v>
      </c>
      <c r="L1853" s="110" t="s">
        <v>2481</v>
      </c>
      <c r="M1853" s="113" t="s">
        <v>2482</v>
      </c>
      <c r="N1853" s="175">
        <v>44804</v>
      </c>
      <c r="O1853" s="176"/>
      <c r="P1853" s="125">
        <v>0</v>
      </c>
      <c r="Q1853" s="112">
        <v>-32</v>
      </c>
      <c r="R1853" s="130">
        <f t="shared" si="47"/>
        <v>0</v>
      </c>
      <c r="S1853" s="127">
        <v>202304</v>
      </c>
      <c r="T1853" s="236" t="s">
        <v>2486</v>
      </c>
      <c r="U1853" s="211"/>
      <c r="V1853" s="159"/>
      <c r="W1853" s="159"/>
      <c r="X1853" s="131"/>
      <c r="Y1853" s="131"/>
    </row>
    <row r="1854" s="86" customFormat="1" customHeight="1" spans="1:25">
      <c r="A1854" s="11" t="s">
        <v>444</v>
      </c>
      <c r="B1854" s="135" t="s">
        <v>62</v>
      </c>
      <c r="C1854" s="11" t="s">
        <v>813</v>
      </c>
      <c r="D1854" s="11" t="s">
        <v>642</v>
      </c>
      <c r="E1854" s="13" t="s">
        <v>2472</v>
      </c>
      <c r="F1854" s="35" t="s">
        <v>2473</v>
      </c>
      <c r="G1854" s="171" t="s">
        <v>31</v>
      </c>
      <c r="H1854" s="103" t="s">
        <v>2480</v>
      </c>
      <c r="I1854" s="30" t="e">
        <f>VLOOKUP(H1854,'合同高级查询数据-4月返'!A:A,1,FALSE)</f>
        <v>#N/A</v>
      </c>
      <c r="J1854" s="35" t="s">
        <v>33</v>
      </c>
      <c r="K1854" s="35" t="s">
        <v>813</v>
      </c>
      <c r="L1854" s="110" t="s">
        <v>2481</v>
      </c>
      <c r="M1854" s="113" t="s">
        <v>2482</v>
      </c>
      <c r="N1854" s="175">
        <v>44804</v>
      </c>
      <c r="O1854" s="176"/>
      <c r="P1854" s="125">
        <v>50</v>
      </c>
      <c r="Q1854" s="112">
        <v>-96</v>
      </c>
      <c r="R1854" s="130">
        <f t="shared" si="47"/>
        <v>-4800</v>
      </c>
      <c r="S1854" s="127">
        <v>202304</v>
      </c>
      <c r="T1854" s="236" t="s">
        <v>2487</v>
      </c>
      <c r="U1854" s="211"/>
      <c r="V1854" s="159"/>
      <c r="W1854" s="159"/>
      <c r="X1854" s="131"/>
      <c r="Y1854" s="131"/>
    </row>
    <row r="1855" s="85" customFormat="1" customHeight="1" spans="1:25">
      <c r="A1855" s="203" t="s">
        <v>61</v>
      </c>
      <c r="B1855" s="24" t="s">
        <v>83</v>
      </c>
      <c r="C1855" s="204" t="s">
        <v>63</v>
      </c>
      <c r="D1855" s="24" t="s">
        <v>75</v>
      </c>
      <c r="E1855" s="205" t="s">
        <v>2488</v>
      </c>
      <c r="F1855" s="203" t="s">
        <v>2489</v>
      </c>
      <c r="G1855" s="25" t="s">
        <v>346</v>
      </c>
      <c r="H1855" s="100" t="s">
        <v>2490</v>
      </c>
      <c r="I1855" s="46" t="e">
        <f>VLOOKUP(H1855,'合同高级查询数据-4月返'!A:A,1,FALSE)</f>
        <v>#N/A</v>
      </c>
      <c r="J1855" s="25" t="s">
        <v>346</v>
      </c>
      <c r="K1855" s="203" t="s">
        <v>2491</v>
      </c>
      <c r="L1855" s="206"/>
      <c r="M1855" s="49"/>
      <c r="N1855" s="73">
        <v>44105</v>
      </c>
      <c r="O1855" s="73" t="s">
        <v>2492</v>
      </c>
      <c r="P1855" s="275">
        <v>291815.37</v>
      </c>
      <c r="Q1855" s="212">
        <v>1</v>
      </c>
      <c r="R1855" s="118">
        <f t="shared" si="47"/>
        <v>291815.37</v>
      </c>
      <c r="S1855" s="115">
        <v>202304</v>
      </c>
      <c r="T1855" s="283" t="s">
        <v>2493</v>
      </c>
      <c r="U1855" s="283"/>
      <c r="V1855" s="276"/>
      <c r="W1855" s="276"/>
      <c r="X1855" s="116">
        <v>44105</v>
      </c>
      <c r="Y1855" s="116">
        <v>45930</v>
      </c>
    </row>
    <row r="1856" s="85" customFormat="1" customHeight="1" spans="1:25">
      <c r="A1856" s="203" t="s">
        <v>61</v>
      </c>
      <c r="B1856" s="24" t="s">
        <v>83</v>
      </c>
      <c r="C1856" s="204" t="s">
        <v>63</v>
      </c>
      <c r="D1856" s="24" t="s">
        <v>75</v>
      </c>
      <c r="E1856" s="205" t="s">
        <v>2488</v>
      </c>
      <c r="F1856" s="203" t="s">
        <v>2489</v>
      </c>
      <c r="G1856" s="25" t="s">
        <v>346</v>
      </c>
      <c r="H1856" s="100" t="s">
        <v>2494</v>
      </c>
      <c r="I1856" s="46" t="e">
        <f>VLOOKUP(H1856,'合同高级查询数据-4月返'!A:A,1,FALSE)</f>
        <v>#N/A</v>
      </c>
      <c r="J1856" s="25" t="s">
        <v>346</v>
      </c>
      <c r="K1856" s="203" t="s">
        <v>2495</v>
      </c>
      <c r="L1856" s="206"/>
      <c r="M1856" s="49"/>
      <c r="N1856" s="73">
        <v>44317</v>
      </c>
      <c r="O1856" s="73" t="s">
        <v>2496</v>
      </c>
      <c r="P1856" s="275">
        <f>423.5*382.3</f>
        <v>161904.05</v>
      </c>
      <c r="Q1856" s="212">
        <v>1</v>
      </c>
      <c r="R1856" s="118">
        <f>ROUND(P1856*Q1856,2)+24000</f>
        <v>185904.05</v>
      </c>
      <c r="S1856" s="115">
        <v>202304</v>
      </c>
      <c r="T1856" s="205" t="s">
        <v>2497</v>
      </c>
      <c r="U1856" s="205"/>
      <c r="V1856" s="276"/>
      <c r="W1856" s="276"/>
      <c r="X1856" s="116">
        <v>44317</v>
      </c>
      <c r="Y1856" s="116">
        <v>45777</v>
      </c>
    </row>
    <row r="1857" s="85" customFormat="1" customHeight="1" spans="1:25">
      <c r="A1857" s="203" t="s">
        <v>61</v>
      </c>
      <c r="B1857" s="98" t="s">
        <v>62</v>
      </c>
      <c r="C1857" s="204" t="s">
        <v>63</v>
      </c>
      <c r="D1857" s="24" t="s">
        <v>75</v>
      </c>
      <c r="E1857" s="205" t="s">
        <v>2488</v>
      </c>
      <c r="F1857" s="203" t="s">
        <v>2489</v>
      </c>
      <c r="G1857" s="25" t="s">
        <v>346</v>
      </c>
      <c r="H1857" s="100" t="s">
        <v>2498</v>
      </c>
      <c r="I1857" s="46" t="e">
        <f>VLOOKUP(H1857,'合同高级查询数据-4月返'!A:A,1,FALSE)</f>
        <v>#N/A</v>
      </c>
      <c r="J1857" s="25" t="s">
        <v>346</v>
      </c>
      <c r="K1857" s="203" t="s">
        <v>2499</v>
      </c>
      <c r="L1857" s="206"/>
      <c r="M1857" s="49"/>
      <c r="N1857" s="73">
        <v>44874</v>
      </c>
      <c r="O1857" s="73" t="s">
        <v>2500</v>
      </c>
      <c r="P1857" s="275">
        <v>97670.59</v>
      </c>
      <c r="Q1857" s="212">
        <v>1</v>
      </c>
      <c r="R1857" s="118">
        <f t="shared" ref="R1857:R1888" si="48">ROUND(P1857*Q1857,2)</f>
        <v>97670.59</v>
      </c>
      <c r="S1857" s="115">
        <v>202304</v>
      </c>
      <c r="T1857" s="205" t="s">
        <v>2501</v>
      </c>
      <c r="U1857" s="121"/>
      <c r="V1857" s="121"/>
      <c r="W1857" s="121"/>
      <c r="X1857" s="116">
        <v>44824</v>
      </c>
      <c r="Y1857" s="116">
        <v>46691</v>
      </c>
    </row>
    <row r="1858" s="85" customFormat="1" customHeight="1" spans="1:25">
      <c r="A1858" s="203" t="s">
        <v>61</v>
      </c>
      <c r="B1858" s="98" t="s">
        <v>62</v>
      </c>
      <c r="C1858" s="204" t="s">
        <v>63</v>
      </c>
      <c r="D1858" s="24" t="s">
        <v>75</v>
      </c>
      <c r="E1858" s="205" t="s">
        <v>2488</v>
      </c>
      <c r="F1858" s="203" t="s">
        <v>2489</v>
      </c>
      <c r="G1858" s="25" t="s">
        <v>346</v>
      </c>
      <c r="H1858" s="100" t="s">
        <v>2498</v>
      </c>
      <c r="I1858" s="46" t="e">
        <f>VLOOKUP(H1858,'合同高级查询数据-4月返'!A:A,1,FALSE)</f>
        <v>#N/A</v>
      </c>
      <c r="J1858" s="25" t="s">
        <v>346</v>
      </c>
      <c r="K1858" s="203" t="s">
        <v>2502</v>
      </c>
      <c r="L1858" s="206"/>
      <c r="M1858" s="49"/>
      <c r="N1858" s="73">
        <v>44824</v>
      </c>
      <c r="O1858" s="73" t="s">
        <v>2500</v>
      </c>
      <c r="P1858" s="275">
        <v>62682.35</v>
      </c>
      <c r="Q1858" s="212">
        <v>1</v>
      </c>
      <c r="R1858" s="118">
        <f t="shared" si="48"/>
        <v>62682.35</v>
      </c>
      <c r="S1858" s="115">
        <v>202304</v>
      </c>
      <c r="T1858" s="205" t="s">
        <v>2503</v>
      </c>
      <c r="U1858" s="121"/>
      <c r="V1858" s="121"/>
      <c r="W1858" s="121"/>
      <c r="X1858" s="116">
        <v>44824</v>
      </c>
      <c r="Y1858" s="116">
        <v>46691</v>
      </c>
    </row>
    <row r="1859" s="85" customFormat="1" customHeight="1" spans="1:25">
      <c r="A1859" s="160" t="s">
        <v>61</v>
      </c>
      <c r="B1859" s="24" t="s">
        <v>62</v>
      </c>
      <c r="C1859" s="98" t="s">
        <v>238</v>
      </c>
      <c r="D1859" s="24" t="s">
        <v>64</v>
      </c>
      <c r="E1859" s="162" t="s">
        <v>2504</v>
      </c>
      <c r="F1859" s="160" t="s">
        <v>2505</v>
      </c>
      <c r="G1859" s="25" t="s">
        <v>88</v>
      </c>
      <c r="H1859" s="99" t="s">
        <v>2506</v>
      </c>
      <c r="I1859" s="46" t="e">
        <f>VLOOKUP(H1859,'合同高级查询数据-4月返'!A:A,1,FALSE)</f>
        <v>#N/A</v>
      </c>
      <c r="J1859" s="25" t="s">
        <v>90</v>
      </c>
      <c r="K1859" s="106" t="s">
        <v>2507</v>
      </c>
      <c r="L1859" s="107"/>
      <c r="M1859" s="49" t="s">
        <v>2508</v>
      </c>
      <c r="N1859" s="73">
        <v>44454</v>
      </c>
      <c r="O1859" s="107" t="s">
        <v>503</v>
      </c>
      <c r="P1859" s="164">
        <v>1760</v>
      </c>
      <c r="Q1859" s="164">
        <v>52</v>
      </c>
      <c r="R1859" s="118">
        <f t="shared" si="48"/>
        <v>91520</v>
      </c>
      <c r="S1859" s="115">
        <v>202304</v>
      </c>
      <c r="T1859" s="119" t="s">
        <v>2509</v>
      </c>
      <c r="U1859" s="166"/>
      <c r="V1859" s="165"/>
      <c r="W1859" s="165"/>
      <c r="X1859" s="116">
        <v>44423</v>
      </c>
      <c r="Y1859" s="116">
        <v>46279</v>
      </c>
    </row>
    <row r="1860" s="85" customFormat="1" customHeight="1" spans="1:25">
      <c r="A1860" s="160" t="s">
        <v>61</v>
      </c>
      <c r="B1860" s="24" t="s">
        <v>62</v>
      </c>
      <c r="C1860" s="98" t="s">
        <v>238</v>
      </c>
      <c r="D1860" s="24" t="s">
        <v>64</v>
      </c>
      <c r="E1860" s="162" t="s">
        <v>2504</v>
      </c>
      <c r="F1860" s="160" t="s">
        <v>2505</v>
      </c>
      <c r="G1860" s="25" t="s">
        <v>88</v>
      </c>
      <c r="H1860" s="99" t="s">
        <v>2506</v>
      </c>
      <c r="I1860" s="46" t="e">
        <f>VLOOKUP(H1860,'合同高级查询数据-4月返'!A:A,1,FALSE)</f>
        <v>#N/A</v>
      </c>
      <c r="J1860" s="25" t="s">
        <v>90</v>
      </c>
      <c r="K1860" s="106" t="s">
        <v>2507</v>
      </c>
      <c r="L1860" s="107"/>
      <c r="M1860" s="49" t="s">
        <v>2508</v>
      </c>
      <c r="N1860" s="73">
        <v>44454</v>
      </c>
      <c r="O1860" s="107" t="s">
        <v>507</v>
      </c>
      <c r="P1860" s="164">
        <v>3520</v>
      </c>
      <c r="Q1860" s="164">
        <v>42</v>
      </c>
      <c r="R1860" s="118">
        <f t="shared" si="48"/>
        <v>147840</v>
      </c>
      <c r="S1860" s="115">
        <v>202304</v>
      </c>
      <c r="T1860" s="119" t="s">
        <v>2510</v>
      </c>
      <c r="U1860" s="166"/>
      <c r="V1860" s="165"/>
      <c r="W1860" s="165"/>
      <c r="X1860" s="116">
        <v>44423</v>
      </c>
      <c r="Y1860" s="116">
        <v>46279</v>
      </c>
    </row>
    <row r="1861" s="85" customFormat="1" customHeight="1" spans="1:25">
      <c r="A1861" s="160" t="s">
        <v>61</v>
      </c>
      <c r="B1861" s="24" t="s">
        <v>62</v>
      </c>
      <c r="C1861" s="98" t="s">
        <v>238</v>
      </c>
      <c r="D1861" s="24" t="s">
        <v>64</v>
      </c>
      <c r="E1861" s="162" t="s">
        <v>2504</v>
      </c>
      <c r="F1861" s="160" t="s">
        <v>2505</v>
      </c>
      <c r="G1861" s="25" t="s">
        <v>88</v>
      </c>
      <c r="H1861" s="99" t="s">
        <v>2506</v>
      </c>
      <c r="I1861" s="46" t="e">
        <f>VLOOKUP(H1861,'合同高级查询数据-4月返'!A:A,1,FALSE)</f>
        <v>#N/A</v>
      </c>
      <c r="J1861" s="25" t="s">
        <v>90</v>
      </c>
      <c r="K1861" s="106" t="s">
        <v>2507</v>
      </c>
      <c r="L1861" s="107"/>
      <c r="M1861" s="49" t="s">
        <v>2508</v>
      </c>
      <c r="N1861" s="73">
        <v>44454</v>
      </c>
      <c r="O1861" s="107" t="s">
        <v>606</v>
      </c>
      <c r="P1861" s="164">
        <v>9600</v>
      </c>
      <c r="Q1861" s="164">
        <v>42</v>
      </c>
      <c r="R1861" s="118">
        <f t="shared" si="48"/>
        <v>403200</v>
      </c>
      <c r="S1861" s="115">
        <v>202304</v>
      </c>
      <c r="T1861" s="119" t="s">
        <v>2511</v>
      </c>
      <c r="U1861" s="166"/>
      <c r="V1861" s="165"/>
      <c r="W1861" s="165"/>
      <c r="X1861" s="116">
        <v>44423</v>
      </c>
      <c r="Y1861" s="116">
        <v>46279</v>
      </c>
    </row>
    <row r="1862" s="85" customFormat="1" customHeight="1" spans="1:25">
      <c r="A1862" s="160" t="s">
        <v>61</v>
      </c>
      <c r="B1862" s="24" t="s">
        <v>62</v>
      </c>
      <c r="C1862" s="98" t="s">
        <v>238</v>
      </c>
      <c r="D1862" s="24" t="s">
        <v>64</v>
      </c>
      <c r="E1862" s="162" t="s">
        <v>2504</v>
      </c>
      <c r="F1862" s="160" t="s">
        <v>2505</v>
      </c>
      <c r="G1862" s="25" t="s">
        <v>88</v>
      </c>
      <c r="H1862" s="99" t="s">
        <v>2506</v>
      </c>
      <c r="I1862" s="46" t="e">
        <f>VLOOKUP(H1862,'合同高级查询数据-4月返'!A:A,1,FALSE)</f>
        <v>#N/A</v>
      </c>
      <c r="J1862" s="25" t="s">
        <v>90</v>
      </c>
      <c r="K1862" s="106" t="s">
        <v>2507</v>
      </c>
      <c r="L1862" s="107"/>
      <c r="M1862" s="49" t="s">
        <v>2508</v>
      </c>
      <c r="N1862" s="73">
        <v>44463</v>
      </c>
      <c r="O1862" s="107" t="s">
        <v>507</v>
      </c>
      <c r="P1862" s="164">
        <v>3520</v>
      </c>
      <c r="Q1862" s="164">
        <v>20</v>
      </c>
      <c r="R1862" s="118">
        <f t="shared" si="48"/>
        <v>70400</v>
      </c>
      <c r="S1862" s="115">
        <v>202304</v>
      </c>
      <c r="T1862" s="119" t="s">
        <v>2512</v>
      </c>
      <c r="U1862" s="166"/>
      <c r="V1862" s="165"/>
      <c r="W1862" s="165"/>
      <c r="X1862" s="116">
        <v>44423</v>
      </c>
      <c r="Y1862" s="116">
        <v>46279</v>
      </c>
    </row>
    <row r="1863" s="85" customFormat="1" customHeight="1" spans="1:25">
      <c r="A1863" s="160" t="s">
        <v>61</v>
      </c>
      <c r="B1863" s="24" t="s">
        <v>62</v>
      </c>
      <c r="C1863" s="98" t="s">
        <v>238</v>
      </c>
      <c r="D1863" s="24" t="s">
        <v>64</v>
      </c>
      <c r="E1863" s="162" t="s">
        <v>2504</v>
      </c>
      <c r="F1863" s="160" t="s">
        <v>2505</v>
      </c>
      <c r="G1863" s="25" t="s">
        <v>88</v>
      </c>
      <c r="H1863" s="99" t="s">
        <v>2506</v>
      </c>
      <c r="I1863" s="46" t="e">
        <f>VLOOKUP(H1863,'合同高级查询数据-4月返'!A:A,1,FALSE)</f>
        <v>#N/A</v>
      </c>
      <c r="J1863" s="25" t="s">
        <v>90</v>
      </c>
      <c r="K1863" s="106" t="s">
        <v>2507</v>
      </c>
      <c r="L1863" s="107"/>
      <c r="M1863" s="49" t="s">
        <v>2508</v>
      </c>
      <c r="N1863" s="73">
        <v>44466</v>
      </c>
      <c r="O1863" s="107" t="s">
        <v>507</v>
      </c>
      <c r="P1863" s="164">
        <v>3520</v>
      </c>
      <c r="Q1863" s="164">
        <v>26</v>
      </c>
      <c r="R1863" s="118">
        <f t="shared" si="48"/>
        <v>91520</v>
      </c>
      <c r="S1863" s="115">
        <v>202304</v>
      </c>
      <c r="T1863" s="119" t="s">
        <v>2513</v>
      </c>
      <c r="U1863" s="166"/>
      <c r="V1863" s="165"/>
      <c r="W1863" s="165"/>
      <c r="X1863" s="116">
        <v>44423</v>
      </c>
      <c r="Y1863" s="116">
        <v>46279</v>
      </c>
    </row>
    <row r="1864" s="85" customFormat="1" customHeight="1" spans="1:25">
      <c r="A1864" s="160" t="s">
        <v>61</v>
      </c>
      <c r="B1864" s="24" t="s">
        <v>62</v>
      </c>
      <c r="C1864" s="98" t="s">
        <v>238</v>
      </c>
      <c r="D1864" s="24" t="s">
        <v>64</v>
      </c>
      <c r="E1864" s="162" t="s">
        <v>2504</v>
      </c>
      <c r="F1864" s="160" t="s">
        <v>2505</v>
      </c>
      <c r="G1864" s="25" t="s">
        <v>88</v>
      </c>
      <c r="H1864" s="99" t="s">
        <v>2506</v>
      </c>
      <c r="I1864" s="46" t="e">
        <f>VLOOKUP(H1864,'合同高级查询数据-4月返'!A:A,1,FALSE)</f>
        <v>#N/A</v>
      </c>
      <c r="J1864" s="25" t="s">
        <v>90</v>
      </c>
      <c r="K1864" s="106" t="s">
        <v>2507</v>
      </c>
      <c r="L1864" s="107"/>
      <c r="M1864" s="49" t="s">
        <v>2508</v>
      </c>
      <c r="N1864" s="73">
        <v>44467</v>
      </c>
      <c r="O1864" s="107" t="s">
        <v>503</v>
      </c>
      <c r="P1864" s="164">
        <v>1760</v>
      </c>
      <c r="Q1864" s="164">
        <v>4</v>
      </c>
      <c r="R1864" s="118">
        <f t="shared" si="48"/>
        <v>7040</v>
      </c>
      <c r="S1864" s="115">
        <v>202304</v>
      </c>
      <c r="T1864" s="119" t="s">
        <v>2514</v>
      </c>
      <c r="U1864" s="166"/>
      <c r="V1864" s="165"/>
      <c r="W1864" s="165"/>
      <c r="X1864" s="116">
        <v>44423</v>
      </c>
      <c r="Y1864" s="116">
        <v>46279</v>
      </c>
    </row>
    <row r="1865" s="85" customFormat="1" customHeight="1" spans="1:25">
      <c r="A1865" s="160" t="s">
        <v>61</v>
      </c>
      <c r="B1865" s="24" t="s">
        <v>62</v>
      </c>
      <c r="C1865" s="98" t="s">
        <v>238</v>
      </c>
      <c r="D1865" s="24" t="s">
        <v>64</v>
      </c>
      <c r="E1865" s="162" t="s">
        <v>2504</v>
      </c>
      <c r="F1865" s="160" t="s">
        <v>2505</v>
      </c>
      <c r="G1865" s="25" t="s">
        <v>88</v>
      </c>
      <c r="H1865" s="99" t="s">
        <v>2506</v>
      </c>
      <c r="I1865" s="46" t="e">
        <f>VLOOKUP(H1865,'合同高级查询数据-4月返'!A:A,1,FALSE)</f>
        <v>#N/A</v>
      </c>
      <c r="J1865" s="25" t="s">
        <v>90</v>
      </c>
      <c r="K1865" s="106" t="s">
        <v>2507</v>
      </c>
      <c r="L1865" s="107"/>
      <c r="M1865" s="49" t="s">
        <v>2508</v>
      </c>
      <c r="N1865" s="73">
        <v>44467</v>
      </c>
      <c r="O1865" s="107" t="s">
        <v>507</v>
      </c>
      <c r="P1865" s="164">
        <v>3520</v>
      </c>
      <c r="Q1865" s="164">
        <v>19</v>
      </c>
      <c r="R1865" s="118">
        <f t="shared" si="48"/>
        <v>66880</v>
      </c>
      <c r="S1865" s="115">
        <v>202304</v>
      </c>
      <c r="T1865" s="119" t="s">
        <v>2515</v>
      </c>
      <c r="U1865" s="166"/>
      <c r="V1865" s="165"/>
      <c r="W1865" s="165"/>
      <c r="X1865" s="116">
        <v>44423</v>
      </c>
      <c r="Y1865" s="116">
        <v>46279</v>
      </c>
    </row>
    <row r="1866" s="85" customFormat="1" customHeight="1" spans="1:25">
      <c r="A1866" s="160" t="s">
        <v>61</v>
      </c>
      <c r="B1866" s="24" t="s">
        <v>62</v>
      </c>
      <c r="C1866" s="98" t="s">
        <v>238</v>
      </c>
      <c r="D1866" s="24" t="s">
        <v>64</v>
      </c>
      <c r="E1866" s="162" t="s">
        <v>2504</v>
      </c>
      <c r="F1866" s="160" t="s">
        <v>2505</v>
      </c>
      <c r="G1866" s="25" t="s">
        <v>88</v>
      </c>
      <c r="H1866" s="99" t="s">
        <v>2506</v>
      </c>
      <c r="I1866" s="46" t="e">
        <f>VLOOKUP(H1866,'合同高级查询数据-4月返'!A:A,1,FALSE)</f>
        <v>#N/A</v>
      </c>
      <c r="J1866" s="25" t="s">
        <v>90</v>
      </c>
      <c r="K1866" s="106" t="s">
        <v>2507</v>
      </c>
      <c r="L1866" s="107"/>
      <c r="M1866" s="49" t="s">
        <v>2508</v>
      </c>
      <c r="N1866" s="73">
        <v>44481</v>
      </c>
      <c r="O1866" s="107" t="s">
        <v>507</v>
      </c>
      <c r="P1866" s="164">
        <v>3520</v>
      </c>
      <c r="Q1866" s="164">
        <v>2</v>
      </c>
      <c r="R1866" s="118">
        <f t="shared" si="48"/>
        <v>7040</v>
      </c>
      <c r="S1866" s="115">
        <v>202304</v>
      </c>
      <c r="T1866" s="119" t="s">
        <v>2516</v>
      </c>
      <c r="U1866" s="166"/>
      <c r="V1866" s="165"/>
      <c r="W1866" s="165"/>
      <c r="X1866" s="116">
        <v>44423</v>
      </c>
      <c r="Y1866" s="116">
        <v>46279</v>
      </c>
    </row>
    <row r="1867" s="85" customFormat="1" customHeight="1" spans="1:25">
      <c r="A1867" s="160" t="s">
        <v>61</v>
      </c>
      <c r="B1867" s="24" t="s">
        <v>62</v>
      </c>
      <c r="C1867" s="98" t="s">
        <v>238</v>
      </c>
      <c r="D1867" s="24" t="s">
        <v>64</v>
      </c>
      <c r="E1867" s="162" t="s">
        <v>2504</v>
      </c>
      <c r="F1867" s="160" t="s">
        <v>2505</v>
      </c>
      <c r="G1867" s="25" t="s">
        <v>88</v>
      </c>
      <c r="H1867" s="99" t="s">
        <v>2506</v>
      </c>
      <c r="I1867" s="46" t="e">
        <f>VLOOKUP(H1867,'合同高级查询数据-4月返'!A:A,1,FALSE)</f>
        <v>#N/A</v>
      </c>
      <c r="J1867" s="25" t="s">
        <v>90</v>
      </c>
      <c r="K1867" s="106" t="s">
        <v>2507</v>
      </c>
      <c r="L1867" s="107"/>
      <c r="M1867" s="49" t="s">
        <v>2508</v>
      </c>
      <c r="N1867" s="73">
        <v>44482</v>
      </c>
      <c r="O1867" s="107" t="s">
        <v>507</v>
      </c>
      <c r="P1867" s="164">
        <v>3520</v>
      </c>
      <c r="Q1867" s="164">
        <v>31</v>
      </c>
      <c r="R1867" s="118">
        <f t="shared" si="48"/>
        <v>109120</v>
      </c>
      <c r="S1867" s="115">
        <v>202304</v>
      </c>
      <c r="T1867" s="119" t="s">
        <v>2517</v>
      </c>
      <c r="U1867" s="166"/>
      <c r="V1867" s="165"/>
      <c r="W1867" s="165"/>
      <c r="X1867" s="116">
        <v>44423</v>
      </c>
      <c r="Y1867" s="116">
        <v>46279</v>
      </c>
    </row>
    <row r="1868" s="85" customFormat="1" customHeight="1" spans="1:25">
      <c r="A1868" s="160" t="s">
        <v>61</v>
      </c>
      <c r="B1868" s="24" t="s">
        <v>62</v>
      </c>
      <c r="C1868" s="98" t="s">
        <v>238</v>
      </c>
      <c r="D1868" s="24" t="s">
        <v>64</v>
      </c>
      <c r="E1868" s="162" t="s">
        <v>2504</v>
      </c>
      <c r="F1868" s="160" t="s">
        <v>2505</v>
      </c>
      <c r="G1868" s="25" t="s">
        <v>88</v>
      </c>
      <c r="H1868" s="99" t="s">
        <v>2506</v>
      </c>
      <c r="I1868" s="46" t="e">
        <f>VLOOKUP(H1868,'合同高级查询数据-4月返'!A:A,1,FALSE)</f>
        <v>#N/A</v>
      </c>
      <c r="J1868" s="25" t="s">
        <v>90</v>
      </c>
      <c r="K1868" s="106" t="s">
        <v>2507</v>
      </c>
      <c r="L1868" s="107"/>
      <c r="M1868" s="49" t="s">
        <v>2508</v>
      </c>
      <c r="N1868" s="73">
        <v>44484</v>
      </c>
      <c r="O1868" s="107" t="s">
        <v>507</v>
      </c>
      <c r="P1868" s="164">
        <v>3520</v>
      </c>
      <c r="Q1868" s="164">
        <v>16</v>
      </c>
      <c r="R1868" s="118">
        <f t="shared" si="48"/>
        <v>56320</v>
      </c>
      <c r="S1868" s="115">
        <v>202304</v>
      </c>
      <c r="T1868" s="119" t="s">
        <v>2518</v>
      </c>
      <c r="U1868" s="166"/>
      <c r="V1868" s="165"/>
      <c r="W1868" s="165"/>
      <c r="X1868" s="116">
        <v>44423</v>
      </c>
      <c r="Y1868" s="116">
        <v>46279</v>
      </c>
    </row>
    <row r="1869" s="85" customFormat="1" customHeight="1" spans="1:25">
      <c r="A1869" s="160" t="s">
        <v>61</v>
      </c>
      <c r="B1869" s="24" t="s">
        <v>62</v>
      </c>
      <c r="C1869" s="98" t="s">
        <v>238</v>
      </c>
      <c r="D1869" s="24" t="s">
        <v>64</v>
      </c>
      <c r="E1869" s="162" t="s">
        <v>2504</v>
      </c>
      <c r="F1869" s="160" t="s">
        <v>2505</v>
      </c>
      <c r="G1869" s="25" t="s">
        <v>88</v>
      </c>
      <c r="H1869" s="99" t="s">
        <v>2506</v>
      </c>
      <c r="I1869" s="46" t="e">
        <f>VLOOKUP(H1869,'合同高级查询数据-4月返'!A:A,1,FALSE)</f>
        <v>#N/A</v>
      </c>
      <c r="J1869" s="25" t="s">
        <v>90</v>
      </c>
      <c r="K1869" s="106" t="s">
        <v>2507</v>
      </c>
      <c r="L1869" s="107"/>
      <c r="M1869" s="49" t="s">
        <v>2508</v>
      </c>
      <c r="N1869" s="73">
        <v>44498</v>
      </c>
      <c r="O1869" s="107" t="s">
        <v>507</v>
      </c>
      <c r="P1869" s="164">
        <v>3520</v>
      </c>
      <c r="Q1869" s="164">
        <v>8</v>
      </c>
      <c r="R1869" s="118">
        <f t="shared" si="48"/>
        <v>28160</v>
      </c>
      <c r="S1869" s="115">
        <v>202304</v>
      </c>
      <c r="T1869" s="119" t="s">
        <v>2519</v>
      </c>
      <c r="U1869" s="166"/>
      <c r="V1869" s="165"/>
      <c r="W1869" s="165"/>
      <c r="X1869" s="116">
        <v>44423</v>
      </c>
      <c r="Y1869" s="116">
        <v>46279</v>
      </c>
    </row>
    <row r="1870" s="85" customFormat="1" customHeight="1" spans="1:25">
      <c r="A1870" s="160" t="s">
        <v>61</v>
      </c>
      <c r="B1870" s="24" t="s">
        <v>62</v>
      </c>
      <c r="C1870" s="98" t="s">
        <v>238</v>
      </c>
      <c r="D1870" s="24" t="s">
        <v>64</v>
      </c>
      <c r="E1870" s="162" t="s">
        <v>2504</v>
      </c>
      <c r="F1870" s="160" t="s">
        <v>2505</v>
      </c>
      <c r="G1870" s="25" t="s">
        <v>88</v>
      </c>
      <c r="H1870" s="99" t="s">
        <v>2506</v>
      </c>
      <c r="I1870" s="46" t="e">
        <f>VLOOKUP(H1870,'合同高级查询数据-4月返'!A:A,1,FALSE)</f>
        <v>#N/A</v>
      </c>
      <c r="J1870" s="25" t="s">
        <v>90</v>
      </c>
      <c r="K1870" s="106" t="s">
        <v>2507</v>
      </c>
      <c r="L1870" s="107"/>
      <c r="M1870" s="49" t="s">
        <v>2508</v>
      </c>
      <c r="N1870" s="73">
        <v>44501</v>
      </c>
      <c r="O1870" s="107" t="s">
        <v>507</v>
      </c>
      <c r="P1870" s="164">
        <v>3520</v>
      </c>
      <c r="Q1870" s="164">
        <v>3</v>
      </c>
      <c r="R1870" s="118">
        <f t="shared" si="48"/>
        <v>10560</v>
      </c>
      <c r="S1870" s="115">
        <v>202304</v>
      </c>
      <c r="T1870" s="119" t="s">
        <v>2520</v>
      </c>
      <c r="U1870" s="166"/>
      <c r="V1870" s="165"/>
      <c r="W1870" s="165"/>
      <c r="X1870" s="116">
        <v>44423</v>
      </c>
      <c r="Y1870" s="116">
        <v>46279</v>
      </c>
    </row>
    <row r="1871" s="85" customFormat="1" customHeight="1" spans="1:25">
      <c r="A1871" s="160" t="s">
        <v>61</v>
      </c>
      <c r="B1871" s="24" t="s">
        <v>62</v>
      </c>
      <c r="C1871" s="98" t="s">
        <v>238</v>
      </c>
      <c r="D1871" s="24" t="s">
        <v>64</v>
      </c>
      <c r="E1871" s="162" t="s">
        <v>2504</v>
      </c>
      <c r="F1871" s="160" t="s">
        <v>2505</v>
      </c>
      <c r="G1871" s="25" t="s">
        <v>88</v>
      </c>
      <c r="H1871" s="99" t="s">
        <v>2506</v>
      </c>
      <c r="I1871" s="46" t="e">
        <f>VLOOKUP(H1871,'合同高级查询数据-4月返'!A:A,1,FALSE)</f>
        <v>#N/A</v>
      </c>
      <c r="J1871" s="25" t="s">
        <v>90</v>
      </c>
      <c r="K1871" s="106" t="s">
        <v>2507</v>
      </c>
      <c r="L1871" s="107"/>
      <c r="M1871" s="49" t="s">
        <v>2508</v>
      </c>
      <c r="N1871" s="73">
        <v>44503</v>
      </c>
      <c r="O1871" s="107" t="s">
        <v>507</v>
      </c>
      <c r="P1871" s="164">
        <v>3520</v>
      </c>
      <c r="Q1871" s="164">
        <v>23</v>
      </c>
      <c r="R1871" s="118">
        <f t="shared" si="48"/>
        <v>80960</v>
      </c>
      <c r="S1871" s="115">
        <v>202304</v>
      </c>
      <c r="T1871" s="119" t="s">
        <v>2521</v>
      </c>
      <c r="U1871" s="166"/>
      <c r="V1871" s="165"/>
      <c r="W1871" s="165"/>
      <c r="X1871" s="116">
        <v>44423</v>
      </c>
      <c r="Y1871" s="116">
        <v>46279</v>
      </c>
    </row>
    <row r="1872" s="85" customFormat="1" customHeight="1" spans="1:25">
      <c r="A1872" s="160" t="s">
        <v>61</v>
      </c>
      <c r="B1872" s="24" t="s">
        <v>62</v>
      </c>
      <c r="C1872" s="98" t="s">
        <v>238</v>
      </c>
      <c r="D1872" s="24" t="s">
        <v>64</v>
      </c>
      <c r="E1872" s="162" t="s">
        <v>2504</v>
      </c>
      <c r="F1872" s="160" t="s">
        <v>2505</v>
      </c>
      <c r="G1872" s="25" t="s">
        <v>88</v>
      </c>
      <c r="H1872" s="99" t="s">
        <v>2506</v>
      </c>
      <c r="I1872" s="46" t="e">
        <f>VLOOKUP(H1872,'合同高级查询数据-4月返'!A:A,1,FALSE)</f>
        <v>#N/A</v>
      </c>
      <c r="J1872" s="25" t="s">
        <v>90</v>
      </c>
      <c r="K1872" s="106" t="s">
        <v>2507</v>
      </c>
      <c r="L1872" s="107"/>
      <c r="M1872" s="49" t="s">
        <v>2508</v>
      </c>
      <c r="N1872" s="73">
        <v>44506</v>
      </c>
      <c r="O1872" s="107" t="s">
        <v>507</v>
      </c>
      <c r="P1872" s="164">
        <v>3520</v>
      </c>
      <c r="Q1872" s="164">
        <v>13</v>
      </c>
      <c r="R1872" s="118">
        <f t="shared" si="48"/>
        <v>45760</v>
      </c>
      <c r="S1872" s="115">
        <v>202304</v>
      </c>
      <c r="T1872" s="119" t="s">
        <v>2522</v>
      </c>
      <c r="U1872" s="166"/>
      <c r="V1872" s="165"/>
      <c r="W1872" s="165"/>
      <c r="X1872" s="116">
        <v>44423</v>
      </c>
      <c r="Y1872" s="116">
        <v>46279</v>
      </c>
    </row>
    <row r="1873" s="85" customFormat="1" customHeight="1" spans="1:25">
      <c r="A1873" s="160" t="s">
        <v>61</v>
      </c>
      <c r="B1873" s="24" t="s">
        <v>62</v>
      </c>
      <c r="C1873" s="98" t="s">
        <v>238</v>
      </c>
      <c r="D1873" s="24" t="s">
        <v>64</v>
      </c>
      <c r="E1873" s="162" t="s">
        <v>2504</v>
      </c>
      <c r="F1873" s="160" t="s">
        <v>2505</v>
      </c>
      <c r="G1873" s="25" t="s">
        <v>88</v>
      </c>
      <c r="H1873" s="99" t="s">
        <v>2506</v>
      </c>
      <c r="I1873" s="46" t="e">
        <f>VLOOKUP(H1873,'合同高级查询数据-4月返'!A:A,1,FALSE)</f>
        <v>#N/A</v>
      </c>
      <c r="J1873" s="25" t="s">
        <v>90</v>
      </c>
      <c r="K1873" s="106" t="s">
        <v>2507</v>
      </c>
      <c r="L1873" s="107"/>
      <c r="M1873" s="49" t="s">
        <v>2508</v>
      </c>
      <c r="N1873" s="73">
        <v>44508</v>
      </c>
      <c r="O1873" s="107" t="s">
        <v>507</v>
      </c>
      <c r="P1873" s="164">
        <v>3520</v>
      </c>
      <c r="Q1873" s="164">
        <v>3</v>
      </c>
      <c r="R1873" s="118">
        <f t="shared" si="48"/>
        <v>10560</v>
      </c>
      <c r="S1873" s="115">
        <v>202304</v>
      </c>
      <c r="T1873" s="119" t="s">
        <v>2523</v>
      </c>
      <c r="U1873" s="166"/>
      <c r="V1873" s="165"/>
      <c r="W1873" s="165"/>
      <c r="X1873" s="116">
        <v>44423</v>
      </c>
      <c r="Y1873" s="116">
        <v>46279</v>
      </c>
    </row>
    <row r="1874" s="85" customFormat="1" customHeight="1" spans="1:25">
      <c r="A1874" s="160" t="s">
        <v>61</v>
      </c>
      <c r="B1874" s="24" t="s">
        <v>62</v>
      </c>
      <c r="C1874" s="98" t="s">
        <v>238</v>
      </c>
      <c r="D1874" s="24" t="s">
        <v>64</v>
      </c>
      <c r="E1874" s="162" t="s">
        <v>2504</v>
      </c>
      <c r="F1874" s="160" t="s">
        <v>2505</v>
      </c>
      <c r="G1874" s="25" t="s">
        <v>88</v>
      </c>
      <c r="H1874" s="99" t="s">
        <v>2506</v>
      </c>
      <c r="I1874" s="46" t="e">
        <f>VLOOKUP(H1874,'合同高级查询数据-4月返'!A:A,1,FALSE)</f>
        <v>#N/A</v>
      </c>
      <c r="J1874" s="25" t="s">
        <v>90</v>
      </c>
      <c r="K1874" s="106" t="s">
        <v>2507</v>
      </c>
      <c r="L1874" s="107"/>
      <c r="M1874" s="49" t="s">
        <v>2508</v>
      </c>
      <c r="N1874" s="73">
        <v>44511</v>
      </c>
      <c r="O1874" s="107" t="s">
        <v>507</v>
      </c>
      <c r="P1874" s="164">
        <v>3520</v>
      </c>
      <c r="Q1874" s="164">
        <v>21</v>
      </c>
      <c r="R1874" s="118">
        <f t="shared" si="48"/>
        <v>73920</v>
      </c>
      <c r="S1874" s="115">
        <v>202304</v>
      </c>
      <c r="T1874" s="119" t="s">
        <v>2524</v>
      </c>
      <c r="U1874" s="166"/>
      <c r="V1874" s="165"/>
      <c r="W1874" s="165"/>
      <c r="X1874" s="116">
        <v>44423</v>
      </c>
      <c r="Y1874" s="116">
        <v>46279</v>
      </c>
    </row>
    <row r="1875" s="85" customFormat="1" customHeight="1" spans="1:25">
      <c r="A1875" s="160" t="s">
        <v>61</v>
      </c>
      <c r="B1875" s="24" t="s">
        <v>62</v>
      </c>
      <c r="C1875" s="98" t="s">
        <v>238</v>
      </c>
      <c r="D1875" s="24" t="s">
        <v>64</v>
      </c>
      <c r="E1875" s="162" t="s">
        <v>2504</v>
      </c>
      <c r="F1875" s="160" t="s">
        <v>2505</v>
      </c>
      <c r="G1875" s="25" t="s">
        <v>88</v>
      </c>
      <c r="H1875" s="99" t="s">
        <v>2506</v>
      </c>
      <c r="I1875" s="46" t="e">
        <f>VLOOKUP(H1875,'合同高级查询数据-4月返'!A:A,1,FALSE)</f>
        <v>#N/A</v>
      </c>
      <c r="J1875" s="25" t="s">
        <v>90</v>
      </c>
      <c r="K1875" s="106" t="s">
        <v>2507</v>
      </c>
      <c r="L1875" s="107"/>
      <c r="M1875" s="49" t="s">
        <v>2508</v>
      </c>
      <c r="N1875" s="73">
        <v>44522</v>
      </c>
      <c r="O1875" s="107" t="s">
        <v>507</v>
      </c>
      <c r="P1875" s="164">
        <v>3520</v>
      </c>
      <c r="Q1875" s="164">
        <v>2</v>
      </c>
      <c r="R1875" s="118">
        <f t="shared" si="48"/>
        <v>7040</v>
      </c>
      <c r="S1875" s="115">
        <v>202304</v>
      </c>
      <c r="T1875" s="119" t="s">
        <v>2525</v>
      </c>
      <c r="U1875" s="166"/>
      <c r="V1875" s="165"/>
      <c r="W1875" s="165"/>
      <c r="X1875" s="116">
        <v>44423</v>
      </c>
      <c r="Y1875" s="116">
        <v>46279</v>
      </c>
    </row>
    <row r="1876" s="85" customFormat="1" customHeight="1" spans="1:25">
      <c r="A1876" s="160" t="s">
        <v>61</v>
      </c>
      <c r="B1876" s="24" t="s">
        <v>62</v>
      </c>
      <c r="C1876" s="98" t="s">
        <v>238</v>
      </c>
      <c r="D1876" s="24" t="s">
        <v>64</v>
      </c>
      <c r="E1876" s="162" t="s">
        <v>2504</v>
      </c>
      <c r="F1876" s="160" t="s">
        <v>2505</v>
      </c>
      <c r="G1876" s="25" t="s">
        <v>88</v>
      </c>
      <c r="H1876" s="99" t="s">
        <v>2506</v>
      </c>
      <c r="I1876" s="46" t="e">
        <f>VLOOKUP(H1876,'合同高级查询数据-4月返'!A:A,1,FALSE)</f>
        <v>#N/A</v>
      </c>
      <c r="J1876" s="25" t="s">
        <v>90</v>
      </c>
      <c r="K1876" s="106" t="s">
        <v>2507</v>
      </c>
      <c r="L1876" s="107"/>
      <c r="M1876" s="49" t="s">
        <v>2508</v>
      </c>
      <c r="N1876" s="73">
        <v>44530</v>
      </c>
      <c r="O1876" s="107" t="s">
        <v>507</v>
      </c>
      <c r="P1876" s="164">
        <v>3520</v>
      </c>
      <c r="Q1876" s="164">
        <v>8</v>
      </c>
      <c r="R1876" s="118">
        <f t="shared" si="48"/>
        <v>28160</v>
      </c>
      <c r="S1876" s="115">
        <v>202304</v>
      </c>
      <c r="T1876" s="119" t="s">
        <v>2526</v>
      </c>
      <c r="U1876" s="166"/>
      <c r="V1876" s="165"/>
      <c r="W1876" s="165"/>
      <c r="X1876" s="116">
        <v>44423</v>
      </c>
      <c r="Y1876" s="116">
        <v>46279</v>
      </c>
    </row>
    <row r="1877" s="85" customFormat="1" customHeight="1" spans="1:25">
      <c r="A1877" s="160" t="s">
        <v>61</v>
      </c>
      <c r="B1877" s="24" t="s">
        <v>62</v>
      </c>
      <c r="C1877" s="98" t="s">
        <v>238</v>
      </c>
      <c r="D1877" s="24" t="s">
        <v>64</v>
      </c>
      <c r="E1877" s="162" t="s">
        <v>2504</v>
      </c>
      <c r="F1877" s="160" t="s">
        <v>2505</v>
      </c>
      <c r="G1877" s="25" t="s">
        <v>88</v>
      </c>
      <c r="H1877" s="99" t="s">
        <v>2506</v>
      </c>
      <c r="I1877" s="46" t="e">
        <f>VLOOKUP(H1877,'合同高级查询数据-4月返'!A:A,1,FALSE)</f>
        <v>#N/A</v>
      </c>
      <c r="J1877" s="25" t="s">
        <v>90</v>
      </c>
      <c r="K1877" s="106" t="s">
        <v>2507</v>
      </c>
      <c r="L1877" s="107"/>
      <c r="M1877" s="49" t="s">
        <v>2527</v>
      </c>
      <c r="N1877" s="73">
        <v>44540</v>
      </c>
      <c r="O1877" s="107" t="s">
        <v>507</v>
      </c>
      <c r="P1877" s="164">
        <v>3520</v>
      </c>
      <c r="Q1877" s="164">
        <v>3</v>
      </c>
      <c r="R1877" s="118">
        <f t="shared" si="48"/>
        <v>10560</v>
      </c>
      <c r="S1877" s="115">
        <v>202304</v>
      </c>
      <c r="T1877" s="119" t="s">
        <v>2528</v>
      </c>
      <c r="U1877" s="166"/>
      <c r="V1877" s="165"/>
      <c r="W1877" s="165"/>
      <c r="X1877" s="116">
        <v>44423</v>
      </c>
      <c r="Y1877" s="116">
        <v>46279</v>
      </c>
    </row>
    <row r="1878" s="85" customFormat="1" customHeight="1" spans="1:25">
      <c r="A1878" s="160" t="s">
        <v>61</v>
      </c>
      <c r="B1878" s="24" t="s">
        <v>62</v>
      </c>
      <c r="C1878" s="98" t="s">
        <v>238</v>
      </c>
      <c r="D1878" s="24" t="s">
        <v>64</v>
      </c>
      <c r="E1878" s="162" t="s">
        <v>2504</v>
      </c>
      <c r="F1878" s="160" t="s">
        <v>2505</v>
      </c>
      <c r="G1878" s="25" t="s">
        <v>88</v>
      </c>
      <c r="H1878" s="99" t="s">
        <v>2506</v>
      </c>
      <c r="I1878" s="46" t="e">
        <f>VLOOKUP(H1878,'合同高级查询数据-4月返'!A:A,1,FALSE)</f>
        <v>#N/A</v>
      </c>
      <c r="J1878" s="25" t="s">
        <v>90</v>
      </c>
      <c r="K1878" s="106" t="s">
        <v>2507</v>
      </c>
      <c r="L1878" s="107"/>
      <c r="M1878" s="49" t="s">
        <v>2508</v>
      </c>
      <c r="N1878" s="73">
        <v>44545</v>
      </c>
      <c r="O1878" s="107" t="s">
        <v>507</v>
      </c>
      <c r="P1878" s="164">
        <v>3520</v>
      </c>
      <c r="Q1878" s="164">
        <v>22</v>
      </c>
      <c r="R1878" s="118">
        <f t="shared" si="48"/>
        <v>77440</v>
      </c>
      <c r="S1878" s="115">
        <v>202304</v>
      </c>
      <c r="T1878" s="119" t="s">
        <v>2529</v>
      </c>
      <c r="U1878" s="284"/>
      <c r="V1878" s="165"/>
      <c r="W1878" s="165"/>
      <c r="X1878" s="116">
        <v>44423</v>
      </c>
      <c r="Y1878" s="116">
        <v>46279</v>
      </c>
    </row>
    <row r="1879" s="85" customFormat="1" customHeight="1" spans="1:25">
      <c r="A1879" s="160" t="s">
        <v>61</v>
      </c>
      <c r="B1879" s="24" t="s">
        <v>62</v>
      </c>
      <c r="C1879" s="98" t="s">
        <v>238</v>
      </c>
      <c r="D1879" s="24" t="s">
        <v>64</v>
      </c>
      <c r="E1879" s="162" t="s">
        <v>2504</v>
      </c>
      <c r="F1879" s="160" t="s">
        <v>2505</v>
      </c>
      <c r="G1879" s="25" t="s">
        <v>88</v>
      </c>
      <c r="H1879" s="99" t="s">
        <v>2506</v>
      </c>
      <c r="I1879" s="46" t="e">
        <f>VLOOKUP(H1879,'合同高级查询数据-4月返'!A:A,1,FALSE)</f>
        <v>#N/A</v>
      </c>
      <c r="J1879" s="25" t="s">
        <v>90</v>
      </c>
      <c r="K1879" s="106" t="s">
        <v>2507</v>
      </c>
      <c r="L1879" s="107"/>
      <c r="M1879" s="49" t="s">
        <v>2508</v>
      </c>
      <c r="N1879" s="73">
        <v>44545</v>
      </c>
      <c r="O1879" s="107" t="s">
        <v>503</v>
      </c>
      <c r="P1879" s="164">
        <v>1760</v>
      </c>
      <c r="Q1879" s="164">
        <v>1</v>
      </c>
      <c r="R1879" s="118">
        <f t="shared" si="48"/>
        <v>1760</v>
      </c>
      <c r="S1879" s="115">
        <v>202304</v>
      </c>
      <c r="T1879" s="119" t="s">
        <v>2530</v>
      </c>
      <c r="U1879" s="166"/>
      <c r="V1879" s="165"/>
      <c r="W1879" s="165"/>
      <c r="X1879" s="116">
        <v>44423</v>
      </c>
      <c r="Y1879" s="116">
        <v>46279</v>
      </c>
    </row>
    <row r="1880" s="85" customFormat="1" customHeight="1" spans="1:25">
      <c r="A1880" s="160" t="s">
        <v>61</v>
      </c>
      <c r="B1880" s="24" t="s">
        <v>62</v>
      </c>
      <c r="C1880" s="98" t="s">
        <v>238</v>
      </c>
      <c r="D1880" s="24" t="s">
        <v>64</v>
      </c>
      <c r="E1880" s="162" t="s">
        <v>2504</v>
      </c>
      <c r="F1880" s="160" t="s">
        <v>2505</v>
      </c>
      <c r="G1880" s="25" t="s">
        <v>88</v>
      </c>
      <c r="H1880" s="99" t="s">
        <v>2506</v>
      </c>
      <c r="I1880" s="46" t="e">
        <f>VLOOKUP(H1880,'合同高级查询数据-4月返'!A:A,1,FALSE)</f>
        <v>#N/A</v>
      </c>
      <c r="J1880" s="25" t="s">
        <v>162</v>
      </c>
      <c r="K1880" s="106" t="s">
        <v>2507</v>
      </c>
      <c r="L1880" s="107" t="s">
        <v>2531</v>
      </c>
      <c r="M1880" s="49" t="s">
        <v>2532</v>
      </c>
      <c r="N1880" s="73">
        <v>44540</v>
      </c>
      <c r="O1880" s="107" t="s">
        <v>507</v>
      </c>
      <c r="P1880" s="164">
        <v>3520</v>
      </c>
      <c r="Q1880" s="164">
        <v>29</v>
      </c>
      <c r="R1880" s="118">
        <f t="shared" si="48"/>
        <v>102080</v>
      </c>
      <c r="S1880" s="115">
        <v>202304</v>
      </c>
      <c r="T1880" s="119" t="s">
        <v>2533</v>
      </c>
      <c r="U1880" s="166"/>
      <c r="V1880" s="165"/>
      <c r="W1880" s="165"/>
      <c r="X1880" s="116">
        <v>44423</v>
      </c>
      <c r="Y1880" s="116">
        <v>46279</v>
      </c>
    </row>
    <row r="1881" s="85" customFormat="1" customHeight="1" spans="1:25">
      <c r="A1881" s="160" t="s">
        <v>61</v>
      </c>
      <c r="B1881" s="24" t="s">
        <v>62</v>
      </c>
      <c r="C1881" s="98" t="s">
        <v>238</v>
      </c>
      <c r="D1881" s="24" t="s">
        <v>64</v>
      </c>
      <c r="E1881" s="162" t="s">
        <v>2504</v>
      </c>
      <c r="F1881" s="160" t="s">
        <v>2505</v>
      </c>
      <c r="G1881" s="25" t="s">
        <v>88</v>
      </c>
      <c r="H1881" s="99" t="s">
        <v>2506</v>
      </c>
      <c r="I1881" s="46" t="e">
        <f>VLOOKUP(H1881,'合同高级查询数据-4月返'!A:A,1,FALSE)</f>
        <v>#N/A</v>
      </c>
      <c r="J1881" s="25" t="s">
        <v>90</v>
      </c>
      <c r="K1881" s="106" t="s">
        <v>2507</v>
      </c>
      <c r="L1881" s="107"/>
      <c r="M1881" s="49" t="s">
        <v>2508</v>
      </c>
      <c r="N1881" s="73">
        <v>44558</v>
      </c>
      <c r="O1881" s="107" t="s">
        <v>503</v>
      </c>
      <c r="P1881" s="164">
        <v>1760</v>
      </c>
      <c r="Q1881" s="164">
        <v>1</v>
      </c>
      <c r="R1881" s="118">
        <f t="shared" si="48"/>
        <v>1760</v>
      </c>
      <c r="S1881" s="115">
        <v>202304</v>
      </c>
      <c r="T1881" s="119" t="s">
        <v>2534</v>
      </c>
      <c r="U1881" s="166"/>
      <c r="V1881" s="165"/>
      <c r="W1881" s="165"/>
      <c r="X1881" s="116">
        <v>44423</v>
      </c>
      <c r="Y1881" s="116">
        <v>46279</v>
      </c>
    </row>
    <row r="1882" s="85" customFormat="1" customHeight="1" spans="1:25">
      <c r="A1882" s="160" t="s">
        <v>61</v>
      </c>
      <c r="B1882" s="24" t="s">
        <v>62</v>
      </c>
      <c r="C1882" s="98" t="s">
        <v>238</v>
      </c>
      <c r="D1882" s="24" t="s">
        <v>64</v>
      </c>
      <c r="E1882" s="162" t="s">
        <v>2504</v>
      </c>
      <c r="F1882" s="160" t="s">
        <v>2505</v>
      </c>
      <c r="G1882" s="25" t="s">
        <v>88</v>
      </c>
      <c r="H1882" s="99" t="s">
        <v>2506</v>
      </c>
      <c r="I1882" s="46" t="e">
        <f>VLOOKUP(H1882,'合同高级查询数据-4月返'!A:A,1,FALSE)</f>
        <v>#N/A</v>
      </c>
      <c r="J1882" s="25" t="s">
        <v>90</v>
      </c>
      <c r="K1882" s="106" t="s">
        <v>2507</v>
      </c>
      <c r="L1882" s="107"/>
      <c r="M1882" s="49" t="s">
        <v>2508</v>
      </c>
      <c r="N1882" s="73">
        <v>44562</v>
      </c>
      <c r="O1882" s="107" t="s">
        <v>507</v>
      </c>
      <c r="P1882" s="164">
        <v>3520</v>
      </c>
      <c r="Q1882" s="164">
        <v>105</v>
      </c>
      <c r="R1882" s="118">
        <f t="shared" si="48"/>
        <v>369600</v>
      </c>
      <c r="S1882" s="115">
        <v>202304</v>
      </c>
      <c r="T1882" s="119" t="s">
        <v>2535</v>
      </c>
      <c r="U1882" s="166"/>
      <c r="V1882" s="165"/>
      <c r="W1882" s="165"/>
      <c r="X1882" s="116">
        <v>44423</v>
      </c>
      <c r="Y1882" s="116">
        <v>46279</v>
      </c>
    </row>
    <row r="1883" s="85" customFormat="1" customHeight="1" spans="1:25">
      <c r="A1883" s="160" t="s">
        <v>61</v>
      </c>
      <c r="B1883" s="24" t="s">
        <v>62</v>
      </c>
      <c r="C1883" s="98" t="s">
        <v>238</v>
      </c>
      <c r="D1883" s="24" t="s">
        <v>64</v>
      </c>
      <c r="E1883" s="162" t="s">
        <v>2504</v>
      </c>
      <c r="F1883" s="160" t="s">
        <v>2505</v>
      </c>
      <c r="G1883" s="25" t="s">
        <v>88</v>
      </c>
      <c r="H1883" s="99" t="s">
        <v>2506</v>
      </c>
      <c r="I1883" s="46" t="e">
        <f>VLOOKUP(H1883,'合同高级查询数据-4月返'!A:A,1,FALSE)</f>
        <v>#N/A</v>
      </c>
      <c r="J1883" s="25" t="s">
        <v>90</v>
      </c>
      <c r="K1883" s="106" t="s">
        <v>2507</v>
      </c>
      <c r="L1883" s="107"/>
      <c r="M1883" s="49" t="s">
        <v>2508</v>
      </c>
      <c r="N1883" s="73">
        <v>44565</v>
      </c>
      <c r="O1883" s="107" t="s">
        <v>507</v>
      </c>
      <c r="P1883" s="164">
        <v>3520</v>
      </c>
      <c r="Q1883" s="164">
        <v>8</v>
      </c>
      <c r="R1883" s="118">
        <f t="shared" si="48"/>
        <v>28160</v>
      </c>
      <c r="S1883" s="115">
        <v>202304</v>
      </c>
      <c r="T1883" s="119" t="s">
        <v>2536</v>
      </c>
      <c r="U1883" s="166"/>
      <c r="V1883" s="165"/>
      <c r="W1883" s="165"/>
      <c r="X1883" s="116">
        <v>44423</v>
      </c>
      <c r="Y1883" s="116">
        <v>46279</v>
      </c>
    </row>
    <row r="1884" s="85" customFormat="1" customHeight="1" spans="1:25">
      <c r="A1884" s="160" t="s">
        <v>61</v>
      </c>
      <c r="B1884" s="24" t="s">
        <v>62</v>
      </c>
      <c r="C1884" s="98" t="s">
        <v>238</v>
      </c>
      <c r="D1884" s="24" t="s">
        <v>64</v>
      </c>
      <c r="E1884" s="162" t="s">
        <v>2504</v>
      </c>
      <c r="F1884" s="160" t="s">
        <v>2505</v>
      </c>
      <c r="G1884" s="25" t="s">
        <v>88</v>
      </c>
      <c r="H1884" s="99" t="s">
        <v>2506</v>
      </c>
      <c r="I1884" s="46" t="e">
        <f>VLOOKUP(H1884,'合同高级查询数据-4月返'!A:A,1,FALSE)</f>
        <v>#N/A</v>
      </c>
      <c r="J1884" s="25" t="s">
        <v>90</v>
      </c>
      <c r="K1884" s="106" t="s">
        <v>2507</v>
      </c>
      <c r="L1884" s="107"/>
      <c r="M1884" s="49" t="s">
        <v>2508</v>
      </c>
      <c r="N1884" s="73">
        <v>44574</v>
      </c>
      <c r="O1884" s="107" t="s">
        <v>507</v>
      </c>
      <c r="P1884" s="164">
        <v>3520</v>
      </c>
      <c r="Q1884" s="164">
        <v>5</v>
      </c>
      <c r="R1884" s="118">
        <f t="shared" si="48"/>
        <v>17600</v>
      </c>
      <c r="S1884" s="115">
        <v>202304</v>
      </c>
      <c r="T1884" s="119" t="s">
        <v>2537</v>
      </c>
      <c r="U1884" s="166"/>
      <c r="V1884" s="165"/>
      <c r="W1884" s="165"/>
      <c r="X1884" s="116">
        <v>44423</v>
      </c>
      <c r="Y1884" s="116">
        <v>46279</v>
      </c>
    </row>
    <row r="1885" s="85" customFormat="1" customHeight="1" spans="1:25">
      <c r="A1885" s="160" t="s">
        <v>61</v>
      </c>
      <c r="B1885" s="24" t="s">
        <v>62</v>
      </c>
      <c r="C1885" s="98" t="s">
        <v>238</v>
      </c>
      <c r="D1885" s="24" t="s">
        <v>64</v>
      </c>
      <c r="E1885" s="162" t="s">
        <v>2504</v>
      </c>
      <c r="F1885" s="160" t="s">
        <v>2505</v>
      </c>
      <c r="G1885" s="25" t="s">
        <v>88</v>
      </c>
      <c r="H1885" s="99" t="s">
        <v>2506</v>
      </c>
      <c r="I1885" s="46" t="e">
        <f>VLOOKUP(H1885,'合同高级查询数据-4月返'!A:A,1,FALSE)</f>
        <v>#N/A</v>
      </c>
      <c r="J1885" s="25" t="s">
        <v>90</v>
      </c>
      <c r="K1885" s="106" t="s">
        <v>2507</v>
      </c>
      <c r="L1885" s="107"/>
      <c r="M1885" s="49" t="s">
        <v>2508</v>
      </c>
      <c r="N1885" s="73">
        <v>44579.7854050926</v>
      </c>
      <c r="O1885" s="107" t="s">
        <v>507</v>
      </c>
      <c r="P1885" s="164">
        <v>3520</v>
      </c>
      <c r="Q1885" s="164">
        <v>5</v>
      </c>
      <c r="R1885" s="118">
        <f t="shared" si="48"/>
        <v>17600</v>
      </c>
      <c r="S1885" s="115">
        <v>202304</v>
      </c>
      <c r="T1885" s="119" t="s">
        <v>2538</v>
      </c>
      <c r="U1885" s="166"/>
      <c r="V1885" s="165"/>
      <c r="W1885" s="165"/>
      <c r="X1885" s="116">
        <v>44423</v>
      </c>
      <c r="Y1885" s="116">
        <v>46279</v>
      </c>
    </row>
    <row r="1886" s="85" customFormat="1" customHeight="1" spans="1:25">
      <c r="A1886" s="160" t="s">
        <v>61</v>
      </c>
      <c r="B1886" s="24" t="s">
        <v>62</v>
      </c>
      <c r="C1886" s="98" t="s">
        <v>238</v>
      </c>
      <c r="D1886" s="24" t="s">
        <v>64</v>
      </c>
      <c r="E1886" s="162" t="s">
        <v>2504</v>
      </c>
      <c r="F1886" s="160" t="s">
        <v>2505</v>
      </c>
      <c r="G1886" s="25" t="s">
        <v>88</v>
      </c>
      <c r="H1886" s="99" t="s">
        <v>2506</v>
      </c>
      <c r="I1886" s="46" t="e">
        <f>VLOOKUP(H1886,'合同高级查询数据-4月返'!A:A,1,FALSE)</f>
        <v>#N/A</v>
      </c>
      <c r="J1886" s="25" t="s">
        <v>90</v>
      </c>
      <c r="K1886" s="106" t="s">
        <v>2507</v>
      </c>
      <c r="L1886" s="107"/>
      <c r="M1886" s="49" t="s">
        <v>2508</v>
      </c>
      <c r="N1886" s="73">
        <v>44579</v>
      </c>
      <c r="O1886" s="107" t="s">
        <v>507</v>
      </c>
      <c r="P1886" s="164">
        <v>3520</v>
      </c>
      <c r="Q1886" s="164">
        <v>-103</v>
      </c>
      <c r="R1886" s="118">
        <f t="shared" si="48"/>
        <v>-362560</v>
      </c>
      <c r="S1886" s="115">
        <v>202304</v>
      </c>
      <c r="T1886" s="119" t="s">
        <v>2539</v>
      </c>
      <c r="U1886" s="166"/>
      <c r="V1886" s="165"/>
      <c r="W1886" s="165"/>
      <c r="X1886" s="116">
        <v>44423</v>
      </c>
      <c r="Y1886" s="116">
        <v>46279</v>
      </c>
    </row>
    <row r="1887" s="85" customFormat="1" customHeight="1" spans="1:25">
      <c r="A1887" s="160" t="s">
        <v>61</v>
      </c>
      <c r="B1887" s="24" t="s">
        <v>62</v>
      </c>
      <c r="C1887" s="98" t="s">
        <v>238</v>
      </c>
      <c r="D1887" s="24" t="s">
        <v>64</v>
      </c>
      <c r="E1887" s="162" t="s">
        <v>2504</v>
      </c>
      <c r="F1887" s="160" t="s">
        <v>2505</v>
      </c>
      <c r="G1887" s="25" t="s">
        <v>88</v>
      </c>
      <c r="H1887" s="99" t="s">
        <v>2506</v>
      </c>
      <c r="I1887" s="46" t="e">
        <f>VLOOKUP(H1887,'合同高级查询数据-4月返'!A:A,1,FALSE)</f>
        <v>#N/A</v>
      </c>
      <c r="J1887" s="25" t="s">
        <v>90</v>
      </c>
      <c r="K1887" s="106" t="s">
        <v>2507</v>
      </c>
      <c r="L1887" s="107"/>
      <c r="M1887" s="49" t="s">
        <v>2508</v>
      </c>
      <c r="N1887" s="73">
        <v>44582</v>
      </c>
      <c r="O1887" s="107" t="s">
        <v>507</v>
      </c>
      <c r="P1887" s="164">
        <v>3520</v>
      </c>
      <c r="Q1887" s="164">
        <v>7</v>
      </c>
      <c r="R1887" s="118">
        <f t="shared" si="48"/>
        <v>24640</v>
      </c>
      <c r="S1887" s="115">
        <v>202304</v>
      </c>
      <c r="T1887" s="119" t="s">
        <v>2540</v>
      </c>
      <c r="U1887" s="166"/>
      <c r="V1887" s="165"/>
      <c r="W1887" s="165"/>
      <c r="X1887" s="116">
        <v>44423</v>
      </c>
      <c r="Y1887" s="116">
        <v>46279</v>
      </c>
    </row>
    <row r="1888" s="85" customFormat="1" customHeight="1" spans="1:25">
      <c r="A1888" s="160" t="s">
        <v>61</v>
      </c>
      <c r="B1888" s="24" t="s">
        <v>62</v>
      </c>
      <c r="C1888" s="98" t="s">
        <v>238</v>
      </c>
      <c r="D1888" s="24" t="s">
        <v>64</v>
      </c>
      <c r="E1888" s="162" t="s">
        <v>2504</v>
      </c>
      <c r="F1888" s="160" t="s">
        <v>2505</v>
      </c>
      <c r="G1888" s="25" t="s">
        <v>88</v>
      </c>
      <c r="H1888" s="99" t="s">
        <v>2506</v>
      </c>
      <c r="I1888" s="46" t="e">
        <f>VLOOKUP(H1888,'合同高级查询数据-4月返'!A:A,1,FALSE)</f>
        <v>#N/A</v>
      </c>
      <c r="J1888" s="25" t="s">
        <v>90</v>
      </c>
      <c r="K1888" s="106" t="s">
        <v>2507</v>
      </c>
      <c r="L1888" s="107"/>
      <c r="M1888" s="49" t="s">
        <v>2508</v>
      </c>
      <c r="N1888" s="73">
        <v>44585</v>
      </c>
      <c r="O1888" s="107" t="s">
        <v>507</v>
      </c>
      <c r="P1888" s="164">
        <v>3520</v>
      </c>
      <c r="Q1888" s="164">
        <v>2</v>
      </c>
      <c r="R1888" s="118">
        <f t="shared" si="48"/>
        <v>7040</v>
      </c>
      <c r="S1888" s="115">
        <v>202304</v>
      </c>
      <c r="T1888" s="119" t="s">
        <v>2541</v>
      </c>
      <c r="U1888" s="166"/>
      <c r="V1888" s="165"/>
      <c r="W1888" s="165"/>
      <c r="X1888" s="116">
        <v>44423</v>
      </c>
      <c r="Y1888" s="116">
        <v>46279</v>
      </c>
    </row>
    <row r="1889" s="85" customFormat="1" customHeight="1" spans="1:25">
      <c r="A1889" s="160" t="s">
        <v>61</v>
      </c>
      <c r="B1889" s="24" t="s">
        <v>62</v>
      </c>
      <c r="C1889" s="98" t="s">
        <v>238</v>
      </c>
      <c r="D1889" s="24" t="s">
        <v>64</v>
      </c>
      <c r="E1889" s="162" t="s">
        <v>2504</v>
      </c>
      <c r="F1889" s="160" t="s">
        <v>2505</v>
      </c>
      <c r="G1889" s="25" t="s">
        <v>88</v>
      </c>
      <c r="H1889" s="99" t="s">
        <v>2506</v>
      </c>
      <c r="I1889" s="46" t="e">
        <f>VLOOKUP(H1889,'合同高级查询数据-4月返'!A:A,1,FALSE)</f>
        <v>#N/A</v>
      </c>
      <c r="J1889" s="25" t="s">
        <v>90</v>
      </c>
      <c r="K1889" s="106" t="s">
        <v>2507</v>
      </c>
      <c r="L1889" s="107"/>
      <c r="M1889" s="49" t="s">
        <v>2508</v>
      </c>
      <c r="N1889" s="73">
        <v>44586</v>
      </c>
      <c r="O1889" s="107" t="s">
        <v>507</v>
      </c>
      <c r="P1889" s="164">
        <v>3520</v>
      </c>
      <c r="Q1889" s="164">
        <v>7</v>
      </c>
      <c r="R1889" s="118">
        <f t="shared" ref="R1889:R1920" si="49">ROUND(P1889*Q1889,2)</f>
        <v>24640</v>
      </c>
      <c r="S1889" s="115">
        <v>202304</v>
      </c>
      <c r="T1889" s="119" t="s">
        <v>2542</v>
      </c>
      <c r="U1889" s="166"/>
      <c r="V1889" s="165"/>
      <c r="W1889" s="165"/>
      <c r="X1889" s="116">
        <v>44423</v>
      </c>
      <c r="Y1889" s="116">
        <v>46279</v>
      </c>
    </row>
    <row r="1890" s="85" customFormat="1" customHeight="1" spans="1:25">
      <c r="A1890" s="160" t="s">
        <v>61</v>
      </c>
      <c r="B1890" s="24" t="s">
        <v>62</v>
      </c>
      <c r="C1890" s="98" t="s">
        <v>238</v>
      </c>
      <c r="D1890" s="24" t="s">
        <v>64</v>
      </c>
      <c r="E1890" s="162" t="s">
        <v>2504</v>
      </c>
      <c r="F1890" s="160" t="s">
        <v>2505</v>
      </c>
      <c r="G1890" s="25" t="s">
        <v>88</v>
      </c>
      <c r="H1890" s="99" t="s">
        <v>2506</v>
      </c>
      <c r="I1890" s="46" t="e">
        <f>VLOOKUP(H1890,'合同高级查询数据-4月返'!A:A,1,FALSE)</f>
        <v>#N/A</v>
      </c>
      <c r="J1890" s="25" t="s">
        <v>90</v>
      </c>
      <c r="K1890" s="106" t="s">
        <v>2507</v>
      </c>
      <c r="L1890" s="107"/>
      <c r="M1890" s="49" t="s">
        <v>2508</v>
      </c>
      <c r="N1890" s="73">
        <v>44587</v>
      </c>
      <c r="O1890" s="107" t="s">
        <v>507</v>
      </c>
      <c r="P1890" s="164">
        <v>3520</v>
      </c>
      <c r="Q1890" s="164">
        <v>11</v>
      </c>
      <c r="R1890" s="118">
        <f t="shared" si="49"/>
        <v>38720</v>
      </c>
      <c r="S1890" s="115">
        <v>202304</v>
      </c>
      <c r="T1890" s="119" t="s">
        <v>2543</v>
      </c>
      <c r="U1890" s="166"/>
      <c r="V1890" s="165"/>
      <c r="W1890" s="165"/>
      <c r="X1890" s="116">
        <v>44423</v>
      </c>
      <c r="Y1890" s="116">
        <v>46279</v>
      </c>
    </row>
    <row r="1891" s="85" customFormat="1" customHeight="1" spans="1:25">
      <c r="A1891" s="160" t="s">
        <v>61</v>
      </c>
      <c r="B1891" s="24" t="s">
        <v>62</v>
      </c>
      <c r="C1891" s="98" t="s">
        <v>238</v>
      </c>
      <c r="D1891" s="24" t="s">
        <v>64</v>
      </c>
      <c r="E1891" s="162" t="s">
        <v>2504</v>
      </c>
      <c r="F1891" s="160" t="s">
        <v>2505</v>
      </c>
      <c r="G1891" s="25" t="s">
        <v>88</v>
      </c>
      <c r="H1891" s="99" t="s">
        <v>2506</v>
      </c>
      <c r="I1891" s="46" t="e">
        <f>VLOOKUP(H1891,'合同高级查询数据-4月返'!A:A,1,FALSE)</f>
        <v>#N/A</v>
      </c>
      <c r="J1891" s="25" t="s">
        <v>90</v>
      </c>
      <c r="K1891" s="106" t="s">
        <v>2507</v>
      </c>
      <c r="L1891" s="107"/>
      <c r="M1891" s="49" t="s">
        <v>2508</v>
      </c>
      <c r="N1891" s="73">
        <v>44588</v>
      </c>
      <c r="O1891" s="107" t="s">
        <v>507</v>
      </c>
      <c r="P1891" s="164">
        <v>3520</v>
      </c>
      <c r="Q1891" s="164">
        <v>56</v>
      </c>
      <c r="R1891" s="118">
        <f t="shared" si="49"/>
        <v>197120</v>
      </c>
      <c r="S1891" s="115">
        <v>202304</v>
      </c>
      <c r="T1891" s="119" t="s">
        <v>2544</v>
      </c>
      <c r="U1891" s="166"/>
      <c r="V1891" s="165"/>
      <c r="W1891" s="165"/>
      <c r="X1891" s="116">
        <v>44423</v>
      </c>
      <c r="Y1891" s="116">
        <v>46279</v>
      </c>
    </row>
    <row r="1892" s="85" customFormat="1" customHeight="1" spans="1:25">
      <c r="A1892" s="160" t="s">
        <v>61</v>
      </c>
      <c r="B1892" s="24" t="s">
        <v>62</v>
      </c>
      <c r="C1892" s="98" t="s">
        <v>238</v>
      </c>
      <c r="D1892" s="24" t="s">
        <v>64</v>
      </c>
      <c r="E1892" s="162" t="s">
        <v>2504</v>
      </c>
      <c r="F1892" s="160" t="s">
        <v>2505</v>
      </c>
      <c r="G1892" s="25" t="s">
        <v>88</v>
      </c>
      <c r="H1892" s="99" t="s">
        <v>2506</v>
      </c>
      <c r="I1892" s="46" t="e">
        <f>VLOOKUP(H1892,'合同高级查询数据-4月返'!A:A,1,FALSE)</f>
        <v>#N/A</v>
      </c>
      <c r="J1892" s="25" t="s">
        <v>90</v>
      </c>
      <c r="K1892" s="106" t="s">
        <v>2507</v>
      </c>
      <c r="L1892" s="107"/>
      <c r="M1892" s="49" t="s">
        <v>2508</v>
      </c>
      <c r="N1892" s="73">
        <v>44589</v>
      </c>
      <c r="O1892" s="107" t="s">
        <v>507</v>
      </c>
      <c r="P1892" s="164">
        <v>3520</v>
      </c>
      <c r="Q1892" s="164">
        <v>5</v>
      </c>
      <c r="R1892" s="118">
        <f t="shared" si="49"/>
        <v>17600</v>
      </c>
      <c r="S1892" s="115">
        <v>202304</v>
      </c>
      <c r="T1892" s="119" t="s">
        <v>2545</v>
      </c>
      <c r="U1892" s="166"/>
      <c r="V1892" s="165"/>
      <c r="W1892" s="165"/>
      <c r="X1892" s="116">
        <v>44423</v>
      </c>
      <c r="Y1892" s="116">
        <v>46279</v>
      </c>
    </row>
    <row r="1893" s="85" customFormat="1" customHeight="1" spans="1:25">
      <c r="A1893" s="160" t="s">
        <v>61</v>
      </c>
      <c r="B1893" s="24" t="s">
        <v>62</v>
      </c>
      <c r="C1893" s="98" t="s">
        <v>238</v>
      </c>
      <c r="D1893" s="24" t="s">
        <v>64</v>
      </c>
      <c r="E1893" s="162" t="s">
        <v>2504</v>
      </c>
      <c r="F1893" s="160" t="s">
        <v>2505</v>
      </c>
      <c r="G1893" s="25" t="s">
        <v>88</v>
      </c>
      <c r="H1893" s="99" t="s">
        <v>2506</v>
      </c>
      <c r="I1893" s="46" t="e">
        <f>VLOOKUP(H1893,'合同高级查询数据-4月返'!A:A,1,FALSE)</f>
        <v>#N/A</v>
      </c>
      <c r="J1893" s="25" t="s">
        <v>90</v>
      </c>
      <c r="K1893" s="106" t="s">
        <v>2507</v>
      </c>
      <c r="L1893" s="107"/>
      <c r="M1893" s="49" t="s">
        <v>2508</v>
      </c>
      <c r="N1893" s="73">
        <v>44586</v>
      </c>
      <c r="O1893" s="107" t="s">
        <v>507</v>
      </c>
      <c r="P1893" s="164">
        <v>3520</v>
      </c>
      <c r="Q1893" s="164">
        <v>4</v>
      </c>
      <c r="R1893" s="118">
        <f t="shared" si="49"/>
        <v>14080</v>
      </c>
      <c r="S1893" s="115">
        <v>202304</v>
      </c>
      <c r="T1893" s="119" t="s">
        <v>2546</v>
      </c>
      <c r="U1893" s="166"/>
      <c r="V1893" s="165"/>
      <c r="W1893" s="165"/>
      <c r="X1893" s="116">
        <v>44423</v>
      </c>
      <c r="Y1893" s="116">
        <v>46279</v>
      </c>
    </row>
    <row r="1894" s="85" customFormat="1" customHeight="1" spans="1:25">
      <c r="A1894" s="160" t="s">
        <v>61</v>
      </c>
      <c r="B1894" s="24" t="s">
        <v>62</v>
      </c>
      <c r="C1894" s="98" t="s">
        <v>238</v>
      </c>
      <c r="D1894" s="24" t="s">
        <v>64</v>
      </c>
      <c r="E1894" s="162" t="s">
        <v>2504</v>
      </c>
      <c r="F1894" s="160" t="s">
        <v>2505</v>
      </c>
      <c r="G1894" s="25" t="s">
        <v>88</v>
      </c>
      <c r="H1894" s="99" t="s">
        <v>2506</v>
      </c>
      <c r="I1894" s="46" t="e">
        <f>VLOOKUP(H1894,'合同高级查询数据-4月返'!A:A,1,FALSE)</f>
        <v>#N/A</v>
      </c>
      <c r="J1894" s="25" t="s">
        <v>90</v>
      </c>
      <c r="K1894" s="106" t="s">
        <v>2507</v>
      </c>
      <c r="L1894" s="107"/>
      <c r="M1894" s="49" t="s">
        <v>2508</v>
      </c>
      <c r="N1894" s="73">
        <v>44588</v>
      </c>
      <c r="O1894" s="107" t="s">
        <v>507</v>
      </c>
      <c r="P1894" s="164">
        <v>3520</v>
      </c>
      <c r="Q1894" s="164">
        <v>1</v>
      </c>
      <c r="R1894" s="118">
        <f t="shared" si="49"/>
        <v>3520</v>
      </c>
      <c r="S1894" s="115">
        <v>202304</v>
      </c>
      <c r="T1894" s="119" t="s">
        <v>2547</v>
      </c>
      <c r="U1894" s="166"/>
      <c r="V1894" s="165"/>
      <c r="W1894" s="165"/>
      <c r="X1894" s="116">
        <v>44423</v>
      </c>
      <c r="Y1894" s="116">
        <v>46279</v>
      </c>
    </row>
    <row r="1895" s="85" customFormat="1" customHeight="1" spans="1:25">
      <c r="A1895" s="160" t="s">
        <v>61</v>
      </c>
      <c r="B1895" s="24" t="s">
        <v>62</v>
      </c>
      <c r="C1895" s="98" t="s">
        <v>238</v>
      </c>
      <c r="D1895" s="24" t="s">
        <v>64</v>
      </c>
      <c r="E1895" s="162" t="s">
        <v>2504</v>
      </c>
      <c r="F1895" s="160" t="s">
        <v>2505</v>
      </c>
      <c r="G1895" s="25" t="s">
        <v>88</v>
      </c>
      <c r="H1895" s="99" t="s">
        <v>2506</v>
      </c>
      <c r="I1895" s="46" t="e">
        <f>VLOOKUP(H1895,'合同高级查询数据-4月返'!A:A,1,FALSE)</f>
        <v>#N/A</v>
      </c>
      <c r="J1895" s="25" t="s">
        <v>90</v>
      </c>
      <c r="K1895" s="106" t="s">
        <v>2507</v>
      </c>
      <c r="L1895" s="107"/>
      <c r="M1895" s="49" t="s">
        <v>2508</v>
      </c>
      <c r="N1895" s="73">
        <v>44602</v>
      </c>
      <c r="O1895" s="107" t="s">
        <v>507</v>
      </c>
      <c r="P1895" s="164">
        <v>3520</v>
      </c>
      <c r="Q1895" s="164">
        <v>10</v>
      </c>
      <c r="R1895" s="118">
        <f t="shared" si="49"/>
        <v>35200</v>
      </c>
      <c r="S1895" s="115">
        <v>202304</v>
      </c>
      <c r="T1895" s="119" t="s">
        <v>2548</v>
      </c>
      <c r="U1895" s="166"/>
      <c r="V1895" s="165"/>
      <c r="W1895" s="165"/>
      <c r="X1895" s="116">
        <v>44423</v>
      </c>
      <c r="Y1895" s="116">
        <v>46279</v>
      </c>
    </row>
    <row r="1896" s="85" customFormat="1" customHeight="1" spans="1:25">
      <c r="A1896" s="160" t="s">
        <v>61</v>
      </c>
      <c r="B1896" s="24" t="s">
        <v>62</v>
      </c>
      <c r="C1896" s="98" t="s">
        <v>238</v>
      </c>
      <c r="D1896" s="24" t="s">
        <v>64</v>
      </c>
      <c r="E1896" s="162" t="s">
        <v>2504</v>
      </c>
      <c r="F1896" s="160" t="s">
        <v>2505</v>
      </c>
      <c r="G1896" s="25" t="s">
        <v>88</v>
      </c>
      <c r="H1896" s="99" t="s">
        <v>2506</v>
      </c>
      <c r="I1896" s="46" t="e">
        <f>VLOOKUP(H1896,'合同高级查询数据-4月返'!A:A,1,FALSE)</f>
        <v>#N/A</v>
      </c>
      <c r="J1896" s="25" t="s">
        <v>90</v>
      </c>
      <c r="K1896" s="106" t="s">
        <v>2507</v>
      </c>
      <c r="L1896" s="107"/>
      <c r="M1896" s="49" t="s">
        <v>2508</v>
      </c>
      <c r="N1896" s="73">
        <v>44603</v>
      </c>
      <c r="O1896" s="107" t="s">
        <v>507</v>
      </c>
      <c r="P1896" s="164">
        <v>3520</v>
      </c>
      <c r="Q1896" s="164">
        <v>8</v>
      </c>
      <c r="R1896" s="118">
        <f t="shared" si="49"/>
        <v>28160</v>
      </c>
      <c r="S1896" s="115">
        <v>202304</v>
      </c>
      <c r="T1896" s="119" t="s">
        <v>2549</v>
      </c>
      <c r="U1896" s="166"/>
      <c r="V1896" s="165"/>
      <c r="W1896" s="165"/>
      <c r="X1896" s="116">
        <v>44423</v>
      </c>
      <c r="Y1896" s="116">
        <v>46279</v>
      </c>
    </row>
    <row r="1897" s="85" customFormat="1" customHeight="1" spans="1:25">
      <c r="A1897" s="160" t="s">
        <v>61</v>
      </c>
      <c r="B1897" s="24" t="s">
        <v>62</v>
      </c>
      <c r="C1897" s="98" t="s">
        <v>238</v>
      </c>
      <c r="D1897" s="24" t="s">
        <v>64</v>
      </c>
      <c r="E1897" s="162" t="s">
        <v>2504</v>
      </c>
      <c r="F1897" s="160" t="s">
        <v>2505</v>
      </c>
      <c r="G1897" s="25" t="s">
        <v>88</v>
      </c>
      <c r="H1897" s="99" t="s">
        <v>2506</v>
      </c>
      <c r="I1897" s="46" t="e">
        <f>VLOOKUP(H1897,'合同高级查询数据-4月返'!A:A,1,FALSE)</f>
        <v>#N/A</v>
      </c>
      <c r="J1897" s="25" t="s">
        <v>90</v>
      </c>
      <c r="K1897" s="106" t="s">
        <v>2507</v>
      </c>
      <c r="L1897" s="107"/>
      <c r="M1897" s="49" t="s">
        <v>2508</v>
      </c>
      <c r="N1897" s="73">
        <v>44609</v>
      </c>
      <c r="O1897" s="107" t="s">
        <v>507</v>
      </c>
      <c r="P1897" s="164">
        <v>3520</v>
      </c>
      <c r="Q1897" s="164">
        <v>9</v>
      </c>
      <c r="R1897" s="118">
        <f t="shared" si="49"/>
        <v>31680</v>
      </c>
      <c r="S1897" s="115">
        <v>202304</v>
      </c>
      <c r="T1897" s="119" t="s">
        <v>2550</v>
      </c>
      <c r="U1897" s="166"/>
      <c r="V1897" s="165"/>
      <c r="W1897" s="165"/>
      <c r="X1897" s="116">
        <v>44423</v>
      </c>
      <c r="Y1897" s="116">
        <v>46279</v>
      </c>
    </row>
    <row r="1898" s="85" customFormat="1" customHeight="1" spans="1:25">
      <c r="A1898" s="160" t="s">
        <v>61</v>
      </c>
      <c r="B1898" s="24" t="s">
        <v>62</v>
      </c>
      <c r="C1898" s="98" t="s">
        <v>238</v>
      </c>
      <c r="D1898" s="24" t="s">
        <v>64</v>
      </c>
      <c r="E1898" s="162" t="s">
        <v>2504</v>
      </c>
      <c r="F1898" s="160" t="s">
        <v>2505</v>
      </c>
      <c r="G1898" s="25" t="s">
        <v>88</v>
      </c>
      <c r="H1898" s="99" t="s">
        <v>2506</v>
      </c>
      <c r="I1898" s="46" t="e">
        <f>VLOOKUP(H1898,'合同高级查询数据-4月返'!A:A,1,FALSE)</f>
        <v>#N/A</v>
      </c>
      <c r="J1898" s="25" t="s">
        <v>90</v>
      </c>
      <c r="K1898" s="106" t="s">
        <v>2507</v>
      </c>
      <c r="L1898" s="107"/>
      <c r="M1898" s="49" t="s">
        <v>2508</v>
      </c>
      <c r="N1898" s="73">
        <v>44615</v>
      </c>
      <c r="O1898" s="107" t="s">
        <v>507</v>
      </c>
      <c r="P1898" s="164">
        <v>3520</v>
      </c>
      <c r="Q1898" s="164">
        <v>1</v>
      </c>
      <c r="R1898" s="118">
        <f t="shared" si="49"/>
        <v>3520</v>
      </c>
      <c r="S1898" s="115">
        <v>202304</v>
      </c>
      <c r="T1898" s="119" t="s">
        <v>2551</v>
      </c>
      <c r="U1898" s="166"/>
      <c r="V1898" s="165"/>
      <c r="W1898" s="165"/>
      <c r="X1898" s="116">
        <v>44423</v>
      </c>
      <c r="Y1898" s="116">
        <v>46279</v>
      </c>
    </row>
    <row r="1899" s="85" customFormat="1" customHeight="1" spans="1:25">
      <c r="A1899" s="160" t="s">
        <v>61</v>
      </c>
      <c r="B1899" s="24" t="s">
        <v>62</v>
      </c>
      <c r="C1899" s="98" t="s">
        <v>238</v>
      </c>
      <c r="D1899" s="24" t="s">
        <v>64</v>
      </c>
      <c r="E1899" s="162" t="s">
        <v>2504</v>
      </c>
      <c r="F1899" s="160" t="s">
        <v>2505</v>
      </c>
      <c r="G1899" s="25" t="s">
        <v>88</v>
      </c>
      <c r="H1899" s="99" t="s">
        <v>2506</v>
      </c>
      <c r="I1899" s="46" t="e">
        <f>VLOOKUP(H1899,'合同高级查询数据-4月返'!A:A,1,FALSE)</f>
        <v>#N/A</v>
      </c>
      <c r="J1899" s="25" t="s">
        <v>90</v>
      </c>
      <c r="K1899" s="106" t="s">
        <v>2507</v>
      </c>
      <c r="L1899" s="107"/>
      <c r="M1899" s="49" t="s">
        <v>2508</v>
      </c>
      <c r="N1899" s="73">
        <v>44623</v>
      </c>
      <c r="O1899" s="107" t="s">
        <v>507</v>
      </c>
      <c r="P1899" s="164">
        <v>3520</v>
      </c>
      <c r="Q1899" s="164">
        <v>4</v>
      </c>
      <c r="R1899" s="118">
        <f t="shared" si="49"/>
        <v>14080</v>
      </c>
      <c r="S1899" s="115">
        <v>202304</v>
      </c>
      <c r="T1899" s="119" t="s">
        <v>2552</v>
      </c>
      <c r="U1899" s="166"/>
      <c r="V1899" s="165"/>
      <c r="W1899" s="165"/>
      <c r="X1899" s="116">
        <v>44423</v>
      </c>
      <c r="Y1899" s="116">
        <v>46279</v>
      </c>
    </row>
    <row r="1900" s="85" customFormat="1" customHeight="1" spans="1:25">
      <c r="A1900" s="160" t="s">
        <v>61</v>
      </c>
      <c r="B1900" s="24" t="s">
        <v>62</v>
      </c>
      <c r="C1900" s="98" t="s">
        <v>238</v>
      </c>
      <c r="D1900" s="24" t="s">
        <v>64</v>
      </c>
      <c r="E1900" s="162" t="s">
        <v>2504</v>
      </c>
      <c r="F1900" s="160" t="s">
        <v>2505</v>
      </c>
      <c r="G1900" s="25" t="s">
        <v>88</v>
      </c>
      <c r="H1900" s="99" t="s">
        <v>2506</v>
      </c>
      <c r="I1900" s="46" t="e">
        <f>VLOOKUP(H1900,'合同高级查询数据-4月返'!A:A,1,FALSE)</f>
        <v>#N/A</v>
      </c>
      <c r="J1900" s="25" t="s">
        <v>90</v>
      </c>
      <c r="K1900" s="106" t="s">
        <v>2507</v>
      </c>
      <c r="L1900" s="107"/>
      <c r="M1900" s="49" t="s">
        <v>2508</v>
      </c>
      <c r="N1900" s="73">
        <v>44631</v>
      </c>
      <c r="O1900" s="107" t="s">
        <v>507</v>
      </c>
      <c r="P1900" s="164">
        <v>3520</v>
      </c>
      <c r="Q1900" s="164">
        <v>11</v>
      </c>
      <c r="R1900" s="118">
        <f t="shared" si="49"/>
        <v>38720</v>
      </c>
      <c r="S1900" s="115">
        <v>202304</v>
      </c>
      <c r="T1900" s="119" t="s">
        <v>2553</v>
      </c>
      <c r="U1900" s="166"/>
      <c r="V1900" s="165"/>
      <c r="W1900" s="165"/>
      <c r="X1900" s="116">
        <v>44423</v>
      </c>
      <c r="Y1900" s="116">
        <v>46279</v>
      </c>
    </row>
    <row r="1901" s="85" customFormat="1" customHeight="1" spans="1:25">
      <c r="A1901" s="160" t="s">
        <v>61</v>
      </c>
      <c r="B1901" s="24" t="s">
        <v>62</v>
      </c>
      <c r="C1901" s="98" t="s">
        <v>238</v>
      </c>
      <c r="D1901" s="24" t="s">
        <v>64</v>
      </c>
      <c r="E1901" s="162" t="s">
        <v>2504</v>
      </c>
      <c r="F1901" s="160" t="s">
        <v>2505</v>
      </c>
      <c r="G1901" s="25" t="s">
        <v>88</v>
      </c>
      <c r="H1901" s="99" t="s">
        <v>2506</v>
      </c>
      <c r="I1901" s="46" t="e">
        <f>VLOOKUP(H1901,'合同高级查询数据-4月返'!A:A,1,FALSE)</f>
        <v>#N/A</v>
      </c>
      <c r="J1901" s="25" t="s">
        <v>90</v>
      </c>
      <c r="K1901" s="106" t="s">
        <v>2507</v>
      </c>
      <c r="L1901" s="107"/>
      <c r="M1901" s="49" t="s">
        <v>2508</v>
      </c>
      <c r="N1901" s="73">
        <v>44669</v>
      </c>
      <c r="O1901" s="107" t="s">
        <v>507</v>
      </c>
      <c r="P1901" s="164">
        <v>3520</v>
      </c>
      <c r="Q1901" s="164">
        <v>6</v>
      </c>
      <c r="R1901" s="118">
        <f t="shared" si="49"/>
        <v>21120</v>
      </c>
      <c r="S1901" s="115">
        <v>202304</v>
      </c>
      <c r="T1901" s="119" t="s">
        <v>2554</v>
      </c>
      <c r="U1901" s="166"/>
      <c r="V1901" s="165"/>
      <c r="W1901" s="165"/>
      <c r="X1901" s="116">
        <v>44423</v>
      </c>
      <c r="Y1901" s="116">
        <v>46279</v>
      </c>
    </row>
    <row r="1902" s="85" customFormat="1" customHeight="1" spans="1:25">
      <c r="A1902" s="160" t="s">
        <v>61</v>
      </c>
      <c r="B1902" s="24" t="s">
        <v>62</v>
      </c>
      <c r="C1902" s="98" t="s">
        <v>238</v>
      </c>
      <c r="D1902" s="24" t="s">
        <v>64</v>
      </c>
      <c r="E1902" s="162" t="s">
        <v>2504</v>
      </c>
      <c r="F1902" s="160" t="s">
        <v>2505</v>
      </c>
      <c r="G1902" s="25" t="s">
        <v>88</v>
      </c>
      <c r="H1902" s="99" t="s">
        <v>2506</v>
      </c>
      <c r="I1902" s="46" t="e">
        <f>VLOOKUP(H1902,'合同高级查询数据-4月返'!A:A,1,FALSE)</f>
        <v>#N/A</v>
      </c>
      <c r="J1902" s="25" t="s">
        <v>90</v>
      </c>
      <c r="K1902" s="106" t="s">
        <v>2507</v>
      </c>
      <c r="L1902" s="107"/>
      <c r="M1902" s="49" t="s">
        <v>2527</v>
      </c>
      <c r="N1902" s="73">
        <v>44669</v>
      </c>
      <c r="O1902" s="107" t="s">
        <v>507</v>
      </c>
      <c r="P1902" s="164">
        <v>3520</v>
      </c>
      <c r="Q1902" s="164">
        <v>-3</v>
      </c>
      <c r="R1902" s="118">
        <f t="shared" si="49"/>
        <v>-10560</v>
      </c>
      <c r="S1902" s="115">
        <v>202304</v>
      </c>
      <c r="T1902" s="119" t="s">
        <v>2555</v>
      </c>
      <c r="U1902" s="166"/>
      <c r="V1902" s="165"/>
      <c r="W1902" s="165"/>
      <c r="X1902" s="116">
        <v>44423</v>
      </c>
      <c r="Y1902" s="116">
        <v>46279</v>
      </c>
    </row>
    <row r="1903" s="85" customFormat="1" customHeight="1" spans="1:25">
      <c r="A1903" s="160" t="s">
        <v>61</v>
      </c>
      <c r="B1903" s="24" t="s">
        <v>62</v>
      </c>
      <c r="C1903" s="98" t="s">
        <v>238</v>
      </c>
      <c r="D1903" s="24" t="s">
        <v>64</v>
      </c>
      <c r="E1903" s="162" t="s">
        <v>2504</v>
      </c>
      <c r="F1903" s="160" t="s">
        <v>2505</v>
      </c>
      <c r="G1903" s="25" t="s">
        <v>88</v>
      </c>
      <c r="H1903" s="99" t="s">
        <v>2506</v>
      </c>
      <c r="I1903" s="46" t="e">
        <f>VLOOKUP(H1903,'合同高级查询数据-4月返'!A:A,1,FALSE)</f>
        <v>#N/A</v>
      </c>
      <c r="J1903" s="25" t="s">
        <v>90</v>
      </c>
      <c r="K1903" s="106" t="s">
        <v>2507</v>
      </c>
      <c r="L1903" s="107"/>
      <c r="M1903" s="49" t="s">
        <v>2508</v>
      </c>
      <c r="N1903" s="73">
        <v>44677</v>
      </c>
      <c r="O1903" s="107" t="s">
        <v>507</v>
      </c>
      <c r="P1903" s="164">
        <v>3520</v>
      </c>
      <c r="Q1903" s="164">
        <v>12</v>
      </c>
      <c r="R1903" s="118">
        <f t="shared" si="49"/>
        <v>42240</v>
      </c>
      <c r="S1903" s="115">
        <v>202304</v>
      </c>
      <c r="T1903" s="119" t="s">
        <v>2556</v>
      </c>
      <c r="U1903" s="166"/>
      <c r="V1903" s="165"/>
      <c r="W1903" s="165"/>
      <c r="X1903" s="116">
        <v>44423</v>
      </c>
      <c r="Y1903" s="116">
        <v>46279</v>
      </c>
    </row>
    <row r="1904" s="85" customFormat="1" customHeight="1" spans="1:25">
      <c r="A1904" s="160" t="s">
        <v>61</v>
      </c>
      <c r="B1904" s="24" t="s">
        <v>62</v>
      </c>
      <c r="C1904" s="98" t="s">
        <v>238</v>
      </c>
      <c r="D1904" s="24" t="s">
        <v>64</v>
      </c>
      <c r="E1904" s="162" t="s">
        <v>2504</v>
      </c>
      <c r="F1904" s="160" t="s">
        <v>2505</v>
      </c>
      <c r="G1904" s="25" t="s">
        <v>88</v>
      </c>
      <c r="H1904" s="99" t="s">
        <v>2506</v>
      </c>
      <c r="I1904" s="46" t="e">
        <f>VLOOKUP(H1904,'合同高级查询数据-4月返'!A:A,1,FALSE)</f>
        <v>#N/A</v>
      </c>
      <c r="J1904" s="25" t="s">
        <v>90</v>
      </c>
      <c r="K1904" s="106" t="s">
        <v>2507</v>
      </c>
      <c r="L1904" s="107"/>
      <c r="M1904" s="49" t="s">
        <v>2508</v>
      </c>
      <c r="N1904" s="73">
        <v>44682</v>
      </c>
      <c r="O1904" s="107" t="s">
        <v>507</v>
      </c>
      <c r="P1904" s="164">
        <v>3520</v>
      </c>
      <c r="Q1904" s="164">
        <v>23</v>
      </c>
      <c r="R1904" s="118">
        <f t="shared" si="49"/>
        <v>80960</v>
      </c>
      <c r="S1904" s="115">
        <v>202304</v>
      </c>
      <c r="T1904" s="119" t="s">
        <v>2557</v>
      </c>
      <c r="U1904" s="166"/>
      <c r="V1904" s="165"/>
      <c r="W1904" s="165"/>
      <c r="X1904" s="116">
        <v>44423</v>
      </c>
      <c r="Y1904" s="116">
        <v>46279</v>
      </c>
    </row>
    <row r="1905" s="85" customFormat="1" customHeight="1" spans="1:25">
      <c r="A1905" s="160" t="s">
        <v>61</v>
      </c>
      <c r="B1905" s="24" t="s">
        <v>62</v>
      </c>
      <c r="C1905" s="98" t="s">
        <v>238</v>
      </c>
      <c r="D1905" s="24" t="s">
        <v>64</v>
      </c>
      <c r="E1905" s="162" t="s">
        <v>2504</v>
      </c>
      <c r="F1905" s="160" t="s">
        <v>2505</v>
      </c>
      <c r="G1905" s="25" t="s">
        <v>88</v>
      </c>
      <c r="H1905" s="99" t="s">
        <v>2506</v>
      </c>
      <c r="I1905" s="46" t="e">
        <f>VLOOKUP(H1905,'合同高级查询数据-4月返'!A:A,1,FALSE)</f>
        <v>#N/A</v>
      </c>
      <c r="J1905" s="25" t="s">
        <v>90</v>
      </c>
      <c r="K1905" s="106" t="s">
        <v>2507</v>
      </c>
      <c r="L1905" s="107"/>
      <c r="M1905" s="49" t="s">
        <v>2508</v>
      </c>
      <c r="N1905" s="73">
        <v>44694</v>
      </c>
      <c r="O1905" s="107" t="s">
        <v>507</v>
      </c>
      <c r="P1905" s="164">
        <v>3520</v>
      </c>
      <c r="Q1905" s="164">
        <v>2</v>
      </c>
      <c r="R1905" s="118">
        <f t="shared" si="49"/>
        <v>7040</v>
      </c>
      <c r="S1905" s="115">
        <v>202304</v>
      </c>
      <c r="T1905" s="119" t="s">
        <v>2558</v>
      </c>
      <c r="U1905" s="166"/>
      <c r="V1905" s="165"/>
      <c r="W1905" s="165"/>
      <c r="X1905" s="116">
        <v>44423</v>
      </c>
      <c r="Y1905" s="116">
        <v>46279</v>
      </c>
    </row>
    <row r="1906" s="85" customFormat="1" customHeight="1" spans="1:25">
      <c r="A1906" s="160" t="s">
        <v>61</v>
      </c>
      <c r="B1906" s="24" t="s">
        <v>62</v>
      </c>
      <c r="C1906" s="98" t="s">
        <v>238</v>
      </c>
      <c r="D1906" s="24" t="s">
        <v>64</v>
      </c>
      <c r="E1906" s="162" t="s">
        <v>2504</v>
      </c>
      <c r="F1906" s="160" t="s">
        <v>2505</v>
      </c>
      <c r="G1906" s="25" t="s">
        <v>88</v>
      </c>
      <c r="H1906" s="99" t="s">
        <v>2506</v>
      </c>
      <c r="I1906" s="46" t="e">
        <f>VLOOKUP(H1906,'合同高级查询数据-4月返'!A:A,1,FALSE)</f>
        <v>#N/A</v>
      </c>
      <c r="J1906" s="25" t="s">
        <v>90</v>
      </c>
      <c r="K1906" s="106" t="s">
        <v>2507</v>
      </c>
      <c r="L1906" s="107"/>
      <c r="M1906" s="49" t="s">
        <v>2508</v>
      </c>
      <c r="N1906" s="73">
        <v>44705</v>
      </c>
      <c r="O1906" s="107" t="s">
        <v>507</v>
      </c>
      <c r="P1906" s="164">
        <v>3520</v>
      </c>
      <c r="Q1906" s="164">
        <v>16</v>
      </c>
      <c r="R1906" s="118">
        <f t="shared" si="49"/>
        <v>56320</v>
      </c>
      <c r="S1906" s="115">
        <v>202304</v>
      </c>
      <c r="T1906" s="119" t="s">
        <v>2559</v>
      </c>
      <c r="U1906" s="166"/>
      <c r="V1906" s="165"/>
      <c r="W1906" s="165"/>
      <c r="X1906" s="116">
        <v>44423</v>
      </c>
      <c r="Y1906" s="116">
        <v>46279</v>
      </c>
    </row>
    <row r="1907" s="85" customFormat="1" customHeight="1" spans="1:25">
      <c r="A1907" s="160" t="s">
        <v>61</v>
      </c>
      <c r="B1907" s="24" t="s">
        <v>62</v>
      </c>
      <c r="C1907" s="98" t="s">
        <v>238</v>
      </c>
      <c r="D1907" s="24" t="s">
        <v>64</v>
      </c>
      <c r="E1907" s="162" t="s">
        <v>2504</v>
      </c>
      <c r="F1907" s="160" t="s">
        <v>2505</v>
      </c>
      <c r="G1907" s="25" t="s">
        <v>88</v>
      </c>
      <c r="H1907" s="99" t="s">
        <v>2506</v>
      </c>
      <c r="I1907" s="46" t="e">
        <f>VLOOKUP(H1907,'合同高级查询数据-4月返'!A:A,1,FALSE)</f>
        <v>#N/A</v>
      </c>
      <c r="J1907" s="25" t="s">
        <v>90</v>
      </c>
      <c r="K1907" s="106" t="s">
        <v>2507</v>
      </c>
      <c r="L1907" s="107"/>
      <c r="M1907" s="49" t="s">
        <v>2508</v>
      </c>
      <c r="N1907" s="73">
        <v>44705</v>
      </c>
      <c r="O1907" s="107" t="s">
        <v>503</v>
      </c>
      <c r="P1907" s="164">
        <v>1760</v>
      </c>
      <c r="Q1907" s="164">
        <v>2</v>
      </c>
      <c r="R1907" s="118">
        <f t="shared" si="49"/>
        <v>3520</v>
      </c>
      <c r="S1907" s="115">
        <v>202304</v>
      </c>
      <c r="T1907" s="119" t="s">
        <v>2560</v>
      </c>
      <c r="U1907" s="166"/>
      <c r="V1907" s="165"/>
      <c r="W1907" s="165"/>
      <c r="X1907" s="116">
        <v>44423</v>
      </c>
      <c r="Y1907" s="116">
        <v>46279</v>
      </c>
    </row>
    <row r="1908" s="85" customFormat="1" customHeight="1" spans="1:25">
      <c r="A1908" s="160" t="s">
        <v>61</v>
      </c>
      <c r="B1908" s="24" t="s">
        <v>62</v>
      </c>
      <c r="C1908" s="98" t="s">
        <v>238</v>
      </c>
      <c r="D1908" s="24" t="s">
        <v>64</v>
      </c>
      <c r="E1908" s="162" t="s">
        <v>2504</v>
      </c>
      <c r="F1908" s="160" t="s">
        <v>2505</v>
      </c>
      <c r="G1908" s="25" t="s">
        <v>88</v>
      </c>
      <c r="H1908" s="99" t="s">
        <v>2506</v>
      </c>
      <c r="I1908" s="46" t="e">
        <f>VLOOKUP(H1908,'合同高级查询数据-4月返'!A:A,1,FALSE)</f>
        <v>#N/A</v>
      </c>
      <c r="J1908" s="25" t="s">
        <v>90</v>
      </c>
      <c r="K1908" s="106" t="s">
        <v>2507</v>
      </c>
      <c r="L1908" s="107"/>
      <c r="M1908" s="49" t="s">
        <v>2508</v>
      </c>
      <c r="N1908" s="73">
        <v>44713</v>
      </c>
      <c r="O1908" s="107" t="s">
        <v>507</v>
      </c>
      <c r="P1908" s="164">
        <v>3520</v>
      </c>
      <c r="Q1908" s="164">
        <v>142</v>
      </c>
      <c r="R1908" s="118">
        <f t="shared" si="49"/>
        <v>499840</v>
      </c>
      <c r="S1908" s="115">
        <v>202304</v>
      </c>
      <c r="T1908" s="186" t="s">
        <v>2561</v>
      </c>
      <c r="U1908" s="166"/>
      <c r="V1908" s="165"/>
      <c r="W1908" s="165"/>
      <c r="X1908" s="116">
        <v>44423</v>
      </c>
      <c r="Y1908" s="116">
        <v>46279</v>
      </c>
    </row>
    <row r="1909" s="85" customFormat="1" customHeight="1" spans="1:25">
      <c r="A1909" s="160" t="s">
        <v>61</v>
      </c>
      <c r="B1909" s="24" t="s">
        <v>62</v>
      </c>
      <c r="C1909" s="98" t="s">
        <v>238</v>
      </c>
      <c r="D1909" s="24" t="s">
        <v>64</v>
      </c>
      <c r="E1909" s="162" t="s">
        <v>2504</v>
      </c>
      <c r="F1909" s="160" t="s">
        <v>2505</v>
      </c>
      <c r="G1909" s="25" t="s">
        <v>88</v>
      </c>
      <c r="H1909" s="99" t="s">
        <v>2506</v>
      </c>
      <c r="I1909" s="46" t="e">
        <f>VLOOKUP(H1909,'合同高级查询数据-4月返'!A:A,1,FALSE)</f>
        <v>#N/A</v>
      </c>
      <c r="J1909" s="25" t="s">
        <v>90</v>
      </c>
      <c r="K1909" s="106" t="s">
        <v>2507</v>
      </c>
      <c r="L1909" s="107"/>
      <c r="M1909" s="49" t="s">
        <v>2562</v>
      </c>
      <c r="N1909" s="73">
        <v>44719</v>
      </c>
      <c r="O1909" s="107" t="s">
        <v>507</v>
      </c>
      <c r="P1909" s="164">
        <v>3520</v>
      </c>
      <c r="Q1909" s="164">
        <v>7</v>
      </c>
      <c r="R1909" s="118">
        <f t="shared" si="49"/>
        <v>24640</v>
      </c>
      <c r="S1909" s="115">
        <v>202304</v>
      </c>
      <c r="T1909" s="119" t="s">
        <v>2563</v>
      </c>
      <c r="U1909" s="166"/>
      <c r="V1909" s="165"/>
      <c r="W1909" s="165"/>
      <c r="X1909" s="116">
        <v>44423</v>
      </c>
      <c r="Y1909" s="116">
        <v>46279</v>
      </c>
    </row>
    <row r="1910" s="85" customFormat="1" customHeight="1" spans="1:25">
      <c r="A1910" s="160" t="s">
        <v>61</v>
      </c>
      <c r="B1910" s="24" t="s">
        <v>62</v>
      </c>
      <c r="C1910" s="98" t="s">
        <v>238</v>
      </c>
      <c r="D1910" s="24" t="s">
        <v>64</v>
      </c>
      <c r="E1910" s="162" t="s">
        <v>2504</v>
      </c>
      <c r="F1910" s="160" t="s">
        <v>2505</v>
      </c>
      <c r="G1910" s="25" t="s">
        <v>88</v>
      </c>
      <c r="H1910" s="99" t="s">
        <v>2506</v>
      </c>
      <c r="I1910" s="46" t="e">
        <f>VLOOKUP(H1910,'合同高级查询数据-4月返'!A:A,1,FALSE)</f>
        <v>#N/A</v>
      </c>
      <c r="J1910" s="25" t="s">
        <v>90</v>
      </c>
      <c r="K1910" s="106" t="s">
        <v>2507</v>
      </c>
      <c r="L1910" s="107"/>
      <c r="M1910" s="49" t="s">
        <v>2508</v>
      </c>
      <c r="N1910" s="73">
        <v>44720</v>
      </c>
      <c r="O1910" s="107" t="s">
        <v>507</v>
      </c>
      <c r="P1910" s="164">
        <v>3520</v>
      </c>
      <c r="Q1910" s="164">
        <v>6</v>
      </c>
      <c r="R1910" s="118">
        <f t="shared" si="49"/>
        <v>21120</v>
      </c>
      <c r="S1910" s="115">
        <v>202304</v>
      </c>
      <c r="T1910" s="119" t="s">
        <v>2564</v>
      </c>
      <c r="U1910" s="166"/>
      <c r="V1910" s="165"/>
      <c r="W1910" s="165"/>
      <c r="X1910" s="116">
        <v>44423</v>
      </c>
      <c r="Y1910" s="116">
        <v>46279</v>
      </c>
    </row>
    <row r="1911" s="85" customFormat="1" customHeight="1" spans="1:25">
      <c r="A1911" s="160" t="s">
        <v>61</v>
      </c>
      <c r="B1911" s="24" t="s">
        <v>62</v>
      </c>
      <c r="C1911" s="98" t="s">
        <v>238</v>
      </c>
      <c r="D1911" s="24" t="s">
        <v>64</v>
      </c>
      <c r="E1911" s="162" t="s">
        <v>2504</v>
      </c>
      <c r="F1911" s="160" t="s">
        <v>2505</v>
      </c>
      <c r="G1911" s="25" t="s">
        <v>88</v>
      </c>
      <c r="H1911" s="99" t="s">
        <v>2506</v>
      </c>
      <c r="I1911" s="46" t="e">
        <f>VLOOKUP(H1911,'合同高级查询数据-4月返'!A:A,1,FALSE)</f>
        <v>#N/A</v>
      </c>
      <c r="J1911" s="25" t="s">
        <v>90</v>
      </c>
      <c r="K1911" s="106" t="s">
        <v>2507</v>
      </c>
      <c r="L1911" s="107"/>
      <c r="M1911" s="49" t="s">
        <v>2508</v>
      </c>
      <c r="N1911" s="73">
        <v>44721</v>
      </c>
      <c r="O1911" s="107" t="s">
        <v>507</v>
      </c>
      <c r="P1911" s="164">
        <v>3520</v>
      </c>
      <c r="Q1911" s="164">
        <v>10</v>
      </c>
      <c r="R1911" s="118">
        <f t="shared" si="49"/>
        <v>35200</v>
      </c>
      <c r="S1911" s="115">
        <v>202304</v>
      </c>
      <c r="T1911" s="119" t="s">
        <v>2565</v>
      </c>
      <c r="U1911" s="166"/>
      <c r="V1911" s="165"/>
      <c r="W1911" s="165"/>
      <c r="X1911" s="116">
        <v>44423</v>
      </c>
      <c r="Y1911" s="116">
        <v>46279</v>
      </c>
    </row>
    <row r="1912" s="85" customFormat="1" customHeight="1" spans="1:25">
      <c r="A1912" s="160" t="s">
        <v>61</v>
      </c>
      <c r="B1912" s="24" t="s">
        <v>62</v>
      </c>
      <c r="C1912" s="98" t="s">
        <v>238</v>
      </c>
      <c r="D1912" s="24" t="s">
        <v>64</v>
      </c>
      <c r="E1912" s="162" t="s">
        <v>2504</v>
      </c>
      <c r="F1912" s="160" t="s">
        <v>2505</v>
      </c>
      <c r="G1912" s="25" t="s">
        <v>88</v>
      </c>
      <c r="H1912" s="99" t="s">
        <v>2506</v>
      </c>
      <c r="I1912" s="46" t="e">
        <f>VLOOKUP(H1912,'合同高级查询数据-4月返'!A:A,1,FALSE)</f>
        <v>#N/A</v>
      </c>
      <c r="J1912" s="25" t="s">
        <v>90</v>
      </c>
      <c r="K1912" s="106" t="s">
        <v>2507</v>
      </c>
      <c r="L1912" s="107"/>
      <c r="M1912" s="49" t="s">
        <v>2562</v>
      </c>
      <c r="N1912" s="73">
        <v>44725</v>
      </c>
      <c r="O1912" s="107" t="s">
        <v>507</v>
      </c>
      <c r="P1912" s="164">
        <v>3520</v>
      </c>
      <c r="Q1912" s="164">
        <v>5</v>
      </c>
      <c r="R1912" s="118">
        <f t="shared" si="49"/>
        <v>17600</v>
      </c>
      <c r="S1912" s="115">
        <v>202304</v>
      </c>
      <c r="T1912" s="119" t="s">
        <v>2566</v>
      </c>
      <c r="U1912" s="166"/>
      <c r="V1912" s="165"/>
      <c r="W1912" s="165"/>
      <c r="X1912" s="116">
        <v>44423</v>
      </c>
      <c r="Y1912" s="116">
        <v>46279</v>
      </c>
    </row>
    <row r="1913" s="85" customFormat="1" customHeight="1" spans="1:25">
      <c r="A1913" s="160" t="s">
        <v>61</v>
      </c>
      <c r="B1913" s="24" t="s">
        <v>62</v>
      </c>
      <c r="C1913" s="98" t="s">
        <v>238</v>
      </c>
      <c r="D1913" s="24" t="s">
        <v>64</v>
      </c>
      <c r="E1913" s="162" t="s">
        <v>2504</v>
      </c>
      <c r="F1913" s="160" t="s">
        <v>2505</v>
      </c>
      <c r="G1913" s="25" t="s">
        <v>88</v>
      </c>
      <c r="H1913" s="99" t="s">
        <v>2506</v>
      </c>
      <c r="I1913" s="46" t="e">
        <f>VLOOKUP(H1913,'合同高级查询数据-4月返'!A:A,1,FALSE)</f>
        <v>#N/A</v>
      </c>
      <c r="J1913" s="25" t="s">
        <v>90</v>
      </c>
      <c r="K1913" s="106" t="s">
        <v>2507</v>
      </c>
      <c r="L1913" s="107"/>
      <c r="M1913" s="49" t="s">
        <v>2508</v>
      </c>
      <c r="N1913" s="73">
        <v>44736</v>
      </c>
      <c r="O1913" s="107" t="s">
        <v>507</v>
      </c>
      <c r="P1913" s="164">
        <v>3520</v>
      </c>
      <c r="Q1913" s="164">
        <v>9</v>
      </c>
      <c r="R1913" s="118">
        <f t="shared" si="49"/>
        <v>31680</v>
      </c>
      <c r="S1913" s="115">
        <v>202304</v>
      </c>
      <c r="T1913" s="119" t="s">
        <v>2567</v>
      </c>
      <c r="U1913" s="166"/>
      <c r="V1913" s="165"/>
      <c r="W1913" s="165"/>
      <c r="X1913" s="116">
        <v>44423</v>
      </c>
      <c r="Y1913" s="116">
        <v>46279</v>
      </c>
    </row>
    <row r="1914" s="85" customFormat="1" customHeight="1" spans="1:25">
      <c r="A1914" s="160" t="s">
        <v>61</v>
      </c>
      <c r="B1914" s="24" t="s">
        <v>62</v>
      </c>
      <c r="C1914" s="98" t="s">
        <v>238</v>
      </c>
      <c r="D1914" s="24" t="s">
        <v>64</v>
      </c>
      <c r="E1914" s="162" t="s">
        <v>2504</v>
      </c>
      <c r="F1914" s="160" t="s">
        <v>2505</v>
      </c>
      <c r="G1914" s="25" t="s">
        <v>88</v>
      </c>
      <c r="H1914" s="99" t="s">
        <v>2506</v>
      </c>
      <c r="I1914" s="46" t="e">
        <f>VLOOKUP(H1914,'合同高级查询数据-4月返'!A:A,1,FALSE)</f>
        <v>#N/A</v>
      </c>
      <c r="J1914" s="25" t="s">
        <v>90</v>
      </c>
      <c r="K1914" s="106" t="s">
        <v>2507</v>
      </c>
      <c r="L1914" s="107"/>
      <c r="M1914" s="49" t="s">
        <v>2508</v>
      </c>
      <c r="N1914" s="73">
        <v>44741</v>
      </c>
      <c r="O1914" s="107" t="s">
        <v>507</v>
      </c>
      <c r="P1914" s="164">
        <v>3520</v>
      </c>
      <c r="Q1914" s="164">
        <v>15</v>
      </c>
      <c r="R1914" s="118">
        <f t="shared" si="49"/>
        <v>52800</v>
      </c>
      <c r="S1914" s="115">
        <v>202304</v>
      </c>
      <c r="T1914" s="119" t="s">
        <v>2568</v>
      </c>
      <c r="U1914" s="166"/>
      <c r="V1914" s="165"/>
      <c r="W1914" s="165"/>
      <c r="X1914" s="116">
        <v>44423</v>
      </c>
      <c r="Y1914" s="116">
        <v>46279</v>
      </c>
    </row>
    <row r="1915" s="85" customFormat="1" customHeight="1" spans="1:25">
      <c r="A1915" s="160" t="s">
        <v>61</v>
      </c>
      <c r="B1915" s="24" t="s">
        <v>62</v>
      </c>
      <c r="C1915" s="98" t="s">
        <v>238</v>
      </c>
      <c r="D1915" s="24" t="s">
        <v>64</v>
      </c>
      <c r="E1915" s="162" t="s">
        <v>2504</v>
      </c>
      <c r="F1915" s="160" t="s">
        <v>2505</v>
      </c>
      <c r="G1915" s="25" t="s">
        <v>88</v>
      </c>
      <c r="H1915" s="99" t="s">
        <v>2506</v>
      </c>
      <c r="I1915" s="46" t="e">
        <f>VLOOKUP(H1915,'合同高级查询数据-4月返'!A:A,1,FALSE)</f>
        <v>#N/A</v>
      </c>
      <c r="J1915" s="25" t="s">
        <v>90</v>
      </c>
      <c r="K1915" s="106" t="s">
        <v>2507</v>
      </c>
      <c r="L1915" s="107"/>
      <c r="M1915" s="49" t="s">
        <v>2508</v>
      </c>
      <c r="N1915" s="73">
        <v>44742</v>
      </c>
      <c r="O1915" s="107" t="s">
        <v>507</v>
      </c>
      <c r="P1915" s="164">
        <v>3520</v>
      </c>
      <c r="Q1915" s="164">
        <v>2</v>
      </c>
      <c r="R1915" s="118">
        <f t="shared" si="49"/>
        <v>7040</v>
      </c>
      <c r="S1915" s="115">
        <v>202304</v>
      </c>
      <c r="T1915" s="119" t="s">
        <v>2569</v>
      </c>
      <c r="U1915" s="166"/>
      <c r="V1915" s="165"/>
      <c r="W1915" s="165"/>
      <c r="X1915" s="116">
        <v>44423</v>
      </c>
      <c r="Y1915" s="116">
        <v>46279</v>
      </c>
    </row>
    <row r="1916" s="85" customFormat="1" customHeight="1" spans="1:25">
      <c r="A1916" s="160" t="s">
        <v>61</v>
      </c>
      <c r="B1916" s="24" t="s">
        <v>62</v>
      </c>
      <c r="C1916" s="98" t="s">
        <v>238</v>
      </c>
      <c r="D1916" s="24" t="s">
        <v>64</v>
      </c>
      <c r="E1916" s="162" t="s">
        <v>2504</v>
      </c>
      <c r="F1916" s="160" t="s">
        <v>2505</v>
      </c>
      <c r="G1916" s="25" t="s">
        <v>88</v>
      </c>
      <c r="H1916" s="99" t="s">
        <v>2506</v>
      </c>
      <c r="I1916" s="46" t="e">
        <f>VLOOKUP(H1916,'合同高级查询数据-4月返'!A:A,1,FALSE)</f>
        <v>#N/A</v>
      </c>
      <c r="J1916" s="25" t="s">
        <v>90</v>
      </c>
      <c r="K1916" s="106" t="s">
        <v>2507</v>
      </c>
      <c r="L1916" s="107"/>
      <c r="M1916" s="49" t="s">
        <v>2508</v>
      </c>
      <c r="N1916" s="73">
        <v>44745</v>
      </c>
      <c r="O1916" s="107" t="s">
        <v>507</v>
      </c>
      <c r="P1916" s="164">
        <v>3520</v>
      </c>
      <c r="Q1916" s="164">
        <v>5</v>
      </c>
      <c r="R1916" s="118">
        <f t="shared" si="49"/>
        <v>17600</v>
      </c>
      <c r="S1916" s="115">
        <v>202304</v>
      </c>
      <c r="T1916" s="119" t="s">
        <v>2570</v>
      </c>
      <c r="U1916" s="166"/>
      <c r="V1916" s="165"/>
      <c r="W1916" s="165"/>
      <c r="X1916" s="116">
        <v>44423</v>
      </c>
      <c r="Y1916" s="116">
        <v>46279</v>
      </c>
    </row>
    <row r="1917" s="85" customFormat="1" customHeight="1" spans="1:25">
      <c r="A1917" s="160" t="s">
        <v>61</v>
      </c>
      <c r="B1917" s="24" t="s">
        <v>62</v>
      </c>
      <c r="C1917" s="98" t="s">
        <v>238</v>
      </c>
      <c r="D1917" s="24" t="s">
        <v>64</v>
      </c>
      <c r="E1917" s="162" t="s">
        <v>2504</v>
      </c>
      <c r="F1917" s="160" t="s">
        <v>2505</v>
      </c>
      <c r="G1917" s="25" t="s">
        <v>88</v>
      </c>
      <c r="H1917" s="99" t="s">
        <v>2506</v>
      </c>
      <c r="I1917" s="46" t="e">
        <f>VLOOKUP(H1917,'合同高级查询数据-4月返'!A:A,1,FALSE)</f>
        <v>#N/A</v>
      </c>
      <c r="J1917" s="25" t="s">
        <v>90</v>
      </c>
      <c r="K1917" s="106" t="s">
        <v>2507</v>
      </c>
      <c r="L1917" s="107"/>
      <c r="M1917" s="49" t="s">
        <v>2508</v>
      </c>
      <c r="N1917" s="73">
        <v>44762</v>
      </c>
      <c r="O1917" s="107" t="s">
        <v>507</v>
      </c>
      <c r="P1917" s="164">
        <v>3520</v>
      </c>
      <c r="Q1917" s="164">
        <v>5</v>
      </c>
      <c r="R1917" s="118">
        <f t="shared" si="49"/>
        <v>17600</v>
      </c>
      <c r="S1917" s="115">
        <v>202304</v>
      </c>
      <c r="T1917" s="119" t="s">
        <v>2571</v>
      </c>
      <c r="U1917" s="166"/>
      <c r="V1917" s="165"/>
      <c r="W1917" s="165"/>
      <c r="X1917" s="116">
        <v>44423</v>
      </c>
      <c r="Y1917" s="116">
        <v>46279</v>
      </c>
    </row>
    <row r="1918" s="85" customFormat="1" customHeight="1" spans="1:25">
      <c r="A1918" s="160" t="s">
        <v>61</v>
      </c>
      <c r="B1918" s="24" t="s">
        <v>62</v>
      </c>
      <c r="C1918" s="98" t="s">
        <v>238</v>
      </c>
      <c r="D1918" s="24" t="s">
        <v>64</v>
      </c>
      <c r="E1918" s="162" t="s">
        <v>2504</v>
      </c>
      <c r="F1918" s="160" t="s">
        <v>2505</v>
      </c>
      <c r="G1918" s="25" t="s">
        <v>88</v>
      </c>
      <c r="H1918" s="99" t="s">
        <v>2506</v>
      </c>
      <c r="I1918" s="46" t="e">
        <f>VLOOKUP(H1918,'合同高级查询数据-4月返'!A:A,1,FALSE)</f>
        <v>#N/A</v>
      </c>
      <c r="J1918" s="25" t="s">
        <v>90</v>
      </c>
      <c r="K1918" s="106" t="s">
        <v>2507</v>
      </c>
      <c r="L1918" s="107"/>
      <c r="M1918" s="49" t="s">
        <v>2508</v>
      </c>
      <c r="N1918" s="73">
        <v>44768</v>
      </c>
      <c r="O1918" s="107" t="s">
        <v>507</v>
      </c>
      <c r="P1918" s="164">
        <v>3520</v>
      </c>
      <c r="Q1918" s="164">
        <v>-123</v>
      </c>
      <c r="R1918" s="118">
        <f t="shared" si="49"/>
        <v>-432960</v>
      </c>
      <c r="S1918" s="115">
        <v>202304</v>
      </c>
      <c r="T1918" s="119" t="s">
        <v>2572</v>
      </c>
      <c r="U1918" s="166"/>
      <c r="V1918" s="165"/>
      <c r="W1918" s="165"/>
      <c r="X1918" s="116">
        <v>44423</v>
      </c>
      <c r="Y1918" s="116">
        <v>46279</v>
      </c>
    </row>
    <row r="1919" s="85" customFormat="1" customHeight="1" spans="1:25">
      <c r="A1919" s="160" t="s">
        <v>61</v>
      </c>
      <c r="B1919" s="24" t="s">
        <v>62</v>
      </c>
      <c r="C1919" s="98" t="s">
        <v>238</v>
      </c>
      <c r="D1919" s="24" t="s">
        <v>64</v>
      </c>
      <c r="E1919" s="162" t="s">
        <v>2504</v>
      </c>
      <c r="F1919" s="160" t="s">
        <v>2505</v>
      </c>
      <c r="G1919" s="25" t="s">
        <v>88</v>
      </c>
      <c r="H1919" s="99" t="s">
        <v>2506</v>
      </c>
      <c r="I1919" s="46" t="e">
        <f>VLOOKUP(H1919,'合同高级查询数据-4月返'!A:A,1,FALSE)</f>
        <v>#N/A</v>
      </c>
      <c r="J1919" s="25" t="s">
        <v>90</v>
      </c>
      <c r="K1919" s="106" t="s">
        <v>2507</v>
      </c>
      <c r="L1919" s="107"/>
      <c r="M1919" s="49" t="s">
        <v>2508</v>
      </c>
      <c r="N1919" s="73">
        <v>44798</v>
      </c>
      <c r="O1919" s="107" t="s">
        <v>503</v>
      </c>
      <c r="P1919" s="164">
        <v>1760</v>
      </c>
      <c r="Q1919" s="164">
        <v>2</v>
      </c>
      <c r="R1919" s="118">
        <f t="shared" si="49"/>
        <v>3520</v>
      </c>
      <c r="S1919" s="115">
        <v>202304</v>
      </c>
      <c r="T1919" s="119" t="s">
        <v>2573</v>
      </c>
      <c r="U1919" s="166"/>
      <c r="V1919" s="165"/>
      <c r="W1919" s="165"/>
      <c r="X1919" s="116">
        <v>44423</v>
      </c>
      <c r="Y1919" s="116">
        <v>46279</v>
      </c>
    </row>
    <row r="1920" s="85" customFormat="1" customHeight="1" spans="1:25">
      <c r="A1920" s="160" t="s">
        <v>61</v>
      </c>
      <c r="B1920" s="24" t="s">
        <v>62</v>
      </c>
      <c r="C1920" s="98" t="s">
        <v>238</v>
      </c>
      <c r="D1920" s="24" t="s">
        <v>64</v>
      </c>
      <c r="E1920" s="162" t="s">
        <v>2504</v>
      </c>
      <c r="F1920" s="160" t="s">
        <v>2505</v>
      </c>
      <c r="G1920" s="25" t="s">
        <v>88</v>
      </c>
      <c r="H1920" s="99" t="s">
        <v>2506</v>
      </c>
      <c r="I1920" s="46" t="e">
        <f>VLOOKUP(H1920,'合同高级查询数据-4月返'!A:A,1,FALSE)</f>
        <v>#N/A</v>
      </c>
      <c r="J1920" s="25" t="s">
        <v>90</v>
      </c>
      <c r="K1920" s="106" t="s">
        <v>2507</v>
      </c>
      <c r="L1920" s="107"/>
      <c r="M1920" s="49" t="s">
        <v>2508</v>
      </c>
      <c r="N1920" s="73">
        <v>44783</v>
      </c>
      <c r="O1920" s="107" t="s">
        <v>507</v>
      </c>
      <c r="P1920" s="164">
        <v>3520</v>
      </c>
      <c r="Q1920" s="164">
        <v>2</v>
      </c>
      <c r="R1920" s="118">
        <f t="shared" si="49"/>
        <v>7040</v>
      </c>
      <c r="S1920" s="115">
        <v>202304</v>
      </c>
      <c r="T1920" s="119" t="s">
        <v>2574</v>
      </c>
      <c r="U1920" s="166"/>
      <c r="V1920" s="165"/>
      <c r="W1920" s="165"/>
      <c r="X1920" s="116">
        <v>44423</v>
      </c>
      <c r="Y1920" s="116">
        <v>46279</v>
      </c>
    </row>
    <row r="1921" s="85" customFormat="1" customHeight="1" spans="1:25">
      <c r="A1921" s="160" t="s">
        <v>61</v>
      </c>
      <c r="B1921" s="24" t="s">
        <v>62</v>
      </c>
      <c r="C1921" s="98" t="s">
        <v>238</v>
      </c>
      <c r="D1921" s="24" t="s">
        <v>64</v>
      </c>
      <c r="E1921" s="162" t="s">
        <v>2504</v>
      </c>
      <c r="F1921" s="160" t="s">
        <v>2505</v>
      </c>
      <c r="G1921" s="25" t="s">
        <v>88</v>
      </c>
      <c r="H1921" s="99" t="s">
        <v>2506</v>
      </c>
      <c r="I1921" s="46" t="e">
        <f>VLOOKUP(H1921,'合同高级查询数据-4月返'!A:A,1,FALSE)</f>
        <v>#N/A</v>
      </c>
      <c r="J1921" s="25" t="s">
        <v>90</v>
      </c>
      <c r="K1921" s="106" t="s">
        <v>2507</v>
      </c>
      <c r="L1921" s="107"/>
      <c r="M1921" s="49" t="s">
        <v>2508</v>
      </c>
      <c r="N1921" s="73">
        <v>44785</v>
      </c>
      <c r="O1921" s="107" t="s">
        <v>507</v>
      </c>
      <c r="P1921" s="164">
        <v>3520</v>
      </c>
      <c r="Q1921" s="164">
        <v>2</v>
      </c>
      <c r="R1921" s="118">
        <f t="shared" ref="R1921:R1946" si="50">ROUND(P1921*Q1921,2)</f>
        <v>7040</v>
      </c>
      <c r="S1921" s="115">
        <v>202304</v>
      </c>
      <c r="T1921" s="119" t="s">
        <v>2575</v>
      </c>
      <c r="U1921" s="166"/>
      <c r="V1921" s="165"/>
      <c r="W1921" s="165"/>
      <c r="X1921" s="116">
        <v>44423</v>
      </c>
      <c r="Y1921" s="116">
        <v>46279</v>
      </c>
    </row>
    <row r="1922" s="85" customFormat="1" customHeight="1" spans="1:25">
      <c r="A1922" s="160" t="s">
        <v>61</v>
      </c>
      <c r="B1922" s="24" t="s">
        <v>62</v>
      </c>
      <c r="C1922" s="98" t="s">
        <v>238</v>
      </c>
      <c r="D1922" s="24" t="s">
        <v>64</v>
      </c>
      <c r="E1922" s="162" t="s">
        <v>2504</v>
      </c>
      <c r="F1922" s="160" t="s">
        <v>2505</v>
      </c>
      <c r="G1922" s="25" t="s">
        <v>88</v>
      </c>
      <c r="H1922" s="99" t="s">
        <v>2506</v>
      </c>
      <c r="I1922" s="46" t="e">
        <f>VLOOKUP(H1922,'合同高级查询数据-4月返'!A:A,1,FALSE)</f>
        <v>#N/A</v>
      </c>
      <c r="J1922" s="25" t="s">
        <v>90</v>
      </c>
      <c r="K1922" s="106" t="s">
        <v>2507</v>
      </c>
      <c r="L1922" s="107"/>
      <c r="M1922" s="49" t="s">
        <v>2508</v>
      </c>
      <c r="N1922" s="73">
        <v>44789</v>
      </c>
      <c r="O1922" s="107" t="s">
        <v>507</v>
      </c>
      <c r="P1922" s="164">
        <v>3520</v>
      </c>
      <c r="Q1922" s="164">
        <v>2</v>
      </c>
      <c r="R1922" s="118">
        <f t="shared" si="50"/>
        <v>7040</v>
      </c>
      <c r="S1922" s="115">
        <v>202304</v>
      </c>
      <c r="T1922" s="119" t="s">
        <v>2576</v>
      </c>
      <c r="U1922" s="166"/>
      <c r="V1922" s="165"/>
      <c r="W1922" s="165"/>
      <c r="X1922" s="116">
        <v>44423</v>
      </c>
      <c r="Y1922" s="116">
        <v>46279</v>
      </c>
    </row>
    <row r="1923" s="85" customFormat="1" customHeight="1" spans="1:25">
      <c r="A1923" s="160" t="s">
        <v>61</v>
      </c>
      <c r="B1923" s="24" t="s">
        <v>62</v>
      </c>
      <c r="C1923" s="98" t="s">
        <v>238</v>
      </c>
      <c r="D1923" s="24" t="s">
        <v>64</v>
      </c>
      <c r="E1923" s="162" t="s">
        <v>2504</v>
      </c>
      <c r="F1923" s="160" t="s">
        <v>2505</v>
      </c>
      <c r="G1923" s="25" t="s">
        <v>88</v>
      </c>
      <c r="H1923" s="99" t="s">
        <v>2506</v>
      </c>
      <c r="I1923" s="46" t="e">
        <f>VLOOKUP(H1923,'合同高级查询数据-4月返'!A:A,1,FALSE)</f>
        <v>#N/A</v>
      </c>
      <c r="J1923" s="25" t="s">
        <v>90</v>
      </c>
      <c r="K1923" s="106" t="s">
        <v>2507</v>
      </c>
      <c r="L1923" s="107"/>
      <c r="M1923" s="49" t="s">
        <v>2508</v>
      </c>
      <c r="N1923" s="73">
        <v>44797</v>
      </c>
      <c r="O1923" s="107" t="s">
        <v>507</v>
      </c>
      <c r="P1923" s="164">
        <v>3520</v>
      </c>
      <c r="Q1923" s="164">
        <v>9</v>
      </c>
      <c r="R1923" s="118">
        <f t="shared" si="50"/>
        <v>31680</v>
      </c>
      <c r="S1923" s="115">
        <v>202304</v>
      </c>
      <c r="T1923" s="119" t="s">
        <v>2577</v>
      </c>
      <c r="U1923" s="166"/>
      <c r="V1923" s="165"/>
      <c r="W1923" s="165"/>
      <c r="X1923" s="116">
        <v>44423</v>
      </c>
      <c r="Y1923" s="116">
        <v>46279</v>
      </c>
    </row>
    <row r="1924" s="85" customFormat="1" customHeight="1" spans="1:25">
      <c r="A1924" s="160" t="s">
        <v>61</v>
      </c>
      <c r="B1924" s="24" t="s">
        <v>62</v>
      </c>
      <c r="C1924" s="98" t="s">
        <v>238</v>
      </c>
      <c r="D1924" s="24" t="s">
        <v>64</v>
      </c>
      <c r="E1924" s="162" t="s">
        <v>2504</v>
      </c>
      <c r="F1924" s="160" t="s">
        <v>2505</v>
      </c>
      <c r="G1924" s="25" t="s">
        <v>88</v>
      </c>
      <c r="H1924" s="99" t="s">
        <v>2506</v>
      </c>
      <c r="I1924" s="46" t="e">
        <f>VLOOKUP(H1924,'合同高级查询数据-4月返'!A:A,1,FALSE)</f>
        <v>#N/A</v>
      </c>
      <c r="J1924" s="25" t="s">
        <v>90</v>
      </c>
      <c r="K1924" s="106" t="s">
        <v>2507</v>
      </c>
      <c r="L1924" s="107"/>
      <c r="M1924" s="49" t="s">
        <v>2508</v>
      </c>
      <c r="N1924" s="73">
        <v>44798</v>
      </c>
      <c r="O1924" s="107" t="s">
        <v>507</v>
      </c>
      <c r="P1924" s="164">
        <v>3520</v>
      </c>
      <c r="Q1924" s="164">
        <v>10</v>
      </c>
      <c r="R1924" s="118">
        <f t="shared" si="50"/>
        <v>35200</v>
      </c>
      <c r="S1924" s="115">
        <v>202304</v>
      </c>
      <c r="T1924" s="119" t="s">
        <v>2578</v>
      </c>
      <c r="U1924" s="166"/>
      <c r="V1924" s="165"/>
      <c r="W1924" s="165"/>
      <c r="X1924" s="116">
        <v>44423</v>
      </c>
      <c r="Y1924" s="116">
        <v>46279</v>
      </c>
    </row>
    <row r="1925" s="85" customFormat="1" customHeight="1" spans="1:25">
      <c r="A1925" s="160" t="s">
        <v>61</v>
      </c>
      <c r="B1925" s="24" t="s">
        <v>62</v>
      </c>
      <c r="C1925" s="98" t="s">
        <v>238</v>
      </c>
      <c r="D1925" s="24" t="s">
        <v>64</v>
      </c>
      <c r="E1925" s="162" t="s">
        <v>2504</v>
      </c>
      <c r="F1925" s="160" t="s">
        <v>2505</v>
      </c>
      <c r="G1925" s="25" t="s">
        <v>88</v>
      </c>
      <c r="H1925" s="99" t="s">
        <v>2506</v>
      </c>
      <c r="I1925" s="46" t="e">
        <f>VLOOKUP(H1925,'合同高级查询数据-4月返'!A:A,1,FALSE)</f>
        <v>#N/A</v>
      </c>
      <c r="J1925" s="25" t="s">
        <v>90</v>
      </c>
      <c r="K1925" s="106" t="s">
        <v>2507</v>
      </c>
      <c r="L1925" s="107"/>
      <c r="M1925" s="49" t="s">
        <v>2508</v>
      </c>
      <c r="N1925" s="73">
        <v>44799</v>
      </c>
      <c r="O1925" s="107" t="s">
        <v>507</v>
      </c>
      <c r="P1925" s="164">
        <v>3520</v>
      </c>
      <c r="Q1925" s="164">
        <v>32</v>
      </c>
      <c r="R1925" s="118">
        <f t="shared" si="50"/>
        <v>112640</v>
      </c>
      <c r="S1925" s="115">
        <v>202304</v>
      </c>
      <c r="T1925" s="119" t="s">
        <v>2579</v>
      </c>
      <c r="U1925" s="166"/>
      <c r="V1925" s="165"/>
      <c r="W1925" s="165"/>
      <c r="X1925" s="116">
        <v>44423</v>
      </c>
      <c r="Y1925" s="116">
        <v>46279</v>
      </c>
    </row>
    <row r="1926" s="85" customFormat="1" customHeight="1" spans="1:25">
      <c r="A1926" s="160" t="s">
        <v>61</v>
      </c>
      <c r="B1926" s="24" t="s">
        <v>62</v>
      </c>
      <c r="C1926" s="98" t="s">
        <v>238</v>
      </c>
      <c r="D1926" s="24" t="s">
        <v>64</v>
      </c>
      <c r="E1926" s="162" t="s">
        <v>2504</v>
      </c>
      <c r="F1926" s="160" t="s">
        <v>2505</v>
      </c>
      <c r="G1926" s="25" t="s">
        <v>88</v>
      </c>
      <c r="H1926" s="99" t="s">
        <v>2506</v>
      </c>
      <c r="I1926" s="46" t="e">
        <f>VLOOKUP(H1926,'合同高级查询数据-4月返'!A:A,1,FALSE)</f>
        <v>#N/A</v>
      </c>
      <c r="J1926" s="25" t="s">
        <v>90</v>
      </c>
      <c r="K1926" s="106" t="s">
        <v>2507</v>
      </c>
      <c r="L1926" s="107"/>
      <c r="M1926" s="49" t="s">
        <v>2508</v>
      </c>
      <c r="N1926" s="73">
        <v>44801</v>
      </c>
      <c r="O1926" s="107" t="s">
        <v>507</v>
      </c>
      <c r="P1926" s="164">
        <v>3520</v>
      </c>
      <c r="Q1926" s="164">
        <v>62</v>
      </c>
      <c r="R1926" s="118">
        <f t="shared" si="50"/>
        <v>218240</v>
      </c>
      <c r="S1926" s="115">
        <v>202304</v>
      </c>
      <c r="T1926" s="119" t="s">
        <v>2580</v>
      </c>
      <c r="U1926" s="166"/>
      <c r="V1926" s="165"/>
      <c r="W1926" s="165"/>
      <c r="X1926" s="116">
        <v>44423</v>
      </c>
      <c r="Y1926" s="116">
        <v>46279</v>
      </c>
    </row>
    <row r="1927" s="85" customFormat="1" customHeight="1" spans="1:25">
      <c r="A1927" s="160" t="s">
        <v>61</v>
      </c>
      <c r="B1927" s="24" t="s">
        <v>62</v>
      </c>
      <c r="C1927" s="98" t="s">
        <v>238</v>
      </c>
      <c r="D1927" s="24" t="s">
        <v>64</v>
      </c>
      <c r="E1927" s="162" t="s">
        <v>2504</v>
      </c>
      <c r="F1927" s="160" t="s">
        <v>2505</v>
      </c>
      <c r="G1927" s="25" t="s">
        <v>88</v>
      </c>
      <c r="H1927" s="99" t="s">
        <v>2506</v>
      </c>
      <c r="I1927" s="46" t="e">
        <f>VLOOKUP(H1927,'合同高级查询数据-4月返'!A:A,1,FALSE)</f>
        <v>#N/A</v>
      </c>
      <c r="J1927" s="25" t="s">
        <v>90</v>
      </c>
      <c r="K1927" s="106" t="s">
        <v>2507</v>
      </c>
      <c r="L1927" s="107"/>
      <c r="M1927" s="49" t="s">
        <v>2508</v>
      </c>
      <c r="N1927" s="73">
        <v>44802</v>
      </c>
      <c r="O1927" s="107" t="s">
        <v>507</v>
      </c>
      <c r="P1927" s="164">
        <v>3520</v>
      </c>
      <c r="Q1927" s="164">
        <v>6</v>
      </c>
      <c r="R1927" s="118">
        <f t="shared" si="50"/>
        <v>21120</v>
      </c>
      <c r="S1927" s="115">
        <v>202304</v>
      </c>
      <c r="T1927" s="119" t="s">
        <v>2581</v>
      </c>
      <c r="U1927" s="166"/>
      <c r="V1927" s="165"/>
      <c r="W1927" s="165"/>
      <c r="X1927" s="116">
        <v>44423</v>
      </c>
      <c r="Y1927" s="116">
        <v>46279</v>
      </c>
    </row>
    <row r="1928" s="85" customFormat="1" customHeight="1" spans="1:25">
      <c r="A1928" s="160" t="s">
        <v>61</v>
      </c>
      <c r="B1928" s="24" t="s">
        <v>62</v>
      </c>
      <c r="C1928" s="98" t="s">
        <v>238</v>
      </c>
      <c r="D1928" s="24" t="s">
        <v>64</v>
      </c>
      <c r="E1928" s="162" t="s">
        <v>2504</v>
      </c>
      <c r="F1928" s="160" t="s">
        <v>2505</v>
      </c>
      <c r="G1928" s="25" t="s">
        <v>88</v>
      </c>
      <c r="H1928" s="99" t="s">
        <v>2506</v>
      </c>
      <c r="I1928" s="46" t="e">
        <f>VLOOKUP(H1928,'合同高级查询数据-4月返'!A:A,1,FALSE)</f>
        <v>#N/A</v>
      </c>
      <c r="J1928" s="25" t="s">
        <v>90</v>
      </c>
      <c r="K1928" s="106" t="s">
        <v>2507</v>
      </c>
      <c r="L1928" s="107"/>
      <c r="M1928" s="49" t="s">
        <v>2508</v>
      </c>
      <c r="N1928" s="73">
        <v>44804</v>
      </c>
      <c r="O1928" s="107" t="s">
        <v>507</v>
      </c>
      <c r="P1928" s="164">
        <v>3520</v>
      </c>
      <c r="Q1928" s="164">
        <v>62</v>
      </c>
      <c r="R1928" s="118">
        <f t="shared" si="50"/>
        <v>218240</v>
      </c>
      <c r="S1928" s="115">
        <v>202304</v>
      </c>
      <c r="T1928" s="119" t="s">
        <v>2582</v>
      </c>
      <c r="U1928" s="166"/>
      <c r="V1928" s="165"/>
      <c r="W1928" s="165"/>
      <c r="X1928" s="116">
        <v>44423</v>
      </c>
      <c r="Y1928" s="116">
        <v>46279</v>
      </c>
    </row>
    <row r="1929" s="85" customFormat="1" customHeight="1" spans="1:25">
      <c r="A1929" s="160" t="s">
        <v>61</v>
      </c>
      <c r="B1929" s="24" t="s">
        <v>62</v>
      </c>
      <c r="C1929" s="98" t="s">
        <v>238</v>
      </c>
      <c r="D1929" s="24" t="s">
        <v>64</v>
      </c>
      <c r="E1929" s="162" t="s">
        <v>2504</v>
      </c>
      <c r="F1929" s="160" t="s">
        <v>2505</v>
      </c>
      <c r="G1929" s="25" t="s">
        <v>88</v>
      </c>
      <c r="H1929" s="99" t="s">
        <v>2506</v>
      </c>
      <c r="I1929" s="46" t="e">
        <f>VLOOKUP(H1929,'合同高级查询数据-4月返'!A:A,1,FALSE)</f>
        <v>#N/A</v>
      </c>
      <c r="J1929" s="25" t="s">
        <v>90</v>
      </c>
      <c r="K1929" s="106" t="s">
        <v>2507</v>
      </c>
      <c r="L1929" s="107"/>
      <c r="M1929" s="49" t="s">
        <v>2508</v>
      </c>
      <c r="N1929" s="73">
        <v>44809</v>
      </c>
      <c r="O1929" s="107" t="s">
        <v>507</v>
      </c>
      <c r="P1929" s="164">
        <v>3520</v>
      </c>
      <c r="Q1929" s="164">
        <v>93</v>
      </c>
      <c r="R1929" s="118">
        <f t="shared" si="50"/>
        <v>327360</v>
      </c>
      <c r="S1929" s="115">
        <v>202304</v>
      </c>
      <c r="T1929" s="119" t="s">
        <v>2583</v>
      </c>
      <c r="U1929" s="166"/>
      <c r="V1929" s="165"/>
      <c r="W1929" s="165"/>
      <c r="X1929" s="116">
        <v>44423</v>
      </c>
      <c r="Y1929" s="116">
        <v>46279</v>
      </c>
    </row>
    <row r="1930" s="85" customFormat="1" customHeight="1" spans="1:25">
      <c r="A1930" s="160" t="s">
        <v>61</v>
      </c>
      <c r="B1930" s="24" t="s">
        <v>62</v>
      </c>
      <c r="C1930" s="98" t="s">
        <v>238</v>
      </c>
      <c r="D1930" s="24" t="s">
        <v>64</v>
      </c>
      <c r="E1930" s="162" t="s">
        <v>2504</v>
      </c>
      <c r="F1930" s="160" t="s">
        <v>2505</v>
      </c>
      <c r="G1930" s="25" t="s">
        <v>88</v>
      </c>
      <c r="H1930" s="99" t="s">
        <v>2506</v>
      </c>
      <c r="I1930" s="46" t="e">
        <f>VLOOKUP(H1930,'合同高级查询数据-4月返'!A:A,1,FALSE)</f>
        <v>#N/A</v>
      </c>
      <c r="J1930" s="25" t="s">
        <v>90</v>
      </c>
      <c r="K1930" s="106" t="s">
        <v>2507</v>
      </c>
      <c r="L1930" s="107"/>
      <c r="M1930" s="49" t="s">
        <v>2508</v>
      </c>
      <c r="N1930" s="73">
        <v>44811</v>
      </c>
      <c r="O1930" s="107" t="s">
        <v>507</v>
      </c>
      <c r="P1930" s="164">
        <v>3520</v>
      </c>
      <c r="Q1930" s="164">
        <v>137</v>
      </c>
      <c r="R1930" s="118">
        <f t="shared" si="50"/>
        <v>482240</v>
      </c>
      <c r="S1930" s="115">
        <v>202304</v>
      </c>
      <c r="T1930" s="119" t="s">
        <v>2584</v>
      </c>
      <c r="U1930" s="166"/>
      <c r="V1930" s="165"/>
      <c r="W1930" s="165"/>
      <c r="X1930" s="116">
        <v>44423</v>
      </c>
      <c r="Y1930" s="116">
        <v>46279</v>
      </c>
    </row>
    <row r="1931" s="85" customFormat="1" customHeight="1" spans="1:25">
      <c r="A1931" s="160" t="s">
        <v>61</v>
      </c>
      <c r="B1931" s="24" t="s">
        <v>62</v>
      </c>
      <c r="C1931" s="98" t="s">
        <v>238</v>
      </c>
      <c r="D1931" s="24" t="s">
        <v>64</v>
      </c>
      <c r="E1931" s="162" t="s">
        <v>2504</v>
      </c>
      <c r="F1931" s="160" t="s">
        <v>2505</v>
      </c>
      <c r="G1931" s="25" t="s">
        <v>88</v>
      </c>
      <c r="H1931" s="99" t="s">
        <v>2506</v>
      </c>
      <c r="I1931" s="46" t="e">
        <f>VLOOKUP(H1931,'合同高级查询数据-4月返'!A:A,1,FALSE)</f>
        <v>#N/A</v>
      </c>
      <c r="J1931" s="25" t="s">
        <v>90</v>
      </c>
      <c r="K1931" s="106" t="s">
        <v>2507</v>
      </c>
      <c r="L1931" s="107"/>
      <c r="M1931" s="49" t="s">
        <v>2508</v>
      </c>
      <c r="N1931" s="73">
        <v>44818</v>
      </c>
      <c r="O1931" s="107" t="s">
        <v>507</v>
      </c>
      <c r="P1931" s="164">
        <v>3520</v>
      </c>
      <c r="Q1931" s="164">
        <v>54</v>
      </c>
      <c r="R1931" s="118">
        <f t="shared" si="50"/>
        <v>190080</v>
      </c>
      <c r="S1931" s="115">
        <v>202304</v>
      </c>
      <c r="T1931" s="119" t="s">
        <v>2585</v>
      </c>
      <c r="U1931" s="166"/>
      <c r="V1931" s="165"/>
      <c r="W1931" s="165"/>
      <c r="X1931" s="116">
        <v>44423</v>
      </c>
      <c r="Y1931" s="116">
        <v>46279</v>
      </c>
    </row>
    <row r="1932" s="85" customFormat="1" customHeight="1" spans="1:25">
      <c r="A1932" s="160" t="s">
        <v>61</v>
      </c>
      <c r="B1932" s="24" t="s">
        <v>62</v>
      </c>
      <c r="C1932" s="98" t="s">
        <v>238</v>
      </c>
      <c r="D1932" s="24" t="s">
        <v>64</v>
      </c>
      <c r="E1932" s="162" t="s">
        <v>2504</v>
      </c>
      <c r="F1932" s="160" t="s">
        <v>2505</v>
      </c>
      <c r="G1932" s="25" t="s">
        <v>88</v>
      </c>
      <c r="H1932" s="99" t="s">
        <v>2506</v>
      </c>
      <c r="I1932" s="46" t="e">
        <f>VLOOKUP(H1932,'合同高级查询数据-4月返'!A:A,1,FALSE)</f>
        <v>#N/A</v>
      </c>
      <c r="J1932" s="25" t="s">
        <v>90</v>
      </c>
      <c r="K1932" s="106" t="s">
        <v>2507</v>
      </c>
      <c r="L1932" s="107"/>
      <c r="M1932" s="49" t="s">
        <v>2508</v>
      </c>
      <c r="N1932" s="73">
        <v>44820</v>
      </c>
      <c r="O1932" s="107" t="s">
        <v>507</v>
      </c>
      <c r="P1932" s="164">
        <v>3520</v>
      </c>
      <c r="Q1932" s="164">
        <v>1</v>
      </c>
      <c r="R1932" s="118">
        <f t="shared" si="50"/>
        <v>3520</v>
      </c>
      <c r="S1932" s="115">
        <v>202304</v>
      </c>
      <c r="T1932" s="119" t="s">
        <v>2586</v>
      </c>
      <c r="U1932" s="166"/>
      <c r="V1932" s="165"/>
      <c r="W1932" s="165"/>
      <c r="X1932" s="116">
        <v>44423</v>
      </c>
      <c r="Y1932" s="116">
        <v>46279</v>
      </c>
    </row>
    <row r="1933" s="85" customFormat="1" customHeight="1" spans="1:25">
      <c r="A1933" s="160" t="s">
        <v>61</v>
      </c>
      <c r="B1933" s="24" t="s">
        <v>62</v>
      </c>
      <c r="C1933" s="98" t="s">
        <v>238</v>
      </c>
      <c r="D1933" s="24" t="s">
        <v>64</v>
      </c>
      <c r="E1933" s="162" t="s">
        <v>2504</v>
      </c>
      <c r="F1933" s="160" t="s">
        <v>2505</v>
      </c>
      <c r="G1933" s="25" t="s">
        <v>88</v>
      </c>
      <c r="H1933" s="99" t="s">
        <v>2506</v>
      </c>
      <c r="I1933" s="46" t="e">
        <f>VLOOKUP(H1933,'合同高级查询数据-4月返'!A:A,1,FALSE)</f>
        <v>#N/A</v>
      </c>
      <c r="J1933" s="25" t="s">
        <v>90</v>
      </c>
      <c r="K1933" s="106" t="s">
        <v>2507</v>
      </c>
      <c r="L1933" s="107"/>
      <c r="M1933" s="49" t="s">
        <v>2508</v>
      </c>
      <c r="N1933" s="73">
        <v>44825</v>
      </c>
      <c r="O1933" s="107" t="s">
        <v>507</v>
      </c>
      <c r="P1933" s="164">
        <v>3520</v>
      </c>
      <c r="Q1933" s="164">
        <v>2</v>
      </c>
      <c r="R1933" s="118">
        <f t="shared" si="50"/>
        <v>7040</v>
      </c>
      <c r="S1933" s="115">
        <v>202304</v>
      </c>
      <c r="T1933" s="119" t="s">
        <v>2587</v>
      </c>
      <c r="U1933" s="166"/>
      <c r="V1933" s="165"/>
      <c r="W1933" s="165"/>
      <c r="X1933" s="116">
        <v>44423</v>
      </c>
      <c r="Y1933" s="116">
        <v>46279</v>
      </c>
    </row>
    <row r="1934" s="85" customFormat="1" customHeight="1" spans="1:25">
      <c r="A1934" s="160" t="s">
        <v>61</v>
      </c>
      <c r="B1934" s="24" t="s">
        <v>62</v>
      </c>
      <c r="C1934" s="98" t="s">
        <v>238</v>
      </c>
      <c r="D1934" s="24" t="s">
        <v>64</v>
      </c>
      <c r="E1934" s="162" t="s">
        <v>2504</v>
      </c>
      <c r="F1934" s="160" t="s">
        <v>2505</v>
      </c>
      <c r="G1934" s="25" t="s">
        <v>88</v>
      </c>
      <c r="H1934" s="99" t="s">
        <v>2506</v>
      </c>
      <c r="I1934" s="46" t="e">
        <f>VLOOKUP(H1934,'合同高级查询数据-4月返'!A:A,1,FALSE)</f>
        <v>#N/A</v>
      </c>
      <c r="J1934" s="25" t="s">
        <v>90</v>
      </c>
      <c r="K1934" s="106" t="s">
        <v>2507</v>
      </c>
      <c r="L1934" s="107"/>
      <c r="M1934" s="49" t="s">
        <v>2508</v>
      </c>
      <c r="N1934" s="73">
        <v>44826</v>
      </c>
      <c r="O1934" s="107" t="s">
        <v>507</v>
      </c>
      <c r="P1934" s="164">
        <v>3520</v>
      </c>
      <c r="Q1934" s="164">
        <v>2</v>
      </c>
      <c r="R1934" s="118">
        <f t="shared" si="50"/>
        <v>7040</v>
      </c>
      <c r="S1934" s="115">
        <v>202304</v>
      </c>
      <c r="T1934" s="119" t="s">
        <v>2588</v>
      </c>
      <c r="U1934" s="166"/>
      <c r="V1934" s="165"/>
      <c r="W1934" s="165"/>
      <c r="X1934" s="116">
        <v>44423</v>
      </c>
      <c r="Y1934" s="116">
        <v>46279</v>
      </c>
    </row>
    <row r="1935" s="85" customFormat="1" customHeight="1" spans="1:25">
      <c r="A1935" s="160" t="s">
        <v>61</v>
      </c>
      <c r="B1935" s="24" t="s">
        <v>62</v>
      </c>
      <c r="C1935" s="98" t="s">
        <v>238</v>
      </c>
      <c r="D1935" s="24" t="s">
        <v>64</v>
      </c>
      <c r="E1935" s="162" t="s">
        <v>2504</v>
      </c>
      <c r="F1935" s="160" t="s">
        <v>2505</v>
      </c>
      <c r="G1935" s="25" t="s">
        <v>88</v>
      </c>
      <c r="H1935" s="99" t="s">
        <v>2506</v>
      </c>
      <c r="I1935" s="46" t="e">
        <f>VLOOKUP(H1935,'合同高级查询数据-4月返'!A:A,1,FALSE)</f>
        <v>#N/A</v>
      </c>
      <c r="J1935" s="25" t="s">
        <v>90</v>
      </c>
      <c r="K1935" s="106" t="s">
        <v>2507</v>
      </c>
      <c r="L1935" s="107"/>
      <c r="M1935" s="49" t="s">
        <v>2508</v>
      </c>
      <c r="N1935" s="73">
        <v>44827</v>
      </c>
      <c r="O1935" s="107" t="s">
        <v>507</v>
      </c>
      <c r="P1935" s="164">
        <v>3520</v>
      </c>
      <c r="Q1935" s="164">
        <v>4</v>
      </c>
      <c r="R1935" s="118">
        <f t="shared" si="50"/>
        <v>14080</v>
      </c>
      <c r="S1935" s="115">
        <v>202304</v>
      </c>
      <c r="T1935" s="119" t="s">
        <v>2589</v>
      </c>
      <c r="U1935" s="166"/>
      <c r="V1935" s="165"/>
      <c r="W1935" s="165"/>
      <c r="X1935" s="116">
        <v>44423</v>
      </c>
      <c r="Y1935" s="116">
        <v>46279</v>
      </c>
    </row>
    <row r="1936" s="85" customFormat="1" customHeight="1" spans="1:25">
      <c r="A1936" s="160" t="s">
        <v>61</v>
      </c>
      <c r="B1936" s="24" t="s">
        <v>62</v>
      </c>
      <c r="C1936" s="98" t="s">
        <v>238</v>
      </c>
      <c r="D1936" s="24" t="s">
        <v>64</v>
      </c>
      <c r="E1936" s="162" t="s">
        <v>2504</v>
      </c>
      <c r="F1936" s="160" t="s">
        <v>2505</v>
      </c>
      <c r="G1936" s="25" t="s">
        <v>88</v>
      </c>
      <c r="H1936" s="99" t="s">
        <v>2506</v>
      </c>
      <c r="I1936" s="46" t="e">
        <f>VLOOKUP(H1936,'合同高级查询数据-4月返'!A:A,1,FALSE)</f>
        <v>#N/A</v>
      </c>
      <c r="J1936" s="25" t="s">
        <v>90</v>
      </c>
      <c r="K1936" s="106" t="s">
        <v>2507</v>
      </c>
      <c r="L1936" s="107"/>
      <c r="M1936" s="49" t="s">
        <v>2508</v>
      </c>
      <c r="N1936" s="73">
        <v>44859</v>
      </c>
      <c r="O1936" s="107" t="s">
        <v>507</v>
      </c>
      <c r="P1936" s="164">
        <v>3520</v>
      </c>
      <c r="Q1936" s="164">
        <v>-4</v>
      </c>
      <c r="R1936" s="118">
        <f t="shared" si="50"/>
        <v>-14080</v>
      </c>
      <c r="S1936" s="115">
        <v>202304</v>
      </c>
      <c r="T1936" s="119" t="s">
        <v>2590</v>
      </c>
      <c r="U1936" s="166"/>
      <c r="V1936" s="165"/>
      <c r="W1936" s="165"/>
      <c r="X1936" s="116">
        <v>44423</v>
      </c>
      <c r="Y1936" s="116">
        <v>46279</v>
      </c>
    </row>
    <row r="1937" s="85" customFormat="1" customHeight="1" spans="1:25">
      <c r="A1937" s="160" t="s">
        <v>61</v>
      </c>
      <c r="B1937" s="24" t="s">
        <v>62</v>
      </c>
      <c r="C1937" s="98" t="s">
        <v>238</v>
      </c>
      <c r="D1937" s="24" t="s">
        <v>64</v>
      </c>
      <c r="E1937" s="162" t="s">
        <v>2504</v>
      </c>
      <c r="F1937" s="160" t="s">
        <v>2505</v>
      </c>
      <c r="G1937" s="25" t="s">
        <v>88</v>
      </c>
      <c r="H1937" s="99" t="s">
        <v>2506</v>
      </c>
      <c r="I1937" s="46" t="e">
        <f>VLOOKUP(H1937,'合同高级查询数据-4月返'!A:A,1,FALSE)</f>
        <v>#N/A</v>
      </c>
      <c r="J1937" s="25" t="s">
        <v>90</v>
      </c>
      <c r="K1937" s="106" t="s">
        <v>2507</v>
      </c>
      <c r="L1937" s="107"/>
      <c r="M1937" s="49" t="s">
        <v>2508</v>
      </c>
      <c r="N1937" s="73">
        <v>44879</v>
      </c>
      <c r="O1937" s="107" t="s">
        <v>507</v>
      </c>
      <c r="P1937" s="164">
        <v>3520</v>
      </c>
      <c r="Q1937" s="164">
        <v>14</v>
      </c>
      <c r="R1937" s="118">
        <f t="shared" si="50"/>
        <v>49280</v>
      </c>
      <c r="S1937" s="115">
        <v>202304</v>
      </c>
      <c r="T1937" s="119" t="s">
        <v>2591</v>
      </c>
      <c r="U1937" s="166"/>
      <c r="V1937" s="165"/>
      <c r="W1937" s="165"/>
      <c r="X1937" s="116">
        <v>44423</v>
      </c>
      <c r="Y1937" s="116">
        <v>46279</v>
      </c>
    </row>
    <row r="1938" s="85" customFormat="1" customHeight="1" spans="1:25">
      <c r="A1938" s="160" t="s">
        <v>61</v>
      </c>
      <c r="B1938" s="24" t="s">
        <v>62</v>
      </c>
      <c r="C1938" s="98" t="s">
        <v>238</v>
      </c>
      <c r="D1938" s="24" t="s">
        <v>64</v>
      </c>
      <c r="E1938" s="162" t="s">
        <v>2504</v>
      </c>
      <c r="F1938" s="160" t="s">
        <v>2505</v>
      </c>
      <c r="G1938" s="25" t="s">
        <v>88</v>
      </c>
      <c r="H1938" s="99" t="s">
        <v>2506</v>
      </c>
      <c r="I1938" s="46" t="e">
        <f>VLOOKUP(H1938,'合同高级查询数据-4月返'!A:A,1,FALSE)</f>
        <v>#N/A</v>
      </c>
      <c r="J1938" s="25" t="s">
        <v>162</v>
      </c>
      <c r="K1938" s="106" t="s">
        <v>2507</v>
      </c>
      <c r="L1938" s="107" t="s">
        <v>2531</v>
      </c>
      <c r="M1938" s="49" t="s">
        <v>2532</v>
      </c>
      <c r="N1938" s="73">
        <v>44868</v>
      </c>
      <c r="O1938" s="107" t="s">
        <v>507</v>
      </c>
      <c r="P1938" s="164">
        <v>3520</v>
      </c>
      <c r="Q1938" s="164">
        <v>-19</v>
      </c>
      <c r="R1938" s="118">
        <f t="shared" si="50"/>
        <v>-66880</v>
      </c>
      <c r="S1938" s="115">
        <v>202304</v>
      </c>
      <c r="T1938" s="119" t="s">
        <v>2592</v>
      </c>
      <c r="U1938" s="166"/>
      <c r="V1938" s="165"/>
      <c r="W1938" s="165"/>
      <c r="X1938" s="116">
        <v>44423</v>
      </c>
      <c r="Y1938" s="116">
        <v>46279</v>
      </c>
    </row>
    <row r="1939" s="85" customFormat="1" customHeight="1" spans="1:25">
      <c r="A1939" s="160" t="s">
        <v>61</v>
      </c>
      <c r="B1939" s="24" t="s">
        <v>62</v>
      </c>
      <c r="C1939" s="98" t="s">
        <v>238</v>
      </c>
      <c r="D1939" s="24" t="s">
        <v>64</v>
      </c>
      <c r="E1939" s="162" t="s">
        <v>2504</v>
      </c>
      <c r="F1939" s="160" t="s">
        <v>2505</v>
      </c>
      <c r="G1939" s="25" t="s">
        <v>88</v>
      </c>
      <c r="H1939" s="99" t="s">
        <v>2506</v>
      </c>
      <c r="I1939" s="46" t="e">
        <f>VLOOKUP(H1939,'合同高级查询数据-4月返'!A:A,1,FALSE)</f>
        <v>#N/A</v>
      </c>
      <c r="J1939" s="25" t="s">
        <v>90</v>
      </c>
      <c r="K1939" s="106" t="s">
        <v>2507</v>
      </c>
      <c r="L1939" s="107"/>
      <c r="M1939" s="49" t="s">
        <v>2508</v>
      </c>
      <c r="N1939" s="73">
        <v>44890</v>
      </c>
      <c r="O1939" s="107" t="s">
        <v>507</v>
      </c>
      <c r="P1939" s="164">
        <v>3520</v>
      </c>
      <c r="Q1939" s="164">
        <v>3</v>
      </c>
      <c r="R1939" s="118">
        <f t="shared" si="50"/>
        <v>10560</v>
      </c>
      <c r="S1939" s="115">
        <v>202304</v>
      </c>
      <c r="T1939" s="119" t="s">
        <v>2593</v>
      </c>
      <c r="U1939" s="166"/>
      <c r="V1939" s="165"/>
      <c r="W1939" s="165"/>
      <c r="X1939" s="116">
        <v>44423</v>
      </c>
      <c r="Y1939" s="116">
        <v>46279</v>
      </c>
    </row>
    <row r="1940" s="85" customFormat="1" customHeight="1" spans="1:25">
      <c r="A1940" s="160" t="s">
        <v>61</v>
      </c>
      <c r="B1940" s="24" t="s">
        <v>62</v>
      </c>
      <c r="C1940" s="98" t="s">
        <v>238</v>
      </c>
      <c r="D1940" s="24" t="s">
        <v>64</v>
      </c>
      <c r="E1940" s="162" t="s">
        <v>2504</v>
      </c>
      <c r="F1940" s="160" t="s">
        <v>2505</v>
      </c>
      <c r="G1940" s="25" t="s">
        <v>88</v>
      </c>
      <c r="H1940" s="99" t="s">
        <v>2506</v>
      </c>
      <c r="I1940" s="46" t="e">
        <f>VLOOKUP(H1940,'合同高级查询数据-4月返'!A:A,1,FALSE)</f>
        <v>#N/A</v>
      </c>
      <c r="J1940" s="25" t="s">
        <v>90</v>
      </c>
      <c r="K1940" s="106" t="s">
        <v>2507</v>
      </c>
      <c r="L1940" s="107"/>
      <c r="M1940" s="49" t="s">
        <v>2508</v>
      </c>
      <c r="N1940" s="73">
        <v>44897</v>
      </c>
      <c r="O1940" s="107" t="s">
        <v>507</v>
      </c>
      <c r="P1940" s="164">
        <v>3520</v>
      </c>
      <c r="Q1940" s="164">
        <v>2</v>
      </c>
      <c r="R1940" s="118">
        <f t="shared" si="50"/>
        <v>7040</v>
      </c>
      <c r="S1940" s="115">
        <v>202304</v>
      </c>
      <c r="T1940" s="119" t="s">
        <v>2594</v>
      </c>
      <c r="U1940" s="166"/>
      <c r="V1940" s="165"/>
      <c r="W1940" s="165"/>
      <c r="X1940" s="116">
        <v>44423</v>
      </c>
      <c r="Y1940" s="116">
        <v>46279</v>
      </c>
    </row>
    <row r="1941" s="85" customFormat="1" customHeight="1" spans="1:25">
      <c r="A1941" s="160" t="s">
        <v>61</v>
      </c>
      <c r="B1941" s="24" t="s">
        <v>62</v>
      </c>
      <c r="C1941" s="98" t="s">
        <v>238</v>
      </c>
      <c r="D1941" s="24" t="s">
        <v>64</v>
      </c>
      <c r="E1941" s="162" t="s">
        <v>2504</v>
      </c>
      <c r="F1941" s="160" t="s">
        <v>2505</v>
      </c>
      <c r="G1941" s="25" t="s">
        <v>88</v>
      </c>
      <c r="H1941" s="99" t="s">
        <v>2506</v>
      </c>
      <c r="I1941" s="46" t="e">
        <f>VLOOKUP(H1941,'合同高级查询数据-4月返'!A:A,1,FALSE)</f>
        <v>#N/A</v>
      </c>
      <c r="J1941" s="25" t="s">
        <v>90</v>
      </c>
      <c r="K1941" s="106" t="s">
        <v>2507</v>
      </c>
      <c r="L1941" s="107"/>
      <c r="M1941" s="49" t="s">
        <v>2527</v>
      </c>
      <c r="N1941" s="73">
        <v>44904</v>
      </c>
      <c r="O1941" s="107" t="s">
        <v>507</v>
      </c>
      <c r="P1941" s="164">
        <v>3520</v>
      </c>
      <c r="Q1941" s="164">
        <v>1</v>
      </c>
      <c r="R1941" s="118">
        <f t="shared" si="50"/>
        <v>3520</v>
      </c>
      <c r="S1941" s="115">
        <v>202304</v>
      </c>
      <c r="T1941" s="119" t="s">
        <v>2595</v>
      </c>
      <c r="U1941" s="166"/>
      <c r="V1941" s="165"/>
      <c r="W1941" s="165"/>
      <c r="X1941" s="116">
        <v>44423</v>
      </c>
      <c r="Y1941" s="116">
        <v>46279</v>
      </c>
    </row>
    <row r="1942" s="85" customFormat="1" customHeight="1" spans="1:25">
      <c r="A1942" s="160" t="s">
        <v>61</v>
      </c>
      <c r="B1942" s="24" t="s">
        <v>62</v>
      </c>
      <c r="C1942" s="98" t="s">
        <v>238</v>
      </c>
      <c r="D1942" s="24" t="s">
        <v>64</v>
      </c>
      <c r="E1942" s="162" t="s">
        <v>2504</v>
      </c>
      <c r="F1942" s="160" t="s">
        <v>2505</v>
      </c>
      <c r="G1942" s="25" t="s">
        <v>88</v>
      </c>
      <c r="H1942" s="99" t="s">
        <v>2506</v>
      </c>
      <c r="I1942" s="46" t="e">
        <f>VLOOKUP(H1942,'合同高级查询数据-4月返'!A:A,1,FALSE)</f>
        <v>#N/A</v>
      </c>
      <c r="J1942" s="25" t="s">
        <v>90</v>
      </c>
      <c r="K1942" s="106" t="s">
        <v>2507</v>
      </c>
      <c r="L1942" s="107"/>
      <c r="M1942" s="49" t="s">
        <v>2527</v>
      </c>
      <c r="N1942" s="73">
        <v>44909</v>
      </c>
      <c r="O1942" s="107" t="s">
        <v>507</v>
      </c>
      <c r="P1942" s="164">
        <v>3520</v>
      </c>
      <c r="Q1942" s="164">
        <v>-1</v>
      </c>
      <c r="R1942" s="118">
        <f t="shared" si="50"/>
        <v>-3520</v>
      </c>
      <c r="S1942" s="115">
        <v>202304</v>
      </c>
      <c r="T1942" s="119" t="s">
        <v>2595</v>
      </c>
      <c r="U1942" s="166"/>
      <c r="V1942" s="165"/>
      <c r="W1942" s="165"/>
      <c r="X1942" s="116">
        <v>44423</v>
      </c>
      <c r="Y1942" s="116">
        <v>46279</v>
      </c>
    </row>
    <row r="1943" s="85" customFormat="1" customHeight="1" spans="1:25">
      <c r="A1943" s="160" t="s">
        <v>61</v>
      </c>
      <c r="B1943" s="24" t="s">
        <v>62</v>
      </c>
      <c r="C1943" s="98" t="s">
        <v>238</v>
      </c>
      <c r="D1943" s="24" t="s">
        <v>64</v>
      </c>
      <c r="E1943" s="162" t="s">
        <v>2504</v>
      </c>
      <c r="F1943" s="160" t="s">
        <v>2505</v>
      </c>
      <c r="G1943" s="25" t="s">
        <v>88</v>
      </c>
      <c r="H1943" s="99" t="s">
        <v>2506</v>
      </c>
      <c r="I1943" s="46" t="e">
        <f>VLOOKUP(H1943,'合同高级查询数据-4月返'!A:A,1,FALSE)</f>
        <v>#N/A</v>
      </c>
      <c r="J1943" s="25" t="s">
        <v>90</v>
      </c>
      <c r="K1943" s="106" t="s">
        <v>2507</v>
      </c>
      <c r="L1943" s="107"/>
      <c r="M1943" s="49" t="s">
        <v>2508</v>
      </c>
      <c r="N1943" s="73">
        <v>44986</v>
      </c>
      <c r="O1943" s="107" t="s">
        <v>507</v>
      </c>
      <c r="P1943" s="164">
        <v>3520</v>
      </c>
      <c r="Q1943" s="164">
        <v>-6</v>
      </c>
      <c r="R1943" s="118">
        <f t="shared" si="50"/>
        <v>-21120</v>
      </c>
      <c r="S1943" s="115">
        <v>202304</v>
      </c>
      <c r="T1943" s="119" t="s">
        <v>2596</v>
      </c>
      <c r="U1943" s="166"/>
      <c r="V1943" s="165"/>
      <c r="W1943" s="165"/>
      <c r="X1943" s="116">
        <v>44423</v>
      </c>
      <c r="Y1943" s="116">
        <v>46279</v>
      </c>
    </row>
    <row r="1944" s="85" customFormat="1" customHeight="1" spans="1:25">
      <c r="A1944" s="160" t="s">
        <v>61</v>
      </c>
      <c r="B1944" s="24" t="s">
        <v>62</v>
      </c>
      <c r="C1944" s="98" t="s">
        <v>238</v>
      </c>
      <c r="D1944" s="24" t="s">
        <v>64</v>
      </c>
      <c r="E1944" s="162" t="s">
        <v>2504</v>
      </c>
      <c r="F1944" s="160" t="s">
        <v>2505</v>
      </c>
      <c r="G1944" s="25" t="s">
        <v>88</v>
      </c>
      <c r="H1944" s="99" t="s">
        <v>2506</v>
      </c>
      <c r="I1944" s="46" t="e">
        <f>VLOOKUP(H1944,'合同高级查询数据-4月返'!A:A,1,FALSE)</f>
        <v>#N/A</v>
      </c>
      <c r="J1944" s="25" t="s">
        <v>90</v>
      </c>
      <c r="K1944" s="106" t="s">
        <v>2507</v>
      </c>
      <c r="L1944" s="107"/>
      <c r="M1944" s="49" t="s">
        <v>2508</v>
      </c>
      <c r="N1944" s="73">
        <v>45012</v>
      </c>
      <c r="O1944" s="107" t="s">
        <v>507</v>
      </c>
      <c r="P1944" s="164">
        <v>3520</v>
      </c>
      <c r="Q1944" s="164">
        <v>-12</v>
      </c>
      <c r="R1944" s="118">
        <f t="shared" si="50"/>
        <v>-42240</v>
      </c>
      <c r="S1944" s="115">
        <v>202304</v>
      </c>
      <c r="T1944" s="119" t="s">
        <v>2597</v>
      </c>
      <c r="U1944" s="166"/>
      <c r="V1944" s="165"/>
      <c r="W1944" s="165"/>
      <c r="X1944" s="116">
        <v>44423</v>
      </c>
      <c r="Y1944" s="116">
        <v>46279</v>
      </c>
    </row>
    <row r="1945" s="85" customFormat="1" customHeight="1" spans="1:25">
      <c r="A1945" s="160" t="s">
        <v>61</v>
      </c>
      <c r="B1945" s="24" t="s">
        <v>62</v>
      </c>
      <c r="C1945" s="98" t="s">
        <v>238</v>
      </c>
      <c r="D1945" s="24" t="s">
        <v>64</v>
      </c>
      <c r="E1945" s="162" t="s">
        <v>2504</v>
      </c>
      <c r="F1945" s="160" t="s">
        <v>2505</v>
      </c>
      <c r="G1945" s="25" t="s">
        <v>88</v>
      </c>
      <c r="H1945" s="99" t="s">
        <v>2506</v>
      </c>
      <c r="I1945" s="46" t="e">
        <f>VLOOKUP(H1945,'合同高级查询数据-4月返'!A:A,1,FALSE)</f>
        <v>#N/A</v>
      </c>
      <c r="J1945" s="25" t="s">
        <v>90</v>
      </c>
      <c r="K1945" s="106" t="s">
        <v>2507</v>
      </c>
      <c r="L1945" s="107"/>
      <c r="M1945" s="49" t="s">
        <v>2527</v>
      </c>
      <c r="N1945" s="73">
        <v>44998</v>
      </c>
      <c r="O1945" s="107" t="s">
        <v>507</v>
      </c>
      <c r="P1945" s="164">
        <v>3520</v>
      </c>
      <c r="Q1945" s="164">
        <v>2</v>
      </c>
      <c r="R1945" s="118">
        <f t="shared" si="50"/>
        <v>7040</v>
      </c>
      <c r="S1945" s="115">
        <v>202304</v>
      </c>
      <c r="T1945" s="119" t="s">
        <v>2598</v>
      </c>
      <c r="U1945" s="166"/>
      <c r="V1945" s="165"/>
      <c r="W1945" s="165"/>
      <c r="X1945" s="116">
        <v>44423</v>
      </c>
      <c r="Y1945" s="116">
        <v>46279</v>
      </c>
    </row>
    <row r="1946" s="85" customFormat="1" customHeight="1" spans="1:25">
      <c r="A1946" s="160" t="s">
        <v>61</v>
      </c>
      <c r="B1946" s="24" t="s">
        <v>62</v>
      </c>
      <c r="C1946" s="98" t="s">
        <v>238</v>
      </c>
      <c r="D1946" s="24" t="s">
        <v>64</v>
      </c>
      <c r="E1946" s="162" t="s">
        <v>2504</v>
      </c>
      <c r="F1946" s="160" t="s">
        <v>2505</v>
      </c>
      <c r="G1946" s="25" t="s">
        <v>88</v>
      </c>
      <c r="H1946" s="99" t="s">
        <v>2506</v>
      </c>
      <c r="I1946" s="46" t="e">
        <f>VLOOKUP(H1946,'合同高级查询数据-4月返'!A:A,1,FALSE)</f>
        <v>#N/A</v>
      </c>
      <c r="J1946" s="25" t="s">
        <v>90</v>
      </c>
      <c r="K1946" s="106" t="s">
        <v>2507</v>
      </c>
      <c r="L1946" s="107"/>
      <c r="M1946" s="49" t="s">
        <v>2508</v>
      </c>
      <c r="N1946" s="73">
        <v>45007</v>
      </c>
      <c r="O1946" s="107" t="s">
        <v>507</v>
      </c>
      <c r="P1946" s="164">
        <v>3520</v>
      </c>
      <c r="Q1946" s="164">
        <v>2</v>
      </c>
      <c r="R1946" s="118">
        <f t="shared" si="50"/>
        <v>7040</v>
      </c>
      <c r="S1946" s="115">
        <v>202304</v>
      </c>
      <c r="T1946" s="119" t="s">
        <v>2599</v>
      </c>
      <c r="U1946" s="166"/>
      <c r="V1946" s="165"/>
      <c r="W1946" s="165"/>
      <c r="X1946" s="116">
        <v>44423</v>
      </c>
      <c r="Y1946" s="116">
        <v>46279</v>
      </c>
    </row>
    <row r="1947" s="85" customFormat="1" customHeight="1" spans="1:25">
      <c r="A1947" s="160" t="s">
        <v>61</v>
      </c>
      <c r="B1947" s="24" t="s">
        <v>62</v>
      </c>
      <c r="C1947" s="98" t="s">
        <v>238</v>
      </c>
      <c r="D1947" s="24" t="s">
        <v>64</v>
      </c>
      <c r="E1947" s="162" t="s">
        <v>2504</v>
      </c>
      <c r="F1947" s="160" t="s">
        <v>2505</v>
      </c>
      <c r="G1947" s="25" t="s">
        <v>88</v>
      </c>
      <c r="H1947" s="99" t="s">
        <v>2506</v>
      </c>
      <c r="I1947" s="46" t="e">
        <f>VLOOKUP(H1947,'合同高级查询数据-4月返'!A:A,1,FALSE)</f>
        <v>#N/A</v>
      </c>
      <c r="J1947" s="25" t="s">
        <v>90</v>
      </c>
      <c r="K1947" s="106" t="s">
        <v>2507</v>
      </c>
      <c r="L1947" s="107"/>
      <c r="M1947" s="49" t="s">
        <v>2508</v>
      </c>
      <c r="N1947" s="73">
        <v>45039</v>
      </c>
      <c r="O1947" s="107" t="s">
        <v>507</v>
      </c>
      <c r="P1947" s="164">
        <v>3520</v>
      </c>
      <c r="Q1947" s="164">
        <v>-1</v>
      </c>
      <c r="R1947" s="118">
        <f>ROUND(P1947*Q1947*7/30,2)</f>
        <v>-821.33</v>
      </c>
      <c r="S1947" s="115">
        <v>202304</v>
      </c>
      <c r="T1947" s="169" t="s">
        <v>2600</v>
      </c>
      <c r="U1947" s="166"/>
      <c r="V1947" s="165"/>
      <c r="W1947" s="165"/>
      <c r="X1947" s="116">
        <v>44423</v>
      </c>
      <c r="Y1947" s="116">
        <v>46279</v>
      </c>
    </row>
    <row r="1948" s="85" customFormat="1" customHeight="1" spans="1:25">
      <c r="A1948" s="160" t="s">
        <v>61</v>
      </c>
      <c r="B1948" s="24" t="s">
        <v>62</v>
      </c>
      <c r="C1948" s="98" t="s">
        <v>238</v>
      </c>
      <c r="D1948" s="24" t="s">
        <v>64</v>
      </c>
      <c r="E1948" s="162" t="s">
        <v>2504</v>
      </c>
      <c r="F1948" s="160" t="s">
        <v>2505</v>
      </c>
      <c r="G1948" s="25" t="s">
        <v>88</v>
      </c>
      <c r="H1948" s="99" t="s">
        <v>2506</v>
      </c>
      <c r="I1948" s="46" t="e">
        <f>VLOOKUP(H1948,'合同高级查询数据-4月返'!A:A,1,FALSE)</f>
        <v>#N/A</v>
      </c>
      <c r="J1948" s="25" t="s">
        <v>90</v>
      </c>
      <c r="K1948" s="106" t="s">
        <v>2507</v>
      </c>
      <c r="L1948" s="107"/>
      <c r="M1948" s="49" t="s">
        <v>2508</v>
      </c>
      <c r="N1948" s="73">
        <v>45024</v>
      </c>
      <c r="O1948" s="107" t="s">
        <v>606</v>
      </c>
      <c r="P1948" s="164">
        <v>9600</v>
      </c>
      <c r="Q1948" s="164">
        <v>8</v>
      </c>
      <c r="R1948" s="118">
        <f>ROUND(P1948*Q1948*23/30,2)</f>
        <v>58880</v>
      </c>
      <c r="S1948" s="115">
        <v>202304</v>
      </c>
      <c r="T1948" s="169" t="s">
        <v>2601</v>
      </c>
      <c r="U1948" s="166"/>
      <c r="V1948" s="165"/>
      <c r="W1948" s="165"/>
      <c r="X1948" s="116">
        <v>44423</v>
      </c>
      <c r="Y1948" s="116">
        <v>46279</v>
      </c>
    </row>
    <row r="1949" s="85" customFormat="1" customHeight="1" spans="1:25">
      <c r="A1949" s="160" t="s">
        <v>61</v>
      </c>
      <c r="B1949" s="24" t="s">
        <v>62</v>
      </c>
      <c r="C1949" s="98" t="s">
        <v>238</v>
      </c>
      <c r="D1949" s="24" t="s">
        <v>64</v>
      </c>
      <c r="E1949" s="162" t="s">
        <v>2504</v>
      </c>
      <c r="F1949" s="160" t="s">
        <v>2505</v>
      </c>
      <c r="G1949" s="25" t="s">
        <v>88</v>
      </c>
      <c r="H1949" s="99" t="s">
        <v>2506</v>
      </c>
      <c r="I1949" s="46" t="e">
        <f>VLOOKUP(H1949,'合同高级查询数据-4月返'!A:A,1,FALSE)</f>
        <v>#N/A</v>
      </c>
      <c r="J1949" s="25" t="s">
        <v>90</v>
      </c>
      <c r="K1949" s="106" t="s">
        <v>2507</v>
      </c>
      <c r="L1949" s="107"/>
      <c r="M1949" s="49" t="s">
        <v>2508</v>
      </c>
      <c r="N1949" s="73">
        <v>45027</v>
      </c>
      <c r="O1949" s="107" t="s">
        <v>507</v>
      </c>
      <c r="P1949" s="164">
        <v>3520</v>
      </c>
      <c r="Q1949" s="164">
        <v>1</v>
      </c>
      <c r="R1949" s="118">
        <f>ROUND(P1949*Q1949*20/30,2)</f>
        <v>2346.67</v>
      </c>
      <c r="S1949" s="115">
        <v>202304</v>
      </c>
      <c r="T1949" s="169" t="s">
        <v>2602</v>
      </c>
      <c r="U1949" s="166"/>
      <c r="V1949" s="165"/>
      <c r="W1949" s="165"/>
      <c r="X1949" s="116">
        <v>44423</v>
      </c>
      <c r="Y1949" s="116">
        <v>46279</v>
      </c>
    </row>
    <row r="1950" s="85" customFormat="1" customHeight="1" spans="1:25">
      <c r="A1950" s="98" t="s">
        <v>61</v>
      </c>
      <c r="B1950" s="98" t="s">
        <v>62</v>
      </c>
      <c r="C1950" s="98" t="s">
        <v>238</v>
      </c>
      <c r="D1950" s="98" t="s">
        <v>64</v>
      </c>
      <c r="E1950" s="161" t="s">
        <v>2504</v>
      </c>
      <c r="F1950" s="98" t="s">
        <v>2505</v>
      </c>
      <c r="G1950" s="172" t="s">
        <v>88</v>
      </c>
      <c r="H1950" s="100" t="s">
        <v>2506</v>
      </c>
      <c r="I1950" s="46" t="e">
        <f>VLOOKUP(H1950,'合同高级查询数据-4月返'!A:A,1,FALSE)</f>
        <v>#N/A</v>
      </c>
      <c r="J1950" s="47" t="s">
        <v>357</v>
      </c>
      <c r="K1950" s="160" t="s">
        <v>2507</v>
      </c>
      <c r="L1950" s="179"/>
      <c r="M1950" s="49" t="s">
        <v>2508</v>
      </c>
      <c r="N1950" s="180"/>
      <c r="O1950" s="181"/>
      <c r="P1950" s="182">
        <v>0.68</v>
      </c>
      <c r="Q1950" s="182">
        <f>R1950/0.68</f>
        <v>6176470.58823529</v>
      </c>
      <c r="R1950" s="118">
        <v>4200000</v>
      </c>
      <c r="S1950" s="115">
        <v>202304</v>
      </c>
      <c r="T1950" s="217" t="s">
        <v>2603</v>
      </c>
      <c r="U1950" s="165"/>
      <c r="V1950" s="165"/>
      <c r="W1950" s="165"/>
      <c r="X1950" s="116">
        <v>44423</v>
      </c>
      <c r="Y1950" s="116">
        <v>46279</v>
      </c>
    </row>
    <row r="1951" s="86" customFormat="1" customHeight="1" spans="1:25">
      <c r="A1951" s="134" t="s">
        <v>61</v>
      </c>
      <c r="B1951" s="11" t="s">
        <v>62</v>
      </c>
      <c r="C1951" s="135" t="s">
        <v>238</v>
      </c>
      <c r="D1951" s="11" t="s">
        <v>64</v>
      </c>
      <c r="E1951" s="136" t="s">
        <v>2504</v>
      </c>
      <c r="F1951" s="134" t="s">
        <v>2505</v>
      </c>
      <c r="G1951" s="110" t="s">
        <v>88</v>
      </c>
      <c r="H1951" s="152" t="s">
        <v>2604</v>
      </c>
      <c r="I1951" s="30" t="e">
        <f>VLOOKUP(H1951,'合同高级查询数据-4月返'!A:A,1,FALSE)</f>
        <v>#N/A</v>
      </c>
      <c r="J1951" s="110" t="s">
        <v>90</v>
      </c>
      <c r="K1951" s="141" t="s">
        <v>2605</v>
      </c>
      <c r="L1951" s="142"/>
      <c r="M1951" s="113" t="s">
        <v>2508</v>
      </c>
      <c r="N1951" s="146">
        <v>44809</v>
      </c>
      <c r="O1951" s="142" t="s">
        <v>503</v>
      </c>
      <c r="P1951" s="145">
        <v>1760</v>
      </c>
      <c r="Q1951" s="145">
        <v>3</v>
      </c>
      <c r="R1951" s="130">
        <f t="shared" ref="R1951:R1966" si="51">ROUND(P1951*Q1951,2)</f>
        <v>5280</v>
      </c>
      <c r="S1951" s="127">
        <v>202304</v>
      </c>
      <c r="T1951" s="150" t="s">
        <v>2606</v>
      </c>
      <c r="U1951" s="148"/>
      <c r="V1951" s="149"/>
      <c r="W1951" s="149"/>
      <c r="X1951" s="131"/>
      <c r="Y1951" s="131"/>
    </row>
    <row r="1952" s="86" customFormat="1" customHeight="1" spans="1:25">
      <c r="A1952" s="134" t="s">
        <v>61</v>
      </c>
      <c r="B1952" s="11" t="s">
        <v>62</v>
      </c>
      <c r="C1952" s="135" t="s">
        <v>238</v>
      </c>
      <c r="D1952" s="11" t="s">
        <v>64</v>
      </c>
      <c r="E1952" s="136" t="s">
        <v>2504</v>
      </c>
      <c r="F1952" s="134" t="s">
        <v>2505</v>
      </c>
      <c r="G1952" s="110" t="s">
        <v>88</v>
      </c>
      <c r="H1952" s="152" t="s">
        <v>2604</v>
      </c>
      <c r="I1952" s="30" t="e">
        <f>VLOOKUP(H1952,'合同高级查询数据-4月返'!A:A,1,FALSE)</f>
        <v>#N/A</v>
      </c>
      <c r="J1952" s="110" t="s">
        <v>90</v>
      </c>
      <c r="K1952" s="141" t="s">
        <v>2605</v>
      </c>
      <c r="L1952" s="142"/>
      <c r="M1952" s="113" t="s">
        <v>2508</v>
      </c>
      <c r="N1952" s="146">
        <v>44809</v>
      </c>
      <c r="O1952" s="142" t="s">
        <v>507</v>
      </c>
      <c r="P1952" s="145">
        <v>3520</v>
      </c>
      <c r="Q1952" s="145">
        <v>2</v>
      </c>
      <c r="R1952" s="130">
        <f t="shared" si="51"/>
        <v>7040</v>
      </c>
      <c r="S1952" s="127">
        <v>202304</v>
      </c>
      <c r="T1952" s="150" t="s">
        <v>2607</v>
      </c>
      <c r="U1952" s="148"/>
      <c r="V1952" s="149"/>
      <c r="W1952" s="149"/>
      <c r="X1952" s="131"/>
      <c r="Y1952" s="131"/>
    </row>
    <row r="1953" s="86" customFormat="1" customHeight="1" spans="1:25">
      <c r="A1953" s="134" t="s">
        <v>61</v>
      </c>
      <c r="B1953" s="11" t="s">
        <v>62</v>
      </c>
      <c r="C1953" s="135" t="s">
        <v>238</v>
      </c>
      <c r="D1953" s="11" t="s">
        <v>64</v>
      </c>
      <c r="E1953" s="136" t="s">
        <v>2504</v>
      </c>
      <c r="F1953" s="134" t="s">
        <v>2505</v>
      </c>
      <c r="G1953" s="110" t="s">
        <v>88</v>
      </c>
      <c r="H1953" s="152" t="s">
        <v>2604</v>
      </c>
      <c r="I1953" s="30" t="e">
        <f>VLOOKUP(H1953,'合同高级查询数据-4月返'!A:A,1,FALSE)</f>
        <v>#N/A</v>
      </c>
      <c r="J1953" s="110" t="s">
        <v>90</v>
      </c>
      <c r="K1953" s="141" t="s">
        <v>2605</v>
      </c>
      <c r="L1953" s="142"/>
      <c r="M1953" s="113" t="s">
        <v>2508</v>
      </c>
      <c r="N1953" s="146">
        <v>44809</v>
      </c>
      <c r="O1953" s="142" t="s">
        <v>507</v>
      </c>
      <c r="P1953" s="145">
        <v>3520</v>
      </c>
      <c r="Q1953" s="145">
        <v>8</v>
      </c>
      <c r="R1953" s="130">
        <f t="shared" si="51"/>
        <v>28160</v>
      </c>
      <c r="S1953" s="127">
        <v>202304</v>
      </c>
      <c r="T1953" s="150" t="s">
        <v>2608</v>
      </c>
      <c r="U1953" s="148"/>
      <c r="V1953" s="149"/>
      <c r="W1953" s="149"/>
      <c r="X1953" s="131"/>
      <c r="Y1953" s="131"/>
    </row>
    <row r="1954" s="86" customFormat="1" customHeight="1" spans="1:25">
      <c r="A1954" s="134" t="s">
        <v>61</v>
      </c>
      <c r="B1954" s="11" t="s">
        <v>62</v>
      </c>
      <c r="C1954" s="135" t="s">
        <v>238</v>
      </c>
      <c r="D1954" s="11" t="s">
        <v>64</v>
      </c>
      <c r="E1954" s="136" t="s">
        <v>2504</v>
      </c>
      <c r="F1954" s="134" t="s">
        <v>2505</v>
      </c>
      <c r="G1954" s="110" t="s">
        <v>88</v>
      </c>
      <c r="H1954" s="152" t="s">
        <v>2604</v>
      </c>
      <c r="I1954" s="30" t="e">
        <f>VLOOKUP(H1954,'合同高级查询数据-4月返'!A:A,1,FALSE)</f>
        <v>#N/A</v>
      </c>
      <c r="J1954" s="110" t="s">
        <v>90</v>
      </c>
      <c r="K1954" s="141" t="s">
        <v>2605</v>
      </c>
      <c r="L1954" s="142"/>
      <c r="M1954" s="113" t="s">
        <v>2508</v>
      </c>
      <c r="N1954" s="146">
        <v>44813</v>
      </c>
      <c r="O1954" s="142" t="s">
        <v>507</v>
      </c>
      <c r="P1954" s="145">
        <v>3520</v>
      </c>
      <c r="Q1954" s="145">
        <v>47</v>
      </c>
      <c r="R1954" s="130">
        <f t="shared" si="51"/>
        <v>165440</v>
      </c>
      <c r="S1954" s="127">
        <v>202304</v>
      </c>
      <c r="T1954" s="150" t="s">
        <v>2609</v>
      </c>
      <c r="U1954" s="148"/>
      <c r="V1954" s="149"/>
      <c r="W1954" s="149"/>
      <c r="X1954" s="131"/>
      <c r="Y1954" s="131"/>
    </row>
    <row r="1955" s="86" customFormat="1" customHeight="1" spans="1:25">
      <c r="A1955" s="134" t="s">
        <v>61</v>
      </c>
      <c r="B1955" s="11" t="s">
        <v>62</v>
      </c>
      <c r="C1955" s="135" t="s">
        <v>238</v>
      </c>
      <c r="D1955" s="11" t="s">
        <v>64</v>
      </c>
      <c r="E1955" s="136" t="s">
        <v>2504</v>
      </c>
      <c r="F1955" s="134" t="s">
        <v>2505</v>
      </c>
      <c r="G1955" s="110" t="s">
        <v>88</v>
      </c>
      <c r="H1955" s="152" t="s">
        <v>2604</v>
      </c>
      <c r="I1955" s="30" t="e">
        <f>VLOOKUP(H1955,'合同高级查询数据-4月返'!A:A,1,FALSE)</f>
        <v>#N/A</v>
      </c>
      <c r="J1955" s="110" t="s">
        <v>90</v>
      </c>
      <c r="K1955" s="141" t="s">
        <v>2605</v>
      </c>
      <c r="L1955" s="142"/>
      <c r="M1955" s="113" t="s">
        <v>2508</v>
      </c>
      <c r="N1955" s="146">
        <v>44818</v>
      </c>
      <c r="O1955" s="142" t="s">
        <v>507</v>
      </c>
      <c r="P1955" s="145">
        <v>3520</v>
      </c>
      <c r="Q1955" s="145">
        <v>40</v>
      </c>
      <c r="R1955" s="130">
        <f t="shared" si="51"/>
        <v>140800</v>
      </c>
      <c r="S1955" s="127">
        <v>202304</v>
      </c>
      <c r="T1955" s="150" t="s">
        <v>2610</v>
      </c>
      <c r="U1955" s="148"/>
      <c r="V1955" s="149"/>
      <c r="W1955" s="149"/>
      <c r="X1955" s="131"/>
      <c r="Y1955" s="131"/>
    </row>
    <row r="1956" s="86" customFormat="1" customHeight="1" spans="1:25">
      <c r="A1956" s="134" t="s">
        <v>61</v>
      </c>
      <c r="B1956" s="11" t="s">
        <v>62</v>
      </c>
      <c r="C1956" s="135" t="s">
        <v>238</v>
      </c>
      <c r="D1956" s="11" t="s">
        <v>64</v>
      </c>
      <c r="E1956" s="136" t="s">
        <v>2504</v>
      </c>
      <c r="F1956" s="134" t="s">
        <v>2505</v>
      </c>
      <c r="G1956" s="110" t="s">
        <v>88</v>
      </c>
      <c r="H1956" s="152" t="s">
        <v>2604</v>
      </c>
      <c r="I1956" s="30" t="e">
        <f>VLOOKUP(H1956,'合同高级查询数据-4月返'!A:A,1,FALSE)</f>
        <v>#N/A</v>
      </c>
      <c r="J1956" s="110" t="s">
        <v>90</v>
      </c>
      <c r="K1956" s="141" t="s">
        <v>2605</v>
      </c>
      <c r="L1956" s="142"/>
      <c r="M1956" s="113" t="s">
        <v>2508</v>
      </c>
      <c r="N1956" s="146">
        <v>44819</v>
      </c>
      <c r="O1956" s="142" t="s">
        <v>507</v>
      </c>
      <c r="P1956" s="145">
        <v>3520</v>
      </c>
      <c r="Q1956" s="145">
        <v>47</v>
      </c>
      <c r="R1956" s="130">
        <f t="shared" si="51"/>
        <v>165440</v>
      </c>
      <c r="S1956" s="127">
        <v>202304</v>
      </c>
      <c r="T1956" s="150" t="s">
        <v>2611</v>
      </c>
      <c r="U1956" s="148"/>
      <c r="V1956" s="149"/>
      <c r="W1956" s="149"/>
      <c r="X1956" s="131"/>
      <c r="Y1956" s="131"/>
    </row>
    <row r="1957" s="86" customFormat="1" customHeight="1" spans="1:25">
      <c r="A1957" s="134" t="s">
        <v>61</v>
      </c>
      <c r="B1957" s="11" t="s">
        <v>62</v>
      </c>
      <c r="C1957" s="135" t="s">
        <v>238</v>
      </c>
      <c r="D1957" s="11" t="s">
        <v>64</v>
      </c>
      <c r="E1957" s="136" t="s">
        <v>2504</v>
      </c>
      <c r="F1957" s="134" t="s">
        <v>2505</v>
      </c>
      <c r="G1957" s="110" t="s">
        <v>88</v>
      </c>
      <c r="H1957" s="152" t="s">
        <v>2604</v>
      </c>
      <c r="I1957" s="30" t="e">
        <f>VLOOKUP(H1957,'合同高级查询数据-4月返'!A:A,1,FALSE)</f>
        <v>#N/A</v>
      </c>
      <c r="J1957" s="110" t="s">
        <v>90</v>
      </c>
      <c r="K1957" s="141" t="s">
        <v>2605</v>
      </c>
      <c r="L1957" s="142"/>
      <c r="M1957" s="113" t="s">
        <v>2508</v>
      </c>
      <c r="N1957" s="146">
        <v>44834</v>
      </c>
      <c r="O1957" s="142" t="s">
        <v>507</v>
      </c>
      <c r="P1957" s="145">
        <v>3520</v>
      </c>
      <c r="Q1957" s="145">
        <v>36</v>
      </c>
      <c r="R1957" s="130">
        <f t="shared" si="51"/>
        <v>126720</v>
      </c>
      <c r="S1957" s="127">
        <v>202304</v>
      </c>
      <c r="T1957" s="150" t="s">
        <v>2612</v>
      </c>
      <c r="U1957" s="148"/>
      <c r="V1957" s="149"/>
      <c r="W1957" s="149"/>
      <c r="X1957" s="131"/>
      <c r="Y1957" s="131"/>
    </row>
    <row r="1958" s="86" customFormat="1" customHeight="1" spans="1:25">
      <c r="A1958" s="134" t="s">
        <v>61</v>
      </c>
      <c r="B1958" s="11" t="s">
        <v>62</v>
      </c>
      <c r="C1958" s="135" t="s">
        <v>238</v>
      </c>
      <c r="D1958" s="11" t="s">
        <v>64</v>
      </c>
      <c r="E1958" s="136" t="s">
        <v>2504</v>
      </c>
      <c r="F1958" s="134" t="s">
        <v>2505</v>
      </c>
      <c r="G1958" s="110" t="s">
        <v>88</v>
      </c>
      <c r="H1958" s="152" t="s">
        <v>2604</v>
      </c>
      <c r="I1958" s="30" t="e">
        <f>VLOOKUP(H1958,'合同高级查询数据-4月返'!A:A,1,FALSE)</f>
        <v>#N/A</v>
      </c>
      <c r="J1958" s="110" t="s">
        <v>90</v>
      </c>
      <c r="K1958" s="141" t="s">
        <v>2605</v>
      </c>
      <c r="L1958" s="142"/>
      <c r="M1958" s="113" t="s">
        <v>2508</v>
      </c>
      <c r="N1958" s="146">
        <v>44862</v>
      </c>
      <c r="O1958" s="142" t="s">
        <v>507</v>
      </c>
      <c r="P1958" s="145">
        <v>3520</v>
      </c>
      <c r="Q1958" s="145">
        <v>2</v>
      </c>
      <c r="R1958" s="130">
        <f t="shared" si="51"/>
        <v>7040</v>
      </c>
      <c r="S1958" s="127">
        <v>202304</v>
      </c>
      <c r="T1958" s="150" t="s">
        <v>2613</v>
      </c>
      <c r="U1958" s="148"/>
      <c r="V1958" s="149"/>
      <c r="W1958" s="149"/>
      <c r="X1958" s="131"/>
      <c r="Y1958" s="131"/>
    </row>
    <row r="1959" s="86" customFormat="1" customHeight="1" spans="1:25">
      <c r="A1959" s="134" t="s">
        <v>61</v>
      </c>
      <c r="B1959" s="11" t="s">
        <v>62</v>
      </c>
      <c r="C1959" s="135" t="s">
        <v>238</v>
      </c>
      <c r="D1959" s="11" t="s">
        <v>64</v>
      </c>
      <c r="E1959" s="136" t="s">
        <v>2504</v>
      </c>
      <c r="F1959" s="134" t="s">
        <v>2505</v>
      </c>
      <c r="G1959" s="110" t="s">
        <v>88</v>
      </c>
      <c r="H1959" s="152" t="s">
        <v>2604</v>
      </c>
      <c r="I1959" s="30" t="e">
        <f>VLOOKUP(H1959,'合同高级查询数据-4月返'!A:A,1,FALSE)</f>
        <v>#N/A</v>
      </c>
      <c r="J1959" s="110" t="s">
        <v>90</v>
      </c>
      <c r="K1959" s="141" t="s">
        <v>2605</v>
      </c>
      <c r="L1959" s="142"/>
      <c r="M1959" s="113" t="s">
        <v>2508</v>
      </c>
      <c r="N1959" s="146">
        <v>44868</v>
      </c>
      <c r="O1959" s="142" t="s">
        <v>507</v>
      </c>
      <c r="P1959" s="145">
        <v>3520</v>
      </c>
      <c r="Q1959" s="145">
        <v>6</v>
      </c>
      <c r="R1959" s="130">
        <f t="shared" si="51"/>
        <v>21120</v>
      </c>
      <c r="S1959" s="127">
        <v>202304</v>
      </c>
      <c r="T1959" s="150" t="s">
        <v>2614</v>
      </c>
      <c r="U1959" s="148"/>
      <c r="V1959" s="149"/>
      <c r="W1959" s="149"/>
      <c r="X1959" s="131"/>
      <c r="Y1959" s="131"/>
    </row>
    <row r="1960" s="86" customFormat="1" customHeight="1" spans="1:25">
      <c r="A1960" s="134" t="s">
        <v>61</v>
      </c>
      <c r="B1960" s="11" t="s">
        <v>62</v>
      </c>
      <c r="C1960" s="135" t="s">
        <v>238</v>
      </c>
      <c r="D1960" s="11" t="s">
        <v>64</v>
      </c>
      <c r="E1960" s="136" t="s">
        <v>2504</v>
      </c>
      <c r="F1960" s="134" t="s">
        <v>2505</v>
      </c>
      <c r="G1960" s="110" t="s">
        <v>88</v>
      </c>
      <c r="H1960" s="152" t="s">
        <v>2604</v>
      </c>
      <c r="I1960" s="30" t="e">
        <f>VLOOKUP(H1960,'合同高级查询数据-4月返'!A:A,1,FALSE)</f>
        <v>#N/A</v>
      </c>
      <c r="J1960" s="110" t="s">
        <v>90</v>
      </c>
      <c r="K1960" s="141" t="s">
        <v>2605</v>
      </c>
      <c r="L1960" s="142"/>
      <c r="M1960" s="113" t="s">
        <v>2508</v>
      </c>
      <c r="N1960" s="146">
        <v>44879</v>
      </c>
      <c r="O1960" s="142" t="s">
        <v>507</v>
      </c>
      <c r="P1960" s="145">
        <v>3520</v>
      </c>
      <c r="Q1960" s="145">
        <v>9</v>
      </c>
      <c r="R1960" s="130">
        <f t="shared" si="51"/>
        <v>31680</v>
      </c>
      <c r="S1960" s="127">
        <v>202304</v>
      </c>
      <c r="T1960" s="150" t="s">
        <v>2615</v>
      </c>
      <c r="U1960" s="148"/>
      <c r="V1960" s="149"/>
      <c r="W1960" s="149"/>
      <c r="X1960" s="131"/>
      <c r="Y1960" s="131"/>
    </row>
    <row r="1961" s="86" customFormat="1" customHeight="1" spans="1:25">
      <c r="A1961" s="134" t="s">
        <v>61</v>
      </c>
      <c r="B1961" s="11" t="s">
        <v>62</v>
      </c>
      <c r="C1961" s="135" t="s">
        <v>238</v>
      </c>
      <c r="D1961" s="11" t="s">
        <v>64</v>
      </c>
      <c r="E1961" s="136" t="s">
        <v>2504</v>
      </c>
      <c r="F1961" s="134" t="s">
        <v>2505</v>
      </c>
      <c r="G1961" s="110" t="s">
        <v>88</v>
      </c>
      <c r="H1961" s="152" t="s">
        <v>2604</v>
      </c>
      <c r="I1961" s="30" t="e">
        <f>VLOOKUP(H1961,'合同高级查询数据-4月返'!A:A,1,FALSE)</f>
        <v>#N/A</v>
      </c>
      <c r="J1961" s="110" t="s">
        <v>90</v>
      </c>
      <c r="K1961" s="141" t="s">
        <v>2605</v>
      </c>
      <c r="L1961" s="142"/>
      <c r="M1961" s="113" t="s">
        <v>2508</v>
      </c>
      <c r="N1961" s="146">
        <v>44896</v>
      </c>
      <c r="O1961" s="142" t="s">
        <v>507</v>
      </c>
      <c r="P1961" s="145">
        <v>3520</v>
      </c>
      <c r="Q1961" s="145">
        <v>5</v>
      </c>
      <c r="R1961" s="130">
        <f t="shared" si="51"/>
        <v>17600</v>
      </c>
      <c r="S1961" s="127">
        <v>202304</v>
      </c>
      <c r="T1961" s="150" t="s">
        <v>2616</v>
      </c>
      <c r="U1961" s="148"/>
      <c r="V1961" s="149"/>
      <c r="W1961" s="149"/>
      <c r="X1961" s="131"/>
      <c r="Y1961" s="131"/>
    </row>
    <row r="1962" s="86" customFormat="1" customHeight="1" spans="1:25">
      <c r="A1962" s="134" t="s">
        <v>61</v>
      </c>
      <c r="B1962" s="11" t="s">
        <v>62</v>
      </c>
      <c r="C1962" s="135" t="s">
        <v>238</v>
      </c>
      <c r="D1962" s="11" t="s">
        <v>64</v>
      </c>
      <c r="E1962" s="136" t="s">
        <v>2504</v>
      </c>
      <c r="F1962" s="134" t="s">
        <v>2505</v>
      </c>
      <c r="G1962" s="110" t="s">
        <v>88</v>
      </c>
      <c r="H1962" s="152" t="s">
        <v>2604</v>
      </c>
      <c r="I1962" s="30" t="e">
        <f>VLOOKUP(H1962,'合同高级查询数据-4月返'!A:A,1,FALSE)</f>
        <v>#N/A</v>
      </c>
      <c r="J1962" s="110" t="s">
        <v>90</v>
      </c>
      <c r="K1962" s="141" t="s">
        <v>2605</v>
      </c>
      <c r="L1962" s="142"/>
      <c r="M1962" s="113" t="s">
        <v>2508</v>
      </c>
      <c r="N1962" s="146">
        <v>44901</v>
      </c>
      <c r="O1962" s="142" t="s">
        <v>507</v>
      </c>
      <c r="P1962" s="145">
        <v>3520</v>
      </c>
      <c r="Q1962" s="145">
        <v>6</v>
      </c>
      <c r="R1962" s="130">
        <f t="shared" si="51"/>
        <v>21120</v>
      </c>
      <c r="S1962" s="127">
        <v>202304</v>
      </c>
      <c r="T1962" s="150" t="s">
        <v>2617</v>
      </c>
      <c r="U1962" s="148"/>
      <c r="V1962" s="149"/>
      <c r="W1962" s="149"/>
      <c r="X1962" s="131"/>
      <c r="Y1962" s="131"/>
    </row>
    <row r="1963" s="86" customFormat="1" customHeight="1" spans="1:25">
      <c r="A1963" s="134" t="s">
        <v>61</v>
      </c>
      <c r="B1963" s="11" t="s">
        <v>62</v>
      </c>
      <c r="C1963" s="135" t="s">
        <v>238</v>
      </c>
      <c r="D1963" s="11" t="s">
        <v>64</v>
      </c>
      <c r="E1963" s="136" t="s">
        <v>2504</v>
      </c>
      <c r="F1963" s="134" t="s">
        <v>2505</v>
      </c>
      <c r="G1963" s="110" t="s">
        <v>88</v>
      </c>
      <c r="H1963" s="152" t="s">
        <v>2604</v>
      </c>
      <c r="I1963" s="30" t="e">
        <f>VLOOKUP(H1963,'合同高级查询数据-4月返'!A:A,1,FALSE)</f>
        <v>#N/A</v>
      </c>
      <c r="J1963" s="110" t="s">
        <v>90</v>
      </c>
      <c r="K1963" s="141" t="s">
        <v>2605</v>
      </c>
      <c r="L1963" s="142"/>
      <c r="M1963" s="113" t="s">
        <v>2508</v>
      </c>
      <c r="N1963" s="146">
        <v>44902</v>
      </c>
      <c r="O1963" s="142" t="s">
        <v>507</v>
      </c>
      <c r="P1963" s="145">
        <v>3520</v>
      </c>
      <c r="Q1963" s="145">
        <v>9</v>
      </c>
      <c r="R1963" s="130">
        <f t="shared" si="51"/>
        <v>31680</v>
      </c>
      <c r="S1963" s="127">
        <v>202304</v>
      </c>
      <c r="T1963" s="150" t="s">
        <v>2618</v>
      </c>
      <c r="U1963" s="148"/>
      <c r="V1963" s="149"/>
      <c r="W1963" s="149"/>
      <c r="X1963" s="131"/>
      <c r="Y1963" s="131"/>
    </row>
    <row r="1964" s="86" customFormat="1" customHeight="1" spans="1:25">
      <c r="A1964" s="134" t="s">
        <v>61</v>
      </c>
      <c r="B1964" s="11" t="s">
        <v>62</v>
      </c>
      <c r="C1964" s="135" t="s">
        <v>238</v>
      </c>
      <c r="D1964" s="11" t="s">
        <v>64</v>
      </c>
      <c r="E1964" s="136" t="s">
        <v>2504</v>
      </c>
      <c r="F1964" s="134" t="s">
        <v>2505</v>
      </c>
      <c r="G1964" s="110" t="s">
        <v>88</v>
      </c>
      <c r="H1964" s="152" t="s">
        <v>2604</v>
      </c>
      <c r="I1964" s="30" t="e">
        <f>VLOOKUP(H1964,'合同高级查询数据-4月返'!A:A,1,FALSE)</f>
        <v>#N/A</v>
      </c>
      <c r="J1964" s="110" t="s">
        <v>90</v>
      </c>
      <c r="K1964" s="141" t="s">
        <v>2605</v>
      </c>
      <c r="L1964" s="142"/>
      <c r="M1964" s="113" t="s">
        <v>2508</v>
      </c>
      <c r="N1964" s="146">
        <v>44914</v>
      </c>
      <c r="O1964" s="142" t="s">
        <v>507</v>
      </c>
      <c r="P1964" s="145">
        <v>3520</v>
      </c>
      <c r="Q1964" s="145">
        <v>2</v>
      </c>
      <c r="R1964" s="130">
        <f t="shared" si="51"/>
        <v>7040</v>
      </c>
      <c r="S1964" s="127">
        <v>202304</v>
      </c>
      <c r="T1964" s="150" t="s">
        <v>2619</v>
      </c>
      <c r="U1964" s="148"/>
      <c r="V1964" s="149"/>
      <c r="W1964" s="149"/>
      <c r="X1964" s="131"/>
      <c r="Y1964" s="131"/>
    </row>
    <row r="1965" s="86" customFormat="1" customHeight="1" spans="1:25">
      <c r="A1965" s="134" t="s">
        <v>61</v>
      </c>
      <c r="B1965" s="11" t="s">
        <v>62</v>
      </c>
      <c r="C1965" s="135" t="s">
        <v>238</v>
      </c>
      <c r="D1965" s="11" t="s">
        <v>64</v>
      </c>
      <c r="E1965" s="136" t="s">
        <v>2504</v>
      </c>
      <c r="F1965" s="134" t="s">
        <v>2505</v>
      </c>
      <c r="G1965" s="110" t="s">
        <v>88</v>
      </c>
      <c r="H1965" s="152" t="s">
        <v>2604</v>
      </c>
      <c r="I1965" s="30" t="e">
        <f>VLOOKUP(H1965,'合同高级查询数据-4月返'!A:A,1,FALSE)</f>
        <v>#N/A</v>
      </c>
      <c r="J1965" s="110" t="s">
        <v>90</v>
      </c>
      <c r="K1965" s="141" t="s">
        <v>2605</v>
      </c>
      <c r="L1965" s="142"/>
      <c r="M1965" s="113" t="s">
        <v>2508</v>
      </c>
      <c r="N1965" s="146">
        <v>44924</v>
      </c>
      <c r="O1965" s="142" t="s">
        <v>507</v>
      </c>
      <c r="P1965" s="145">
        <v>3520</v>
      </c>
      <c r="Q1965" s="145">
        <v>8</v>
      </c>
      <c r="R1965" s="130">
        <f t="shared" si="51"/>
        <v>28160</v>
      </c>
      <c r="S1965" s="127">
        <v>202304</v>
      </c>
      <c r="T1965" s="285" t="s">
        <v>2620</v>
      </c>
      <c r="U1965" s="148"/>
      <c r="V1965" s="149"/>
      <c r="W1965" s="149"/>
      <c r="X1965" s="131"/>
      <c r="Y1965" s="131"/>
    </row>
    <row r="1966" s="86" customFormat="1" customHeight="1" spans="1:25">
      <c r="A1966" s="134" t="s">
        <v>61</v>
      </c>
      <c r="B1966" s="11" t="s">
        <v>62</v>
      </c>
      <c r="C1966" s="135" t="s">
        <v>238</v>
      </c>
      <c r="D1966" s="11" t="s">
        <v>64</v>
      </c>
      <c r="E1966" s="136" t="s">
        <v>2504</v>
      </c>
      <c r="F1966" s="134" t="s">
        <v>2505</v>
      </c>
      <c r="G1966" s="110" t="s">
        <v>88</v>
      </c>
      <c r="H1966" s="152" t="s">
        <v>2604</v>
      </c>
      <c r="I1966" s="30" t="e">
        <f>VLOOKUP(H1966,'合同高级查询数据-4月返'!A:A,1,FALSE)</f>
        <v>#N/A</v>
      </c>
      <c r="J1966" s="110" t="s">
        <v>90</v>
      </c>
      <c r="K1966" s="141" t="s">
        <v>2605</v>
      </c>
      <c r="L1966" s="142"/>
      <c r="M1966" s="113" t="s">
        <v>2508</v>
      </c>
      <c r="N1966" s="146">
        <v>44942</v>
      </c>
      <c r="O1966" s="142" t="s">
        <v>507</v>
      </c>
      <c r="P1966" s="145">
        <v>3520</v>
      </c>
      <c r="Q1966" s="145">
        <v>1</v>
      </c>
      <c r="R1966" s="130">
        <f t="shared" si="51"/>
        <v>3520</v>
      </c>
      <c r="S1966" s="127">
        <v>202304</v>
      </c>
      <c r="T1966" s="285" t="s">
        <v>2621</v>
      </c>
      <c r="U1966" s="148"/>
      <c r="V1966" s="149"/>
      <c r="W1966" s="149"/>
      <c r="X1966" s="131"/>
      <c r="Y1966" s="131"/>
    </row>
    <row r="1967" s="86" customFormat="1" customHeight="1" spans="1:25">
      <c r="A1967" s="134" t="s">
        <v>61</v>
      </c>
      <c r="B1967" s="11" t="s">
        <v>62</v>
      </c>
      <c r="C1967" s="135" t="s">
        <v>238</v>
      </c>
      <c r="D1967" s="11" t="s">
        <v>64</v>
      </c>
      <c r="E1967" s="136" t="s">
        <v>2504</v>
      </c>
      <c r="F1967" s="134" t="s">
        <v>2505</v>
      </c>
      <c r="G1967" s="110" t="s">
        <v>88</v>
      </c>
      <c r="H1967" s="152" t="s">
        <v>2604</v>
      </c>
      <c r="I1967" s="30" t="e">
        <f>VLOOKUP(H1967,'合同高级查询数据-4月返'!A:A,1,FALSE)</f>
        <v>#N/A</v>
      </c>
      <c r="J1967" s="110" t="s">
        <v>90</v>
      </c>
      <c r="K1967" s="141" t="s">
        <v>2605</v>
      </c>
      <c r="L1967" s="142"/>
      <c r="M1967" s="113" t="s">
        <v>2508</v>
      </c>
      <c r="N1967" s="146">
        <v>45022</v>
      </c>
      <c r="O1967" s="142" t="s">
        <v>503</v>
      </c>
      <c r="P1967" s="145">
        <v>1760</v>
      </c>
      <c r="Q1967" s="145">
        <v>4</v>
      </c>
      <c r="R1967" s="130">
        <f>ROUND(P1967*Q1967*25/30,2)</f>
        <v>5866.67</v>
      </c>
      <c r="S1967" s="127">
        <v>202304</v>
      </c>
      <c r="T1967" s="286" t="s">
        <v>2622</v>
      </c>
      <c r="U1967" s="148"/>
      <c r="V1967" s="149"/>
      <c r="W1967" s="149"/>
      <c r="X1967" s="131"/>
      <c r="Y1967" s="131"/>
    </row>
    <row r="1968" s="86" customFormat="1" customHeight="1" spans="1:25">
      <c r="A1968" s="134" t="s">
        <v>61</v>
      </c>
      <c r="B1968" s="11" t="s">
        <v>62</v>
      </c>
      <c r="C1968" s="135" t="s">
        <v>238</v>
      </c>
      <c r="D1968" s="11" t="s">
        <v>64</v>
      </c>
      <c r="E1968" s="136" t="s">
        <v>2504</v>
      </c>
      <c r="F1968" s="134" t="s">
        <v>2505</v>
      </c>
      <c r="G1968" s="110" t="s">
        <v>88</v>
      </c>
      <c r="H1968" s="152" t="s">
        <v>2604</v>
      </c>
      <c r="I1968" s="30" t="e">
        <f>VLOOKUP(H1968,'合同高级查询数据-4月返'!A:A,1,FALSE)</f>
        <v>#N/A</v>
      </c>
      <c r="J1968" s="110" t="s">
        <v>90</v>
      </c>
      <c r="K1968" s="141" t="s">
        <v>2605</v>
      </c>
      <c r="L1968" s="142"/>
      <c r="M1968" s="113" t="s">
        <v>2508</v>
      </c>
      <c r="N1968" s="146">
        <v>45024</v>
      </c>
      <c r="O1968" s="142" t="s">
        <v>507</v>
      </c>
      <c r="P1968" s="145">
        <v>3520</v>
      </c>
      <c r="Q1968" s="145">
        <v>68</v>
      </c>
      <c r="R1968" s="130">
        <f>ROUND(P1968*Q1968*23/30,2)</f>
        <v>183509.33</v>
      </c>
      <c r="S1968" s="127">
        <v>202304</v>
      </c>
      <c r="T1968" s="286" t="s">
        <v>2623</v>
      </c>
      <c r="U1968" s="148"/>
      <c r="V1968" s="149"/>
      <c r="W1968" s="149"/>
      <c r="X1968" s="131"/>
      <c r="Y1968" s="131"/>
    </row>
    <row r="1969" s="86" customFormat="1" customHeight="1" spans="1:25">
      <c r="A1969" s="134" t="s">
        <v>61</v>
      </c>
      <c r="B1969" s="11" t="s">
        <v>62</v>
      </c>
      <c r="C1969" s="135" t="s">
        <v>238</v>
      </c>
      <c r="D1969" s="11" t="s">
        <v>64</v>
      </c>
      <c r="E1969" s="136" t="s">
        <v>2504</v>
      </c>
      <c r="F1969" s="134" t="s">
        <v>2505</v>
      </c>
      <c r="G1969" s="110" t="s">
        <v>88</v>
      </c>
      <c r="H1969" s="152" t="s">
        <v>2604</v>
      </c>
      <c r="I1969" s="30" t="e">
        <f>VLOOKUP(H1969,'合同高级查询数据-4月返'!A:A,1,FALSE)</f>
        <v>#N/A</v>
      </c>
      <c r="J1969" s="110" t="s">
        <v>90</v>
      </c>
      <c r="K1969" s="141" t="s">
        <v>2605</v>
      </c>
      <c r="L1969" s="142"/>
      <c r="M1969" s="113" t="s">
        <v>2508</v>
      </c>
      <c r="N1969" s="146">
        <v>45026</v>
      </c>
      <c r="O1969" s="142" t="s">
        <v>507</v>
      </c>
      <c r="P1969" s="145">
        <v>3520</v>
      </c>
      <c r="Q1969" s="145">
        <v>56</v>
      </c>
      <c r="R1969" s="130">
        <f>ROUND(P1969*Q1969*21/30,2)</f>
        <v>137984</v>
      </c>
      <c r="S1969" s="127">
        <v>202304</v>
      </c>
      <c r="T1969" s="286" t="s">
        <v>2624</v>
      </c>
      <c r="U1969" s="148"/>
      <c r="V1969" s="149"/>
      <c r="W1969" s="149"/>
      <c r="X1969" s="131"/>
      <c r="Y1969" s="131"/>
    </row>
    <row r="1970" s="86" customFormat="1" customHeight="1" spans="1:25">
      <c r="A1970" s="134" t="s">
        <v>61</v>
      </c>
      <c r="B1970" s="11" t="s">
        <v>62</v>
      </c>
      <c r="C1970" s="135" t="s">
        <v>238</v>
      </c>
      <c r="D1970" s="11" t="s">
        <v>64</v>
      </c>
      <c r="E1970" s="136" t="s">
        <v>2504</v>
      </c>
      <c r="F1970" s="134" t="s">
        <v>2505</v>
      </c>
      <c r="G1970" s="110" t="s">
        <v>88</v>
      </c>
      <c r="H1970" s="152" t="s">
        <v>2604</v>
      </c>
      <c r="I1970" s="30" t="e">
        <f>VLOOKUP(H1970,'合同高级查询数据-4月返'!A:A,1,FALSE)</f>
        <v>#N/A</v>
      </c>
      <c r="J1970" s="110" t="s">
        <v>90</v>
      </c>
      <c r="K1970" s="141" t="s">
        <v>2605</v>
      </c>
      <c r="L1970" s="142"/>
      <c r="M1970" s="113" t="s">
        <v>2508</v>
      </c>
      <c r="N1970" s="146">
        <v>45028</v>
      </c>
      <c r="O1970" s="142" t="s">
        <v>507</v>
      </c>
      <c r="P1970" s="145">
        <v>3520</v>
      </c>
      <c r="Q1970" s="145">
        <v>117</v>
      </c>
      <c r="R1970" s="130">
        <f>ROUND(P1970*Q1970*19/30,2)</f>
        <v>260832</v>
      </c>
      <c r="S1970" s="127">
        <v>202304</v>
      </c>
      <c r="T1970" s="286" t="s">
        <v>2625</v>
      </c>
      <c r="U1970" s="148"/>
      <c r="V1970" s="149"/>
      <c r="W1970" s="149"/>
      <c r="X1970" s="131"/>
      <c r="Y1970" s="131"/>
    </row>
    <row r="1971" s="86" customFormat="1" customHeight="1" spans="1:25">
      <c r="A1971" s="134" t="s">
        <v>61</v>
      </c>
      <c r="B1971" s="11" t="s">
        <v>62</v>
      </c>
      <c r="C1971" s="135" t="s">
        <v>238</v>
      </c>
      <c r="D1971" s="11" t="s">
        <v>64</v>
      </c>
      <c r="E1971" s="136" t="s">
        <v>2504</v>
      </c>
      <c r="F1971" s="134" t="s">
        <v>2505</v>
      </c>
      <c r="G1971" s="110" t="s">
        <v>88</v>
      </c>
      <c r="H1971" s="152" t="s">
        <v>2604</v>
      </c>
      <c r="I1971" s="30" t="e">
        <f>VLOOKUP(H1971,'合同高级查询数据-4月返'!A:A,1,FALSE)</f>
        <v>#N/A</v>
      </c>
      <c r="J1971" s="110" t="s">
        <v>90</v>
      </c>
      <c r="K1971" s="141" t="s">
        <v>2605</v>
      </c>
      <c r="L1971" s="142"/>
      <c r="M1971" s="113" t="s">
        <v>2508</v>
      </c>
      <c r="N1971" s="146">
        <v>45029</v>
      </c>
      <c r="O1971" s="142" t="s">
        <v>507</v>
      </c>
      <c r="P1971" s="145">
        <v>3520</v>
      </c>
      <c r="Q1971" s="145">
        <v>68</v>
      </c>
      <c r="R1971" s="130">
        <f>ROUND(P1971*Q1971*18/30,2)</f>
        <v>143616</v>
      </c>
      <c r="S1971" s="127">
        <v>202304</v>
      </c>
      <c r="T1971" s="286" t="s">
        <v>2626</v>
      </c>
      <c r="U1971" s="148"/>
      <c r="V1971" s="149"/>
      <c r="W1971" s="149"/>
      <c r="X1971" s="131"/>
      <c r="Y1971" s="131"/>
    </row>
    <row r="1972" s="86" customFormat="1" customHeight="1" spans="1:25">
      <c r="A1972" s="134" t="s">
        <v>61</v>
      </c>
      <c r="B1972" s="11" t="s">
        <v>62</v>
      </c>
      <c r="C1972" s="135" t="s">
        <v>238</v>
      </c>
      <c r="D1972" s="11" t="s">
        <v>64</v>
      </c>
      <c r="E1972" s="136" t="s">
        <v>2504</v>
      </c>
      <c r="F1972" s="134" t="s">
        <v>2505</v>
      </c>
      <c r="G1972" s="110" t="s">
        <v>88</v>
      </c>
      <c r="H1972" s="152" t="s">
        <v>2604</v>
      </c>
      <c r="I1972" s="30" t="e">
        <f>VLOOKUP(H1972,'合同高级查询数据-4月返'!A:A,1,FALSE)</f>
        <v>#N/A</v>
      </c>
      <c r="J1972" s="110" t="s">
        <v>90</v>
      </c>
      <c r="K1972" s="141" t="s">
        <v>2605</v>
      </c>
      <c r="L1972" s="142"/>
      <c r="M1972" s="113" t="s">
        <v>2508</v>
      </c>
      <c r="N1972" s="146">
        <v>45030</v>
      </c>
      <c r="O1972" s="142" t="s">
        <v>507</v>
      </c>
      <c r="P1972" s="145">
        <v>3520</v>
      </c>
      <c r="Q1972" s="145">
        <v>84</v>
      </c>
      <c r="R1972" s="130">
        <f>ROUND(P1972*Q1972*17/30,2)</f>
        <v>167552</v>
      </c>
      <c r="S1972" s="127">
        <v>202304</v>
      </c>
      <c r="T1972" s="286" t="s">
        <v>2627</v>
      </c>
      <c r="U1972" s="148"/>
      <c r="V1972" s="149"/>
      <c r="W1972" s="149"/>
      <c r="X1972" s="131"/>
      <c r="Y1972" s="131"/>
    </row>
    <row r="1973" s="86" customFormat="1" customHeight="1" spans="1:25">
      <c r="A1973" s="134" t="s">
        <v>61</v>
      </c>
      <c r="B1973" s="11" t="s">
        <v>62</v>
      </c>
      <c r="C1973" s="135" t="s">
        <v>238</v>
      </c>
      <c r="D1973" s="11" t="s">
        <v>64</v>
      </c>
      <c r="E1973" s="136" t="s">
        <v>2504</v>
      </c>
      <c r="F1973" s="134" t="s">
        <v>2505</v>
      </c>
      <c r="G1973" s="110" t="s">
        <v>88</v>
      </c>
      <c r="H1973" s="152" t="s">
        <v>2604</v>
      </c>
      <c r="I1973" s="30" t="e">
        <f>VLOOKUP(H1973,'合同高级查询数据-4月返'!A:A,1,FALSE)</f>
        <v>#N/A</v>
      </c>
      <c r="J1973" s="110" t="s">
        <v>90</v>
      </c>
      <c r="K1973" s="141" t="s">
        <v>2605</v>
      </c>
      <c r="L1973" s="142"/>
      <c r="M1973" s="113" t="s">
        <v>2508</v>
      </c>
      <c r="N1973" s="146">
        <v>45031</v>
      </c>
      <c r="O1973" s="142" t="s">
        <v>507</v>
      </c>
      <c r="P1973" s="145">
        <v>3520</v>
      </c>
      <c r="Q1973" s="145">
        <v>2</v>
      </c>
      <c r="R1973" s="130">
        <f>ROUND(P1973*Q1973*16/30,2)</f>
        <v>3754.67</v>
      </c>
      <c r="S1973" s="127">
        <v>202304</v>
      </c>
      <c r="T1973" s="286" t="s">
        <v>2628</v>
      </c>
      <c r="U1973" s="148"/>
      <c r="V1973" s="149"/>
      <c r="W1973" s="149"/>
      <c r="X1973" s="131"/>
      <c r="Y1973" s="131"/>
    </row>
    <row r="1974" s="86" customFormat="1" customHeight="1" spans="1:25">
      <c r="A1974" s="134" t="s">
        <v>61</v>
      </c>
      <c r="B1974" s="11" t="s">
        <v>62</v>
      </c>
      <c r="C1974" s="135" t="s">
        <v>238</v>
      </c>
      <c r="D1974" s="11" t="s">
        <v>64</v>
      </c>
      <c r="E1974" s="136" t="s">
        <v>2504</v>
      </c>
      <c r="F1974" s="134" t="s">
        <v>2505</v>
      </c>
      <c r="G1974" s="110" t="s">
        <v>88</v>
      </c>
      <c r="H1974" s="152" t="s">
        <v>2604</v>
      </c>
      <c r="I1974" s="30" t="e">
        <f>VLOOKUP(H1974,'合同高级查询数据-4月返'!A:A,1,FALSE)</f>
        <v>#N/A</v>
      </c>
      <c r="J1974" s="110" t="s">
        <v>90</v>
      </c>
      <c r="K1974" s="141" t="s">
        <v>2605</v>
      </c>
      <c r="L1974" s="142"/>
      <c r="M1974" s="113" t="s">
        <v>2508</v>
      </c>
      <c r="N1974" s="146">
        <v>45032</v>
      </c>
      <c r="O1974" s="142" t="s">
        <v>507</v>
      </c>
      <c r="P1974" s="145">
        <v>3520</v>
      </c>
      <c r="Q1974" s="145">
        <v>14</v>
      </c>
      <c r="R1974" s="130">
        <f>ROUND(P1974*Q1974*15/30,2)</f>
        <v>24640</v>
      </c>
      <c r="S1974" s="127">
        <v>202304</v>
      </c>
      <c r="T1974" s="286" t="s">
        <v>2629</v>
      </c>
      <c r="U1974" s="148"/>
      <c r="V1974" s="149"/>
      <c r="W1974" s="149"/>
      <c r="X1974" s="131"/>
      <c r="Y1974" s="131"/>
    </row>
    <row r="1975" s="86" customFormat="1" customHeight="1" spans="1:25">
      <c r="A1975" s="134" t="s">
        <v>61</v>
      </c>
      <c r="B1975" s="11" t="s">
        <v>62</v>
      </c>
      <c r="C1975" s="135" t="s">
        <v>238</v>
      </c>
      <c r="D1975" s="11" t="s">
        <v>64</v>
      </c>
      <c r="E1975" s="136" t="s">
        <v>2504</v>
      </c>
      <c r="F1975" s="134" t="s">
        <v>2505</v>
      </c>
      <c r="G1975" s="110" t="s">
        <v>88</v>
      </c>
      <c r="H1975" s="152" t="s">
        <v>2604</v>
      </c>
      <c r="I1975" s="30" t="e">
        <f>VLOOKUP(H1975,'合同高级查询数据-4月返'!A:A,1,FALSE)</f>
        <v>#N/A</v>
      </c>
      <c r="J1975" s="110" t="s">
        <v>90</v>
      </c>
      <c r="K1975" s="141" t="s">
        <v>2605</v>
      </c>
      <c r="L1975" s="142"/>
      <c r="M1975" s="113" t="s">
        <v>2508</v>
      </c>
      <c r="N1975" s="146">
        <v>45036</v>
      </c>
      <c r="O1975" s="142" t="s">
        <v>507</v>
      </c>
      <c r="P1975" s="145">
        <v>3520</v>
      </c>
      <c r="Q1975" s="145">
        <v>1</v>
      </c>
      <c r="R1975" s="130">
        <f>ROUND(P1975*Q1975*11/30,2)</f>
        <v>1290.67</v>
      </c>
      <c r="S1975" s="127">
        <v>202304</v>
      </c>
      <c r="T1975" s="286" t="s">
        <v>2630</v>
      </c>
      <c r="U1975" s="148"/>
      <c r="V1975" s="149"/>
      <c r="W1975" s="149"/>
      <c r="X1975" s="131"/>
      <c r="Y1975" s="131"/>
    </row>
    <row r="1976" s="86" customFormat="1" customHeight="1" spans="1:25">
      <c r="A1976" s="135" t="s">
        <v>61</v>
      </c>
      <c r="B1976" s="135" t="s">
        <v>62</v>
      </c>
      <c r="C1976" s="135" t="s">
        <v>238</v>
      </c>
      <c r="D1976" s="135" t="s">
        <v>64</v>
      </c>
      <c r="E1976" s="170" t="s">
        <v>2504</v>
      </c>
      <c r="F1976" s="135" t="s">
        <v>2505</v>
      </c>
      <c r="G1976" s="171" t="s">
        <v>88</v>
      </c>
      <c r="H1976" s="103" t="s">
        <v>2604</v>
      </c>
      <c r="I1976" s="30" t="e">
        <f>VLOOKUP(H1976,'合同高级查询数据-4月返'!A:A,1,FALSE)</f>
        <v>#N/A</v>
      </c>
      <c r="J1976" s="31" t="s">
        <v>357</v>
      </c>
      <c r="K1976" s="134" t="s">
        <v>2605</v>
      </c>
      <c r="L1976" s="174"/>
      <c r="M1976" s="113" t="s">
        <v>2508</v>
      </c>
      <c r="N1976" s="175"/>
      <c r="O1976" s="176"/>
      <c r="P1976" s="177">
        <v>0.68</v>
      </c>
      <c r="Q1976" s="177">
        <f>R1976/0.68</f>
        <v>1397058.82352941</v>
      </c>
      <c r="R1976" s="130">
        <v>950000</v>
      </c>
      <c r="S1976" s="127">
        <v>202304</v>
      </c>
      <c r="T1976" s="183" t="s">
        <v>2631</v>
      </c>
      <c r="U1976" s="149"/>
      <c r="V1976" s="149"/>
      <c r="W1976" s="149"/>
      <c r="X1976" s="131"/>
      <c r="Y1976" s="131"/>
    </row>
    <row r="1977" s="85" customFormat="1" customHeight="1" spans="1:25">
      <c r="A1977" s="203" t="s">
        <v>61</v>
      </c>
      <c r="B1977" s="24" t="s">
        <v>83</v>
      </c>
      <c r="C1977" s="204" t="s">
        <v>63</v>
      </c>
      <c r="D1977" s="24" t="s">
        <v>75</v>
      </c>
      <c r="E1977" s="205" t="s">
        <v>2632</v>
      </c>
      <c r="F1977" s="203" t="s">
        <v>2633</v>
      </c>
      <c r="G1977" s="25" t="s">
        <v>346</v>
      </c>
      <c r="H1977" s="100" t="s">
        <v>2634</v>
      </c>
      <c r="I1977" s="46" t="e">
        <f>VLOOKUP(H1977,'合同高级查询数据-4月返'!A:A,1,FALSE)</f>
        <v>#N/A</v>
      </c>
      <c r="J1977" s="25" t="s">
        <v>346</v>
      </c>
      <c r="K1977" s="203" t="s">
        <v>2635</v>
      </c>
      <c r="L1977" s="206"/>
      <c r="M1977" s="49"/>
      <c r="N1977" s="73">
        <v>44398</v>
      </c>
      <c r="O1977" s="73" t="s">
        <v>486</v>
      </c>
      <c r="P1977" s="275">
        <v>4200</v>
      </c>
      <c r="Q1977" s="212">
        <v>1</v>
      </c>
      <c r="R1977" s="118">
        <f t="shared" ref="R1977:R1984" si="52">ROUND(P1977*Q1977,2)</f>
        <v>4200</v>
      </c>
      <c r="S1977" s="115">
        <v>202304</v>
      </c>
      <c r="T1977" s="205" t="s">
        <v>2636</v>
      </c>
      <c r="U1977" s="205"/>
      <c r="V1977" s="276"/>
      <c r="W1977" s="276"/>
      <c r="X1977" s="116">
        <v>43952</v>
      </c>
      <c r="Y1977" s="116">
        <v>45046</v>
      </c>
    </row>
    <row r="1978" s="85" customFormat="1" customHeight="1" spans="1:25">
      <c r="A1978" s="203" t="s">
        <v>61</v>
      </c>
      <c r="B1978" s="24" t="s">
        <v>83</v>
      </c>
      <c r="C1978" s="204" t="s">
        <v>63</v>
      </c>
      <c r="D1978" s="24" t="s">
        <v>75</v>
      </c>
      <c r="E1978" s="205" t="s">
        <v>2632</v>
      </c>
      <c r="F1978" s="203" t="s">
        <v>2633</v>
      </c>
      <c r="G1978" s="25" t="s">
        <v>346</v>
      </c>
      <c r="H1978" s="100" t="s">
        <v>2634</v>
      </c>
      <c r="I1978" s="46" t="e">
        <f>VLOOKUP(H1978,'合同高级查询数据-4月返'!A:A,1,FALSE)</f>
        <v>#N/A</v>
      </c>
      <c r="J1978" s="25" t="s">
        <v>346</v>
      </c>
      <c r="K1978" s="203" t="s">
        <v>2637</v>
      </c>
      <c r="L1978" s="206"/>
      <c r="M1978" s="49"/>
      <c r="N1978" s="73">
        <v>44398</v>
      </c>
      <c r="O1978" s="73" t="s">
        <v>486</v>
      </c>
      <c r="P1978" s="275">
        <v>4200</v>
      </c>
      <c r="Q1978" s="212">
        <v>1</v>
      </c>
      <c r="R1978" s="118">
        <f t="shared" si="52"/>
        <v>4200</v>
      </c>
      <c r="S1978" s="115">
        <v>202304</v>
      </c>
      <c r="T1978" s="205" t="s">
        <v>2638</v>
      </c>
      <c r="U1978" s="205"/>
      <c r="V1978" s="276"/>
      <c r="W1978" s="276"/>
      <c r="X1978" s="116">
        <v>43952</v>
      </c>
      <c r="Y1978" s="116">
        <v>45046</v>
      </c>
    </row>
    <row r="1979" s="85" customFormat="1" customHeight="1" spans="1:25">
      <c r="A1979" s="203" t="s">
        <v>61</v>
      </c>
      <c r="B1979" s="24" t="s">
        <v>83</v>
      </c>
      <c r="C1979" s="204" t="s">
        <v>63</v>
      </c>
      <c r="D1979" s="24" t="s">
        <v>75</v>
      </c>
      <c r="E1979" s="205" t="s">
        <v>2632</v>
      </c>
      <c r="F1979" s="203" t="s">
        <v>2633</v>
      </c>
      <c r="G1979" s="25" t="s">
        <v>346</v>
      </c>
      <c r="H1979" s="100" t="s">
        <v>2634</v>
      </c>
      <c r="I1979" s="46" t="e">
        <f>VLOOKUP(H1979,'合同高级查询数据-4月返'!A:A,1,FALSE)</f>
        <v>#N/A</v>
      </c>
      <c r="J1979" s="25" t="s">
        <v>346</v>
      </c>
      <c r="K1979" s="203" t="s">
        <v>2639</v>
      </c>
      <c r="L1979" s="206"/>
      <c r="M1979" s="49"/>
      <c r="N1979" s="73">
        <v>44398</v>
      </c>
      <c r="O1979" s="73" t="s">
        <v>486</v>
      </c>
      <c r="P1979" s="275">
        <v>4200</v>
      </c>
      <c r="Q1979" s="212">
        <v>1</v>
      </c>
      <c r="R1979" s="118">
        <f t="shared" si="52"/>
        <v>4200</v>
      </c>
      <c r="S1979" s="115">
        <v>202304</v>
      </c>
      <c r="T1979" s="205" t="s">
        <v>2640</v>
      </c>
      <c r="U1979" s="205"/>
      <c r="V1979" s="276"/>
      <c r="W1979" s="276"/>
      <c r="X1979" s="116">
        <v>43952</v>
      </c>
      <c r="Y1979" s="116">
        <v>45046</v>
      </c>
    </row>
    <row r="1980" s="85" customFormat="1" customHeight="1" spans="1:25">
      <c r="A1980" s="203" t="s">
        <v>61</v>
      </c>
      <c r="B1980" s="24" t="s">
        <v>83</v>
      </c>
      <c r="C1980" s="204" t="s">
        <v>63</v>
      </c>
      <c r="D1980" s="24" t="s">
        <v>75</v>
      </c>
      <c r="E1980" s="205" t="s">
        <v>2632</v>
      </c>
      <c r="F1980" s="203" t="s">
        <v>2633</v>
      </c>
      <c r="G1980" s="25" t="s">
        <v>346</v>
      </c>
      <c r="H1980" s="100" t="s">
        <v>2634</v>
      </c>
      <c r="I1980" s="46" t="e">
        <f>VLOOKUP(H1980,'合同高级查询数据-4月返'!A:A,1,FALSE)</f>
        <v>#N/A</v>
      </c>
      <c r="J1980" s="25" t="s">
        <v>346</v>
      </c>
      <c r="K1980" s="203" t="s">
        <v>2641</v>
      </c>
      <c r="L1980" s="206"/>
      <c r="M1980" s="49"/>
      <c r="N1980" s="73">
        <v>44398</v>
      </c>
      <c r="O1980" s="73" t="s">
        <v>486</v>
      </c>
      <c r="P1980" s="275">
        <v>4200</v>
      </c>
      <c r="Q1980" s="212">
        <v>1</v>
      </c>
      <c r="R1980" s="118">
        <f t="shared" si="52"/>
        <v>4200</v>
      </c>
      <c r="S1980" s="115">
        <v>202304</v>
      </c>
      <c r="T1980" s="205" t="s">
        <v>2642</v>
      </c>
      <c r="U1980" s="205"/>
      <c r="V1980" s="276"/>
      <c r="W1980" s="276"/>
      <c r="X1980" s="116">
        <v>43952</v>
      </c>
      <c r="Y1980" s="116">
        <v>45046</v>
      </c>
    </row>
    <row r="1981" s="85" customFormat="1" customHeight="1" spans="1:25">
      <c r="A1981" s="203" t="s">
        <v>61</v>
      </c>
      <c r="B1981" s="98" t="s">
        <v>62</v>
      </c>
      <c r="C1981" s="204" t="s">
        <v>63</v>
      </c>
      <c r="D1981" s="24" t="s">
        <v>75</v>
      </c>
      <c r="E1981" s="205" t="s">
        <v>2632</v>
      </c>
      <c r="F1981" s="203" t="s">
        <v>2633</v>
      </c>
      <c r="G1981" s="25" t="s">
        <v>67</v>
      </c>
      <c r="H1981" s="100" t="s">
        <v>2643</v>
      </c>
      <c r="I1981" s="46" t="e">
        <f>VLOOKUP(H1981,'合同高级查询数据-4月返'!A:A,1,FALSE)</f>
        <v>#N/A</v>
      </c>
      <c r="J1981" s="25" t="s">
        <v>69</v>
      </c>
      <c r="K1981" s="203" t="s">
        <v>813</v>
      </c>
      <c r="L1981" s="206"/>
      <c r="M1981" s="49"/>
      <c r="N1981" s="73">
        <v>43936</v>
      </c>
      <c r="O1981" s="73" t="s">
        <v>71</v>
      </c>
      <c r="P1981" s="275">
        <v>25533</v>
      </c>
      <c r="Q1981" s="212">
        <v>1</v>
      </c>
      <c r="R1981" s="118">
        <f t="shared" si="52"/>
        <v>25533</v>
      </c>
      <c r="S1981" s="115">
        <v>202304</v>
      </c>
      <c r="T1981" s="205" t="s">
        <v>2644</v>
      </c>
      <c r="U1981" s="205"/>
      <c r="V1981" s="276"/>
      <c r="W1981" s="276"/>
      <c r="X1981" s="116">
        <v>43936</v>
      </c>
      <c r="Y1981" s="116">
        <v>44665</v>
      </c>
    </row>
    <row r="1982" s="85" customFormat="1" customHeight="1" spans="1:25">
      <c r="A1982" s="203" t="s">
        <v>61</v>
      </c>
      <c r="B1982" s="98" t="s">
        <v>62</v>
      </c>
      <c r="C1982" s="204" t="s">
        <v>63</v>
      </c>
      <c r="D1982" s="24" t="s">
        <v>75</v>
      </c>
      <c r="E1982" s="205" t="s">
        <v>2632</v>
      </c>
      <c r="F1982" s="203" t="s">
        <v>2633</v>
      </c>
      <c r="G1982" s="25" t="s">
        <v>67</v>
      </c>
      <c r="H1982" s="100" t="s">
        <v>2643</v>
      </c>
      <c r="I1982" s="46" t="e">
        <f>VLOOKUP(H1982,'合同高级查询数据-4月返'!A:A,1,FALSE)</f>
        <v>#N/A</v>
      </c>
      <c r="J1982" s="25" t="s">
        <v>69</v>
      </c>
      <c r="K1982" s="203" t="s">
        <v>813</v>
      </c>
      <c r="L1982" s="206"/>
      <c r="M1982" s="49"/>
      <c r="N1982" s="73">
        <v>44418</v>
      </c>
      <c r="O1982" s="73" t="s">
        <v>71</v>
      </c>
      <c r="P1982" s="275">
        <v>25533</v>
      </c>
      <c r="Q1982" s="212">
        <v>-1</v>
      </c>
      <c r="R1982" s="118">
        <f t="shared" si="52"/>
        <v>-25533</v>
      </c>
      <c r="S1982" s="115">
        <v>202304</v>
      </c>
      <c r="T1982" s="205" t="s">
        <v>2645</v>
      </c>
      <c r="U1982" s="205"/>
      <c r="V1982" s="276"/>
      <c r="W1982" s="276"/>
      <c r="X1982" s="116">
        <v>43936</v>
      </c>
      <c r="Y1982" s="116">
        <v>44665</v>
      </c>
    </row>
    <row r="1983" s="85" customFormat="1" customHeight="1" spans="1:25">
      <c r="A1983" s="203" t="s">
        <v>61</v>
      </c>
      <c r="B1983" s="98" t="s">
        <v>62</v>
      </c>
      <c r="C1983" s="204" t="s">
        <v>63</v>
      </c>
      <c r="D1983" s="24" t="s">
        <v>75</v>
      </c>
      <c r="E1983" s="205" t="s">
        <v>2632</v>
      </c>
      <c r="F1983" s="203" t="s">
        <v>2633</v>
      </c>
      <c r="G1983" s="25" t="s">
        <v>346</v>
      </c>
      <c r="H1983" s="100" t="s">
        <v>2646</v>
      </c>
      <c r="I1983" s="46" t="e">
        <f>VLOOKUP(H1983,'合同高级查询数据-4月返'!A:A,1,FALSE)</f>
        <v>#N/A</v>
      </c>
      <c r="J1983" s="25" t="s">
        <v>346</v>
      </c>
      <c r="K1983" s="203" t="s">
        <v>2647</v>
      </c>
      <c r="L1983" s="206"/>
      <c r="M1983" s="49"/>
      <c r="N1983" s="73">
        <v>43986</v>
      </c>
      <c r="O1983" s="73" t="s">
        <v>2648</v>
      </c>
      <c r="P1983" s="275">
        <v>3000</v>
      </c>
      <c r="Q1983" s="212">
        <v>1</v>
      </c>
      <c r="R1983" s="118">
        <f t="shared" si="52"/>
        <v>3000</v>
      </c>
      <c r="S1983" s="115">
        <v>202304</v>
      </c>
      <c r="T1983" s="205" t="s">
        <v>2649</v>
      </c>
      <c r="U1983" s="205"/>
      <c r="V1983" s="276"/>
      <c r="W1983" s="276"/>
      <c r="X1983" s="116">
        <v>43983</v>
      </c>
      <c r="Y1983" s="116">
        <v>45077</v>
      </c>
    </row>
    <row r="1984" s="85" customFormat="1" customHeight="1" spans="1:25">
      <c r="A1984" s="203" t="s">
        <v>61</v>
      </c>
      <c r="B1984" s="98" t="s">
        <v>62</v>
      </c>
      <c r="C1984" s="204" t="s">
        <v>63</v>
      </c>
      <c r="D1984" s="24" t="s">
        <v>75</v>
      </c>
      <c r="E1984" s="205" t="s">
        <v>2632</v>
      </c>
      <c r="F1984" s="203" t="s">
        <v>2633</v>
      </c>
      <c r="G1984" s="25" t="s">
        <v>67</v>
      </c>
      <c r="H1984" s="100" t="s">
        <v>2650</v>
      </c>
      <c r="I1984" s="46" t="e">
        <f>VLOOKUP(H1984,'合同高级查询数据-4月返'!A:A,1,FALSE)</f>
        <v>#N/A</v>
      </c>
      <c r="J1984" s="25" t="s">
        <v>69</v>
      </c>
      <c r="K1984" s="203" t="s">
        <v>2651</v>
      </c>
      <c r="L1984" s="206"/>
      <c r="M1984" s="49"/>
      <c r="N1984" s="73">
        <v>41170</v>
      </c>
      <c r="O1984" s="73" t="s">
        <v>71</v>
      </c>
      <c r="P1984" s="275">
        <v>440</v>
      </c>
      <c r="Q1984" s="212">
        <v>15</v>
      </c>
      <c r="R1984" s="118">
        <f t="shared" si="52"/>
        <v>6600</v>
      </c>
      <c r="S1984" s="115">
        <v>202304</v>
      </c>
      <c r="T1984" s="205" t="s">
        <v>2652</v>
      </c>
      <c r="U1984" s="205"/>
      <c r="V1984" s="276"/>
      <c r="W1984" s="276"/>
      <c r="X1984" s="116">
        <v>43967</v>
      </c>
      <c r="Y1984" s="116">
        <v>45061</v>
      </c>
    </row>
    <row r="1985" s="85" customFormat="1" customHeight="1" spans="1:25">
      <c r="A1985" s="203" t="s">
        <v>61</v>
      </c>
      <c r="B1985" s="98" t="s">
        <v>62</v>
      </c>
      <c r="C1985" s="204" t="s">
        <v>63</v>
      </c>
      <c r="D1985" s="24" t="s">
        <v>75</v>
      </c>
      <c r="E1985" s="205" t="s">
        <v>2632</v>
      </c>
      <c r="F1985" s="203" t="s">
        <v>2633</v>
      </c>
      <c r="G1985" s="25" t="s">
        <v>67</v>
      </c>
      <c r="H1985" s="100" t="s">
        <v>2650</v>
      </c>
      <c r="I1985" s="46" t="e">
        <f>VLOOKUP(H1985,'合同高级查询数据-4月返'!A:A,1,FALSE)</f>
        <v>#N/A</v>
      </c>
      <c r="J1985" s="25" t="s">
        <v>69</v>
      </c>
      <c r="K1985" s="203" t="s">
        <v>2653</v>
      </c>
      <c r="L1985" s="206"/>
      <c r="M1985" s="49"/>
      <c r="N1985" s="73">
        <v>41170</v>
      </c>
      <c r="O1985" s="73" t="s">
        <v>71</v>
      </c>
      <c r="P1985" s="275">
        <v>880</v>
      </c>
      <c r="Q1985" s="212">
        <v>0.5</v>
      </c>
      <c r="R1985" s="118">
        <f>ROUND(P1985*1,2)</f>
        <v>880</v>
      </c>
      <c r="S1985" s="115">
        <v>202304</v>
      </c>
      <c r="T1985" s="205" t="s">
        <v>2654</v>
      </c>
      <c r="U1985" s="205"/>
      <c r="V1985" s="276"/>
      <c r="W1985" s="276"/>
      <c r="X1985" s="116">
        <v>43967</v>
      </c>
      <c r="Y1985" s="116">
        <v>45061</v>
      </c>
    </row>
    <row r="1986" s="85" customFormat="1" customHeight="1" spans="1:25">
      <c r="A1986" s="203" t="s">
        <v>61</v>
      </c>
      <c r="B1986" s="98" t="s">
        <v>62</v>
      </c>
      <c r="C1986" s="204" t="s">
        <v>63</v>
      </c>
      <c r="D1986" s="24" t="s">
        <v>75</v>
      </c>
      <c r="E1986" s="205" t="s">
        <v>2632</v>
      </c>
      <c r="F1986" s="203" t="s">
        <v>2633</v>
      </c>
      <c r="G1986" s="25" t="s">
        <v>67</v>
      </c>
      <c r="H1986" s="100" t="s">
        <v>2650</v>
      </c>
      <c r="I1986" s="46" t="e">
        <f>VLOOKUP(H1986,'合同高级查询数据-4月返'!A:A,1,FALSE)</f>
        <v>#N/A</v>
      </c>
      <c r="J1986" s="25" t="s">
        <v>69</v>
      </c>
      <c r="K1986" s="203" t="s">
        <v>2655</v>
      </c>
      <c r="L1986" s="206"/>
      <c r="M1986" s="49"/>
      <c r="N1986" s="73">
        <v>40360</v>
      </c>
      <c r="O1986" s="73" t="s">
        <v>71</v>
      </c>
      <c r="P1986" s="275">
        <v>440</v>
      </c>
      <c r="Q1986" s="212">
        <v>26.5</v>
      </c>
      <c r="R1986" s="118">
        <f t="shared" ref="R1986:R2014" si="53">ROUND(P1986*Q1986,2)</f>
        <v>11660</v>
      </c>
      <c r="S1986" s="115">
        <v>202304</v>
      </c>
      <c r="T1986" s="205" t="s">
        <v>2656</v>
      </c>
      <c r="U1986" s="205"/>
      <c r="V1986" s="276"/>
      <c r="W1986" s="276"/>
      <c r="X1986" s="116">
        <v>43967</v>
      </c>
      <c r="Y1986" s="116">
        <v>45061</v>
      </c>
    </row>
    <row r="1987" s="85" customFormat="1" customHeight="1" spans="1:25">
      <c r="A1987" s="203" t="s">
        <v>61</v>
      </c>
      <c r="B1987" s="98" t="s">
        <v>62</v>
      </c>
      <c r="C1987" s="204" t="s">
        <v>63</v>
      </c>
      <c r="D1987" s="24" t="s">
        <v>75</v>
      </c>
      <c r="E1987" s="205" t="s">
        <v>2632</v>
      </c>
      <c r="F1987" s="203" t="s">
        <v>2633</v>
      </c>
      <c r="G1987" s="25" t="s">
        <v>67</v>
      </c>
      <c r="H1987" s="100" t="s">
        <v>2650</v>
      </c>
      <c r="I1987" s="46" t="e">
        <f>VLOOKUP(H1987,'合同高级查询数据-4月返'!A:A,1,FALSE)</f>
        <v>#N/A</v>
      </c>
      <c r="J1987" s="25" t="s">
        <v>69</v>
      </c>
      <c r="K1987" s="203" t="s">
        <v>2657</v>
      </c>
      <c r="L1987" s="206"/>
      <c r="M1987" s="49"/>
      <c r="N1987" s="73">
        <v>40360</v>
      </c>
      <c r="O1987" s="73" t="s">
        <v>71</v>
      </c>
      <c r="P1987" s="275">
        <v>880</v>
      </c>
      <c r="Q1987" s="212">
        <v>2.5</v>
      </c>
      <c r="R1987" s="118">
        <f t="shared" si="53"/>
        <v>2200</v>
      </c>
      <c r="S1987" s="115">
        <v>202304</v>
      </c>
      <c r="T1987" s="205" t="s">
        <v>2658</v>
      </c>
      <c r="U1987" s="205"/>
      <c r="V1987" s="276"/>
      <c r="W1987" s="276"/>
      <c r="X1987" s="116">
        <v>43967</v>
      </c>
      <c r="Y1987" s="116">
        <v>45061</v>
      </c>
    </row>
    <row r="1988" s="85" customFormat="1" customHeight="1" spans="1:25">
      <c r="A1988" s="203" t="s">
        <v>61</v>
      </c>
      <c r="B1988" s="98" t="s">
        <v>62</v>
      </c>
      <c r="C1988" s="204" t="s">
        <v>63</v>
      </c>
      <c r="D1988" s="24" t="s">
        <v>75</v>
      </c>
      <c r="E1988" s="205" t="s">
        <v>2632</v>
      </c>
      <c r="F1988" s="203" t="s">
        <v>2633</v>
      </c>
      <c r="G1988" s="25" t="s">
        <v>67</v>
      </c>
      <c r="H1988" s="100" t="s">
        <v>2650</v>
      </c>
      <c r="I1988" s="46" t="e">
        <f>VLOOKUP(H1988,'合同高级查询数据-4月返'!A:A,1,FALSE)</f>
        <v>#N/A</v>
      </c>
      <c r="J1988" s="25" t="s">
        <v>69</v>
      </c>
      <c r="K1988" s="203" t="s">
        <v>2659</v>
      </c>
      <c r="L1988" s="206"/>
      <c r="M1988" s="49"/>
      <c r="N1988" s="73">
        <v>40373</v>
      </c>
      <c r="O1988" s="73" t="s">
        <v>71</v>
      </c>
      <c r="P1988" s="275">
        <v>440</v>
      </c>
      <c r="Q1988" s="212">
        <v>13.5</v>
      </c>
      <c r="R1988" s="118">
        <f t="shared" si="53"/>
        <v>5940</v>
      </c>
      <c r="S1988" s="115">
        <v>202304</v>
      </c>
      <c r="T1988" s="205" t="s">
        <v>2660</v>
      </c>
      <c r="U1988" s="205"/>
      <c r="V1988" s="276"/>
      <c r="W1988" s="276"/>
      <c r="X1988" s="116">
        <v>43967</v>
      </c>
      <c r="Y1988" s="116">
        <v>45061</v>
      </c>
    </row>
    <row r="1989" s="85" customFormat="1" customHeight="1" spans="1:25">
      <c r="A1989" s="203" t="s">
        <v>61</v>
      </c>
      <c r="B1989" s="98" t="s">
        <v>62</v>
      </c>
      <c r="C1989" s="204" t="s">
        <v>63</v>
      </c>
      <c r="D1989" s="24" t="s">
        <v>75</v>
      </c>
      <c r="E1989" s="205" t="s">
        <v>2632</v>
      </c>
      <c r="F1989" s="203" t="s">
        <v>2633</v>
      </c>
      <c r="G1989" s="25" t="s">
        <v>67</v>
      </c>
      <c r="H1989" s="100" t="s">
        <v>2650</v>
      </c>
      <c r="I1989" s="46" t="e">
        <f>VLOOKUP(H1989,'合同高级查询数据-4月返'!A:A,1,FALSE)</f>
        <v>#N/A</v>
      </c>
      <c r="J1989" s="25" t="s">
        <v>69</v>
      </c>
      <c r="K1989" s="203" t="s">
        <v>2661</v>
      </c>
      <c r="L1989" s="206"/>
      <c r="M1989" s="49"/>
      <c r="N1989" s="73">
        <v>40371</v>
      </c>
      <c r="O1989" s="73" t="s">
        <v>71</v>
      </c>
      <c r="P1989" s="275">
        <v>440</v>
      </c>
      <c r="Q1989" s="212">
        <v>38.4</v>
      </c>
      <c r="R1989" s="118">
        <f t="shared" si="53"/>
        <v>16896</v>
      </c>
      <c r="S1989" s="115">
        <v>202304</v>
      </c>
      <c r="T1989" s="205" t="s">
        <v>2662</v>
      </c>
      <c r="U1989" s="205"/>
      <c r="V1989" s="276"/>
      <c r="W1989" s="276"/>
      <c r="X1989" s="116">
        <v>43967</v>
      </c>
      <c r="Y1989" s="116">
        <v>45061</v>
      </c>
    </row>
    <row r="1990" s="85" customFormat="1" customHeight="1" spans="1:25">
      <c r="A1990" s="203" t="s">
        <v>61</v>
      </c>
      <c r="B1990" s="98" t="s">
        <v>62</v>
      </c>
      <c r="C1990" s="204" t="s">
        <v>63</v>
      </c>
      <c r="D1990" s="24" t="s">
        <v>75</v>
      </c>
      <c r="E1990" s="205" t="s">
        <v>2632</v>
      </c>
      <c r="F1990" s="203" t="s">
        <v>2633</v>
      </c>
      <c r="G1990" s="25" t="s">
        <v>67</v>
      </c>
      <c r="H1990" s="100" t="s">
        <v>2650</v>
      </c>
      <c r="I1990" s="46" t="e">
        <f>VLOOKUP(H1990,'合同高级查询数据-4月返'!A:A,1,FALSE)</f>
        <v>#N/A</v>
      </c>
      <c r="J1990" s="25" t="s">
        <v>69</v>
      </c>
      <c r="K1990" s="203" t="s">
        <v>2663</v>
      </c>
      <c r="L1990" s="206"/>
      <c r="M1990" s="49"/>
      <c r="N1990" s="73">
        <v>39325</v>
      </c>
      <c r="O1990" s="73" t="s">
        <v>71</v>
      </c>
      <c r="P1990" s="275">
        <v>440</v>
      </c>
      <c r="Q1990" s="212">
        <v>33</v>
      </c>
      <c r="R1990" s="118">
        <f t="shared" si="53"/>
        <v>14520</v>
      </c>
      <c r="S1990" s="115">
        <v>202304</v>
      </c>
      <c r="T1990" s="205" t="s">
        <v>2664</v>
      </c>
      <c r="U1990" s="205"/>
      <c r="V1990" s="276"/>
      <c r="W1990" s="276"/>
      <c r="X1990" s="116">
        <v>43967</v>
      </c>
      <c r="Y1990" s="116">
        <v>45061</v>
      </c>
    </row>
    <row r="1991" s="85" customFormat="1" customHeight="1" spans="1:25">
      <c r="A1991" s="203" t="s">
        <v>61</v>
      </c>
      <c r="B1991" s="98" t="s">
        <v>62</v>
      </c>
      <c r="C1991" s="204" t="s">
        <v>63</v>
      </c>
      <c r="D1991" s="24" t="s">
        <v>75</v>
      </c>
      <c r="E1991" s="205" t="s">
        <v>2632</v>
      </c>
      <c r="F1991" s="203" t="s">
        <v>2633</v>
      </c>
      <c r="G1991" s="25" t="s">
        <v>67</v>
      </c>
      <c r="H1991" s="100" t="s">
        <v>2650</v>
      </c>
      <c r="I1991" s="46" t="e">
        <f>VLOOKUP(H1991,'合同高级查询数据-4月返'!A:A,1,FALSE)</f>
        <v>#N/A</v>
      </c>
      <c r="J1991" s="25" t="s">
        <v>69</v>
      </c>
      <c r="K1991" s="203" t="s">
        <v>2663</v>
      </c>
      <c r="L1991" s="206"/>
      <c r="M1991" s="49"/>
      <c r="N1991" s="73">
        <v>43982</v>
      </c>
      <c r="O1991" s="73" t="s">
        <v>71</v>
      </c>
      <c r="P1991" s="275">
        <v>440</v>
      </c>
      <c r="Q1991" s="212">
        <v>-33</v>
      </c>
      <c r="R1991" s="118">
        <f t="shared" si="53"/>
        <v>-14520</v>
      </c>
      <c r="S1991" s="115">
        <v>202304</v>
      </c>
      <c r="T1991" s="205" t="s">
        <v>2665</v>
      </c>
      <c r="U1991" s="205"/>
      <c r="V1991" s="276"/>
      <c r="W1991" s="276"/>
      <c r="X1991" s="116">
        <v>43967</v>
      </c>
      <c r="Y1991" s="116">
        <v>45061</v>
      </c>
    </row>
    <row r="1992" s="85" customFormat="1" customHeight="1" spans="1:25">
      <c r="A1992" s="203" t="s">
        <v>61</v>
      </c>
      <c r="B1992" s="98" t="s">
        <v>62</v>
      </c>
      <c r="C1992" s="204" t="s">
        <v>63</v>
      </c>
      <c r="D1992" s="24" t="s">
        <v>75</v>
      </c>
      <c r="E1992" s="205" t="s">
        <v>2632</v>
      </c>
      <c r="F1992" s="203" t="s">
        <v>2633</v>
      </c>
      <c r="G1992" s="25" t="s">
        <v>67</v>
      </c>
      <c r="H1992" s="100" t="s">
        <v>2650</v>
      </c>
      <c r="I1992" s="46" t="e">
        <f>VLOOKUP(H1992,'合同高级查询数据-4月返'!A:A,1,FALSE)</f>
        <v>#N/A</v>
      </c>
      <c r="J1992" s="25" t="s">
        <v>69</v>
      </c>
      <c r="K1992" s="203" t="s">
        <v>2666</v>
      </c>
      <c r="L1992" s="206"/>
      <c r="M1992" s="49"/>
      <c r="N1992" s="73">
        <v>40817</v>
      </c>
      <c r="O1992" s="73" t="s">
        <v>71</v>
      </c>
      <c r="P1992" s="275">
        <v>440</v>
      </c>
      <c r="Q1992" s="212">
        <v>69</v>
      </c>
      <c r="R1992" s="118">
        <f t="shared" si="53"/>
        <v>30360</v>
      </c>
      <c r="S1992" s="115">
        <v>202304</v>
      </c>
      <c r="T1992" s="205" t="s">
        <v>2667</v>
      </c>
      <c r="U1992" s="205"/>
      <c r="V1992" s="276"/>
      <c r="W1992" s="276"/>
      <c r="X1992" s="116">
        <v>43967</v>
      </c>
      <c r="Y1992" s="116">
        <v>45061</v>
      </c>
    </row>
    <row r="1993" s="85" customFormat="1" customHeight="1" spans="1:25">
      <c r="A1993" s="203" t="s">
        <v>61</v>
      </c>
      <c r="B1993" s="98" t="s">
        <v>62</v>
      </c>
      <c r="C1993" s="204" t="s">
        <v>63</v>
      </c>
      <c r="D1993" s="24" t="s">
        <v>75</v>
      </c>
      <c r="E1993" s="205" t="s">
        <v>2632</v>
      </c>
      <c r="F1993" s="203" t="s">
        <v>2633</v>
      </c>
      <c r="G1993" s="25" t="s">
        <v>67</v>
      </c>
      <c r="H1993" s="100" t="s">
        <v>2650</v>
      </c>
      <c r="I1993" s="46" t="e">
        <f>VLOOKUP(H1993,'合同高级查询数据-4月返'!A:A,1,FALSE)</f>
        <v>#N/A</v>
      </c>
      <c r="J1993" s="25" t="s">
        <v>69</v>
      </c>
      <c r="K1993" s="203" t="s">
        <v>2668</v>
      </c>
      <c r="L1993" s="206"/>
      <c r="M1993" s="49"/>
      <c r="N1993" s="73">
        <v>40817</v>
      </c>
      <c r="O1993" s="73" t="s">
        <v>71</v>
      </c>
      <c r="P1993" s="275">
        <v>440</v>
      </c>
      <c r="Q1993" s="212">
        <v>72</v>
      </c>
      <c r="R1993" s="118">
        <f t="shared" si="53"/>
        <v>31680</v>
      </c>
      <c r="S1993" s="115">
        <v>202304</v>
      </c>
      <c r="T1993" s="205" t="s">
        <v>2669</v>
      </c>
      <c r="U1993" s="205"/>
      <c r="V1993" s="276"/>
      <c r="W1993" s="276"/>
      <c r="X1993" s="116">
        <v>43967</v>
      </c>
      <c r="Y1993" s="116">
        <v>45061</v>
      </c>
    </row>
    <row r="1994" s="85" customFormat="1" customHeight="1" spans="1:25">
      <c r="A1994" s="203" t="s">
        <v>61</v>
      </c>
      <c r="B1994" s="98" t="s">
        <v>62</v>
      </c>
      <c r="C1994" s="204" t="s">
        <v>63</v>
      </c>
      <c r="D1994" s="24" t="s">
        <v>75</v>
      </c>
      <c r="E1994" s="205" t="s">
        <v>2632</v>
      </c>
      <c r="F1994" s="203" t="s">
        <v>2633</v>
      </c>
      <c r="G1994" s="25" t="s">
        <v>67</v>
      </c>
      <c r="H1994" s="100" t="s">
        <v>2650</v>
      </c>
      <c r="I1994" s="46" t="e">
        <f>VLOOKUP(H1994,'合同高级查询数据-4月返'!A:A,1,FALSE)</f>
        <v>#N/A</v>
      </c>
      <c r="J1994" s="25" t="s">
        <v>69</v>
      </c>
      <c r="K1994" s="203" t="s">
        <v>2670</v>
      </c>
      <c r="L1994" s="206"/>
      <c r="M1994" s="49"/>
      <c r="N1994" s="73">
        <v>40817</v>
      </c>
      <c r="O1994" s="73" t="s">
        <v>71</v>
      </c>
      <c r="P1994" s="275">
        <v>440</v>
      </c>
      <c r="Q1994" s="212">
        <v>57</v>
      </c>
      <c r="R1994" s="118">
        <f t="shared" si="53"/>
        <v>25080</v>
      </c>
      <c r="S1994" s="115">
        <v>202304</v>
      </c>
      <c r="T1994" s="205" t="s">
        <v>2671</v>
      </c>
      <c r="U1994" s="205"/>
      <c r="V1994" s="276"/>
      <c r="W1994" s="276"/>
      <c r="X1994" s="116">
        <v>43967</v>
      </c>
      <c r="Y1994" s="116">
        <v>45061</v>
      </c>
    </row>
    <row r="1995" s="85" customFormat="1" customHeight="1" spans="1:25">
      <c r="A1995" s="203" t="s">
        <v>61</v>
      </c>
      <c r="B1995" s="98" t="s">
        <v>62</v>
      </c>
      <c r="C1995" s="204" t="s">
        <v>63</v>
      </c>
      <c r="D1995" s="24" t="s">
        <v>75</v>
      </c>
      <c r="E1995" s="205" t="s">
        <v>2632</v>
      </c>
      <c r="F1995" s="203" t="s">
        <v>2633</v>
      </c>
      <c r="G1995" s="25" t="s">
        <v>67</v>
      </c>
      <c r="H1995" s="100" t="s">
        <v>2650</v>
      </c>
      <c r="I1995" s="46" t="e">
        <f>VLOOKUP(H1995,'合同高级查询数据-4月返'!A:A,1,FALSE)</f>
        <v>#N/A</v>
      </c>
      <c r="J1995" s="25" t="s">
        <v>69</v>
      </c>
      <c r="K1995" s="203" t="s">
        <v>2672</v>
      </c>
      <c r="L1995" s="206"/>
      <c r="M1995" s="49"/>
      <c r="N1995" s="73">
        <v>43804</v>
      </c>
      <c r="O1995" s="73" t="s">
        <v>71</v>
      </c>
      <c r="P1995" s="275">
        <v>440</v>
      </c>
      <c r="Q1995" s="212">
        <v>34.1</v>
      </c>
      <c r="R1995" s="118">
        <f t="shared" si="53"/>
        <v>15004</v>
      </c>
      <c r="S1995" s="115">
        <v>202304</v>
      </c>
      <c r="T1995" s="205" t="s">
        <v>2673</v>
      </c>
      <c r="U1995" s="205"/>
      <c r="V1995" s="276"/>
      <c r="W1995" s="276"/>
      <c r="X1995" s="116">
        <v>43967</v>
      </c>
      <c r="Y1995" s="116">
        <v>45061</v>
      </c>
    </row>
    <row r="1996" s="85" customFormat="1" customHeight="1" spans="1:25">
      <c r="A1996" s="203" t="s">
        <v>61</v>
      </c>
      <c r="B1996" s="98" t="s">
        <v>62</v>
      </c>
      <c r="C1996" s="204" t="s">
        <v>63</v>
      </c>
      <c r="D1996" s="24" t="s">
        <v>75</v>
      </c>
      <c r="E1996" s="205" t="s">
        <v>2632</v>
      </c>
      <c r="F1996" s="203" t="s">
        <v>2633</v>
      </c>
      <c r="G1996" s="25" t="s">
        <v>67</v>
      </c>
      <c r="H1996" s="100" t="s">
        <v>2650</v>
      </c>
      <c r="I1996" s="46" t="e">
        <f>VLOOKUP(H1996,'合同高级查询数据-4月返'!A:A,1,FALSE)</f>
        <v>#N/A</v>
      </c>
      <c r="J1996" s="25" t="s">
        <v>69</v>
      </c>
      <c r="K1996" s="203" t="s">
        <v>2674</v>
      </c>
      <c r="L1996" s="206"/>
      <c r="M1996" s="49"/>
      <c r="N1996" s="73">
        <v>43804</v>
      </c>
      <c r="O1996" s="73" t="s">
        <v>71</v>
      </c>
      <c r="P1996" s="275">
        <v>440</v>
      </c>
      <c r="Q1996" s="212">
        <v>9.1</v>
      </c>
      <c r="R1996" s="118">
        <f t="shared" si="53"/>
        <v>4004</v>
      </c>
      <c r="S1996" s="115">
        <v>202304</v>
      </c>
      <c r="T1996" s="205" t="s">
        <v>2675</v>
      </c>
      <c r="U1996" s="205"/>
      <c r="V1996" s="276"/>
      <c r="W1996" s="276"/>
      <c r="X1996" s="116">
        <v>43967</v>
      </c>
      <c r="Y1996" s="116">
        <v>45061</v>
      </c>
    </row>
    <row r="1997" s="85" customFormat="1" customHeight="1" spans="1:25">
      <c r="A1997" s="203" t="s">
        <v>61</v>
      </c>
      <c r="B1997" s="98" t="s">
        <v>62</v>
      </c>
      <c r="C1997" s="204" t="s">
        <v>63</v>
      </c>
      <c r="D1997" s="24" t="s">
        <v>75</v>
      </c>
      <c r="E1997" s="205" t="s">
        <v>2632</v>
      </c>
      <c r="F1997" s="203" t="s">
        <v>2633</v>
      </c>
      <c r="G1997" s="25" t="s">
        <v>67</v>
      </c>
      <c r="H1997" s="100" t="s">
        <v>2650</v>
      </c>
      <c r="I1997" s="46" t="e">
        <f>VLOOKUP(H1997,'合同高级查询数据-4月返'!A:A,1,FALSE)</f>
        <v>#N/A</v>
      </c>
      <c r="J1997" s="25" t="s">
        <v>69</v>
      </c>
      <c r="K1997" s="203" t="s">
        <v>2676</v>
      </c>
      <c r="L1997" s="206"/>
      <c r="M1997" s="49"/>
      <c r="N1997" s="73">
        <v>43780</v>
      </c>
      <c r="O1997" s="73" t="s">
        <v>71</v>
      </c>
      <c r="P1997" s="275">
        <v>440</v>
      </c>
      <c r="Q1997" s="212">
        <v>25.95</v>
      </c>
      <c r="R1997" s="118">
        <f t="shared" si="53"/>
        <v>11418</v>
      </c>
      <c r="S1997" s="115">
        <v>202304</v>
      </c>
      <c r="T1997" s="205" t="s">
        <v>2677</v>
      </c>
      <c r="U1997" s="205"/>
      <c r="V1997" s="276"/>
      <c r="W1997" s="276"/>
      <c r="X1997" s="116">
        <v>43967</v>
      </c>
      <c r="Y1997" s="116">
        <v>45061</v>
      </c>
    </row>
    <row r="1998" s="85" customFormat="1" customHeight="1" spans="1:25">
      <c r="A1998" s="203" t="s">
        <v>61</v>
      </c>
      <c r="B1998" s="98" t="s">
        <v>62</v>
      </c>
      <c r="C1998" s="204" t="s">
        <v>63</v>
      </c>
      <c r="D1998" s="24" t="s">
        <v>75</v>
      </c>
      <c r="E1998" s="205" t="s">
        <v>2632</v>
      </c>
      <c r="F1998" s="203" t="s">
        <v>2633</v>
      </c>
      <c r="G1998" s="25" t="s">
        <v>67</v>
      </c>
      <c r="H1998" s="100" t="s">
        <v>2650</v>
      </c>
      <c r="I1998" s="46" t="e">
        <f>VLOOKUP(H1998,'合同高级查询数据-4月返'!A:A,1,FALSE)</f>
        <v>#N/A</v>
      </c>
      <c r="J1998" s="25" t="s">
        <v>69</v>
      </c>
      <c r="K1998" s="203" t="s">
        <v>2678</v>
      </c>
      <c r="L1998" s="206"/>
      <c r="M1998" s="49"/>
      <c r="N1998" s="73">
        <v>43770</v>
      </c>
      <c r="O1998" s="73" t="s">
        <v>71</v>
      </c>
      <c r="P1998" s="275">
        <v>440</v>
      </c>
      <c r="Q1998" s="212">
        <v>10.84</v>
      </c>
      <c r="R1998" s="118">
        <f t="shared" si="53"/>
        <v>4769.6</v>
      </c>
      <c r="S1998" s="115">
        <v>202304</v>
      </c>
      <c r="T1998" s="205" t="s">
        <v>2679</v>
      </c>
      <c r="U1998" s="205"/>
      <c r="V1998" s="276"/>
      <c r="W1998" s="276"/>
      <c r="X1998" s="116">
        <v>43967</v>
      </c>
      <c r="Y1998" s="116">
        <v>45061</v>
      </c>
    </row>
    <row r="1999" s="85" customFormat="1" customHeight="1" spans="1:25">
      <c r="A1999" s="203" t="s">
        <v>61</v>
      </c>
      <c r="B1999" s="98" t="s">
        <v>62</v>
      </c>
      <c r="C1999" s="204" t="s">
        <v>63</v>
      </c>
      <c r="D1999" s="24" t="s">
        <v>75</v>
      </c>
      <c r="E1999" s="205" t="s">
        <v>2632</v>
      </c>
      <c r="F1999" s="203" t="s">
        <v>2633</v>
      </c>
      <c r="G1999" s="25" t="s">
        <v>67</v>
      </c>
      <c r="H1999" s="100" t="s">
        <v>2650</v>
      </c>
      <c r="I1999" s="46" t="e">
        <f>VLOOKUP(H1999,'合同高级查询数据-4月返'!A:A,1,FALSE)</f>
        <v>#N/A</v>
      </c>
      <c r="J1999" s="25" t="s">
        <v>69</v>
      </c>
      <c r="K1999" s="203" t="s">
        <v>2672</v>
      </c>
      <c r="L1999" s="206"/>
      <c r="M1999" s="49"/>
      <c r="N1999" s="73">
        <v>44058</v>
      </c>
      <c r="O1999" s="73" t="s">
        <v>71</v>
      </c>
      <c r="P1999" s="275">
        <v>440</v>
      </c>
      <c r="Q1999" s="212">
        <v>-34.1</v>
      </c>
      <c r="R1999" s="118">
        <f t="shared" si="53"/>
        <v>-15004</v>
      </c>
      <c r="S1999" s="115">
        <v>202304</v>
      </c>
      <c r="T1999" s="205" t="s">
        <v>2680</v>
      </c>
      <c r="U1999" s="205"/>
      <c r="V1999" s="276"/>
      <c r="W1999" s="276"/>
      <c r="X1999" s="116">
        <v>43967</v>
      </c>
      <c r="Y1999" s="116">
        <v>45061</v>
      </c>
    </row>
    <row r="2000" s="85" customFormat="1" customHeight="1" spans="1:25">
      <c r="A2000" s="203" t="s">
        <v>61</v>
      </c>
      <c r="B2000" s="98" t="s">
        <v>62</v>
      </c>
      <c r="C2000" s="204" t="s">
        <v>63</v>
      </c>
      <c r="D2000" s="24" t="s">
        <v>75</v>
      </c>
      <c r="E2000" s="205" t="s">
        <v>2632</v>
      </c>
      <c r="F2000" s="203" t="s">
        <v>2633</v>
      </c>
      <c r="G2000" s="25" t="s">
        <v>67</v>
      </c>
      <c r="H2000" s="100" t="s">
        <v>2650</v>
      </c>
      <c r="I2000" s="46" t="e">
        <f>VLOOKUP(H2000,'合同高级查询数据-4月返'!A:A,1,FALSE)</f>
        <v>#N/A</v>
      </c>
      <c r="J2000" s="25" t="s">
        <v>69</v>
      </c>
      <c r="K2000" s="203" t="s">
        <v>2674</v>
      </c>
      <c r="L2000" s="206"/>
      <c r="M2000" s="49"/>
      <c r="N2000" s="73">
        <v>44058</v>
      </c>
      <c r="O2000" s="73" t="s">
        <v>71</v>
      </c>
      <c r="P2000" s="275">
        <v>440</v>
      </c>
      <c r="Q2000" s="212">
        <v>-9.1</v>
      </c>
      <c r="R2000" s="118">
        <f t="shared" si="53"/>
        <v>-4004</v>
      </c>
      <c r="S2000" s="115">
        <v>202304</v>
      </c>
      <c r="T2000" s="205" t="s">
        <v>2681</v>
      </c>
      <c r="U2000" s="205"/>
      <c r="V2000" s="276"/>
      <c r="W2000" s="276"/>
      <c r="X2000" s="116">
        <v>43967</v>
      </c>
      <c r="Y2000" s="116">
        <v>45061</v>
      </c>
    </row>
    <row r="2001" s="85" customFormat="1" customHeight="1" spans="1:25">
      <c r="A2001" s="203" t="s">
        <v>61</v>
      </c>
      <c r="B2001" s="98" t="s">
        <v>62</v>
      </c>
      <c r="C2001" s="204" t="s">
        <v>63</v>
      </c>
      <c r="D2001" s="24" t="s">
        <v>75</v>
      </c>
      <c r="E2001" s="205" t="s">
        <v>2632</v>
      </c>
      <c r="F2001" s="203" t="s">
        <v>2633</v>
      </c>
      <c r="G2001" s="25" t="s">
        <v>67</v>
      </c>
      <c r="H2001" s="100" t="s">
        <v>2650</v>
      </c>
      <c r="I2001" s="46" t="e">
        <f>VLOOKUP(H2001,'合同高级查询数据-4月返'!A:A,1,FALSE)</f>
        <v>#N/A</v>
      </c>
      <c r="J2001" s="25" t="s">
        <v>69</v>
      </c>
      <c r="K2001" s="203" t="s">
        <v>2676</v>
      </c>
      <c r="L2001" s="206"/>
      <c r="M2001" s="49"/>
      <c r="N2001" s="73">
        <v>44058</v>
      </c>
      <c r="O2001" s="73" t="s">
        <v>71</v>
      </c>
      <c r="P2001" s="275">
        <v>440</v>
      </c>
      <c r="Q2001" s="212">
        <v>-25.95</v>
      </c>
      <c r="R2001" s="118">
        <f t="shared" si="53"/>
        <v>-11418</v>
      </c>
      <c r="S2001" s="115">
        <v>202304</v>
      </c>
      <c r="T2001" s="205" t="s">
        <v>2682</v>
      </c>
      <c r="U2001" s="205"/>
      <c r="V2001" s="276"/>
      <c r="W2001" s="276"/>
      <c r="X2001" s="116">
        <v>43967</v>
      </c>
      <c r="Y2001" s="116">
        <v>45061</v>
      </c>
    </row>
    <row r="2002" s="85" customFormat="1" customHeight="1" spans="1:25">
      <c r="A2002" s="203" t="s">
        <v>61</v>
      </c>
      <c r="B2002" s="98" t="s">
        <v>62</v>
      </c>
      <c r="C2002" s="204" t="s">
        <v>63</v>
      </c>
      <c r="D2002" s="24" t="s">
        <v>75</v>
      </c>
      <c r="E2002" s="205" t="s">
        <v>2632</v>
      </c>
      <c r="F2002" s="203" t="s">
        <v>2633</v>
      </c>
      <c r="G2002" s="25" t="s">
        <v>67</v>
      </c>
      <c r="H2002" s="100" t="s">
        <v>2650</v>
      </c>
      <c r="I2002" s="46" t="e">
        <f>VLOOKUP(H2002,'合同高级查询数据-4月返'!A:A,1,FALSE)</f>
        <v>#N/A</v>
      </c>
      <c r="J2002" s="25" t="s">
        <v>69</v>
      </c>
      <c r="K2002" s="203" t="s">
        <v>2678</v>
      </c>
      <c r="L2002" s="206"/>
      <c r="M2002" s="49"/>
      <c r="N2002" s="73">
        <v>44058</v>
      </c>
      <c r="O2002" s="73" t="s">
        <v>71</v>
      </c>
      <c r="P2002" s="275">
        <v>440</v>
      </c>
      <c r="Q2002" s="212">
        <v>-10.84</v>
      </c>
      <c r="R2002" s="118">
        <f t="shared" si="53"/>
        <v>-4769.6</v>
      </c>
      <c r="S2002" s="115">
        <v>202304</v>
      </c>
      <c r="T2002" s="205" t="s">
        <v>2683</v>
      </c>
      <c r="U2002" s="205"/>
      <c r="V2002" s="276"/>
      <c r="W2002" s="276"/>
      <c r="X2002" s="116">
        <v>43967</v>
      </c>
      <c r="Y2002" s="116">
        <v>45061</v>
      </c>
    </row>
    <row r="2003" s="85" customFormat="1" customHeight="1" spans="1:25">
      <c r="A2003" s="203" t="s">
        <v>61</v>
      </c>
      <c r="B2003" s="98" t="s">
        <v>62</v>
      </c>
      <c r="C2003" s="204" t="s">
        <v>63</v>
      </c>
      <c r="D2003" s="24" t="s">
        <v>75</v>
      </c>
      <c r="E2003" s="205" t="s">
        <v>2632</v>
      </c>
      <c r="F2003" s="203" t="s">
        <v>2633</v>
      </c>
      <c r="G2003" s="25" t="s">
        <v>67</v>
      </c>
      <c r="H2003" s="100" t="s">
        <v>2650</v>
      </c>
      <c r="I2003" s="46" t="e">
        <f>VLOOKUP(H2003,'合同高级查询数据-4月返'!A:A,1,FALSE)</f>
        <v>#N/A</v>
      </c>
      <c r="J2003" s="25" t="s">
        <v>69</v>
      </c>
      <c r="K2003" s="203" t="s">
        <v>2684</v>
      </c>
      <c r="L2003" s="206"/>
      <c r="M2003" s="49"/>
      <c r="N2003" s="73">
        <v>43824</v>
      </c>
      <c r="O2003" s="73" t="s">
        <v>71</v>
      </c>
      <c r="P2003" s="275">
        <v>440</v>
      </c>
      <c r="Q2003" s="212">
        <v>17.8</v>
      </c>
      <c r="R2003" s="118">
        <f t="shared" si="53"/>
        <v>7832</v>
      </c>
      <c r="S2003" s="115">
        <v>202304</v>
      </c>
      <c r="T2003" s="205" t="s">
        <v>2685</v>
      </c>
      <c r="U2003" s="205"/>
      <c r="V2003" s="276"/>
      <c r="W2003" s="276"/>
      <c r="X2003" s="116">
        <v>43967</v>
      </c>
      <c r="Y2003" s="116">
        <v>45061</v>
      </c>
    </row>
    <row r="2004" s="85" customFormat="1" customHeight="1" spans="1:25">
      <c r="A2004" s="203" t="s">
        <v>61</v>
      </c>
      <c r="B2004" s="98" t="s">
        <v>62</v>
      </c>
      <c r="C2004" s="204" t="s">
        <v>63</v>
      </c>
      <c r="D2004" s="24" t="s">
        <v>75</v>
      </c>
      <c r="E2004" s="205" t="s">
        <v>2632</v>
      </c>
      <c r="F2004" s="203" t="s">
        <v>2633</v>
      </c>
      <c r="G2004" s="25" t="s">
        <v>67</v>
      </c>
      <c r="H2004" s="100" t="s">
        <v>2650</v>
      </c>
      <c r="I2004" s="46" t="e">
        <f>VLOOKUP(H2004,'合同高级查询数据-4月返'!A:A,1,FALSE)</f>
        <v>#N/A</v>
      </c>
      <c r="J2004" s="25" t="s">
        <v>69</v>
      </c>
      <c r="K2004" s="203" t="s">
        <v>2686</v>
      </c>
      <c r="L2004" s="206"/>
      <c r="M2004" s="49"/>
      <c r="N2004" s="73">
        <v>43824</v>
      </c>
      <c r="O2004" s="73" t="s">
        <v>71</v>
      </c>
      <c r="P2004" s="275">
        <v>440</v>
      </c>
      <c r="Q2004" s="212">
        <v>36.7</v>
      </c>
      <c r="R2004" s="118">
        <f t="shared" si="53"/>
        <v>16148</v>
      </c>
      <c r="S2004" s="115">
        <v>202304</v>
      </c>
      <c r="T2004" s="205" t="s">
        <v>2687</v>
      </c>
      <c r="U2004" s="205"/>
      <c r="V2004" s="276"/>
      <c r="W2004" s="276"/>
      <c r="X2004" s="116">
        <v>43967</v>
      </c>
      <c r="Y2004" s="116">
        <v>45061</v>
      </c>
    </row>
    <row r="2005" s="85" customFormat="1" customHeight="1" spans="1:25">
      <c r="A2005" s="203" t="s">
        <v>61</v>
      </c>
      <c r="B2005" s="98" t="s">
        <v>62</v>
      </c>
      <c r="C2005" s="204" t="s">
        <v>63</v>
      </c>
      <c r="D2005" s="24" t="s">
        <v>75</v>
      </c>
      <c r="E2005" s="205" t="s">
        <v>2632</v>
      </c>
      <c r="F2005" s="203" t="s">
        <v>2633</v>
      </c>
      <c r="G2005" s="25" t="s">
        <v>67</v>
      </c>
      <c r="H2005" s="100" t="s">
        <v>2650</v>
      </c>
      <c r="I2005" s="46" t="e">
        <f>VLOOKUP(H2005,'合同高级查询数据-4月返'!A:A,1,FALSE)</f>
        <v>#N/A</v>
      </c>
      <c r="J2005" s="25" t="s">
        <v>69</v>
      </c>
      <c r="K2005" s="203" t="s">
        <v>2688</v>
      </c>
      <c r="L2005" s="206"/>
      <c r="M2005" s="49"/>
      <c r="N2005" s="73">
        <v>43824</v>
      </c>
      <c r="O2005" s="73" t="s">
        <v>71</v>
      </c>
      <c r="P2005" s="275">
        <v>440</v>
      </c>
      <c r="Q2005" s="212">
        <v>5.7</v>
      </c>
      <c r="R2005" s="118">
        <f t="shared" si="53"/>
        <v>2508</v>
      </c>
      <c r="S2005" s="115">
        <v>202304</v>
      </c>
      <c r="T2005" s="205" t="s">
        <v>2689</v>
      </c>
      <c r="U2005" s="205"/>
      <c r="V2005" s="276"/>
      <c r="W2005" s="276"/>
      <c r="X2005" s="116">
        <v>43967</v>
      </c>
      <c r="Y2005" s="116">
        <v>45061</v>
      </c>
    </row>
    <row r="2006" s="85" customFormat="1" customHeight="1" spans="1:25">
      <c r="A2006" s="203" t="s">
        <v>61</v>
      </c>
      <c r="B2006" s="98" t="s">
        <v>62</v>
      </c>
      <c r="C2006" s="204" t="s">
        <v>63</v>
      </c>
      <c r="D2006" s="24" t="s">
        <v>75</v>
      </c>
      <c r="E2006" s="205" t="s">
        <v>2632</v>
      </c>
      <c r="F2006" s="203" t="s">
        <v>2633</v>
      </c>
      <c r="G2006" s="25" t="s">
        <v>67</v>
      </c>
      <c r="H2006" s="100" t="s">
        <v>2650</v>
      </c>
      <c r="I2006" s="46" t="e">
        <f>VLOOKUP(H2006,'合同高级查询数据-4月返'!A:A,1,FALSE)</f>
        <v>#N/A</v>
      </c>
      <c r="J2006" s="25" t="s">
        <v>69</v>
      </c>
      <c r="K2006" s="203" t="s">
        <v>2690</v>
      </c>
      <c r="L2006" s="206"/>
      <c r="M2006" s="49"/>
      <c r="N2006" s="73">
        <v>43824</v>
      </c>
      <c r="O2006" s="73" t="s">
        <v>71</v>
      </c>
      <c r="P2006" s="275">
        <v>440</v>
      </c>
      <c r="Q2006" s="212">
        <v>11.2</v>
      </c>
      <c r="R2006" s="118">
        <f t="shared" si="53"/>
        <v>4928</v>
      </c>
      <c r="S2006" s="115">
        <v>202304</v>
      </c>
      <c r="T2006" s="205" t="s">
        <v>2691</v>
      </c>
      <c r="U2006" s="205"/>
      <c r="V2006" s="276"/>
      <c r="W2006" s="276"/>
      <c r="X2006" s="116">
        <v>43967</v>
      </c>
      <c r="Y2006" s="116">
        <v>45061</v>
      </c>
    </row>
    <row r="2007" s="85" customFormat="1" customHeight="1" spans="1:25">
      <c r="A2007" s="203" t="s">
        <v>61</v>
      </c>
      <c r="B2007" s="98" t="s">
        <v>62</v>
      </c>
      <c r="C2007" s="204" t="s">
        <v>63</v>
      </c>
      <c r="D2007" s="24" t="s">
        <v>75</v>
      </c>
      <c r="E2007" s="205" t="s">
        <v>2632</v>
      </c>
      <c r="F2007" s="203" t="s">
        <v>2633</v>
      </c>
      <c r="G2007" s="25" t="s">
        <v>346</v>
      </c>
      <c r="H2007" s="100" t="s">
        <v>2692</v>
      </c>
      <c r="I2007" s="46" t="e">
        <f>VLOOKUP(H2007,'合同高级查询数据-4月返'!A:A,1,FALSE)</f>
        <v>#N/A</v>
      </c>
      <c r="J2007" s="25" t="s">
        <v>346</v>
      </c>
      <c r="K2007" s="203" t="s">
        <v>2693</v>
      </c>
      <c r="L2007" s="206"/>
      <c r="M2007" s="49"/>
      <c r="N2007" s="73">
        <v>43983</v>
      </c>
      <c r="O2007" s="73" t="s">
        <v>2694</v>
      </c>
      <c r="P2007" s="275">
        <v>594400</v>
      </c>
      <c r="Q2007" s="212">
        <v>1</v>
      </c>
      <c r="R2007" s="118">
        <f t="shared" si="53"/>
        <v>594400</v>
      </c>
      <c r="S2007" s="115">
        <v>202304</v>
      </c>
      <c r="T2007" s="205" t="s">
        <v>2695</v>
      </c>
      <c r="U2007" s="205"/>
      <c r="V2007" s="276"/>
      <c r="W2007" s="276"/>
      <c r="X2007" s="116">
        <v>43983</v>
      </c>
      <c r="Y2007" s="116">
        <v>45508</v>
      </c>
    </row>
    <row r="2008" s="85" customFormat="1" customHeight="1" spans="1:25">
      <c r="A2008" s="203" t="s">
        <v>61</v>
      </c>
      <c r="B2008" s="98" t="s">
        <v>62</v>
      </c>
      <c r="C2008" s="204" t="s">
        <v>63</v>
      </c>
      <c r="D2008" s="24" t="s">
        <v>75</v>
      </c>
      <c r="E2008" s="205" t="s">
        <v>2632</v>
      </c>
      <c r="F2008" s="203" t="s">
        <v>2633</v>
      </c>
      <c r="G2008" s="25" t="s">
        <v>346</v>
      </c>
      <c r="H2008" s="100" t="s">
        <v>2696</v>
      </c>
      <c r="I2008" s="46" t="e">
        <f>VLOOKUP(H2008,'合同高级查询数据-4月返'!A:A,1,FALSE)</f>
        <v>#N/A</v>
      </c>
      <c r="J2008" s="25" t="s">
        <v>346</v>
      </c>
      <c r="K2008" s="203" t="s">
        <v>2697</v>
      </c>
      <c r="L2008" s="206"/>
      <c r="M2008" s="49"/>
      <c r="N2008" s="73">
        <v>43983</v>
      </c>
      <c r="O2008" s="73" t="s">
        <v>2698</v>
      </c>
      <c r="P2008" s="275">
        <v>29898</v>
      </c>
      <c r="Q2008" s="212">
        <v>1</v>
      </c>
      <c r="R2008" s="118">
        <f t="shared" si="53"/>
        <v>29898</v>
      </c>
      <c r="S2008" s="115">
        <v>202304</v>
      </c>
      <c r="T2008" s="205" t="s">
        <v>2699</v>
      </c>
      <c r="U2008" s="205"/>
      <c r="V2008" s="276"/>
      <c r="W2008" s="276"/>
      <c r="X2008" s="116">
        <v>43983</v>
      </c>
      <c r="Y2008" s="116">
        <v>45508</v>
      </c>
    </row>
    <row r="2009" s="85" customFormat="1" customHeight="1" spans="1:25">
      <c r="A2009" s="203" t="s">
        <v>61</v>
      </c>
      <c r="B2009" s="98" t="s">
        <v>62</v>
      </c>
      <c r="C2009" s="204" t="s">
        <v>63</v>
      </c>
      <c r="D2009" s="24" t="s">
        <v>75</v>
      </c>
      <c r="E2009" s="205" t="s">
        <v>2632</v>
      </c>
      <c r="F2009" s="203" t="s">
        <v>2633</v>
      </c>
      <c r="G2009" s="25" t="s">
        <v>88</v>
      </c>
      <c r="H2009" s="100" t="s">
        <v>2700</v>
      </c>
      <c r="I2009" s="46" t="e">
        <f>VLOOKUP(H2009,'合同高级查询数据-4月返'!A:A,1,FALSE)</f>
        <v>#N/A</v>
      </c>
      <c r="J2009" s="25" t="s">
        <v>90</v>
      </c>
      <c r="K2009" s="203" t="s">
        <v>2701</v>
      </c>
      <c r="L2009" s="206"/>
      <c r="M2009" s="49" t="s">
        <v>2702</v>
      </c>
      <c r="N2009" s="73">
        <v>43992</v>
      </c>
      <c r="O2009" s="73" t="s">
        <v>503</v>
      </c>
      <c r="P2009" s="275">
        <v>6540</v>
      </c>
      <c r="Q2009" s="212">
        <v>1</v>
      </c>
      <c r="R2009" s="118">
        <f t="shared" si="53"/>
        <v>6540</v>
      </c>
      <c r="S2009" s="115">
        <v>202304</v>
      </c>
      <c r="T2009" s="205" t="s">
        <v>2703</v>
      </c>
      <c r="U2009" s="205"/>
      <c r="V2009" s="276"/>
      <c r="W2009" s="276"/>
      <c r="X2009" s="116">
        <v>43952</v>
      </c>
      <c r="Y2009" s="116">
        <v>45046</v>
      </c>
    </row>
    <row r="2010" s="85" customFormat="1" customHeight="1" spans="1:25">
      <c r="A2010" s="203" t="s">
        <v>61</v>
      </c>
      <c r="B2010" s="98" t="s">
        <v>62</v>
      </c>
      <c r="C2010" s="204" t="s">
        <v>63</v>
      </c>
      <c r="D2010" s="24" t="s">
        <v>75</v>
      </c>
      <c r="E2010" s="205" t="s">
        <v>2632</v>
      </c>
      <c r="F2010" s="203" t="s">
        <v>2633</v>
      </c>
      <c r="G2010" s="25" t="s">
        <v>88</v>
      </c>
      <c r="H2010" s="100" t="s">
        <v>2700</v>
      </c>
      <c r="I2010" s="46" t="e">
        <f>VLOOKUP(H2010,'合同高级查询数据-4月返'!A:A,1,FALSE)</f>
        <v>#N/A</v>
      </c>
      <c r="J2010" s="25" t="s">
        <v>90</v>
      </c>
      <c r="K2010" s="203" t="s">
        <v>2701</v>
      </c>
      <c r="L2010" s="206"/>
      <c r="M2010" s="49" t="s">
        <v>2702</v>
      </c>
      <c r="N2010" s="73">
        <v>44607</v>
      </c>
      <c r="O2010" s="73" t="s">
        <v>503</v>
      </c>
      <c r="P2010" s="275">
        <v>6540</v>
      </c>
      <c r="Q2010" s="212">
        <v>-1</v>
      </c>
      <c r="R2010" s="118">
        <f t="shared" si="53"/>
        <v>-6540</v>
      </c>
      <c r="S2010" s="115">
        <v>202304</v>
      </c>
      <c r="T2010" s="205" t="s">
        <v>2704</v>
      </c>
      <c r="U2010" s="280"/>
      <c r="V2010" s="280"/>
      <c r="W2010" s="280"/>
      <c r="X2010" s="116">
        <v>43952</v>
      </c>
      <c r="Y2010" s="116">
        <v>45046</v>
      </c>
    </row>
    <row r="2011" s="85" customFormat="1" customHeight="1" spans="1:25">
      <c r="A2011" s="203" t="s">
        <v>61</v>
      </c>
      <c r="B2011" s="98" t="s">
        <v>62</v>
      </c>
      <c r="C2011" s="204" t="s">
        <v>63</v>
      </c>
      <c r="D2011" s="24" t="s">
        <v>75</v>
      </c>
      <c r="E2011" s="205" t="s">
        <v>2632</v>
      </c>
      <c r="F2011" s="203" t="s">
        <v>2633</v>
      </c>
      <c r="G2011" s="25" t="s">
        <v>67</v>
      </c>
      <c r="H2011" s="100" t="s">
        <v>2700</v>
      </c>
      <c r="I2011" s="46" t="e">
        <f>VLOOKUP(H2011,'合同高级查询数据-4月返'!A:A,1,FALSE)</f>
        <v>#N/A</v>
      </c>
      <c r="J2011" s="25" t="s">
        <v>69</v>
      </c>
      <c r="K2011" s="203" t="s">
        <v>2705</v>
      </c>
      <c r="L2011" s="206"/>
      <c r="M2011" s="49"/>
      <c r="N2011" s="73">
        <v>43959</v>
      </c>
      <c r="O2011" s="73" t="s">
        <v>71</v>
      </c>
      <c r="P2011" s="275">
        <v>440</v>
      </c>
      <c r="Q2011" s="212">
        <v>3.2</v>
      </c>
      <c r="R2011" s="118">
        <f t="shared" si="53"/>
        <v>1408</v>
      </c>
      <c r="S2011" s="115">
        <v>202304</v>
      </c>
      <c r="T2011" s="205" t="s">
        <v>2706</v>
      </c>
      <c r="U2011" s="205"/>
      <c r="V2011" s="276"/>
      <c r="W2011" s="276"/>
      <c r="X2011" s="116">
        <v>43952</v>
      </c>
      <c r="Y2011" s="116">
        <v>45046</v>
      </c>
    </row>
    <row r="2012" s="85" customFormat="1" customHeight="1" spans="1:25">
      <c r="A2012" s="203" t="s">
        <v>61</v>
      </c>
      <c r="B2012" s="98" t="s">
        <v>62</v>
      </c>
      <c r="C2012" s="204" t="s">
        <v>63</v>
      </c>
      <c r="D2012" s="24" t="s">
        <v>75</v>
      </c>
      <c r="E2012" s="205" t="s">
        <v>2632</v>
      </c>
      <c r="F2012" s="203" t="s">
        <v>2633</v>
      </c>
      <c r="G2012" s="25" t="s">
        <v>67</v>
      </c>
      <c r="H2012" s="100" t="s">
        <v>2700</v>
      </c>
      <c r="I2012" s="46" t="e">
        <f>VLOOKUP(H2012,'合同高级查询数据-4月返'!A:A,1,FALSE)</f>
        <v>#N/A</v>
      </c>
      <c r="J2012" s="25" t="s">
        <v>69</v>
      </c>
      <c r="K2012" s="203" t="s">
        <v>2707</v>
      </c>
      <c r="L2012" s="206"/>
      <c r="M2012" s="49"/>
      <c r="N2012" s="73">
        <v>43959</v>
      </c>
      <c r="O2012" s="73" t="s">
        <v>71</v>
      </c>
      <c r="P2012" s="275">
        <v>1320</v>
      </c>
      <c r="Q2012" s="212">
        <v>6.2</v>
      </c>
      <c r="R2012" s="118">
        <f t="shared" si="53"/>
        <v>8184</v>
      </c>
      <c r="S2012" s="115">
        <v>202304</v>
      </c>
      <c r="T2012" s="205" t="s">
        <v>2706</v>
      </c>
      <c r="U2012" s="205"/>
      <c r="V2012" s="276"/>
      <c r="W2012" s="276"/>
      <c r="X2012" s="116">
        <v>43952</v>
      </c>
      <c r="Y2012" s="116">
        <v>45046</v>
      </c>
    </row>
    <row r="2013" s="85" customFormat="1" customHeight="1" spans="1:25">
      <c r="A2013" s="203" t="s">
        <v>61</v>
      </c>
      <c r="B2013" s="98" t="s">
        <v>62</v>
      </c>
      <c r="C2013" s="204" t="s">
        <v>63</v>
      </c>
      <c r="D2013" s="24" t="s">
        <v>75</v>
      </c>
      <c r="E2013" s="205" t="s">
        <v>2632</v>
      </c>
      <c r="F2013" s="203" t="s">
        <v>2633</v>
      </c>
      <c r="G2013" s="25" t="s">
        <v>67</v>
      </c>
      <c r="H2013" s="100" t="s">
        <v>2700</v>
      </c>
      <c r="I2013" s="46" t="e">
        <f>VLOOKUP(H2013,'合同高级查询数据-4月返'!A:A,1,FALSE)</f>
        <v>#N/A</v>
      </c>
      <c r="J2013" s="25" t="s">
        <v>69</v>
      </c>
      <c r="K2013" s="203" t="s">
        <v>2708</v>
      </c>
      <c r="L2013" s="206"/>
      <c r="M2013" s="49"/>
      <c r="N2013" s="73">
        <v>43959</v>
      </c>
      <c r="O2013" s="73" t="s">
        <v>71</v>
      </c>
      <c r="P2013" s="275">
        <v>1320</v>
      </c>
      <c r="Q2013" s="212">
        <v>6.2</v>
      </c>
      <c r="R2013" s="118">
        <f t="shared" si="53"/>
        <v>8184</v>
      </c>
      <c r="S2013" s="115">
        <v>202304</v>
      </c>
      <c r="T2013" s="205" t="s">
        <v>2709</v>
      </c>
      <c r="U2013" s="205"/>
      <c r="V2013" s="276"/>
      <c r="W2013" s="276"/>
      <c r="X2013" s="116">
        <v>43952</v>
      </c>
      <c r="Y2013" s="116">
        <v>45046</v>
      </c>
    </row>
    <row r="2014" s="85" customFormat="1" customHeight="1" spans="1:25">
      <c r="A2014" s="203" t="s">
        <v>61</v>
      </c>
      <c r="B2014" s="98" t="s">
        <v>62</v>
      </c>
      <c r="C2014" s="204" t="s">
        <v>63</v>
      </c>
      <c r="D2014" s="24" t="s">
        <v>75</v>
      </c>
      <c r="E2014" s="205" t="s">
        <v>2632</v>
      </c>
      <c r="F2014" s="203" t="s">
        <v>2633</v>
      </c>
      <c r="G2014" s="25" t="s">
        <v>67</v>
      </c>
      <c r="H2014" s="100" t="s">
        <v>2700</v>
      </c>
      <c r="I2014" s="46" t="e">
        <f>VLOOKUP(H2014,'合同高级查询数据-4月返'!A:A,1,FALSE)</f>
        <v>#N/A</v>
      </c>
      <c r="J2014" s="25" t="s">
        <v>69</v>
      </c>
      <c r="K2014" s="203" t="s">
        <v>2710</v>
      </c>
      <c r="L2014" s="206"/>
      <c r="M2014" s="49"/>
      <c r="N2014" s="73">
        <v>43959</v>
      </c>
      <c r="O2014" s="73" t="s">
        <v>71</v>
      </c>
      <c r="P2014" s="275">
        <v>440</v>
      </c>
      <c r="Q2014" s="212">
        <v>5</v>
      </c>
      <c r="R2014" s="118">
        <f t="shared" si="53"/>
        <v>2200</v>
      </c>
      <c r="S2014" s="115">
        <v>202304</v>
      </c>
      <c r="T2014" s="205" t="s">
        <v>2709</v>
      </c>
      <c r="U2014" s="205"/>
      <c r="V2014" s="276"/>
      <c r="W2014" s="276"/>
      <c r="X2014" s="116">
        <v>43952</v>
      </c>
      <c r="Y2014" s="116">
        <v>45046</v>
      </c>
    </row>
    <row r="2015" s="85" customFormat="1" customHeight="1" spans="1:25">
      <c r="A2015" s="203" t="s">
        <v>61</v>
      </c>
      <c r="B2015" s="98" t="s">
        <v>62</v>
      </c>
      <c r="C2015" s="204" t="s">
        <v>63</v>
      </c>
      <c r="D2015" s="24" t="s">
        <v>75</v>
      </c>
      <c r="E2015" s="205" t="s">
        <v>2632</v>
      </c>
      <c r="F2015" s="203" t="s">
        <v>2633</v>
      </c>
      <c r="G2015" s="25" t="s">
        <v>67</v>
      </c>
      <c r="H2015" s="100" t="s">
        <v>2700</v>
      </c>
      <c r="I2015" s="46" t="e">
        <f>VLOOKUP(H2015,'合同高级查询数据-4月返'!A:A,1,FALSE)</f>
        <v>#N/A</v>
      </c>
      <c r="J2015" s="25" t="s">
        <v>69</v>
      </c>
      <c r="K2015" s="203" t="s">
        <v>2711</v>
      </c>
      <c r="L2015" s="206"/>
      <c r="M2015" s="49"/>
      <c r="N2015" s="73">
        <v>44058</v>
      </c>
      <c r="O2015" s="73" t="s">
        <v>71</v>
      </c>
      <c r="P2015" s="275">
        <f>400*1.1</f>
        <v>440</v>
      </c>
      <c r="Q2015" s="212">
        <v>39.83</v>
      </c>
      <c r="R2015" s="118">
        <f>ROUND(P2015*Q2015,2)-0.2</f>
        <v>17525</v>
      </c>
      <c r="S2015" s="115">
        <v>202304</v>
      </c>
      <c r="T2015" s="205" t="s">
        <v>2712</v>
      </c>
      <c r="U2015" s="205"/>
      <c r="V2015" s="276"/>
      <c r="W2015" s="276"/>
      <c r="X2015" s="116">
        <v>43952</v>
      </c>
      <c r="Y2015" s="116">
        <v>45046</v>
      </c>
    </row>
    <row r="2016" s="85" customFormat="1" customHeight="1" spans="1:25">
      <c r="A2016" s="203" t="s">
        <v>61</v>
      </c>
      <c r="B2016" s="98" t="s">
        <v>62</v>
      </c>
      <c r="C2016" s="204" t="s">
        <v>63</v>
      </c>
      <c r="D2016" s="24" t="s">
        <v>75</v>
      </c>
      <c r="E2016" s="205" t="s">
        <v>2632</v>
      </c>
      <c r="F2016" s="203" t="s">
        <v>2633</v>
      </c>
      <c r="G2016" s="25" t="s">
        <v>67</v>
      </c>
      <c r="H2016" s="100" t="s">
        <v>2700</v>
      </c>
      <c r="I2016" s="46" t="e">
        <f>VLOOKUP(H2016,'合同高级查询数据-4月返'!A:A,1,FALSE)</f>
        <v>#N/A</v>
      </c>
      <c r="J2016" s="25" t="s">
        <v>69</v>
      </c>
      <c r="K2016" s="203" t="s">
        <v>2711</v>
      </c>
      <c r="L2016" s="206"/>
      <c r="M2016" s="49"/>
      <c r="N2016" s="73">
        <v>44058</v>
      </c>
      <c r="O2016" s="73" t="s">
        <v>71</v>
      </c>
      <c r="P2016" s="275">
        <f>1200*1.1</f>
        <v>1320</v>
      </c>
      <c r="Q2016" s="212">
        <v>5</v>
      </c>
      <c r="R2016" s="118">
        <f>ROUND(P2016*Q2016,2)</f>
        <v>6600</v>
      </c>
      <c r="S2016" s="115">
        <v>202304</v>
      </c>
      <c r="T2016" s="205" t="s">
        <v>2713</v>
      </c>
      <c r="U2016" s="205"/>
      <c r="V2016" s="276"/>
      <c r="W2016" s="276"/>
      <c r="X2016" s="116">
        <v>43952</v>
      </c>
      <c r="Y2016" s="116">
        <v>45046</v>
      </c>
    </row>
    <row r="2017" s="85" customFormat="1" customHeight="1" spans="1:25">
      <c r="A2017" s="203" t="s">
        <v>61</v>
      </c>
      <c r="B2017" s="98" t="s">
        <v>62</v>
      </c>
      <c r="C2017" s="204" t="s">
        <v>63</v>
      </c>
      <c r="D2017" s="24" t="s">
        <v>75</v>
      </c>
      <c r="E2017" s="205" t="s">
        <v>2632</v>
      </c>
      <c r="F2017" s="203" t="s">
        <v>2633</v>
      </c>
      <c r="G2017" s="25" t="s">
        <v>67</v>
      </c>
      <c r="H2017" s="100" t="s">
        <v>2700</v>
      </c>
      <c r="I2017" s="46" t="e">
        <f>VLOOKUP(H2017,'合同高级查询数据-4月返'!A:A,1,FALSE)</f>
        <v>#N/A</v>
      </c>
      <c r="J2017" s="25" t="s">
        <v>69</v>
      </c>
      <c r="K2017" s="203" t="s">
        <v>2711</v>
      </c>
      <c r="L2017" s="206"/>
      <c r="M2017" s="49"/>
      <c r="N2017" s="73">
        <v>44058</v>
      </c>
      <c r="O2017" s="73" t="s">
        <v>71</v>
      </c>
      <c r="P2017" s="275">
        <f>400*1.1</f>
        <v>440</v>
      </c>
      <c r="Q2017" s="212">
        <v>35.16</v>
      </c>
      <c r="R2017" s="118">
        <f>ROUND(P2017*Q2017,2)-0.4</f>
        <v>15470</v>
      </c>
      <c r="S2017" s="115">
        <v>202304</v>
      </c>
      <c r="T2017" s="205" t="s">
        <v>2714</v>
      </c>
      <c r="U2017" s="205"/>
      <c r="V2017" s="276"/>
      <c r="W2017" s="276"/>
      <c r="X2017" s="116">
        <v>43952</v>
      </c>
      <c r="Y2017" s="116">
        <v>45046</v>
      </c>
    </row>
    <row r="2018" s="85" customFormat="1" customHeight="1" spans="1:25">
      <c r="A2018" s="203" t="s">
        <v>61</v>
      </c>
      <c r="B2018" s="98" t="s">
        <v>62</v>
      </c>
      <c r="C2018" s="204" t="s">
        <v>63</v>
      </c>
      <c r="D2018" s="24" t="s">
        <v>75</v>
      </c>
      <c r="E2018" s="205" t="s">
        <v>2632</v>
      </c>
      <c r="F2018" s="203" t="s">
        <v>2633</v>
      </c>
      <c r="G2018" s="25" t="s">
        <v>67</v>
      </c>
      <c r="H2018" s="100" t="s">
        <v>2700</v>
      </c>
      <c r="I2018" s="46" t="e">
        <f>VLOOKUP(H2018,'合同高级查询数据-4月返'!A:A,1,FALSE)</f>
        <v>#N/A</v>
      </c>
      <c r="J2018" s="25" t="s">
        <v>69</v>
      </c>
      <c r="K2018" s="203" t="s">
        <v>2711</v>
      </c>
      <c r="L2018" s="206"/>
      <c r="M2018" s="49"/>
      <c r="N2018" s="73">
        <v>44058</v>
      </c>
      <c r="O2018" s="73" t="s">
        <v>71</v>
      </c>
      <c r="P2018" s="275">
        <f>1200*1.1</f>
        <v>1320</v>
      </c>
      <c r="Q2018" s="212">
        <v>6.2</v>
      </c>
      <c r="R2018" s="118">
        <f t="shared" ref="R2018:R2028" si="54">ROUND(P2018*Q2018,2)</f>
        <v>8184</v>
      </c>
      <c r="S2018" s="115">
        <v>202304</v>
      </c>
      <c r="T2018" s="205" t="s">
        <v>2715</v>
      </c>
      <c r="U2018" s="205"/>
      <c r="V2018" s="276"/>
      <c r="W2018" s="276"/>
      <c r="X2018" s="116">
        <v>43952</v>
      </c>
      <c r="Y2018" s="116">
        <v>45046</v>
      </c>
    </row>
    <row r="2019" s="85" customFormat="1" customHeight="1" spans="1:25">
      <c r="A2019" s="203" t="s">
        <v>61</v>
      </c>
      <c r="B2019" s="98" t="s">
        <v>62</v>
      </c>
      <c r="C2019" s="204" t="s">
        <v>63</v>
      </c>
      <c r="D2019" s="24" t="s">
        <v>75</v>
      </c>
      <c r="E2019" s="205" t="s">
        <v>2632</v>
      </c>
      <c r="F2019" s="203" t="s">
        <v>2633</v>
      </c>
      <c r="G2019" s="25" t="s">
        <v>67</v>
      </c>
      <c r="H2019" s="100" t="s">
        <v>2700</v>
      </c>
      <c r="I2019" s="46" t="e">
        <f>VLOOKUP(H2019,'合同高级查询数据-4月返'!A:A,1,FALSE)</f>
        <v>#N/A</v>
      </c>
      <c r="J2019" s="25" t="s">
        <v>69</v>
      </c>
      <c r="K2019" s="203" t="s">
        <v>2716</v>
      </c>
      <c r="L2019" s="206"/>
      <c r="M2019" s="49"/>
      <c r="N2019" s="73">
        <v>44125</v>
      </c>
      <c r="O2019" s="73" t="s">
        <v>71</v>
      </c>
      <c r="P2019" s="275">
        <f>400*1.1</f>
        <v>440</v>
      </c>
      <c r="Q2019" s="212">
        <v>77</v>
      </c>
      <c r="R2019" s="118">
        <f t="shared" si="54"/>
        <v>33880</v>
      </c>
      <c r="S2019" s="115">
        <v>202304</v>
      </c>
      <c r="T2019" s="205" t="s">
        <v>2717</v>
      </c>
      <c r="U2019" s="205"/>
      <c r="V2019" s="276"/>
      <c r="W2019" s="276"/>
      <c r="X2019" s="116">
        <v>43952</v>
      </c>
      <c r="Y2019" s="116">
        <v>45046</v>
      </c>
    </row>
    <row r="2020" s="85" customFormat="1" customHeight="1" spans="1:25">
      <c r="A2020" s="203" t="s">
        <v>61</v>
      </c>
      <c r="B2020" s="98" t="s">
        <v>62</v>
      </c>
      <c r="C2020" s="204" t="s">
        <v>63</v>
      </c>
      <c r="D2020" s="24" t="s">
        <v>75</v>
      </c>
      <c r="E2020" s="205" t="s">
        <v>2632</v>
      </c>
      <c r="F2020" s="203" t="s">
        <v>2633</v>
      </c>
      <c r="G2020" s="25" t="s">
        <v>67</v>
      </c>
      <c r="H2020" s="100" t="s">
        <v>2700</v>
      </c>
      <c r="I2020" s="46" t="e">
        <f>VLOOKUP(H2020,'合同高级查询数据-4月返'!A:A,1,FALSE)</f>
        <v>#N/A</v>
      </c>
      <c r="J2020" s="25" t="s">
        <v>69</v>
      </c>
      <c r="K2020" s="203" t="s">
        <v>2716</v>
      </c>
      <c r="L2020" s="206"/>
      <c r="M2020" s="49"/>
      <c r="N2020" s="73">
        <v>44125</v>
      </c>
      <c r="O2020" s="73" t="s">
        <v>71</v>
      </c>
      <c r="P2020" s="275">
        <f>1200*1.1</f>
        <v>1320</v>
      </c>
      <c r="Q2020" s="212">
        <v>6.2</v>
      </c>
      <c r="R2020" s="118">
        <f t="shared" si="54"/>
        <v>8184</v>
      </c>
      <c r="S2020" s="115">
        <v>202304</v>
      </c>
      <c r="T2020" s="205" t="s">
        <v>2718</v>
      </c>
      <c r="U2020" s="205"/>
      <c r="V2020" s="276"/>
      <c r="W2020" s="276"/>
      <c r="X2020" s="116">
        <v>43952</v>
      </c>
      <c r="Y2020" s="116">
        <v>45046</v>
      </c>
    </row>
    <row r="2021" s="85" customFormat="1" customHeight="1" spans="1:25">
      <c r="A2021" s="203" t="s">
        <v>61</v>
      </c>
      <c r="B2021" s="98" t="s">
        <v>62</v>
      </c>
      <c r="C2021" s="204" t="s">
        <v>63</v>
      </c>
      <c r="D2021" s="24" t="s">
        <v>75</v>
      </c>
      <c r="E2021" s="205" t="s">
        <v>2632</v>
      </c>
      <c r="F2021" s="203" t="s">
        <v>2633</v>
      </c>
      <c r="G2021" s="25" t="s">
        <v>67</v>
      </c>
      <c r="H2021" s="100" t="s">
        <v>2700</v>
      </c>
      <c r="I2021" s="46" t="e">
        <f>VLOOKUP(H2021,'合同高级查询数据-4月返'!A:A,1,FALSE)</f>
        <v>#N/A</v>
      </c>
      <c r="J2021" s="25" t="s">
        <v>69</v>
      </c>
      <c r="K2021" s="203" t="s">
        <v>2719</v>
      </c>
      <c r="L2021" s="206"/>
      <c r="M2021" s="49"/>
      <c r="N2021" s="73">
        <v>44125</v>
      </c>
      <c r="O2021" s="73" t="s">
        <v>71</v>
      </c>
      <c r="P2021" s="275">
        <f>400*1.1</f>
        <v>440</v>
      </c>
      <c r="Q2021" s="212">
        <v>76.5</v>
      </c>
      <c r="R2021" s="118">
        <f t="shared" si="54"/>
        <v>33660</v>
      </c>
      <c r="S2021" s="115">
        <v>202304</v>
      </c>
      <c r="T2021" s="205" t="s">
        <v>2720</v>
      </c>
      <c r="U2021" s="205"/>
      <c r="V2021" s="276"/>
      <c r="W2021" s="276"/>
      <c r="X2021" s="116">
        <v>43952</v>
      </c>
      <c r="Y2021" s="116">
        <v>45046</v>
      </c>
    </row>
    <row r="2022" s="85" customFormat="1" customHeight="1" spans="1:25">
      <c r="A2022" s="203" t="s">
        <v>61</v>
      </c>
      <c r="B2022" s="98" t="s">
        <v>62</v>
      </c>
      <c r="C2022" s="204" t="s">
        <v>63</v>
      </c>
      <c r="D2022" s="24" t="s">
        <v>75</v>
      </c>
      <c r="E2022" s="205" t="s">
        <v>2632</v>
      </c>
      <c r="F2022" s="203" t="s">
        <v>2633</v>
      </c>
      <c r="G2022" s="25" t="s">
        <v>67</v>
      </c>
      <c r="H2022" s="100" t="s">
        <v>2700</v>
      </c>
      <c r="I2022" s="46" t="e">
        <f>VLOOKUP(H2022,'合同高级查询数据-4月返'!A:A,1,FALSE)</f>
        <v>#N/A</v>
      </c>
      <c r="J2022" s="25" t="s">
        <v>69</v>
      </c>
      <c r="K2022" s="203" t="s">
        <v>2719</v>
      </c>
      <c r="L2022" s="206"/>
      <c r="M2022" s="49"/>
      <c r="N2022" s="73">
        <v>44125</v>
      </c>
      <c r="O2022" s="73" t="s">
        <v>71</v>
      </c>
      <c r="P2022" s="275">
        <f>1200*1.1</f>
        <v>1320</v>
      </c>
      <c r="Q2022" s="212">
        <v>5</v>
      </c>
      <c r="R2022" s="118">
        <f t="shared" si="54"/>
        <v>6600</v>
      </c>
      <c r="S2022" s="115">
        <v>202304</v>
      </c>
      <c r="T2022" s="205" t="s">
        <v>2721</v>
      </c>
      <c r="U2022" s="205"/>
      <c r="V2022" s="276"/>
      <c r="W2022" s="276"/>
      <c r="X2022" s="116">
        <v>43952</v>
      </c>
      <c r="Y2022" s="116">
        <v>45046</v>
      </c>
    </row>
    <row r="2023" s="85" customFormat="1" customHeight="1" spans="1:25">
      <c r="A2023" s="203" t="s">
        <v>61</v>
      </c>
      <c r="B2023" s="98" t="s">
        <v>62</v>
      </c>
      <c r="C2023" s="204" t="s">
        <v>63</v>
      </c>
      <c r="D2023" s="24" t="s">
        <v>75</v>
      </c>
      <c r="E2023" s="205" t="s">
        <v>2632</v>
      </c>
      <c r="F2023" s="203" t="s">
        <v>2633</v>
      </c>
      <c r="G2023" s="25" t="s">
        <v>67</v>
      </c>
      <c r="H2023" s="100" t="s">
        <v>2700</v>
      </c>
      <c r="I2023" s="46" t="e">
        <f>VLOOKUP(H2023,'合同高级查询数据-4月返'!A:A,1,FALSE)</f>
        <v>#N/A</v>
      </c>
      <c r="J2023" s="25" t="s">
        <v>69</v>
      </c>
      <c r="K2023" s="203" t="s">
        <v>2722</v>
      </c>
      <c r="L2023" s="206"/>
      <c r="M2023" s="49"/>
      <c r="N2023" s="73">
        <v>44039</v>
      </c>
      <c r="O2023" s="73" t="s">
        <v>71</v>
      </c>
      <c r="P2023" s="275">
        <v>33558</v>
      </c>
      <c r="Q2023" s="212">
        <v>1</v>
      </c>
      <c r="R2023" s="118">
        <f t="shared" si="54"/>
        <v>33558</v>
      </c>
      <c r="S2023" s="115">
        <v>202304</v>
      </c>
      <c r="T2023" s="205" t="s">
        <v>2723</v>
      </c>
      <c r="U2023" s="205"/>
      <c r="V2023" s="276"/>
      <c r="W2023" s="276"/>
      <c r="X2023" s="116">
        <v>43952</v>
      </c>
      <c r="Y2023" s="116">
        <v>45046</v>
      </c>
    </row>
    <row r="2024" s="85" customFormat="1" customHeight="1" spans="1:25">
      <c r="A2024" s="203" t="s">
        <v>61</v>
      </c>
      <c r="B2024" s="98" t="s">
        <v>62</v>
      </c>
      <c r="C2024" s="204" t="s">
        <v>63</v>
      </c>
      <c r="D2024" s="24" t="s">
        <v>75</v>
      </c>
      <c r="E2024" s="205" t="s">
        <v>2632</v>
      </c>
      <c r="F2024" s="203" t="s">
        <v>2633</v>
      </c>
      <c r="G2024" s="25" t="s">
        <v>67</v>
      </c>
      <c r="H2024" s="100" t="s">
        <v>2700</v>
      </c>
      <c r="I2024" s="46" t="e">
        <f>VLOOKUP(H2024,'合同高级查询数据-4月返'!A:A,1,FALSE)</f>
        <v>#N/A</v>
      </c>
      <c r="J2024" s="25" t="s">
        <v>69</v>
      </c>
      <c r="K2024" s="203" t="s">
        <v>2722</v>
      </c>
      <c r="L2024" s="206"/>
      <c r="M2024" s="49"/>
      <c r="N2024" s="73">
        <v>44418</v>
      </c>
      <c r="O2024" s="73" t="s">
        <v>71</v>
      </c>
      <c r="P2024" s="275">
        <v>33558</v>
      </c>
      <c r="Q2024" s="212">
        <v>-1</v>
      </c>
      <c r="R2024" s="118">
        <f t="shared" si="54"/>
        <v>-33558</v>
      </c>
      <c r="S2024" s="115">
        <v>202304</v>
      </c>
      <c r="T2024" s="205" t="s">
        <v>2645</v>
      </c>
      <c r="U2024" s="205"/>
      <c r="V2024" s="276"/>
      <c r="W2024" s="276"/>
      <c r="X2024" s="116">
        <v>43952</v>
      </c>
      <c r="Y2024" s="116">
        <v>45046</v>
      </c>
    </row>
    <row r="2025" s="85" customFormat="1" customHeight="1" spans="1:25">
      <c r="A2025" s="203" t="s">
        <v>61</v>
      </c>
      <c r="B2025" s="98" t="s">
        <v>62</v>
      </c>
      <c r="C2025" s="204" t="s">
        <v>63</v>
      </c>
      <c r="D2025" s="24" t="s">
        <v>75</v>
      </c>
      <c r="E2025" s="205" t="s">
        <v>2632</v>
      </c>
      <c r="F2025" s="203" t="s">
        <v>2633</v>
      </c>
      <c r="G2025" s="25" t="s">
        <v>67</v>
      </c>
      <c r="H2025" s="100" t="s">
        <v>2700</v>
      </c>
      <c r="I2025" s="46" t="e">
        <f>VLOOKUP(H2025,'合同高级查询数据-4月返'!A:A,1,FALSE)</f>
        <v>#N/A</v>
      </c>
      <c r="J2025" s="25" t="s">
        <v>69</v>
      </c>
      <c r="K2025" s="203" t="s">
        <v>2724</v>
      </c>
      <c r="L2025" s="206"/>
      <c r="M2025" s="49"/>
      <c r="N2025" s="73">
        <v>43992</v>
      </c>
      <c r="O2025" s="73" t="s">
        <v>71</v>
      </c>
      <c r="P2025" s="275">
        <v>26839</v>
      </c>
      <c r="Q2025" s="212">
        <v>1</v>
      </c>
      <c r="R2025" s="118">
        <f t="shared" si="54"/>
        <v>26839</v>
      </c>
      <c r="S2025" s="115">
        <v>202304</v>
      </c>
      <c r="T2025" s="205" t="s">
        <v>2725</v>
      </c>
      <c r="U2025" s="205"/>
      <c r="V2025" s="276"/>
      <c r="W2025" s="276"/>
      <c r="X2025" s="116">
        <v>43952</v>
      </c>
      <c r="Y2025" s="116">
        <v>45046</v>
      </c>
    </row>
    <row r="2026" s="85" customFormat="1" customHeight="1" spans="1:25">
      <c r="A2026" s="203" t="s">
        <v>61</v>
      </c>
      <c r="B2026" s="98" t="s">
        <v>62</v>
      </c>
      <c r="C2026" s="204" t="s">
        <v>63</v>
      </c>
      <c r="D2026" s="24" t="s">
        <v>75</v>
      </c>
      <c r="E2026" s="205" t="s">
        <v>2632</v>
      </c>
      <c r="F2026" s="203" t="s">
        <v>2633</v>
      </c>
      <c r="G2026" s="25" t="s">
        <v>67</v>
      </c>
      <c r="H2026" s="100" t="s">
        <v>2700</v>
      </c>
      <c r="I2026" s="46" t="e">
        <f>VLOOKUP(H2026,'合同高级查询数据-4月返'!A:A,1,FALSE)</f>
        <v>#N/A</v>
      </c>
      <c r="J2026" s="25" t="s">
        <v>69</v>
      </c>
      <c r="K2026" s="203" t="s">
        <v>2724</v>
      </c>
      <c r="L2026" s="206"/>
      <c r="M2026" s="49"/>
      <c r="N2026" s="73">
        <v>44040</v>
      </c>
      <c r="O2026" s="73" t="s">
        <v>71</v>
      </c>
      <c r="P2026" s="275">
        <v>27826</v>
      </c>
      <c r="Q2026" s="212">
        <v>1</v>
      </c>
      <c r="R2026" s="118">
        <f t="shared" si="54"/>
        <v>27826</v>
      </c>
      <c r="S2026" s="115">
        <v>202304</v>
      </c>
      <c r="T2026" s="205" t="s">
        <v>2726</v>
      </c>
      <c r="U2026" s="205"/>
      <c r="V2026" s="276"/>
      <c r="W2026" s="276"/>
      <c r="X2026" s="116">
        <v>43952</v>
      </c>
      <c r="Y2026" s="116">
        <v>45046</v>
      </c>
    </row>
    <row r="2027" s="85" customFormat="1" customHeight="1" spans="1:25">
      <c r="A2027" s="203" t="s">
        <v>61</v>
      </c>
      <c r="B2027" s="98" t="s">
        <v>62</v>
      </c>
      <c r="C2027" s="204" t="s">
        <v>63</v>
      </c>
      <c r="D2027" s="24" t="s">
        <v>75</v>
      </c>
      <c r="E2027" s="205" t="s">
        <v>2632</v>
      </c>
      <c r="F2027" s="203" t="s">
        <v>2633</v>
      </c>
      <c r="G2027" s="25" t="s">
        <v>67</v>
      </c>
      <c r="H2027" s="100" t="s">
        <v>2700</v>
      </c>
      <c r="I2027" s="46" t="e">
        <f>VLOOKUP(H2027,'合同高级查询数据-4月返'!A:A,1,FALSE)</f>
        <v>#N/A</v>
      </c>
      <c r="J2027" s="25" t="s">
        <v>69</v>
      </c>
      <c r="K2027" s="203" t="s">
        <v>2724</v>
      </c>
      <c r="L2027" s="206"/>
      <c r="M2027" s="49"/>
      <c r="N2027" s="73">
        <v>44607</v>
      </c>
      <c r="O2027" s="73" t="s">
        <v>71</v>
      </c>
      <c r="P2027" s="275">
        <v>26839</v>
      </c>
      <c r="Q2027" s="212">
        <v>-1</v>
      </c>
      <c r="R2027" s="118">
        <f t="shared" si="54"/>
        <v>-26839</v>
      </c>
      <c r="S2027" s="115">
        <v>202304</v>
      </c>
      <c r="T2027" s="205" t="s">
        <v>2727</v>
      </c>
      <c r="U2027" s="280"/>
      <c r="V2027" s="280"/>
      <c r="W2027" s="280"/>
      <c r="X2027" s="116">
        <v>43952</v>
      </c>
      <c r="Y2027" s="116">
        <v>45046</v>
      </c>
    </row>
    <row r="2028" s="85" customFormat="1" customHeight="1" spans="1:25">
      <c r="A2028" s="203" t="s">
        <v>61</v>
      </c>
      <c r="B2028" s="98" t="s">
        <v>62</v>
      </c>
      <c r="C2028" s="204" t="s">
        <v>63</v>
      </c>
      <c r="D2028" s="24" t="s">
        <v>75</v>
      </c>
      <c r="E2028" s="205" t="s">
        <v>2632</v>
      </c>
      <c r="F2028" s="203" t="s">
        <v>2633</v>
      </c>
      <c r="G2028" s="25" t="s">
        <v>67</v>
      </c>
      <c r="H2028" s="100" t="s">
        <v>2700</v>
      </c>
      <c r="I2028" s="46" t="e">
        <f>VLOOKUP(H2028,'合同高级查询数据-4月返'!A:A,1,FALSE)</f>
        <v>#N/A</v>
      </c>
      <c r="J2028" s="25" t="s">
        <v>69</v>
      </c>
      <c r="K2028" s="203" t="s">
        <v>2724</v>
      </c>
      <c r="L2028" s="206"/>
      <c r="M2028" s="49"/>
      <c r="N2028" s="73">
        <v>44607</v>
      </c>
      <c r="O2028" s="73" t="s">
        <v>71</v>
      </c>
      <c r="P2028" s="275">
        <v>27826</v>
      </c>
      <c r="Q2028" s="212">
        <v>-1</v>
      </c>
      <c r="R2028" s="118">
        <f t="shared" si="54"/>
        <v>-27826</v>
      </c>
      <c r="S2028" s="115">
        <v>202304</v>
      </c>
      <c r="T2028" s="205" t="s">
        <v>2728</v>
      </c>
      <c r="U2028" s="280"/>
      <c r="V2028" s="280"/>
      <c r="W2028" s="280"/>
      <c r="X2028" s="116">
        <v>43952</v>
      </c>
      <c r="Y2028" s="116">
        <v>45046</v>
      </c>
    </row>
    <row r="2029" s="85" customFormat="1" customHeight="1" spans="1:25">
      <c r="A2029" s="203" t="s">
        <v>61</v>
      </c>
      <c r="B2029" s="98" t="s">
        <v>62</v>
      </c>
      <c r="C2029" s="204" t="s">
        <v>63</v>
      </c>
      <c r="D2029" s="24" t="s">
        <v>75</v>
      </c>
      <c r="E2029" s="205" t="s">
        <v>2632</v>
      </c>
      <c r="F2029" s="203" t="s">
        <v>2633</v>
      </c>
      <c r="G2029" s="25" t="s">
        <v>67</v>
      </c>
      <c r="H2029" s="100" t="s">
        <v>2700</v>
      </c>
      <c r="I2029" s="46" t="e">
        <f>VLOOKUP(H2029,'合同高级查询数据-4月返'!A:A,1,FALSE)</f>
        <v>#N/A</v>
      </c>
      <c r="J2029" s="25" t="s">
        <v>69</v>
      </c>
      <c r="K2029" s="203" t="s">
        <v>2729</v>
      </c>
      <c r="L2029" s="206"/>
      <c r="M2029" s="49"/>
      <c r="N2029" s="73">
        <v>44114</v>
      </c>
      <c r="O2029" s="73" t="s">
        <v>71</v>
      </c>
      <c r="P2029" s="275">
        <f>ROUND(360/1.06*1.2*1.09,2)</f>
        <v>444.23</v>
      </c>
      <c r="Q2029" s="212">
        <v>75</v>
      </c>
      <c r="R2029" s="118">
        <f>ROUND(P2029*Q2029,2)-0.25</f>
        <v>33317</v>
      </c>
      <c r="S2029" s="115">
        <v>202304</v>
      </c>
      <c r="T2029" s="205" t="s">
        <v>2730</v>
      </c>
      <c r="U2029" s="205"/>
      <c r="V2029" s="276"/>
      <c r="W2029" s="276"/>
      <c r="X2029" s="116">
        <v>43952</v>
      </c>
      <c r="Y2029" s="116">
        <v>45046</v>
      </c>
    </row>
    <row r="2030" s="85" customFormat="1" customHeight="1" spans="1:25">
      <c r="A2030" s="203" t="s">
        <v>61</v>
      </c>
      <c r="B2030" s="98" t="s">
        <v>62</v>
      </c>
      <c r="C2030" s="204" t="s">
        <v>63</v>
      </c>
      <c r="D2030" s="24" t="s">
        <v>75</v>
      </c>
      <c r="E2030" s="205" t="s">
        <v>2632</v>
      </c>
      <c r="F2030" s="203" t="s">
        <v>2633</v>
      </c>
      <c r="G2030" s="25" t="s">
        <v>67</v>
      </c>
      <c r="H2030" s="100" t="s">
        <v>2700</v>
      </c>
      <c r="I2030" s="46" t="e">
        <f>VLOOKUP(H2030,'合同高级查询数据-4月返'!A:A,1,FALSE)</f>
        <v>#N/A</v>
      </c>
      <c r="J2030" s="25" t="s">
        <v>69</v>
      </c>
      <c r="K2030" s="203" t="s">
        <v>2729</v>
      </c>
      <c r="L2030" s="206"/>
      <c r="M2030" s="49"/>
      <c r="N2030" s="73">
        <v>44114</v>
      </c>
      <c r="O2030" s="73" t="s">
        <v>71</v>
      </c>
      <c r="P2030" s="275">
        <f>ROUND(360/1.06*1.2*1.09,2)</f>
        <v>444.23</v>
      </c>
      <c r="Q2030" s="212">
        <v>70</v>
      </c>
      <c r="R2030" s="118">
        <f>ROUND(P2030*Q2030,2)-0.1</f>
        <v>31096</v>
      </c>
      <c r="S2030" s="115">
        <v>202304</v>
      </c>
      <c r="T2030" s="205" t="s">
        <v>2731</v>
      </c>
      <c r="U2030" s="205"/>
      <c r="V2030" s="276"/>
      <c r="W2030" s="276"/>
      <c r="X2030" s="116">
        <v>43952</v>
      </c>
      <c r="Y2030" s="116">
        <v>45046</v>
      </c>
    </row>
    <row r="2031" s="85" customFormat="1" customHeight="1" spans="1:25">
      <c r="A2031" s="203" t="s">
        <v>61</v>
      </c>
      <c r="B2031" s="98" t="s">
        <v>62</v>
      </c>
      <c r="C2031" s="204" t="s">
        <v>63</v>
      </c>
      <c r="D2031" s="24" t="s">
        <v>75</v>
      </c>
      <c r="E2031" s="205" t="s">
        <v>2632</v>
      </c>
      <c r="F2031" s="203" t="s">
        <v>2633</v>
      </c>
      <c r="G2031" s="25" t="s">
        <v>67</v>
      </c>
      <c r="H2031" s="100" t="s">
        <v>2700</v>
      </c>
      <c r="I2031" s="46" t="e">
        <f>VLOOKUP(H2031,'合同高级查询数据-4月返'!A:A,1,FALSE)</f>
        <v>#N/A</v>
      </c>
      <c r="J2031" s="25" t="s">
        <v>69</v>
      </c>
      <c r="K2031" s="203"/>
      <c r="L2031" s="206"/>
      <c r="M2031" s="49"/>
      <c r="N2031" s="73">
        <v>44136</v>
      </c>
      <c r="O2031" s="73" t="s">
        <v>71</v>
      </c>
      <c r="P2031" s="275">
        <v>100</v>
      </c>
      <c r="Q2031" s="212">
        <v>1</v>
      </c>
      <c r="R2031" s="118">
        <f t="shared" ref="R2031:R2036" si="55">ROUND(P2031*Q2031,2)</f>
        <v>100</v>
      </c>
      <c r="S2031" s="115">
        <v>202304</v>
      </c>
      <c r="T2031" s="205" t="s">
        <v>2732</v>
      </c>
      <c r="U2031" s="205"/>
      <c r="V2031" s="276"/>
      <c r="W2031" s="276"/>
      <c r="X2031" s="116">
        <v>43952</v>
      </c>
      <c r="Y2031" s="116">
        <v>45046</v>
      </c>
    </row>
    <row r="2032" s="85" customFormat="1" customHeight="1" spans="1:25">
      <c r="A2032" s="203" t="s">
        <v>61</v>
      </c>
      <c r="B2032" s="98" t="s">
        <v>62</v>
      </c>
      <c r="C2032" s="204" t="s">
        <v>63</v>
      </c>
      <c r="D2032" s="24" t="s">
        <v>75</v>
      </c>
      <c r="E2032" s="205" t="s">
        <v>2632</v>
      </c>
      <c r="F2032" s="203" t="s">
        <v>2633</v>
      </c>
      <c r="G2032" s="25" t="s">
        <v>67</v>
      </c>
      <c r="H2032" s="100" t="s">
        <v>2700</v>
      </c>
      <c r="I2032" s="46" t="e">
        <f>VLOOKUP(H2032,'合同高级查询数据-4月返'!A:A,1,FALSE)</f>
        <v>#N/A</v>
      </c>
      <c r="J2032" s="25" t="s">
        <v>69</v>
      </c>
      <c r="K2032" s="203"/>
      <c r="L2032" s="206"/>
      <c r="M2032" s="49"/>
      <c r="N2032" s="73">
        <v>44136</v>
      </c>
      <c r="O2032" s="73" t="s">
        <v>71</v>
      </c>
      <c r="P2032" s="275">
        <v>100</v>
      </c>
      <c r="Q2032" s="212">
        <v>59</v>
      </c>
      <c r="R2032" s="118">
        <f t="shared" si="55"/>
        <v>5900</v>
      </c>
      <c r="S2032" s="115">
        <v>202304</v>
      </c>
      <c r="T2032" s="205" t="s">
        <v>2733</v>
      </c>
      <c r="U2032" s="205"/>
      <c r="V2032" s="276"/>
      <c r="W2032" s="276"/>
      <c r="X2032" s="116">
        <v>43952</v>
      </c>
      <c r="Y2032" s="116">
        <v>45046</v>
      </c>
    </row>
    <row r="2033" s="85" customFormat="1" customHeight="1" spans="1:25">
      <c r="A2033" s="203" t="s">
        <v>61</v>
      </c>
      <c r="B2033" s="98" t="s">
        <v>62</v>
      </c>
      <c r="C2033" s="204" t="s">
        <v>63</v>
      </c>
      <c r="D2033" s="24" t="s">
        <v>75</v>
      </c>
      <c r="E2033" s="205" t="s">
        <v>2632</v>
      </c>
      <c r="F2033" s="203" t="s">
        <v>2633</v>
      </c>
      <c r="G2033" s="25" t="s">
        <v>346</v>
      </c>
      <c r="H2033" s="100" t="s">
        <v>2734</v>
      </c>
      <c r="I2033" s="46" t="e">
        <f>VLOOKUP(H2033,'合同高级查询数据-4月返'!A:A,1,FALSE)</f>
        <v>#N/A</v>
      </c>
      <c r="J2033" s="25" t="s">
        <v>346</v>
      </c>
      <c r="K2033" s="203" t="s">
        <v>2735</v>
      </c>
      <c r="L2033" s="206"/>
      <c r="M2033" s="49"/>
      <c r="N2033" s="73">
        <v>44136</v>
      </c>
      <c r="O2033" s="73" t="s">
        <v>2736</v>
      </c>
      <c r="P2033" s="275">
        <v>235840</v>
      </c>
      <c r="Q2033" s="212">
        <v>1</v>
      </c>
      <c r="R2033" s="118">
        <f t="shared" si="55"/>
        <v>235840</v>
      </c>
      <c r="S2033" s="115">
        <v>202304</v>
      </c>
      <c r="T2033" s="205" t="s">
        <v>2737</v>
      </c>
      <c r="U2033" s="205"/>
      <c r="V2033" s="276"/>
      <c r="W2033" s="276"/>
      <c r="X2033" s="116">
        <v>44136</v>
      </c>
      <c r="Y2033" s="116">
        <v>45508</v>
      </c>
    </row>
    <row r="2034" s="85" customFormat="1" customHeight="1" spans="1:25">
      <c r="A2034" s="203" t="s">
        <v>61</v>
      </c>
      <c r="B2034" s="98" t="s">
        <v>62</v>
      </c>
      <c r="C2034" s="204" t="s">
        <v>63</v>
      </c>
      <c r="D2034" s="24" t="s">
        <v>75</v>
      </c>
      <c r="E2034" s="205" t="s">
        <v>2632</v>
      </c>
      <c r="F2034" s="203" t="s">
        <v>2633</v>
      </c>
      <c r="G2034" s="25" t="s">
        <v>346</v>
      </c>
      <c r="H2034" s="100" t="s">
        <v>2738</v>
      </c>
      <c r="I2034" s="46" t="e">
        <f>VLOOKUP(H2034,'合同高级查询数据-4月返'!A:A,1,FALSE)</f>
        <v>#N/A</v>
      </c>
      <c r="J2034" s="25" t="s">
        <v>346</v>
      </c>
      <c r="K2034" s="203" t="s">
        <v>2739</v>
      </c>
      <c r="L2034" s="206"/>
      <c r="M2034" s="49"/>
      <c r="N2034" s="73">
        <v>44013</v>
      </c>
      <c r="O2034" s="73" t="s">
        <v>2740</v>
      </c>
      <c r="P2034" s="275">
        <v>1474128</v>
      </c>
      <c r="Q2034" s="212">
        <v>1</v>
      </c>
      <c r="R2034" s="118">
        <f t="shared" si="55"/>
        <v>1474128</v>
      </c>
      <c r="S2034" s="115">
        <v>202304</v>
      </c>
      <c r="T2034" s="205" t="s">
        <v>2741</v>
      </c>
      <c r="U2034" s="205"/>
      <c r="V2034" s="276"/>
      <c r="W2034" s="276"/>
      <c r="X2034" s="116">
        <v>44013</v>
      </c>
      <c r="Y2034" s="116">
        <v>45508</v>
      </c>
    </row>
    <row r="2035" s="85" customFormat="1" customHeight="1" spans="1:25">
      <c r="A2035" s="203" t="s">
        <v>61</v>
      </c>
      <c r="B2035" s="98" t="s">
        <v>62</v>
      </c>
      <c r="C2035" s="204" t="s">
        <v>63</v>
      </c>
      <c r="D2035" s="24" t="s">
        <v>75</v>
      </c>
      <c r="E2035" s="205" t="s">
        <v>2632</v>
      </c>
      <c r="F2035" s="203" t="s">
        <v>2633</v>
      </c>
      <c r="G2035" s="25" t="s">
        <v>346</v>
      </c>
      <c r="H2035" s="100" t="s">
        <v>2742</v>
      </c>
      <c r="I2035" s="46" t="e">
        <f>VLOOKUP(H2035,'合同高级查询数据-4月返'!A:A,1,FALSE)</f>
        <v>#N/A</v>
      </c>
      <c r="J2035" s="25" t="s">
        <v>346</v>
      </c>
      <c r="K2035" s="203" t="s">
        <v>2743</v>
      </c>
      <c r="L2035" s="206"/>
      <c r="M2035" s="49"/>
      <c r="N2035" s="73">
        <v>44141</v>
      </c>
      <c r="O2035" s="73" t="s">
        <v>2744</v>
      </c>
      <c r="P2035" s="275">
        <v>742520</v>
      </c>
      <c r="Q2035" s="212">
        <v>1</v>
      </c>
      <c r="R2035" s="118">
        <f t="shared" si="55"/>
        <v>742520</v>
      </c>
      <c r="S2035" s="115">
        <v>202304</v>
      </c>
      <c r="T2035" s="205" t="s">
        <v>2745</v>
      </c>
      <c r="U2035" s="205"/>
      <c r="V2035" s="276"/>
      <c r="W2035" s="276"/>
      <c r="X2035" s="116">
        <v>44141</v>
      </c>
      <c r="Y2035" s="116">
        <v>45508</v>
      </c>
    </row>
    <row r="2036" s="85" customFormat="1" customHeight="1" spans="1:25">
      <c r="A2036" s="203" t="s">
        <v>61</v>
      </c>
      <c r="B2036" s="98" t="s">
        <v>62</v>
      </c>
      <c r="C2036" s="204" t="s">
        <v>63</v>
      </c>
      <c r="D2036" s="24" t="s">
        <v>75</v>
      </c>
      <c r="E2036" s="205" t="s">
        <v>2632</v>
      </c>
      <c r="F2036" s="203" t="s">
        <v>2633</v>
      </c>
      <c r="G2036" s="25" t="s">
        <v>346</v>
      </c>
      <c r="H2036" s="100" t="s">
        <v>2746</v>
      </c>
      <c r="I2036" s="46" t="e">
        <f>VLOOKUP(H2036,'合同高级查询数据-4月返'!A:A,1,FALSE)</f>
        <v>#N/A</v>
      </c>
      <c r="J2036" s="25" t="s">
        <v>346</v>
      </c>
      <c r="K2036" s="203"/>
      <c r="L2036" s="206"/>
      <c r="M2036" s="49"/>
      <c r="N2036" s="73">
        <v>43983</v>
      </c>
      <c r="O2036" s="73" t="s">
        <v>2694</v>
      </c>
      <c r="P2036" s="275">
        <v>6613902</v>
      </c>
      <c r="Q2036" s="212">
        <v>1</v>
      </c>
      <c r="R2036" s="118">
        <f t="shared" si="55"/>
        <v>6613902</v>
      </c>
      <c r="S2036" s="115">
        <v>202304</v>
      </c>
      <c r="T2036" s="287" t="s">
        <v>2747</v>
      </c>
      <c r="U2036" s="205"/>
      <c r="V2036" s="276"/>
      <c r="W2036" s="276"/>
      <c r="X2036" s="116">
        <v>44662</v>
      </c>
      <c r="Y2036" s="116">
        <v>45508</v>
      </c>
    </row>
    <row r="2037" s="85" customFormat="1" customHeight="1" spans="1:25">
      <c r="A2037" s="203" t="s">
        <v>61</v>
      </c>
      <c r="B2037" s="98" t="s">
        <v>62</v>
      </c>
      <c r="C2037" s="204" t="s">
        <v>63</v>
      </c>
      <c r="D2037" s="24" t="s">
        <v>75</v>
      </c>
      <c r="E2037" s="205" t="s">
        <v>2632</v>
      </c>
      <c r="F2037" s="203" t="s">
        <v>2633</v>
      </c>
      <c r="G2037" s="25" t="s">
        <v>346</v>
      </c>
      <c r="H2037" s="100" t="s">
        <v>2746</v>
      </c>
      <c r="I2037" s="46" t="e">
        <f>VLOOKUP(H2037,'合同高级查询数据-4月返'!A:A,1,FALSE)</f>
        <v>#N/A</v>
      </c>
      <c r="J2037" s="25" t="s">
        <v>346</v>
      </c>
      <c r="K2037" s="203"/>
      <c r="L2037" s="206"/>
      <c r="M2037" s="49"/>
      <c r="N2037" s="73">
        <v>44661</v>
      </c>
      <c r="O2037" s="73" t="s">
        <v>2694</v>
      </c>
      <c r="P2037" s="275">
        <f>515*308/1.06*1.09</f>
        <v>163109.245283019</v>
      </c>
      <c r="Q2037" s="212"/>
      <c r="R2037" s="118">
        <f>ROUND(P2037*-1,2)</f>
        <v>-163109.25</v>
      </c>
      <c r="S2037" s="115">
        <v>202304</v>
      </c>
      <c r="T2037" s="205" t="s">
        <v>2748</v>
      </c>
      <c r="U2037" s="205"/>
      <c r="V2037" s="276"/>
      <c r="W2037" s="276"/>
      <c r="X2037" s="116">
        <v>44662</v>
      </c>
      <c r="Y2037" s="116">
        <v>45508</v>
      </c>
    </row>
    <row r="2038" s="85" customFormat="1" customHeight="1" spans="1:25">
      <c r="A2038" s="203" t="s">
        <v>61</v>
      </c>
      <c r="B2038" s="98" t="s">
        <v>62</v>
      </c>
      <c r="C2038" s="204" t="s">
        <v>63</v>
      </c>
      <c r="D2038" s="24" t="s">
        <v>75</v>
      </c>
      <c r="E2038" s="205" t="s">
        <v>2632</v>
      </c>
      <c r="F2038" s="203" t="s">
        <v>2633</v>
      </c>
      <c r="G2038" s="25" t="s">
        <v>67</v>
      </c>
      <c r="H2038" s="100" t="s">
        <v>2749</v>
      </c>
      <c r="I2038" s="46" t="e">
        <f>VLOOKUP(H2038,'合同高级查询数据-4月返'!A:A,1,FALSE)</f>
        <v>#N/A</v>
      </c>
      <c r="J2038" s="25" t="s">
        <v>69</v>
      </c>
      <c r="K2038" s="203" t="s">
        <v>63</v>
      </c>
      <c r="L2038" s="206"/>
      <c r="M2038" s="49"/>
      <c r="N2038" s="73">
        <v>43891</v>
      </c>
      <c r="O2038" s="73" t="s">
        <v>71</v>
      </c>
      <c r="P2038" s="275">
        <v>400</v>
      </c>
      <c r="Q2038" s="212">
        <v>43.6</v>
      </c>
      <c r="R2038" s="118">
        <f t="shared" ref="R2038:R2079" si="56">ROUND(P2038*Q2038,2)</f>
        <v>17440</v>
      </c>
      <c r="S2038" s="115">
        <v>202304</v>
      </c>
      <c r="T2038" s="205" t="s">
        <v>2750</v>
      </c>
      <c r="U2038" s="205"/>
      <c r="V2038" s="276"/>
      <c r="W2038" s="276"/>
      <c r="X2038" s="116">
        <v>44593</v>
      </c>
      <c r="Y2038" s="116">
        <v>45107</v>
      </c>
    </row>
    <row r="2039" s="85" customFormat="1" customHeight="1" spans="1:25">
      <c r="A2039" s="203" t="s">
        <v>61</v>
      </c>
      <c r="B2039" s="98" t="s">
        <v>62</v>
      </c>
      <c r="C2039" s="204" t="s">
        <v>63</v>
      </c>
      <c r="D2039" s="24" t="s">
        <v>75</v>
      </c>
      <c r="E2039" s="205" t="s">
        <v>2632</v>
      </c>
      <c r="F2039" s="203" t="s">
        <v>2633</v>
      </c>
      <c r="G2039" s="25" t="s">
        <v>67</v>
      </c>
      <c r="H2039" s="100" t="s">
        <v>2749</v>
      </c>
      <c r="I2039" s="46" t="e">
        <f>VLOOKUP(H2039,'合同高级查询数据-4月返'!A:A,1,FALSE)</f>
        <v>#N/A</v>
      </c>
      <c r="J2039" s="25" t="s">
        <v>69</v>
      </c>
      <c r="K2039" s="203" t="s">
        <v>63</v>
      </c>
      <c r="L2039" s="206"/>
      <c r="M2039" s="49"/>
      <c r="N2039" s="73">
        <v>43891</v>
      </c>
      <c r="O2039" s="73" t="s">
        <v>71</v>
      </c>
      <c r="P2039" s="275">
        <v>400</v>
      </c>
      <c r="Q2039" s="212">
        <v>24.8</v>
      </c>
      <c r="R2039" s="118">
        <f t="shared" si="56"/>
        <v>9920</v>
      </c>
      <c r="S2039" s="115">
        <v>202304</v>
      </c>
      <c r="T2039" s="205" t="s">
        <v>2750</v>
      </c>
      <c r="U2039" s="205"/>
      <c r="V2039" s="276"/>
      <c r="W2039" s="276"/>
      <c r="X2039" s="116">
        <v>44593</v>
      </c>
      <c r="Y2039" s="116">
        <v>45107</v>
      </c>
    </row>
    <row r="2040" s="85" customFormat="1" customHeight="1" spans="1:25">
      <c r="A2040" s="203" t="s">
        <v>61</v>
      </c>
      <c r="B2040" s="98" t="s">
        <v>62</v>
      </c>
      <c r="C2040" s="204" t="s">
        <v>63</v>
      </c>
      <c r="D2040" s="24" t="s">
        <v>75</v>
      </c>
      <c r="E2040" s="205" t="s">
        <v>2632</v>
      </c>
      <c r="F2040" s="203" t="s">
        <v>2633</v>
      </c>
      <c r="G2040" s="25" t="s">
        <v>67</v>
      </c>
      <c r="H2040" s="100" t="s">
        <v>2749</v>
      </c>
      <c r="I2040" s="46" t="e">
        <f>VLOOKUP(H2040,'合同高级查询数据-4月返'!A:A,1,FALSE)</f>
        <v>#N/A</v>
      </c>
      <c r="J2040" s="25" t="s">
        <v>69</v>
      </c>
      <c r="K2040" s="203" t="s">
        <v>63</v>
      </c>
      <c r="L2040" s="206"/>
      <c r="M2040" s="49"/>
      <c r="N2040" s="73">
        <v>43891</v>
      </c>
      <c r="O2040" s="73" t="s">
        <v>71</v>
      </c>
      <c r="P2040" s="275">
        <v>400</v>
      </c>
      <c r="Q2040" s="212">
        <v>56.9</v>
      </c>
      <c r="R2040" s="118">
        <f t="shared" si="56"/>
        <v>22760</v>
      </c>
      <c r="S2040" s="115">
        <v>202304</v>
      </c>
      <c r="T2040" s="205" t="s">
        <v>2751</v>
      </c>
      <c r="U2040" s="205"/>
      <c r="V2040" s="276"/>
      <c r="W2040" s="276"/>
      <c r="X2040" s="116">
        <v>44593</v>
      </c>
      <c r="Y2040" s="116">
        <v>45107</v>
      </c>
    </row>
    <row r="2041" s="85" customFormat="1" customHeight="1" spans="1:25">
      <c r="A2041" s="203" t="s">
        <v>61</v>
      </c>
      <c r="B2041" s="98" t="s">
        <v>62</v>
      </c>
      <c r="C2041" s="204" t="s">
        <v>63</v>
      </c>
      <c r="D2041" s="24" t="s">
        <v>75</v>
      </c>
      <c r="E2041" s="205" t="s">
        <v>2632</v>
      </c>
      <c r="F2041" s="203" t="s">
        <v>2633</v>
      </c>
      <c r="G2041" s="25" t="s">
        <v>67</v>
      </c>
      <c r="H2041" s="100" t="s">
        <v>2749</v>
      </c>
      <c r="I2041" s="46" t="e">
        <f>VLOOKUP(H2041,'合同高级查询数据-4月返'!A:A,1,FALSE)</f>
        <v>#N/A</v>
      </c>
      <c r="J2041" s="25" t="s">
        <v>69</v>
      </c>
      <c r="K2041" s="203" t="s">
        <v>63</v>
      </c>
      <c r="L2041" s="206"/>
      <c r="M2041" s="49"/>
      <c r="N2041" s="73">
        <v>43891</v>
      </c>
      <c r="O2041" s="73" t="s">
        <v>71</v>
      </c>
      <c r="P2041" s="275">
        <v>400</v>
      </c>
      <c r="Q2041" s="212">
        <v>61</v>
      </c>
      <c r="R2041" s="118">
        <f t="shared" si="56"/>
        <v>24400</v>
      </c>
      <c r="S2041" s="115">
        <v>202304</v>
      </c>
      <c r="T2041" s="205" t="s">
        <v>2751</v>
      </c>
      <c r="U2041" s="205"/>
      <c r="V2041" s="276"/>
      <c r="W2041" s="276"/>
      <c r="X2041" s="116">
        <v>44593</v>
      </c>
      <c r="Y2041" s="116">
        <v>45107</v>
      </c>
    </row>
    <row r="2042" s="85" customFormat="1" customHeight="1" spans="1:25">
      <c r="A2042" s="203" t="s">
        <v>61</v>
      </c>
      <c r="B2042" s="98" t="s">
        <v>62</v>
      </c>
      <c r="C2042" s="204" t="s">
        <v>63</v>
      </c>
      <c r="D2042" s="24" t="s">
        <v>75</v>
      </c>
      <c r="E2042" s="205" t="s">
        <v>2632</v>
      </c>
      <c r="F2042" s="203" t="s">
        <v>2633</v>
      </c>
      <c r="G2042" s="25" t="s">
        <v>67</v>
      </c>
      <c r="H2042" s="100" t="s">
        <v>2749</v>
      </c>
      <c r="I2042" s="46" t="e">
        <f>VLOOKUP(H2042,'合同高级查询数据-4月返'!A:A,1,FALSE)</f>
        <v>#N/A</v>
      </c>
      <c r="J2042" s="25" t="s">
        <v>69</v>
      </c>
      <c r="K2042" s="203" t="s">
        <v>63</v>
      </c>
      <c r="L2042" s="206"/>
      <c r="M2042" s="49"/>
      <c r="N2042" s="73">
        <v>43891</v>
      </c>
      <c r="O2042" s="73" t="s">
        <v>71</v>
      </c>
      <c r="P2042" s="275">
        <v>400</v>
      </c>
      <c r="Q2042" s="212">
        <v>8.29</v>
      </c>
      <c r="R2042" s="118">
        <f t="shared" si="56"/>
        <v>3316</v>
      </c>
      <c r="S2042" s="115">
        <v>202304</v>
      </c>
      <c r="T2042" s="205" t="s">
        <v>2752</v>
      </c>
      <c r="U2042" s="205"/>
      <c r="V2042" s="276"/>
      <c r="W2042" s="276"/>
      <c r="X2042" s="116">
        <v>44593</v>
      </c>
      <c r="Y2042" s="116">
        <v>45107</v>
      </c>
    </row>
    <row r="2043" s="85" customFormat="1" customHeight="1" spans="1:25">
      <c r="A2043" s="203" t="s">
        <v>61</v>
      </c>
      <c r="B2043" s="98" t="s">
        <v>62</v>
      </c>
      <c r="C2043" s="204" t="s">
        <v>63</v>
      </c>
      <c r="D2043" s="24" t="s">
        <v>75</v>
      </c>
      <c r="E2043" s="205" t="s">
        <v>2632</v>
      </c>
      <c r="F2043" s="203" t="s">
        <v>2633</v>
      </c>
      <c r="G2043" s="25" t="s">
        <v>67</v>
      </c>
      <c r="H2043" s="100" t="s">
        <v>2749</v>
      </c>
      <c r="I2043" s="46" t="e">
        <f>VLOOKUP(H2043,'合同高级查询数据-4月返'!A:A,1,FALSE)</f>
        <v>#N/A</v>
      </c>
      <c r="J2043" s="25" t="s">
        <v>69</v>
      </c>
      <c r="K2043" s="203" t="s">
        <v>63</v>
      </c>
      <c r="L2043" s="206"/>
      <c r="M2043" s="49"/>
      <c r="N2043" s="73">
        <v>43891</v>
      </c>
      <c r="O2043" s="73" t="s">
        <v>71</v>
      </c>
      <c r="P2043" s="275">
        <v>400</v>
      </c>
      <c r="Q2043" s="212">
        <v>8.22</v>
      </c>
      <c r="R2043" s="118">
        <f t="shared" si="56"/>
        <v>3288</v>
      </c>
      <c r="S2043" s="115">
        <v>202304</v>
      </c>
      <c r="T2043" s="205" t="s">
        <v>2752</v>
      </c>
      <c r="U2043" s="205"/>
      <c r="V2043" s="276"/>
      <c r="W2043" s="276"/>
      <c r="X2043" s="116">
        <v>44593</v>
      </c>
      <c r="Y2043" s="116">
        <v>45107</v>
      </c>
    </row>
    <row r="2044" s="85" customFormat="1" customHeight="1" spans="1:25">
      <c r="A2044" s="203" t="s">
        <v>61</v>
      </c>
      <c r="B2044" s="98" t="s">
        <v>62</v>
      </c>
      <c r="C2044" s="204" t="s">
        <v>63</v>
      </c>
      <c r="D2044" s="24" t="s">
        <v>75</v>
      </c>
      <c r="E2044" s="205" t="s">
        <v>2632</v>
      </c>
      <c r="F2044" s="203" t="s">
        <v>2633</v>
      </c>
      <c r="G2044" s="25" t="s">
        <v>67</v>
      </c>
      <c r="H2044" s="100" t="s">
        <v>2749</v>
      </c>
      <c r="I2044" s="46" t="e">
        <f>VLOOKUP(H2044,'合同高级查询数据-4月返'!A:A,1,FALSE)</f>
        <v>#N/A</v>
      </c>
      <c r="J2044" s="25" t="s">
        <v>69</v>
      </c>
      <c r="K2044" s="203" t="s">
        <v>63</v>
      </c>
      <c r="L2044" s="206"/>
      <c r="M2044" s="49"/>
      <c r="N2044" s="73">
        <v>43891</v>
      </c>
      <c r="O2044" s="73" t="s">
        <v>71</v>
      </c>
      <c r="P2044" s="275">
        <v>400</v>
      </c>
      <c r="Q2044" s="212">
        <v>11.4</v>
      </c>
      <c r="R2044" s="118">
        <f t="shared" si="56"/>
        <v>4560</v>
      </c>
      <c r="S2044" s="115">
        <v>202304</v>
      </c>
      <c r="T2044" s="205" t="s">
        <v>2753</v>
      </c>
      <c r="U2044" s="205"/>
      <c r="V2044" s="276"/>
      <c r="W2044" s="276"/>
      <c r="X2044" s="116">
        <v>44593</v>
      </c>
      <c r="Y2044" s="116">
        <v>45107</v>
      </c>
    </row>
    <row r="2045" s="85" customFormat="1" customHeight="1" spans="1:25">
      <c r="A2045" s="203" t="s">
        <v>61</v>
      </c>
      <c r="B2045" s="98" t="s">
        <v>62</v>
      </c>
      <c r="C2045" s="204" t="s">
        <v>63</v>
      </c>
      <c r="D2045" s="24" t="s">
        <v>75</v>
      </c>
      <c r="E2045" s="205" t="s">
        <v>2632</v>
      </c>
      <c r="F2045" s="203" t="s">
        <v>2633</v>
      </c>
      <c r="G2045" s="25" t="s">
        <v>67</v>
      </c>
      <c r="H2045" s="100" t="s">
        <v>2749</v>
      </c>
      <c r="I2045" s="46" t="e">
        <f>VLOOKUP(H2045,'合同高级查询数据-4月返'!A:A,1,FALSE)</f>
        <v>#N/A</v>
      </c>
      <c r="J2045" s="25" t="s">
        <v>69</v>
      </c>
      <c r="K2045" s="203" t="s">
        <v>63</v>
      </c>
      <c r="L2045" s="206"/>
      <c r="M2045" s="49"/>
      <c r="N2045" s="73">
        <v>43891</v>
      </c>
      <c r="O2045" s="73" t="s">
        <v>71</v>
      </c>
      <c r="P2045" s="275">
        <v>400</v>
      </c>
      <c r="Q2045" s="212">
        <v>5.56</v>
      </c>
      <c r="R2045" s="118">
        <f t="shared" si="56"/>
        <v>2224</v>
      </c>
      <c r="S2045" s="115">
        <v>202304</v>
      </c>
      <c r="T2045" s="205" t="s">
        <v>2753</v>
      </c>
      <c r="U2045" s="205"/>
      <c r="V2045" s="276"/>
      <c r="W2045" s="276"/>
      <c r="X2045" s="116">
        <v>44593</v>
      </c>
      <c r="Y2045" s="116">
        <v>45107</v>
      </c>
    </row>
    <row r="2046" s="85" customFormat="1" customHeight="1" spans="1:25">
      <c r="A2046" s="203" t="s">
        <v>61</v>
      </c>
      <c r="B2046" s="98" t="s">
        <v>62</v>
      </c>
      <c r="C2046" s="204" t="s">
        <v>63</v>
      </c>
      <c r="D2046" s="24" t="s">
        <v>75</v>
      </c>
      <c r="E2046" s="205" t="s">
        <v>2632</v>
      </c>
      <c r="F2046" s="203" t="s">
        <v>2633</v>
      </c>
      <c r="G2046" s="25" t="s">
        <v>67</v>
      </c>
      <c r="H2046" s="100" t="s">
        <v>2749</v>
      </c>
      <c r="I2046" s="46" t="e">
        <f>VLOOKUP(H2046,'合同高级查询数据-4月返'!A:A,1,FALSE)</f>
        <v>#N/A</v>
      </c>
      <c r="J2046" s="25" t="s">
        <v>69</v>
      </c>
      <c r="K2046" s="203" t="s">
        <v>63</v>
      </c>
      <c r="L2046" s="206"/>
      <c r="M2046" s="49"/>
      <c r="N2046" s="73">
        <v>44985</v>
      </c>
      <c r="O2046" s="73" t="s">
        <v>71</v>
      </c>
      <c r="P2046" s="275">
        <v>400</v>
      </c>
      <c r="Q2046" s="212">
        <v>-11.4</v>
      </c>
      <c r="R2046" s="118">
        <f t="shared" si="56"/>
        <v>-4560</v>
      </c>
      <c r="S2046" s="115">
        <v>202304</v>
      </c>
      <c r="T2046" s="287" t="s">
        <v>2754</v>
      </c>
      <c r="U2046" s="205"/>
      <c r="V2046" s="276"/>
      <c r="W2046" s="276"/>
      <c r="X2046" s="116">
        <v>44593</v>
      </c>
      <c r="Y2046" s="116">
        <v>45107</v>
      </c>
    </row>
    <row r="2047" s="85" customFormat="1" customHeight="1" spans="1:25">
      <c r="A2047" s="203" t="s">
        <v>61</v>
      </c>
      <c r="B2047" s="98" t="s">
        <v>62</v>
      </c>
      <c r="C2047" s="204" t="s">
        <v>63</v>
      </c>
      <c r="D2047" s="24" t="s">
        <v>75</v>
      </c>
      <c r="E2047" s="205" t="s">
        <v>2632</v>
      </c>
      <c r="F2047" s="203" t="s">
        <v>2633</v>
      </c>
      <c r="G2047" s="25" t="s">
        <v>67</v>
      </c>
      <c r="H2047" s="100" t="s">
        <v>2749</v>
      </c>
      <c r="I2047" s="46" t="e">
        <f>VLOOKUP(H2047,'合同高级查询数据-4月返'!A:A,1,FALSE)</f>
        <v>#N/A</v>
      </c>
      <c r="J2047" s="25" t="s">
        <v>69</v>
      </c>
      <c r="K2047" s="203" t="s">
        <v>63</v>
      </c>
      <c r="L2047" s="206"/>
      <c r="M2047" s="49"/>
      <c r="N2047" s="73">
        <v>44985</v>
      </c>
      <c r="O2047" s="73" t="s">
        <v>71</v>
      </c>
      <c r="P2047" s="275">
        <v>400</v>
      </c>
      <c r="Q2047" s="212">
        <v>-5.56</v>
      </c>
      <c r="R2047" s="118">
        <f t="shared" si="56"/>
        <v>-2224</v>
      </c>
      <c r="S2047" s="115">
        <v>202304</v>
      </c>
      <c r="T2047" s="287" t="s">
        <v>2754</v>
      </c>
      <c r="U2047" s="205"/>
      <c r="V2047" s="276"/>
      <c r="W2047" s="276"/>
      <c r="X2047" s="116">
        <v>44593</v>
      </c>
      <c r="Y2047" s="116">
        <v>45107</v>
      </c>
    </row>
    <row r="2048" s="85" customFormat="1" customHeight="1" spans="1:25">
      <c r="A2048" s="203" t="s">
        <v>61</v>
      </c>
      <c r="B2048" s="98" t="s">
        <v>62</v>
      </c>
      <c r="C2048" s="204" t="s">
        <v>63</v>
      </c>
      <c r="D2048" s="24" t="s">
        <v>75</v>
      </c>
      <c r="E2048" s="205" t="s">
        <v>2632</v>
      </c>
      <c r="F2048" s="203" t="s">
        <v>2633</v>
      </c>
      <c r="G2048" s="25" t="s">
        <v>88</v>
      </c>
      <c r="H2048" s="100" t="s">
        <v>2749</v>
      </c>
      <c r="I2048" s="46" t="e">
        <f>VLOOKUP(H2048,'合同高级查询数据-4月返'!A:A,1,FALSE)</f>
        <v>#N/A</v>
      </c>
      <c r="J2048" s="25" t="s">
        <v>90</v>
      </c>
      <c r="K2048" s="203" t="s">
        <v>813</v>
      </c>
      <c r="L2048" s="206"/>
      <c r="M2048" s="49" t="s">
        <v>2755</v>
      </c>
      <c r="N2048" s="73">
        <v>43936</v>
      </c>
      <c r="O2048" s="73" t="s">
        <v>702</v>
      </c>
      <c r="P2048" s="275">
        <v>8583.33</v>
      </c>
      <c r="Q2048" s="212">
        <v>1</v>
      </c>
      <c r="R2048" s="118">
        <f t="shared" si="56"/>
        <v>8583.33</v>
      </c>
      <c r="S2048" s="115">
        <v>202304</v>
      </c>
      <c r="T2048" s="205" t="s">
        <v>2756</v>
      </c>
      <c r="U2048" s="205"/>
      <c r="V2048" s="276"/>
      <c r="W2048" s="276"/>
      <c r="X2048" s="116">
        <v>44593</v>
      </c>
      <c r="Y2048" s="116">
        <v>45107</v>
      </c>
    </row>
    <row r="2049" s="85" customFormat="1" customHeight="1" spans="1:25">
      <c r="A2049" s="203" t="s">
        <v>61</v>
      </c>
      <c r="B2049" s="98" t="s">
        <v>62</v>
      </c>
      <c r="C2049" s="204" t="s">
        <v>63</v>
      </c>
      <c r="D2049" s="24" t="s">
        <v>75</v>
      </c>
      <c r="E2049" s="205" t="s">
        <v>2632</v>
      </c>
      <c r="F2049" s="203" t="s">
        <v>2633</v>
      </c>
      <c r="G2049" s="25" t="s">
        <v>67</v>
      </c>
      <c r="H2049" s="100" t="s">
        <v>2749</v>
      </c>
      <c r="I2049" s="46" t="e">
        <f>VLOOKUP(H2049,'合同高级查询数据-4月返'!A:A,1,FALSE)</f>
        <v>#N/A</v>
      </c>
      <c r="J2049" s="25" t="s">
        <v>69</v>
      </c>
      <c r="K2049" s="203" t="s">
        <v>2757</v>
      </c>
      <c r="L2049" s="206"/>
      <c r="M2049" s="49"/>
      <c r="N2049" s="73">
        <v>43983</v>
      </c>
      <c r="O2049" s="73" t="s">
        <v>2383</v>
      </c>
      <c r="P2049" s="275">
        <v>12016.67</v>
      </c>
      <c r="Q2049" s="212">
        <v>1</v>
      </c>
      <c r="R2049" s="118">
        <f t="shared" si="56"/>
        <v>12016.67</v>
      </c>
      <c r="S2049" s="115">
        <v>202304</v>
      </c>
      <c r="T2049" s="205" t="s">
        <v>2758</v>
      </c>
      <c r="U2049" s="205"/>
      <c r="V2049" s="276"/>
      <c r="W2049" s="276"/>
      <c r="X2049" s="116">
        <v>44593</v>
      </c>
      <c r="Y2049" s="116">
        <v>45107</v>
      </c>
    </row>
    <row r="2050" s="85" customFormat="1" customHeight="1" spans="1:25">
      <c r="A2050" s="203" t="s">
        <v>61</v>
      </c>
      <c r="B2050" s="98" t="s">
        <v>62</v>
      </c>
      <c r="C2050" s="204" t="s">
        <v>63</v>
      </c>
      <c r="D2050" s="24" t="s">
        <v>75</v>
      </c>
      <c r="E2050" s="205" t="s">
        <v>2632</v>
      </c>
      <c r="F2050" s="203" t="s">
        <v>2633</v>
      </c>
      <c r="G2050" s="25" t="s">
        <v>67</v>
      </c>
      <c r="H2050" s="100" t="s">
        <v>2749</v>
      </c>
      <c r="I2050" s="46" t="e">
        <f>VLOOKUP(H2050,'合同高级查询数据-4月返'!A:A,1,FALSE)</f>
        <v>#N/A</v>
      </c>
      <c r="J2050" s="25" t="s">
        <v>69</v>
      </c>
      <c r="K2050" s="203" t="s">
        <v>2759</v>
      </c>
      <c r="L2050" s="206"/>
      <c r="M2050" s="49"/>
      <c r="N2050" s="73">
        <v>40360</v>
      </c>
      <c r="O2050" s="73" t="s">
        <v>71</v>
      </c>
      <c r="P2050" s="275">
        <v>412.04</v>
      </c>
      <c r="Q2050" s="212">
        <v>46</v>
      </c>
      <c r="R2050" s="118">
        <f t="shared" si="56"/>
        <v>18953.84</v>
      </c>
      <c r="S2050" s="115">
        <v>202304</v>
      </c>
      <c r="T2050" s="205" t="s">
        <v>2760</v>
      </c>
      <c r="U2050" s="205"/>
      <c r="V2050" s="276"/>
      <c r="W2050" s="276"/>
      <c r="X2050" s="116">
        <v>44593</v>
      </c>
      <c r="Y2050" s="116">
        <v>45107</v>
      </c>
    </row>
    <row r="2051" s="85" customFormat="1" customHeight="1" spans="1:25">
      <c r="A2051" s="203" t="s">
        <v>61</v>
      </c>
      <c r="B2051" s="98" t="s">
        <v>62</v>
      </c>
      <c r="C2051" s="204" t="s">
        <v>63</v>
      </c>
      <c r="D2051" s="24" t="s">
        <v>75</v>
      </c>
      <c r="E2051" s="205" t="s">
        <v>2632</v>
      </c>
      <c r="F2051" s="203" t="s">
        <v>2633</v>
      </c>
      <c r="G2051" s="25" t="s">
        <v>67</v>
      </c>
      <c r="H2051" s="100" t="s">
        <v>2749</v>
      </c>
      <c r="I2051" s="46" t="e">
        <f>VLOOKUP(H2051,'合同高级查询数据-4月返'!A:A,1,FALSE)</f>
        <v>#N/A</v>
      </c>
      <c r="J2051" s="25" t="s">
        <v>69</v>
      </c>
      <c r="K2051" s="203" t="s">
        <v>2759</v>
      </c>
      <c r="L2051" s="206"/>
      <c r="M2051" s="49"/>
      <c r="N2051" s="73">
        <v>44895</v>
      </c>
      <c r="O2051" s="73" t="s">
        <v>71</v>
      </c>
      <c r="P2051" s="275">
        <v>412.04</v>
      </c>
      <c r="Q2051" s="212">
        <v>-46</v>
      </c>
      <c r="R2051" s="118">
        <f t="shared" si="56"/>
        <v>-18953.84</v>
      </c>
      <c r="S2051" s="115">
        <v>202304</v>
      </c>
      <c r="T2051" s="205" t="s">
        <v>2761</v>
      </c>
      <c r="U2051" s="205"/>
      <c r="V2051" s="276"/>
      <c r="W2051" s="276"/>
      <c r="X2051" s="116">
        <v>44593</v>
      </c>
      <c r="Y2051" s="116">
        <v>45107</v>
      </c>
    </row>
    <row r="2052" s="85" customFormat="1" customHeight="1" spans="1:25">
      <c r="A2052" s="203" t="s">
        <v>61</v>
      </c>
      <c r="B2052" s="98" t="s">
        <v>62</v>
      </c>
      <c r="C2052" s="204" t="s">
        <v>63</v>
      </c>
      <c r="D2052" s="24" t="s">
        <v>75</v>
      </c>
      <c r="E2052" s="205" t="s">
        <v>2632</v>
      </c>
      <c r="F2052" s="203" t="s">
        <v>2633</v>
      </c>
      <c r="G2052" s="25" t="s">
        <v>67</v>
      </c>
      <c r="H2052" s="100" t="s">
        <v>2749</v>
      </c>
      <c r="I2052" s="46" t="e">
        <f>VLOOKUP(H2052,'合同高级查询数据-4月返'!A:A,1,FALSE)</f>
        <v>#N/A</v>
      </c>
      <c r="J2052" s="25" t="s">
        <v>69</v>
      </c>
      <c r="K2052" s="203" t="s">
        <v>2762</v>
      </c>
      <c r="L2052" s="206"/>
      <c r="M2052" s="49"/>
      <c r="N2052" s="73">
        <v>40817</v>
      </c>
      <c r="O2052" s="73" t="s">
        <v>71</v>
      </c>
      <c r="P2052" s="275">
        <v>412.04</v>
      </c>
      <c r="Q2052" s="212">
        <v>48</v>
      </c>
      <c r="R2052" s="118">
        <f t="shared" si="56"/>
        <v>19777.92</v>
      </c>
      <c r="S2052" s="115">
        <v>202304</v>
      </c>
      <c r="T2052" s="205" t="s">
        <v>2760</v>
      </c>
      <c r="U2052" s="205"/>
      <c r="V2052" s="276"/>
      <c r="W2052" s="276"/>
      <c r="X2052" s="116">
        <v>44593</v>
      </c>
      <c r="Y2052" s="116">
        <v>45107</v>
      </c>
    </row>
    <row r="2053" s="85" customFormat="1" customHeight="1" spans="1:25">
      <c r="A2053" s="203" t="s">
        <v>61</v>
      </c>
      <c r="B2053" s="98" t="s">
        <v>62</v>
      </c>
      <c r="C2053" s="204" t="s">
        <v>63</v>
      </c>
      <c r="D2053" s="24" t="s">
        <v>75</v>
      </c>
      <c r="E2053" s="205" t="s">
        <v>2632</v>
      </c>
      <c r="F2053" s="203" t="s">
        <v>2633</v>
      </c>
      <c r="G2053" s="25" t="s">
        <v>67</v>
      </c>
      <c r="H2053" s="100" t="s">
        <v>2749</v>
      </c>
      <c r="I2053" s="46" t="e">
        <f>VLOOKUP(H2053,'合同高级查询数据-4月返'!A:A,1,FALSE)</f>
        <v>#N/A</v>
      </c>
      <c r="J2053" s="25" t="s">
        <v>69</v>
      </c>
      <c r="K2053" s="203" t="s">
        <v>2763</v>
      </c>
      <c r="L2053" s="206"/>
      <c r="M2053" s="49"/>
      <c r="N2053" s="73">
        <v>42444</v>
      </c>
      <c r="O2053" s="73" t="s">
        <v>71</v>
      </c>
      <c r="P2053" s="275">
        <v>412.04</v>
      </c>
      <c r="Q2053" s="212">
        <v>36</v>
      </c>
      <c r="R2053" s="118">
        <f t="shared" si="56"/>
        <v>14833.44</v>
      </c>
      <c r="S2053" s="115">
        <v>202304</v>
      </c>
      <c r="T2053" s="205" t="s">
        <v>2760</v>
      </c>
      <c r="U2053" s="205"/>
      <c r="V2053" s="276"/>
      <c r="W2053" s="276"/>
      <c r="X2053" s="116">
        <v>44593</v>
      </c>
      <c r="Y2053" s="116">
        <v>45107</v>
      </c>
    </row>
    <row r="2054" s="85" customFormat="1" customHeight="1" spans="1:25">
      <c r="A2054" s="203" t="s">
        <v>61</v>
      </c>
      <c r="B2054" s="98" t="s">
        <v>62</v>
      </c>
      <c r="C2054" s="204" t="s">
        <v>63</v>
      </c>
      <c r="D2054" s="24" t="s">
        <v>75</v>
      </c>
      <c r="E2054" s="205" t="s">
        <v>2632</v>
      </c>
      <c r="F2054" s="203" t="s">
        <v>2633</v>
      </c>
      <c r="G2054" s="25" t="s">
        <v>67</v>
      </c>
      <c r="H2054" s="100" t="s">
        <v>2749</v>
      </c>
      <c r="I2054" s="46" t="e">
        <f>VLOOKUP(H2054,'合同高级查询数据-4月返'!A:A,1,FALSE)</f>
        <v>#N/A</v>
      </c>
      <c r="J2054" s="25" t="s">
        <v>69</v>
      </c>
      <c r="K2054" s="203" t="s">
        <v>2764</v>
      </c>
      <c r="L2054" s="206"/>
      <c r="M2054" s="49"/>
      <c r="N2054" s="73">
        <v>42826</v>
      </c>
      <c r="O2054" s="73" t="s">
        <v>71</v>
      </c>
      <c r="P2054" s="275">
        <v>412.04</v>
      </c>
      <c r="Q2054" s="212">
        <v>3.2</v>
      </c>
      <c r="R2054" s="118">
        <f t="shared" si="56"/>
        <v>1318.53</v>
      </c>
      <c r="S2054" s="115">
        <v>202304</v>
      </c>
      <c r="T2054" s="205" t="s">
        <v>2760</v>
      </c>
      <c r="U2054" s="205"/>
      <c r="V2054" s="276"/>
      <c r="W2054" s="276"/>
      <c r="X2054" s="116">
        <v>44593</v>
      </c>
      <c r="Y2054" s="116">
        <v>45107</v>
      </c>
    </row>
    <row r="2055" s="85" customFormat="1" customHeight="1" spans="1:25">
      <c r="A2055" s="203" t="s">
        <v>61</v>
      </c>
      <c r="B2055" s="98" t="s">
        <v>62</v>
      </c>
      <c r="C2055" s="204" t="s">
        <v>63</v>
      </c>
      <c r="D2055" s="24" t="s">
        <v>75</v>
      </c>
      <c r="E2055" s="205" t="s">
        <v>2632</v>
      </c>
      <c r="F2055" s="203" t="s">
        <v>2633</v>
      </c>
      <c r="G2055" s="25" t="s">
        <v>67</v>
      </c>
      <c r="H2055" s="100" t="s">
        <v>2749</v>
      </c>
      <c r="I2055" s="46" t="e">
        <f>VLOOKUP(H2055,'合同高级查询数据-4月返'!A:A,1,FALSE)</f>
        <v>#N/A</v>
      </c>
      <c r="J2055" s="25" t="s">
        <v>69</v>
      </c>
      <c r="K2055" s="203" t="s">
        <v>2765</v>
      </c>
      <c r="L2055" s="206"/>
      <c r="M2055" s="49"/>
      <c r="N2055" s="73">
        <v>42856</v>
      </c>
      <c r="O2055" s="73" t="s">
        <v>71</v>
      </c>
      <c r="P2055" s="275">
        <v>412.04</v>
      </c>
      <c r="Q2055" s="212">
        <v>2.8</v>
      </c>
      <c r="R2055" s="118">
        <f t="shared" si="56"/>
        <v>1153.71</v>
      </c>
      <c r="S2055" s="115">
        <v>202304</v>
      </c>
      <c r="T2055" s="205" t="s">
        <v>2760</v>
      </c>
      <c r="U2055" s="205"/>
      <c r="V2055" s="276"/>
      <c r="W2055" s="276"/>
      <c r="X2055" s="116">
        <v>44593</v>
      </c>
      <c r="Y2055" s="116">
        <v>45107</v>
      </c>
    </row>
    <row r="2056" s="85" customFormat="1" customHeight="1" spans="1:25">
      <c r="A2056" s="203" t="s">
        <v>61</v>
      </c>
      <c r="B2056" s="98" t="s">
        <v>62</v>
      </c>
      <c r="C2056" s="204" t="s">
        <v>63</v>
      </c>
      <c r="D2056" s="24" t="s">
        <v>75</v>
      </c>
      <c r="E2056" s="205" t="s">
        <v>2632</v>
      </c>
      <c r="F2056" s="203" t="s">
        <v>2633</v>
      </c>
      <c r="G2056" s="25" t="s">
        <v>67</v>
      </c>
      <c r="H2056" s="100" t="s">
        <v>2749</v>
      </c>
      <c r="I2056" s="46" t="e">
        <f>VLOOKUP(H2056,'合同高级查询数据-4月返'!A:A,1,FALSE)</f>
        <v>#N/A</v>
      </c>
      <c r="J2056" s="25" t="s">
        <v>69</v>
      </c>
      <c r="K2056" s="203" t="s">
        <v>2766</v>
      </c>
      <c r="L2056" s="206"/>
      <c r="M2056" s="49"/>
      <c r="N2056" s="73">
        <v>43862</v>
      </c>
      <c r="O2056" s="73" t="s">
        <v>2383</v>
      </c>
      <c r="P2056" s="275">
        <v>30849.06</v>
      </c>
      <c r="Q2056" s="212">
        <v>1</v>
      </c>
      <c r="R2056" s="118">
        <f t="shared" si="56"/>
        <v>30849.06</v>
      </c>
      <c r="S2056" s="115">
        <v>202304</v>
      </c>
      <c r="T2056" s="205" t="s">
        <v>2767</v>
      </c>
      <c r="U2056" s="205"/>
      <c r="V2056" s="276"/>
      <c r="W2056" s="276"/>
      <c r="X2056" s="116">
        <v>44593</v>
      </c>
      <c r="Y2056" s="116">
        <v>45107</v>
      </c>
    </row>
    <row r="2057" s="85" customFormat="1" customHeight="1" spans="1:25">
      <c r="A2057" s="203" t="s">
        <v>61</v>
      </c>
      <c r="B2057" s="98" t="s">
        <v>62</v>
      </c>
      <c r="C2057" s="204" t="s">
        <v>63</v>
      </c>
      <c r="D2057" s="24" t="s">
        <v>75</v>
      </c>
      <c r="E2057" s="205" t="s">
        <v>2632</v>
      </c>
      <c r="F2057" s="203" t="s">
        <v>2633</v>
      </c>
      <c r="G2057" s="25" t="s">
        <v>67</v>
      </c>
      <c r="H2057" s="100" t="s">
        <v>2768</v>
      </c>
      <c r="I2057" s="46" t="e">
        <f>VLOOKUP(H2057,'合同高级查询数据-4月返'!A:A,1,FALSE)</f>
        <v>#N/A</v>
      </c>
      <c r="J2057" s="25" t="s">
        <v>69</v>
      </c>
      <c r="K2057" s="203" t="s">
        <v>2769</v>
      </c>
      <c r="L2057" s="206"/>
      <c r="M2057" s="49"/>
      <c r="N2057" s="73">
        <v>44662</v>
      </c>
      <c r="O2057" s="73" t="s">
        <v>2383</v>
      </c>
      <c r="P2057" s="275">
        <v>396</v>
      </c>
      <c r="Q2057" s="212">
        <v>47</v>
      </c>
      <c r="R2057" s="118">
        <f t="shared" si="56"/>
        <v>18612</v>
      </c>
      <c r="S2057" s="115">
        <v>202304</v>
      </c>
      <c r="T2057" s="290" t="s">
        <v>2769</v>
      </c>
      <c r="U2057" s="205"/>
      <c r="V2057" s="276"/>
      <c r="W2057" s="276"/>
      <c r="X2057" s="116">
        <v>44652</v>
      </c>
      <c r="Y2057" s="116">
        <v>45138</v>
      </c>
    </row>
    <row r="2058" s="85" customFormat="1" customHeight="1" spans="1:25">
      <c r="A2058" s="203" t="s">
        <v>61</v>
      </c>
      <c r="B2058" s="98" t="s">
        <v>62</v>
      </c>
      <c r="C2058" s="204" t="s">
        <v>63</v>
      </c>
      <c r="D2058" s="24" t="s">
        <v>75</v>
      </c>
      <c r="E2058" s="205" t="s">
        <v>2632</v>
      </c>
      <c r="F2058" s="203" t="s">
        <v>2633</v>
      </c>
      <c r="G2058" s="25" t="s">
        <v>67</v>
      </c>
      <c r="H2058" s="100" t="s">
        <v>2768</v>
      </c>
      <c r="I2058" s="46" t="e">
        <f>VLOOKUP(H2058,'合同高级查询数据-4月返'!A:A,1,FALSE)</f>
        <v>#N/A</v>
      </c>
      <c r="J2058" s="25" t="s">
        <v>69</v>
      </c>
      <c r="K2058" s="203" t="s">
        <v>2770</v>
      </c>
      <c r="L2058" s="203"/>
      <c r="M2058" s="49"/>
      <c r="N2058" s="73">
        <v>44652</v>
      </c>
      <c r="O2058" s="73" t="s">
        <v>71</v>
      </c>
      <c r="P2058" s="275">
        <v>1320</v>
      </c>
      <c r="Q2058" s="212">
        <v>3.5</v>
      </c>
      <c r="R2058" s="118">
        <f t="shared" si="56"/>
        <v>4620</v>
      </c>
      <c r="S2058" s="115">
        <v>202304</v>
      </c>
      <c r="T2058" s="290" t="s">
        <v>2771</v>
      </c>
      <c r="U2058" s="205"/>
      <c r="V2058" s="276"/>
      <c r="W2058" s="276"/>
      <c r="X2058" s="116">
        <v>44652</v>
      </c>
      <c r="Y2058" s="116">
        <v>45138</v>
      </c>
    </row>
    <row r="2059" s="85" customFormat="1" customHeight="1" spans="1:25">
      <c r="A2059" s="203" t="s">
        <v>61</v>
      </c>
      <c r="B2059" s="98" t="s">
        <v>62</v>
      </c>
      <c r="C2059" s="204" t="s">
        <v>63</v>
      </c>
      <c r="D2059" s="24" t="s">
        <v>75</v>
      </c>
      <c r="E2059" s="205" t="s">
        <v>2632</v>
      </c>
      <c r="F2059" s="203" t="s">
        <v>2633</v>
      </c>
      <c r="G2059" s="25" t="s">
        <v>67</v>
      </c>
      <c r="H2059" s="100" t="s">
        <v>2768</v>
      </c>
      <c r="I2059" s="46" t="e">
        <f>VLOOKUP(H2059,'合同高级查询数据-4月返'!A:A,1,FALSE)</f>
        <v>#N/A</v>
      </c>
      <c r="J2059" s="25" t="s">
        <v>69</v>
      </c>
      <c r="K2059" s="203" t="s">
        <v>2772</v>
      </c>
      <c r="L2059" s="203"/>
      <c r="M2059" s="49"/>
      <c r="N2059" s="73">
        <v>44652</v>
      </c>
      <c r="O2059" s="73" t="s">
        <v>71</v>
      </c>
      <c r="P2059" s="275">
        <v>440</v>
      </c>
      <c r="Q2059" s="212">
        <v>2.9</v>
      </c>
      <c r="R2059" s="118">
        <f t="shared" si="56"/>
        <v>1276</v>
      </c>
      <c r="S2059" s="115">
        <v>202304</v>
      </c>
      <c r="T2059" s="290" t="s">
        <v>2773</v>
      </c>
      <c r="U2059" s="205"/>
      <c r="V2059" s="276"/>
      <c r="W2059" s="276"/>
      <c r="X2059" s="116">
        <v>44652</v>
      </c>
      <c r="Y2059" s="116">
        <v>45138</v>
      </c>
    </row>
    <row r="2060" s="85" customFormat="1" customHeight="1" spans="1:25">
      <c r="A2060" s="203" t="s">
        <v>61</v>
      </c>
      <c r="B2060" s="98" t="s">
        <v>62</v>
      </c>
      <c r="C2060" s="204" t="s">
        <v>63</v>
      </c>
      <c r="D2060" s="24" t="s">
        <v>75</v>
      </c>
      <c r="E2060" s="205" t="s">
        <v>2632</v>
      </c>
      <c r="F2060" s="203" t="s">
        <v>2633</v>
      </c>
      <c r="G2060" s="25" t="s">
        <v>67</v>
      </c>
      <c r="H2060" s="100" t="s">
        <v>2768</v>
      </c>
      <c r="I2060" s="46" t="e">
        <f>VLOOKUP(H2060,'合同高级查询数据-4月返'!A:A,1,FALSE)</f>
        <v>#N/A</v>
      </c>
      <c r="J2060" s="25" t="s">
        <v>69</v>
      </c>
      <c r="K2060" s="46" t="s">
        <v>2774</v>
      </c>
      <c r="L2060" s="206"/>
      <c r="M2060" s="49"/>
      <c r="N2060" s="73">
        <v>44743</v>
      </c>
      <c r="O2060" s="73" t="s">
        <v>71</v>
      </c>
      <c r="P2060" s="275">
        <v>3427.67</v>
      </c>
      <c r="Q2060" s="212">
        <v>1</v>
      </c>
      <c r="R2060" s="118">
        <f t="shared" si="56"/>
        <v>3427.67</v>
      </c>
      <c r="S2060" s="115">
        <v>202304</v>
      </c>
      <c r="T2060" s="97" t="s">
        <v>2775</v>
      </c>
      <c r="U2060" s="205"/>
      <c r="V2060" s="276"/>
      <c r="W2060" s="276"/>
      <c r="X2060" s="116">
        <v>44652</v>
      </c>
      <c r="Y2060" s="116">
        <v>45138</v>
      </c>
    </row>
    <row r="2061" s="85" customFormat="1" customHeight="1" spans="1:25">
      <c r="A2061" s="203" t="s">
        <v>61</v>
      </c>
      <c r="B2061" s="98" t="s">
        <v>62</v>
      </c>
      <c r="C2061" s="204" t="s">
        <v>63</v>
      </c>
      <c r="D2061" s="24" t="s">
        <v>75</v>
      </c>
      <c r="E2061" s="205" t="s">
        <v>2632</v>
      </c>
      <c r="F2061" s="203" t="s">
        <v>2633</v>
      </c>
      <c r="G2061" s="25" t="s">
        <v>67</v>
      </c>
      <c r="H2061" s="100" t="s">
        <v>2768</v>
      </c>
      <c r="I2061" s="46" t="e">
        <f>VLOOKUP(H2061,'合同高级查询数据-4月返'!A:A,1,FALSE)</f>
        <v>#N/A</v>
      </c>
      <c r="J2061" s="25" t="s">
        <v>69</v>
      </c>
      <c r="K2061" s="203" t="s">
        <v>2776</v>
      </c>
      <c r="L2061" s="206"/>
      <c r="M2061" s="49"/>
      <c r="N2061" s="73">
        <v>44743</v>
      </c>
      <c r="O2061" s="73" t="s">
        <v>71</v>
      </c>
      <c r="P2061" s="275">
        <v>3427.67</v>
      </c>
      <c r="Q2061" s="212">
        <v>1</v>
      </c>
      <c r="R2061" s="118">
        <f t="shared" si="56"/>
        <v>3427.67</v>
      </c>
      <c r="S2061" s="115">
        <v>202304</v>
      </c>
      <c r="T2061" s="290" t="s">
        <v>2777</v>
      </c>
      <c r="U2061" s="205"/>
      <c r="V2061" s="276"/>
      <c r="W2061" s="276"/>
      <c r="X2061" s="116">
        <v>44652</v>
      </c>
      <c r="Y2061" s="116">
        <v>45138</v>
      </c>
    </row>
    <row r="2062" s="85" customFormat="1" customHeight="1" spans="1:25">
      <c r="A2062" s="203" t="s">
        <v>61</v>
      </c>
      <c r="B2062" s="98" t="s">
        <v>62</v>
      </c>
      <c r="C2062" s="204" t="s">
        <v>63</v>
      </c>
      <c r="D2062" s="24" t="s">
        <v>75</v>
      </c>
      <c r="E2062" s="205" t="s">
        <v>2632</v>
      </c>
      <c r="F2062" s="203" t="s">
        <v>2633</v>
      </c>
      <c r="G2062" s="25" t="s">
        <v>346</v>
      </c>
      <c r="H2062" s="100" t="s">
        <v>2778</v>
      </c>
      <c r="I2062" s="46" t="e">
        <f>VLOOKUP(H2062,'合同高级查询数据-4月返'!A:A,1,FALSE)</f>
        <v>#N/A</v>
      </c>
      <c r="J2062" s="25" t="s">
        <v>346</v>
      </c>
      <c r="K2062" s="203" t="s">
        <v>2779</v>
      </c>
      <c r="L2062" s="206"/>
      <c r="M2062" s="49"/>
      <c r="N2062" s="73">
        <v>44696</v>
      </c>
      <c r="O2062" s="73" t="s">
        <v>2780</v>
      </c>
      <c r="P2062" s="275">
        <v>394426.9</v>
      </c>
      <c r="Q2062" s="212">
        <v>1</v>
      </c>
      <c r="R2062" s="118">
        <f t="shared" si="56"/>
        <v>394426.9</v>
      </c>
      <c r="S2062" s="115">
        <v>202304</v>
      </c>
      <c r="T2062" s="290" t="s">
        <v>2781</v>
      </c>
      <c r="U2062" s="205"/>
      <c r="V2062" s="276"/>
      <c r="W2062" s="276"/>
      <c r="X2062" s="116">
        <v>44696</v>
      </c>
      <c r="Y2062" s="116">
        <v>45508</v>
      </c>
    </row>
    <row r="2063" s="85" customFormat="1" customHeight="1" spans="1:25">
      <c r="A2063" s="98" t="s">
        <v>61</v>
      </c>
      <c r="B2063" s="98" t="s">
        <v>62</v>
      </c>
      <c r="C2063" s="160" t="s">
        <v>238</v>
      </c>
      <c r="D2063" s="24" t="s">
        <v>64</v>
      </c>
      <c r="E2063" s="161" t="s">
        <v>2632</v>
      </c>
      <c r="F2063" s="98" t="s">
        <v>2782</v>
      </c>
      <c r="G2063" s="25" t="s">
        <v>88</v>
      </c>
      <c r="H2063" s="100" t="s">
        <v>2783</v>
      </c>
      <c r="I2063" s="46" t="e">
        <f>VLOOKUP(H2063,'合同高级查询数据-4月返'!A:A,1,FALSE)</f>
        <v>#N/A</v>
      </c>
      <c r="J2063" s="25" t="s">
        <v>843</v>
      </c>
      <c r="K2063" s="98" t="s">
        <v>844</v>
      </c>
      <c r="L2063" s="163"/>
      <c r="M2063" s="49" t="s">
        <v>845</v>
      </c>
      <c r="N2063" s="73" t="s">
        <v>2784</v>
      </c>
      <c r="O2063" s="73" t="s">
        <v>503</v>
      </c>
      <c r="P2063" s="207">
        <v>4103</v>
      </c>
      <c r="Q2063" s="164">
        <v>50</v>
      </c>
      <c r="R2063" s="118">
        <f t="shared" si="56"/>
        <v>205150</v>
      </c>
      <c r="S2063" s="115">
        <v>202304</v>
      </c>
      <c r="T2063" s="161"/>
      <c r="U2063" s="161"/>
      <c r="V2063" s="165"/>
      <c r="W2063" s="165"/>
      <c r="X2063" s="116">
        <v>44348</v>
      </c>
      <c r="Y2063" s="116">
        <v>45077</v>
      </c>
    </row>
    <row r="2064" s="85" customFormat="1" customHeight="1" spans="1:25">
      <c r="A2064" s="98" t="s">
        <v>61</v>
      </c>
      <c r="B2064" s="98" t="s">
        <v>62</v>
      </c>
      <c r="C2064" s="160" t="s">
        <v>238</v>
      </c>
      <c r="D2064" s="24" t="s">
        <v>64</v>
      </c>
      <c r="E2064" s="161" t="s">
        <v>2632</v>
      </c>
      <c r="F2064" s="98" t="s">
        <v>2785</v>
      </c>
      <c r="G2064" s="25" t="s">
        <v>88</v>
      </c>
      <c r="H2064" s="100" t="s">
        <v>2783</v>
      </c>
      <c r="I2064" s="46" t="e">
        <f>VLOOKUP(H2064,'合同高级查询数据-4月返'!A:A,1,FALSE)</f>
        <v>#N/A</v>
      </c>
      <c r="J2064" s="25" t="s">
        <v>843</v>
      </c>
      <c r="K2064" s="98" t="s">
        <v>844</v>
      </c>
      <c r="L2064" s="163"/>
      <c r="M2064" s="49" t="s">
        <v>845</v>
      </c>
      <c r="N2064" s="73" t="s">
        <v>2784</v>
      </c>
      <c r="O2064" s="73" t="s">
        <v>503</v>
      </c>
      <c r="P2064" s="207">
        <v>4103</v>
      </c>
      <c r="Q2064" s="164">
        <v>477</v>
      </c>
      <c r="R2064" s="118">
        <f t="shared" si="56"/>
        <v>1957131</v>
      </c>
      <c r="S2064" s="115">
        <v>202304</v>
      </c>
      <c r="T2064" s="161"/>
      <c r="U2064" s="161"/>
      <c r="V2064" s="165"/>
      <c r="W2064" s="165"/>
      <c r="X2064" s="116">
        <v>44348</v>
      </c>
      <c r="Y2064" s="116">
        <v>45077</v>
      </c>
    </row>
    <row r="2065" s="85" customFormat="1" customHeight="1" spans="1:25">
      <c r="A2065" s="98" t="s">
        <v>61</v>
      </c>
      <c r="B2065" s="98" t="s">
        <v>62</v>
      </c>
      <c r="C2065" s="160" t="s">
        <v>238</v>
      </c>
      <c r="D2065" s="24" t="s">
        <v>64</v>
      </c>
      <c r="E2065" s="161" t="s">
        <v>2632</v>
      </c>
      <c r="F2065" s="98" t="s">
        <v>2785</v>
      </c>
      <c r="G2065" s="25" t="s">
        <v>88</v>
      </c>
      <c r="H2065" s="100" t="s">
        <v>2783</v>
      </c>
      <c r="I2065" s="46" t="e">
        <f>VLOOKUP(H2065,'合同高级查询数据-4月返'!A:A,1,FALSE)</f>
        <v>#N/A</v>
      </c>
      <c r="J2065" s="25" t="s">
        <v>843</v>
      </c>
      <c r="K2065" s="98" t="s">
        <v>844</v>
      </c>
      <c r="L2065" s="163"/>
      <c r="M2065" s="49" t="s">
        <v>845</v>
      </c>
      <c r="N2065" s="73">
        <v>41925</v>
      </c>
      <c r="O2065" s="73" t="s">
        <v>507</v>
      </c>
      <c r="P2065" s="207">
        <v>8206</v>
      </c>
      <c r="Q2065" s="164">
        <v>4</v>
      </c>
      <c r="R2065" s="118">
        <f t="shared" si="56"/>
        <v>32824</v>
      </c>
      <c r="S2065" s="115">
        <v>202304</v>
      </c>
      <c r="T2065" s="161"/>
      <c r="U2065" s="161"/>
      <c r="V2065" s="165"/>
      <c r="W2065" s="165"/>
      <c r="X2065" s="116">
        <v>44348</v>
      </c>
      <c r="Y2065" s="116">
        <v>45077</v>
      </c>
    </row>
    <row r="2066" s="85" customFormat="1" customHeight="1" spans="1:25">
      <c r="A2066" s="98" t="s">
        <v>61</v>
      </c>
      <c r="B2066" s="98" t="s">
        <v>62</v>
      </c>
      <c r="C2066" s="160" t="s">
        <v>238</v>
      </c>
      <c r="D2066" s="24" t="s">
        <v>64</v>
      </c>
      <c r="E2066" s="161" t="s">
        <v>2632</v>
      </c>
      <c r="F2066" s="98" t="s">
        <v>2786</v>
      </c>
      <c r="G2066" s="25" t="s">
        <v>88</v>
      </c>
      <c r="H2066" s="100" t="s">
        <v>2783</v>
      </c>
      <c r="I2066" s="46" t="e">
        <f>VLOOKUP(H2066,'合同高级查询数据-4月返'!A:A,1,FALSE)</f>
        <v>#N/A</v>
      </c>
      <c r="J2066" s="25" t="s">
        <v>90</v>
      </c>
      <c r="K2066" s="98" t="s">
        <v>844</v>
      </c>
      <c r="L2066" s="163"/>
      <c r="M2066" s="49" t="s">
        <v>845</v>
      </c>
      <c r="N2066" s="73">
        <v>44342</v>
      </c>
      <c r="O2066" s="73" t="s">
        <v>503</v>
      </c>
      <c r="P2066" s="207">
        <v>3998</v>
      </c>
      <c r="Q2066" s="164">
        <v>2</v>
      </c>
      <c r="R2066" s="118">
        <f t="shared" si="56"/>
        <v>7996</v>
      </c>
      <c r="S2066" s="115">
        <v>202304</v>
      </c>
      <c r="T2066" s="161" t="s">
        <v>2787</v>
      </c>
      <c r="U2066" s="161"/>
      <c r="V2066" s="165"/>
      <c r="W2066" s="165"/>
      <c r="X2066" s="116">
        <v>44348</v>
      </c>
      <c r="Y2066" s="116">
        <v>45077</v>
      </c>
    </row>
    <row r="2067" s="85" customFormat="1" customHeight="1" spans="1:25">
      <c r="A2067" s="98" t="s">
        <v>61</v>
      </c>
      <c r="B2067" s="98" t="s">
        <v>62</v>
      </c>
      <c r="C2067" s="160" t="s">
        <v>238</v>
      </c>
      <c r="D2067" s="24" t="s">
        <v>64</v>
      </c>
      <c r="E2067" s="161" t="s">
        <v>2632</v>
      </c>
      <c r="F2067" s="98" t="s">
        <v>2786</v>
      </c>
      <c r="G2067" s="25" t="s">
        <v>88</v>
      </c>
      <c r="H2067" s="100" t="s">
        <v>2783</v>
      </c>
      <c r="I2067" s="46" t="e">
        <f>VLOOKUP(H2067,'合同高级查询数据-4月返'!A:A,1,FALSE)</f>
        <v>#N/A</v>
      </c>
      <c r="J2067" s="25" t="s">
        <v>90</v>
      </c>
      <c r="K2067" s="98" t="s">
        <v>844</v>
      </c>
      <c r="L2067" s="163"/>
      <c r="M2067" s="49" t="s">
        <v>845</v>
      </c>
      <c r="N2067" s="73">
        <v>44347</v>
      </c>
      <c r="O2067" s="73" t="s">
        <v>503</v>
      </c>
      <c r="P2067" s="207">
        <v>3998</v>
      </c>
      <c r="Q2067" s="164">
        <v>2</v>
      </c>
      <c r="R2067" s="118">
        <f t="shared" si="56"/>
        <v>7996</v>
      </c>
      <c r="S2067" s="115">
        <v>202304</v>
      </c>
      <c r="T2067" s="161" t="s">
        <v>2788</v>
      </c>
      <c r="U2067" s="161"/>
      <c r="V2067" s="165"/>
      <c r="W2067" s="165"/>
      <c r="X2067" s="116">
        <v>44348</v>
      </c>
      <c r="Y2067" s="116">
        <v>45077</v>
      </c>
    </row>
    <row r="2068" s="85" customFormat="1" customHeight="1" spans="1:25">
      <c r="A2068" s="98" t="s">
        <v>61</v>
      </c>
      <c r="B2068" s="98" t="s">
        <v>62</v>
      </c>
      <c r="C2068" s="160" t="s">
        <v>238</v>
      </c>
      <c r="D2068" s="24" t="s">
        <v>64</v>
      </c>
      <c r="E2068" s="161" t="s">
        <v>2632</v>
      </c>
      <c r="F2068" s="98" t="s">
        <v>2786</v>
      </c>
      <c r="G2068" s="25" t="s">
        <v>88</v>
      </c>
      <c r="H2068" s="100" t="s">
        <v>2783</v>
      </c>
      <c r="I2068" s="46" t="e">
        <f>VLOOKUP(H2068,'合同高级查询数据-4月返'!A:A,1,FALSE)</f>
        <v>#N/A</v>
      </c>
      <c r="J2068" s="25" t="s">
        <v>90</v>
      </c>
      <c r="K2068" s="98" t="s">
        <v>844</v>
      </c>
      <c r="L2068" s="163"/>
      <c r="M2068" s="49" t="s">
        <v>845</v>
      </c>
      <c r="N2068" s="73">
        <v>44355</v>
      </c>
      <c r="O2068" s="73" t="s">
        <v>503</v>
      </c>
      <c r="P2068" s="207">
        <v>3998</v>
      </c>
      <c r="Q2068" s="164">
        <v>2</v>
      </c>
      <c r="R2068" s="118">
        <f t="shared" si="56"/>
        <v>7996</v>
      </c>
      <c r="S2068" s="115">
        <v>202304</v>
      </c>
      <c r="T2068" s="161" t="s">
        <v>2789</v>
      </c>
      <c r="U2068" s="161"/>
      <c r="V2068" s="165"/>
      <c r="W2068" s="165"/>
      <c r="X2068" s="116">
        <v>44348</v>
      </c>
      <c r="Y2068" s="116">
        <v>45077</v>
      </c>
    </row>
    <row r="2069" s="85" customFormat="1" customHeight="1" spans="1:25">
      <c r="A2069" s="98" t="s">
        <v>61</v>
      </c>
      <c r="B2069" s="98" t="s">
        <v>62</v>
      </c>
      <c r="C2069" s="160" t="s">
        <v>238</v>
      </c>
      <c r="D2069" s="24" t="s">
        <v>64</v>
      </c>
      <c r="E2069" s="161" t="s">
        <v>2632</v>
      </c>
      <c r="F2069" s="98" t="s">
        <v>2786</v>
      </c>
      <c r="G2069" s="25" t="s">
        <v>88</v>
      </c>
      <c r="H2069" s="100" t="s">
        <v>2783</v>
      </c>
      <c r="I2069" s="46" t="e">
        <f>VLOOKUP(H2069,'合同高级查询数据-4月返'!A:A,1,FALSE)</f>
        <v>#N/A</v>
      </c>
      <c r="J2069" s="25" t="s">
        <v>90</v>
      </c>
      <c r="K2069" s="98" t="s">
        <v>844</v>
      </c>
      <c r="L2069" s="163"/>
      <c r="M2069" s="49" t="s">
        <v>845</v>
      </c>
      <c r="N2069" s="73">
        <v>44405</v>
      </c>
      <c r="O2069" s="73" t="s">
        <v>503</v>
      </c>
      <c r="P2069" s="207">
        <v>3998</v>
      </c>
      <c r="Q2069" s="164">
        <v>6</v>
      </c>
      <c r="R2069" s="118">
        <f t="shared" si="56"/>
        <v>23988</v>
      </c>
      <c r="S2069" s="115">
        <v>202304</v>
      </c>
      <c r="T2069" s="161" t="s">
        <v>2790</v>
      </c>
      <c r="U2069" s="161"/>
      <c r="V2069" s="165"/>
      <c r="W2069" s="165"/>
      <c r="X2069" s="116">
        <v>44348</v>
      </c>
      <c r="Y2069" s="116">
        <v>45077</v>
      </c>
    </row>
    <row r="2070" s="85" customFormat="1" customHeight="1" spans="1:25">
      <c r="A2070" s="98" t="s">
        <v>61</v>
      </c>
      <c r="B2070" s="98" t="s">
        <v>62</v>
      </c>
      <c r="C2070" s="160" t="s">
        <v>238</v>
      </c>
      <c r="D2070" s="24" t="s">
        <v>64</v>
      </c>
      <c r="E2070" s="161" t="s">
        <v>2632</v>
      </c>
      <c r="F2070" s="98" t="s">
        <v>2786</v>
      </c>
      <c r="G2070" s="25" t="s">
        <v>88</v>
      </c>
      <c r="H2070" s="100" t="s">
        <v>2783</v>
      </c>
      <c r="I2070" s="46" t="e">
        <f>VLOOKUP(H2070,'合同高级查询数据-4月返'!A:A,1,FALSE)</f>
        <v>#N/A</v>
      </c>
      <c r="J2070" s="25" t="s">
        <v>90</v>
      </c>
      <c r="K2070" s="98" t="s">
        <v>844</v>
      </c>
      <c r="L2070" s="163"/>
      <c r="M2070" s="49" t="s">
        <v>2791</v>
      </c>
      <c r="N2070" s="73">
        <v>44446</v>
      </c>
      <c r="O2070" s="73" t="s">
        <v>503</v>
      </c>
      <c r="P2070" s="207">
        <v>3998</v>
      </c>
      <c r="Q2070" s="164">
        <v>2</v>
      </c>
      <c r="R2070" s="118">
        <f t="shared" si="56"/>
        <v>7996</v>
      </c>
      <c r="S2070" s="115">
        <v>202304</v>
      </c>
      <c r="T2070" s="161" t="s">
        <v>2792</v>
      </c>
      <c r="U2070" s="161"/>
      <c r="V2070" s="165"/>
      <c r="W2070" s="165"/>
      <c r="X2070" s="116">
        <v>44348</v>
      </c>
      <c r="Y2070" s="116">
        <v>45077</v>
      </c>
    </row>
    <row r="2071" s="85" customFormat="1" customHeight="1" spans="1:25">
      <c r="A2071" s="98" t="s">
        <v>61</v>
      </c>
      <c r="B2071" s="98" t="s">
        <v>62</v>
      </c>
      <c r="C2071" s="160" t="s">
        <v>238</v>
      </c>
      <c r="D2071" s="24" t="s">
        <v>64</v>
      </c>
      <c r="E2071" s="161" t="s">
        <v>2632</v>
      </c>
      <c r="F2071" s="98" t="s">
        <v>2786</v>
      </c>
      <c r="G2071" s="25" t="s">
        <v>88</v>
      </c>
      <c r="H2071" s="100" t="s">
        <v>2783</v>
      </c>
      <c r="I2071" s="46" t="e">
        <f>VLOOKUP(H2071,'合同高级查询数据-4月返'!A:A,1,FALSE)</f>
        <v>#N/A</v>
      </c>
      <c r="J2071" s="25" t="s">
        <v>90</v>
      </c>
      <c r="K2071" s="98" t="s">
        <v>844</v>
      </c>
      <c r="L2071" s="163"/>
      <c r="M2071" s="49" t="s">
        <v>845</v>
      </c>
      <c r="N2071" s="73">
        <v>44517</v>
      </c>
      <c r="O2071" s="73" t="s">
        <v>503</v>
      </c>
      <c r="P2071" s="207">
        <v>3998</v>
      </c>
      <c r="Q2071" s="164">
        <v>6</v>
      </c>
      <c r="R2071" s="118">
        <f t="shared" si="56"/>
        <v>23988</v>
      </c>
      <c r="S2071" s="115">
        <v>202304</v>
      </c>
      <c r="T2071" s="161" t="s">
        <v>2793</v>
      </c>
      <c r="U2071" s="161"/>
      <c r="V2071" s="165"/>
      <c r="W2071" s="165"/>
      <c r="X2071" s="116">
        <v>44348</v>
      </c>
      <c r="Y2071" s="116">
        <v>45077</v>
      </c>
    </row>
    <row r="2072" s="85" customFormat="1" customHeight="1" spans="1:25">
      <c r="A2072" s="98" t="s">
        <v>61</v>
      </c>
      <c r="B2072" s="98" t="s">
        <v>62</v>
      </c>
      <c r="C2072" s="160" t="s">
        <v>238</v>
      </c>
      <c r="D2072" s="24" t="s">
        <v>64</v>
      </c>
      <c r="E2072" s="161" t="s">
        <v>2632</v>
      </c>
      <c r="F2072" s="98" t="s">
        <v>2786</v>
      </c>
      <c r="G2072" s="25" t="s">
        <v>88</v>
      </c>
      <c r="H2072" s="100" t="s">
        <v>2783</v>
      </c>
      <c r="I2072" s="46" t="e">
        <f>VLOOKUP(H2072,'合同高级查询数据-4月返'!A:A,1,FALSE)</f>
        <v>#N/A</v>
      </c>
      <c r="J2072" s="25" t="s">
        <v>90</v>
      </c>
      <c r="K2072" s="98" t="s">
        <v>844</v>
      </c>
      <c r="L2072" s="163"/>
      <c r="M2072" s="49" t="s">
        <v>845</v>
      </c>
      <c r="N2072" s="73">
        <v>44532</v>
      </c>
      <c r="O2072" s="73" t="s">
        <v>503</v>
      </c>
      <c r="P2072" s="207">
        <v>3998</v>
      </c>
      <c r="Q2072" s="164">
        <v>2</v>
      </c>
      <c r="R2072" s="118">
        <f t="shared" si="56"/>
        <v>7996</v>
      </c>
      <c r="S2072" s="115">
        <v>202304</v>
      </c>
      <c r="T2072" s="161" t="s">
        <v>2794</v>
      </c>
      <c r="U2072" s="161"/>
      <c r="V2072" s="165"/>
      <c r="W2072" s="165"/>
      <c r="X2072" s="116">
        <v>44348</v>
      </c>
      <c r="Y2072" s="116">
        <v>45077</v>
      </c>
    </row>
    <row r="2073" s="85" customFormat="1" customHeight="1" spans="1:25">
      <c r="A2073" s="98" t="s">
        <v>61</v>
      </c>
      <c r="B2073" s="98" t="s">
        <v>62</v>
      </c>
      <c r="C2073" s="160" t="s">
        <v>238</v>
      </c>
      <c r="D2073" s="24" t="s">
        <v>64</v>
      </c>
      <c r="E2073" s="161" t="s">
        <v>2632</v>
      </c>
      <c r="F2073" s="98" t="s">
        <v>2786</v>
      </c>
      <c r="G2073" s="25" t="s">
        <v>88</v>
      </c>
      <c r="H2073" s="100" t="s">
        <v>2783</v>
      </c>
      <c r="I2073" s="46" t="e">
        <f>VLOOKUP(H2073,'合同高级查询数据-4月返'!A:A,1,FALSE)</f>
        <v>#N/A</v>
      </c>
      <c r="J2073" s="25" t="s">
        <v>90</v>
      </c>
      <c r="K2073" s="98" t="s">
        <v>844</v>
      </c>
      <c r="L2073" s="163"/>
      <c r="M2073" s="49" t="s">
        <v>845</v>
      </c>
      <c r="N2073" s="73">
        <v>44348</v>
      </c>
      <c r="O2073" s="73" t="s">
        <v>503</v>
      </c>
      <c r="P2073" s="207">
        <v>3998</v>
      </c>
      <c r="Q2073" s="164">
        <v>2</v>
      </c>
      <c r="R2073" s="118">
        <f t="shared" si="56"/>
        <v>7996</v>
      </c>
      <c r="S2073" s="115">
        <v>202304</v>
      </c>
      <c r="T2073" s="161" t="s">
        <v>2795</v>
      </c>
      <c r="U2073" s="161"/>
      <c r="V2073" s="165"/>
      <c r="W2073" s="165"/>
      <c r="X2073" s="116">
        <v>44348</v>
      </c>
      <c r="Y2073" s="116">
        <v>45077</v>
      </c>
    </row>
    <row r="2074" s="85" customFormat="1" customHeight="1" spans="1:25">
      <c r="A2074" s="98" t="s">
        <v>61</v>
      </c>
      <c r="B2074" s="98" t="s">
        <v>62</v>
      </c>
      <c r="C2074" s="160" t="s">
        <v>238</v>
      </c>
      <c r="D2074" s="24" t="s">
        <v>64</v>
      </c>
      <c r="E2074" s="161" t="s">
        <v>2632</v>
      </c>
      <c r="F2074" s="98" t="s">
        <v>2786</v>
      </c>
      <c r="G2074" s="25" t="s">
        <v>88</v>
      </c>
      <c r="H2074" s="100" t="s">
        <v>2783</v>
      </c>
      <c r="I2074" s="46" t="e">
        <f>VLOOKUP(H2074,'合同高级查询数据-4月返'!A:A,1,FALSE)</f>
        <v>#N/A</v>
      </c>
      <c r="J2074" s="25" t="s">
        <v>90</v>
      </c>
      <c r="K2074" s="98" t="s">
        <v>844</v>
      </c>
      <c r="L2074" s="163"/>
      <c r="M2074" s="49" t="s">
        <v>845</v>
      </c>
      <c r="N2074" s="73">
        <v>44854</v>
      </c>
      <c r="O2074" s="73" t="s">
        <v>503</v>
      </c>
      <c r="P2074" s="207">
        <v>3998</v>
      </c>
      <c r="Q2074" s="164">
        <v>2</v>
      </c>
      <c r="R2074" s="118">
        <f t="shared" si="56"/>
        <v>7996</v>
      </c>
      <c r="S2074" s="115">
        <v>202304</v>
      </c>
      <c r="T2074" s="161" t="s">
        <v>2796</v>
      </c>
      <c r="U2074" s="161"/>
      <c r="V2074" s="165"/>
      <c r="W2074" s="165"/>
      <c r="X2074" s="116">
        <v>44348</v>
      </c>
      <c r="Y2074" s="116">
        <v>45077</v>
      </c>
    </row>
    <row r="2075" s="85" customFormat="1" customHeight="1" spans="1:25">
      <c r="A2075" s="98" t="s">
        <v>61</v>
      </c>
      <c r="B2075" s="98" t="s">
        <v>62</v>
      </c>
      <c r="C2075" s="160" t="s">
        <v>238</v>
      </c>
      <c r="D2075" s="24" t="s">
        <v>64</v>
      </c>
      <c r="E2075" s="161" t="s">
        <v>2632</v>
      </c>
      <c r="F2075" s="98" t="s">
        <v>2786</v>
      </c>
      <c r="G2075" s="25" t="s">
        <v>88</v>
      </c>
      <c r="H2075" s="100" t="s">
        <v>2783</v>
      </c>
      <c r="I2075" s="46" t="e">
        <f>VLOOKUP(H2075,'合同高级查询数据-4月返'!A:A,1,FALSE)</f>
        <v>#N/A</v>
      </c>
      <c r="J2075" s="25" t="s">
        <v>90</v>
      </c>
      <c r="K2075" s="98" t="s">
        <v>844</v>
      </c>
      <c r="L2075" s="163"/>
      <c r="M2075" s="49" t="s">
        <v>845</v>
      </c>
      <c r="N2075" s="73">
        <v>44862</v>
      </c>
      <c r="O2075" s="73" t="s">
        <v>503</v>
      </c>
      <c r="P2075" s="207">
        <v>3998</v>
      </c>
      <c r="Q2075" s="164">
        <v>-2</v>
      </c>
      <c r="R2075" s="118">
        <f t="shared" si="56"/>
        <v>-7996</v>
      </c>
      <c r="S2075" s="115">
        <v>202304</v>
      </c>
      <c r="T2075" s="161" t="s">
        <v>2797</v>
      </c>
      <c r="U2075" s="161"/>
      <c r="V2075" s="165"/>
      <c r="W2075" s="165"/>
      <c r="X2075" s="116">
        <v>44348</v>
      </c>
      <c r="Y2075" s="116">
        <v>45077</v>
      </c>
    </row>
    <row r="2076" s="85" customFormat="1" customHeight="1" spans="1:25">
      <c r="A2076" s="98" t="s">
        <v>61</v>
      </c>
      <c r="B2076" s="98" t="s">
        <v>62</v>
      </c>
      <c r="C2076" s="160" t="s">
        <v>238</v>
      </c>
      <c r="D2076" s="24" t="s">
        <v>64</v>
      </c>
      <c r="E2076" s="161" t="s">
        <v>2632</v>
      </c>
      <c r="F2076" s="98" t="s">
        <v>2786</v>
      </c>
      <c r="G2076" s="25" t="s">
        <v>88</v>
      </c>
      <c r="H2076" s="100" t="s">
        <v>2783</v>
      </c>
      <c r="I2076" s="46" t="e">
        <f>VLOOKUP(H2076,'合同高级查询数据-4月返'!A:A,1,FALSE)</f>
        <v>#N/A</v>
      </c>
      <c r="J2076" s="25" t="s">
        <v>90</v>
      </c>
      <c r="K2076" s="98" t="s">
        <v>844</v>
      </c>
      <c r="L2076" s="163"/>
      <c r="M2076" s="49" t="s">
        <v>845</v>
      </c>
      <c r="N2076" s="73">
        <v>44873</v>
      </c>
      <c r="O2076" s="73" t="s">
        <v>503</v>
      </c>
      <c r="P2076" s="207">
        <v>3998</v>
      </c>
      <c r="Q2076" s="164">
        <v>2</v>
      </c>
      <c r="R2076" s="118">
        <f t="shared" si="56"/>
        <v>7996</v>
      </c>
      <c r="S2076" s="115">
        <v>202304</v>
      </c>
      <c r="T2076" s="161" t="s">
        <v>2797</v>
      </c>
      <c r="U2076" s="161"/>
      <c r="V2076" s="165"/>
      <c r="W2076" s="165"/>
      <c r="X2076" s="116">
        <v>44348</v>
      </c>
      <c r="Y2076" s="116">
        <v>45077</v>
      </c>
    </row>
    <row r="2077" s="85" customFormat="1" customHeight="1" spans="1:25">
      <c r="A2077" s="98" t="s">
        <v>61</v>
      </c>
      <c r="B2077" s="98" t="s">
        <v>62</v>
      </c>
      <c r="C2077" s="160" t="s">
        <v>238</v>
      </c>
      <c r="D2077" s="24" t="s">
        <v>64</v>
      </c>
      <c r="E2077" s="161" t="s">
        <v>2632</v>
      </c>
      <c r="F2077" s="98" t="s">
        <v>2786</v>
      </c>
      <c r="G2077" s="25" t="s">
        <v>88</v>
      </c>
      <c r="H2077" s="100" t="s">
        <v>2783</v>
      </c>
      <c r="I2077" s="46" t="e">
        <f>VLOOKUP(H2077,'合同高级查询数据-4月返'!A:A,1,FALSE)</f>
        <v>#N/A</v>
      </c>
      <c r="J2077" s="25" t="s">
        <v>90</v>
      </c>
      <c r="K2077" s="98" t="s">
        <v>844</v>
      </c>
      <c r="L2077" s="163"/>
      <c r="M2077" s="49" t="s">
        <v>845</v>
      </c>
      <c r="N2077" s="73">
        <v>44895</v>
      </c>
      <c r="O2077" s="73" t="s">
        <v>503</v>
      </c>
      <c r="P2077" s="207">
        <v>3998</v>
      </c>
      <c r="Q2077" s="164">
        <v>1</v>
      </c>
      <c r="R2077" s="118">
        <f t="shared" si="56"/>
        <v>3998</v>
      </c>
      <c r="S2077" s="115">
        <v>202304</v>
      </c>
      <c r="T2077" s="161" t="s">
        <v>2798</v>
      </c>
      <c r="U2077" s="161"/>
      <c r="V2077" s="165"/>
      <c r="W2077" s="165"/>
      <c r="X2077" s="116">
        <v>44348</v>
      </c>
      <c r="Y2077" s="116">
        <v>45077</v>
      </c>
    </row>
    <row r="2078" s="85" customFormat="1" customHeight="1" spans="1:25">
      <c r="A2078" s="98" t="s">
        <v>61</v>
      </c>
      <c r="B2078" s="98" t="s">
        <v>62</v>
      </c>
      <c r="C2078" s="160" t="s">
        <v>238</v>
      </c>
      <c r="D2078" s="24" t="s">
        <v>64</v>
      </c>
      <c r="E2078" s="161" t="s">
        <v>2632</v>
      </c>
      <c r="F2078" s="98" t="s">
        <v>2786</v>
      </c>
      <c r="G2078" s="25" t="s">
        <v>88</v>
      </c>
      <c r="H2078" s="100" t="s">
        <v>2783</v>
      </c>
      <c r="I2078" s="46" t="e">
        <f>VLOOKUP(H2078,'合同高级查询数据-4月返'!A:A,1,FALSE)</f>
        <v>#N/A</v>
      </c>
      <c r="J2078" s="25" t="s">
        <v>90</v>
      </c>
      <c r="K2078" s="98" t="s">
        <v>844</v>
      </c>
      <c r="L2078" s="163"/>
      <c r="M2078" s="49" t="s">
        <v>845</v>
      </c>
      <c r="N2078" s="73">
        <v>44914</v>
      </c>
      <c r="O2078" s="73" t="s">
        <v>503</v>
      </c>
      <c r="P2078" s="207">
        <v>3998</v>
      </c>
      <c r="Q2078" s="164">
        <v>1</v>
      </c>
      <c r="R2078" s="118">
        <f t="shared" si="56"/>
        <v>3998</v>
      </c>
      <c r="S2078" s="115">
        <v>202304</v>
      </c>
      <c r="T2078" s="161" t="s">
        <v>2799</v>
      </c>
      <c r="U2078" s="161"/>
      <c r="V2078" s="165"/>
      <c r="W2078" s="165"/>
      <c r="X2078" s="116">
        <v>44348</v>
      </c>
      <c r="Y2078" s="116">
        <v>45077</v>
      </c>
    </row>
    <row r="2079" s="85" customFormat="1" customHeight="1" spans="1:25">
      <c r="A2079" s="98" t="s">
        <v>61</v>
      </c>
      <c r="B2079" s="98" t="s">
        <v>62</v>
      </c>
      <c r="C2079" s="98" t="s">
        <v>238</v>
      </c>
      <c r="D2079" s="24" t="s">
        <v>64</v>
      </c>
      <c r="E2079" s="161" t="s">
        <v>2632</v>
      </c>
      <c r="F2079" s="160" t="s">
        <v>2786</v>
      </c>
      <c r="G2079" s="172" t="s">
        <v>88</v>
      </c>
      <c r="H2079" s="100" t="s">
        <v>2783</v>
      </c>
      <c r="I2079" s="46" t="e">
        <f>VLOOKUP(H2079,'合同高级查询数据-4月返'!A:A,1,FALSE)</f>
        <v>#N/A</v>
      </c>
      <c r="J2079" s="178" t="s">
        <v>90</v>
      </c>
      <c r="K2079" s="107" t="s">
        <v>844</v>
      </c>
      <c r="L2079" s="179"/>
      <c r="M2079" s="49" t="s">
        <v>845</v>
      </c>
      <c r="N2079" s="180">
        <v>45015</v>
      </c>
      <c r="O2079" s="73" t="s">
        <v>503</v>
      </c>
      <c r="P2079" s="164">
        <v>3998</v>
      </c>
      <c r="Q2079" s="182">
        <v>-2</v>
      </c>
      <c r="R2079" s="118">
        <f t="shared" si="56"/>
        <v>-7996</v>
      </c>
      <c r="S2079" s="115">
        <v>202304</v>
      </c>
      <c r="T2079" s="186" t="s">
        <v>2796</v>
      </c>
      <c r="U2079" s="186"/>
      <c r="V2079" s="165"/>
      <c r="W2079" s="165"/>
      <c r="X2079" s="116">
        <v>44348</v>
      </c>
      <c r="Y2079" s="116">
        <v>45077</v>
      </c>
    </row>
    <row r="2080" s="85" customFormat="1" customHeight="1" spans="1:25">
      <c r="A2080" s="203" t="s">
        <v>61</v>
      </c>
      <c r="B2080" s="98" t="s">
        <v>62</v>
      </c>
      <c r="C2080" s="204" t="s">
        <v>63</v>
      </c>
      <c r="D2080" s="24" t="s">
        <v>75</v>
      </c>
      <c r="E2080" s="205" t="s">
        <v>2632</v>
      </c>
      <c r="F2080" s="203" t="s">
        <v>2633</v>
      </c>
      <c r="G2080" s="25" t="s">
        <v>67</v>
      </c>
      <c r="H2080" s="100" t="s">
        <v>2800</v>
      </c>
      <c r="I2080" s="46" t="e">
        <f>VLOOKUP(H2080,'合同高级查询数据-4月返'!A:A,1,FALSE)</f>
        <v>#N/A</v>
      </c>
      <c r="J2080" s="25" t="s">
        <v>69</v>
      </c>
      <c r="K2080" s="203" t="s">
        <v>2801</v>
      </c>
      <c r="L2080" s="206"/>
      <c r="M2080" s="49"/>
      <c r="N2080" s="73">
        <v>44682</v>
      </c>
      <c r="O2080" s="73" t="s">
        <v>1716</v>
      </c>
      <c r="P2080" s="275">
        <f>R2080/Q2080</f>
        <v>380</v>
      </c>
      <c r="Q2080" s="212">
        <v>195</v>
      </c>
      <c r="R2080" s="118">
        <v>74100</v>
      </c>
      <c r="S2080" s="115">
        <v>202304</v>
      </c>
      <c r="T2080" s="205" t="s">
        <v>2802</v>
      </c>
      <c r="U2080" s="205"/>
      <c r="V2080" s="276"/>
      <c r="W2080" s="276"/>
      <c r="X2080" s="116">
        <v>44835</v>
      </c>
      <c r="Y2080" s="116">
        <v>45199</v>
      </c>
    </row>
    <row r="2081" s="85" customFormat="1" customHeight="1" spans="1:25">
      <c r="A2081" s="203" t="s">
        <v>61</v>
      </c>
      <c r="B2081" s="98" t="s">
        <v>62</v>
      </c>
      <c r="C2081" s="204" t="s">
        <v>63</v>
      </c>
      <c r="D2081" s="24" t="s">
        <v>75</v>
      </c>
      <c r="E2081" s="205" t="s">
        <v>2632</v>
      </c>
      <c r="F2081" s="203" t="s">
        <v>2633</v>
      </c>
      <c r="G2081" s="25" t="s">
        <v>67</v>
      </c>
      <c r="H2081" s="100" t="s">
        <v>2800</v>
      </c>
      <c r="I2081" s="46" t="e">
        <f>VLOOKUP(H2081,'合同高级查询数据-4月返'!A:A,1,FALSE)</f>
        <v>#N/A</v>
      </c>
      <c r="J2081" s="25" t="s">
        <v>69</v>
      </c>
      <c r="K2081" s="203" t="s">
        <v>2803</v>
      </c>
      <c r="L2081" s="206"/>
      <c r="M2081" s="49"/>
      <c r="N2081" s="73">
        <v>44713</v>
      </c>
      <c r="O2081" s="73" t="s">
        <v>1716</v>
      </c>
      <c r="P2081" s="275">
        <f>R2081/Q2081</f>
        <v>380</v>
      </c>
      <c r="Q2081" s="212">
        <v>349</v>
      </c>
      <c r="R2081" s="118">
        <v>132620</v>
      </c>
      <c r="S2081" s="115">
        <v>202304</v>
      </c>
      <c r="T2081" s="287" t="s">
        <v>2804</v>
      </c>
      <c r="U2081" s="205"/>
      <c r="V2081" s="276"/>
      <c r="W2081" s="276"/>
      <c r="X2081" s="116">
        <v>44835</v>
      </c>
      <c r="Y2081" s="116">
        <v>45199</v>
      </c>
    </row>
    <row r="2082" s="85" customFormat="1" customHeight="1" spans="1:25">
      <c r="A2082" s="203" t="s">
        <v>61</v>
      </c>
      <c r="B2082" s="98" t="s">
        <v>62</v>
      </c>
      <c r="C2082" s="204" t="s">
        <v>63</v>
      </c>
      <c r="D2082" s="24" t="s">
        <v>75</v>
      </c>
      <c r="E2082" s="205" t="s">
        <v>2632</v>
      </c>
      <c r="F2082" s="203" t="s">
        <v>2633</v>
      </c>
      <c r="G2082" s="25" t="s">
        <v>67</v>
      </c>
      <c r="H2082" s="100" t="s">
        <v>2800</v>
      </c>
      <c r="I2082" s="46" t="e">
        <f>VLOOKUP(H2082,'合同高级查询数据-4月返'!A:A,1,FALSE)</f>
        <v>#N/A</v>
      </c>
      <c r="J2082" s="25" t="s">
        <v>69</v>
      </c>
      <c r="K2082" s="203" t="s">
        <v>2805</v>
      </c>
      <c r="L2082" s="206"/>
      <c r="M2082" s="49"/>
      <c r="N2082" s="73">
        <v>44713</v>
      </c>
      <c r="O2082" s="73" t="s">
        <v>1716</v>
      </c>
      <c r="P2082" s="275">
        <f>R2082/Q2082</f>
        <v>399.895172413793</v>
      </c>
      <c r="Q2082" s="212">
        <v>232</v>
      </c>
      <c r="R2082" s="118">
        <v>92775.68</v>
      </c>
      <c r="S2082" s="115">
        <v>202304</v>
      </c>
      <c r="T2082" s="205" t="s">
        <v>2806</v>
      </c>
      <c r="U2082" s="205"/>
      <c r="V2082" s="276"/>
      <c r="W2082" s="276"/>
      <c r="X2082" s="116">
        <v>44835</v>
      </c>
      <c r="Y2082" s="116">
        <v>45199</v>
      </c>
    </row>
    <row r="2083" s="85" customFormat="1" customHeight="1" spans="1:25">
      <c r="A2083" s="203" t="s">
        <v>61</v>
      </c>
      <c r="B2083" s="98" t="s">
        <v>62</v>
      </c>
      <c r="C2083" s="204" t="s">
        <v>63</v>
      </c>
      <c r="D2083" s="24" t="s">
        <v>75</v>
      </c>
      <c r="E2083" s="205" t="s">
        <v>2632</v>
      </c>
      <c r="F2083" s="203" t="s">
        <v>2633</v>
      </c>
      <c r="G2083" s="25" t="s">
        <v>67</v>
      </c>
      <c r="H2083" s="100" t="s">
        <v>2800</v>
      </c>
      <c r="I2083" s="46" t="e">
        <f>VLOOKUP(H2083,'合同高级查询数据-4月返'!A:A,1,FALSE)</f>
        <v>#N/A</v>
      </c>
      <c r="J2083" s="25" t="s">
        <v>69</v>
      </c>
      <c r="K2083" s="203" t="s">
        <v>2807</v>
      </c>
      <c r="L2083" s="206"/>
      <c r="M2083" s="49"/>
      <c r="N2083" s="73">
        <v>44743</v>
      </c>
      <c r="O2083" s="73" t="s">
        <v>1716</v>
      </c>
      <c r="P2083" s="275">
        <f>R2083/Q2083</f>
        <v>380</v>
      </c>
      <c r="Q2083" s="212">
        <v>482</v>
      </c>
      <c r="R2083" s="118">
        <v>183160</v>
      </c>
      <c r="S2083" s="115">
        <v>202304</v>
      </c>
      <c r="T2083" s="205" t="s">
        <v>2808</v>
      </c>
      <c r="U2083" s="205"/>
      <c r="V2083" s="276"/>
      <c r="W2083" s="276"/>
      <c r="X2083" s="116">
        <v>44835</v>
      </c>
      <c r="Y2083" s="116">
        <v>45199</v>
      </c>
    </row>
    <row r="2084" s="85" customFormat="1" customHeight="1" spans="1:25">
      <c r="A2084" s="203" t="s">
        <v>61</v>
      </c>
      <c r="B2084" s="98" t="s">
        <v>62</v>
      </c>
      <c r="C2084" s="204" t="s">
        <v>63</v>
      </c>
      <c r="D2084" s="24" t="s">
        <v>75</v>
      </c>
      <c r="E2084" s="205" t="s">
        <v>2632</v>
      </c>
      <c r="F2084" s="203" t="s">
        <v>2633</v>
      </c>
      <c r="G2084" s="25" t="s">
        <v>67</v>
      </c>
      <c r="H2084" s="100" t="s">
        <v>2800</v>
      </c>
      <c r="I2084" s="46" t="e">
        <f>VLOOKUP(H2084,'合同高级查询数据-4月返'!A:A,1,FALSE)</f>
        <v>#N/A</v>
      </c>
      <c r="J2084" s="25" t="s">
        <v>69</v>
      </c>
      <c r="K2084" s="203" t="s">
        <v>2809</v>
      </c>
      <c r="L2084" s="206"/>
      <c r="M2084" s="49"/>
      <c r="N2084" s="73">
        <v>44743</v>
      </c>
      <c r="O2084" s="73" t="s">
        <v>1716</v>
      </c>
      <c r="P2084" s="275">
        <f>R2084/Q2084</f>
        <v>380</v>
      </c>
      <c r="Q2084" s="212">
        <v>208</v>
      </c>
      <c r="R2084" s="118">
        <v>79040</v>
      </c>
      <c r="S2084" s="115">
        <v>202304</v>
      </c>
      <c r="T2084" s="205" t="s">
        <v>2810</v>
      </c>
      <c r="U2084" s="205"/>
      <c r="V2084" s="276"/>
      <c r="W2084" s="276"/>
      <c r="X2084" s="116">
        <v>44835</v>
      </c>
      <c r="Y2084" s="116">
        <v>45199</v>
      </c>
    </row>
    <row r="2085" s="85" customFormat="1" customHeight="1" spans="1:25">
      <c r="A2085" s="203" t="s">
        <v>61</v>
      </c>
      <c r="B2085" s="98" t="s">
        <v>62</v>
      </c>
      <c r="C2085" s="204" t="s">
        <v>63</v>
      </c>
      <c r="D2085" s="24" t="s">
        <v>75</v>
      </c>
      <c r="E2085" s="205" t="s">
        <v>2632</v>
      </c>
      <c r="F2085" s="203" t="s">
        <v>2633</v>
      </c>
      <c r="G2085" s="25" t="s">
        <v>67</v>
      </c>
      <c r="H2085" s="100" t="s">
        <v>2800</v>
      </c>
      <c r="I2085" s="46" t="e">
        <f>VLOOKUP(H2085,'合同高级查询数据-4月返'!A:A,1,FALSE)</f>
        <v>#N/A</v>
      </c>
      <c r="J2085" s="25" t="s">
        <v>69</v>
      </c>
      <c r="K2085" s="205" t="s">
        <v>2811</v>
      </c>
      <c r="L2085" s="206"/>
      <c r="M2085" s="49"/>
      <c r="N2085" s="73">
        <v>44760</v>
      </c>
      <c r="O2085" s="73" t="s">
        <v>71</v>
      </c>
      <c r="P2085" s="275">
        <v>8184</v>
      </c>
      <c r="Q2085" s="212">
        <v>1</v>
      </c>
      <c r="R2085" s="118">
        <f>ROUND(P2085*Q2085,2)</f>
        <v>8184</v>
      </c>
      <c r="S2085" s="115">
        <v>202304</v>
      </c>
      <c r="T2085" s="205" t="s">
        <v>2812</v>
      </c>
      <c r="U2085" s="205"/>
      <c r="V2085" s="276"/>
      <c r="W2085" s="276"/>
      <c r="X2085" s="116">
        <v>44835</v>
      </c>
      <c r="Y2085" s="116">
        <v>45199</v>
      </c>
    </row>
    <row r="2086" s="85" customFormat="1" customHeight="1" spans="1:25">
      <c r="A2086" s="203" t="s">
        <v>61</v>
      </c>
      <c r="B2086" s="98" t="s">
        <v>62</v>
      </c>
      <c r="C2086" s="204" t="s">
        <v>63</v>
      </c>
      <c r="D2086" s="24" t="s">
        <v>75</v>
      </c>
      <c r="E2086" s="205" t="s">
        <v>2632</v>
      </c>
      <c r="F2086" s="203" t="s">
        <v>2633</v>
      </c>
      <c r="G2086" s="25" t="s">
        <v>67</v>
      </c>
      <c r="H2086" s="100" t="s">
        <v>2800</v>
      </c>
      <c r="I2086" s="46" t="e">
        <f>VLOOKUP(H2086,'合同高级查询数据-4月返'!A:A,1,FALSE)</f>
        <v>#N/A</v>
      </c>
      <c r="J2086" s="25" t="s">
        <v>69</v>
      </c>
      <c r="K2086" s="205" t="s">
        <v>2813</v>
      </c>
      <c r="L2086" s="206"/>
      <c r="M2086" s="49"/>
      <c r="N2086" s="73">
        <v>44760</v>
      </c>
      <c r="O2086" s="73" t="s">
        <v>71</v>
      </c>
      <c r="P2086" s="275">
        <v>19360</v>
      </c>
      <c r="Q2086" s="212">
        <v>1</v>
      </c>
      <c r="R2086" s="118">
        <f>ROUND(P2086*Q2086,2)</f>
        <v>19360</v>
      </c>
      <c r="S2086" s="115">
        <v>202304</v>
      </c>
      <c r="T2086" s="205" t="s">
        <v>2814</v>
      </c>
      <c r="U2086" s="205"/>
      <c r="V2086" s="276"/>
      <c r="W2086" s="276"/>
      <c r="X2086" s="116">
        <v>44835</v>
      </c>
      <c r="Y2086" s="116">
        <v>45199</v>
      </c>
    </row>
    <row r="2087" s="85" customFormat="1" customHeight="1" spans="1:25">
      <c r="A2087" s="203" t="s">
        <v>61</v>
      </c>
      <c r="B2087" s="98" t="s">
        <v>62</v>
      </c>
      <c r="C2087" s="204" t="s">
        <v>63</v>
      </c>
      <c r="D2087" s="24" t="s">
        <v>75</v>
      </c>
      <c r="E2087" s="205" t="s">
        <v>2632</v>
      </c>
      <c r="F2087" s="203" t="s">
        <v>2633</v>
      </c>
      <c r="G2087" s="25" t="s">
        <v>67</v>
      </c>
      <c r="H2087" s="100" t="s">
        <v>2800</v>
      </c>
      <c r="I2087" s="46" t="e">
        <f>VLOOKUP(H2087,'合同高级查询数据-4月返'!A:A,1,FALSE)</f>
        <v>#N/A</v>
      </c>
      <c r="J2087" s="25" t="s">
        <v>69</v>
      </c>
      <c r="K2087" s="205" t="s">
        <v>2815</v>
      </c>
      <c r="L2087" s="206"/>
      <c r="M2087" s="49"/>
      <c r="N2087" s="73">
        <v>44760</v>
      </c>
      <c r="O2087" s="73" t="s">
        <v>71</v>
      </c>
      <c r="P2087" s="275">
        <v>8032.18</v>
      </c>
      <c r="Q2087" s="212">
        <v>1</v>
      </c>
      <c r="R2087" s="118">
        <f>ROUND(P2087*Q2087,2)</f>
        <v>8032.18</v>
      </c>
      <c r="S2087" s="115">
        <v>202304</v>
      </c>
      <c r="T2087" s="205" t="s">
        <v>2816</v>
      </c>
      <c r="U2087" s="205"/>
      <c r="V2087" s="276"/>
      <c r="W2087" s="276"/>
      <c r="X2087" s="116">
        <v>44835</v>
      </c>
      <c r="Y2087" s="116">
        <v>45199</v>
      </c>
    </row>
    <row r="2088" s="85" customFormat="1" customHeight="1" spans="1:25">
      <c r="A2088" s="203" t="s">
        <v>61</v>
      </c>
      <c r="B2088" s="98" t="s">
        <v>62</v>
      </c>
      <c r="C2088" s="204" t="s">
        <v>63</v>
      </c>
      <c r="D2088" s="24" t="s">
        <v>75</v>
      </c>
      <c r="E2088" s="205" t="s">
        <v>2632</v>
      </c>
      <c r="F2088" s="203" t="s">
        <v>2633</v>
      </c>
      <c r="G2088" s="25" t="s">
        <v>67</v>
      </c>
      <c r="H2088" s="100" t="s">
        <v>2800</v>
      </c>
      <c r="I2088" s="46" t="e">
        <f>VLOOKUP(H2088,'合同高级查询数据-4月返'!A:A,1,FALSE)</f>
        <v>#N/A</v>
      </c>
      <c r="J2088" s="25" t="s">
        <v>69</v>
      </c>
      <c r="K2088" s="205" t="s">
        <v>2817</v>
      </c>
      <c r="L2088" s="206"/>
      <c r="M2088" s="49"/>
      <c r="N2088" s="73">
        <v>44760</v>
      </c>
      <c r="O2088" s="73" t="s">
        <v>71</v>
      </c>
      <c r="P2088" s="275">
        <v>11414.15</v>
      </c>
      <c r="Q2088" s="212">
        <v>1</v>
      </c>
      <c r="R2088" s="118">
        <f>ROUND(P2088*Q2088,2)</f>
        <v>11414.15</v>
      </c>
      <c r="S2088" s="115">
        <v>202304</v>
      </c>
      <c r="T2088" s="205" t="s">
        <v>2818</v>
      </c>
      <c r="U2088" s="205"/>
      <c r="V2088" s="276"/>
      <c r="W2088" s="276"/>
      <c r="X2088" s="116">
        <v>44835</v>
      </c>
      <c r="Y2088" s="116">
        <v>45199</v>
      </c>
    </row>
    <row r="2089" s="85" customFormat="1" customHeight="1" spans="1:25">
      <c r="A2089" s="203" t="s">
        <v>61</v>
      </c>
      <c r="B2089" s="98" t="s">
        <v>62</v>
      </c>
      <c r="C2089" s="204" t="s">
        <v>63</v>
      </c>
      <c r="D2089" s="24" t="s">
        <v>75</v>
      </c>
      <c r="E2089" s="205" t="s">
        <v>2632</v>
      </c>
      <c r="F2089" s="203" t="s">
        <v>2633</v>
      </c>
      <c r="G2089" s="25" t="s">
        <v>67</v>
      </c>
      <c r="H2089" s="100" t="s">
        <v>2800</v>
      </c>
      <c r="I2089" s="46" t="e">
        <f>VLOOKUP(H2089,'合同高级查询数据-4月返'!A:A,1,FALSE)</f>
        <v>#N/A</v>
      </c>
      <c r="J2089" s="25" t="s">
        <v>69</v>
      </c>
      <c r="K2089" s="203" t="s">
        <v>2819</v>
      </c>
      <c r="L2089" s="206"/>
      <c r="M2089" s="49"/>
      <c r="N2089" s="73">
        <v>44774</v>
      </c>
      <c r="O2089" s="73" t="s">
        <v>2383</v>
      </c>
      <c r="P2089" s="275">
        <f>R2089/Q2089</f>
        <v>758.658490566038</v>
      </c>
      <c r="Q2089" s="212">
        <v>5.3</v>
      </c>
      <c r="R2089" s="118">
        <v>4020.89</v>
      </c>
      <c r="S2089" s="115">
        <v>202304</v>
      </c>
      <c r="T2089" s="205" t="s">
        <v>2820</v>
      </c>
      <c r="U2089" s="205"/>
      <c r="V2089" s="276"/>
      <c r="W2089" s="276"/>
      <c r="X2089" s="116">
        <v>44835</v>
      </c>
      <c r="Y2089" s="116">
        <v>45199</v>
      </c>
    </row>
    <row r="2090" s="85" customFormat="1" customHeight="1" spans="1:25">
      <c r="A2090" s="203" t="s">
        <v>61</v>
      </c>
      <c r="B2090" s="98" t="s">
        <v>62</v>
      </c>
      <c r="C2090" s="204" t="s">
        <v>63</v>
      </c>
      <c r="D2090" s="24" t="s">
        <v>75</v>
      </c>
      <c r="E2090" s="205" t="s">
        <v>2632</v>
      </c>
      <c r="F2090" s="203" t="s">
        <v>2633</v>
      </c>
      <c r="G2090" s="25" t="s">
        <v>346</v>
      </c>
      <c r="H2090" s="100" t="s">
        <v>2821</v>
      </c>
      <c r="I2090" s="46" t="e">
        <f>VLOOKUP(H2090,'合同高级查询数据-4月返'!A:A,1,FALSE)</f>
        <v>#N/A</v>
      </c>
      <c r="J2090" s="25" t="s">
        <v>346</v>
      </c>
      <c r="K2090" s="203" t="s">
        <v>2822</v>
      </c>
      <c r="L2090" s="206"/>
      <c r="M2090" s="49"/>
      <c r="N2090" s="73">
        <v>44760</v>
      </c>
      <c r="O2090" s="73" t="s">
        <v>2780</v>
      </c>
      <c r="P2090" s="275">
        <v>2243119.59</v>
      </c>
      <c r="Q2090" s="212">
        <v>1</v>
      </c>
      <c r="R2090" s="118">
        <f>ROUND(P2090*Q2090,2)</f>
        <v>2243119.59</v>
      </c>
      <c r="S2090" s="115">
        <v>202304</v>
      </c>
      <c r="T2090" s="205" t="s">
        <v>2823</v>
      </c>
      <c r="U2090" s="205"/>
      <c r="V2090" s="276"/>
      <c r="W2090" s="276"/>
      <c r="X2090" s="116">
        <v>44760</v>
      </c>
      <c r="Y2090" s="116">
        <v>45508</v>
      </c>
    </row>
    <row r="2091" s="85" customFormat="1" customHeight="1" spans="1:25">
      <c r="A2091" s="203" t="s">
        <v>61</v>
      </c>
      <c r="B2091" s="98" t="s">
        <v>62</v>
      </c>
      <c r="C2091" s="204" t="s">
        <v>63</v>
      </c>
      <c r="D2091" s="24" t="s">
        <v>75</v>
      </c>
      <c r="E2091" s="205" t="s">
        <v>2632</v>
      </c>
      <c r="F2091" s="203" t="s">
        <v>2633</v>
      </c>
      <c r="G2091" s="25" t="s">
        <v>346</v>
      </c>
      <c r="H2091" s="100" t="s">
        <v>2821</v>
      </c>
      <c r="I2091" s="46" t="e">
        <f>VLOOKUP(H2091,'合同高级查询数据-4月返'!A:A,1,FALSE)</f>
        <v>#N/A</v>
      </c>
      <c r="J2091" s="25" t="s">
        <v>346</v>
      </c>
      <c r="K2091" s="203" t="s">
        <v>2824</v>
      </c>
      <c r="L2091" s="206"/>
      <c r="M2091" s="49"/>
      <c r="N2091" s="73">
        <v>44788</v>
      </c>
      <c r="O2091" s="288" t="s">
        <v>2825</v>
      </c>
      <c r="P2091" s="275">
        <v>268101.92</v>
      </c>
      <c r="Q2091" s="212">
        <v>1</v>
      </c>
      <c r="R2091" s="118">
        <f>ROUND(P2091*Q2091,2)</f>
        <v>268101.92</v>
      </c>
      <c r="S2091" s="115">
        <v>202304</v>
      </c>
      <c r="T2091" s="205" t="s">
        <v>2826</v>
      </c>
      <c r="U2091" s="205"/>
      <c r="V2091" s="276"/>
      <c r="W2091" s="276"/>
      <c r="X2091" s="116">
        <v>44760</v>
      </c>
      <c r="Y2091" s="116">
        <v>45508</v>
      </c>
    </row>
    <row r="2092" s="85" customFormat="1" customHeight="1" spans="1:25">
      <c r="A2092" s="203" t="s">
        <v>61</v>
      </c>
      <c r="B2092" s="98" t="s">
        <v>62</v>
      </c>
      <c r="C2092" s="204" t="s">
        <v>63</v>
      </c>
      <c r="D2092" s="24" t="s">
        <v>75</v>
      </c>
      <c r="E2092" s="205" t="s">
        <v>2632</v>
      </c>
      <c r="F2092" s="203" t="s">
        <v>2633</v>
      </c>
      <c r="G2092" s="25" t="s">
        <v>67</v>
      </c>
      <c r="H2092" s="100" t="s">
        <v>2827</v>
      </c>
      <c r="I2092" s="46" t="e">
        <f>VLOOKUP(H2092,'合同高级查询数据-4月返'!A:A,1,FALSE)</f>
        <v>#N/A</v>
      </c>
      <c r="J2092" s="25" t="s">
        <v>69</v>
      </c>
      <c r="K2092" s="203" t="s">
        <v>2828</v>
      </c>
      <c r="L2092" s="206"/>
      <c r="M2092" s="49"/>
      <c r="N2092" s="73">
        <v>44812</v>
      </c>
      <c r="O2092" s="73" t="s">
        <v>2383</v>
      </c>
      <c r="P2092" s="275">
        <v>399.895115681234</v>
      </c>
      <c r="Q2092" s="212">
        <v>77.8</v>
      </c>
      <c r="R2092" s="118">
        <f>ROUND(P2092*Q2092,2)</f>
        <v>31111.84</v>
      </c>
      <c r="S2092" s="115">
        <v>202304</v>
      </c>
      <c r="T2092" s="205" t="s">
        <v>2828</v>
      </c>
      <c r="U2092" s="205"/>
      <c r="V2092" s="276"/>
      <c r="W2092" s="276"/>
      <c r="X2092" s="116">
        <v>44812</v>
      </c>
      <c r="Y2092" s="116">
        <v>45260</v>
      </c>
    </row>
    <row r="2093" s="85" customFormat="1" customHeight="1" spans="1:25">
      <c r="A2093" s="203" t="s">
        <v>61</v>
      </c>
      <c r="B2093" s="98" t="s">
        <v>62</v>
      </c>
      <c r="C2093" s="204" t="s">
        <v>63</v>
      </c>
      <c r="D2093" s="24" t="s">
        <v>75</v>
      </c>
      <c r="E2093" s="205" t="s">
        <v>2632</v>
      </c>
      <c r="F2093" s="203" t="s">
        <v>2633</v>
      </c>
      <c r="G2093" s="25" t="s">
        <v>67</v>
      </c>
      <c r="H2093" s="100" t="s">
        <v>2827</v>
      </c>
      <c r="I2093" s="46" t="e">
        <f>VLOOKUP(H2093,'合同高级查询数据-4月返'!A:A,1,FALSE)</f>
        <v>#N/A</v>
      </c>
      <c r="J2093" s="25" t="s">
        <v>69</v>
      </c>
      <c r="K2093" s="203" t="s">
        <v>2829</v>
      </c>
      <c r="L2093" s="206"/>
      <c r="M2093" s="49"/>
      <c r="N2093" s="73">
        <v>44812</v>
      </c>
      <c r="O2093" s="73" t="s">
        <v>2383</v>
      </c>
      <c r="P2093" s="275">
        <v>418.308522212149</v>
      </c>
      <c r="Q2093" s="212">
        <v>110.3</v>
      </c>
      <c r="R2093" s="118">
        <f>ROUND(P2093*Q2093,2)</f>
        <v>46139.43</v>
      </c>
      <c r="S2093" s="115">
        <v>202304</v>
      </c>
      <c r="T2093" s="205" t="s">
        <v>2829</v>
      </c>
      <c r="U2093" s="205"/>
      <c r="V2093" s="276"/>
      <c r="W2093" s="276"/>
      <c r="X2093" s="116">
        <v>44812</v>
      </c>
      <c r="Y2093" s="116">
        <v>45260</v>
      </c>
    </row>
    <row r="2094" s="85" customFormat="1" customHeight="1" spans="1:25">
      <c r="A2094" s="203" t="s">
        <v>61</v>
      </c>
      <c r="B2094" s="98" t="s">
        <v>62</v>
      </c>
      <c r="C2094" s="204" t="s">
        <v>63</v>
      </c>
      <c r="D2094" s="24" t="s">
        <v>75</v>
      </c>
      <c r="E2094" s="205" t="s">
        <v>2632</v>
      </c>
      <c r="F2094" s="203" t="s">
        <v>2633</v>
      </c>
      <c r="G2094" s="25" t="s">
        <v>67</v>
      </c>
      <c r="H2094" s="100" t="s">
        <v>2827</v>
      </c>
      <c r="I2094" s="46" t="e">
        <f>VLOOKUP(H2094,'合同高级查询数据-4月返'!A:A,1,FALSE)</f>
        <v>#N/A</v>
      </c>
      <c r="J2094" s="25" t="s">
        <v>69</v>
      </c>
      <c r="K2094" s="203" t="s">
        <v>2830</v>
      </c>
      <c r="L2094" s="206"/>
      <c r="M2094" s="49"/>
      <c r="N2094" s="73">
        <v>44812</v>
      </c>
      <c r="O2094" s="73" t="s">
        <v>71</v>
      </c>
      <c r="P2094" s="275">
        <v>1320</v>
      </c>
      <c r="Q2094" s="212">
        <v>5.7</v>
      </c>
      <c r="R2094" s="118">
        <f>ROUND(P2094*Q2094,2)</f>
        <v>7524</v>
      </c>
      <c r="S2094" s="115">
        <v>202304</v>
      </c>
      <c r="T2094" s="290" t="s">
        <v>2830</v>
      </c>
      <c r="U2094" s="121"/>
      <c r="V2094" s="291"/>
      <c r="W2094" s="291"/>
      <c r="X2094" s="116">
        <v>44812</v>
      </c>
      <c r="Y2094" s="116">
        <v>45260</v>
      </c>
    </row>
    <row r="2095" s="85" customFormat="1" customHeight="1" spans="1:25">
      <c r="A2095" s="203" t="s">
        <v>61</v>
      </c>
      <c r="B2095" s="98" t="s">
        <v>62</v>
      </c>
      <c r="C2095" s="204" t="s">
        <v>63</v>
      </c>
      <c r="D2095" s="24" t="s">
        <v>75</v>
      </c>
      <c r="E2095" s="205" t="s">
        <v>2632</v>
      </c>
      <c r="F2095" s="203" t="s">
        <v>2633</v>
      </c>
      <c r="G2095" s="25" t="s">
        <v>67</v>
      </c>
      <c r="H2095" s="100" t="s">
        <v>2827</v>
      </c>
      <c r="I2095" s="46" t="e">
        <f>VLOOKUP(H2095,'合同高级查询数据-4月返'!A:A,1,FALSE)</f>
        <v>#N/A</v>
      </c>
      <c r="J2095" s="25" t="s">
        <v>69</v>
      </c>
      <c r="K2095" s="203" t="s">
        <v>2831</v>
      </c>
      <c r="L2095" s="206"/>
      <c r="M2095" s="49"/>
      <c r="N2095" s="73">
        <v>44819</v>
      </c>
      <c r="O2095" s="73" t="s">
        <v>1716</v>
      </c>
      <c r="P2095" s="275">
        <v>342.767280951583</v>
      </c>
      <c r="Q2095" s="212">
        <v>596.9</v>
      </c>
      <c r="R2095" s="118">
        <f>ROUND(P2095*Q2095,2)+10283.02</f>
        <v>214880.81</v>
      </c>
      <c r="S2095" s="115">
        <v>202304</v>
      </c>
      <c r="T2095" s="205" t="s">
        <v>2832</v>
      </c>
      <c r="U2095" s="205"/>
      <c r="V2095" s="276"/>
      <c r="W2095" s="276"/>
      <c r="X2095" s="116">
        <v>44812</v>
      </c>
      <c r="Y2095" s="116">
        <v>45260</v>
      </c>
    </row>
    <row r="2096" s="85" customFormat="1" customHeight="1" spans="1:25">
      <c r="A2096" s="203" t="s">
        <v>61</v>
      </c>
      <c r="B2096" s="98" t="s">
        <v>62</v>
      </c>
      <c r="C2096" s="204" t="s">
        <v>63</v>
      </c>
      <c r="D2096" s="24" t="s">
        <v>75</v>
      </c>
      <c r="E2096" s="205" t="s">
        <v>2632</v>
      </c>
      <c r="F2096" s="203" t="s">
        <v>2633</v>
      </c>
      <c r="G2096" s="25" t="s">
        <v>67</v>
      </c>
      <c r="H2096" s="100" t="s">
        <v>2827</v>
      </c>
      <c r="I2096" s="46" t="e">
        <f>VLOOKUP(H2096,'合同高级查询数据-4月返'!A:A,1,FALSE)</f>
        <v>#N/A</v>
      </c>
      <c r="J2096" s="25" t="s">
        <v>69</v>
      </c>
      <c r="K2096" s="203" t="s">
        <v>2833</v>
      </c>
      <c r="L2096" s="206"/>
      <c r="M2096" s="49"/>
      <c r="N2096" s="73">
        <v>44819</v>
      </c>
      <c r="O2096" s="73" t="s">
        <v>1716</v>
      </c>
      <c r="P2096" s="275">
        <v>342.767319749216</v>
      </c>
      <c r="Q2096" s="212">
        <v>127.6</v>
      </c>
      <c r="R2096" s="118">
        <f>ROUND(P2096*Q2096,2)</f>
        <v>43737.11</v>
      </c>
      <c r="S2096" s="115">
        <v>202304</v>
      </c>
      <c r="T2096" s="205" t="s">
        <v>2833</v>
      </c>
      <c r="U2096" s="205"/>
      <c r="V2096" s="276"/>
      <c r="W2096" s="276"/>
      <c r="X2096" s="116">
        <v>44812</v>
      </c>
      <c r="Y2096" s="116">
        <v>45260</v>
      </c>
    </row>
    <row r="2097" s="85" customFormat="1" customHeight="1" spans="1:25">
      <c r="A2097" s="203" t="s">
        <v>61</v>
      </c>
      <c r="B2097" s="98" t="s">
        <v>62</v>
      </c>
      <c r="C2097" s="204" t="s">
        <v>63</v>
      </c>
      <c r="D2097" s="24" t="s">
        <v>75</v>
      </c>
      <c r="E2097" s="205" t="s">
        <v>2632</v>
      </c>
      <c r="F2097" s="203" t="s">
        <v>2633</v>
      </c>
      <c r="G2097" s="25" t="s">
        <v>67</v>
      </c>
      <c r="H2097" s="100" t="s">
        <v>2827</v>
      </c>
      <c r="I2097" s="46" t="e">
        <f>VLOOKUP(H2097,'合同高级查询数据-4月返'!A:A,1,FALSE)</f>
        <v>#N/A</v>
      </c>
      <c r="J2097" s="25" t="s">
        <v>69</v>
      </c>
      <c r="K2097" s="203" t="s">
        <v>2834</v>
      </c>
      <c r="L2097" s="206"/>
      <c r="M2097" s="49"/>
      <c r="N2097" s="73">
        <v>44819</v>
      </c>
      <c r="O2097" s="73" t="s">
        <v>1716</v>
      </c>
      <c r="P2097" s="275">
        <v>342.767293997965</v>
      </c>
      <c r="Q2097" s="212">
        <v>196.6</v>
      </c>
      <c r="R2097" s="118">
        <f>ROUND(P2097*Q2097,2)</f>
        <v>67388.05</v>
      </c>
      <c r="S2097" s="115">
        <v>202304</v>
      </c>
      <c r="T2097" s="205" t="s">
        <v>2834</v>
      </c>
      <c r="U2097" s="205"/>
      <c r="V2097" s="276"/>
      <c r="W2097" s="276"/>
      <c r="X2097" s="116">
        <v>44812</v>
      </c>
      <c r="Y2097" s="116">
        <v>45260</v>
      </c>
    </row>
    <row r="2098" s="85" customFormat="1" customHeight="1" spans="1:25">
      <c r="A2098" s="203" t="s">
        <v>61</v>
      </c>
      <c r="B2098" s="98" t="s">
        <v>62</v>
      </c>
      <c r="C2098" s="204" t="s">
        <v>63</v>
      </c>
      <c r="D2098" s="24" t="s">
        <v>75</v>
      </c>
      <c r="E2098" s="205" t="s">
        <v>2632</v>
      </c>
      <c r="F2098" s="203" t="s">
        <v>2633</v>
      </c>
      <c r="G2098" s="25" t="s">
        <v>67</v>
      </c>
      <c r="H2098" s="100" t="s">
        <v>2827</v>
      </c>
      <c r="I2098" s="46" t="e">
        <f>VLOOKUP(H2098,'合同高级查询数据-4月返'!A:A,1,FALSE)</f>
        <v>#N/A</v>
      </c>
      <c r="J2098" s="25" t="s">
        <v>69</v>
      </c>
      <c r="K2098" s="203" t="s">
        <v>2835</v>
      </c>
      <c r="L2098" s="206"/>
      <c r="M2098" s="49"/>
      <c r="N2098" s="73">
        <v>44812</v>
      </c>
      <c r="O2098" s="73" t="s">
        <v>1716</v>
      </c>
      <c r="P2098" s="275">
        <v>342.767391304348</v>
      </c>
      <c r="Q2098" s="212">
        <v>59.8</v>
      </c>
      <c r="R2098" s="118">
        <f>ROUND(P2098*Q2098,2)</f>
        <v>20497.49</v>
      </c>
      <c r="S2098" s="115">
        <v>202304</v>
      </c>
      <c r="T2098" s="205" t="s">
        <v>2835</v>
      </c>
      <c r="U2098" s="205"/>
      <c r="V2098" s="276"/>
      <c r="W2098" s="276"/>
      <c r="X2098" s="116">
        <v>44812</v>
      </c>
      <c r="Y2098" s="116">
        <v>45260</v>
      </c>
    </row>
    <row r="2099" s="85" customFormat="1" customHeight="1" spans="1:25">
      <c r="A2099" s="203" t="s">
        <v>61</v>
      </c>
      <c r="B2099" s="98" t="s">
        <v>62</v>
      </c>
      <c r="C2099" s="204" t="s">
        <v>63</v>
      </c>
      <c r="D2099" s="24" t="s">
        <v>75</v>
      </c>
      <c r="E2099" s="205" t="s">
        <v>2632</v>
      </c>
      <c r="F2099" s="203" t="s">
        <v>2633</v>
      </c>
      <c r="G2099" s="25" t="s">
        <v>67</v>
      </c>
      <c r="H2099" s="100" t="s">
        <v>2827</v>
      </c>
      <c r="I2099" s="46" t="e">
        <f>VLOOKUP(H2099,'合同高级查询数据-4月返'!A:A,1,FALSE)</f>
        <v>#N/A</v>
      </c>
      <c r="J2099" s="25" t="s">
        <v>69</v>
      </c>
      <c r="K2099" s="203" t="s">
        <v>2836</v>
      </c>
      <c r="L2099" s="206"/>
      <c r="M2099" s="49"/>
      <c r="N2099" s="73">
        <v>44842</v>
      </c>
      <c r="O2099" s="73" t="s">
        <v>1716</v>
      </c>
      <c r="P2099" s="275">
        <v>361.512220916569</v>
      </c>
      <c r="Q2099" s="212">
        <v>425.5</v>
      </c>
      <c r="R2099" s="118">
        <f>ROUND(P2099*Q2099,2)+27421.38</f>
        <v>181244.83</v>
      </c>
      <c r="S2099" s="115">
        <v>202304</v>
      </c>
      <c r="T2099" s="290" t="s">
        <v>2837</v>
      </c>
      <c r="U2099" s="121"/>
      <c r="V2099" s="291"/>
      <c r="W2099" s="291"/>
      <c r="X2099" s="116">
        <v>44812</v>
      </c>
      <c r="Y2099" s="116">
        <v>45260</v>
      </c>
    </row>
    <row r="2100" s="85" customFormat="1" customHeight="1" spans="1:25">
      <c r="A2100" s="203" t="s">
        <v>61</v>
      </c>
      <c r="B2100" s="98" t="s">
        <v>62</v>
      </c>
      <c r="C2100" s="204" t="s">
        <v>63</v>
      </c>
      <c r="D2100" s="24" t="s">
        <v>75</v>
      </c>
      <c r="E2100" s="205" t="s">
        <v>2632</v>
      </c>
      <c r="F2100" s="203" t="s">
        <v>2633</v>
      </c>
      <c r="G2100" s="25" t="s">
        <v>67</v>
      </c>
      <c r="H2100" s="100" t="s">
        <v>2827</v>
      </c>
      <c r="I2100" s="46" t="e">
        <f>VLOOKUP(H2100,'合同高级查询数据-4月返'!A:A,1,FALSE)</f>
        <v>#N/A</v>
      </c>
      <c r="J2100" s="25" t="s">
        <v>69</v>
      </c>
      <c r="K2100" s="203" t="s">
        <v>2838</v>
      </c>
      <c r="L2100" s="206"/>
      <c r="M2100" s="49"/>
      <c r="N2100" s="73">
        <v>44842</v>
      </c>
      <c r="O2100" s="73" t="s">
        <v>1716</v>
      </c>
      <c r="P2100" s="275">
        <v>9140.46</v>
      </c>
      <c r="Q2100" s="212">
        <v>1</v>
      </c>
      <c r="R2100" s="118">
        <f t="shared" ref="R2100:R2131" si="57">ROUND(P2100*Q2100,2)</f>
        <v>9140.46</v>
      </c>
      <c r="S2100" s="115">
        <v>202304</v>
      </c>
      <c r="T2100" s="290" t="s">
        <v>2838</v>
      </c>
      <c r="U2100" s="121"/>
      <c r="V2100" s="291"/>
      <c r="W2100" s="291"/>
      <c r="X2100" s="116">
        <v>44812</v>
      </c>
      <c r="Y2100" s="116">
        <v>45260</v>
      </c>
    </row>
    <row r="2101" s="85" customFormat="1" customHeight="1" spans="1:25">
      <c r="A2101" s="203" t="s">
        <v>61</v>
      </c>
      <c r="B2101" s="98" t="s">
        <v>62</v>
      </c>
      <c r="C2101" s="204" t="s">
        <v>63</v>
      </c>
      <c r="D2101" s="24" t="s">
        <v>75</v>
      </c>
      <c r="E2101" s="205" t="s">
        <v>2632</v>
      </c>
      <c r="F2101" s="203" t="s">
        <v>2633</v>
      </c>
      <c r="G2101" s="25" t="s">
        <v>67</v>
      </c>
      <c r="H2101" s="100" t="s">
        <v>2827</v>
      </c>
      <c r="I2101" s="46" t="e">
        <f>VLOOKUP(H2101,'合同高级查询数据-4月返'!A:A,1,FALSE)</f>
        <v>#N/A</v>
      </c>
      <c r="J2101" s="25" t="s">
        <v>69</v>
      </c>
      <c r="K2101" s="203" t="s">
        <v>2839</v>
      </c>
      <c r="L2101" s="206"/>
      <c r="M2101" s="49"/>
      <c r="N2101" s="73">
        <v>44842</v>
      </c>
      <c r="O2101" s="73" t="s">
        <v>71</v>
      </c>
      <c r="P2101" s="275">
        <v>399.895294117647</v>
      </c>
      <c r="Q2101" s="212">
        <v>34</v>
      </c>
      <c r="R2101" s="118">
        <f t="shared" si="57"/>
        <v>13596.44</v>
      </c>
      <c r="S2101" s="115">
        <v>202304</v>
      </c>
      <c r="T2101" s="205" t="s">
        <v>2839</v>
      </c>
      <c r="U2101" s="205"/>
      <c r="V2101" s="276"/>
      <c r="W2101" s="276"/>
      <c r="X2101" s="116">
        <v>44812</v>
      </c>
      <c r="Y2101" s="116">
        <v>45260</v>
      </c>
    </row>
    <row r="2102" s="85" customFormat="1" customHeight="1" spans="1:25">
      <c r="A2102" s="203" t="s">
        <v>61</v>
      </c>
      <c r="B2102" s="98" t="s">
        <v>62</v>
      </c>
      <c r="C2102" s="204" t="s">
        <v>63</v>
      </c>
      <c r="D2102" s="24" t="s">
        <v>75</v>
      </c>
      <c r="E2102" s="205" t="s">
        <v>2632</v>
      </c>
      <c r="F2102" s="203" t="s">
        <v>2633</v>
      </c>
      <c r="G2102" s="25" t="s">
        <v>67</v>
      </c>
      <c r="H2102" s="100" t="s">
        <v>2827</v>
      </c>
      <c r="I2102" s="46" t="e">
        <f>VLOOKUP(H2102,'合同高级查询数据-4月返'!A:A,1,FALSE)</f>
        <v>#N/A</v>
      </c>
      <c r="J2102" s="25" t="s">
        <v>69</v>
      </c>
      <c r="K2102" s="203" t="s">
        <v>2840</v>
      </c>
      <c r="L2102" s="206"/>
      <c r="M2102" s="49"/>
      <c r="N2102" s="73">
        <v>44842</v>
      </c>
      <c r="O2102" s="73" t="s">
        <v>71</v>
      </c>
      <c r="P2102" s="275">
        <v>399.894736842105</v>
      </c>
      <c r="Q2102" s="212">
        <v>3.8</v>
      </c>
      <c r="R2102" s="118">
        <f t="shared" si="57"/>
        <v>1519.6</v>
      </c>
      <c r="S2102" s="115">
        <v>202304</v>
      </c>
      <c r="T2102" s="205" t="s">
        <v>2840</v>
      </c>
      <c r="U2102" s="205"/>
      <c r="V2102" s="276"/>
      <c r="W2102" s="276"/>
      <c r="X2102" s="116">
        <v>44812</v>
      </c>
      <c r="Y2102" s="116">
        <v>45260</v>
      </c>
    </row>
    <row r="2103" s="85" customFormat="1" customHeight="1" spans="1:25">
      <c r="A2103" s="203" t="s">
        <v>61</v>
      </c>
      <c r="B2103" s="98" t="s">
        <v>62</v>
      </c>
      <c r="C2103" s="204" t="s">
        <v>63</v>
      </c>
      <c r="D2103" s="24" t="s">
        <v>75</v>
      </c>
      <c r="E2103" s="205" t="s">
        <v>2632</v>
      </c>
      <c r="F2103" s="203" t="s">
        <v>2633</v>
      </c>
      <c r="G2103" s="25" t="s">
        <v>67</v>
      </c>
      <c r="H2103" s="100" t="s">
        <v>2841</v>
      </c>
      <c r="I2103" s="46" t="e">
        <f>VLOOKUP(H2103,'合同高级查询数据-4月返'!A:A,1,FALSE)</f>
        <v>#N/A</v>
      </c>
      <c r="J2103" s="25" t="s">
        <v>69</v>
      </c>
      <c r="K2103" s="203" t="s">
        <v>2842</v>
      </c>
      <c r="L2103" s="206"/>
      <c r="M2103" s="49"/>
      <c r="N2103" s="73">
        <v>44866</v>
      </c>
      <c r="O2103" s="73" t="s">
        <v>71</v>
      </c>
      <c r="P2103" s="275">
        <v>6398.4</v>
      </c>
      <c r="Q2103" s="212">
        <v>1</v>
      </c>
      <c r="R2103" s="118">
        <f t="shared" si="57"/>
        <v>6398.4</v>
      </c>
      <c r="S2103" s="115">
        <v>202304</v>
      </c>
      <c r="T2103" s="290" t="s">
        <v>2843</v>
      </c>
      <c r="U2103" s="121"/>
      <c r="V2103" s="291"/>
      <c r="W2103" s="291"/>
      <c r="X2103" s="116">
        <v>44743</v>
      </c>
      <c r="Y2103" s="116">
        <v>45291</v>
      </c>
    </row>
    <row r="2104" s="85" customFormat="1" customHeight="1" spans="1:25">
      <c r="A2104" s="203" t="s">
        <v>61</v>
      </c>
      <c r="B2104" s="98" t="s">
        <v>62</v>
      </c>
      <c r="C2104" s="204" t="s">
        <v>63</v>
      </c>
      <c r="D2104" s="24" t="s">
        <v>75</v>
      </c>
      <c r="E2104" s="205" t="s">
        <v>2632</v>
      </c>
      <c r="F2104" s="203" t="s">
        <v>2633</v>
      </c>
      <c r="G2104" s="25" t="s">
        <v>67</v>
      </c>
      <c r="H2104" s="100" t="s">
        <v>2841</v>
      </c>
      <c r="I2104" s="46" t="e">
        <f>VLOOKUP(H2104,'合同高级查询数据-4月返'!A:A,1,FALSE)</f>
        <v>#N/A</v>
      </c>
      <c r="J2104" s="25" t="s">
        <v>69</v>
      </c>
      <c r="K2104" s="203" t="s">
        <v>2844</v>
      </c>
      <c r="L2104" s="206"/>
      <c r="M2104" s="49"/>
      <c r="N2104" s="73">
        <v>44774</v>
      </c>
      <c r="O2104" s="73" t="s">
        <v>1716</v>
      </c>
      <c r="P2104" s="275">
        <v>10000</v>
      </c>
      <c r="Q2104" s="212">
        <v>1</v>
      </c>
      <c r="R2104" s="118">
        <f t="shared" si="57"/>
        <v>10000</v>
      </c>
      <c r="S2104" s="115">
        <v>202304</v>
      </c>
      <c r="T2104" s="205" t="s">
        <v>2844</v>
      </c>
      <c r="U2104" s="121"/>
      <c r="V2104" s="291"/>
      <c r="W2104" s="291"/>
      <c r="X2104" s="116">
        <v>44743</v>
      </c>
      <c r="Y2104" s="116">
        <v>45291</v>
      </c>
    </row>
    <row r="2105" s="85" customFormat="1" customHeight="1" spans="1:25">
      <c r="A2105" s="203" t="s">
        <v>61</v>
      </c>
      <c r="B2105" s="98" t="s">
        <v>62</v>
      </c>
      <c r="C2105" s="204" t="s">
        <v>63</v>
      </c>
      <c r="D2105" s="24" t="s">
        <v>75</v>
      </c>
      <c r="E2105" s="205" t="s">
        <v>2632</v>
      </c>
      <c r="F2105" s="203" t="s">
        <v>2633</v>
      </c>
      <c r="G2105" s="25" t="s">
        <v>67</v>
      </c>
      <c r="H2105" s="100" t="s">
        <v>2841</v>
      </c>
      <c r="I2105" s="46" t="e">
        <f>VLOOKUP(H2105,'合同高级查询数据-4月返'!A:A,1,FALSE)</f>
        <v>#N/A</v>
      </c>
      <c r="J2105" s="25" t="s">
        <v>69</v>
      </c>
      <c r="K2105" s="203" t="s">
        <v>2845</v>
      </c>
      <c r="L2105" s="206"/>
      <c r="M2105" s="49"/>
      <c r="N2105" s="73">
        <v>44805</v>
      </c>
      <c r="O2105" s="73" t="s">
        <v>1716</v>
      </c>
      <c r="P2105" s="275">
        <v>6000</v>
      </c>
      <c r="Q2105" s="212">
        <v>1</v>
      </c>
      <c r="R2105" s="118">
        <f t="shared" si="57"/>
        <v>6000</v>
      </c>
      <c r="S2105" s="115">
        <v>202304</v>
      </c>
      <c r="T2105" s="205" t="s">
        <v>2845</v>
      </c>
      <c r="U2105" s="121"/>
      <c r="V2105" s="291"/>
      <c r="W2105" s="291"/>
      <c r="X2105" s="116">
        <v>44743</v>
      </c>
      <c r="Y2105" s="116">
        <v>45291</v>
      </c>
    </row>
    <row r="2106" s="85" customFormat="1" customHeight="1" spans="1:25">
      <c r="A2106" s="203" t="s">
        <v>61</v>
      </c>
      <c r="B2106" s="98" t="s">
        <v>62</v>
      </c>
      <c r="C2106" s="204" t="s">
        <v>63</v>
      </c>
      <c r="D2106" s="24" t="s">
        <v>75</v>
      </c>
      <c r="E2106" s="205" t="s">
        <v>2632</v>
      </c>
      <c r="F2106" s="203" t="s">
        <v>2633</v>
      </c>
      <c r="G2106" s="25" t="s">
        <v>88</v>
      </c>
      <c r="H2106" s="100" t="s">
        <v>2841</v>
      </c>
      <c r="I2106" s="46" t="e">
        <f>VLOOKUP(H2106,'合同高级查询数据-4月返'!A:A,1,FALSE)</f>
        <v>#N/A</v>
      </c>
      <c r="J2106" s="25" t="s">
        <v>90</v>
      </c>
      <c r="K2106" s="203" t="s">
        <v>2846</v>
      </c>
      <c r="L2106" s="206"/>
      <c r="M2106" s="49" t="s">
        <v>2847</v>
      </c>
      <c r="N2106" s="73">
        <v>44774</v>
      </c>
      <c r="O2106" s="73" t="s">
        <v>92</v>
      </c>
      <c r="P2106" s="275">
        <v>8000</v>
      </c>
      <c r="Q2106" s="212">
        <v>3</v>
      </c>
      <c r="R2106" s="118">
        <f t="shared" si="57"/>
        <v>24000</v>
      </c>
      <c r="S2106" s="115">
        <v>202304</v>
      </c>
      <c r="T2106" s="205" t="s">
        <v>2848</v>
      </c>
      <c r="U2106" s="121"/>
      <c r="V2106" s="291"/>
      <c r="W2106" s="291"/>
      <c r="X2106" s="116">
        <v>44743</v>
      </c>
      <c r="Y2106" s="116">
        <v>45291</v>
      </c>
    </row>
    <row r="2107" s="85" customFormat="1" customHeight="1" spans="1:25">
      <c r="A2107" s="203" t="s">
        <v>61</v>
      </c>
      <c r="B2107" s="98" t="s">
        <v>62</v>
      </c>
      <c r="C2107" s="204" t="s">
        <v>63</v>
      </c>
      <c r="D2107" s="24" t="s">
        <v>75</v>
      </c>
      <c r="E2107" s="205" t="s">
        <v>2632</v>
      </c>
      <c r="F2107" s="203" t="s">
        <v>2633</v>
      </c>
      <c r="G2107" s="25" t="s">
        <v>88</v>
      </c>
      <c r="H2107" s="100" t="s">
        <v>2841</v>
      </c>
      <c r="I2107" s="46" t="e">
        <f>VLOOKUP(H2107,'合同高级查询数据-4月返'!A:A,1,FALSE)</f>
        <v>#N/A</v>
      </c>
      <c r="J2107" s="25" t="s">
        <v>90</v>
      </c>
      <c r="K2107" s="203" t="s">
        <v>2846</v>
      </c>
      <c r="L2107" s="206"/>
      <c r="M2107" s="49" t="s">
        <v>2849</v>
      </c>
      <c r="N2107" s="73">
        <v>44774</v>
      </c>
      <c r="O2107" s="73" t="s">
        <v>92</v>
      </c>
      <c r="P2107" s="275">
        <v>8000</v>
      </c>
      <c r="Q2107" s="212">
        <v>1</v>
      </c>
      <c r="R2107" s="118">
        <f t="shared" si="57"/>
        <v>8000</v>
      </c>
      <c r="S2107" s="115">
        <v>202304</v>
      </c>
      <c r="T2107" s="205" t="s">
        <v>2850</v>
      </c>
      <c r="U2107" s="121"/>
      <c r="V2107" s="291"/>
      <c r="W2107" s="291"/>
      <c r="X2107" s="116">
        <v>44743</v>
      </c>
      <c r="Y2107" s="116">
        <v>45291</v>
      </c>
    </row>
    <row r="2108" s="85" customFormat="1" customHeight="1" spans="1:25">
      <c r="A2108" s="203" t="s">
        <v>61</v>
      </c>
      <c r="B2108" s="98" t="s">
        <v>62</v>
      </c>
      <c r="C2108" s="204" t="s">
        <v>63</v>
      </c>
      <c r="D2108" s="24" t="s">
        <v>75</v>
      </c>
      <c r="E2108" s="205" t="s">
        <v>2632</v>
      </c>
      <c r="F2108" s="203" t="s">
        <v>2633</v>
      </c>
      <c r="G2108" s="25" t="s">
        <v>88</v>
      </c>
      <c r="H2108" s="100" t="s">
        <v>2841</v>
      </c>
      <c r="I2108" s="46" t="e">
        <f>VLOOKUP(H2108,'合同高级查询数据-4月返'!A:A,1,FALSE)</f>
        <v>#N/A</v>
      </c>
      <c r="J2108" s="25" t="s">
        <v>90</v>
      </c>
      <c r="K2108" s="203" t="s">
        <v>2846</v>
      </c>
      <c r="L2108" s="206"/>
      <c r="M2108" s="49" t="s">
        <v>2851</v>
      </c>
      <c r="N2108" s="73">
        <v>44774</v>
      </c>
      <c r="O2108" s="73" t="s">
        <v>92</v>
      </c>
      <c r="P2108" s="275">
        <v>8000</v>
      </c>
      <c r="Q2108" s="212">
        <v>3</v>
      </c>
      <c r="R2108" s="118">
        <f t="shared" si="57"/>
        <v>24000</v>
      </c>
      <c r="S2108" s="115">
        <v>202304</v>
      </c>
      <c r="T2108" s="205" t="s">
        <v>2852</v>
      </c>
      <c r="U2108" s="121"/>
      <c r="V2108" s="291"/>
      <c r="W2108" s="291"/>
      <c r="X2108" s="116">
        <v>44743</v>
      </c>
      <c r="Y2108" s="116">
        <v>45291</v>
      </c>
    </row>
    <row r="2109" s="85" customFormat="1" customHeight="1" spans="1:25">
      <c r="A2109" s="203" t="s">
        <v>61</v>
      </c>
      <c r="B2109" s="98" t="s">
        <v>62</v>
      </c>
      <c r="C2109" s="204" t="s">
        <v>63</v>
      </c>
      <c r="D2109" s="24" t="s">
        <v>75</v>
      </c>
      <c r="E2109" s="205" t="s">
        <v>2632</v>
      </c>
      <c r="F2109" s="203" t="s">
        <v>2633</v>
      </c>
      <c r="G2109" s="25" t="s">
        <v>88</v>
      </c>
      <c r="H2109" s="100" t="s">
        <v>2841</v>
      </c>
      <c r="I2109" s="46" t="e">
        <f>VLOOKUP(H2109,'合同高级查询数据-4月返'!A:A,1,FALSE)</f>
        <v>#N/A</v>
      </c>
      <c r="J2109" s="25" t="s">
        <v>90</v>
      </c>
      <c r="K2109" s="203" t="s">
        <v>2853</v>
      </c>
      <c r="L2109" s="206"/>
      <c r="M2109" s="49" t="s">
        <v>2854</v>
      </c>
      <c r="N2109" s="73">
        <v>44743</v>
      </c>
      <c r="O2109" s="73" t="s">
        <v>92</v>
      </c>
      <c r="P2109" s="275">
        <v>8000</v>
      </c>
      <c r="Q2109" s="212">
        <v>1</v>
      </c>
      <c r="R2109" s="118">
        <f t="shared" si="57"/>
        <v>8000</v>
      </c>
      <c r="S2109" s="115">
        <v>202304</v>
      </c>
      <c r="T2109" s="205" t="s">
        <v>2855</v>
      </c>
      <c r="U2109" s="121"/>
      <c r="V2109" s="291"/>
      <c r="W2109" s="291"/>
      <c r="X2109" s="116">
        <v>44743</v>
      </c>
      <c r="Y2109" s="116">
        <v>45291</v>
      </c>
    </row>
    <row r="2110" s="85" customFormat="1" customHeight="1" spans="1:25">
      <c r="A2110" s="203" t="s">
        <v>61</v>
      </c>
      <c r="B2110" s="98" t="s">
        <v>62</v>
      </c>
      <c r="C2110" s="204" t="s">
        <v>63</v>
      </c>
      <c r="D2110" s="24" t="s">
        <v>75</v>
      </c>
      <c r="E2110" s="205" t="s">
        <v>2632</v>
      </c>
      <c r="F2110" s="203" t="s">
        <v>2633</v>
      </c>
      <c r="G2110" s="25" t="s">
        <v>88</v>
      </c>
      <c r="H2110" s="100" t="s">
        <v>2841</v>
      </c>
      <c r="I2110" s="46" t="e">
        <f>VLOOKUP(H2110,'合同高级查询数据-4月返'!A:A,1,FALSE)</f>
        <v>#N/A</v>
      </c>
      <c r="J2110" s="25" t="s">
        <v>90</v>
      </c>
      <c r="K2110" s="203" t="s">
        <v>2853</v>
      </c>
      <c r="L2110" s="206"/>
      <c r="M2110" s="49" t="s">
        <v>2856</v>
      </c>
      <c r="N2110" s="73">
        <v>44743</v>
      </c>
      <c r="O2110" s="73" t="s">
        <v>92</v>
      </c>
      <c r="P2110" s="275">
        <v>8000</v>
      </c>
      <c r="Q2110" s="212">
        <v>3</v>
      </c>
      <c r="R2110" s="118">
        <f t="shared" si="57"/>
        <v>24000</v>
      </c>
      <c r="S2110" s="115">
        <v>202304</v>
      </c>
      <c r="T2110" s="205" t="s">
        <v>2857</v>
      </c>
      <c r="U2110" s="121"/>
      <c r="V2110" s="291"/>
      <c r="W2110" s="291"/>
      <c r="X2110" s="116">
        <v>44743</v>
      </c>
      <c r="Y2110" s="116">
        <v>45291</v>
      </c>
    </row>
    <row r="2111" s="85" customFormat="1" customHeight="1" spans="1:25">
      <c r="A2111" s="203" t="s">
        <v>61</v>
      </c>
      <c r="B2111" s="98" t="s">
        <v>62</v>
      </c>
      <c r="C2111" s="204" t="s">
        <v>63</v>
      </c>
      <c r="D2111" s="24" t="s">
        <v>75</v>
      </c>
      <c r="E2111" s="205" t="s">
        <v>2632</v>
      </c>
      <c r="F2111" s="203" t="s">
        <v>2633</v>
      </c>
      <c r="G2111" s="25" t="s">
        <v>88</v>
      </c>
      <c r="H2111" s="100" t="s">
        <v>2841</v>
      </c>
      <c r="I2111" s="46" t="e">
        <f>VLOOKUP(H2111,'合同高级查询数据-4月返'!A:A,1,FALSE)</f>
        <v>#N/A</v>
      </c>
      <c r="J2111" s="25" t="s">
        <v>90</v>
      </c>
      <c r="K2111" s="203" t="s">
        <v>2853</v>
      </c>
      <c r="L2111" s="206"/>
      <c r="M2111" s="49" t="s">
        <v>2858</v>
      </c>
      <c r="N2111" s="73">
        <v>44743</v>
      </c>
      <c r="O2111" s="73" t="s">
        <v>92</v>
      </c>
      <c r="P2111" s="275">
        <v>8000</v>
      </c>
      <c r="Q2111" s="212">
        <v>1</v>
      </c>
      <c r="R2111" s="118">
        <f t="shared" si="57"/>
        <v>8000</v>
      </c>
      <c r="S2111" s="115">
        <v>202304</v>
      </c>
      <c r="T2111" s="205" t="s">
        <v>2859</v>
      </c>
      <c r="U2111" s="121"/>
      <c r="V2111" s="291"/>
      <c r="W2111" s="291"/>
      <c r="X2111" s="116">
        <v>44743</v>
      </c>
      <c r="Y2111" s="116">
        <v>45291</v>
      </c>
    </row>
    <row r="2112" s="85" customFormat="1" customHeight="1" spans="1:25">
      <c r="A2112" s="203" t="s">
        <v>61</v>
      </c>
      <c r="B2112" s="98" t="s">
        <v>62</v>
      </c>
      <c r="C2112" s="204" t="s">
        <v>63</v>
      </c>
      <c r="D2112" s="24" t="s">
        <v>75</v>
      </c>
      <c r="E2112" s="205" t="s">
        <v>2632</v>
      </c>
      <c r="F2112" s="203" t="s">
        <v>2633</v>
      </c>
      <c r="G2112" s="25" t="s">
        <v>346</v>
      </c>
      <c r="H2112" s="100" t="s">
        <v>2860</v>
      </c>
      <c r="I2112" s="46" t="e">
        <f>VLOOKUP(H2112,'合同高级查询数据-4月返'!A:A,1,FALSE)</f>
        <v>#N/A</v>
      </c>
      <c r="J2112" s="25" t="s">
        <v>346</v>
      </c>
      <c r="K2112" s="289" t="s">
        <v>2861</v>
      </c>
      <c r="L2112" s="206"/>
      <c r="M2112" s="49"/>
      <c r="N2112" s="265" t="s">
        <v>2862</v>
      </c>
      <c r="O2112" s="73" t="s">
        <v>2863</v>
      </c>
      <c r="P2112" s="275">
        <f>692836.04+571201.32</f>
        <v>1264037.36</v>
      </c>
      <c r="Q2112" s="212">
        <v>1</v>
      </c>
      <c r="R2112" s="118">
        <f t="shared" si="57"/>
        <v>1264037.36</v>
      </c>
      <c r="S2112" s="115">
        <v>202304</v>
      </c>
      <c r="T2112" s="290" t="s">
        <v>2864</v>
      </c>
      <c r="U2112" s="121"/>
      <c r="V2112" s="291"/>
      <c r="W2112" s="291"/>
      <c r="X2112" s="116">
        <v>43682</v>
      </c>
      <c r="Y2112" s="116">
        <v>45508</v>
      </c>
    </row>
    <row r="2113" s="85" customFormat="1" customHeight="1" spans="1:25">
      <c r="A2113" s="203" t="s">
        <v>61</v>
      </c>
      <c r="B2113" s="98" t="s">
        <v>62</v>
      </c>
      <c r="C2113" s="204" t="s">
        <v>63</v>
      </c>
      <c r="D2113" s="24" t="s">
        <v>75</v>
      </c>
      <c r="E2113" s="205" t="s">
        <v>2632</v>
      </c>
      <c r="F2113" s="203" t="s">
        <v>2633</v>
      </c>
      <c r="G2113" s="25" t="s">
        <v>346</v>
      </c>
      <c r="H2113" s="100" t="s">
        <v>2860</v>
      </c>
      <c r="I2113" s="46" t="e">
        <f>VLOOKUP(H2113,'合同高级查询数据-4月返'!A:A,1,FALSE)</f>
        <v>#N/A</v>
      </c>
      <c r="J2113" s="25" t="s">
        <v>346</v>
      </c>
      <c r="K2113" s="203" t="s">
        <v>2865</v>
      </c>
      <c r="L2113" s="206"/>
      <c r="M2113" s="49"/>
      <c r="N2113" s="73">
        <v>44866</v>
      </c>
      <c r="O2113" s="73" t="s">
        <v>2866</v>
      </c>
      <c r="P2113" s="275">
        <v>2455324.62</v>
      </c>
      <c r="Q2113" s="212">
        <v>1</v>
      </c>
      <c r="R2113" s="118">
        <f t="shared" si="57"/>
        <v>2455324.62</v>
      </c>
      <c r="S2113" s="115">
        <v>202304</v>
      </c>
      <c r="T2113" s="205" t="s">
        <v>2867</v>
      </c>
      <c r="U2113" s="121"/>
      <c r="V2113" s="291"/>
      <c r="W2113" s="291"/>
      <c r="X2113" s="116">
        <v>43682</v>
      </c>
      <c r="Y2113" s="116">
        <v>45508</v>
      </c>
    </row>
    <row r="2114" s="86" customFormat="1" customHeight="1" spans="1:25">
      <c r="A2114" s="154" t="s">
        <v>61</v>
      </c>
      <c r="B2114" s="135" t="s">
        <v>62</v>
      </c>
      <c r="C2114" s="292" t="s">
        <v>63</v>
      </c>
      <c r="D2114" s="11" t="s">
        <v>75</v>
      </c>
      <c r="E2114" s="153" t="s">
        <v>2632</v>
      </c>
      <c r="F2114" s="154" t="s">
        <v>2633</v>
      </c>
      <c r="G2114" s="110" t="s">
        <v>88</v>
      </c>
      <c r="H2114" s="103" t="s">
        <v>2868</v>
      </c>
      <c r="I2114" s="30" t="e">
        <f>VLOOKUP(H2114,'合同高级查询数据-4月返'!A:A,1,FALSE)</f>
        <v>#N/A</v>
      </c>
      <c r="J2114" s="110" t="s">
        <v>90</v>
      </c>
      <c r="K2114" s="154" t="s">
        <v>2869</v>
      </c>
      <c r="L2114" s="293"/>
      <c r="M2114" s="113" t="s">
        <v>2755</v>
      </c>
      <c r="N2114" s="146">
        <v>44062</v>
      </c>
      <c r="O2114" s="146" t="s">
        <v>702</v>
      </c>
      <c r="P2114" s="294">
        <v>0</v>
      </c>
      <c r="Q2114" s="295">
        <v>1</v>
      </c>
      <c r="R2114" s="130">
        <f t="shared" si="57"/>
        <v>0</v>
      </c>
      <c r="S2114" s="127">
        <v>202304</v>
      </c>
      <c r="T2114" s="153" t="s">
        <v>2870</v>
      </c>
      <c r="U2114" s="153"/>
      <c r="V2114" s="296"/>
      <c r="W2114" s="296"/>
      <c r="X2114" s="131"/>
      <c r="Y2114" s="131"/>
    </row>
    <row r="2115" s="86" customFormat="1" customHeight="1" spans="1:25">
      <c r="A2115" s="154" t="s">
        <v>61</v>
      </c>
      <c r="B2115" s="135" t="s">
        <v>62</v>
      </c>
      <c r="C2115" s="292" t="s">
        <v>63</v>
      </c>
      <c r="D2115" s="11" t="s">
        <v>75</v>
      </c>
      <c r="E2115" s="153" t="s">
        <v>2632</v>
      </c>
      <c r="F2115" s="154" t="s">
        <v>2633</v>
      </c>
      <c r="G2115" s="110" t="s">
        <v>67</v>
      </c>
      <c r="H2115" s="103" t="s">
        <v>2871</v>
      </c>
      <c r="I2115" s="30" t="e">
        <f>VLOOKUP(H2115,'合同高级查询数据-4月返'!A:A,1,FALSE)</f>
        <v>#N/A</v>
      </c>
      <c r="J2115" s="110" t="s">
        <v>69</v>
      </c>
      <c r="K2115" s="154" t="s">
        <v>2872</v>
      </c>
      <c r="L2115" s="293"/>
      <c r="M2115" s="113"/>
      <c r="N2115" s="146">
        <v>44743</v>
      </c>
      <c r="O2115" s="146" t="s">
        <v>71</v>
      </c>
      <c r="P2115" s="294">
        <v>400</v>
      </c>
      <c r="Q2115" s="295">
        <v>5</v>
      </c>
      <c r="R2115" s="130">
        <f t="shared" si="57"/>
        <v>2000</v>
      </c>
      <c r="S2115" s="127">
        <v>202304</v>
      </c>
      <c r="T2115" s="153" t="s">
        <v>2872</v>
      </c>
      <c r="U2115" s="153"/>
      <c r="V2115" s="296"/>
      <c r="W2115" s="296"/>
      <c r="X2115" s="131"/>
      <c r="Y2115" s="131"/>
    </row>
    <row r="2116" s="86" customFormat="1" customHeight="1" spans="1:25">
      <c r="A2116" s="154" t="s">
        <v>61</v>
      </c>
      <c r="B2116" s="135" t="s">
        <v>62</v>
      </c>
      <c r="C2116" s="292" t="s">
        <v>63</v>
      </c>
      <c r="D2116" s="11" t="s">
        <v>75</v>
      </c>
      <c r="E2116" s="153" t="s">
        <v>2632</v>
      </c>
      <c r="F2116" s="154" t="s">
        <v>2633</v>
      </c>
      <c r="G2116" s="110" t="s">
        <v>67</v>
      </c>
      <c r="H2116" s="103" t="s">
        <v>2871</v>
      </c>
      <c r="I2116" s="30" t="e">
        <f>VLOOKUP(H2116,'合同高级查询数据-4月返'!A:A,1,FALSE)</f>
        <v>#N/A</v>
      </c>
      <c r="J2116" s="110" t="s">
        <v>69</v>
      </c>
      <c r="K2116" s="154" t="s">
        <v>2840</v>
      </c>
      <c r="L2116" s="293"/>
      <c r="M2116" s="113"/>
      <c r="N2116" s="146">
        <v>44743</v>
      </c>
      <c r="O2116" s="146" t="s">
        <v>71</v>
      </c>
      <c r="P2116" s="294">
        <v>1500</v>
      </c>
      <c r="Q2116" s="295">
        <v>1</v>
      </c>
      <c r="R2116" s="130">
        <f t="shared" si="57"/>
        <v>1500</v>
      </c>
      <c r="S2116" s="127">
        <v>202304</v>
      </c>
      <c r="T2116" s="153" t="s">
        <v>2840</v>
      </c>
      <c r="U2116" s="153"/>
      <c r="V2116" s="296"/>
      <c r="W2116" s="296"/>
      <c r="X2116" s="131"/>
      <c r="Y2116" s="131"/>
    </row>
    <row r="2117" s="86" customFormat="1" customHeight="1" spans="1:25">
      <c r="A2117" s="154" t="s">
        <v>61</v>
      </c>
      <c r="B2117" s="11" t="s">
        <v>83</v>
      </c>
      <c r="C2117" s="292" t="s">
        <v>63</v>
      </c>
      <c r="D2117" s="11" t="s">
        <v>75</v>
      </c>
      <c r="E2117" s="153" t="s">
        <v>2632</v>
      </c>
      <c r="F2117" s="154" t="s">
        <v>2633</v>
      </c>
      <c r="G2117" s="110" t="s">
        <v>67</v>
      </c>
      <c r="H2117" s="202" t="s">
        <v>2873</v>
      </c>
      <c r="I2117" s="30" t="e">
        <f>VLOOKUP(H2117,'合同高级查询数据-4月返'!A:A,1,FALSE)</f>
        <v>#N/A</v>
      </c>
      <c r="J2117" s="110" t="s">
        <v>69</v>
      </c>
      <c r="K2117" s="154" t="s">
        <v>2874</v>
      </c>
      <c r="L2117" s="293"/>
      <c r="M2117" s="113"/>
      <c r="N2117" s="146">
        <v>44166</v>
      </c>
      <c r="O2117" s="146" t="s">
        <v>71</v>
      </c>
      <c r="P2117" s="294">
        <v>1481</v>
      </c>
      <c r="Q2117" s="295">
        <v>3.8</v>
      </c>
      <c r="R2117" s="130">
        <f t="shared" si="57"/>
        <v>5627.8</v>
      </c>
      <c r="S2117" s="127">
        <v>202304</v>
      </c>
      <c r="T2117" s="153" t="s">
        <v>2875</v>
      </c>
      <c r="U2117" s="153"/>
      <c r="V2117" s="296"/>
      <c r="W2117" s="296"/>
      <c r="X2117" s="131"/>
      <c r="Y2117" s="131"/>
    </row>
    <row r="2118" s="86" customFormat="1" customHeight="1" spans="1:25">
      <c r="A2118" s="154" t="s">
        <v>61</v>
      </c>
      <c r="B2118" s="11" t="s">
        <v>83</v>
      </c>
      <c r="C2118" s="292" t="s">
        <v>63</v>
      </c>
      <c r="D2118" s="11" t="s">
        <v>75</v>
      </c>
      <c r="E2118" s="153" t="s">
        <v>2632</v>
      </c>
      <c r="F2118" s="154" t="s">
        <v>2633</v>
      </c>
      <c r="G2118" s="110" t="s">
        <v>67</v>
      </c>
      <c r="H2118" s="202" t="s">
        <v>2873</v>
      </c>
      <c r="I2118" s="30" t="e">
        <f>VLOOKUP(H2118,'合同高级查询数据-4月返'!A:A,1,FALSE)</f>
        <v>#N/A</v>
      </c>
      <c r="J2118" s="110" t="s">
        <v>69</v>
      </c>
      <c r="K2118" s="154" t="s">
        <v>2874</v>
      </c>
      <c r="L2118" s="293"/>
      <c r="M2118" s="113"/>
      <c r="N2118" s="146">
        <v>44166</v>
      </c>
      <c r="O2118" s="146" t="s">
        <v>71</v>
      </c>
      <c r="P2118" s="294">
        <v>1481</v>
      </c>
      <c r="Q2118" s="295">
        <v>4.7</v>
      </c>
      <c r="R2118" s="130">
        <f t="shared" si="57"/>
        <v>6960.7</v>
      </c>
      <c r="S2118" s="127">
        <v>202304</v>
      </c>
      <c r="T2118" s="153" t="s">
        <v>2875</v>
      </c>
      <c r="U2118" s="153"/>
      <c r="V2118" s="296"/>
      <c r="W2118" s="296"/>
      <c r="X2118" s="131"/>
      <c r="Y2118" s="131"/>
    </row>
    <row r="2119" s="86" customFormat="1" customHeight="1" spans="1:25">
      <c r="A2119" s="154" t="s">
        <v>61</v>
      </c>
      <c r="B2119" s="135" t="s">
        <v>62</v>
      </c>
      <c r="C2119" s="292" t="s">
        <v>63</v>
      </c>
      <c r="D2119" s="11" t="s">
        <v>75</v>
      </c>
      <c r="E2119" s="153" t="s">
        <v>2632</v>
      </c>
      <c r="F2119" s="154" t="s">
        <v>2633</v>
      </c>
      <c r="G2119" s="110" t="s">
        <v>67</v>
      </c>
      <c r="H2119" s="202" t="s">
        <v>2873</v>
      </c>
      <c r="I2119" s="30" t="e">
        <f>VLOOKUP(H2119,'合同高级查询数据-4月返'!A:A,1,FALSE)</f>
        <v>#N/A</v>
      </c>
      <c r="J2119" s="110" t="s">
        <v>69</v>
      </c>
      <c r="K2119" s="154" t="s">
        <v>928</v>
      </c>
      <c r="L2119" s="293"/>
      <c r="M2119" s="113"/>
      <c r="N2119" s="146">
        <v>44166</v>
      </c>
      <c r="O2119" s="146" t="s">
        <v>2383</v>
      </c>
      <c r="P2119" s="294">
        <v>28287.35</v>
      </c>
      <c r="Q2119" s="295">
        <v>1</v>
      </c>
      <c r="R2119" s="130">
        <f t="shared" si="57"/>
        <v>28287.35</v>
      </c>
      <c r="S2119" s="127">
        <v>202304</v>
      </c>
      <c r="T2119" s="153" t="s">
        <v>2876</v>
      </c>
      <c r="U2119" s="153"/>
      <c r="V2119" s="296"/>
      <c r="W2119" s="296"/>
      <c r="X2119" s="131"/>
      <c r="Y2119" s="131"/>
    </row>
    <row r="2120" s="86" customFormat="1" customHeight="1" spans="1:25">
      <c r="A2120" s="154" t="s">
        <v>61</v>
      </c>
      <c r="B2120" s="135" t="s">
        <v>62</v>
      </c>
      <c r="C2120" s="292" t="s">
        <v>63</v>
      </c>
      <c r="D2120" s="11" t="s">
        <v>75</v>
      </c>
      <c r="E2120" s="153" t="s">
        <v>2632</v>
      </c>
      <c r="F2120" s="154" t="s">
        <v>2633</v>
      </c>
      <c r="G2120" s="110" t="s">
        <v>67</v>
      </c>
      <c r="H2120" s="202" t="s">
        <v>2873</v>
      </c>
      <c r="I2120" s="30" t="e">
        <f>VLOOKUP(H2120,'合同高级查询数据-4月返'!A:A,1,FALSE)</f>
        <v>#N/A</v>
      </c>
      <c r="J2120" s="110" t="s">
        <v>69</v>
      </c>
      <c r="K2120" s="154" t="s">
        <v>2877</v>
      </c>
      <c r="L2120" s="293"/>
      <c r="M2120" s="113"/>
      <c r="N2120" s="146">
        <v>44187</v>
      </c>
      <c r="O2120" s="146" t="s">
        <v>2383</v>
      </c>
      <c r="P2120" s="294">
        <v>8144.2</v>
      </c>
      <c r="Q2120" s="295">
        <v>1</v>
      </c>
      <c r="R2120" s="130">
        <f t="shared" si="57"/>
        <v>8144.2</v>
      </c>
      <c r="S2120" s="127">
        <v>202304</v>
      </c>
      <c r="T2120" s="153" t="s">
        <v>2878</v>
      </c>
      <c r="U2120" s="153"/>
      <c r="V2120" s="296"/>
      <c r="W2120" s="296"/>
      <c r="X2120" s="131"/>
      <c r="Y2120" s="131"/>
    </row>
    <row r="2121" s="86" customFormat="1" customHeight="1" spans="1:25">
      <c r="A2121" s="154" t="s">
        <v>61</v>
      </c>
      <c r="B2121" s="135" t="s">
        <v>62</v>
      </c>
      <c r="C2121" s="292" t="s">
        <v>63</v>
      </c>
      <c r="D2121" s="11" t="s">
        <v>75</v>
      </c>
      <c r="E2121" s="153" t="s">
        <v>2632</v>
      </c>
      <c r="F2121" s="154" t="s">
        <v>2633</v>
      </c>
      <c r="G2121" s="110" t="s">
        <v>67</v>
      </c>
      <c r="H2121" s="202" t="s">
        <v>2873</v>
      </c>
      <c r="I2121" s="30" t="e">
        <f>VLOOKUP(H2121,'合同高级查询数据-4月返'!A:A,1,FALSE)</f>
        <v>#N/A</v>
      </c>
      <c r="J2121" s="110" t="s">
        <v>69</v>
      </c>
      <c r="K2121" s="154" t="s">
        <v>2877</v>
      </c>
      <c r="L2121" s="293"/>
      <c r="M2121" s="113"/>
      <c r="N2121" s="146">
        <v>44530</v>
      </c>
      <c r="O2121" s="146" t="s">
        <v>2383</v>
      </c>
      <c r="P2121" s="294">
        <v>8144.2</v>
      </c>
      <c r="Q2121" s="295">
        <v>-1</v>
      </c>
      <c r="R2121" s="130">
        <f t="shared" si="57"/>
        <v>-8144.2</v>
      </c>
      <c r="S2121" s="127">
        <v>202304</v>
      </c>
      <c r="T2121" s="153" t="s">
        <v>1960</v>
      </c>
      <c r="U2121" s="153"/>
      <c r="V2121" s="296"/>
      <c r="W2121" s="296"/>
      <c r="X2121" s="131"/>
      <c r="Y2121" s="131"/>
    </row>
    <row r="2122" s="86" customFormat="1" customHeight="1" spans="1:25">
      <c r="A2122" s="154" t="s">
        <v>61</v>
      </c>
      <c r="B2122" s="135" t="s">
        <v>62</v>
      </c>
      <c r="C2122" s="292" t="s">
        <v>63</v>
      </c>
      <c r="D2122" s="11" t="s">
        <v>75</v>
      </c>
      <c r="E2122" s="153" t="s">
        <v>2632</v>
      </c>
      <c r="F2122" s="154" t="s">
        <v>2633</v>
      </c>
      <c r="G2122" s="110" t="s">
        <v>67</v>
      </c>
      <c r="H2122" s="202" t="s">
        <v>2873</v>
      </c>
      <c r="I2122" s="30" t="e">
        <f>VLOOKUP(H2122,'合同高级查询数据-4月返'!A:A,1,FALSE)</f>
        <v>#N/A</v>
      </c>
      <c r="J2122" s="110" t="s">
        <v>69</v>
      </c>
      <c r="K2122" s="154" t="s">
        <v>2879</v>
      </c>
      <c r="L2122" s="293"/>
      <c r="M2122" s="113"/>
      <c r="N2122" s="146">
        <v>44279</v>
      </c>
      <c r="O2122" s="146" t="s">
        <v>71</v>
      </c>
      <c r="P2122" s="294">
        <v>390</v>
      </c>
      <c r="Q2122" s="295">
        <v>8</v>
      </c>
      <c r="R2122" s="130">
        <f t="shared" si="57"/>
        <v>3120</v>
      </c>
      <c r="S2122" s="127">
        <v>202304</v>
      </c>
      <c r="T2122" s="153" t="s">
        <v>2880</v>
      </c>
      <c r="U2122" s="153"/>
      <c r="V2122" s="296"/>
      <c r="W2122" s="296"/>
      <c r="X2122" s="131"/>
      <c r="Y2122" s="131"/>
    </row>
    <row r="2123" s="86" customFormat="1" customHeight="1" spans="1:25">
      <c r="A2123" s="154" t="s">
        <v>61</v>
      </c>
      <c r="B2123" s="135" t="s">
        <v>62</v>
      </c>
      <c r="C2123" s="292" t="s">
        <v>63</v>
      </c>
      <c r="D2123" s="11" t="s">
        <v>75</v>
      </c>
      <c r="E2123" s="153" t="s">
        <v>2632</v>
      </c>
      <c r="F2123" s="154" t="s">
        <v>2633</v>
      </c>
      <c r="G2123" s="110" t="s">
        <v>67</v>
      </c>
      <c r="H2123" s="202" t="s">
        <v>2873</v>
      </c>
      <c r="I2123" s="30" t="e">
        <f>VLOOKUP(H2123,'合同高级查询数据-4月返'!A:A,1,FALSE)</f>
        <v>#N/A</v>
      </c>
      <c r="J2123" s="110" t="s">
        <v>69</v>
      </c>
      <c r="K2123" s="154" t="s">
        <v>2881</v>
      </c>
      <c r="L2123" s="293"/>
      <c r="M2123" s="113"/>
      <c r="N2123" s="146">
        <v>44317</v>
      </c>
      <c r="O2123" s="146" t="s">
        <v>71</v>
      </c>
      <c r="P2123" s="294">
        <v>494</v>
      </c>
      <c r="Q2123" s="295">
        <v>124.61</v>
      </c>
      <c r="R2123" s="130">
        <f t="shared" si="57"/>
        <v>61557.34</v>
      </c>
      <c r="S2123" s="127">
        <v>202304</v>
      </c>
      <c r="T2123" s="153" t="s">
        <v>2882</v>
      </c>
      <c r="U2123" s="153"/>
      <c r="V2123" s="296"/>
      <c r="W2123" s="296"/>
      <c r="X2123" s="131"/>
      <c r="Y2123" s="131"/>
    </row>
    <row r="2124" s="86" customFormat="1" customHeight="1" spans="1:25">
      <c r="A2124" s="154" t="s">
        <v>61</v>
      </c>
      <c r="B2124" s="135" t="s">
        <v>62</v>
      </c>
      <c r="C2124" s="292" t="s">
        <v>63</v>
      </c>
      <c r="D2124" s="11" t="s">
        <v>75</v>
      </c>
      <c r="E2124" s="153" t="s">
        <v>2632</v>
      </c>
      <c r="F2124" s="154" t="s">
        <v>2633</v>
      </c>
      <c r="G2124" s="110" t="s">
        <v>67</v>
      </c>
      <c r="H2124" s="202" t="s">
        <v>2873</v>
      </c>
      <c r="I2124" s="30" t="e">
        <f>VLOOKUP(H2124,'合同高级查询数据-4月返'!A:A,1,FALSE)</f>
        <v>#N/A</v>
      </c>
      <c r="J2124" s="110" t="s">
        <v>69</v>
      </c>
      <c r="K2124" s="154" t="s">
        <v>2881</v>
      </c>
      <c r="L2124" s="293"/>
      <c r="M2124" s="113"/>
      <c r="N2124" s="146">
        <v>44317</v>
      </c>
      <c r="O2124" s="146" t="s">
        <v>71</v>
      </c>
      <c r="P2124" s="294">
        <v>494</v>
      </c>
      <c r="Q2124" s="295">
        <v>124.61</v>
      </c>
      <c r="R2124" s="130">
        <f t="shared" si="57"/>
        <v>61557.34</v>
      </c>
      <c r="S2124" s="127">
        <v>202304</v>
      </c>
      <c r="T2124" s="153" t="s">
        <v>2883</v>
      </c>
      <c r="U2124" s="153"/>
      <c r="V2124" s="296"/>
      <c r="W2124" s="296"/>
      <c r="X2124" s="131"/>
      <c r="Y2124" s="131"/>
    </row>
    <row r="2125" s="86" customFormat="1" customHeight="1" spans="1:25">
      <c r="A2125" s="154" t="s">
        <v>61</v>
      </c>
      <c r="B2125" s="135" t="s">
        <v>62</v>
      </c>
      <c r="C2125" s="292" t="s">
        <v>63</v>
      </c>
      <c r="D2125" s="11" t="s">
        <v>75</v>
      </c>
      <c r="E2125" s="153" t="s">
        <v>2632</v>
      </c>
      <c r="F2125" s="154" t="s">
        <v>2633</v>
      </c>
      <c r="G2125" s="110" t="s">
        <v>88</v>
      </c>
      <c r="H2125" s="202" t="s">
        <v>2873</v>
      </c>
      <c r="I2125" s="30" t="e">
        <f>VLOOKUP(H2125,'合同高级查询数据-4月返'!A:A,1,FALSE)</f>
        <v>#N/A</v>
      </c>
      <c r="J2125" s="110" t="s">
        <v>90</v>
      </c>
      <c r="K2125" s="154" t="s">
        <v>2881</v>
      </c>
      <c r="L2125" s="293"/>
      <c r="M2125" s="113" t="s">
        <v>2884</v>
      </c>
      <c r="N2125" s="146">
        <v>44317</v>
      </c>
      <c r="O2125" s="146" t="s">
        <v>1419</v>
      </c>
      <c r="P2125" s="294">
        <v>8000</v>
      </c>
      <c r="Q2125" s="295">
        <v>1</v>
      </c>
      <c r="R2125" s="130">
        <f t="shared" si="57"/>
        <v>8000</v>
      </c>
      <c r="S2125" s="127">
        <v>202304</v>
      </c>
      <c r="T2125" s="153" t="s">
        <v>2885</v>
      </c>
      <c r="U2125" s="153"/>
      <c r="V2125" s="296"/>
      <c r="W2125" s="296"/>
      <c r="X2125" s="131"/>
      <c r="Y2125" s="131"/>
    </row>
    <row r="2126" s="86" customFormat="1" customHeight="1" spans="1:25">
      <c r="A2126" s="154" t="s">
        <v>61</v>
      </c>
      <c r="B2126" s="135" t="s">
        <v>62</v>
      </c>
      <c r="C2126" s="292" t="s">
        <v>63</v>
      </c>
      <c r="D2126" s="11" t="s">
        <v>75</v>
      </c>
      <c r="E2126" s="153" t="s">
        <v>2632</v>
      </c>
      <c r="F2126" s="154" t="s">
        <v>2633</v>
      </c>
      <c r="G2126" s="110" t="s">
        <v>67</v>
      </c>
      <c r="H2126" s="202" t="s">
        <v>2873</v>
      </c>
      <c r="I2126" s="30" t="e">
        <f>VLOOKUP(H2126,'合同高级查询数据-4月返'!A:A,1,FALSE)</f>
        <v>#N/A</v>
      </c>
      <c r="J2126" s="110" t="s">
        <v>69</v>
      </c>
      <c r="K2126" s="154" t="s">
        <v>2886</v>
      </c>
      <c r="L2126" s="293"/>
      <c r="M2126" s="113"/>
      <c r="N2126" s="146">
        <v>44317</v>
      </c>
      <c r="O2126" s="146" t="s">
        <v>71</v>
      </c>
      <c r="P2126" s="294">
        <v>440</v>
      </c>
      <c r="Q2126" s="295">
        <v>76</v>
      </c>
      <c r="R2126" s="130">
        <f t="shared" si="57"/>
        <v>33440</v>
      </c>
      <c r="S2126" s="127">
        <v>202304</v>
      </c>
      <c r="T2126" s="153" t="s">
        <v>2887</v>
      </c>
      <c r="U2126" s="153"/>
      <c r="V2126" s="296"/>
      <c r="W2126" s="296"/>
      <c r="X2126" s="131"/>
      <c r="Y2126" s="131"/>
    </row>
    <row r="2127" s="86" customFormat="1" customHeight="1" spans="1:25">
      <c r="A2127" s="154" t="s">
        <v>61</v>
      </c>
      <c r="B2127" s="135" t="s">
        <v>62</v>
      </c>
      <c r="C2127" s="292" t="s">
        <v>63</v>
      </c>
      <c r="D2127" s="11" t="s">
        <v>75</v>
      </c>
      <c r="E2127" s="153" t="s">
        <v>2632</v>
      </c>
      <c r="F2127" s="154" t="s">
        <v>2633</v>
      </c>
      <c r="G2127" s="110" t="s">
        <v>67</v>
      </c>
      <c r="H2127" s="202" t="s">
        <v>2873</v>
      </c>
      <c r="I2127" s="30" t="e">
        <f>VLOOKUP(H2127,'合同高级查询数据-4月返'!A:A,1,FALSE)</f>
        <v>#N/A</v>
      </c>
      <c r="J2127" s="110" t="s">
        <v>69</v>
      </c>
      <c r="K2127" s="154" t="s">
        <v>2886</v>
      </c>
      <c r="L2127" s="293"/>
      <c r="M2127" s="113"/>
      <c r="N2127" s="146">
        <v>44317</v>
      </c>
      <c r="O2127" s="146" t="s">
        <v>71</v>
      </c>
      <c r="P2127" s="294">
        <v>440</v>
      </c>
      <c r="Q2127" s="295">
        <v>51</v>
      </c>
      <c r="R2127" s="130">
        <f t="shared" si="57"/>
        <v>22440</v>
      </c>
      <c r="S2127" s="127">
        <v>202304</v>
      </c>
      <c r="T2127" s="153" t="s">
        <v>2887</v>
      </c>
      <c r="U2127" s="153"/>
      <c r="V2127" s="296"/>
      <c r="W2127" s="296"/>
      <c r="X2127" s="131"/>
      <c r="Y2127" s="131"/>
    </row>
    <row r="2128" s="86" customFormat="1" customHeight="1" spans="1:25">
      <c r="A2128" s="154" t="s">
        <v>61</v>
      </c>
      <c r="B2128" s="135" t="s">
        <v>62</v>
      </c>
      <c r="C2128" s="292" t="s">
        <v>63</v>
      </c>
      <c r="D2128" s="11" t="s">
        <v>75</v>
      </c>
      <c r="E2128" s="153" t="s">
        <v>2632</v>
      </c>
      <c r="F2128" s="154" t="s">
        <v>2633</v>
      </c>
      <c r="G2128" s="110" t="s">
        <v>67</v>
      </c>
      <c r="H2128" s="202" t="s">
        <v>2873</v>
      </c>
      <c r="I2128" s="30" t="e">
        <f>VLOOKUP(H2128,'合同高级查询数据-4月返'!A:A,1,FALSE)</f>
        <v>#N/A</v>
      </c>
      <c r="J2128" s="110" t="s">
        <v>69</v>
      </c>
      <c r="K2128" s="154" t="s">
        <v>2888</v>
      </c>
      <c r="L2128" s="293"/>
      <c r="M2128" s="113"/>
      <c r="N2128" s="146">
        <v>44317</v>
      </c>
      <c r="O2128" s="146" t="s">
        <v>71</v>
      </c>
      <c r="P2128" s="294">
        <v>440</v>
      </c>
      <c r="Q2128" s="295">
        <v>47</v>
      </c>
      <c r="R2128" s="130">
        <f t="shared" si="57"/>
        <v>20680</v>
      </c>
      <c r="S2128" s="127">
        <v>202304</v>
      </c>
      <c r="T2128" s="153" t="s">
        <v>2889</v>
      </c>
      <c r="U2128" s="153"/>
      <c r="V2128" s="296"/>
      <c r="W2128" s="296"/>
      <c r="X2128" s="131"/>
      <c r="Y2128" s="131"/>
    </row>
    <row r="2129" s="86" customFormat="1" customHeight="1" spans="1:25">
      <c r="A2129" s="154" t="s">
        <v>61</v>
      </c>
      <c r="B2129" s="135" t="s">
        <v>62</v>
      </c>
      <c r="C2129" s="292" t="s">
        <v>63</v>
      </c>
      <c r="D2129" s="11" t="s">
        <v>75</v>
      </c>
      <c r="E2129" s="153" t="s">
        <v>2632</v>
      </c>
      <c r="F2129" s="154" t="s">
        <v>2633</v>
      </c>
      <c r="G2129" s="110" t="s">
        <v>67</v>
      </c>
      <c r="H2129" s="202" t="s">
        <v>2873</v>
      </c>
      <c r="I2129" s="30" t="e">
        <f>VLOOKUP(H2129,'合同高级查询数据-4月返'!A:A,1,FALSE)</f>
        <v>#N/A</v>
      </c>
      <c r="J2129" s="110" t="s">
        <v>69</v>
      </c>
      <c r="K2129" s="154" t="s">
        <v>2888</v>
      </c>
      <c r="L2129" s="293"/>
      <c r="M2129" s="113"/>
      <c r="N2129" s="146">
        <v>44317</v>
      </c>
      <c r="O2129" s="146" t="s">
        <v>71</v>
      </c>
      <c r="P2129" s="294">
        <v>440</v>
      </c>
      <c r="Q2129" s="295">
        <v>49</v>
      </c>
      <c r="R2129" s="130">
        <f t="shared" si="57"/>
        <v>21560</v>
      </c>
      <c r="S2129" s="127">
        <v>202304</v>
      </c>
      <c r="T2129" s="153" t="s">
        <v>2889</v>
      </c>
      <c r="U2129" s="153"/>
      <c r="V2129" s="296"/>
      <c r="W2129" s="296"/>
      <c r="X2129" s="131"/>
      <c r="Y2129" s="131"/>
    </row>
    <row r="2130" s="86" customFormat="1" customHeight="1" spans="1:25">
      <c r="A2130" s="154" t="s">
        <v>61</v>
      </c>
      <c r="B2130" s="135" t="s">
        <v>62</v>
      </c>
      <c r="C2130" s="292" t="s">
        <v>63</v>
      </c>
      <c r="D2130" s="11" t="s">
        <v>75</v>
      </c>
      <c r="E2130" s="153" t="s">
        <v>2632</v>
      </c>
      <c r="F2130" s="154" t="s">
        <v>2633</v>
      </c>
      <c r="G2130" s="110" t="s">
        <v>67</v>
      </c>
      <c r="H2130" s="202" t="s">
        <v>2873</v>
      </c>
      <c r="I2130" s="30" t="e">
        <f>VLOOKUP(H2130,'合同高级查询数据-4月返'!A:A,1,FALSE)</f>
        <v>#N/A</v>
      </c>
      <c r="J2130" s="110" t="s">
        <v>69</v>
      </c>
      <c r="K2130" s="154" t="s">
        <v>2890</v>
      </c>
      <c r="L2130" s="293"/>
      <c r="M2130" s="113"/>
      <c r="N2130" s="146">
        <v>44317</v>
      </c>
      <c r="O2130" s="146" t="s">
        <v>71</v>
      </c>
      <c r="P2130" s="294">
        <v>440</v>
      </c>
      <c r="Q2130" s="295">
        <v>81.5</v>
      </c>
      <c r="R2130" s="130">
        <f t="shared" si="57"/>
        <v>35860</v>
      </c>
      <c r="S2130" s="127">
        <v>202304</v>
      </c>
      <c r="T2130" s="153" t="s">
        <v>2891</v>
      </c>
      <c r="U2130" s="153"/>
      <c r="V2130" s="296"/>
      <c r="W2130" s="296"/>
      <c r="X2130" s="131"/>
      <c r="Y2130" s="131"/>
    </row>
    <row r="2131" s="86" customFormat="1" customHeight="1" spans="1:25">
      <c r="A2131" s="154" t="s">
        <v>61</v>
      </c>
      <c r="B2131" s="135" t="s">
        <v>62</v>
      </c>
      <c r="C2131" s="292" t="s">
        <v>63</v>
      </c>
      <c r="D2131" s="11" t="s">
        <v>75</v>
      </c>
      <c r="E2131" s="153" t="s">
        <v>2632</v>
      </c>
      <c r="F2131" s="154" t="s">
        <v>2633</v>
      </c>
      <c r="G2131" s="110" t="s">
        <v>67</v>
      </c>
      <c r="H2131" s="202" t="s">
        <v>2873</v>
      </c>
      <c r="I2131" s="30" t="e">
        <f>VLOOKUP(H2131,'合同高级查询数据-4月返'!A:A,1,FALSE)</f>
        <v>#N/A</v>
      </c>
      <c r="J2131" s="110" t="s">
        <v>69</v>
      </c>
      <c r="K2131" s="154" t="s">
        <v>2892</v>
      </c>
      <c r="L2131" s="293"/>
      <c r="M2131" s="113"/>
      <c r="N2131" s="146">
        <v>44317</v>
      </c>
      <c r="O2131" s="146" t="s">
        <v>71</v>
      </c>
      <c r="P2131" s="294">
        <v>1320</v>
      </c>
      <c r="Q2131" s="295">
        <v>5</v>
      </c>
      <c r="R2131" s="130">
        <f t="shared" si="57"/>
        <v>6600</v>
      </c>
      <c r="S2131" s="127">
        <v>202304</v>
      </c>
      <c r="T2131" s="153" t="s">
        <v>2893</v>
      </c>
      <c r="U2131" s="153"/>
      <c r="V2131" s="296"/>
      <c r="W2131" s="296"/>
      <c r="X2131" s="131"/>
      <c r="Y2131" s="131"/>
    </row>
    <row r="2132" s="86" customFormat="1" customHeight="1" spans="1:25">
      <c r="A2132" s="154" t="s">
        <v>61</v>
      </c>
      <c r="B2132" s="135" t="s">
        <v>62</v>
      </c>
      <c r="C2132" s="292" t="s">
        <v>63</v>
      </c>
      <c r="D2132" s="11" t="s">
        <v>75</v>
      </c>
      <c r="E2132" s="153" t="s">
        <v>2632</v>
      </c>
      <c r="F2132" s="154" t="s">
        <v>2633</v>
      </c>
      <c r="G2132" s="110" t="s">
        <v>67</v>
      </c>
      <c r="H2132" s="202" t="s">
        <v>2873</v>
      </c>
      <c r="I2132" s="30" t="e">
        <f>VLOOKUP(H2132,'合同高级查询数据-4月返'!A:A,1,FALSE)</f>
        <v>#N/A</v>
      </c>
      <c r="J2132" s="110" t="s">
        <v>69</v>
      </c>
      <c r="K2132" s="154" t="s">
        <v>2890</v>
      </c>
      <c r="L2132" s="293"/>
      <c r="M2132" s="113"/>
      <c r="N2132" s="146">
        <v>44317</v>
      </c>
      <c r="O2132" s="146" t="s">
        <v>71</v>
      </c>
      <c r="P2132" s="294">
        <v>440</v>
      </c>
      <c r="Q2132" s="295">
        <v>78.3</v>
      </c>
      <c r="R2132" s="130">
        <f t="shared" ref="R2132:R2163" si="58">ROUND(P2132*Q2132,2)</f>
        <v>34452</v>
      </c>
      <c r="S2132" s="127">
        <v>202304</v>
      </c>
      <c r="T2132" s="153" t="s">
        <v>2891</v>
      </c>
      <c r="U2132" s="153"/>
      <c r="V2132" s="296"/>
      <c r="W2132" s="296"/>
      <c r="X2132" s="131"/>
      <c r="Y2132" s="131"/>
    </row>
    <row r="2133" s="86" customFormat="1" customHeight="1" spans="1:25">
      <c r="A2133" s="154" t="s">
        <v>61</v>
      </c>
      <c r="B2133" s="135" t="s">
        <v>62</v>
      </c>
      <c r="C2133" s="292" t="s">
        <v>63</v>
      </c>
      <c r="D2133" s="11" t="s">
        <v>75</v>
      </c>
      <c r="E2133" s="153" t="s">
        <v>2632</v>
      </c>
      <c r="F2133" s="154" t="s">
        <v>2633</v>
      </c>
      <c r="G2133" s="110" t="s">
        <v>67</v>
      </c>
      <c r="H2133" s="202" t="s">
        <v>2873</v>
      </c>
      <c r="I2133" s="30" t="e">
        <f>VLOOKUP(H2133,'合同高级查询数据-4月返'!A:A,1,FALSE)</f>
        <v>#N/A</v>
      </c>
      <c r="J2133" s="110" t="s">
        <v>69</v>
      </c>
      <c r="K2133" s="154" t="s">
        <v>2892</v>
      </c>
      <c r="L2133" s="293"/>
      <c r="M2133" s="113"/>
      <c r="N2133" s="146">
        <v>44317</v>
      </c>
      <c r="O2133" s="146" t="s">
        <v>71</v>
      </c>
      <c r="P2133" s="294">
        <v>1320</v>
      </c>
      <c r="Q2133" s="295">
        <v>6.2</v>
      </c>
      <c r="R2133" s="130">
        <f t="shared" si="58"/>
        <v>8184</v>
      </c>
      <c r="S2133" s="127">
        <v>202304</v>
      </c>
      <c r="T2133" s="153" t="s">
        <v>2893</v>
      </c>
      <c r="U2133" s="153"/>
      <c r="V2133" s="296"/>
      <c r="W2133" s="296"/>
      <c r="X2133" s="131"/>
      <c r="Y2133" s="131"/>
    </row>
    <row r="2134" s="86" customFormat="1" customHeight="1" spans="1:25">
      <c r="A2134" s="154" t="s">
        <v>61</v>
      </c>
      <c r="B2134" s="135" t="s">
        <v>62</v>
      </c>
      <c r="C2134" s="292" t="s">
        <v>63</v>
      </c>
      <c r="D2134" s="11" t="s">
        <v>75</v>
      </c>
      <c r="E2134" s="153" t="s">
        <v>2632</v>
      </c>
      <c r="F2134" s="154" t="s">
        <v>2633</v>
      </c>
      <c r="G2134" s="110" t="s">
        <v>67</v>
      </c>
      <c r="H2134" s="202" t="s">
        <v>2873</v>
      </c>
      <c r="I2134" s="30" t="e">
        <f>VLOOKUP(H2134,'合同高级查询数据-4月返'!A:A,1,FALSE)</f>
        <v>#N/A</v>
      </c>
      <c r="J2134" s="110" t="s">
        <v>69</v>
      </c>
      <c r="K2134" s="154" t="s">
        <v>2894</v>
      </c>
      <c r="L2134" s="293"/>
      <c r="M2134" s="113"/>
      <c r="N2134" s="146">
        <v>44317</v>
      </c>
      <c r="O2134" s="146" t="s">
        <v>71</v>
      </c>
      <c r="P2134" s="294">
        <v>440</v>
      </c>
      <c r="Q2134" s="295">
        <v>63</v>
      </c>
      <c r="R2134" s="130">
        <f t="shared" si="58"/>
        <v>27720</v>
      </c>
      <c r="S2134" s="127">
        <v>202304</v>
      </c>
      <c r="T2134" s="153" t="s">
        <v>2895</v>
      </c>
      <c r="U2134" s="153"/>
      <c r="V2134" s="296"/>
      <c r="W2134" s="296"/>
      <c r="X2134" s="131"/>
      <c r="Y2134" s="131"/>
    </row>
    <row r="2135" s="86" customFormat="1" customHeight="1" spans="1:25">
      <c r="A2135" s="154" t="s">
        <v>61</v>
      </c>
      <c r="B2135" s="135" t="s">
        <v>62</v>
      </c>
      <c r="C2135" s="292" t="s">
        <v>63</v>
      </c>
      <c r="D2135" s="11" t="s">
        <v>75</v>
      </c>
      <c r="E2135" s="153" t="s">
        <v>2632</v>
      </c>
      <c r="F2135" s="154" t="s">
        <v>2633</v>
      </c>
      <c r="G2135" s="110" t="s">
        <v>67</v>
      </c>
      <c r="H2135" s="202" t="s">
        <v>2873</v>
      </c>
      <c r="I2135" s="30" t="e">
        <f>VLOOKUP(H2135,'合同高级查询数据-4月返'!A:A,1,FALSE)</f>
        <v>#N/A</v>
      </c>
      <c r="J2135" s="110" t="s">
        <v>69</v>
      </c>
      <c r="K2135" s="154" t="s">
        <v>2896</v>
      </c>
      <c r="L2135" s="293"/>
      <c r="M2135" s="113"/>
      <c r="N2135" s="146">
        <v>44317</v>
      </c>
      <c r="O2135" s="146" t="s">
        <v>71</v>
      </c>
      <c r="P2135" s="294">
        <v>1320</v>
      </c>
      <c r="Q2135" s="295">
        <v>5</v>
      </c>
      <c r="R2135" s="130">
        <f t="shared" si="58"/>
        <v>6600</v>
      </c>
      <c r="S2135" s="127">
        <v>202304</v>
      </c>
      <c r="T2135" s="153" t="s">
        <v>2897</v>
      </c>
      <c r="U2135" s="153"/>
      <c r="V2135" s="296"/>
      <c r="W2135" s="296"/>
      <c r="X2135" s="131"/>
      <c r="Y2135" s="131"/>
    </row>
    <row r="2136" s="86" customFormat="1" customHeight="1" spans="1:25">
      <c r="A2136" s="154" t="s">
        <v>61</v>
      </c>
      <c r="B2136" s="135" t="s">
        <v>62</v>
      </c>
      <c r="C2136" s="292" t="s">
        <v>63</v>
      </c>
      <c r="D2136" s="11" t="s">
        <v>75</v>
      </c>
      <c r="E2136" s="153" t="s">
        <v>2632</v>
      </c>
      <c r="F2136" s="154" t="s">
        <v>2633</v>
      </c>
      <c r="G2136" s="110" t="s">
        <v>67</v>
      </c>
      <c r="H2136" s="202" t="s">
        <v>2873</v>
      </c>
      <c r="I2136" s="30" t="e">
        <f>VLOOKUP(H2136,'合同高级查询数据-4月返'!A:A,1,FALSE)</f>
        <v>#N/A</v>
      </c>
      <c r="J2136" s="110" t="s">
        <v>69</v>
      </c>
      <c r="K2136" s="154" t="s">
        <v>2894</v>
      </c>
      <c r="L2136" s="293"/>
      <c r="M2136" s="113"/>
      <c r="N2136" s="146">
        <v>44317</v>
      </c>
      <c r="O2136" s="146" t="s">
        <v>71</v>
      </c>
      <c r="P2136" s="294">
        <v>440</v>
      </c>
      <c r="Q2136" s="295">
        <v>73</v>
      </c>
      <c r="R2136" s="130">
        <f t="shared" si="58"/>
        <v>32120</v>
      </c>
      <c r="S2136" s="127">
        <v>202304</v>
      </c>
      <c r="T2136" s="153" t="s">
        <v>2895</v>
      </c>
      <c r="U2136" s="153"/>
      <c r="V2136" s="296"/>
      <c r="W2136" s="296"/>
      <c r="X2136" s="131"/>
      <c r="Y2136" s="131"/>
    </row>
    <row r="2137" s="86" customFormat="1" customHeight="1" spans="1:25">
      <c r="A2137" s="154" t="s">
        <v>61</v>
      </c>
      <c r="B2137" s="135" t="s">
        <v>62</v>
      </c>
      <c r="C2137" s="292" t="s">
        <v>63</v>
      </c>
      <c r="D2137" s="11" t="s">
        <v>75</v>
      </c>
      <c r="E2137" s="153" t="s">
        <v>2632</v>
      </c>
      <c r="F2137" s="154" t="s">
        <v>2633</v>
      </c>
      <c r="G2137" s="110" t="s">
        <v>67</v>
      </c>
      <c r="H2137" s="202" t="s">
        <v>2873</v>
      </c>
      <c r="I2137" s="30" t="e">
        <f>VLOOKUP(H2137,'合同高级查询数据-4月返'!A:A,1,FALSE)</f>
        <v>#N/A</v>
      </c>
      <c r="J2137" s="110" t="s">
        <v>69</v>
      </c>
      <c r="K2137" s="154" t="s">
        <v>2896</v>
      </c>
      <c r="L2137" s="293"/>
      <c r="M2137" s="113"/>
      <c r="N2137" s="146">
        <v>44317</v>
      </c>
      <c r="O2137" s="146" t="s">
        <v>71</v>
      </c>
      <c r="P2137" s="294">
        <v>1320</v>
      </c>
      <c r="Q2137" s="295">
        <v>6.2</v>
      </c>
      <c r="R2137" s="130">
        <f t="shared" si="58"/>
        <v>8184</v>
      </c>
      <c r="S2137" s="127">
        <v>202304</v>
      </c>
      <c r="T2137" s="153" t="s">
        <v>2897</v>
      </c>
      <c r="U2137" s="153"/>
      <c r="V2137" s="296"/>
      <c r="W2137" s="296"/>
      <c r="X2137" s="131"/>
      <c r="Y2137" s="131"/>
    </row>
    <row r="2138" s="86" customFormat="1" customHeight="1" spans="1:25">
      <c r="A2138" s="154" t="s">
        <v>61</v>
      </c>
      <c r="B2138" s="135" t="s">
        <v>62</v>
      </c>
      <c r="C2138" s="292" t="s">
        <v>63</v>
      </c>
      <c r="D2138" s="11" t="s">
        <v>75</v>
      </c>
      <c r="E2138" s="153" t="s">
        <v>2632</v>
      </c>
      <c r="F2138" s="154" t="s">
        <v>2633</v>
      </c>
      <c r="G2138" s="110" t="s">
        <v>67</v>
      </c>
      <c r="H2138" s="202" t="s">
        <v>2873</v>
      </c>
      <c r="I2138" s="30" t="e">
        <f>VLOOKUP(H2138,'合同高级查询数据-4月返'!A:A,1,FALSE)</f>
        <v>#N/A</v>
      </c>
      <c r="J2138" s="110" t="s">
        <v>69</v>
      </c>
      <c r="K2138" s="154" t="s">
        <v>2898</v>
      </c>
      <c r="L2138" s="293"/>
      <c r="M2138" s="113"/>
      <c r="N2138" s="146">
        <v>44340</v>
      </c>
      <c r="O2138" s="146" t="s">
        <v>71</v>
      </c>
      <c r="P2138" s="294">
        <v>432</v>
      </c>
      <c r="Q2138" s="295">
        <v>3</v>
      </c>
      <c r="R2138" s="130">
        <f t="shared" si="58"/>
        <v>1296</v>
      </c>
      <c r="S2138" s="127">
        <v>202304</v>
      </c>
      <c r="T2138" s="153" t="s">
        <v>2899</v>
      </c>
      <c r="U2138" s="153"/>
      <c r="V2138" s="296"/>
      <c r="W2138" s="296"/>
      <c r="X2138" s="131"/>
      <c r="Y2138" s="131"/>
    </row>
    <row r="2139" s="86" customFormat="1" customHeight="1" spans="1:25">
      <c r="A2139" s="154" t="s">
        <v>61</v>
      </c>
      <c r="B2139" s="135" t="s">
        <v>62</v>
      </c>
      <c r="C2139" s="292" t="s">
        <v>63</v>
      </c>
      <c r="D2139" s="11" t="s">
        <v>75</v>
      </c>
      <c r="E2139" s="153" t="s">
        <v>2632</v>
      </c>
      <c r="F2139" s="154" t="s">
        <v>2633</v>
      </c>
      <c r="G2139" s="110" t="s">
        <v>67</v>
      </c>
      <c r="H2139" s="202" t="s">
        <v>2873</v>
      </c>
      <c r="I2139" s="30" t="e">
        <f>VLOOKUP(H2139,'合同高级查询数据-4月返'!A:A,1,FALSE)</f>
        <v>#N/A</v>
      </c>
      <c r="J2139" s="110" t="s">
        <v>69</v>
      </c>
      <c r="K2139" s="154" t="s">
        <v>2898</v>
      </c>
      <c r="L2139" s="293"/>
      <c r="M2139" s="113"/>
      <c r="N2139" s="146">
        <v>44340</v>
      </c>
      <c r="O2139" s="146" t="s">
        <v>71</v>
      </c>
      <c r="P2139" s="294">
        <v>432</v>
      </c>
      <c r="Q2139" s="295">
        <v>1.2</v>
      </c>
      <c r="R2139" s="130">
        <f t="shared" si="58"/>
        <v>518.4</v>
      </c>
      <c r="S2139" s="127">
        <v>202304</v>
      </c>
      <c r="T2139" s="153" t="s">
        <v>2899</v>
      </c>
      <c r="U2139" s="153"/>
      <c r="V2139" s="296"/>
      <c r="W2139" s="296"/>
      <c r="X2139" s="131"/>
      <c r="Y2139" s="131"/>
    </row>
    <row r="2140" s="86" customFormat="1" customHeight="1" spans="1:25">
      <c r="A2140" s="154" t="s">
        <v>61</v>
      </c>
      <c r="B2140" s="135" t="s">
        <v>62</v>
      </c>
      <c r="C2140" s="292" t="s">
        <v>63</v>
      </c>
      <c r="D2140" s="11" t="s">
        <v>75</v>
      </c>
      <c r="E2140" s="153" t="s">
        <v>2632</v>
      </c>
      <c r="F2140" s="154" t="s">
        <v>2633</v>
      </c>
      <c r="G2140" s="110" t="s">
        <v>78</v>
      </c>
      <c r="H2140" s="202" t="s">
        <v>2873</v>
      </c>
      <c r="I2140" s="30" t="e">
        <f>VLOOKUP(H2140,'合同高级查询数据-4月返'!A:A,1,FALSE)</f>
        <v>#N/A</v>
      </c>
      <c r="J2140" s="110" t="s">
        <v>2900</v>
      </c>
      <c r="K2140" s="154" t="s">
        <v>2901</v>
      </c>
      <c r="L2140" s="293"/>
      <c r="M2140" s="113"/>
      <c r="N2140" s="146">
        <v>44340</v>
      </c>
      <c r="O2140" s="146"/>
      <c r="P2140" s="294">
        <v>1851</v>
      </c>
      <c r="Q2140" s="295">
        <v>1</v>
      </c>
      <c r="R2140" s="130">
        <f t="shared" si="58"/>
        <v>1851</v>
      </c>
      <c r="S2140" s="127">
        <v>202304</v>
      </c>
      <c r="T2140" s="153" t="s">
        <v>2902</v>
      </c>
      <c r="U2140" s="153"/>
      <c r="V2140" s="296"/>
      <c r="W2140" s="296"/>
      <c r="X2140" s="131"/>
      <c r="Y2140" s="131"/>
    </row>
    <row r="2141" s="86" customFormat="1" customHeight="1" spans="1:25">
      <c r="A2141" s="154" t="s">
        <v>61</v>
      </c>
      <c r="B2141" s="135" t="s">
        <v>62</v>
      </c>
      <c r="C2141" s="292" t="s">
        <v>63</v>
      </c>
      <c r="D2141" s="11" t="s">
        <v>75</v>
      </c>
      <c r="E2141" s="153" t="s">
        <v>2632</v>
      </c>
      <c r="F2141" s="154" t="s">
        <v>2633</v>
      </c>
      <c r="G2141" s="110" t="s">
        <v>67</v>
      </c>
      <c r="H2141" s="202" t="s">
        <v>2873</v>
      </c>
      <c r="I2141" s="30" t="e">
        <f>VLOOKUP(H2141,'合同高级查询数据-4月返'!A:A,1,FALSE)</f>
        <v>#N/A</v>
      </c>
      <c r="J2141" s="110" t="s">
        <v>69</v>
      </c>
      <c r="K2141" s="154" t="s">
        <v>2898</v>
      </c>
      <c r="L2141" s="293"/>
      <c r="M2141" s="113"/>
      <c r="N2141" s="146">
        <v>44592</v>
      </c>
      <c r="O2141" s="146" t="s">
        <v>71</v>
      </c>
      <c r="P2141" s="294">
        <v>432</v>
      </c>
      <c r="Q2141" s="295">
        <v>-3</v>
      </c>
      <c r="R2141" s="130">
        <f t="shared" si="58"/>
        <v>-1296</v>
      </c>
      <c r="S2141" s="127">
        <v>202304</v>
      </c>
      <c r="T2141" s="153" t="s">
        <v>2899</v>
      </c>
      <c r="U2141" s="153"/>
      <c r="V2141" s="296"/>
      <c r="W2141" s="296"/>
      <c r="X2141" s="131"/>
      <c r="Y2141" s="131"/>
    </row>
    <row r="2142" s="86" customFormat="1" customHeight="1" spans="1:25">
      <c r="A2142" s="154" t="s">
        <v>61</v>
      </c>
      <c r="B2142" s="135" t="s">
        <v>62</v>
      </c>
      <c r="C2142" s="292" t="s">
        <v>63</v>
      </c>
      <c r="D2142" s="11" t="s">
        <v>75</v>
      </c>
      <c r="E2142" s="153" t="s">
        <v>2632</v>
      </c>
      <c r="F2142" s="154" t="s">
        <v>2633</v>
      </c>
      <c r="G2142" s="110" t="s">
        <v>67</v>
      </c>
      <c r="H2142" s="202" t="s">
        <v>2873</v>
      </c>
      <c r="I2142" s="30" t="e">
        <f>VLOOKUP(H2142,'合同高级查询数据-4月返'!A:A,1,FALSE)</f>
        <v>#N/A</v>
      </c>
      <c r="J2142" s="110" t="s">
        <v>69</v>
      </c>
      <c r="K2142" s="154" t="s">
        <v>2898</v>
      </c>
      <c r="L2142" s="293"/>
      <c r="M2142" s="113"/>
      <c r="N2142" s="146">
        <v>44592</v>
      </c>
      <c r="O2142" s="146" t="s">
        <v>71</v>
      </c>
      <c r="P2142" s="294">
        <v>432</v>
      </c>
      <c r="Q2142" s="295">
        <v>-1.2</v>
      </c>
      <c r="R2142" s="130">
        <f t="shared" si="58"/>
        <v>-518.4</v>
      </c>
      <c r="S2142" s="127">
        <v>202304</v>
      </c>
      <c r="T2142" s="153" t="s">
        <v>2899</v>
      </c>
      <c r="U2142" s="153"/>
      <c r="V2142" s="296"/>
      <c r="W2142" s="296"/>
      <c r="X2142" s="131"/>
      <c r="Y2142" s="131"/>
    </row>
    <row r="2143" s="86" customFormat="1" customHeight="1" spans="1:25">
      <c r="A2143" s="154" t="s">
        <v>61</v>
      </c>
      <c r="B2143" s="135" t="s">
        <v>62</v>
      </c>
      <c r="C2143" s="292" t="s">
        <v>63</v>
      </c>
      <c r="D2143" s="11" t="s">
        <v>75</v>
      </c>
      <c r="E2143" s="153" t="s">
        <v>2632</v>
      </c>
      <c r="F2143" s="154" t="s">
        <v>2633</v>
      </c>
      <c r="G2143" s="110" t="s">
        <v>78</v>
      </c>
      <c r="H2143" s="202" t="s">
        <v>2873</v>
      </c>
      <c r="I2143" s="30" t="e">
        <f>VLOOKUP(H2143,'合同高级查询数据-4月返'!A:A,1,FALSE)</f>
        <v>#N/A</v>
      </c>
      <c r="J2143" s="110" t="s">
        <v>2900</v>
      </c>
      <c r="K2143" s="154" t="s">
        <v>2901</v>
      </c>
      <c r="L2143" s="293"/>
      <c r="M2143" s="113"/>
      <c r="N2143" s="146">
        <v>44592</v>
      </c>
      <c r="O2143" s="146"/>
      <c r="P2143" s="294">
        <v>1851</v>
      </c>
      <c r="Q2143" s="295">
        <v>-1</v>
      </c>
      <c r="R2143" s="130">
        <f t="shared" si="58"/>
        <v>-1851</v>
      </c>
      <c r="S2143" s="127">
        <v>202304</v>
      </c>
      <c r="T2143" s="153" t="s">
        <v>2903</v>
      </c>
      <c r="U2143" s="153"/>
      <c r="V2143" s="296"/>
      <c r="W2143" s="296"/>
      <c r="X2143" s="131"/>
      <c r="Y2143" s="131"/>
    </row>
    <row r="2144" s="86" customFormat="1" customHeight="1" spans="1:25">
      <c r="A2144" s="154" t="s">
        <v>61</v>
      </c>
      <c r="B2144" s="135" t="s">
        <v>62</v>
      </c>
      <c r="C2144" s="292" t="s">
        <v>63</v>
      </c>
      <c r="D2144" s="11" t="s">
        <v>75</v>
      </c>
      <c r="E2144" s="153" t="s">
        <v>2632</v>
      </c>
      <c r="F2144" s="154" t="s">
        <v>2633</v>
      </c>
      <c r="G2144" s="110" t="s">
        <v>67</v>
      </c>
      <c r="H2144" s="202" t="s">
        <v>2873</v>
      </c>
      <c r="I2144" s="30" t="e">
        <f>VLOOKUP(H2144,'合同高级查询数据-4月返'!A:A,1,FALSE)</f>
        <v>#N/A</v>
      </c>
      <c r="J2144" s="110" t="s">
        <v>69</v>
      </c>
      <c r="K2144" s="154" t="s">
        <v>2904</v>
      </c>
      <c r="L2144" s="293"/>
      <c r="M2144" s="113"/>
      <c r="N2144" s="146">
        <v>44340</v>
      </c>
      <c r="O2144" s="146" t="s">
        <v>71</v>
      </c>
      <c r="P2144" s="294">
        <v>432</v>
      </c>
      <c r="Q2144" s="295">
        <v>49</v>
      </c>
      <c r="R2144" s="130">
        <f t="shared" si="58"/>
        <v>21168</v>
      </c>
      <c r="S2144" s="127">
        <v>202304</v>
      </c>
      <c r="T2144" s="153" t="s">
        <v>2905</v>
      </c>
      <c r="U2144" s="153"/>
      <c r="V2144" s="296"/>
      <c r="W2144" s="296"/>
      <c r="X2144" s="131"/>
      <c r="Y2144" s="131"/>
    </row>
    <row r="2145" s="86" customFormat="1" customHeight="1" spans="1:25">
      <c r="A2145" s="154" t="s">
        <v>61</v>
      </c>
      <c r="B2145" s="135" t="s">
        <v>62</v>
      </c>
      <c r="C2145" s="292" t="s">
        <v>63</v>
      </c>
      <c r="D2145" s="11" t="s">
        <v>75</v>
      </c>
      <c r="E2145" s="153" t="s">
        <v>2632</v>
      </c>
      <c r="F2145" s="154" t="s">
        <v>2633</v>
      </c>
      <c r="G2145" s="110" t="s">
        <v>67</v>
      </c>
      <c r="H2145" s="202" t="s">
        <v>2873</v>
      </c>
      <c r="I2145" s="30" t="e">
        <f>VLOOKUP(H2145,'合同高级查询数据-4月返'!A:A,1,FALSE)</f>
        <v>#N/A</v>
      </c>
      <c r="J2145" s="110" t="s">
        <v>69</v>
      </c>
      <c r="K2145" s="154" t="s">
        <v>2904</v>
      </c>
      <c r="L2145" s="293"/>
      <c r="M2145" s="113"/>
      <c r="N2145" s="146">
        <v>44340</v>
      </c>
      <c r="O2145" s="146" t="s">
        <v>71</v>
      </c>
      <c r="P2145" s="294">
        <v>432</v>
      </c>
      <c r="Q2145" s="295">
        <v>58.8</v>
      </c>
      <c r="R2145" s="130">
        <f t="shared" si="58"/>
        <v>25401.6</v>
      </c>
      <c r="S2145" s="127">
        <v>202304</v>
      </c>
      <c r="T2145" s="153" t="s">
        <v>2905</v>
      </c>
      <c r="U2145" s="153"/>
      <c r="V2145" s="296"/>
      <c r="W2145" s="296"/>
      <c r="X2145" s="131"/>
      <c r="Y2145" s="131"/>
    </row>
    <row r="2146" s="86" customFormat="1" customHeight="1" spans="1:25">
      <c r="A2146" s="154" t="s">
        <v>61</v>
      </c>
      <c r="B2146" s="135" t="s">
        <v>62</v>
      </c>
      <c r="C2146" s="292" t="s">
        <v>63</v>
      </c>
      <c r="D2146" s="11" t="s">
        <v>75</v>
      </c>
      <c r="E2146" s="153" t="s">
        <v>2632</v>
      </c>
      <c r="F2146" s="154" t="s">
        <v>2633</v>
      </c>
      <c r="G2146" s="110" t="s">
        <v>67</v>
      </c>
      <c r="H2146" s="202" t="s">
        <v>2873</v>
      </c>
      <c r="I2146" s="30" t="e">
        <f>VLOOKUP(H2146,'合同高级查询数据-4月返'!A:A,1,FALSE)</f>
        <v>#N/A</v>
      </c>
      <c r="J2146" s="110" t="s">
        <v>69</v>
      </c>
      <c r="K2146" s="154" t="s">
        <v>2906</v>
      </c>
      <c r="L2146" s="293"/>
      <c r="M2146" s="113"/>
      <c r="N2146" s="146">
        <v>44340</v>
      </c>
      <c r="O2146" s="146" t="s">
        <v>71</v>
      </c>
      <c r="P2146" s="294">
        <v>432</v>
      </c>
      <c r="Q2146" s="295">
        <v>35</v>
      </c>
      <c r="R2146" s="130">
        <f t="shared" si="58"/>
        <v>15120</v>
      </c>
      <c r="S2146" s="127">
        <v>202304</v>
      </c>
      <c r="T2146" s="153" t="s">
        <v>2905</v>
      </c>
      <c r="U2146" s="153"/>
      <c r="V2146" s="296"/>
      <c r="W2146" s="296"/>
      <c r="X2146" s="131"/>
      <c r="Y2146" s="131"/>
    </row>
    <row r="2147" s="86" customFormat="1" customHeight="1" spans="1:25">
      <c r="A2147" s="154" t="s">
        <v>61</v>
      </c>
      <c r="B2147" s="135" t="s">
        <v>62</v>
      </c>
      <c r="C2147" s="292" t="s">
        <v>63</v>
      </c>
      <c r="D2147" s="11" t="s">
        <v>75</v>
      </c>
      <c r="E2147" s="153" t="s">
        <v>2632</v>
      </c>
      <c r="F2147" s="154" t="s">
        <v>2633</v>
      </c>
      <c r="G2147" s="110" t="s">
        <v>67</v>
      </c>
      <c r="H2147" s="202" t="s">
        <v>2873</v>
      </c>
      <c r="I2147" s="30" t="e">
        <f>VLOOKUP(H2147,'合同高级查询数据-4月返'!A:A,1,FALSE)</f>
        <v>#N/A</v>
      </c>
      <c r="J2147" s="110" t="s">
        <v>69</v>
      </c>
      <c r="K2147" s="154" t="s">
        <v>2906</v>
      </c>
      <c r="L2147" s="293"/>
      <c r="M2147" s="113"/>
      <c r="N2147" s="146">
        <v>44530</v>
      </c>
      <c r="O2147" s="146" t="s">
        <v>71</v>
      </c>
      <c r="P2147" s="294">
        <v>432</v>
      </c>
      <c r="Q2147" s="295">
        <v>-35</v>
      </c>
      <c r="R2147" s="130">
        <f t="shared" si="58"/>
        <v>-15120</v>
      </c>
      <c r="S2147" s="127">
        <v>202304</v>
      </c>
      <c r="T2147" s="153" t="s">
        <v>1960</v>
      </c>
      <c r="U2147" s="153"/>
      <c r="V2147" s="296"/>
      <c r="W2147" s="296"/>
      <c r="X2147" s="131"/>
      <c r="Y2147" s="131"/>
    </row>
    <row r="2148" s="86" customFormat="1" customHeight="1" spans="1:25">
      <c r="A2148" s="154" t="s">
        <v>61</v>
      </c>
      <c r="B2148" s="135" t="s">
        <v>62</v>
      </c>
      <c r="C2148" s="292" t="s">
        <v>63</v>
      </c>
      <c r="D2148" s="11" t="s">
        <v>75</v>
      </c>
      <c r="E2148" s="153" t="s">
        <v>2632</v>
      </c>
      <c r="F2148" s="154" t="s">
        <v>2633</v>
      </c>
      <c r="G2148" s="110" t="s">
        <v>67</v>
      </c>
      <c r="H2148" s="202" t="s">
        <v>2873</v>
      </c>
      <c r="I2148" s="30" t="e">
        <f>VLOOKUP(H2148,'合同高级查询数据-4月返'!A:A,1,FALSE)</f>
        <v>#N/A</v>
      </c>
      <c r="J2148" s="110" t="s">
        <v>69</v>
      </c>
      <c r="K2148" s="154" t="s">
        <v>2906</v>
      </c>
      <c r="L2148" s="293"/>
      <c r="M2148" s="113"/>
      <c r="N2148" s="146">
        <v>44340</v>
      </c>
      <c r="O2148" s="146" t="s">
        <v>71</v>
      </c>
      <c r="P2148" s="294">
        <v>432</v>
      </c>
      <c r="Q2148" s="295">
        <v>59</v>
      </c>
      <c r="R2148" s="130">
        <f t="shared" si="58"/>
        <v>25488</v>
      </c>
      <c r="S2148" s="127">
        <v>202304</v>
      </c>
      <c r="T2148" s="153" t="s">
        <v>2905</v>
      </c>
      <c r="U2148" s="153"/>
      <c r="V2148" s="296"/>
      <c r="W2148" s="296"/>
      <c r="X2148" s="131"/>
      <c r="Y2148" s="131"/>
    </row>
    <row r="2149" s="86" customFormat="1" customHeight="1" spans="1:25">
      <c r="A2149" s="154" t="s">
        <v>61</v>
      </c>
      <c r="B2149" s="135" t="s">
        <v>62</v>
      </c>
      <c r="C2149" s="292" t="s">
        <v>63</v>
      </c>
      <c r="D2149" s="11" t="s">
        <v>75</v>
      </c>
      <c r="E2149" s="153" t="s">
        <v>2632</v>
      </c>
      <c r="F2149" s="154" t="s">
        <v>2633</v>
      </c>
      <c r="G2149" s="110" t="s">
        <v>67</v>
      </c>
      <c r="H2149" s="202" t="s">
        <v>2873</v>
      </c>
      <c r="I2149" s="30" t="e">
        <f>VLOOKUP(H2149,'合同高级查询数据-4月返'!A:A,1,FALSE)</f>
        <v>#N/A</v>
      </c>
      <c r="J2149" s="110" t="s">
        <v>69</v>
      </c>
      <c r="K2149" s="154" t="s">
        <v>2906</v>
      </c>
      <c r="L2149" s="293"/>
      <c r="M2149" s="113"/>
      <c r="N2149" s="146">
        <v>44530</v>
      </c>
      <c r="O2149" s="146" t="s">
        <v>71</v>
      </c>
      <c r="P2149" s="294">
        <v>432</v>
      </c>
      <c r="Q2149" s="295">
        <v>-59</v>
      </c>
      <c r="R2149" s="130">
        <f t="shared" si="58"/>
        <v>-25488</v>
      </c>
      <c r="S2149" s="127">
        <v>202304</v>
      </c>
      <c r="T2149" s="153" t="s">
        <v>1960</v>
      </c>
      <c r="U2149" s="153"/>
      <c r="V2149" s="296"/>
      <c r="W2149" s="296"/>
      <c r="X2149" s="131"/>
      <c r="Y2149" s="131"/>
    </row>
    <row r="2150" s="86" customFormat="1" customHeight="1" spans="1:25">
      <c r="A2150" s="154" t="s">
        <v>61</v>
      </c>
      <c r="B2150" s="135" t="s">
        <v>62</v>
      </c>
      <c r="C2150" s="292" t="s">
        <v>63</v>
      </c>
      <c r="D2150" s="11" t="s">
        <v>75</v>
      </c>
      <c r="E2150" s="153" t="s">
        <v>2632</v>
      </c>
      <c r="F2150" s="154" t="s">
        <v>2633</v>
      </c>
      <c r="G2150" s="110" t="s">
        <v>67</v>
      </c>
      <c r="H2150" s="202" t="s">
        <v>2873</v>
      </c>
      <c r="I2150" s="30" t="e">
        <f>VLOOKUP(H2150,'合同高级查询数据-4月返'!A:A,1,FALSE)</f>
        <v>#N/A</v>
      </c>
      <c r="J2150" s="110" t="s">
        <v>69</v>
      </c>
      <c r="K2150" s="154" t="s">
        <v>2907</v>
      </c>
      <c r="L2150" s="293"/>
      <c r="M2150" s="113"/>
      <c r="N2150" s="146">
        <v>44340</v>
      </c>
      <c r="O2150" s="146" t="s">
        <v>71</v>
      </c>
      <c r="P2150" s="294">
        <v>432</v>
      </c>
      <c r="Q2150" s="295">
        <v>19.8</v>
      </c>
      <c r="R2150" s="130">
        <f t="shared" si="58"/>
        <v>8553.6</v>
      </c>
      <c r="S2150" s="127">
        <v>202304</v>
      </c>
      <c r="T2150" s="153" t="s">
        <v>2905</v>
      </c>
      <c r="U2150" s="153"/>
      <c r="V2150" s="296"/>
      <c r="W2150" s="296"/>
      <c r="X2150" s="131"/>
      <c r="Y2150" s="131"/>
    </row>
    <row r="2151" s="86" customFormat="1" customHeight="1" spans="1:25">
      <c r="A2151" s="154" t="s">
        <v>61</v>
      </c>
      <c r="B2151" s="135" t="s">
        <v>62</v>
      </c>
      <c r="C2151" s="292" t="s">
        <v>63</v>
      </c>
      <c r="D2151" s="11" t="s">
        <v>75</v>
      </c>
      <c r="E2151" s="153" t="s">
        <v>2632</v>
      </c>
      <c r="F2151" s="154" t="s">
        <v>2633</v>
      </c>
      <c r="G2151" s="110" t="s">
        <v>67</v>
      </c>
      <c r="H2151" s="202" t="s">
        <v>2873</v>
      </c>
      <c r="I2151" s="30" t="e">
        <f>VLOOKUP(H2151,'合同高级查询数据-4月返'!A:A,1,FALSE)</f>
        <v>#N/A</v>
      </c>
      <c r="J2151" s="110" t="s">
        <v>69</v>
      </c>
      <c r="K2151" s="154" t="s">
        <v>2907</v>
      </c>
      <c r="L2151" s="293"/>
      <c r="M2151" s="113"/>
      <c r="N2151" s="146">
        <v>44340</v>
      </c>
      <c r="O2151" s="146" t="s">
        <v>71</v>
      </c>
      <c r="P2151" s="294">
        <v>432</v>
      </c>
      <c r="Q2151" s="295">
        <v>18.3</v>
      </c>
      <c r="R2151" s="130">
        <f t="shared" si="58"/>
        <v>7905.6</v>
      </c>
      <c r="S2151" s="127">
        <v>202304</v>
      </c>
      <c r="T2151" s="153" t="s">
        <v>2905</v>
      </c>
      <c r="U2151" s="153"/>
      <c r="V2151" s="296"/>
      <c r="W2151" s="296"/>
      <c r="X2151" s="131"/>
      <c r="Y2151" s="131"/>
    </row>
    <row r="2152" s="86" customFormat="1" customHeight="1" spans="1:25">
      <c r="A2152" s="154" t="s">
        <v>61</v>
      </c>
      <c r="B2152" s="135" t="s">
        <v>62</v>
      </c>
      <c r="C2152" s="292" t="s">
        <v>63</v>
      </c>
      <c r="D2152" s="11" t="s">
        <v>75</v>
      </c>
      <c r="E2152" s="153" t="s">
        <v>2632</v>
      </c>
      <c r="F2152" s="154" t="s">
        <v>2633</v>
      </c>
      <c r="G2152" s="110" t="s">
        <v>78</v>
      </c>
      <c r="H2152" s="202" t="s">
        <v>2873</v>
      </c>
      <c r="I2152" s="30" t="e">
        <f>VLOOKUP(H2152,'合同高级查询数据-4月返'!A:A,1,FALSE)</f>
        <v>#N/A</v>
      </c>
      <c r="J2152" s="110" t="s">
        <v>2900</v>
      </c>
      <c r="K2152" s="154" t="s">
        <v>2908</v>
      </c>
      <c r="L2152" s="293"/>
      <c r="M2152" s="113"/>
      <c r="N2152" s="146">
        <v>44340</v>
      </c>
      <c r="O2152" s="146"/>
      <c r="P2152" s="294">
        <v>3702</v>
      </c>
      <c r="Q2152" s="295">
        <v>1</v>
      </c>
      <c r="R2152" s="130">
        <f t="shared" si="58"/>
        <v>3702</v>
      </c>
      <c r="S2152" s="127">
        <v>202304</v>
      </c>
      <c r="T2152" s="153" t="s">
        <v>2909</v>
      </c>
      <c r="U2152" s="153"/>
      <c r="V2152" s="296"/>
      <c r="W2152" s="296"/>
      <c r="X2152" s="131"/>
      <c r="Y2152" s="131"/>
    </row>
    <row r="2153" s="86" customFormat="1" customHeight="1" spans="1:25">
      <c r="A2153" s="154" t="s">
        <v>61</v>
      </c>
      <c r="B2153" s="135" t="s">
        <v>62</v>
      </c>
      <c r="C2153" s="292" t="s">
        <v>63</v>
      </c>
      <c r="D2153" s="11" t="s">
        <v>75</v>
      </c>
      <c r="E2153" s="153" t="s">
        <v>2632</v>
      </c>
      <c r="F2153" s="154" t="s">
        <v>2633</v>
      </c>
      <c r="G2153" s="110" t="s">
        <v>67</v>
      </c>
      <c r="H2153" s="202" t="s">
        <v>2873</v>
      </c>
      <c r="I2153" s="30" t="e">
        <f>VLOOKUP(H2153,'合同高级查询数据-4月返'!A:A,1,FALSE)</f>
        <v>#N/A</v>
      </c>
      <c r="J2153" s="110" t="s">
        <v>69</v>
      </c>
      <c r="K2153" s="154" t="s">
        <v>2910</v>
      </c>
      <c r="L2153" s="293"/>
      <c r="M2153" s="113"/>
      <c r="N2153" s="146">
        <v>44340</v>
      </c>
      <c r="O2153" s="146" t="s">
        <v>71</v>
      </c>
      <c r="P2153" s="294">
        <v>432</v>
      </c>
      <c r="Q2153" s="295">
        <v>37</v>
      </c>
      <c r="R2153" s="130">
        <f t="shared" si="58"/>
        <v>15984</v>
      </c>
      <c r="S2153" s="127">
        <v>202304</v>
      </c>
      <c r="T2153" s="153" t="s">
        <v>2911</v>
      </c>
      <c r="U2153" s="153"/>
      <c r="V2153" s="296"/>
      <c r="W2153" s="296"/>
      <c r="X2153" s="131"/>
      <c r="Y2153" s="131"/>
    </row>
    <row r="2154" s="86" customFormat="1" customHeight="1" spans="1:25">
      <c r="A2154" s="154" t="s">
        <v>61</v>
      </c>
      <c r="B2154" s="135" t="s">
        <v>62</v>
      </c>
      <c r="C2154" s="292" t="s">
        <v>63</v>
      </c>
      <c r="D2154" s="11" t="s">
        <v>75</v>
      </c>
      <c r="E2154" s="153" t="s">
        <v>2632</v>
      </c>
      <c r="F2154" s="154" t="s">
        <v>2633</v>
      </c>
      <c r="G2154" s="110" t="s">
        <v>67</v>
      </c>
      <c r="H2154" s="202" t="s">
        <v>2873</v>
      </c>
      <c r="I2154" s="30" t="e">
        <f>VLOOKUP(H2154,'合同高级查询数据-4月返'!A:A,1,FALSE)</f>
        <v>#N/A</v>
      </c>
      <c r="J2154" s="110" t="s">
        <v>69</v>
      </c>
      <c r="K2154" s="154" t="s">
        <v>2910</v>
      </c>
      <c r="L2154" s="293"/>
      <c r="M2154" s="113"/>
      <c r="N2154" s="146">
        <v>44340</v>
      </c>
      <c r="O2154" s="146" t="s">
        <v>71</v>
      </c>
      <c r="P2154" s="294">
        <v>432</v>
      </c>
      <c r="Q2154" s="295">
        <v>58</v>
      </c>
      <c r="R2154" s="130">
        <f t="shared" si="58"/>
        <v>25056</v>
      </c>
      <c r="S2154" s="127">
        <v>202304</v>
      </c>
      <c r="T2154" s="153" t="s">
        <v>2911</v>
      </c>
      <c r="U2154" s="153"/>
      <c r="V2154" s="296"/>
      <c r="W2154" s="296"/>
      <c r="X2154" s="131"/>
      <c r="Y2154" s="131"/>
    </row>
    <row r="2155" s="86" customFormat="1" customHeight="1" spans="1:25">
      <c r="A2155" s="154" t="s">
        <v>61</v>
      </c>
      <c r="B2155" s="135" t="s">
        <v>62</v>
      </c>
      <c r="C2155" s="292" t="s">
        <v>63</v>
      </c>
      <c r="D2155" s="11" t="s">
        <v>75</v>
      </c>
      <c r="E2155" s="153" t="s">
        <v>2632</v>
      </c>
      <c r="F2155" s="154" t="s">
        <v>2633</v>
      </c>
      <c r="G2155" s="110" t="s">
        <v>78</v>
      </c>
      <c r="H2155" s="202" t="s">
        <v>2873</v>
      </c>
      <c r="I2155" s="30" t="e">
        <f>VLOOKUP(H2155,'合同高级查询数据-4月返'!A:A,1,FALSE)</f>
        <v>#N/A</v>
      </c>
      <c r="J2155" s="110" t="s">
        <v>2900</v>
      </c>
      <c r="K2155" s="154" t="s">
        <v>2912</v>
      </c>
      <c r="L2155" s="293"/>
      <c r="M2155" s="113"/>
      <c r="N2155" s="146">
        <v>44340</v>
      </c>
      <c r="O2155" s="146"/>
      <c r="P2155" s="294">
        <v>740</v>
      </c>
      <c r="Q2155" s="295">
        <v>1</v>
      </c>
      <c r="R2155" s="130">
        <f t="shared" si="58"/>
        <v>740</v>
      </c>
      <c r="S2155" s="127">
        <v>202304</v>
      </c>
      <c r="T2155" s="153" t="s">
        <v>2913</v>
      </c>
      <c r="U2155" s="153"/>
      <c r="V2155" s="296"/>
      <c r="W2155" s="296"/>
      <c r="X2155" s="131"/>
      <c r="Y2155" s="131"/>
    </row>
    <row r="2156" s="86" customFormat="1" customHeight="1" spans="1:25">
      <c r="A2156" s="154" t="s">
        <v>61</v>
      </c>
      <c r="B2156" s="135" t="s">
        <v>62</v>
      </c>
      <c r="C2156" s="292" t="s">
        <v>63</v>
      </c>
      <c r="D2156" s="11" t="s">
        <v>75</v>
      </c>
      <c r="E2156" s="153" t="s">
        <v>2632</v>
      </c>
      <c r="F2156" s="154" t="s">
        <v>2633</v>
      </c>
      <c r="G2156" s="110" t="s">
        <v>67</v>
      </c>
      <c r="H2156" s="103" t="s">
        <v>2914</v>
      </c>
      <c r="I2156" s="30" t="e">
        <f>VLOOKUP(H2156,'合同高级查询数据-4月返'!A:A,1,FALSE)</f>
        <v>#N/A</v>
      </c>
      <c r="J2156" s="110" t="s">
        <v>69</v>
      </c>
      <c r="K2156" s="154" t="s">
        <v>2915</v>
      </c>
      <c r="L2156" s="293"/>
      <c r="M2156" s="113"/>
      <c r="N2156" s="146">
        <v>44896</v>
      </c>
      <c r="O2156" s="146" t="s">
        <v>71</v>
      </c>
      <c r="P2156" s="294">
        <v>2000</v>
      </c>
      <c r="Q2156" s="295">
        <v>1</v>
      </c>
      <c r="R2156" s="130">
        <f t="shared" si="58"/>
        <v>2000</v>
      </c>
      <c r="S2156" s="127">
        <v>202304</v>
      </c>
      <c r="T2156" s="297" t="s">
        <v>2916</v>
      </c>
      <c r="U2156" s="128"/>
      <c r="V2156" s="298"/>
      <c r="W2156" s="298"/>
      <c r="X2156" s="131"/>
      <c r="Y2156" s="131"/>
    </row>
    <row r="2157" s="86" customFormat="1" customHeight="1" spans="1:25">
      <c r="A2157" s="154" t="s">
        <v>61</v>
      </c>
      <c r="B2157" s="135" t="s">
        <v>62</v>
      </c>
      <c r="C2157" s="292" t="s">
        <v>63</v>
      </c>
      <c r="D2157" s="11" t="s">
        <v>75</v>
      </c>
      <c r="E2157" s="153" t="s">
        <v>2632</v>
      </c>
      <c r="F2157" s="154" t="s">
        <v>2633</v>
      </c>
      <c r="G2157" s="110" t="s">
        <v>67</v>
      </c>
      <c r="H2157" s="103" t="s">
        <v>2917</v>
      </c>
      <c r="I2157" s="30" t="e">
        <f>VLOOKUP(H2157,'合同高级查询数据-4月返'!A:A,1,FALSE)</f>
        <v>#N/A</v>
      </c>
      <c r="J2157" s="110" t="s">
        <v>69</v>
      </c>
      <c r="K2157" s="154" t="s">
        <v>2918</v>
      </c>
      <c r="L2157" s="293"/>
      <c r="M2157" s="113"/>
      <c r="N2157" s="146">
        <v>44537</v>
      </c>
      <c r="O2157" s="146" t="s">
        <v>71</v>
      </c>
      <c r="P2157" s="294">
        <v>396</v>
      </c>
      <c r="Q2157" s="295">
        <v>20</v>
      </c>
      <c r="R2157" s="130">
        <f t="shared" si="58"/>
        <v>7920</v>
      </c>
      <c r="S2157" s="127">
        <v>202304</v>
      </c>
      <c r="T2157" s="153" t="s">
        <v>2918</v>
      </c>
      <c r="U2157" s="153"/>
      <c r="V2157" s="296"/>
      <c r="W2157" s="296"/>
      <c r="X2157" s="131"/>
      <c r="Y2157" s="131"/>
    </row>
    <row r="2158" s="86" customFormat="1" customHeight="1" spans="1:25">
      <c r="A2158" s="154" t="s">
        <v>61</v>
      </c>
      <c r="B2158" s="135" t="s">
        <v>62</v>
      </c>
      <c r="C2158" s="292" t="s">
        <v>63</v>
      </c>
      <c r="D2158" s="11" t="s">
        <v>75</v>
      </c>
      <c r="E2158" s="153" t="s">
        <v>2632</v>
      </c>
      <c r="F2158" s="154" t="s">
        <v>2633</v>
      </c>
      <c r="G2158" s="110" t="s">
        <v>67</v>
      </c>
      <c r="H2158" s="103" t="s">
        <v>2917</v>
      </c>
      <c r="I2158" s="30" t="e">
        <f>VLOOKUP(H2158,'合同高级查询数据-4月返'!A:A,1,FALSE)</f>
        <v>#N/A</v>
      </c>
      <c r="J2158" s="110" t="s">
        <v>69</v>
      </c>
      <c r="K2158" s="154" t="s">
        <v>2919</v>
      </c>
      <c r="L2158" s="293"/>
      <c r="M2158" s="113"/>
      <c r="N2158" s="146">
        <v>44537</v>
      </c>
      <c r="O2158" s="146" t="s">
        <v>71</v>
      </c>
      <c r="P2158" s="294">
        <v>396</v>
      </c>
      <c r="Q2158" s="295">
        <v>2.9</v>
      </c>
      <c r="R2158" s="130">
        <f t="shared" si="58"/>
        <v>1148.4</v>
      </c>
      <c r="S2158" s="127">
        <v>202304</v>
      </c>
      <c r="T2158" s="153" t="s">
        <v>2919</v>
      </c>
      <c r="U2158" s="153"/>
      <c r="V2158" s="296"/>
      <c r="W2158" s="296"/>
      <c r="X2158" s="131"/>
      <c r="Y2158" s="131"/>
    </row>
    <row r="2159" s="86" customFormat="1" customHeight="1" spans="1:25">
      <c r="A2159" s="154" t="s">
        <v>61</v>
      </c>
      <c r="B2159" s="135" t="s">
        <v>62</v>
      </c>
      <c r="C2159" s="292" t="s">
        <v>63</v>
      </c>
      <c r="D2159" s="11" t="s">
        <v>75</v>
      </c>
      <c r="E2159" s="153" t="s">
        <v>2632</v>
      </c>
      <c r="F2159" s="154" t="s">
        <v>2633</v>
      </c>
      <c r="G2159" s="110" t="s">
        <v>67</v>
      </c>
      <c r="H2159" s="103" t="s">
        <v>2917</v>
      </c>
      <c r="I2159" s="30" t="e">
        <f>VLOOKUP(H2159,'合同高级查询数据-4月返'!A:A,1,FALSE)</f>
        <v>#N/A</v>
      </c>
      <c r="J2159" s="110" t="s">
        <v>69</v>
      </c>
      <c r="K2159" s="154" t="s">
        <v>2920</v>
      </c>
      <c r="L2159" s="293"/>
      <c r="M2159" s="113"/>
      <c r="N2159" s="146">
        <v>44457</v>
      </c>
      <c r="O2159" s="146" t="s">
        <v>71</v>
      </c>
      <c r="P2159" s="294">
        <v>396</v>
      </c>
      <c r="Q2159" s="295">
        <v>2.3</v>
      </c>
      <c r="R2159" s="130">
        <f t="shared" si="58"/>
        <v>910.8</v>
      </c>
      <c r="S2159" s="127">
        <v>202304</v>
      </c>
      <c r="T2159" s="153" t="s">
        <v>2920</v>
      </c>
      <c r="U2159" s="153"/>
      <c r="V2159" s="296"/>
      <c r="W2159" s="296"/>
      <c r="X2159" s="131"/>
      <c r="Y2159" s="131"/>
    </row>
    <row r="2160" s="86" customFormat="1" customHeight="1" spans="1:25">
      <c r="A2160" s="154" t="s">
        <v>61</v>
      </c>
      <c r="B2160" s="135" t="s">
        <v>62</v>
      </c>
      <c r="C2160" s="292" t="s">
        <v>63</v>
      </c>
      <c r="D2160" s="11" t="s">
        <v>75</v>
      </c>
      <c r="E2160" s="153" t="s">
        <v>2632</v>
      </c>
      <c r="F2160" s="154" t="s">
        <v>2633</v>
      </c>
      <c r="G2160" s="110" t="s">
        <v>67</v>
      </c>
      <c r="H2160" s="103" t="s">
        <v>2917</v>
      </c>
      <c r="I2160" s="30" t="e">
        <f>VLOOKUP(H2160,'合同高级查询数据-4月返'!A:A,1,FALSE)</f>
        <v>#N/A</v>
      </c>
      <c r="J2160" s="110" t="s">
        <v>69</v>
      </c>
      <c r="K2160" s="154" t="s">
        <v>2920</v>
      </c>
      <c r="L2160" s="293"/>
      <c r="M2160" s="113"/>
      <c r="N2160" s="146">
        <v>44957</v>
      </c>
      <c r="O2160" s="146" t="s">
        <v>71</v>
      </c>
      <c r="P2160" s="294">
        <v>396</v>
      </c>
      <c r="Q2160" s="295">
        <v>-2.3</v>
      </c>
      <c r="R2160" s="130">
        <f t="shared" si="58"/>
        <v>-910.8</v>
      </c>
      <c r="S2160" s="127">
        <v>202304</v>
      </c>
      <c r="T2160" s="153" t="s">
        <v>2921</v>
      </c>
      <c r="U2160" s="153"/>
      <c r="V2160" s="296"/>
      <c r="W2160" s="296"/>
      <c r="X2160" s="131"/>
      <c r="Y2160" s="131"/>
    </row>
    <row r="2161" s="86" customFormat="1" customHeight="1" spans="1:25">
      <c r="A2161" s="154" t="s">
        <v>61</v>
      </c>
      <c r="B2161" s="135" t="s">
        <v>62</v>
      </c>
      <c r="C2161" s="292" t="s">
        <v>63</v>
      </c>
      <c r="D2161" s="11" t="s">
        <v>75</v>
      </c>
      <c r="E2161" s="153" t="s">
        <v>2632</v>
      </c>
      <c r="F2161" s="154" t="s">
        <v>2633</v>
      </c>
      <c r="G2161" s="110" t="s">
        <v>67</v>
      </c>
      <c r="H2161" s="103" t="s">
        <v>2917</v>
      </c>
      <c r="I2161" s="30" t="e">
        <f>VLOOKUP(H2161,'合同高级查询数据-4月返'!A:A,1,FALSE)</f>
        <v>#N/A</v>
      </c>
      <c r="J2161" s="110" t="s">
        <v>69</v>
      </c>
      <c r="K2161" s="154" t="s">
        <v>2922</v>
      </c>
      <c r="L2161" s="293"/>
      <c r="M2161" s="113"/>
      <c r="N2161" s="146">
        <v>44575</v>
      </c>
      <c r="O2161" s="146" t="s">
        <v>71</v>
      </c>
      <c r="P2161" s="294">
        <v>396</v>
      </c>
      <c r="Q2161" s="295">
        <v>12.93</v>
      </c>
      <c r="R2161" s="130">
        <f t="shared" si="58"/>
        <v>5120.28</v>
      </c>
      <c r="S2161" s="127">
        <v>202304</v>
      </c>
      <c r="T2161" s="153" t="s">
        <v>2922</v>
      </c>
      <c r="U2161" s="153"/>
      <c r="V2161" s="296"/>
      <c r="W2161" s="296"/>
      <c r="X2161" s="131"/>
      <c r="Y2161" s="131"/>
    </row>
    <row r="2162" s="86" customFormat="1" customHeight="1" spans="1:25">
      <c r="A2162" s="154" t="s">
        <v>61</v>
      </c>
      <c r="B2162" s="135" t="s">
        <v>62</v>
      </c>
      <c r="C2162" s="292" t="s">
        <v>63</v>
      </c>
      <c r="D2162" s="11" t="s">
        <v>75</v>
      </c>
      <c r="E2162" s="153" t="s">
        <v>2632</v>
      </c>
      <c r="F2162" s="154" t="s">
        <v>2633</v>
      </c>
      <c r="G2162" s="110" t="s">
        <v>67</v>
      </c>
      <c r="H2162" s="103" t="s">
        <v>2917</v>
      </c>
      <c r="I2162" s="30" t="e">
        <f>VLOOKUP(H2162,'合同高级查询数据-4月返'!A:A,1,FALSE)</f>
        <v>#N/A</v>
      </c>
      <c r="J2162" s="110" t="s">
        <v>69</v>
      </c>
      <c r="K2162" s="154" t="s">
        <v>2923</v>
      </c>
      <c r="L2162" s="293"/>
      <c r="M2162" s="113"/>
      <c r="N2162" s="146">
        <v>44575</v>
      </c>
      <c r="O2162" s="146" t="s">
        <v>71</v>
      </c>
      <c r="P2162" s="294">
        <v>396</v>
      </c>
      <c r="Q2162" s="295">
        <v>11.6</v>
      </c>
      <c r="R2162" s="130">
        <f t="shared" si="58"/>
        <v>4593.6</v>
      </c>
      <c r="S2162" s="127">
        <v>202304</v>
      </c>
      <c r="T2162" s="297" t="s">
        <v>2922</v>
      </c>
      <c r="U2162" s="153"/>
      <c r="V2162" s="296"/>
      <c r="W2162" s="296"/>
      <c r="X2162" s="131"/>
      <c r="Y2162" s="131"/>
    </row>
    <row r="2163" s="86" customFormat="1" customHeight="1" spans="1:25">
      <c r="A2163" s="154" t="s">
        <v>61</v>
      </c>
      <c r="B2163" s="135" t="s">
        <v>62</v>
      </c>
      <c r="C2163" s="292" t="s">
        <v>63</v>
      </c>
      <c r="D2163" s="11" t="s">
        <v>75</v>
      </c>
      <c r="E2163" s="153" t="s">
        <v>2632</v>
      </c>
      <c r="F2163" s="154" t="s">
        <v>2633</v>
      </c>
      <c r="G2163" s="110" t="s">
        <v>67</v>
      </c>
      <c r="H2163" s="103" t="s">
        <v>2917</v>
      </c>
      <c r="I2163" s="30" t="e">
        <f>VLOOKUP(H2163,'合同高级查询数据-4月返'!A:A,1,FALSE)</f>
        <v>#N/A</v>
      </c>
      <c r="J2163" s="110" t="s">
        <v>69</v>
      </c>
      <c r="K2163" s="154" t="s">
        <v>2924</v>
      </c>
      <c r="L2163" s="293"/>
      <c r="M2163" s="113"/>
      <c r="N2163" s="146">
        <v>44593</v>
      </c>
      <c r="O2163" s="146" t="s">
        <v>71</v>
      </c>
      <c r="P2163" s="294">
        <v>339.34</v>
      </c>
      <c r="Q2163" s="295">
        <v>128</v>
      </c>
      <c r="R2163" s="130">
        <f t="shared" si="58"/>
        <v>43435.52</v>
      </c>
      <c r="S2163" s="127">
        <v>202304</v>
      </c>
      <c r="T2163" s="297" t="s">
        <v>2925</v>
      </c>
      <c r="U2163" s="153"/>
      <c r="V2163" s="296"/>
      <c r="W2163" s="296"/>
      <c r="X2163" s="131"/>
      <c r="Y2163" s="131"/>
    </row>
    <row r="2164" s="86" customFormat="1" customHeight="1" spans="1:25">
      <c r="A2164" s="154" t="s">
        <v>61</v>
      </c>
      <c r="B2164" s="135" t="s">
        <v>62</v>
      </c>
      <c r="C2164" s="292" t="s">
        <v>63</v>
      </c>
      <c r="D2164" s="11" t="s">
        <v>75</v>
      </c>
      <c r="E2164" s="153" t="s">
        <v>2632</v>
      </c>
      <c r="F2164" s="154" t="s">
        <v>2633</v>
      </c>
      <c r="G2164" s="110" t="s">
        <v>67</v>
      </c>
      <c r="H2164" s="103" t="s">
        <v>2917</v>
      </c>
      <c r="I2164" s="30" t="e">
        <f>VLOOKUP(H2164,'合同高级查询数据-4月返'!A:A,1,FALSE)</f>
        <v>#N/A</v>
      </c>
      <c r="J2164" s="110" t="s">
        <v>69</v>
      </c>
      <c r="K2164" s="154" t="s">
        <v>2926</v>
      </c>
      <c r="L2164" s="293"/>
      <c r="M2164" s="113"/>
      <c r="N2164" s="146">
        <v>44593</v>
      </c>
      <c r="O2164" s="146" t="s">
        <v>71</v>
      </c>
      <c r="P2164" s="294">
        <v>1357.36</v>
      </c>
      <c r="Q2164" s="295">
        <v>2</v>
      </c>
      <c r="R2164" s="130">
        <f t="shared" ref="R2164:R2166" si="59">ROUND(P2164*Q2164,2)</f>
        <v>2714.72</v>
      </c>
      <c r="S2164" s="127">
        <v>202304</v>
      </c>
      <c r="T2164" s="297" t="s">
        <v>2927</v>
      </c>
      <c r="U2164" s="153"/>
      <c r="V2164" s="296"/>
      <c r="W2164" s="296"/>
      <c r="X2164" s="131"/>
      <c r="Y2164" s="131"/>
    </row>
    <row r="2165" s="86" customFormat="1" customHeight="1" spans="1:25">
      <c r="A2165" s="154" t="s">
        <v>61</v>
      </c>
      <c r="B2165" s="135" t="s">
        <v>62</v>
      </c>
      <c r="C2165" s="292" t="s">
        <v>63</v>
      </c>
      <c r="D2165" s="11" t="s">
        <v>75</v>
      </c>
      <c r="E2165" s="153" t="s">
        <v>2632</v>
      </c>
      <c r="F2165" s="154" t="s">
        <v>2633</v>
      </c>
      <c r="G2165" s="110" t="s">
        <v>67</v>
      </c>
      <c r="H2165" s="103" t="s">
        <v>2917</v>
      </c>
      <c r="I2165" s="30" t="e">
        <f>VLOOKUP(H2165,'合同高级查询数据-4月返'!A:A,1,FALSE)</f>
        <v>#N/A</v>
      </c>
      <c r="J2165" s="110" t="s">
        <v>69</v>
      </c>
      <c r="K2165" s="154" t="s">
        <v>2928</v>
      </c>
      <c r="L2165" s="293"/>
      <c r="M2165" s="113"/>
      <c r="N2165" s="146">
        <v>44593</v>
      </c>
      <c r="O2165" s="146" t="s">
        <v>71</v>
      </c>
      <c r="P2165" s="294">
        <v>339.34</v>
      </c>
      <c r="Q2165" s="295">
        <v>167</v>
      </c>
      <c r="R2165" s="130">
        <f t="shared" si="59"/>
        <v>56669.78</v>
      </c>
      <c r="S2165" s="127">
        <v>202304</v>
      </c>
      <c r="T2165" s="297" t="s">
        <v>2929</v>
      </c>
      <c r="U2165" s="153"/>
      <c r="V2165" s="296"/>
      <c r="W2165" s="296"/>
      <c r="X2165" s="131"/>
      <c r="Y2165" s="131"/>
    </row>
    <row r="2166" s="86" customFormat="1" customHeight="1" spans="1:25">
      <c r="A2166" s="154" t="s">
        <v>61</v>
      </c>
      <c r="B2166" s="135" t="s">
        <v>62</v>
      </c>
      <c r="C2166" s="292" t="s">
        <v>63</v>
      </c>
      <c r="D2166" s="11" t="s">
        <v>75</v>
      </c>
      <c r="E2166" s="153" t="s">
        <v>2632</v>
      </c>
      <c r="F2166" s="154" t="s">
        <v>2633</v>
      </c>
      <c r="G2166" s="110" t="s">
        <v>67</v>
      </c>
      <c r="H2166" s="103" t="s">
        <v>2917</v>
      </c>
      <c r="I2166" s="30" t="e">
        <f>VLOOKUP(H2166,'合同高级查询数据-4月返'!A:A,1,FALSE)</f>
        <v>#N/A</v>
      </c>
      <c r="J2166" s="110" t="s">
        <v>69</v>
      </c>
      <c r="K2166" s="154" t="s">
        <v>2930</v>
      </c>
      <c r="L2166" s="293"/>
      <c r="M2166" s="113"/>
      <c r="N2166" s="146">
        <v>44593</v>
      </c>
      <c r="O2166" s="146" t="s">
        <v>71</v>
      </c>
      <c r="P2166" s="294">
        <v>1357.36</v>
      </c>
      <c r="Q2166" s="295">
        <v>2</v>
      </c>
      <c r="R2166" s="130">
        <f t="shared" si="59"/>
        <v>2714.72</v>
      </c>
      <c r="S2166" s="127">
        <v>202304</v>
      </c>
      <c r="T2166" s="297" t="s">
        <v>2931</v>
      </c>
      <c r="U2166" s="153"/>
      <c r="V2166" s="296"/>
      <c r="W2166" s="296"/>
      <c r="X2166" s="131"/>
      <c r="Y2166" s="131"/>
    </row>
    <row r="2167" s="86" customFormat="1" customHeight="1" spans="1:25">
      <c r="A2167" s="154" t="s">
        <v>61</v>
      </c>
      <c r="B2167" s="135" t="s">
        <v>62</v>
      </c>
      <c r="C2167" s="292" t="s">
        <v>63</v>
      </c>
      <c r="D2167" s="11" t="s">
        <v>75</v>
      </c>
      <c r="E2167" s="153" t="s">
        <v>2632</v>
      </c>
      <c r="F2167" s="154" t="s">
        <v>2633</v>
      </c>
      <c r="G2167" s="110" t="s">
        <v>67</v>
      </c>
      <c r="H2167" s="103" t="s">
        <v>2932</v>
      </c>
      <c r="I2167" s="30" t="e">
        <f>VLOOKUP(H2167,'合同高级查询数据-4月返'!A:A,1,FALSE)</f>
        <v>#N/A</v>
      </c>
      <c r="J2167" s="110" t="s">
        <v>69</v>
      </c>
      <c r="K2167" s="154" t="s">
        <v>2933</v>
      </c>
      <c r="L2167" s="293"/>
      <c r="M2167" s="113"/>
      <c r="N2167" s="146">
        <v>44939</v>
      </c>
      <c r="O2167" s="146" t="s">
        <v>2383</v>
      </c>
      <c r="P2167" s="294">
        <v>422.746393537219</v>
      </c>
      <c r="Q2167" s="295">
        <v>69.32</v>
      </c>
      <c r="R2167" s="130">
        <f>ROUND(P2167*Q2167,2)-0.02</f>
        <v>29304.76</v>
      </c>
      <c r="S2167" s="127">
        <v>202304</v>
      </c>
      <c r="T2167" s="297" t="s">
        <v>2933</v>
      </c>
      <c r="U2167" s="153"/>
      <c r="V2167" s="296"/>
      <c r="W2167" s="296"/>
      <c r="X2167" s="131"/>
      <c r="Y2167" s="131"/>
    </row>
    <row r="2168" s="86" customFormat="1" customHeight="1" spans="1:25">
      <c r="A2168" s="154" t="s">
        <v>61</v>
      </c>
      <c r="B2168" s="135" t="s">
        <v>62</v>
      </c>
      <c r="C2168" s="292" t="s">
        <v>63</v>
      </c>
      <c r="D2168" s="11" t="s">
        <v>75</v>
      </c>
      <c r="E2168" s="153" t="s">
        <v>2632</v>
      </c>
      <c r="F2168" s="154" t="s">
        <v>2633</v>
      </c>
      <c r="G2168" s="110" t="s">
        <v>67</v>
      </c>
      <c r="H2168" s="103" t="s">
        <v>2932</v>
      </c>
      <c r="I2168" s="30" t="e">
        <f>VLOOKUP(H2168,'合同高级查询数据-4月返'!A:A,1,FALSE)</f>
        <v>#N/A</v>
      </c>
      <c r="J2168" s="110" t="s">
        <v>69</v>
      </c>
      <c r="K2168" s="154" t="s">
        <v>2934</v>
      </c>
      <c r="L2168" s="293"/>
      <c r="M2168" s="113"/>
      <c r="N2168" s="146">
        <v>44939</v>
      </c>
      <c r="O2168" s="146" t="s">
        <v>2383</v>
      </c>
      <c r="P2168" s="294">
        <v>422.746393537219</v>
      </c>
      <c r="Q2168" s="295">
        <v>31</v>
      </c>
      <c r="R2168" s="130">
        <f t="shared" ref="R2168:R2204" si="60">ROUND(P2168*Q2168,2)</f>
        <v>13105.14</v>
      </c>
      <c r="S2168" s="127">
        <v>202304</v>
      </c>
      <c r="T2168" s="297" t="s">
        <v>2934</v>
      </c>
      <c r="U2168" s="153"/>
      <c r="V2168" s="296"/>
      <c r="W2168" s="296"/>
      <c r="X2168" s="131"/>
      <c r="Y2168" s="131"/>
    </row>
    <row r="2169" s="86" customFormat="1" customHeight="1" spans="1:25">
      <c r="A2169" s="154" t="s">
        <v>61</v>
      </c>
      <c r="B2169" s="135" t="s">
        <v>62</v>
      </c>
      <c r="C2169" s="292" t="s">
        <v>63</v>
      </c>
      <c r="D2169" s="11" t="s">
        <v>75</v>
      </c>
      <c r="E2169" s="153" t="s">
        <v>2632</v>
      </c>
      <c r="F2169" s="154" t="s">
        <v>2633</v>
      </c>
      <c r="G2169" s="110" t="s">
        <v>67</v>
      </c>
      <c r="H2169" s="103" t="s">
        <v>2932</v>
      </c>
      <c r="I2169" s="30" t="e">
        <f>VLOOKUP(H2169,'合同高级查询数据-4月返'!A:A,1,FALSE)</f>
        <v>#N/A</v>
      </c>
      <c r="J2169" s="110" t="s">
        <v>69</v>
      </c>
      <c r="K2169" s="154" t="s">
        <v>2935</v>
      </c>
      <c r="L2169" s="293"/>
      <c r="M2169" s="113"/>
      <c r="N2169" s="146">
        <v>45017</v>
      </c>
      <c r="O2169" s="146" t="s">
        <v>2383</v>
      </c>
      <c r="P2169" s="294">
        <v>422.746393537219</v>
      </c>
      <c r="Q2169" s="295">
        <v>31</v>
      </c>
      <c r="R2169" s="130">
        <f t="shared" si="60"/>
        <v>13105.14</v>
      </c>
      <c r="S2169" s="127">
        <v>202304</v>
      </c>
      <c r="T2169" s="297" t="s">
        <v>2935</v>
      </c>
      <c r="U2169" s="153"/>
      <c r="V2169" s="296"/>
      <c r="W2169" s="296"/>
      <c r="X2169" s="131"/>
      <c r="Y2169" s="131"/>
    </row>
    <row r="2170" s="86" customFormat="1" customHeight="1" spans="1:25">
      <c r="A2170" s="154" t="s">
        <v>61</v>
      </c>
      <c r="B2170" s="135" t="s">
        <v>62</v>
      </c>
      <c r="C2170" s="292" t="s">
        <v>63</v>
      </c>
      <c r="D2170" s="11" t="s">
        <v>75</v>
      </c>
      <c r="E2170" s="153" t="s">
        <v>2632</v>
      </c>
      <c r="F2170" s="154" t="s">
        <v>2633</v>
      </c>
      <c r="G2170" s="110" t="s">
        <v>67</v>
      </c>
      <c r="H2170" s="103" t="s">
        <v>2932</v>
      </c>
      <c r="I2170" s="30" t="e">
        <f>VLOOKUP(H2170,'合同高级查询数据-4月返'!A:A,1,FALSE)</f>
        <v>#N/A</v>
      </c>
      <c r="J2170" s="110" t="s">
        <v>69</v>
      </c>
      <c r="K2170" s="154" t="s">
        <v>2936</v>
      </c>
      <c r="L2170" s="293"/>
      <c r="M2170" s="113"/>
      <c r="N2170" s="146">
        <v>45017</v>
      </c>
      <c r="O2170" s="146" t="s">
        <v>2383</v>
      </c>
      <c r="P2170" s="294">
        <v>422.746393537219</v>
      </c>
      <c r="Q2170" s="295">
        <v>31</v>
      </c>
      <c r="R2170" s="130">
        <f t="shared" si="60"/>
        <v>13105.14</v>
      </c>
      <c r="S2170" s="127">
        <v>202304</v>
      </c>
      <c r="T2170" s="297" t="s">
        <v>2936</v>
      </c>
      <c r="U2170" s="153"/>
      <c r="V2170" s="296"/>
      <c r="W2170" s="296"/>
      <c r="X2170" s="131"/>
      <c r="Y2170" s="131"/>
    </row>
    <row r="2171" s="86" customFormat="1" customHeight="1" spans="1:25">
      <c r="A2171" s="154" t="s">
        <v>61</v>
      </c>
      <c r="B2171" s="135" t="s">
        <v>62</v>
      </c>
      <c r="C2171" s="292" t="s">
        <v>63</v>
      </c>
      <c r="D2171" s="11" t="s">
        <v>75</v>
      </c>
      <c r="E2171" s="153" t="s">
        <v>2632</v>
      </c>
      <c r="F2171" s="154" t="s">
        <v>2633</v>
      </c>
      <c r="G2171" s="110" t="s">
        <v>67</v>
      </c>
      <c r="H2171" s="103" t="s">
        <v>2932</v>
      </c>
      <c r="I2171" s="30" t="e">
        <f>VLOOKUP(H2171,'合同高级查询数据-4月返'!A:A,1,FALSE)</f>
        <v>#N/A</v>
      </c>
      <c r="J2171" s="110" t="s">
        <v>69</v>
      </c>
      <c r="K2171" s="154" t="s">
        <v>2937</v>
      </c>
      <c r="L2171" s="293"/>
      <c r="M2171" s="113"/>
      <c r="N2171" s="146">
        <v>44927</v>
      </c>
      <c r="O2171" s="146" t="s">
        <v>71</v>
      </c>
      <c r="P2171" s="294">
        <v>422.746371371371</v>
      </c>
      <c r="Q2171" s="295">
        <v>79.92</v>
      </c>
      <c r="R2171" s="130">
        <f t="shared" si="60"/>
        <v>33785.89</v>
      </c>
      <c r="S2171" s="127">
        <v>202304</v>
      </c>
      <c r="T2171" s="297" t="s">
        <v>2937</v>
      </c>
      <c r="U2171" s="153"/>
      <c r="V2171" s="296"/>
      <c r="W2171" s="296"/>
      <c r="X2171" s="131"/>
      <c r="Y2171" s="131"/>
    </row>
    <row r="2172" s="86" customFormat="1" customHeight="1" spans="1:25">
      <c r="A2172" s="154" t="s">
        <v>61</v>
      </c>
      <c r="B2172" s="135" t="s">
        <v>62</v>
      </c>
      <c r="C2172" s="292" t="s">
        <v>63</v>
      </c>
      <c r="D2172" s="11" t="s">
        <v>75</v>
      </c>
      <c r="E2172" s="153" t="s">
        <v>2632</v>
      </c>
      <c r="F2172" s="154" t="s">
        <v>2633</v>
      </c>
      <c r="G2172" s="110" t="s">
        <v>67</v>
      </c>
      <c r="H2172" s="103" t="s">
        <v>2932</v>
      </c>
      <c r="I2172" s="30" t="e">
        <f>VLOOKUP(H2172,'合同高级查询数据-4月返'!A:A,1,FALSE)</f>
        <v>#N/A</v>
      </c>
      <c r="J2172" s="110" t="s">
        <v>69</v>
      </c>
      <c r="K2172" s="154" t="s">
        <v>2938</v>
      </c>
      <c r="L2172" s="293"/>
      <c r="M2172" s="113"/>
      <c r="N2172" s="146">
        <v>44927</v>
      </c>
      <c r="O2172" s="146" t="s">
        <v>71</v>
      </c>
      <c r="P2172" s="294">
        <v>422.746308724832</v>
      </c>
      <c r="Q2172" s="295">
        <v>81.95</v>
      </c>
      <c r="R2172" s="130">
        <f t="shared" si="60"/>
        <v>34644.06</v>
      </c>
      <c r="S2172" s="127">
        <v>202304</v>
      </c>
      <c r="T2172" s="297" t="s">
        <v>2938</v>
      </c>
      <c r="U2172" s="153"/>
      <c r="V2172" s="296"/>
      <c r="W2172" s="296"/>
      <c r="X2172" s="131"/>
      <c r="Y2172" s="131"/>
    </row>
    <row r="2173" s="85" customFormat="1" customHeight="1" spans="1:25">
      <c r="A2173" s="22" t="s">
        <v>61</v>
      </c>
      <c r="B2173" s="98" t="s">
        <v>62</v>
      </c>
      <c r="C2173" s="22" t="s">
        <v>144</v>
      </c>
      <c r="D2173" s="24" t="s">
        <v>85</v>
      </c>
      <c r="E2173" s="205" t="s">
        <v>2939</v>
      </c>
      <c r="F2173" s="203" t="s">
        <v>2940</v>
      </c>
      <c r="G2173" s="107" t="s">
        <v>88</v>
      </c>
      <c r="H2173" s="99" t="s">
        <v>2941</v>
      </c>
      <c r="I2173" s="46" t="e">
        <f>VLOOKUP(H2173,'合同高级查询数据-4月返'!A:A,1,FALSE)</f>
        <v>#N/A</v>
      </c>
      <c r="J2173" s="178" t="s">
        <v>502</v>
      </c>
      <c r="K2173" s="107" t="s">
        <v>2942</v>
      </c>
      <c r="L2173" s="107"/>
      <c r="M2173" s="49" t="s">
        <v>2943</v>
      </c>
      <c r="N2173" s="73">
        <v>44774</v>
      </c>
      <c r="O2173" s="107" t="s">
        <v>507</v>
      </c>
      <c r="P2173" s="108">
        <v>8200</v>
      </c>
      <c r="Q2173" s="108">
        <v>23</v>
      </c>
      <c r="R2173" s="118">
        <f t="shared" si="60"/>
        <v>188600</v>
      </c>
      <c r="S2173" s="273">
        <v>202304</v>
      </c>
      <c r="T2173" s="119" t="s">
        <v>2944</v>
      </c>
      <c r="U2173" s="106"/>
      <c r="V2173" s="120"/>
      <c r="W2173" s="120"/>
      <c r="X2173" s="116">
        <v>44774</v>
      </c>
      <c r="Y2173" s="116">
        <v>46599</v>
      </c>
    </row>
    <row r="2174" s="85" customFormat="1" customHeight="1" spans="1:25">
      <c r="A2174" s="22" t="s">
        <v>61</v>
      </c>
      <c r="B2174" s="98" t="s">
        <v>62</v>
      </c>
      <c r="C2174" s="22" t="s">
        <v>144</v>
      </c>
      <c r="D2174" s="24" t="s">
        <v>85</v>
      </c>
      <c r="E2174" s="205" t="s">
        <v>2939</v>
      </c>
      <c r="F2174" s="203" t="s">
        <v>2940</v>
      </c>
      <c r="G2174" s="107" t="s">
        <v>88</v>
      </c>
      <c r="H2174" s="99" t="s">
        <v>2941</v>
      </c>
      <c r="I2174" s="46" t="e">
        <f>VLOOKUP(H2174,'合同高级查询数据-4月返'!A:A,1,FALSE)</f>
        <v>#N/A</v>
      </c>
      <c r="J2174" s="178" t="s">
        <v>90</v>
      </c>
      <c r="K2174" s="107" t="s">
        <v>2942</v>
      </c>
      <c r="L2174" s="107"/>
      <c r="M2174" s="49" t="s">
        <v>2943</v>
      </c>
      <c r="N2174" s="73">
        <v>44774</v>
      </c>
      <c r="O2174" s="107" t="s">
        <v>600</v>
      </c>
      <c r="P2174" s="108">
        <v>0</v>
      </c>
      <c r="Q2174" s="108">
        <v>2</v>
      </c>
      <c r="R2174" s="118">
        <f t="shared" si="60"/>
        <v>0</v>
      </c>
      <c r="S2174" s="273">
        <v>202304</v>
      </c>
      <c r="T2174" s="119" t="s">
        <v>2945</v>
      </c>
      <c r="U2174" s="106"/>
      <c r="V2174" s="120"/>
      <c r="W2174" s="120"/>
      <c r="X2174" s="116">
        <v>44774</v>
      </c>
      <c r="Y2174" s="116">
        <v>46599</v>
      </c>
    </row>
    <row r="2175" s="85" customFormat="1" customHeight="1" spans="1:25">
      <c r="A2175" s="22" t="s">
        <v>61</v>
      </c>
      <c r="B2175" s="98" t="s">
        <v>62</v>
      </c>
      <c r="C2175" s="22" t="s">
        <v>144</v>
      </c>
      <c r="D2175" s="24" t="s">
        <v>85</v>
      </c>
      <c r="E2175" s="205" t="s">
        <v>2939</v>
      </c>
      <c r="F2175" s="203" t="s">
        <v>2940</v>
      </c>
      <c r="G2175" s="107" t="s">
        <v>88</v>
      </c>
      <c r="H2175" s="99" t="s">
        <v>2941</v>
      </c>
      <c r="I2175" s="46" t="e">
        <f>VLOOKUP(H2175,'合同高级查询数据-4月返'!A:A,1,FALSE)</f>
        <v>#N/A</v>
      </c>
      <c r="J2175" s="178" t="s">
        <v>502</v>
      </c>
      <c r="K2175" s="107" t="s">
        <v>2942</v>
      </c>
      <c r="L2175" s="107"/>
      <c r="M2175" s="49" t="s">
        <v>2943</v>
      </c>
      <c r="N2175" s="73">
        <v>44774</v>
      </c>
      <c r="O2175" s="107" t="s">
        <v>503</v>
      </c>
      <c r="P2175" s="108">
        <v>4100</v>
      </c>
      <c r="Q2175" s="108">
        <v>1</v>
      </c>
      <c r="R2175" s="118">
        <f t="shared" si="60"/>
        <v>4100</v>
      </c>
      <c r="S2175" s="273">
        <v>202304</v>
      </c>
      <c r="T2175" s="119" t="s">
        <v>2946</v>
      </c>
      <c r="U2175" s="106"/>
      <c r="V2175" s="120"/>
      <c r="W2175" s="120"/>
      <c r="X2175" s="116">
        <v>44774</v>
      </c>
      <c r="Y2175" s="116">
        <v>46599</v>
      </c>
    </row>
    <row r="2176" s="85" customFormat="1" customHeight="1" spans="1:25">
      <c r="A2176" s="22" t="s">
        <v>61</v>
      </c>
      <c r="B2176" s="98" t="s">
        <v>62</v>
      </c>
      <c r="C2176" s="22" t="s">
        <v>144</v>
      </c>
      <c r="D2176" s="24" t="s">
        <v>85</v>
      </c>
      <c r="E2176" s="205" t="s">
        <v>2939</v>
      </c>
      <c r="F2176" s="203" t="s">
        <v>2940</v>
      </c>
      <c r="G2176" s="107" t="s">
        <v>88</v>
      </c>
      <c r="H2176" s="99" t="s">
        <v>2941</v>
      </c>
      <c r="I2176" s="46" t="e">
        <f>VLOOKUP(H2176,'合同高级查询数据-4月返'!A:A,1,FALSE)</f>
        <v>#N/A</v>
      </c>
      <c r="J2176" s="178" t="s">
        <v>502</v>
      </c>
      <c r="K2176" s="107" t="s">
        <v>2942</v>
      </c>
      <c r="L2176" s="107"/>
      <c r="M2176" s="49" t="s">
        <v>2943</v>
      </c>
      <c r="N2176" s="73">
        <v>44781</v>
      </c>
      <c r="O2176" s="107" t="s">
        <v>507</v>
      </c>
      <c r="P2176" s="108">
        <v>8200</v>
      </c>
      <c r="Q2176" s="108">
        <f>38-12</f>
        <v>26</v>
      </c>
      <c r="R2176" s="118">
        <f t="shared" si="60"/>
        <v>213200</v>
      </c>
      <c r="S2176" s="273">
        <v>202304</v>
      </c>
      <c r="T2176" s="119" t="s">
        <v>2947</v>
      </c>
      <c r="U2176" s="106"/>
      <c r="V2176" s="120"/>
      <c r="W2176" s="120"/>
      <c r="X2176" s="116">
        <v>44774</v>
      </c>
      <c r="Y2176" s="116">
        <v>46599</v>
      </c>
    </row>
    <row r="2177" s="85" customFormat="1" customHeight="1" spans="1:25">
      <c r="A2177" s="22" t="s">
        <v>61</v>
      </c>
      <c r="B2177" s="98" t="s">
        <v>62</v>
      </c>
      <c r="C2177" s="22" t="s">
        <v>144</v>
      </c>
      <c r="D2177" s="24" t="s">
        <v>85</v>
      </c>
      <c r="E2177" s="205" t="s">
        <v>2939</v>
      </c>
      <c r="F2177" s="203" t="s">
        <v>2940</v>
      </c>
      <c r="G2177" s="107" t="s">
        <v>88</v>
      </c>
      <c r="H2177" s="99" t="s">
        <v>2941</v>
      </c>
      <c r="I2177" s="46" t="e">
        <f>VLOOKUP(H2177,'合同高级查询数据-4月返'!A:A,1,FALSE)</f>
        <v>#N/A</v>
      </c>
      <c r="J2177" s="178" t="s">
        <v>502</v>
      </c>
      <c r="K2177" s="107" t="s">
        <v>2942</v>
      </c>
      <c r="L2177" s="107"/>
      <c r="M2177" s="49" t="s">
        <v>2943</v>
      </c>
      <c r="N2177" s="73">
        <v>44781</v>
      </c>
      <c r="O2177" s="107" t="s">
        <v>606</v>
      </c>
      <c r="P2177" s="108">
        <v>15841</v>
      </c>
      <c r="Q2177" s="108">
        <v>12</v>
      </c>
      <c r="R2177" s="118">
        <f t="shared" si="60"/>
        <v>190092</v>
      </c>
      <c r="S2177" s="273">
        <v>202304</v>
      </c>
      <c r="T2177" s="119" t="s">
        <v>2948</v>
      </c>
      <c r="U2177" s="106"/>
      <c r="V2177" s="120"/>
      <c r="W2177" s="120"/>
      <c r="X2177" s="116">
        <v>44774</v>
      </c>
      <c r="Y2177" s="116">
        <v>46599</v>
      </c>
    </row>
    <row r="2178" s="85" customFormat="1" customHeight="1" spans="1:25">
      <c r="A2178" s="22" t="s">
        <v>61</v>
      </c>
      <c r="B2178" s="98" t="s">
        <v>62</v>
      </c>
      <c r="C2178" s="22" t="s">
        <v>144</v>
      </c>
      <c r="D2178" s="24" t="s">
        <v>85</v>
      </c>
      <c r="E2178" s="205" t="s">
        <v>2939</v>
      </c>
      <c r="F2178" s="203" t="s">
        <v>2940</v>
      </c>
      <c r="G2178" s="107" t="s">
        <v>88</v>
      </c>
      <c r="H2178" s="99" t="s">
        <v>2941</v>
      </c>
      <c r="I2178" s="46" t="e">
        <f>VLOOKUP(H2178,'合同高级查询数据-4月返'!A:A,1,FALSE)</f>
        <v>#N/A</v>
      </c>
      <c r="J2178" s="178" t="s">
        <v>502</v>
      </c>
      <c r="K2178" s="107" t="s">
        <v>2942</v>
      </c>
      <c r="L2178" s="107"/>
      <c r="M2178" s="49" t="s">
        <v>2943</v>
      </c>
      <c r="N2178" s="73">
        <v>44788</v>
      </c>
      <c r="O2178" s="107" t="s">
        <v>507</v>
      </c>
      <c r="P2178" s="108">
        <v>8200</v>
      </c>
      <c r="Q2178" s="108">
        <v>8</v>
      </c>
      <c r="R2178" s="118">
        <f t="shared" si="60"/>
        <v>65600</v>
      </c>
      <c r="S2178" s="273">
        <v>202304</v>
      </c>
      <c r="T2178" s="119" t="s">
        <v>2949</v>
      </c>
      <c r="U2178" s="106"/>
      <c r="V2178" s="120"/>
      <c r="W2178" s="120"/>
      <c r="X2178" s="116">
        <v>44774</v>
      </c>
      <c r="Y2178" s="116">
        <v>46599</v>
      </c>
    </row>
    <row r="2179" s="85" customFormat="1" customHeight="1" spans="1:25">
      <c r="A2179" s="22" t="s">
        <v>61</v>
      </c>
      <c r="B2179" s="98" t="s">
        <v>62</v>
      </c>
      <c r="C2179" s="22" t="s">
        <v>144</v>
      </c>
      <c r="D2179" s="24" t="s">
        <v>85</v>
      </c>
      <c r="E2179" s="205" t="s">
        <v>2939</v>
      </c>
      <c r="F2179" s="203" t="s">
        <v>2940</v>
      </c>
      <c r="G2179" s="107" t="s">
        <v>88</v>
      </c>
      <c r="H2179" s="99" t="s">
        <v>2941</v>
      </c>
      <c r="I2179" s="46" t="e">
        <f>VLOOKUP(H2179,'合同高级查询数据-4月返'!A:A,1,FALSE)</f>
        <v>#N/A</v>
      </c>
      <c r="J2179" s="178" t="s">
        <v>502</v>
      </c>
      <c r="K2179" s="107" t="s">
        <v>2942</v>
      </c>
      <c r="L2179" s="107"/>
      <c r="M2179" s="49" t="s">
        <v>2943</v>
      </c>
      <c r="N2179" s="73">
        <v>44791</v>
      </c>
      <c r="O2179" s="107" t="s">
        <v>507</v>
      </c>
      <c r="P2179" s="108">
        <v>8200</v>
      </c>
      <c r="Q2179" s="108">
        <v>20</v>
      </c>
      <c r="R2179" s="118">
        <f t="shared" si="60"/>
        <v>164000</v>
      </c>
      <c r="S2179" s="273">
        <v>202304</v>
      </c>
      <c r="T2179" s="119" t="s">
        <v>2950</v>
      </c>
      <c r="U2179" s="106"/>
      <c r="V2179" s="120"/>
      <c r="W2179" s="120"/>
      <c r="X2179" s="116">
        <v>44774</v>
      </c>
      <c r="Y2179" s="116">
        <v>46599</v>
      </c>
    </row>
    <row r="2180" s="85" customFormat="1" customHeight="1" spans="1:25">
      <c r="A2180" s="22" t="s">
        <v>61</v>
      </c>
      <c r="B2180" s="98" t="s">
        <v>62</v>
      </c>
      <c r="C2180" s="22" t="s">
        <v>144</v>
      </c>
      <c r="D2180" s="24" t="s">
        <v>85</v>
      </c>
      <c r="E2180" s="205" t="s">
        <v>2939</v>
      </c>
      <c r="F2180" s="203" t="s">
        <v>2940</v>
      </c>
      <c r="G2180" s="107" t="s">
        <v>88</v>
      </c>
      <c r="H2180" s="99" t="s">
        <v>2941</v>
      </c>
      <c r="I2180" s="46" t="e">
        <f>VLOOKUP(H2180,'合同高级查询数据-4月返'!A:A,1,FALSE)</f>
        <v>#N/A</v>
      </c>
      <c r="J2180" s="25" t="s">
        <v>90</v>
      </c>
      <c r="K2180" s="107" t="s">
        <v>2942</v>
      </c>
      <c r="L2180" s="107"/>
      <c r="M2180" s="49" t="s">
        <v>2943</v>
      </c>
      <c r="N2180" s="73">
        <v>44825</v>
      </c>
      <c r="O2180" s="107" t="s">
        <v>507</v>
      </c>
      <c r="P2180" s="108">
        <v>8200</v>
      </c>
      <c r="Q2180" s="108">
        <v>5</v>
      </c>
      <c r="R2180" s="118">
        <f t="shared" si="60"/>
        <v>41000</v>
      </c>
      <c r="S2180" s="273">
        <v>202304</v>
      </c>
      <c r="T2180" s="119" t="s">
        <v>2951</v>
      </c>
      <c r="U2180" s="106"/>
      <c r="V2180" s="120"/>
      <c r="W2180" s="120"/>
      <c r="X2180" s="116">
        <v>44774</v>
      </c>
      <c r="Y2180" s="116">
        <v>46599</v>
      </c>
    </row>
    <row r="2181" s="85" customFormat="1" customHeight="1" spans="1:25">
      <c r="A2181" s="22" t="s">
        <v>61</v>
      </c>
      <c r="B2181" s="98" t="s">
        <v>62</v>
      </c>
      <c r="C2181" s="22" t="s">
        <v>144</v>
      </c>
      <c r="D2181" s="24" t="s">
        <v>85</v>
      </c>
      <c r="E2181" s="205" t="s">
        <v>2939</v>
      </c>
      <c r="F2181" s="203" t="s">
        <v>2940</v>
      </c>
      <c r="G2181" s="107" t="s">
        <v>88</v>
      </c>
      <c r="H2181" s="99" t="s">
        <v>2941</v>
      </c>
      <c r="I2181" s="46" t="e">
        <f>VLOOKUP(H2181,'合同高级查询数据-4月返'!A:A,1,FALSE)</f>
        <v>#N/A</v>
      </c>
      <c r="J2181" s="25" t="s">
        <v>90</v>
      </c>
      <c r="K2181" s="107" t="s">
        <v>2942</v>
      </c>
      <c r="L2181" s="107"/>
      <c r="M2181" s="49" t="s">
        <v>2943</v>
      </c>
      <c r="N2181" s="73">
        <v>44843</v>
      </c>
      <c r="O2181" s="107" t="s">
        <v>507</v>
      </c>
      <c r="P2181" s="108">
        <v>8200</v>
      </c>
      <c r="Q2181" s="108">
        <v>2</v>
      </c>
      <c r="R2181" s="118">
        <f t="shared" si="60"/>
        <v>16400</v>
      </c>
      <c r="S2181" s="273">
        <v>202304</v>
      </c>
      <c r="T2181" s="119" t="s">
        <v>2952</v>
      </c>
      <c r="U2181" s="106"/>
      <c r="V2181" s="120"/>
      <c r="W2181" s="120"/>
      <c r="X2181" s="116">
        <v>44774</v>
      </c>
      <c r="Y2181" s="116">
        <v>46599</v>
      </c>
    </row>
    <row r="2182" s="85" customFormat="1" customHeight="1" spans="1:25">
      <c r="A2182" s="22" t="s">
        <v>61</v>
      </c>
      <c r="B2182" s="98" t="s">
        <v>62</v>
      </c>
      <c r="C2182" s="22" t="s">
        <v>144</v>
      </c>
      <c r="D2182" s="24" t="s">
        <v>85</v>
      </c>
      <c r="E2182" s="205" t="s">
        <v>2939</v>
      </c>
      <c r="F2182" s="203" t="s">
        <v>2940</v>
      </c>
      <c r="G2182" s="107" t="s">
        <v>88</v>
      </c>
      <c r="H2182" s="99" t="s">
        <v>2941</v>
      </c>
      <c r="I2182" s="46" t="e">
        <f>VLOOKUP(H2182,'合同高级查询数据-4月返'!A:A,1,FALSE)</f>
        <v>#N/A</v>
      </c>
      <c r="J2182" s="25" t="s">
        <v>90</v>
      </c>
      <c r="K2182" s="107" t="s">
        <v>2942</v>
      </c>
      <c r="L2182" s="107"/>
      <c r="M2182" s="49" t="s">
        <v>2943</v>
      </c>
      <c r="N2182" s="73">
        <v>44845</v>
      </c>
      <c r="O2182" s="107" t="s">
        <v>507</v>
      </c>
      <c r="P2182" s="108">
        <v>8200</v>
      </c>
      <c r="Q2182" s="108">
        <v>4</v>
      </c>
      <c r="R2182" s="118">
        <f t="shared" si="60"/>
        <v>32800</v>
      </c>
      <c r="S2182" s="273">
        <v>202304</v>
      </c>
      <c r="T2182" s="119" t="s">
        <v>2953</v>
      </c>
      <c r="U2182" s="106"/>
      <c r="V2182" s="120"/>
      <c r="W2182" s="120"/>
      <c r="X2182" s="116">
        <v>44774</v>
      </c>
      <c r="Y2182" s="116">
        <v>46599</v>
      </c>
    </row>
    <row r="2183" s="85" customFormat="1" customHeight="1" spans="1:25">
      <c r="A2183" s="22" t="s">
        <v>61</v>
      </c>
      <c r="B2183" s="98" t="s">
        <v>62</v>
      </c>
      <c r="C2183" s="22" t="s">
        <v>144</v>
      </c>
      <c r="D2183" s="24" t="s">
        <v>85</v>
      </c>
      <c r="E2183" s="205" t="s">
        <v>2939</v>
      </c>
      <c r="F2183" s="203" t="s">
        <v>2940</v>
      </c>
      <c r="G2183" s="107" t="s">
        <v>88</v>
      </c>
      <c r="H2183" s="99" t="s">
        <v>2941</v>
      </c>
      <c r="I2183" s="46" t="e">
        <f>VLOOKUP(H2183,'合同高级查询数据-4月返'!A:A,1,FALSE)</f>
        <v>#N/A</v>
      </c>
      <c r="J2183" s="25" t="s">
        <v>90</v>
      </c>
      <c r="K2183" s="107" t="s">
        <v>2942</v>
      </c>
      <c r="L2183" s="107"/>
      <c r="M2183" s="49" t="s">
        <v>2943</v>
      </c>
      <c r="N2183" s="73">
        <v>44858</v>
      </c>
      <c r="O2183" s="107" t="s">
        <v>507</v>
      </c>
      <c r="P2183" s="108">
        <v>8200</v>
      </c>
      <c r="Q2183" s="108">
        <v>2</v>
      </c>
      <c r="R2183" s="118">
        <f t="shared" si="60"/>
        <v>16400</v>
      </c>
      <c r="S2183" s="273">
        <v>202304</v>
      </c>
      <c r="T2183" s="119" t="s">
        <v>2954</v>
      </c>
      <c r="U2183" s="106"/>
      <c r="V2183" s="120"/>
      <c r="W2183" s="120"/>
      <c r="X2183" s="116">
        <v>44774</v>
      </c>
      <c r="Y2183" s="116">
        <v>46599</v>
      </c>
    </row>
    <row r="2184" s="85" customFormat="1" customHeight="1" spans="1:25">
      <c r="A2184" s="22" t="s">
        <v>61</v>
      </c>
      <c r="B2184" s="98" t="s">
        <v>62</v>
      </c>
      <c r="C2184" s="22" t="s">
        <v>144</v>
      </c>
      <c r="D2184" s="24" t="s">
        <v>85</v>
      </c>
      <c r="E2184" s="205" t="s">
        <v>2939</v>
      </c>
      <c r="F2184" s="203" t="s">
        <v>2940</v>
      </c>
      <c r="G2184" s="107" t="s">
        <v>88</v>
      </c>
      <c r="H2184" s="99" t="s">
        <v>2941</v>
      </c>
      <c r="I2184" s="46" t="e">
        <f>VLOOKUP(H2184,'合同高级查询数据-4月返'!A:A,1,FALSE)</f>
        <v>#N/A</v>
      </c>
      <c r="J2184" s="25" t="s">
        <v>90</v>
      </c>
      <c r="K2184" s="107" t="s">
        <v>2942</v>
      </c>
      <c r="L2184" s="107"/>
      <c r="M2184" s="49" t="s">
        <v>2943</v>
      </c>
      <c r="N2184" s="73">
        <v>44865</v>
      </c>
      <c r="O2184" s="107" t="s">
        <v>507</v>
      </c>
      <c r="P2184" s="108">
        <v>8200</v>
      </c>
      <c r="Q2184" s="108">
        <v>6</v>
      </c>
      <c r="R2184" s="118">
        <f t="shared" si="60"/>
        <v>49200</v>
      </c>
      <c r="S2184" s="273">
        <v>202304</v>
      </c>
      <c r="T2184" s="119" t="s">
        <v>2955</v>
      </c>
      <c r="U2184" s="106"/>
      <c r="V2184" s="120"/>
      <c r="W2184" s="120"/>
      <c r="X2184" s="116">
        <v>44774</v>
      </c>
      <c r="Y2184" s="116">
        <v>46599</v>
      </c>
    </row>
    <row r="2185" s="85" customFormat="1" customHeight="1" spans="1:25">
      <c r="A2185" s="22" t="s">
        <v>61</v>
      </c>
      <c r="B2185" s="98" t="s">
        <v>62</v>
      </c>
      <c r="C2185" s="22" t="s">
        <v>144</v>
      </c>
      <c r="D2185" s="24" t="s">
        <v>85</v>
      </c>
      <c r="E2185" s="205" t="s">
        <v>2939</v>
      </c>
      <c r="F2185" s="203" t="s">
        <v>2940</v>
      </c>
      <c r="G2185" s="107" t="s">
        <v>88</v>
      </c>
      <c r="H2185" s="99" t="s">
        <v>2941</v>
      </c>
      <c r="I2185" s="46" t="e">
        <f>VLOOKUP(H2185,'合同高级查询数据-4月返'!A:A,1,FALSE)</f>
        <v>#N/A</v>
      </c>
      <c r="J2185" s="25" t="s">
        <v>90</v>
      </c>
      <c r="K2185" s="107" t="s">
        <v>2942</v>
      </c>
      <c r="L2185" s="107"/>
      <c r="M2185" s="49" t="s">
        <v>2943</v>
      </c>
      <c r="N2185" s="73">
        <v>44831</v>
      </c>
      <c r="O2185" s="107" t="s">
        <v>507</v>
      </c>
      <c r="P2185" s="108">
        <v>8200</v>
      </c>
      <c r="Q2185" s="108">
        <v>12</v>
      </c>
      <c r="R2185" s="118">
        <f t="shared" si="60"/>
        <v>98400</v>
      </c>
      <c r="S2185" s="273">
        <v>202304</v>
      </c>
      <c r="T2185" s="186" t="s">
        <v>2956</v>
      </c>
      <c r="U2185" s="106"/>
      <c r="V2185" s="120"/>
      <c r="W2185" s="120"/>
      <c r="X2185" s="116">
        <v>44774</v>
      </c>
      <c r="Y2185" s="116">
        <v>46599</v>
      </c>
    </row>
    <row r="2186" s="85" customFormat="1" customHeight="1" spans="1:25">
      <c r="A2186" s="22" t="s">
        <v>61</v>
      </c>
      <c r="B2186" s="98" t="s">
        <v>62</v>
      </c>
      <c r="C2186" s="22" t="s">
        <v>144</v>
      </c>
      <c r="D2186" s="24" t="s">
        <v>85</v>
      </c>
      <c r="E2186" s="205" t="s">
        <v>2939</v>
      </c>
      <c r="F2186" s="203" t="s">
        <v>2940</v>
      </c>
      <c r="G2186" s="107" t="s">
        <v>88</v>
      </c>
      <c r="H2186" s="99" t="s">
        <v>2941</v>
      </c>
      <c r="I2186" s="46" t="e">
        <f>VLOOKUP(H2186,'合同高级查询数据-4月返'!A:A,1,FALSE)</f>
        <v>#N/A</v>
      </c>
      <c r="J2186" s="25" t="s">
        <v>90</v>
      </c>
      <c r="K2186" s="107" t="s">
        <v>2942</v>
      </c>
      <c r="L2186" s="107"/>
      <c r="M2186" s="49" t="s">
        <v>2943</v>
      </c>
      <c r="N2186" s="73">
        <v>44866</v>
      </c>
      <c r="O2186" s="107" t="s">
        <v>507</v>
      </c>
      <c r="P2186" s="108">
        <v>8200</v>
      </c>
      <c r="Q2186" s="108">
        <v>2</v>
      </c>
      <c r="R2186" s="118">
        <f t="shared" si="60"/>
        <v>16400</v>
      </c>
      <c r="S2186" s="273">
        <v>202304</v>
      </c>
      <c r="T2186" s="186" t="s">
        <v>2957</v>
      </c>
      <c r="U2186" s="106"/>
      <c r="V2186" s="120"/>
      <c r="W2186" s="120"/>
      <c r="X2186" s="116">
        <v>44774</v>
      </c>
      <c r="Y2186" s="116">
        <v>46599</v>
      </c>
    </row>
    <row r="2187" s="85" customFormat="1" customHeight="1" spans="1:25">
      <c r="A2187" s="22" t="s">
        <v>61</v>
      </c>
      <c r="B2187" s="98" t="s">
        <v>62</v>
      </c>
      <c r="C2187" s="22" t="s">
        <v>144</v>
      </c>
      <c r="D2187" s="24" t="s">
        <v>85</v>
      </c>
      <c r="E2187" s="205" t="s">
        <v>2939</v>
      </c>
      <c r="F2187" s="203" t="s">
        <v>2940</v>
      </c>
      <c r="G2187" s="107" t="s">
        <v>88</v>
      </c>
      <c r="H2187" s="99" t="s">
        <v>2941</v>
      </c>
      <c r="I2187" s="46" t="e">
        <f>VLOOKUP(H2187,'合同高级查询数据-4月返'!A:A,1,FALSE)</f>
        <v>#N/A</v>
      </c>
      <c r="J2187" s="25" t="s">
        <v>90</v>
      </c>
      <c r="K2187" s="107" t="s">
        <v>2942</v>
      </c>
      <c r="L2187" s="107"/>
      <c r="M2187" s="49" t="s">
        <v>2943</v>
      </c>
      <c r="N2187" s="73">
        <v>44872</v>
      </c>
      <c r="O2187" s="107" t="s">
        <v>507</v>
      </c>
      <c r="P2187" s="108">
        <v>8200</v>
      </c>
      <c r="Q2187" s="108">
        <v>4</v>
      </c>
      <c r="R2187" s="118">
        <f t="shared" si="60"/>
        <v>32800</v>
      </c>
      <c r="S2187" s="273">
        <v>202304</v>
      </c>
      <c r="T2187" s="186" t="s">
        <v>2958</v>
      </c>
      <c r="U2187" s="106"/>
      <c r="V2187" s="120"/>
      <c r="W2187" s="120"/>
      <c r="X2187" s="116">
        <v>44774</v>
      </c>
      <c r="Y2187" s="116">
        <v>46599</v>
      </c>
    </row>
    <row r="2188" s="85" customFormat="1" customHeight="1" spans="1:25">
      <c r="A2188" s="22" t="s">
        <v>61</v>
      </c>
      <c r="B2188" s="98" t="s">
        <v>62</v>
      </c>
      <c r="C2188" s="22" t="s">
        <v>144</v>
      </c>
      <c r="D2188" s="24" t="s">
        <v>85</v>
      </c>
      <c r="E2188" s="205" t="s">
        <v>2939</v>
      </c>
      <c r="F2188" s="203" t="s">
        <v>2940</v>
      </c>
      <c r="G2188" s="107" t="s">
        <v>88</v>
      </c>
      <c r="H2188" s="99" t="s">
        <v>2941</v>
      </c>
      <c r="I2188" s="46" t="e">
        <f>VLOOKUP(H2188,'合同高级查询数据-4月返'!A:A,1,FALSE)</f>
        <v>#N/A</v>
      </c>
      <c r="J2188" s="25" t="s">
        <v>90</v>
      </c>
      <c r="K2188" s="107" t="s">
        <v>2942</v>
      </c>
      <c r="L2188" s="107"/>
      <c r="M2188" s="49" t="s">
        <v>2943</v>
      </c>
      <c r="N2188" s="73">
        <v>44880</v>
      </c>
      <c r="O2188" s="107" t="s">
        <v>507</v>
      </c>
      <c r="P2188" s="108">
        <v>8200</v>
      </c>
      <c r="Q2188" s="108">
        <v>8</v>
      </c>
      <c r="R2188" s="118">
        <f t="shared" si="60"/>
        <v>65600</v>
      </c>
      <c r="S2188" s="273">
        <v>202304</v>
      </c>
      <c r="T2188" s="186" t="s">
        <v>2959</v>
      </c>
      <c r="U2188" s="106"/>
      <c r="V2188" s="120"/>
      <c r="W2188" s="120"/>
      <c r="X2188" s="116">
        <v>44774</v>
      </c>
      <c r="Y2188" s="116">
        <v>46599</v>
      </c>
    </row>
    <row r="2189" s="85" customFormat="1" customHeight="1" spans="1:25">
      <c r="A2189" s="22" t="s">
        <v>61</v>
      </c>
      <c r="B2189" s="98" t="s">
        <v>62</v>
      </c>
      <c r="C2189" s="22" t="s">
        <v>144</v>
      </c>
      <c r="D2189" s="24" t="s">
        <v>85</v>
      </c>
      <c r="E2189" s="205" t="s">
        <v>2939</v>
      </c>
      <c r="F2189" s="203" t="s">
        <v>2940</v>
      </c>
      <c r="G2189" s="107" t="s">
        <v>88</v>
      </c>
      <c r="H2189" s="99" t="s">
        <v>2941</v>
      </c>
      <c r="I2189" s="46" t="e">
        <f>VLOOKUP(H2189,'合同高级查询数据-4月返'!A:A,1,FALSE)</f>
        <v>#N/A</v>
      </c>
      <c r="J2189" s="25" t="s">
        <v>90</v>
      </c>
      <c r="K2189" s="107" t="s">
        <v>2942</v>
      </c>
      <c r="L2189" s="107"/>
      <c r="M2189" s="49" t="s">
        <v>2960</v>
      </c>
      <c r="N2189" s="73">
        <v>44914</v>
      </c>
      <c r="O2189" s="107" t="s">
        <v>507</v>
      </c>
      <c r="P2189" s="108">
        <v>8200</v>
      </c>
      <c r="Q2189" s="108">
        <v>22</v>
      </c>
      <c r="R2189" s="118">
        <f t="shared" si="60"/>
        <v>180400</v>
      </c>
      <c r="S2189" s="273">
        <v>202304</v>
      </c>
      <c r="T2189" s="186" t="s">
        <v>2961</v>
      </c>
      <c r="U2189" s="106"/>
      <c r="V2189" s="120"/>
      <c r="W2189" s="120"/>
      <c r="X2189" s="116">
        <v>44774</v>
      </c>
      <c r="Y2189" s="116">
        <v>46599</v>
      </c>
    </row>
    <row r="2190" s="85" customFormat="1" customHeight="1" spans="1:25">
      <c r="A2190" s="22" t="s">
        <v>61</v>
      </c>
      <c r="B2190" s="98" t="s">
        <v>62</v>
      </c>
      <c r="C2190" s="22" t="s">
        <v>144</v>
      </c>
      <c r="D2190" s="24" t="s">
        <v>85</v>
      </c>
      <c r="E2190" s="205" t="s">
        <v>2939</v>
      </c>
      <c r="F2190" s="203" t="s">
        <v>2940</v>
      </c>
      <c r="G2190" s="107" t="s">
        <v>88</v>
      </c>
      <c r="H2190" s="99" t="s">
        <v>2941</v>
      </c>
      <c r="I2190" s="46" t="e">
        <f>VLOOKUP(H2190,'合同高级查询数据-4月返'!A:A,1,FALSE)</f>
        <v>#N/A</v>
      </c>
      <c r="J2190" s="25" t="s">
        <v>90</v>
      </c>
      <c r="K2190" s="107" t="s">
        <v>2942</v>
      </c>
      <c r="L2190" s="107"/>
      <c r="M2190" s="49" t="s">
        <v>2960</v>
      </c>
      <c r="N2190" s="73">
        <v>44921</v>
      </c>
      <c r="O2190" s="107" t="s">
        <v>507</v>
      </c>
      <c r="P2190" s="108">
        <v>8200</v>
      </c>
      <c r="Q2190" s="108">
        <v>10</v>
      </c>
      <c r="R2190" s="118">
        <f t="shared" si="60"/>
        <v>82000</v>
      </c>
      <c r="S2190" s="273">
        <v>202304</v>
      </c>
      <c r="T2190" s="186" t="s">
        <v>2962</v>
      </c>
      <c r="U2190" s="106"/>
      <c r="V2190" s="120"/>
      <c r="W2190" s="120"/>
      <c r="X2190" s="116">
        <v>44774</v>
      </c>
      <c r="Y2190" s="116">
        <v>46599</v>
      </c>
    </row>
    <row r="2191" s="85" customFormat="1" customHeight="1" spans="1:25">
      <c r="A2191" s="22" t="s">
        <v>61</v>
      </c>
      <c r="B2191" s="98" t="s">
        <v>62</v>
      </c>
      <c r="C2191" s="22" t="s">
        <v>144</v>
      </c>
      <c r="D2191" s="24" t="s">
        <v>85</v>
      </c>
      <c r="E2191" s="205" t="s">
        <v>2939</v>
      </c>
      <c r="F2191" s="203" t="s">
        <v>2940</v>
      </c>
      <c r="G2191" s="107" t="s">
        <v>88</v>
      </c>
      <c r="H2191" s="99" t="s">
        <v>2941</v>
      </c>
      <c r="I2191" s="46" t="e">
        <f>VLOOKUP(H2191,'合同高级查询数据-4月返'!A:A,1,FALSE)</f>
        <v>#N/A</v>
      </c>
      <c r="J2191" s="25" t="s">
        <v>90</v>
      </c>
      <c r="K2191" s="107" t="s">
        <v>2942</v>
      </c>
      <c r="L2191" s="107"/>
      <c r="M2191" s="49" t="s">
        <v>2943</v>
      </c>
      <c r="N2191" s="73">
        <v>44936</v>
      </c>
      <c r="O2191" s="107" t="s">
        <v>507</v>
      </c>
      <c r="P2191" s="108">
        <v>8200</v>
      </c>
      <c r="Q2191" s="108">
        <v>18</v>
      </c>
      <c r="R2191" s="118">
        <f t="shared" si="60"/>
        <v>147600</v>
      </c>
      <c r="S2191" s="273">
        <v>202304</v>
      </c>
      <c r="T2191" s="186" t="s">
        <v>2963</v>
      </c>
      <c r="U2191" s="106"/>
      <c r="V2191" s="120"/>
      <c r="W2191" s="120"/>
      <c r="X2191" s="116">
        <v>44774</v>
      </c>
      <c r="Y2191" s="116">
        <v>46599</v>
      </c>
    </row>
    <row r="2192" s="85" customFormat="1" customHeight="1" spans="1:25">
      <c r="A2192" s="22" t="s">
        <v>61</v>
      </c>
      <c r="B2192" s="98" t="s">
        <v>62</v>
      </c>
      <c r="C2192" s="22" t="s">
        <v>144</v>
      </c>
      <c r="D2192" s="24" t="s">
        <v>85</v>
      </c>
      <c r="E2192" s="205" t="s">
        <v>2939</v>
      </c>
      <c r="F2192" s="203" t="s">
        <v>2940</v>
      </c>
      <c r="G2192" s="107" t="s">
        <v>88</v>
      </c>
      <c r="H2192" s="99" t="s">
        <v>2941</v>
      </c>
      <c r="I2192" s="46" t="e">
        <f>VLOOKUP(H2192,'合同高级查询数据-4月返'!A:A,1,FALSE)</f>
        <v>#N/A</v>
      </c>
      <c r="J2192" s="25" t="s">
        <v>90</v>
      </c>
      <c r="K2192" s="107" t="s">
        <v>2942</v>
      </c>
      <c r="L2192" s="107"/>
      <c r="M2192" s="49" t="s">
        <v>2943</v>
      </c>
      <c r="N2192" s="73">
        <v>44955</v>
      </c>
      <c r="O2192" s="107" t="s">
        <v>503</v>
      </c>
      <c r="P2192" s="108">
        <v>4100</v>
      </c>
      <c r="Q2192" s="108">
        <v>1</v>
      </c>
      <c r="R2192" s="118">
        <f t="shared" si="60"/>
        <v>4100</v>
      </c>
      <c r="S2192" s="273">
        <v>202304</v>
      </c>
      <c r="T2192" s="186" t="s">
        <v>2964</v>
      </c>
      <c r="U2192" s="106"/>
      <c r="V2192" s="120"/>
      <c r="W2192" s="120"/>
      <c r="X2192" s="116">
        <v>44774</v>
      </c>
      <c r="Y2192" s="116">
        <v>46599</v>
      </c>
    </row>
    <row r="2193" s="85" customFormat="1" customHeight="1" spans="1:25">
      <c r="A2193" s="22" t="s">
        <v>61</v>
      </c>
      <c r="B2193" s="98" t="s">
        <v>62</v>
      </c>
      <c r="C2193" s="22" t="s">
        <v>144</v>
      </c>
      <c r="D2193" s="24" t="s">
        <v>85</v>
      </c>
      <c r="E2193" s="205" t="s">
        <v>2939</v>
      </c>
      <c r="F2193" s="203" t="s">
        <v>2940</v>
      </c>
      <c r="G2193" s="107" t="s">
        <v>88</v>
      </c>
      <c r="H2193" s="99" t="s">
        <v>2941</v>
      </c>
      <c r="I2193" s="46" t="e">
        <f>VLOOKUP(H2193,'合同高级查询数据-4月返'!A:A,1,FALSE)</f>
        <v>#N/A</v>
      </c>
      <c r="J2193" s="25" t="s">
        <v>90</v>
      </c>
      <c r="K2193" s="107" t="s">
        <v>2942</v>
      </c>
      <c r="L2193" s="107"/>
      <c r="M2193" s="49" t="s">
        <v>2943</v>
      </c>
      <c r="N2193" s="73">
        <v>44956</v>
      </c>
      <c r="O2193" s="107" t="s">
        <v>507</v>
      </c>
      <c r="P2193" s="108">
        <v>8200</v>
      </c>
      <c r="Q2193" s="108">
        <v>16</v>
      </c>
      <c r="R2193" s="118">
        <f t="shared" si="60"/>
        <v>131200</v>
      </c>
      <c r="S2193" s="273">
        <v>202304</v>
      </c>
      <c r="T2193" s="186" t="s">
        <v>2965</v>
      </c>
      <c r="U2193" s="106"/>
      <c r="V2193" s="120"/>
      <c r="W2193" s="120"/>
      <c r="X2193" s="116">
        <v>44774</v>
      </c>
      <c r="Y2193" s="116">
        <v>46599</v>
      </c>
    </row>
    <row r="2194" s="85" customFormat="1" customHeight="1" spans="1:25">
      <c r="A2194" s="22" t="s">
        <v>61</v>
      </c>
      <c r="B2194" s="98" t="s">
        <v>62</v>
      </c>
      <c r="C2194" s="22" t="s">
        <v>144</v>
      </c>
      <c r="D2194" s="24" t="s">
        <v>85</v>
      </c>
      <c r="E2194" s="205" t="s">
        <v>2939</v>
      </c>
      <c r="F2194" s="203" t="s">
        <v>2940</v>
      </c>
      <c r="G2194" s="107" t="s">
        <v>88</v>
      </c>
      <c r="H2194" s="99" t="s">
        <v>2941</v>
      </c>
      <c r="I2194" s="46" t="e">
        <f>VLOOKUP(H2194,'合同高级查询数据-4月返'!A:A,1,FALSE)</f>
        <v>#N/A</v>
      </c>
      <c r="J2194" s="25" t="s">
        <v>90</v>
      </c>
      <c r="K2194" s="107" t="s">
        <v>2942</v>
      </c>
      <c r="L2194" s="107"/>
      <c r="M2194" s="49" t="s">
        <v>2943</v>
      </c>
      <c r="N2194" s="73">
        <v>44963</v>
      </c>
      <c r="O2194" s="107" t="s">
        <v>507</v>
      </c>
      <c r="P2194" s="108">
        <v>8200</v>
      </c>
      <c r="Q2194" s="108">
        <v>16</v>
      </c>
      <c r="R2194" s="118">
        <f t="shared" si="60"/>
        <v>131200</v>
      </c>
      <c r="S2194" s="273">
        <v>202304</v>
      </c>
      <c r="T2194" s="186" t="s">
        <v>2966</v>
      </c>
      <c r="U2194" s="106"/>
      <c r="V2194" s="120"/>
      <c r="W2194" s="120"/>
      <c r="X2194" s="116">
        <v>44774</v>
      </c>
      <c r="Y2194" s="116">
        <v>46599</v>
      </c>
    </row>
    <row r="2195" s="85" customFormat="1" customHeight="1" spans="1:25">
      <c r="A2195" s="22" t="s">
        <v>61</v>
      </c>
      <c r="B2195" s="98" t="s">
        <v>62</v>
      </c>
      <c r="C2195" s="22" t="s">
        <v>144</v>
      </c>
      <c r="D2195" s="24" t="s">
        <v>85</v>
      </c>
      <c r="E2195" s="205" t="s">
        <v>2939</v>
      </c>
      <c r="F2195" s="203" t="s">
        <v>2940</v>
      </c>
      <c r="G2195" s="107" t="s">
        <v>88</v>
      </c>
      <c r="H2195" s="99" t="s">
        <v>2941</v>
      </c>
      <c r="I2195" s="46" t="e">
        <f>VLOOKUP(H2195,'合同高级查询数据-4月返'!A:A,1,FALSE)</f>
        <v>#N/A</v>
      </c>
      <c r="J2195" s="25" t="s">
        <v>90</v>
      </c>
      <c r="K2195" s="107" t="s">
        <v>2942</v>
      </c>
      <c r="L2195" s="107"/>
      <c r="M2195" s="49" t="s">
        <v>2943</v>
      </c>
      <c r="N2195" s="73">
        <v>44964</v>
      </c>
      <c r="O2195" s="107" t="s">
        <v>507</v>
      </c>
      <c r="P2195" s="108">
        <v>8200</v>
      </c>
      <c r="Q2195" s="108">
        <v>8</v>
      </c>
      <c r="R2195" s="118">
        <f t="shared" si="60"/>
        <v>65600</v>
      </c>
      <c r="S2195" s="273">
        <v>202304</v>
      </c>
      <c r="T2195" s="186" t="s">
        <v>2967</v>
      </c>
      <c r="U2195" s="106"/>
      <c r="V2195" s="120"/>
      <c r="W2195" s="120"/>
      <c r="X2195" s="116">
        <v>44774</v>
      </c>
      <c r="Y2195" s="116">
        <v>46599</v>
      </c>
    </row>
    <row r="2196" s="85" customFormat="1" customHeight="1" spans="1:25">
      <c r="A2196" s="22" t="s">
        <v>61</v>
      </c>
      <c r="B2196" s="98" t="s">
        <v>62</v>
      </c>
      <c r="C2196" s="22" t="s">
        <v>144</v>
      </c>
      <c r="D2196" s="24" t="s">
        <v>85</v>
      </c>
      <c r="E2196" s="205" t="s">
        <v>2939</v>
      </c>
      <c r="F2196" s="203" t="s">
        <v>2940</v>
      </c>
      <c r="G2196" s="107" t="s">
        <v>88</v>
      </c>
      <c r="H2196" s="99" t="s">
        <v>2941</v>
      </c>
      <c r="I2196" s="46" t="e">
        <f>VLOOKUP(H2196,'合同高级查询数据-4月返'!A:A,1,FALSE)</f>
        <v>#N/A</v>
      </c>
      <c r="J2196" s="25" t="s">
        <v>90</v>
      </c>
      <c r="K2196" s="107" t="s">
        <v>2942</v>
      </c>
      <c r="L2196" s="107"/>
      <c r="M2196" s="49" t="s">
        <v>2943</v>
      </c>
      <c r="N2196" s="73">
        <v>44970</v>
      </c>
      <c r="O2196" s="107" t="s">
        <v>507</v>
      </c>
      <c r="P2196" s="108">
        <v>8200</v>
      </c>
      <c r="Q2196" s="108">
        <v>9</v>
      </c>
      <c r="R2196" s="118">
        <f t="shared" si="60"/>
        <v>73800</v>
      </c>
      <c r="S2196" s="273">
        <v>202304</v>
      </c>
      <c r="T2196" s="186" t="s">
        <v>2968</v>
      </c>
      <c r="U2196" s="106"/>
      <c r="V2196" s="120"/>
      <c r="W2196" s="120"/>
      <c r="X2196" s="116">
        <v>44774</v>
      </c>
      <c r="Y2196" s="116">
        <v>46599</v>
      </c>
    </row>
    <row r="2197" s="85" customFormat="1" customHeight="1" spans="1:25">
      <c r="A2197" s="22" t="s">
        <v>61</v>
      </c>
      <c r="B2197" s="98" t="s">
        <v>62</v>
      </c>
      <c r="C2197" s="22" t="s">
        <v>144</v>
      </c>
      <c r="D2197" s="24" t="s">
        <v>85</v>
      </c>
      <c r="E2197" s="205" t="s">
        <v>2939</v>
      </c>
      <c r="F2197" s="203" t="s">
        <v>2940</v>
      </c>
      <c r="G2197" s="107" t="s">
        <v>88</v>
      </c>
      <c r="H2197" s="99" t="s">
        <v>2941</v>
      </c>
      <c r="I2197" s="46" t="e">
        <f>VLOOKUP(H2197,'合同高级查询数据-4月返'!A:A,1,FALSE)</f>
        <v>#N/A</v>
      </c>
      <c r="J2197" s="25" t="s">
        <v>90</v>
      </c>
      <c r="K2197" s="107" t="s">
        <v>2942</v>
      </c>
      <c r="L2197" s="107"/>
      <c r="M2197" s="49" t="s">
        <v>2943</v>
      </c>
      <c r="N2197" s="73">
        <v>44970</v>
      </c>
      <c r="O2197" s="107" t="s">
        <v>507</v>
      </c>
      <c r="P2197" s="108">
        <v>8200</v>
      </c>
      <c r="Q2197" s="108">
        <v>1</v>
      </c>
      <c r="R2197" s="118">
        <f t="shared" si="60"/>
        <v>8200</v>
      </c>
      <c r="S2197" s="273">
        <v>202304</v>
      </c>
      <c r="T2197" s="186" t="s">
        <v>2969</v>
      </c>
      <c r="U2197" s="106"/>
      <c r="V2197" s="120"/>
      <c r="W2197" s="120"/>
      <c r="X2197" s="116">
        <v>44774</v>
      </c>
      <c r="Y2197" s="116">
        <v>46599</v>
      </c>
    </row>
    <row r="2198" s="85" customFormat="1" customHeight="1" spans="1:25">
      <c r="A2198" s="22" t="s">
        <v>61</v>
      </c>
      <c r="B2198" s="98" t="s">
        <v>62</v>
      </c>
      <c r="C2198" s="22" t="s">
        <v>144</v>
      </c>
      <c r="D2198" s="24" t="s">
        <v>85</v>
      </c>
      <c r="E2198" s="205" t="s">
        <v>2939</v>
      </c>
      <c r="F2198" s="203" t="s">
        <v>2940</v>
      </c>
      <c r="G2198" s="107" t="s">
        <v>88</v>
      </c>
      <c r="H2198" s="99" t="s">
        <v>2941</v>
      </c>
      <c r="I2198" s="46" t="e">
        <f>VLOOKUP(H2198,'合同高级查询数据-4月返'!A:A,1,FALSE)</f>
        <v>#N/A</v>
      </c>
      <c r="J2198" s="25" t="s">
        <v>90</v>
      </c>
      <c r="K2198" s="107" t="s">
        <v>2942</v>
      </c>
      <c r="L2198" s="107"/>
      <c r="M2198" s="49" t="s">
        <v>2943</v>
      </c>
      <c r="N2198" s="73">
        <v>44971</v>
      </c>
      <c r="O2198" s="107" t="s">
        <v>507</v>
      </c>
      <c r="P2198" s="108">
        <v>8200</v>
      </c>
      <c r="Q2198" s="108">
        <v>2</v>
      </c>
      <c r="R2198" s="118">
        <f t="shared" si="60"/>
        <v>16400</v>
      </c>
      <c r="S2198" s="273">
        <v>202304</v>
      </c>
      <c r="T2198" s="186" t="s">
        <v>2970</v>
      </c>
      <c r="U2198" s="106"/>
      <c r="V2198" s="120"/>
      <c r="W2198" s="120"/>
      <c r="X2198" s="116">
        <v>44774</v>
      </c>
      <c r="Y2198" s="116">
        <v>46599</v>
      </c>
    </row>
    <row r="2199" s="85" customFormat="1" customHeight="1" spans="1:25">
      <c r="A2199" s="22" t="s">
        <v>61</v>
      </c>
      <c r="B2199" s="98" t="s">
        <v>62</v>
      </c>
      <c r="C2199" s="22" t="s">
        <v>144</v>
      </c>
      <c r="D2199" s="24" t="s">
        <v>85</v>
      </c>
      <c r="E2199" s="205" t="s">
        <v>2939</v>
      </c>
      <c r="F2199" s="203" t="s">
        <v>2940</v>
      </c>
      <c r="G2199" s="107" t="s">
        <v>88</v>
      </c>
      <c r="H2199" s="99" t="s">
        <v>2941</v>
      </c>
      <c r="I2199" s="46" t="e">
        <f>VLOOKUP(H2199,'合同高级查询数据-4月返'!A:A,1,FALSE)</f>
        <v>#N/A</v>
      </c>
      <c r="J2199" s="25" t="s">
        <v>90</v>
      </c>
      <c r="K2199" s="107" t="s">
        <v>2942</v>
      </c>
      <c r="L2199" s="107"/>
      <c r="M2199" s="49" t="s">
        <v>2943</v>
      </c>
      <c r="N2199" s="73">
        <v>44977</v>
      </c>
      <c r="O2199" s="107" t="s">
        <v>507</v>
      </c>
      <c r="P2199" s="108">
        <v>8200</v>
      </c>
      <c r="Q2199" s="108">
        <v>2</v>
      </c>
      <c r="R2199" s="118">
        <f t="shared" si="60"/>
        <v>16400</v>
      </c>
      <c r="S2199" s="273">
        <v>202304</v>
      </c>
      <c r="T2199" s="186" t="s">
        <v>2971</v>
      </c>
      <c r="U2199" s="106"/>
      <c r="V2199" s="120"/>
      <c r="W2199" s="120"/>
      <c r="X2199" s="116">
        <v>44774</v>
      </c>
      <c r="Y2199" s="116">
        <v>46599</v>
      </c>
    </row>
    <row r="2200" s="85" customFormat="1" customHeight="1" spans="1:25">
      <c r="A2200" s="22" t="s">
        <v>61</v>
      </c>
      <c r="B2200" s="98" t="s">
        <v>62</v>
      </c>
      <c r="C2200" s="22" t="s">
        <v>144</v>
      </c>
      <c r="D2200" s="24" t="s">
        <v>85</v>
      </c>
      <c r="E2200" s="205" t="s">
        <v>2939</v>
      </c>
      <c r="F2200" s="203" t="s">
        <v>2940</v>
      </c>
      <c r="G2200" s="107" t="s">
        <v>88</v>
      </c>
      <c r="H2200" s="99" t="s">
        <v>2941</v>
      </c>
      <c r="I2200" s="46" t="e">
        <f>VLOOKUP(H2200,'合同高级查询数据-4月返'!A:A,1,FALSE)</f>
        <v>#N/A</v>
      </c>
      <c r="J2200" s="25" t="s">
        <v>90</v>
      </c>
      <c r="K2200" s="107" t="s">
        <v>2942</v>
      </c>
      <c r="L2200" s="107"/>
      <c r="M2200" s="49" t="s">
        <v>2943</v>
      </c>
      <c r="N2200" s="73">
        <v>44979</v>
      </c>
      <c r="O2200" s="107" t="s">
        <v>507</v>
      </c>
      <c r="P2200" s="108">
        <v>8200</v>
      </c>
      <c r="Q2200" s="108">
        <v>2</v>
      </c>
      <c r="R2200" s="118">
        <f t="shared" si="60"/>
        <v>16400</v>
      </c>
      <c r="S2200" s="273">
        <v>202304</v>
      </c>
      <c r="T2200" s="186" t="s">
        <v>2972</v>
      </c>
      <c r="U2200" s="106"/>
      <c r="V2200" s="120"/>
      <c r="W2200" s="120"/>
      <c r="X2200" s="116">
        <v>44774</v>
      </c>
      <c r="Y2200" s="116">
        <v>46599</v>
      </c>
    </row>
    <row r="2201" s="85" customFormat="1" customHeight="1" spans="1:25">
      <c r="A2201" s="22" t="s">
        <v>61</v>
      </c>
      <c r="B2201" s="98" t="s">
        <v>62</v>
      </c>
      <c r="C2201" s="22" t="s">
        <v>144</v>
      </c>
      <c r="D2201" s="24" t="s">
        <v>85</v>
      </c>
      <c r="E2201" s="205" t="s">
        <v>2939</v>
      </c>
      <c r="F2201" s="203" t="s">
        <v>2940</v>
      </c>
      <c r="G2201" s="107" t="s">
        <v>88</v>
      </c>
      <c r="H2201" s="99" t="s">
        <v>2941</v>
      </c>
      <c r="I2201" s="46" t="e">
        <f>VLOOKUP(H2201,'合同高级查询数据-4月返'!A:A,1,FALSE)</f>
        <v>#N/A</v>
      </c>
      <c r="J2201" s="25" t="s">
        <v>90</v>
      </c>
      <c r="K2201" s="107" t="s">
        <v>2942</v>
      </c>
      <c r="L2201" s="107"/>
      <c r="M2201" s="49" t="s">
        <v>2943</v>
      </c>
      <c r="N2201" s="73">
        <v>44985</v>
      </c>
      <c r="O2201" s="107" t="s">
        <v>507</v>
      </c>
      <c r="P2201" s="108">
        <v>8200</v>
      </c>
      <c r="Q2201" s="108">
        <v>2</v>
      </c>
      <c r="R2201" s="118">
        <f t="shared" si="60"/>
        <v>16400</v>
      </c>
      <c r="S2201" s="273">
        <v>202304</v>
      </c>
      <c r="T2201" s="186" t="s">
        <v>2973</v>
      </c>
      <c r="U2201" s="106"/>
      <c r="V2201" s="120"/>
      <c r="W2201" s="120"/>
      <c r="X2201" s="116">
        <v>44774</v>
      </c>
      <c r="Y2201" s="116">
        <v>46599</v>
      </c>
    </row>
    <row r="2202" s="85" customFormat="1" customHeight="1" spans="1:25">
      <c r="A2202" s="22" t="s">
        <v>61</v>
      </c>
      <c r="B2202" s="98" t="s">
        <v>62</v>
      </c>
      <c r="C2202" s="22" t="s">
        <v>144</v>
      </c>
      <c r="D2202" s="24" t="s">
        <v>85</v>
      </c>
      <c r="E2202" s="205" t="s">
        <v>2939</v>
      </c>
      <c r="F2202" s="203" t="s">
        <v>2940</v>
      </c>
      <c r="G2202" s="107" t="s">
        <v>88</v>
      </c>
      <c r="H2202" s="99" t="s">
        <v>2941</v>
      </c>
      <c r="I2202" s="46" t="e">
        <f>VLOOKUP(H2202,'合同高级查询数据-4月返'!A:A,1,FALSE)</f>
        <v>#N/A</v>
      </c>
      <c r="J2202" s="25" t="s">
        <v>90</v>
      </c>
      <c r="K2202" s="107" t="s">
        <v>2942</v>
      </c>
      <c r="L2202" s="107"/>
      <c r="M2202" s="49" t="s">
        <v>2943</v>
      </c>
      <c r="N2202" s="73">
        <v>45006</v>
      </c>
      <c r="O2202" s="107" t="s">
        <v>507</v>
      </c>
      <c r="P2202" s="108">
        <v>8200</v>
      </c>
      <c r="Q2202" s="108">
        <v>2</v>
      </c>
      <c r="R2202" s="118">
        <f t="shared" si="60"/>
        <v>16400</v>
      </c>
      <c r="S2202" s="273">
        <v>202304</v>
      </c>
      <c r="T2202" s="186" t="s">
        <v>2974</v>
      </c>
      <c r="U2202" s="106"/>
      <c r="V2202" s="120"/>
      <c r="W2202" s="120"/>
      <c r="X2202" s="116">
        <v>44774</v>
      </c>
      <c r="Y2202" s="116">
        <v>46599</v>
      </c>
    </row>
    <row r="2203" s="85" customFormat="1" customHeight="1" spans="1:25">
      <c r="A2203" s="22" t="s">
        <v>61</v>
      </c>
      <c r="B2203" s="98" t="s">
        <v>62</v>
      </c>
      <c r="C2203" s="22" t="s">
        <v>144</v>
      </c>
      <c r="D2203" s="24" t="s">
        <v>85</v>
      </c>
      <c r="E2203" s="205" t="s">
        <v>2939</v>
      </c>
      <c r="F2203" s="203" t="s">
        <v>2940</v>
      </c>
      <c r="G2203" s="107" t="s">
        <v>88</v>
      </c>
      <c r="H2203" s="99" t="s">
        <v>2941</v>
      </c>
      <c r="I2203" s="46" t="e">
        <f>VLOOKUP(H2203,'合同高级查询数据-4月返'!A:A,1,FALSE)</f>
        <v>#N/A</v>
      </c>
      <c r="J2203" s="25" t="s">
        <v>90</v>
      </c>
      <c r="K2203" s="107" t="s">
        <v>2942</v>
      </c>
      <c r="L2203" s="107"/>
      <c r="M2203" s="49" t="s">
        <v>2943</v>
      </c>
      <c r="N2203" s="73">
        <v>45012</v>
      </c>
      <c r="O2203" s="107" t="s">
        <v>507</v>
      </c>
      <c r="P2203" s="108">
        <v>8200</v>
      </c>
      <c r="Q2203" s="108">
        <v>10</v>
      </c>
      <c r="R2203" s="118">
        <f t="shared" si="60"/>
        <v>82000</v>
      </c>
      <c r="S2203" s="273">
        <v>202304</v>
      </c>
      <c r="T2203" s="186" t="s">
        <v>2975</v>
      </c>
      <c r="U2203" s="106"/>
      <c r="V2203" s="120"/>
      <c r="W2203" s="120"/>
      <c r="X2203" s="116">
        <v>44774</v>
      </c>
      <c r="Y2203" s="116">
        <v>46599</v>
      </c>
    </row>
    <row r="2204" s="85" customFormat="1" customHeight="1" spans="1:25">
      <c r="A2204" s="22" t="s">
        <v>61</v>
      </c>
      <c r="B2204" s="98" t="s">
        <v>62</v>
      </c>
      <c r="C2204" s="22" t="s">
        <v>144</v>
      </c>
      <c r="D2204" s="24" t="s">
        <v>85</v>
      </c>
      <c r="E2204" s="205" t="s">
        <v>2939</v>
      </c>
      <c r="F2204" s="203" t="s">
        <v>2940</v>
      </c>
      <c r="G2204" s="107" t="s">
        <v>88</v>
      </c>
      <c r="H2204" s="99" t="s">
        <v>2941</v>
      </c>
      <c r="I2204" s="46" t="e">
        <f>VLOOKUP(H2204,'合同高级查询数据-4月返'!A:A,1,FALSE)</f>
        <v>#N/A</v>
      </c>
      <c r="J2204" s="25" t="s">
        <v>90</v>
      </c>
      <c r="K2204" s="107" t="s">
        <v>2942</v>
      </c>
      <c r="L2204" s="107"/>
      <c r="M2204" s="49" t="s">
        <v>2943</v>
      </c>
      <c r="N2204" s="73">
        <v>45016</v>
      </c>
      <c r="O2204" s="107" t="s">
        <v>507</v>
      </c>
      <c r="P2204" s="108">
        <v>8200</v>
      </c>
      <c r="Q2204" s="108">
        <v>2</v>
      </c>
      <c r="R2204" s="118">
        <f t="shared" si="60"/>
        <v>16400</v>
      </c>
      <c r="S2204" s="273">
        <v>202304</v>
      </c>
      <c r="T2204" s="186" t="s">
        <v>2976</v>
      </c>
      <c r="U2204" s="106"/>
      <c r="V2204" s="120"/>
      <c r="W2204" s="120"/>
      <c r="X2204" s="116">
        <v>44774</v>
      </c>
      <c r="Y2204" s="116">
        <v>46599</v>
      </c>
    </row>
    <row r="2205" s="85" customFormat="1" customHeight="1" spans="1:25">
      <c r="A2205" s="22" t="s">
        <v>61</v>
      </c>
      <c r="B2205" s="98" t="s">
        <v>62</v>
      </c>
      <c r="C2205" s="22" t="s">
        <v>144</v>
      </c>
      <c r="D2205" s="24" t="s">
        <v>85</v>
      </c>
      <c r="E2205" s="205" t="s">
        <v>2939</v>
      </c>
      <c r="F2205" s="203" t="s">
        <v>2940</v>
      </c>
      <c r="G2205" s="107" t="s">
        <v>88</v>
      </c>
      <c r="H2205" s="99" t="s">
        <v>2941</v>
      </c>
      <c r="I2205" s="46" t="e">
        <f>VLOOKUP(H2205,'合同高级查询数据-4月返'!A:A,1,FALSE)</f>
        <v>#N/A</v>
      </c>
      <c r="J2205" s="25" t="s">
        <v>90</v>
      </c>
      <c r="K2205" s="107" t="s">
        <v>2942</v>
      </c>
      <c r="L2205" s="107"/>
      <c r="M2205" s="49" t="s">
        <v>2943</v>
      </c>
      <c r="N2205" s="73">
        <v>45012</v>
      </c>
      <c r="O2205" s="107" t="s">
        <v>503</v>
      </c>
      <c r="P2205" s="108">
        <v>4100</v>
      </c>
      <c r="Q2205" s="108">
        <v>1</v>
      </c>
      <c r="R2205" s="118">
        <f>ROUND(P2205*Q2205*4/31,2)</f>
        <v>529.03</v>
      </c>
      <c r="S2205" s="273">
        <v>202303</v>
      </c>
      <c r="T2205" s="186" t="s">
        <v>2977</v>
      </c>
      <c r="U2205" s="121"/>
      <c r="V2205" s="301"/>
      <c r="W2205" s="121"/>
      <c r="X2205" s="302">
        <v>44774</v>
      </c>
      <c r="Y2205" s="302">
        <v>46599</v>
      </c>
    </row>
    <row r="2206" s="85" customFormat="1" customHeight="1" spans="1:25">
      <c r="A2206" s="22" t="s">
        <v>61</v>
      </c>
      <c r="B2206" s="98" t="s">
        <v>62</v>
      </c>
      <c r="C2206" s="22" t="s">
        <v>144</v>
      </c>
      <c r="D2206" s="24" t="s">
        <v>85</v>
      </c>
      <c r="E2206" s="205" t="s">
        <v>2939</v>
      </c>
      <c r="F2206" s="203" t="s">
        <v>2940</v>
      </c>
      <c r="G2206" s="107" t="s">
        <v>88</v>
      </c>
      <c r="H2206" s="99" t="s">
        <v>2941</v>
      </c>
      <c r="I2206" s="46" t="e">
        <f>VLOOKUP(H2206,'合同高级查询数据-4月返'!A:A,1,FALSE)</f>
        <v>#N/A</v>
      </c>
      <c r="J2206" s="25" t="s">
        <v>90</v>
      </c>
      <c r="K2206" s="107" t="s">
        <v>2942</v>
      </c>
      <c r="L2206" s="107"/>
      <c r="M2206" s="49" t="s">
        <v>2943</v>
      </c>
      <c r="N2206" s="73">
        <v>45012</v>
      </c>
      <c r="O2206" s="107" t="s">
        <v>503</v>
      </c>
      <c r="P2206" s="108">
        <v>4100</v>
      </c>
      <c r="Q2206" s="108">
        <v>1</v>
      </c>
      <c r="R2206" s="118">
        <f t="shared" ref="R2206:R2217" si="61">ROUND(P2206*Q2206,2)</f>
        <v>4100</v>
      </c>
      <c r="S2206" s="273">
        <v>202304</v>
      </c>
      <c r="T2206" s="186" t="s">
        <v>2978</v>
      </c>
      <c r="U2206" s="121"/>
      <c r="V2206" s="301"/>
      <c r="W2206" s="121"/>
      <c r="X2206" s="302">
        <v>44774</v>
      </c>
      <c r="Y2206" s="302">
        <v>46599</v>
      </c>
    </row>
    <row r="2207" s="86" customFormat="1" customHeight="1" spans="1:25">
      <c r="A2207" s="154" t="s">
        <v>61</v>
      </c>
      <c r="B2207" s="135" t="s">
        <v>62</v>
      </c>
      <c r="C2207" s="292" t="s">
        <v>63</v>
      </c>
      <c r="D2207" s="11" t="s">
        <v>75</v>
      </c>
      <c r="E2207" s="153" t="s">
        <v>2632</v>
      </c>
      <c r="F2207" s="154" t="s">
        <v>2633</v>
      </c>
      <c r="G2207" s="110" t="s">
        <v>67</v>
      </c>
      <c r="H2207" s="103" t="s">
        <v>2932</v>
      </c>
      <c r="I2207" s="30" t="e">
        <f>VLOOKUP(H2207,'合同高级查询数据-4月返'!A:A,1,FALSE)</f>
        <v>#N/A</v>
      </c>
      <c r="J2207" s="110" t="s">
        <v>69</v>
      </c>
      <c r="K2207" s="154" t="s">
        <v>2979</v>
      </c>
      <c r="L2207" s="293"/>
      <c r="M2207" s="113"/>
      <c r="N2207" s="146">
        <v>45017</v>
      </c>
      <c r="O2207" s="146" t="s">
        <v>71</v>
      </c>
      <c r="P2207" s="294">
        <v>342.767276051188</v>
      </c>
      <c r="Q2207" s="295">
        <v>54.7</v>
      </c>
      <c r="R2207" s="130">
        <f t="shared" si="61"/>
        <v>18749.37</v>
      </c>
      <c r="S2207" s="127">
        <v>202304</v>
      </c>
      <c r="T2207" s="297" t="s">
        <v>2979</v>
      </c>
      <c r="U2207" s="153"/>
      <c r="V2207" s="296"/>
      <c r="W2207" s="296"/>
      <c r="X2207" s="131"/>
      <c r="Y2207" s="131"/>
    </row>
    <row r="2208" s="86" customFormat="1" customHeight="1" spans="1:25">
      <c r="A2208" s="154" t="s">
        <v>61</v>
      </c>
      <c r="B2208" s="135" t="s">
        <v>62</v>
      </c>
      <c r="C2208" s="292" t="s">
        <v>63</v>
      </c>
      <c r="D2208" s="11" t="s">
        <v>75</v>
      </c>
      <c r="E2208" s="153" t="s">
        <v>2632</v>
      </c>
      <c r="F2208" s="154" t="s">
        <v>2633</v>
      </c>
      <c r="G2208" s="110" t="s">
        <v>67</v>
      </c>
      <c r="H2208" s="103" t="s">
        <v>2932</v>
      </c>
      <c r="I2208" s="30" t="e">
        <f>VLOOKUP(H2208,'合同高级查询数据-4月返'!A:A,1,FALSE)</f>
        <v>#N/A</v>
      </c>
      <c r="J2208" s="110" t="s">
        <v>69</v>
      </c>
      <c r="K2208" s="154" t="s">
        <v>2980</v>
      </c>
      <c r="L2208" s="293"/>
      <c r="M2208" s="113"/>
      <c r="N2208" s="146">
        <v>45017</v>
      </c>
      <c r="O2208" s="146" t="s">
        <v>71</v>
      </c>
      <c r="P2208" s="294">
        <v>342.767283950617</v>
      </c>
      <c r="Q2208" s="295">
        <v>48.6</v>
      </c>
      <c r="R2208" s="130">
        <f t="shared" si="61"/>
        <v>16658.49</v>
      </c>
      <c r="S2208" s="127">
        <v>202304</v>
      </c>
      <c r="T2208" s="297" t="s">
        <v>2980</v>
      </c>
      <c r="U2208" s="153"/>
      <c r="V2208" s="296"/>
      <c r="W2208" s="296"/>
      <c r="X2208" s="131"/>
      <c r="Y2208" s="131"/>
    </row>
    <row r="2209" s="86" customFormat="1" customHeight="1" spans="1:25">
      <c r="A2209" s="154" t="s">
        <v>61</v>
      </c>
      <c r="B2209" s="135" t="s">
        <v>62</v>
      </c>
      <c r="C2209" s="292" t="s">
        <v>63</v>
      </c>
      <c r="D2209" s="11" t="s">
        <v>75</v>
      </c>
      <c r="E2209" s="153" t="s">
        <v>2632</v>
      </c>
      <c r="F2209" s="154" t="s">
        <v>2633</v>
      </c>
      <c r="G2209" s="110" t="s">
        <v>67</v>
      </c>
      <c r="H2209" s="103" t="s">
        <v>2932</v>
      </c>
      <c r="I2209" s="30" t="e">
        <f>VLOOKUP(H2209,'合同高级查询数据-4月返'!A:A,1,FALSE)</f>
        <v>#N/A</v>
      </c>
      <c r="J2209" s="110" t="s">
        <v>69</v>
      </c>
      <c r="K2209" s="154" t="s">
        <v>2981</v>
      </c>
      <c r="L2209" s="293"/>
      <c r="M2209" s="113"/>
      <c r="N2209" s="146">
        <v>45017</v>
      </c>
      <c r="O2209" s="146" t="s">
        <v>71</v>
      </c>
      <c r="P2209" s="294">
        <v>378.787878787879</v>
      </c>
      <c r="Q2209" s="295">
        <v>13.2</v>
      </c>
      <c r="R2209" s="130">
        <f t="shared" si="61"/>
        <v>5000</v>
      </c>
      <c r="S2209" s="127">
        <v>202304</v>
      </c>
      <c r="T2209" s="297" t="s">
        <v>2981</v>
      </c>
      <c r="U2209" s="153"/>
      <c r="V2209" s="296"/>
      <c r="W2209" s="296"/>
      <c r="X2209" s="131"/>
      <c r="Y2209" s="131"/>
    </row>
    <row r="2210" s="85" customFormat="1" customHeight="1" spans="1:25">
      <c r="A2210" s="98" t="s">
        <v>446</v>
      </c>
      <c r="B2210" s="98" t="s">
        <v>62</v>
      </c>
      <c r="C2210" s="98" t="s">
        <v>238</v>
      </c>
      <c r="D2210" s="98" t="s">
        <v>642</v>
      </c>
      <c r="E2210" s="161" t="s">
        <v>2141</v>
      </c>
      <c r="F2210" s="98" t="s">
        <v>2142</v>
      </c>
      <c r="G2210" s="25" t="s">
        <v>67</v>
      </c>
      <c r="H2210" s="100" t="s">
        <v>2143</v>
      </c>
      <c r="I2210" s="46" t="e">
        <f>VLOOKUP(H2210,'合同高级查询数据-4月返'!A:A,1,FALSE)</f>
        <v>#N/A</v>
      </c>
      <c r="J2210" s="25" t="s">
        <v>69</v>
      </c>
      <c r="K2210" s="160" t="s">
        <v>2155</v>
      </c>
      <c r="L2210" s="179"/>
      <c r="M2210" s="49"/>
      <c r="N2210" s="241">
        <v>45016</v>
      </c>
      <c r="O2210" s="229" t="s">
        <v>71</v>
      </c>
      <c r="P2210" s="207">
        <v>340</v>
      </c>
      <c r="Q2210" s="117">
        <v>-136.7</v>
      </c>
      <c r="R2210" s="118">
        <f t="shared" si="61"/>
        <v>-46478</v>
      </c>
      <c r="S2210" s="115">
        <v>202304</v>
      </c>
      <c r="T2210" s="243" t="s">
        <v>2982</v>
      </c>
      <c r="U2210" s="269"/>
      <c r="V2210" s="165"/>
      <c r="W2210" s="165"/>
      <c r="X2210" s="116">
        <v>44411</v>
      </c>
      <c r="Y2210" s="116">
        <v>45140</v>
      </c>
    </row>
    <row r="2211" s="85" customFormat="1" customHeight="1" spans="1:25">
      <c r="A2211" s="98" t="s">
        <v>446</v>
      </c>
      <c r="B2211" s="98" t="s">
        <v>62</v>
      </c>
      <c r="C2211" s="98" t="s">
        <v>238</v>
      </c>
      <c r="D2211" s="98" t="s">
        <v>642</v>
      </c>
      <c r="E2211" s="161" t="s">
        <v>2141</v>
      </c>
      <c r="F2211" s="98" t="s">
        <v>2142</v>
      </c>
      <c r="G2211" s="25" t="s">
        <v>67</v>
      </c>
      <c r="H2211" s="100" t="s">
        <v>2143</v>
      </c>
      <c r="I2211" s="46" t="e">
        <f>VLOOKUP(H2211,'合同高级查询数据-4月返'!A:A,1,FALSE)</f>
        <v>#N/A</v>
      </c>
      <c r="J2211" s="25" t="s">
        <v>69</v>
      </c>
      <c r="K2211" s="160" t="s">
        <v>2157</v>
      </c>
      <c r="L2211" s="179"/>
      <c r="M2211" s="49"/>
      <c r="N2211" s="241">
        <v>45016</v>
      </c>
      <c r="O2211" s="229" t="s">
        <v>71</v>
      </c>
      <c r="P2211" s="207">
        <v>3500</v>
      </c>
      <c r="Q2211" s="117">
        <v>-1</v>
      </c>
      <c r="R2211" s="118">
        <f t="shared" si="61"/>
        <v>-3500</v>
      </c>
      <c r="S2211" s="115">
        <v>202304</v>
      </c>
      <c r="T2211" s="243" t="s">
        <v>2983</v>
      </c>
      <c r="U2211" s="269"/>
      <c r="V2211" s="165"/>
      <c r="W2211" s="165"/>
      <c r="X2211" s="116">
        <v>44411</v>
      </c>
      <c r="Y2211" s="116">
        <v>45140</v>
      </c>
    </row>
    <row r="2212" s="85" customFormat="1" customHeight="1" spans="1:25">
      <c r="A2212" s="98" t="s">
        <v>446</v>
      </c>
      <c r="B2212" s="98" t="s">
        <v>62</v>
      </c>
      <c r="C2212" s="98" t="s">
        <v>238</v>
      </c>
      <c r="D2212" s="98" t="s">
        <v>642</v>
      </c>
      <c r="E2212" s="161" t="s">
        <v>2141</v>
      </c>
      <c r="F2212" s="98" t="s">
        <v>2142</v>
      </c>
      <c r="G2212" s="25" t="s">
        <v>67</v>
      </c>
      <c r="H2212" s="100" t="s">
        <v>2143</v>
      </c>
      <c r="I2212" s="46" t="e">
        <f>VLOOKUP(H2212,'合同高级查询数据-4月返'!A:A,1,FALSE)</f>
        <v>#N/A</v>
      </c>
      <c r="J2212" s="25" t="s">
        <v>69</v>
      </c>
      <c r="K2212" s="160" t="s">
        <v>2155</v>
      </c>
      <c r="L2212" s="179"/>
      <c r="M2212" s="49"/>
      <c r="N2212" s="241">
        <v>45016</v>
      </c>
      <c r="O2212" s="229" t="s">
        <v>71</v>
      </c>
      <c r="P2212" s="207">
        <v>340</v>
      </c>
      <c r="Q2212" s="117">
        <v>-151.7</v>
      </c>
      <c r="R2212" s="118">
        <f t="shared" si="61"/>
        <v>-51578</v>
      </c>
      <c r="S2212" s="115">
        <v>202304</v>
      </c>
      <c r="T2212" s="243" t="s">
        <v>2984</v>
      </c>
      <c r="U2212" s="269"/>
      <c r="V2212" s="165"/>
      <c r="W2212" s="165"/>
      <c r="X2212" s="116">
        <v>44411</v>
      </c>
      <c r="Y2212" s="116">
        <v>45140</v>
      </c>
    </row>
    <row r="2213" s="85" customFormat="1" customHeight="1" spans="1:25">
      <c r="A2213" s="98" t="s">
        <v>446</v>
      </c>
      <c r="B2213" s="98" t="s">
        <v>62</v>
      </c>
      <c r="C2213" s="98" t="s">
        <v>238</v>
      </c>
      <c r="D2213" s="98" t="s">
        <v>642</v>
      </c>
      <c r="E2213" s="161" t="s">
        <v>2141</v>
      </c>
      <c r="F2213" s="98" t="s">
        <v>2142</v>
      </c>
      <c r="G2213" s="25" t="s">
        <v>67</v>
      </c>
      <c r="H2213" s="100" t="s">
        <v>2143</v>
      </c>
      <c r="I2213" s="46" t="e">
        <f>VLOOKUP(H2213,'合同高级查询数据-4月返'!A:A,1,FALSE)</f>
        <v>#N/A</v>
      </c>
      <c r="J2213" s="25" t="s">
        <v>69</v>
      </c>
      <c r="K2213" s="160" t="s">
        <v>2157</v>
      </c>
      <c r="L2213" s="179"/>
      <c r="M2213" s="49"/>
      <c r="N2213" s="241">
        <v>45016</v>
      </c>
      <c r="O2213" s="229" t="s">
        <v>71</v>
      </c>
      <c r="P2213" s="207">
        <v>3500</v>
      </c>
      <c r="Q2213" s="117">
        <v>-1</v>
      </c>
      <c r="R2213" s="118">
        <f t="shared" si="61"/>
        <v>-3500</v>
      </c>
      <c r="S2213" s="115">
        <v>202304</v>
      </c>
      <c r="T2213" s="243" t="s">
        <v>2985</v>
      </c>
      <c r="U2213" s="269"/>
      <c r="V2213" s="165"/>
      <c r="W2213" s="165"/>
      <c r="X2213" s="116">
        <v>44411</v>
      </c>
      <c r="Y2213" s="116">
        <v>45140</v>
      </c>
    </row>
    <row r="2214" s="85" customFormat="1" customHeight="1" spans="1:25">
      <c r="A2214" s="98" t="s">
        <v>446</v>
      </c>
      <c r="B2214" s="98" t="s">
        <v>62</v>
      </c>
      <c r="C2214" s="98" t="s">
        <v>238</v>
      </c>
      <c r="D2214" s="98" t="s">
        <v>642</v>
      </c>
      <c r="E2214" s="161" t="s">
        <v>2141</v>
      </c>
      <c r="F2214" s="98" t="s">
        <v>2142</v>
      </c>
      <c r="G2214" s="25" t="s">
        <v>67</v>
      </c>
      <c r="H2214" s="100" t="s">
        <v>2143</v>
      </c>
      <c r="I2214" s="46" t="e">
        <f>VLOOKUP(H2214,'合同高级查询数据-4月返'!A:A,1,FALSE)</f>
        <v>#N/A</v>
      </c>
      <c r="J2214" s="25" t="s">
        <v>69</v>
      </c>
      <c r="K2214" s="160" t="s">
        <v>2155</v>
      </c>
      <c r="L2214" s="179"/>
      <c r="M2214" s="49"/>
      <c r="N2214" s="241">
        <v>45016</v>
      </c>
      <c r="O2214" s="229" t="s">
        <v>71</v>
      </c>
      <c r="P2214" s="207">
        <v>340</v>
      </c>
      <c r="Q2214" s="117">
        <v>-181.3</v>
      </c>
      <c r="R2214" s="118">
        <f t="shared" si="61"/>
        <v>-61642</v>
      </c>
      <c r="S2214" s="115">
        <v>202304</v>
      </c>
      <c r="T2214" s="243" t="s">
        <v>2986</v>
      </c>
      <c r="U2214" s="269"/>
      <c r="V2214" s="165"/>
      <c r="W2214" s="165"/>
      <c r="X2214" s="116">
        <v>44411</v>
      </c>
      <c r="Y2214" s="116">
        <v>45140</v>
      </c>
    </row>
    <row r="2215" s="85" customFormat="1" customHeight="1" spans="1:25">
      <c r="A2215" s="98" t="s">
        <v>446</v>
      </c>
      <c r="B2215" s="98" t="s">
        <v>62</v>
      </c>
      <c r="C2215" s="98" t="s">
        <v>238</v>
      </c>
      <c r="D2215" s="98" t="s">
        <v>642</v>
      </c>
      <c r="E2215" s="161" t="s">
        <v>2141</v>
      </c>
      <c r="F2215" s="98" t="s">
        <v>2142</v>
      </c>
      <c r="G2215" s="25" t="s">
        <v>67</v>
      </c>
      <c r="H2215" s="100" t="s">
        <v>2143</v>
      </c>
      <c r="I2215" s="46" t="e">
        <f>VLOOKUP(H2215,'合同高级查询数据-4月返'!A:A,1,FALSE)</f>
        <v>#N/A</v>
      </c>
      <c r="J2215" s="25" t="s">
        <v>69</v>
      </c>
      <c r="K2215" s="160" t="s">
        <v>2157</v>
      </c>
      <c r="L2215" s="179"/>
      <c r="M2215" s="49"/>
      <c r="N2215" s="241">
        <v>45016</v>
      </c>
      <c r="O2215" s="229" t="s">
        <v>71</v>
      </c>
      <c r="P2215" s="207">
        <v>3500</v>
      </c>
      <c r="Q2215" s="117">
        <v>-1</v>
      </c>
      <c r="R2215" s="118">
        <f t="shared" si="61"/>
        <v>-3500</v>
      </c>
      <c r="S2215" s="115">
        <v>202304</v>
      </c>
      <c r="T2215" s="243" t="s">
        <v>2987</v>
      </c>
      <c r="U2215" s="269"/>
      <c r="V2215" s="165"/>
      <c r="W2215" s="165"/>
      <c r="X2215" s="116">
        <v>44411</v>
      </c>
      <c r="Y2215" s="116">
        <v>45140</v>
      </c>
    </row>
    <row r="2216" s="85" customFormat="1" customHeight="1" spans="1:25">
      <c r="A2216" s="98" t="s">
        <v>446</v>
      </c>
      <c r="B2216" s="98" t="s">
        <v>62</v>
      </c>
      <c r="C2216" s="98" t="s">
        <v>238</v>
      </c>
      <c r="D2216" s="98" t="s">
        <v>642</v>
      </c>
      <c r="E2216" s="161" t="s">
        <v>2141</v>
      </c>
      <c r="F2216" s="98" t="s">
        <v>2142</v>
      </c>
      <c r="G2216" s="25" t="s">
        <v>67</v>
      </c>
      <c r="H2216" s="100" t="s">
        <v>2143</v>
      </c>
      <c r="I2216" s="46" t="e">
        <f>VLOOKUP(H2216,'合同高级查询数据-4月返'!A:A,1,FALSE)</f>
        <v>#N/A</v>
      </c>
      <c r="J2216" s="25" t="s">
        <v>69</v>
      </c>
      <c r="K2216" s="160" t="s">
        <v>2155</v>
      </c>
      <c r="L2216" s="179"/>
      <c r="M2216" s="49"/>
      <c r="N2216" s="241">
        <v>45016</v>
      </c>
      <c r="O2216" s="229" t="s">
        <v>71</v>
      </c>
      <c r="P2216" s="207">
        <v>340</v>
      </c>
      <c r="Q2216" s="117">
        <v>-115.5</v>
      </c>
      <c r="R2216" s="118">
        <f t="shared" si="61"/>
        <v>-39270</v>
      </c>
      <c r="S2216" s="115">
        <v>202304</v>
      </c>
      <c r="T2216" s="243" t="s">
        <v>2988</v>
      </c>
      <c r="U2216" s="269"/>
      <c r="V2216" s="165"/>
      <c r="W2216" s="165"/>
      <c r="X2216" s="116">
        <v>44411</v>
      </c>
      <c r="Y2216" s="116">
        <v>45140</v>
      </c>
    </row>
    <row r="2217" s="85" customFormat="1" customHeight="1" spans="1:25">
      <c r="A2217" s="98" t="s">
        <v>446</v>
      </c>
      <c r="B2217" s="98" t="s">
        <v>62</v>
      </c>
      <c r="C2217" s="98" t="s">
        <v>238</v>
      </c>
      <c r="D2217" s="98" t="s">
        <v>642</v>
      </c>
      <c r="E2217" s="161" t="s">
        <v>2141</v>
      </c>
      <c r="F2217" s="98" t="s">
        <v>2142</v>
      </c>
      <c r="G2217" s="25" t="s">
        <v>67</v>
      </c>
      <c r="H2217" s="100" t="s">
        <v>2143</v>
      </c>
      <c r="I2217" s="46" t="e">
        <f>VLOOKUP(H2217,'合同高级查询数据-4月返'!A:A,1,FALSE)</f>
        <v>#N/A</v>
      </c>
      <c r="J2217" s="25" t="s">
        <v>69</v>
      </c>
      <c r="K2217" s="160" t="s">
        <v>2157</v>
      </c>
      <c r="L2217" s="179"/>
      <c r="M2217" s="49"/>
      <c r="N2217" s="241">
        <v>45016</v>
      </c>
      <c r="O2217" s="229" t="s">
        <v>71</v>
      </c>
      <c r="P2217" s="207">
        <v>3500</v>
      </c>
      <c r="Q2217" s="117">
        <v>-1</v>
      </c>
      <c r="R2217" s="118">
        <f t="shared" si="61"/>
        <v>-3500</v>
      </c>
      <c r="S2217" s="115">
        <v>202304</v>
      </c>
      <c r="T2217" s="243" t="s">
        <v>2989</v>
      </c>
      <c r="U2217" s="269"/>
      <c r="V2217" s="165"/>
      <c r="W2217" s="165"/>
      <c r="X2217" s="116">
        <v>44411</v>
      </c>
      <c r="Y2217" s="116">
        <v>45140</v>
      </c>
    </row>
    <row r="2218" s="86" customFormat="1" customHeight="1" spans="1:25">
      <c r="A2218" s="35" t="s">
        <v>446</v>
      </c>
      <c r="B2218" s="135" t="s">
        <v>62</v>
      </c>
      <c r="C2218" s="11" t="s">
        <v>238</v>
      </c>
      <c r="D2218" s="11" t="s">
        <v>642</v>
      </c>
      <c r="E2218" s="30" t="s">
        <v>643</v>
      </c>
      <c r="F2218" s="35" t="s">
        <v>644</v>
      </c>
      <c r="G2218" s="142" t="s">
        <v>31</v>
      </c>
      <c r="H2218" s="103" t="s">
        <v>809</v>
      </c>
      <c r="I2218" s="30" t="e">
        <f>VLOOKUP(H2218,'合同高级查询数据-4月返'!A:A,1,FALSE)</f>
        <v>#N/A</v>
      </c>
      <c r="J2218" s="155" t="s">
        <v>33</v>
      </c>
      <c r="K2218" s="142" t="s">
        <v>734</v>
      </c>
      <c r="L2218" s="110" t="s">
        <v>744</v>
      </c>
      <c r="M2218" s="113" t="s">
        <v>745</v>
      </c>
      <c r="N2218" s="146">
        <v>45036</v>
      </c>
      <c r="O2218" s="146"/>
      <c r="P2218" s="156">
        <v>35</v>
      </c>
      <c r="Q2218" s="130">
        <v>36</v>
      </c>
      <c r="R2218" s="130">
        <f>ROUND(P2218*Q2218*11/30,2)</f>
        <v>462</v>
      </c>
      <c r="S2218" s="127">
        <v>202304</v>
      </c>
      <c r="T2218" s="190" t="s">
        <v>2990</v>
      </c>
      <c r="U2218" s="190"/>
      <c r="V2218" s="159"/>
      <c r="W2218" s="159"/>
      <c r="X2218" s="131"/>
      <c r="Y2218" s="131"/>
    </row>
    <row r="2219" s="85" customFormat="1" customHeight="1" spans="1:25">
      <c r="A2219" s="98" t="s">
        <v>61</v>
      </c>
      <c r="B2219" s="98" t="s">
        <v>62</v>
      </c>
      <c r="C2219" s="98" t="s">
        <v>238</v>
      </c>
      <c r="D2219" s="24" t="s">
        <v>64</v>
      </c>
      <c r="E2219" s="161" t="s">
        <v>840</v>
      </c>
      <c r="F2219" s="160" t="s">
        <v>841</v>
      </c>
      <c r="G2219" s="172" t="s">
        <v>88</v>
      </c>
      <c r="H2219" s="100" t="s">
        <v>842</v>
      </c>
      <c r="I2219" s="46" t="e">
        <f>VLOOKUP(H2219,'合同高级查询数据-4月返'!A:A,1,FALSE)</f>
        <v>#N/A</v>
      </c>
      <c r="J2219" s="178" t="s">
        <v>850</v>
      </c>
      <c r="K2219" s="107" t="s">
        <v>844</v>
      </c>
      <c r="L2219" s="179"/>
      <c r="M2219" s="49" t="s">
        <v>845</v>
      </c>
      <c r="N2219" s="180"/>
      <c r="O2219" s="73" t="s">
        <v>503</v>
      </c>
      <c r="P2219" s="164">
        <v>5216.57</v>
      </c>
      <c r="Q2219" s="182">
        <v>1</v>
      </c>
      <c r="R2219" s="118">
        <f>ROUND(P2219*Q2219*2/31,2)</f>
        <v>336.55</v>
      </c>
      <c r="S2219" s="115">
        <v>202303</v>
      </c>
      <c r="T2219" s="200" t="s">
        <v>2991</v>
      </c>
      <c r="U2219" s="121"/>
      <c r="V2219" s="121"/>
      <c r="W2219" s="121"/>
      <c r="X2219" s="116">
        <v>43647</v>
      </c>
      <c r="Y2219" s="116">
        <v>45229</v>
      </c>
    </row>
    <row r="2220" s="85" customFormat="1" customHeight="1" spans="1:25">
      <c r="A2220" s="98" t="s">
        <v>61</v>
      </c>
      <c r="B2220" s="98" t="s">
        <v>83</v>
      </c>
      <c r="C2220" s="160" t="s">
        <v>63</v>
      </c>
      <c r="D2220" s="160" t="s">
        <v>85</v>
      </c>
      <c r="E2220" s="161" t="s">
        <v>520</v>
      </c>
      <c r="F2220" s="98" t="s">
        <v>521</v>
      </c>
      <c r="G2220" s="25" t="s">
        <v>78</v>
      </c>
      <c r="H2220" s="100" t="s">
        <v>2992</v>
      </c>
      <c r="I2220" s="46" t="str">
        <f>VLOOKUP(H2220,'合同高级查询数据-4月返'!A:A,1,FALSE)</f>
        <v>182215IDC00667</v>
      </c>
      <c r="J2220" s="25" t="s">
        <v>2993</v>
      </c>
      <c r="K2220" s="98"/>
      <c r="L2220" s="163"/>
      <c r="M2220" s="49"/>
      <c r="N2220" s="73"/>
      <c r="O2220" s="73"/>
      <c r="P2220" s="299">
        <v>52000</v>
      </c>
      <c r="Q2220" s="164">
        <v>1</v>
      </c>
      <c r="R2220" s="118">
        <f>ROUND(P2220*Q2220,2)</f>
        <v>52000</v>
      </c>
      <c r="S2220" s="115">
        <v>202212</v>
      </c>
      <c r="T2220" s="303" t="s">
        <v>2994</v>
      </c>
      <c r="U2220" s="121"/>
      <c r="V2220" s="301"/>
      <c r="W2220" s="121"/>
      <c r="X2220" s="302">
        <v>44896</v>
      </c>
      <c r="Y2220" s="302">
        <v>45260</v>
      </c>
    </row>
    <row r="2221" s="86" customFormat="1" customHeight="1" spans="1:25">
      <c r="A2221" s="154" t="s">
        <v>61</v>
      </c>
      <c r="B2221" s="135" t="s">
        <v>62</v>
      </c>
      <c r="C2221" s="292" t="s">
        <v>63</v>
      </c>
      <c r="D2221" s="11" t="s">
        <v>75</v>
      </c>
      <c r="E2221" s="153" t="s">
        <v>2632</v>
      </c>
      <c r="F2221" s="154" t="s">
        <v>2633</v>
      </c>
      <c r="G2221" s="110" t="s">
        <v>67</v>
      </c>
      <c r="H2221" s="103" t="s">
        <v>2995</v>
      </c>
      <c r="I2221" s="30" t="e">
        <f>VLOOKUP(H2221,'合同高级查询数据-4月返'!A:A,1,FALSE)</f>
        <v>#N/A</v>
      </c>
      <c r="J2221" s="110" t="s">
        <v>69</v>
      </c>
      <c r="K2221" s="154" t="s">
        <v>2996</v>
      </c>
      <c r="L2221" s="293"/>
      <c r="M2221" s="113"/>
      <c r="N2221" s="146">
        <v>44657</v>
      </c>
      <c r="O2221" s="146" t="s">
        <v>2383</v>
      </c>
      <c r="P2221" s="294">
        <v>400</v>
      </c>
      <c r="Q2221" s="295">
        <v>58</v>
      </c>
      <c r="R2221" s="130">
        <f>ROUND(P2221*Q2221*25/30,2)</f>
        <v>19333.33</v>
      </c>
      <c r="S2221" s="127">
        <v>202304</v>
      </c>
      <c r="T2221" s="297" t="s">
        <v>2997</v>
      </c>
      <c r="U2221" s="153"/>
      <c r="V2221" s="296"/>
      <c r="W2221" s="296"/>
      <c r="X2221" s="131"/>
      <c r="Y2221" s="131"/>
    </row>
    <row r="2222" s="86" customFormat="1" customHeight="1" spans="1:25">
      <c r="A2222" s="154" t="s">
        <v>61</v>
      </c>
      <c r="B2222" s="135" t="s">
        <v>62</v>
      </c>
      <c r="C2222" s="292" t="s">
        <v>63</v>
      </c>
      <c r="D2222" s="11" t="s">
        <v>75</v>
      </c>
      <c r="E2222" s="153" t="s">
        <v>2632</v>
      </c>
      <c r="F2222" s="154" t="s">
        <v>2633</v>
      </c>
      <c r="G2222" s="110" t="s">
        <v>67</v>
      </c>
      <c r="H2222" s="103" t="s">
        <v>2995</v>
      </c>
      <c r="I2222" s="30" t="e">
        <f>VLOOKUP(H2222,'合同高级查询数据-4月返'!A:A,1,FALSE)</f>
        <v>#N/A</v>
      </c>
      <c r="J2222" s="110" t="s">
        <v>69</v>
      </c>
      <c r="K2222" s="154" t="s">
        <v>2998</v>
      </c>
      <c r="L2222" s="293"/>
      <c r="M2222" s="113"/>
      <c r="N2222" s="146">
        <v>44657</v>
      </c>
      <c r="O2222" s="146" t="s">
        <v>71</v>
      </c>
      <c r="P2222" s="294">
        <v>387.096774193548</v>
      </c>
      <c r="Q2222" s="295">
        <v>6.2</v>
      </c>
      <c r="R2222" s="130">
        <f>ROUND(P2222*Q2222*25/30,2)</f>
        <v>2000</v>
      </c>
      <c r="S2222" s="127">
        <v>202304</v>
      </c>
      <c r="T2222" s="297" t="s">
        <v>2999</v>
      </c>
      <c r="U2222" s="153"/>
      <c r="V2222" s="296"/>
      <c r="W2222" s="296"/>
      <c r="X2222" s="131"/>
      <c r="Y2222" s="131"/>
    </row>
    <row r="2223" s="86" customFormat="1" customHeight="1" spans="1:25">
      <c r="A2223" s="154" t="s">
        <v>61</v>
      </c>
      <c r="B2223" s="135" t="s">
        <v>62</v>
      </c>
      <c r="C2223" s="292" t="s">
        <v>63</v>
      </c>
      <c r="D2223" s="11" t="s">
        <v>75</v>
      </c>
      <c r="E2223" s="153" t="s">
        <v>2632</v>
      </c>
      <c r="F2223" s="154" t="s">
        <v>2633</v>
      </c>
      <c r="G2223" s="110" t="s">
        <v>67</v>
      </c>
      <c r="H2223" s="103" t="s">
        <v>2995</v>
      </c>
      <c r="I2223" s="30" t="e">
        <f>VLOOKUP(H2223,'合同高级查询数据-4月返'!A:A,1,FALSE)</f>
        <v>#N/A</v>
      </c>
      <c r="J2223" s="110" t="s">
        <v>69</v>
      </c>
      <c r="K2223" s="154" t="s">
        <v>3000</v>
      </c>
      <c r="L2223" s="293"/>
      <c r="M2223" s="113"/>
      <c r="N2223" s="146">
        <v>44661</v>
      </c>
      <c r="O2223" s="146" t="s">
        <v>2383</v>
      </c>
      <c r="P2223" s="294">
        <v>400</v>
      </c>
      <c r="Q2223" s="295">
        <v>20</v>
      </c>
      <c r="R2223" s="130">
        <f>ROUND(P2223*Q2223*21/30,2)</f>
        <v>5600</v>
      </c>
      <c r="S2223" s="127">
        <v>202304</v>
      </c>
      <c r="T2223" s="297" t="s">
        <v>3001</v>
      </c>
      <c r="U2223" s="153"/>
      <c r="V2223" s="296"/>
      <c r="W2223" s="296"/>
      <c r="X2223" s="131"/>
      <c r="Y2223" s="131"/>
    </row>
    <row r="2224" s="86" customFormat="1" customHeight="1" spans="1:25">
      <c r="A2224" s="154" t="s">
        <v>61</v>
      </c>
      <c r="B2224" s="135" t="s">
        <v>62</v>
      </c>
      <c r="C2224" s="292" t="s">
        <v>63</v>
      </c>
      <c r="D2224" s="11" t="s">
        <v>75</v>
      </c>
      <c r="E2224" s="153" t="s">
        <v>2632</v>
      </c>
      <c r="F2224" s="154" t="s">
        <v>2633</v>
      </c>
      <c r="G2224" s="110" t="s">
        <v>67</v>
      </c>
      <c r="H2224" s="103" t="s">
        <v>2995</v>
      </c>
      <c r="I2224" s="30" t="e">
        <f>VLOOKUP(H2224,'合同高级查询数据-4月返'!A:A,1,FALSE)</f>
        <v>#N/A</v>
      </c>
      <c r="J2224" s="110" t="s">
        <v>69</v>
      </c>
      <c r="K2224" s="154" t="s">
        <v>3002</v>
      </c>
      <c r="L2224" s="293"/>
      <c r="M2224" s="113"/>
      <c r="N2224" s="146">
        <v>44661</v>
      </c>
      <c r="O2224" s="146" t="s">
        <v>2383</v>
      </c>
      <c r="P2224" s="294">
        <v>2000</v>
      </c>
      <c r="Q2224" s="295">
        <v>2</v>
      </c>
      <c r="R2224" s="130">
        <f>ROUND(P2224*Q2224*21/30,2)</f>
        <v>2800</v>
      </c>
      <c r="S2224" s="127">
        <v>202304</v>
      </c>
      <c r="T2224" s="297" t="s">
        <v>3003</v>
      </c>
      <c r="U2224" s="153"/>
      <c r="V2224" s="296"/>
      <c r="W2224" s="296"/>
      <c r="X2224" s="131"/>
      <c r="Y2224" s="131"/>
    </row>
    <row r="2225" s="86" customFormat="1" customHeight="1" spans="1:25">
      <c r="A2225" s="154" t="s">
        <v>61</v>
      </c>
      <c r="B2225" s="135" t="s">
        <v>62</v>
      </c>
      <c r="C2225" s="292" t="s">
        <v>63</v>
      </c>
      <c r="D2225" s="11" t="s">
        <v>75</v>
      </c>
      <c r="E2225" s="153" t="s">
        <v>3004</v>
      </c>
      <c r="F2225" s="154" t="s">
        <v>3005</v>
      </c>
      <c r="G2225" s="110" t="s">
        <v>67</v>
      </c>
      <c r="H2225" s="103" t="s">
        <v>3006</v>
      </c>
      <c r="I2225" s="30" t="e">
        <f>VLOOKUP(H2225,'合同高级查询数据-4月返'!A:A,1,FALSE)</f>
        <v>#N/A</v>
      </c>
      <c r="J2225" s="110" t="s">
        <v>69</v>
      </c>
      <c r="K2225" s="154" t="s">
        <v>3007</v>
      </c>
      <c r="L2225" s="293"/>
      <c r="M2225" s="113"/>
      <c r="N2225" s="146">
        <v>45022</v>
      </c>
      <c r="O2225" s="146" t="s">
        <v>2383</v>
      </c>
      <c r="P2225" s="294">
        <v>1000</v>
      </c>
      <c r="Q2225" s="295">
        <v>2</v>
      </c>
      <c r="R2225" s="130">
        <f>ROUND(P2225*Q2225*25/30,2)</f>
        <v>1666.67</v>
      </c>
      <c r="S2225" s="127">
        <v>202304</v>
      </c>
      <c r="T2225" s="297" t="s">
        <v>3008</v>
      </c>
      <c r="U2225" s="153"/>
      <c r="V2225" s="296"/>
      <c r="W2225" s="296"/>
      <c r="X2225" s="131"/>
      <c r="Y2225" s="131"/>
    </row>
    <row r="2226" s="86" customFormat="1" customHeight="1" spans="1:25">
      <c r="A2226" s="154" t="s">
        <v>61</v>
      </c>
      <c r="B2226" s="135" t="s">
        <v>62</v>
      </c>
      <c r="C2226" s="292" t="s">
        <v>63</v>
      </c>
      <c r="D2226" s="11" t="s">
        <v>75</v>
      </c>
      <c r="E2226" s="153" t="s">
        <v>3004</v>
      </c>
      <c r="F2226" s="154" t="s">
        <v>3005</v>
      </c>
      <c r="G2226" s="110" t="s">
        <v>88</v>
      </c>
      <c r="H2226" s="103" t="s">
        <v>3006</v>
      </c>
      <c r="I2226" s="30" t="e">
        <f>VLOOKUP(H2226,'合同高级查询数据-4月返'!A:A,1,FALSE)</f>
        <v>#N/A</v>
      </c>
      <c r="J2226" s="110" t="s">
        <v>90</v>
      </c>
      <c r="K2226" s="154" t="s">
        <v>3009</v>
      </c>
      <c r="L2226" s="293"/>
      <c r="M2226" s="113" t="s">
        <v>3010</v>
      </c>
      <c r="N2226" s="146">
        <v>45022</v>
      </c>
      <c r="O2226" s="146" t="s">
        <v>1746</v>
      </c>
      <c r="P2226" s="294">
        <v>6000</v>
      </c>
      <c r="Q2226" s="295">
        <v>1</v>
      </c>
      <c r="R2226" s="130">
        <f>ROUND(P2226*Q2226*25/30,2)</f>
        <v>5000</v>
      </c>
      <c r="S2226" s="127">
        <v>202304</v>
      </c>
      <c r="T2226" s="304" t="s">
        <v>3011</v>
      </c>
      <c r="U2226" s="153"/>
      <c r="V2226" s="296"/>
      <c r="W2226" s="296"/>
      <c r="X2226" s="131"/>
      <c r="Y2226" s="131"/>
    </row>
    <row r="2227" s="86" customFormat="1" customHeight="1" spans="1:25">
      <c r="A2227" s="35" t="s">
        <v>61</v>
      </c>
      <c r="B2227" s="11" t="s">
        <v>511</v>
      </c>
      <c r="C2227" s="11" t="s">
        <v>512</v>
      </c>
      <c r="D2227" s="11" t="s">
        <v>85</v>
      </c>
      <c r="E2227" s="30" t="s">
        <v>513</v>
      </c>
      <c r="F2227" s="35" t="s">
        <v>514</v>
      </c>
      <c r="G2227" s="110" t="s">
        <v>88</v>
      </c>
      <c r="H2227" s="152" t="s">
        <v>515</v>
      </c>
      <c r="I2227" s="30" t="e">
        <f>VLOOKUP(H2227,'合同高级查询数据-4月返'!A:A,1,FALSE)</f>
        <v>#N/A</v>
      </c>
      <c r="J2227" s="110" t="s">
        <v>90</v>
      </c>
      <c r="K2227" s="141" t="s">
        <v>516</v>
      </c>
      <c r="L2227" s="142" t="s">
        <v>517</v>
      </c>
      <c r="M2227" s="113" t="s">
        <v>518</v>
      </c>
      <c r="N2227" s="300">
        <v>45026</v>
      </c>
      <c r="O2227" s="142" t="s">
        <v>3012</v>
      </c>
      <c r="P2227" s="156">
        <v>2800</v>
      </c>
      <c r="Q2227" s="130">
        <v>24</v>
      </c>
      <c r="R2227" s="130">
        <f>ROUND(P2227*Q2227*21/30,2)</f>
        <v>47040</v>
      </c>
      <c r="S2227" s="127">
        <v>202304</v>
      </c>
      <c r="T2227" s="286" t="s">
        <v>3013</v>
      </c>
      <c r="U2227" s="150"/>
      <c r="V2227" s="128"/>
      <c r="W2227" s="128"/>
      <c r="X2227" s="131"/>
      <c r="Y2227" s="131"/>
    </row>
    <row r="2228" s="86" customFormat="1" customHeight="1" spans="1:25">
      <c r="A2228" s="35" t="s">
        <v>61</v>
      </c>
      <c r="B2228" s="11" t="s">
        <v>511</v>
      </c>
      <c r="C2228" s="11" t="s">
        <v>512</v>
      </c>
      <c r="D2228" s="11" t="s">
        <v>85</v>
      </c>
      <c r="E2228" s="30" t="s">
        <v>513</v>
      </c>
      <c r="F2228" s="35" t="s">
        <v>514</v>
      </c>
      <c r="G2228" s="110" t="s">
        <v>88</v>
      </c>
      <c r="H2228" s="152" t="s">
        <v>515</v>
      </c>
      <c r="I2228" s="30" t="e">
        <f>VLOOKUP(H2228,'合同高级查询数据-4月返'!A:A,1,FALSE)</f>
        <v>#N/A</v>
      </c>
      <c r="J2228" s="110" t="s">
        <v>90</v>
      </c>
      <c r="K2228" s="141" t="s">
        <v>516</v>
      </c>
      <c r="L2228" s="142" t="s">
        <v>517</v>
      </c>
      <c r="M2228" s="113" t="s">
        <v>518</v>
      </c>
      <c r="N2228" s="300">
        <v>45028</v>
      </c>
      <c r="O2228" s="142" t="s">
        <v>3012</v>
      </c>
      <c r="P2228" s="156">
        <v>2800</v>
      </c>
      <c r="Q2228" s="130">
        <v>11</v>
      </c>
      <c r="R2228" s="130">
        <f>ROUND(P2228*Q2228*19/30,2)</f>
        <v>19506.67</v>
      </c>
      <c r="S2228" s="127">
        <v>202304</v>
      </c>
      <c r="T2228" s="286" t="s">
        <v>3014</v>
      </c>
      <c r="U2228" s="150"/>
      <c r="V2228" s="128"/>
      <c r="W2228" s="128"/>
      <c r="X2228" s="131"/>
      <c r="Y2228" s="131"/>
    </row>
    <row r="2229" s="86" customFormat="1" customHeight="1" spans="1:25">
      <c r="A2229" s="35" t="s">
        <v>61</v>
      </c>
      <c r="B2229" s="11" t="s">
        <v>511</v>
      </c>
      <c r="C2229" s="11" t="s">
        <v>512</v>
      </c>
      <c r="D2229" s="11" t="s">
        <v>85</v>
      </c>
      <c r="E2229" s="30" t="s">
        <v>513</v>
      </c>
      <c r="F2229" s="35" t="s">
        <v>514</v>
      </c>
      <c r="G2229" s="110" t="s">
        <v>88</v>
      </c>
      <c r="H2229" s="152" t="s">
        <v>515</v>
      </c>
      <c r="I2229" s="30" t="e">
        <f>VLOOKUP(H2229,'合同高级查询数据-4月返'!A:A,1,FALSE)</f>
        <v>#N/A</v>
      </c>
      <c r="J2229" s="110" t="s">
        <v>90</v>
      </c>
      <c r="K2229" s="141" t="s">
        <v>516</v>
      </c>
      <c r="L2229" s="142" t="s">
        <v>517</v>
      </c>
      <c r="M2229" s="113" t="s">
        <v>518</v>
      </c>
      <c r="N2229" s="300">
        <v>45033</v>
      </c>
      <c r="O2229" s="142" t="s">
        <v>3012</v>
      </c>
      <c r="P2229" s="156">
        <v>2800</v>
      </c>
      <c r="Q2229" s="130">
        <v>6</v>
      </c>
      <c r="R2229" s="130">
        <f>ROUND(P2229*Q2229*14/30,2)</f>
        <v>7840</v>
      </c>
      <c r="S2229" s="127">
        <v>202304</v>
      </c>
      <c r="T2229" s="286" t="s">
        <v>3015</v>
      </c>
      <c r="U2229" s="150"/>
      <c r="V2229" s="128"/>
      <c r="W2229" s="128"/>
      <c r="X2229" s="131"/>
      <c r="Y2229" s="131"/>
    </row>
    <row r="2230" s="86" customFormat="1" customHeight="1" spans="1:25">
      <c r="A2230" s="35" t="s">
        <v>61</v>
      </c>
      <c r="B2230" s="11" t="s">
        <v>511</v>
      </c>
      <c r="C2230" s="11" t="s">
        <v>512</v>
      </c>
      <c r="D2230" s="11" t="s">
        <v>85</v>
      </c>
      <c r="E2230" s="30" t="s">
        <v>513</v>
      </c>
      <c r="F2230" s="35" t="s">
        <v>514</v>
      </c>
      <c r="G2230" s="110" t="s">
        <v>88</v>
      </c>
      <c r="H2230" s="152" t="s">
        <v>515</v>
      </c>
      <c r="I2230" s="30" t="e">
        <f>VLOOKUP(H2230,'合同高级查询数据-4月返'!A:A,1,FALSE)</f>
        <v>#N/A</v>
      </c>
      <c r="J2230" s="110" t="s">
        <v>90</v>
      </c>
      <c r="K2230" s="141" t="s">
        <v>516</v>
      </c>
      <c r="L2230" s="142" t="s">
        <v>517</v>
      </c>
      <c r="M2230" s="113" t="s">
        <v>518</v>
      </c>
      <c r="N2230" s="300">
        <v>45036</v>
      </c>
      <c r="O2230" s="142" t="s">
        <v>3012</v>
      </c>
      <c r="P2230" s="156">
        <v>2800</v>
      </c>
      <c r="Q2230" s="130">
        <v>2</v>
      </c>
      <c r="R2230" s="130">
        <f>ROUND(P2230*Q2230*11/30,2)</f>
        <v>2053.33</v>
      </c>
      <c r="S2230" s="127">
        <v>202304</v>
      </c>
      <c r="T2230" s="286" t="s">
        <v>3016</v>
      </c>
      <c r="U2230" s="150"/>
      <c r="V2230" s="128"/>
      <c r="W2230" s="128"/>
      <c r="X2230" s="131"/>
      <c r="Y2230" s="131"/>
    </row>
    <row r="2231" s="86" customFormat="1" customHeight="1" spans="1:25">
      <c r="A2231" s="35" t="s">
        <v>61</v>
      </c>
      <c r="B2231" s="11" t="s">
        <v>511</v>
      </c>
      <c r="C2231" s="11" t="s">
        <v>512</v>
      </c>
      <c r="D2231" s="11" t="s">
        <v>85</v>
      </c>
      <c r="E2231" s="30" t="s">
        <v>513</v>
      </c>
      <c r="F2231" s="35" t="s">
        <v>514</v>
      </c>
      <c r="G2231" s="110" t="s">
        <v>88</v>
      </c>
      <c r="H2231" s="152" t="s">
        <v>515</v>
      </c>
      <c r="I2231" s="30" t="e">
        <f>VLOOKUP(H2231,'合同高级查询数据-4月返'!A:A,1,FALSE)</f>
        <v>#N/A</v>
      </c>
      <c r="J2231" s="110" t="s">
        <v>90</v>
      </c>
      <c r="K2231" s="141" t="s">
        <v>516</v>
      </c>
      <c r="L2231" s="142" t="s">
        <v>517</v>
      </c>
      <c r="M2231" s="113" t="s">
        <v>518</v>
      </c>
      <c r="N2231" s="300">
        <v>45040</v>
      </c>
      <c r="O2231" s="142" t="s">
        <v>3012</v>
      </c>
      <c r="P2231" s="156">
        <v>2800</v>
      </c>
      <c r="Q2231" s="130">
        <v>1</v>
      </c>
      <c r="R2231" s="130">
        <f>ROUND(P2231*Q2231*7/30,2)</f>
        <v>653.33</v>
      </c>
      <c r="S2231" s="127">
        <v>202304</v>
      </c>
      <c r="T2231" s="286" t="s">
        <v>3017</v>
      </c>
      <c r="U2231" s="150"/>
      <c r="V2231" s="128"/>
      <c r="W2231" s="128"/>
      <c r="X2231" s="131"/>
      <c r="Y2231" s="131"/>
    </row>
    <row r="2232" s="86" customFormat="1" customHeight="1" spans="1:25">
      <c r="A2232" s="135" t="s">
        <v>444</v>
      </c>
      <c r="B2232" s="11" t="s">
        <v>62</v>
      </c>
      <c r="C2232" s="135" t="s">
        <v>153</v>
      </c>
      <c r="D2232" s="135" t="s">
        <v>951</v>
      </c>
      <c r="E2232" s="170" t="s">
        <v>3018</v>
      </c>
      <c r="F2232" s="135" t="s">
        <v>3019</v>
      </c>
      <c r="G2232" s="171" t="s">
        <v>88</v>
      </c>
      <c r="H2232" s="103" t="s">
        <v>3020</v>
      </c>
      <c r="I2232" s="30" t="e">
        <f>VLOOKUP(H2232,'合同高级查询数据-4月返'!A:A,1,FALSE)</f>
        <v>#N/A</v>
      </c>
      <c r="J2232" s="134" t="s">
        <v>162</v>
      </c>
      <c r="K2232" s="134" t="s">
        <v>3021</v>
      </c>
      <c r="L2232" s="110" t="s">
        <v>3022</v>
      </c>
      <c r="M2232" s="113" t="s">
        <v>3023</v>
      </c>
      <c r="N2232" s="175">
        <v>45022</v>
      </c>
      <c r="O2232" s="176" t="s">
        <v>1306</v>
      </c>
      <c r="P2232" s="209">
        <v>5900</v>
      </c>
      <c r="Q2232" s="209">
        <v>1</v>
      </c>
      <c r="R2232" s="130">
        <f>ROUND(P2232*Q2232*25/30,2)</f>
        <v>4916.67</v>
      </c>
      <c r="S2232" s="127">
        <v>202304</v>
      </c>
      <c r="T2232" s="262" t="s">
        <v>3024</v>
      </c>
      <c r="U2232" s="211"/>
      <c r="V2232" s="159"/>
      <c r="W2232" s="159"/>
      <c r="X2232" s="131"/>
      <c r="Y2232" s="131"/>
    </row>
    <row r="2233" s="86" customFormat="1" customHeight="1" spans="1:25">
      <c r="A2233" s="135" t="s">
        <v>444</v>
      </c>
      <c r="B2233" s="11" t="s">
        <v>62</v>
      </c>
      <c r="C2233" s="135" t="s">
        <v>153</v>
      </c>
      <c r="D2233" s="135" t="s">
        <v>951</v>
      </c>
      <c r="E2233" s="170" t="s">
        <v>3018</v>
      </c>
      <c r="F2233" s="135" t="s">
        <v>3019</v>
      </c>
      <c r="G2233" s="171" t="s">
        <v>31</v>
      </c>
      <c r="H2233" s="103" t="s">
        <v>3020</v>
      </c>
      <c r="I2233" s="30" t="e">
        <f>VLOOKUP(H2233,'合同高级查询数据-4月返'!A:A,1,FALSE)</f>
        <v>#N/A</v>
      </c>
      <c r="J2233" s="134" t="s">
        <v>33</v>
      </c>
      <c r="K2233" s="134" t="s">
        <v>3021</v>
      </c>
      <c r="L2233" s="110" t="s">
        <v>3022</v>
      </c>
      <c r="M2233" s="113" t="s">
        <v>3023</v>
      </c>
      <c r="N2233" s="175">
        <v>45022</v>
      </c>
      <c r="O2233" s="176"/>
      <c r="P2233" s="209">
        <v>0</v>
      </c>
      <c r="Q2233" s="209">
        <v>512</v>
      </c>
      <c r="R2233" s="130">
        <f>ROUND(P2233*Q2233*25/30,2)</f>
        <v>0</v>
      </c>
      <c r="S2233" s="127">
        <v>202304</v>
      </c>
      <c r="T2233" s="211" t="s">
        <v>3025</v>
      </c>
      <c r="U2233" s="211"/>
      <c r="V2233" s="159"/>
      <c r="W2233" s="159"/>
      <c r="X2233" s="131"/>
      <c r="Y2233" s="131"/>
    </row>
    <row r="2234" s="85" customFormat="1" customHeight="1" spans="1:25">
      <c r="A2234" s="22" t="s">
        <v>61</v>
      </c>
      <c r="B2234" s="24" t="s">
        <v>83</v>
      </c>
      <c r="C2234" s="24" t="s">
        <v>84</v>
      </c>
      <c r="D2234" s="24" t="s">
        <v>85</v>
      </c>
      <c r="E2234" s="46" t="s">
        <v>86</v>
      </c>
      <c r="F2234" s="22" t="s">
        <v>87</v>
      </c>
      <c r="G2234" s="25" t="s">
        <v>67</v>
      </c>
      <c r="H2234" s="99" t="s">
        <v>89</v>
      </c>
      <c r="I2234" s="46" t="e">
        <f>VLOOKUP(H2234,'合同高级查询数据-4月返'!A:A,1,FALSE)</f>
        <v>#N/A</v>
      </c>
      <c r="J2234" s="25" t="s">
        <v>69</v>
      </c>
      <c r="K2234" s="106"/>
      <c r="L2234" s="107"/>
      <c r="M2234" s="49"/>
      <c r="N2234" s="73">
        <v>45041</v>
      </c>
      <c r="O2234" s="107" t="s">
        <v>71</v>
      </c>
      <c r="P2234" s="108">
        <v>500</v>
      </c>
      <c r="Q2234" s="118">
        <v>2</v>
      </c>
      <c r="R2234" s="118">
        <f>ROUND(P2234*Q2234*6/30,2)</f>
        <v>200</v>
      </c>
      <c r="S2234" s="115">
        <v>202304</v>
      </c>
      <c r="T2234" s="119" t="s">
        <v>3026</v>
      </c>
      <c r="U2234" s="119"/>
      <c r="V2234" s="121"/>
      <c r="W2234" s="121"/>
      <c r="X2234" s="116">
        <v>44044</v>
      </c>
      <c r="Y2234" s="116">
        <v>45138</v>
      </c>
    </row>
    <row r="2235" s="85" customFormat="1" customHeight="1" spans="1:25">
      <c r="A2235" s="22" t="s">
        <v>61</v>
      </c>
      <c r="B2235" s="24" t="s">
        <v>83</v>
      </c>
      <c r="C2235" s="24" t="s">
        <v>84</v>
      </c>
      <c r="D2235" s="24" t="s">
        <v>85</v>
      </c>
      <c r="E2235" s="46" t="s">
        <v>86</v>
      </c>
      <c r="F2235" s="22" t="s">
        <v>87</v>
      </c>
      <c r="G2235" s="25" t="s">
        <v>67</v>
      </c>
      <c r="H2235" s="99" t="s">
        <v>89</v>
      </c>
      <c r="I2235" s="46" t="e">
        <f>VLOOKUP(H2235,'合同高级查询数据-4月返'!A:A,1,FALSE)</f>
        <v>#N/A</v>
      </c>
      <c r="J2235" s="25" t="s">
        <v>69</v>
      </c>
      <c r="K2235" s="106"/>
      <c r="L2235" s="107"/>
      <c r="M2235" s="49"/>
      <c r="N2235" s="73">
        <v>45041</v>
      </c>
      <c r="O2235" s="107" t="s">
        <v>71</v>
      </c>
      <c r="P2235" s="108">
        <v>500</v>
      </c>
      <c r="Q2235" s="118">
        <v>1</v>
      </c>
      <c r="R2235" s="118">
        <f>ROUND(P2235*Q2235*6/30,2)</f>
        <v>100</v>
      </c>
      <c r="S2235" s="115">
        <v>202304</v>
      </c>
      <c r="T2235" s="119" t="s">
        <v>3027</v>
      </c>
      <c r="U2235" s="119"/>
      <c r="V2235" s="121"/>
      <c r="W2235" s="121"/>
      <c r="X2235" s="116">
        <v>44044</v>
      </c>
      <c r="Y2235" s="116">
        <v>45138</v>
      </c>
    </row>
    <row r="2236" s="85" customFormat="1" customHeight="1" spans="1:25">
      <c r="A2236" s="22" t="s">
        <v>446</v>
      </c>
      <c r="B2236" s="98" t="s">
        <v>62</v>
      </c>
      <c r="C2236" s="24" t="s">
        <v>238</v>
      </c>
      <c r="D2236" s="24" t="s">
        <v>642</v>
      </c>
      <c r="E2236" s="46" t="s">
        <v>643</v>
      </c>
      <c r="F2236" s="22" t="s">
        <v>644</v>
      </c>
      <c r="G2236" s="107" t="s">
        <v>88</v>
      </c>
      <c r="H2236" s="99" t="s">
        <v>684</v>
      </c>
      <c r="I2236" s="46" t="e">
        <f>VLOOKUP(H2236,'合同高级查询数据-4月返'!A:A,1,FALSE)</f>
        <v>#N/A</v>
      </c>
      <c r="J2236" s="178" t="s">
        <v>162</v>
      </c>
      <c r="K2236" s="107" t="s">
        <v>685</v>
      </c>
      <c r="L2236" s="25" t="s">
        <v>686</v>
      </c>
      <c r="M2236" s="49" t="s">
        <v>687</v>
      </c>
      <c r="N2236" s="73">
        <v>45042</v>
      </c>
      <c r="O2236" s="73"/>
      <c r="P2236" s="108">
        <v>4000</v>
      </c>
      <c r="Q2236" s="118">
        <v>-5</v>
      </c>
      <c r="R2236" s="118">
        <f>ROUND(P2236*Q2236*4/30,2)</f>
        <v>-2666.67</v>
      </c>
      <c r="S2236" s="115">
        <v>202304</v>
      </c>
      <c r="T2236" s="305" t="s">
        <v>3028</v>
      </c>
      <c r="U2236" s="187"/>
      <c r="V2236" s="120"/>
      <c r="W2236" s="120"/>
      <c r="X2236" s="116">
        <v>44044</v>
      </c>
      <c r="Y2236" s="116">
        <v>45199</v>
      </c>
    </row>
    <row r="2237" s="5" customFormat="1" customHeight="1" spans="1:25">
      <c r="A2237" s="22" t="s">
        <v>61</v>
      </c>
      <c r="B2237" s="98" t="s">
        <v>62</v>
      </c>
      <c r="C2237" s="22" t="s">
        <v>144</v>
      </c>
      <c r="D2237" s="24" t="s">
        <v>85</v>
      </c>
      <c r="E2237" s="205" t="s">
        <v>2939</v>
      </c>
      <c r="F2237" s="203" t="s">
        <v>2940</v>
      </c>
      <c r="G2237" s="107" t="s">
        <v>88</v>
      </c>
      <c r="H2237" s="99" t="s">
        <v>2941</v>
      </c>
      <c r="I2237" s="46" t="e">
        <f>VLOOKUP(H2237,'合同高级查询数据-4月返'!A:A,1,FALSE)</f>
        <v>#N/A</v>
      </c>
      <c r="J2237" s="25" t="s">
        <v>90</v>
      </c>
      <c r="K2237" s="107" t="s">
        <v>2942</v>
      </c>
      <c r="L2237" s="107"/>
      <c r="M2237" s="49" t="s">
        <v>2943</v>
      </c>
      <c r="N2237" s="73">
        <v>45019</v>
      </c>
      <c r="O2237" s="107" t="s">
        <v>507</v>
      </c>
      <c r="P2237" s="108">
        <v>8200</v>
      </c>
      <c r="Q2237" s="108">
        <v>4</v>
      </c>
      <c r="R2237" s="118">
        <f>ROUND(P2237*Q2237*28/30,2)</f>
        <v>30613.33</v>
      </c>
      <c r="S2237" s="273">
        <v>202304</v>
      </c>
      <c r="T2237" s="201" t="s">
        <v>3029</v>
      </c>
      <c r="U2237" s="121"/>
      <c r="V2237" s="301"/>
      <c r="W2237" s="121"/>
      <c r="X2237" s="302">
        <v>44774</v>
      </c>
      <c r="Y2237" s="302">
        <v>46599</v>
      </c>
    </row>
    <row r="2238" s="5" customFormat="1" customHeight="1" spans="1:25">
      <c r="A2238" s="22" t="s">
        <v>61</v>
      </c>
      <c r="B2238" s="98" t="s">
        <v>62</v>
      </c>
      <c r="C2238" s="22" t="s">
        <v>144</v>
      </c>
      <c r="D2238" s="24" t="s">
        <v>85</v>
      </c>
      <c r="E2238" s="205" t="s">
        <v>2939</v>
      </c>
      <c r="F2238" s="203" t="s">
        <v>2940</v>
      </c>
      <c r="G2238" s="107" t="s">
        <v>88</v>
      </c>
      <c r="H2238" s="99" t="s">
        <v>2941</v>
      </c>
      <c r="I2238" s="46" t="e">
        <f>VLOOKUP(H2238,'合同高级查询数据-4月返'!A:A,1,FALSE)</f>
        <v>#N/A</v>
      </c>
      <c r="J2238" s="25" t="s">
        <v>90</v>
      </c>
      <c r="K2238" s="107" t="s">
        <v>2942</v>
      </c>
      <c r="L2238" s="107"/>
      <c r="M2238" s="49" t="s">
        <v>2943</v>
      </c>
      <c r="N2238" s="73">
        <v>45026</v>
      </c>
      <c r="O2238" s="107" t="s">
        <v>507</v>
      </c>
      <c r="P2238" s="108">
        <v>8200</v>
      </c>
      <c r="Q2238" s="108">
        <v>2</v>
      </c>
      <c r="R2238" s="118">
        <f>ROUND(P2238*Q2238*21/30,2)</f>
        <v>11480</v>
      </c>
      <c r="S2238" s="273">
        <v>202304</v>
      </c>
      <c r="T2238" s="201" t="s">
        <v>3030</v>
      </c>
      <c r="U2238" s="121"/>
      <c r="V2238" s="301"/>
      <c r="W2238" s="121"/>
      <c r="X2238" s="302">
        <v>44774</v>
      </c>
      <c r="Y2238" s="302">
        <v>46599</v>
      </c>
    </row>
    <row r="2239" s="3" customFormat="1" customHeight="1" spans="1:25">
      <c r="A2239" s="35" t="s">
        <v>61</v>
      </c>
      <c r="B2239" s="135" t="s">
        <v>62</v>
      </c>
      <c r="C2239" s="35" t="s">
        <v>144</v>
      </c>
      <c r="D2239" s="11" t="s">
        <v>85</v>
      </c>
      <c r="E2239" s="153" t="s">
        <v>2939</v>
      </c>
      <c r="F2239" s="154" t="s">
        <v>2940</v>
      </c>
      <c r="G2239" s="142" t="s">
        <v>88</v>
      </c>
      <c r="H2239" s="152" t="s">
        <v>3031</v>
      </c>
      <c r="I2239" s="30" t="e">
        <f>VLOOKUP(H2239,'合同高级查询数据-4月返'!A:A,1,FALSE)</f>
        <v>#N/A</v>
      </c>
      <c r="J2239" s="110" t="s">
        <v>90</v>
      </c>
      <c r="K2239" s="142" t="s">
        <v>2942</v>
      </c>
      <c r="L2239" s="142" t="s">
        <v>2960</v>
      </c>
      <c r="M2239" s="113" t="s">
        <v>2943</v>
      </c>
      <c r="N2239" s="146">
        <v>45017</v>
      </c>
      <c r="O2239" s="142" t="s">
        <v>507</v>
      </c>
      <c r="P2239" s="156">
        <v>6000</v>
      </c>
      <c r="Q2239" s="156">
        <v>21</v>
      </c>
      <c r="R2239" s="130">
        <f>ROUND(P2239*Q2239,2)</f>
        <v>126000</v>
      </c>
      <c r="S2239" s="158">
        <v>202304</v>
      </c>
      <c r="T2239" s="262" t="s">
        <v>3032</v>
      </c>
      <c r="U2239" s="128"/>
      <c r="V2239" s="306"/>
      <c r="W2239" s="128"/>
      <c r="X2239" s="129"/>
      <c r="Y2239" s="129"/>
    </row>
    <row r="2240" s="85" customFormat="1" customHeight="1" spans="1:25">
      <c r="A2240" s="98" t="s">
        <v>448</v>
      </c>
      <c r="B2240" s="98" t="s">
        <v>62</v>
      </c>
      <c r="C2240" s="98" t="s">
        <v>238</v>
      </c>
      <c r="D2240" s="98" t="s">
        <v>642</v>
      </c>
      <c r="E2240" s="161" t="s">
        <v>982</v>
      </c>
      <c r="F2240" s="98" t="s">
        <v>983</v>
      </c>
      <c r="G2240" s="172" t="s">
        <v>88</v>
      </c>
      <c r="H2240" s="100" t="s">
        <v>1069</v>
      </c>
      <c r="I2240" s="46" t="e">
        <f>VLOOKUP(H2240,'合同高级查询数据-4月返'!A:A,1,FALSE)</f>
        <v>#N/A</v>
      </c>
      <c r="J2240" s="160" t="s">
        <v>357</v>
      </c>
      <c r="K2240" s="160" t="s">
        <v>1070</v>
      </c>
      <c r="L2240" s="179"/>
      <c r="M2240" s="49" t="s">
        <v>986</v>
      </c>
      <c r="N2240" s="180"/>
      <c r="O2240" s="181"/>
      <c r="P2240" s="182">
        <v>300</v>
      </c>
      <c r="Q2240" s="182">
        <f>306.71-300</f>
        <v>6.70999999999998</v>
      </c>
      <c r="R2240" s="118">
        <f>90820.89-ROUND(300*300,2)</f>
        <v>820.889999999999</v>
      </c>
      <c r="S2240" s="115">
        <v>202303</v>
      </c>
      <c r="T2240" s="186" t="s">
        <v>3033</v>
      </c>
      <c r="U2240" s="186"/>
      <c r="V2240" s="165"/>
      <c r="W2240" s="165"/>
      <c r="X2240" s="302"/>
      <c r="Y2240" s="302"/>
    </row>
    <row r="2241" s="85" customFormat="1" customHeight="1" spans="1:25">
      <c r="A2241" s="98" t="s">
        <v>448</v>
      </c>
      <c r="B2241" s="98" t="s">
        <v>62</v>
      </c>
      <c r="C2241" s="98" t="s">
        <v>238</v>
      </c>
      <c r="D2241" s="98" t="s">
        <v>642</v>
      </c>
      <c r="E2241" s="161" t="s">
        <v>1309</v>
      </c>
      <c r="F2241" s="98" t="s">
        <v>1016</v>
      </c>
      <c r="G2241" s="172" t="s">
        <v>88</v>
      </c>
      <c r="H2241" s="100" t="s">
        <v>1340</v>
      </c>
      <c r="I2241" s="46" t="e">
        <f>VLOOKUP(H2241,'合同高级查询数据-4月返'!A:A,1,FALSE)</f>
        <v>#N/A</v>
      </c>
      <c r="J2241" s="98" t="s">
        <v>357</v>
      </c>
      <c r="K2241" s="172" t="s">
        <v>1334</v>
      </c>
      <c r="L2241" s="228"/>
      <c r="M2241" s="49" t="s">
        <v>1019</v>
      </c>
      <c r="N2241" s="234">
        <v>43094</v>
      </c>
      <c r="O2241" s="234" t="s">
        <v>1335</v>
      </c>
      <c r="P2241" s="164">
        <v>300</v>
      </c>
      <c r="Q2241" s="164">
        <f>6415.22-6200</f>
        <v>215.22</v>
      </c>
      <c r="R2241" s="118">
        <f>ROUND(P2241*Q2241,2)</f>
        <v>64566</v>
      </c>
      <c r="S2241" s="115">
        <v>202303</v>
      </c>
      <c r="T2241" s="222" t="s">
        <v>3034</v>
      </c>
      <c r="U2241" s="223"/>
      <c r="V2241" s="165"/>
      <c r="W2241" s="165"/>
      <c r="X2241" s="302"/>
      <c r="Y2241" s="302"/>
    </row>
    <row r="2242" s="85" customFormat="1" customHeight="1" spans="1:25">
      <c r="A2242" s="160" t="s">
        <v>61</v>
      </c>
      <c r="B2242" s="24" t="s">
        <v>62</v>
      </c>
      <c r="C2242" s="98" t="s">
        <v>238</v>
      </c>
      <c r="D2242" s="24" t="s">
        <v>64</v>
      </c>
      <c r="E2242" s="162" t="s">
        <v>2504</v>
      </c>
      <c r="F2242" s="160" t="s">
        <v>2505</v>
      </c>
      <c r="G2242" s="25" t="s">
        <v>88</v>
      </c>
      <c r="H2242" s="99" t="s">
        <v>2506</v>
      </c>
      <c r="I2242" s="46" t="e">
        <f>VLOOKUP(H2242,'合同高级查询数据-4月返'!A:A,1,FALSE)</f>
        <v>#N/A</v>
      </c>
      <c r="J2242" s="25" t="s">
        <v>357</v>
      </c>
      <c r="K2242" s="106" t="s">
        <v>2507</v>
      </c>
      <c r="L2242" s="107"/>
      <c r="M2242" s="49" t="s">
        <v>2508</v>
      </c>
      <c r="N2242" s="73"/>
      <c r="O2242" s="107"/>
      <c r="P2242" s="164">
        <v>0.68</v>
      </c>
      <c r="Q2242" s="164">
        <f>6122036.92647059-5882352.94117647</f>
        <v>239683.985294119</v>
      </c>
      <c r="R2242" s="118">
        <f>4162985.11-4000000</f>
        <v>162985.11</v>
      </c>
      <c r="S2242" s="115">
        <v>202303</v>
      </c>
      <c r="T2242" s="119" t="s">
        <v>3035</v>
      </c>
      <c r="U2242" s="166"/>
      <c r="V2242" s="165"/>
      <c r="W2242" s="165"/>
      <c r="X2242" s="302"/>
      <c r="Y2242" s="302"/>
    </row>
    <row r="2243" s="86" customFormat="1" customHeight="1" spans="1:25">
      <c r="A2243" s="134" t="s">
        <v>61</v>
      </c>
      <c r="B2243" s="11" t="s">
        <v>62</v>
      </c>
      <c r="C2243" s="135" t="s">
        <v>238</v>
      </c>
      <c r="D2243" s="11" t="s">
        <v>64</v>
      </c>
      <c r="E2243" s="136" t="s">
        <v>2504</v>
      </c>
      <c r="F2243" s="134" t="s">
        <v>2505</v>
      </c>
      <c r="G2243" s="110" t="s">
        <v>88</v>
      </c>
      <c r="H2243" s="152" t="s">
        <v>2604</v>
      </c>
      <c r="I2243" s="30" t="e">
        <f>VLOOKUP(H2243,'合同高级查询数据-4月返'!A:A,1,FALSE)</f>
        <v>#N/A</v>
      </c>
      <c r="J2243" s="110" t="s">
        <v>357</v>
      </c>
      <c r="K2243" s="141" t="s">
        <v>2605</v>
      </c>
      <c r="L2243" s="142"/>
      <c r="M2243" s="113" t="s">
        <v>2508</v>
      </c>
      <c r="N2243" s="146"/>
      <c r="O2243" s="142"/>
      <c r="P2243" s="145">
        <v>0.68</v>
      </c>
      <c r="Q2243" s="145">
        <f>1373154.26470588-1323529.41176471</f>
        <v>49624.8529411701</v>
      </c>
      <c r="R2243" s="130">
        <f>933744.9-900000</f>
        <v>33744.9</v>
      </c>
      <c r="S2243" s="127">
        <v>202303</v>
      </c>
      <c r="T2243" s="150" t="s">
        <v>3036</v>
      </c>
      <c r="U2243" s="148"/>
      <c r="V2243" s="149"/>
      <c r="W2243" s="149"/>
      <c r="X2243" s="129"/>
      <c r="Y2243" s="129"/>
    </row>
    <row r="2244" s="5" customFormat="1" customHeight="1" spans="1:25">
      <c r="A2244" s="307" t="s">
        <v>448</v>
      </c>
      <c r="B2244" s="307" t="s">
        <v>3037</v>
      </c>
      <c r="C2244" s="307" t="s">
        <v>63</v>
      </c>
      <c r="D2244" s="307" t="s">
        <v>3038</v>
      </c>
      <c r="E2244" s="23" t="s">
        <v>3039</v>
      </c>
      <c r="F2244" s="307" t="s">
        <v>3040</v>
      </c>
      <c r="G2244" s="308" t="s">
        <v>88</v>
      </c>
      <c r="H2244" s="309" t="s">
        <v>3041</v>
      </c>
      <c r="I2244" s="46" t="e">
        <f>VLOOKUP(H2244,'合同高级查询数据-4月返'!A:A,1,FALSE)</f>
        <v>#N/A</v>
      </c>
      <c r="J2244" s="309" t="s">
        <v>3042</v>
      </c>
      <c r="K2244" s="308" t="s">
        <v>3043</v>
      </c>
      <c r="L2244" s="228"/>
      <c r="M2244" s="312" t="s">
        <v>3044</v>
      </c>
      <c r="N2244" s="313">
        <v>42050</v>
      </c>
      <c r="O2244" s="313" t="s">
        <v>617</v>
      </c>
      <c r="P2244" s="314">
        <v>12000</v>
      </c>
      <c r="Q2244" s="314">
        <v>2</v>
      </c>
      <c r="R2244" s="318">
        <f t="shared" ref="R2244:R2307" si="62">ROUND(P2244*Q2244,2)</f>
        <v>24000</v>
      </c>
      <c r="S2244" s="319">
        <v>202304</v>
      </c>
      <c r="T2244" s="233"/>
      <c r="U2244" s="233"/>
      <c r="V2244" s="320"/>
      <c r="W2244" s="320"/>
      <c r="X2244" s="229">
        <v>42736</v>
      </c>
      <c r="Y2244" s="229">
        <v>45291</v>
      </c>
    </row>
    <row r="2245" s="5" customFormat="1" customHeight="1" spans="1:25">
      <c r="A2245" s="307" t="s">
        <v>448</v>
      </c>
      <c r="B2245" s="307" t="s">
        <v>3037</v>
      </c>
      <c r="C2245" s="307" t="s">
        <v>63</v>
      </c>
      <c r="D2245" s="307" t="s">
        <v>3038</v>
      </c>
      <c r="E2245" s="23" t="s">
        <v>3039</v>
      </c>
      <c r="F2245" s="307" t="s">
        <v>3040</v>
      </c>
      <c r="G2245" s="308" t="s">
        <v>67</v>
      </c>
      <c r="H2245" s="309" t="s">
        <v>3041</v>
      </c>
      <c r="I2245" s="46" t="e">
        <f>VLOOKUP(H2245,'合同高级查询数据-4月返'!A:A,1,FALSE)</f>
        <v>#N/A</v>
      </c>
      <c r="J2245" s="309" t="s">
        <v>67</v>
      </c>
      <c r="K2245" s="308" t="s">
        <v>3043</v>
      </c>
      <c r="L2245" s="228"/>
      <c r="M2245" s="312"/>
      <c r="N2245" s="313">
        <v>42064</v>
      </c>
      <c r="O2245" s="313"/>
      <c r="P2245" s="314">
        <v>30000</v>
      </c>
      <c r="Q2245" s="314">
        <v>8</v>
      </c>
      <c r="R2245" s="318">
        <f t="shared" si="62"/>
        <v>240000</v>
      </c>
      <c r="S2245" s="319">
        <v>202304</v>
      </c>
      <c r="T2245" s="233"/>
      <c r="U2245" s="233"/>
      <c r="V2245" s="320"/>
      <c r="W2245" s="320"/>
      <c r="X2245" s="229">
        <v>42736</v>
      </c>
      <c r="Y2245" s="229">
        <v>45291</v>
      </c>
    </row>
    <row r="2246" s="5" customFormat="1" customHeight="1" spans="1:25">
      <c r="A2246" s="307" t="s">
        <v>448</v>
      </c>
      <c r="B2246" s="307" t="s">
        <v>3037</v>
      </c>
      <c r="C2246" s="307" t="s">
        <v>63</v>
      </c>
      <c r="D2246" s="307" t="s">
        <v>3038</v>
      </c>
      <c r="E2246" s="23" t="s">
        <v>3039</v>
      </c>
      <c r="F2246" s="307" t="s">
        <v>3040</v>
      </c>
      <c r="G2246" s="309" t="s">
        <v>78</v>
      </c>
      <c r="H2246" s="309" t="s">
        <v>3045</v>
      </c>
      <c r="I2246" s="46" t="e">
        <f>VLOOKUP(H2246,'合同高级查询数据-4月返'!A:A,1,FALSE)</f>
        <v>#N/A</v>
      </c>
      <c r="J2246" s="309" t="s">
        <v>3046</v>
      </c>
      <c r="K2246" s="308" t="s">
        <v>3043</v>
      </c>
      <c r="L2246" s="228"/>
      <c r="M2246" s="312"/>
      <c r="N2246" s="313">
        <v>42064</v>
      </c>
      <c r="O2246" s="313"/>
      <c r="P2246" s="314">
        <v>30000</v>
      </c>
      <c r="Q2246" s="314">
        <v>6</v>
      </c>
      <c r="R2246" s="318">
        <v>180000</v>
      </c>
      <c r="S2246" s="319">
        <v>202304</v>
      </c>
      <c r="T2246" s="233" t="s">
        <v>3047</v>
      </c>
      <c r="U2246" s="233"/>
      <c r="V2246" s="320"/>
      <c r="W2246" s="320"/>
      <c r="X2246" s="229">
        <v>44743</v>
      </c>
      <c r="Y2246" s="229">
        <v>45107</v>
      </c>
    </row>
    <row r="2247" s="5" customFormat="1" customHeight="1" spans="1:25">
      <c r="A2247" s="307" t="s">
        <v>448</v>
      </c>
      <c r="B2247" s="307" t="s">
        <v>3037</v>
      </c>
      <c r="C2247" s="307" t="s">
        <v>63</v>
      </c>
      <c r="D2247" s="307" t="s">
        <v>3038</v>
      </c>
      <c r="E2247" s="23" t="s">
        <v>3039</v>
      </c>
      <c r="F2247" s="307" t="s">
        <v>3040</v>
      </c>
      <c r="G2247" s="309" t="s">
        <v>31</v>
      </c>
      <c r="H2247" s="309" t="s">
        <v>3041</v>
      </c>
      <c r="I2247" s="46" t="e">
        <f>VLOOKUP(H2247,'合同高级查询数据-4月返'!A:A,1,FALSE)</f>
        <v>#N/A</v>
      </c>
      <c r="J2247" s="309" t="s">
        <v>3048</v>
      </c>
      <c r="K2247" s="308" t="s">
        <v>3043</v>
      </c>
      <c r="L2247" s="228"/>
      <c r="M2247" s="312"/>
      <c r="N2247" s="313">
        <v>42064</v>
      </c>
      <c r="O2247" s="313"/>
      <c r="P2247" s="314">
        <v>160000</v>
      </c>
      <c r="Q2247" s="314">
        <v>1</v>
      </c>
      <c r="R2247" s="318">
        <f t="shared" si="62"/>
        <v>160000</v>
      </c>
      <c r="S2247" s="319">
        <v>202304</v>
      </c>
      <c r="T2247" s="233" t="s">
        <v>3049</v>
      </c>
      <c r="U2247" s="233"/>
      <c r="V2247" s="320"/>
      <c r="W2247" s="320"/>
      <c r="X2247" s="229">
        <v>42736</v>
      </c>
      <c r="Y2247" s="229">
        <v>45291</v>
      </c>
    </row>
    <row r="2248" s="5" customFormat="1" customHeight="1" spans="1:25">
      <c r="A2248" s="307" t="s">
        <v>448</v>
      </c>
      <c r="B2248" s="307" t="s">
        <v>3037</v>
      </c>
      <c r="C2248" s="307" t="s">
        <v>63</v>
      </c>
      <c r="D2248" s="307" t="s">
        <v>3038</v>
      </c>
      <c r="E2248" s="23" t="s">
        <v>3039</v>
      </c>
      <c r="F2248" s="307" t="s">
        <v>3040</v>
      </c>
      <c r="G2248" s="308" t="s">
        <v>88</v>
      </c>
      <c r="H2248" s="309" t="s">
        <v>3050</v>
      </c>
      <c r="I2248" s="46" t="e">
        <f>VLOOKUP(H2248,'合同高级查询数据-4月返'!A:A,1,FALSE)</f>
        <v>#N/A</v>
      </c>
      <c r="J2248" s="309" t="s">
        <v>3042</v>
      </c>
      <c r="K2248" s="308" t="s">
        <v>3051</v>
      </c>
      <c r="L2248" s="228"/>
      <c r="M2248" s="312" t="s">
        <v>3052</v>
      </c>
      <c r="N2248" s="313">
        <v>42125</v>
      </c>
      <c r="O2248" s="313" t="s">
        <v>503</v>
      </c>
      <c r="P2248" s="314">
        <v>5950</v>
      </c>
      <c r="Q2248" s="314">
        <v>977</v>
      </c>
      <c r="R2248" s="318">
        <f t="shared" si="62"/>
        <v>5813150</v>
      </c>
      <c r="S2248" s="319">
        <v>202304</v>
      </c>
      <c r="T2248" s="233" t="s">
        <v>3053</v>
      </c>
      <c r="U2248" s="233"/>
      <c r="V2248" s="320"/>
      <c r="W2248" s="320"/>
      <c r="X2248" s="229">
        <v>44409</v>
      </c>
      <c r="Y2248" s="229">
        <v>45138</v>
      </c>
    </row>
    <row r="2249" s="5" customFormat="1" customHeight="1" spans="1:25">
      <c r="A2249" s="307" t="s">
        <v>448</v>
      </c>
      <c r="B2249" s="307" t="s">
        <v>3037</v>
      </c>
      <c r="C2249" s="307" t="s">
        <v>63</v>
      </c>
      <c r="D2249" s="307" t="s">
        <v>3038</v>
      </c>
      <c r="E2249" s="23" t="s">
        <v>3039</v>
      </c>
      <c r="F2249" s="307" t="s">
        <v>3040</v>
      </c>
      <c r="G2249" s="308" t="s">
        <v>88</v>
      </c>
      <c r="H2249" s="309" t="s">
        <v>3050</v>
      </c>
      <c r="I2249" s="46" t="e">
        <f>VLOOKUP(H2249,'合同高级查询数据-4月返'!A:A,1,FALSE)</f>
        <v>#N/A</v>
      </c>
      <c r="J2249" s="309" t="s">
        <v>3042</v>
      </c>
      <c r="K2249" s="308" t="s">
        <v>3051</v>
      </c>
      <c r="L2249" s="228"/>
      <c r="M2249" s="312" t="s">
        <v>3052</v>
      </c>
      <c r="N2249" s="313">
        <v>43586</v>
      </c>
      <c r="O2249" s="313" t="s">
        <v>600</v>
      </c>
      <c r="P2249" s="314">
        <v>5950</v>
      </c>
      <c r="Q2249" s="314">
        <v>2</v>
      </c>
      <c r="R2249" s="318">
        <f t="shared" si="62"/>
        <v>11900</v>
      </c>
      <c r="S2249" s="319">
        <v>202304</v>
      </c>
      <c r="T2249" s="233"/>
      <c r="U2249" s="233"/>
      <c r="V2249" s="320"/>
      <c r="W2249" s="320"/>
      <c r="X2249" s="229">
        <v>44409</v>
      </c>
      <c r="Y2249" s="229">
        <v>45138</v>
      </c>
    </row>
    <row r="2250" s="5" customFormat="1" customHeight="1" spans="1:25">
      <c r="A2250" s="307" t="s">
        <v>448</v>
      </c>
      <c r="B2250" s="307" t="s">
        <v>3037</v>
      </c>
      <c r="C2250" s="307" t="s">
        <v>63</v>
      </c>
      <c r="D2250" s="307" t="s">
        <v>3038</v>
      </c>
      <c r="E2250" s="23" t="s">
        <v>3039</v>
      </c>
      <c r="F2250" s="307" t="s">
        <v>3040</v>
      </c>
      <c r="G2250" s="308" t="s">
        <v>88</v>
      </c>
      <c r="H2250" s="309" t="s">
        <v>3050</v>
      </c>
      <c r="I2250" s="46" t="e">
        <f>VLOOKUP(H2250,'合同高级查询数据-4月返'!A:A,1,FALSE)</f>
        <v>#N/A</v>
      </c>
      <c r="J2250" s="309" t="s">
        <v>3042</v>
      </c>
      <c r="K2250" s="308" t="s">
        <v>3051</v>
      </c>
      <c r="L2250" s="228"/>
      <c r="M2250" s="312" t="s">
        <v>3052</v>
      </c>
      <c r="N2250" s="313">
        <v>42125</v>
      </c>
      <c r="O2250" s="313" t="s">
        <v>561</v>
      </c>
      <c r="P2250" s="314">
        <v>8050</v>
      </c>
      <c r="Q2250" s="314">
        <v>1</v>
      </c>
      <c r="R2250" s="318">
        <f t="shared" si="62"/>
        <v>8050</v>
      </c>
      <c r="S2250" s="319">
        <v>202304</v>
      </c>
      <c r="T2250" s="233"/>
      <c r="U2250" s="233"/>
      <c r="V2250" s="320"/>
      <c r="W2250" s="320"/>
      <c r="X2250" s="229">
        <v>44409</v>
      </c>
      <c r="Y2250" s="229">
        <v>45138</v>
      </c>
    </row>
    <row r="2251" s="5" customFormat="1" customHeight="1" spans="1:25">
      <c r="A2251" s="307" t="s">
        <v>448</v>
      </c>
      <c r="B2251" s="307" t="s">
        <v>3037</v>
      </c>
      <c r="C2251" s="307" t="s">
        <v>63</v>
      </c>
      <c r="D2251" s="307" t="s">
        <v>3038</v>
      </c>
      <c r="E2251" s="23" t="s">
        <v>3039</v>
      </c>
      <c r="F2251" s="307" t="s">
        <v>3040</v>
      </c>
      <c r="G2251" s="308" t="s">
        <v>88</v>
      </c>
      <c r="H2251" s="309" t="s">
        <v>3050</v>
      </c>
      <c r="I2251" s="46" t="e">
        <f>VLOOKUP(H2251,'合同高级查询数据-4月返'!A:A,1,FALSE)</f>
        <v>#N/A</v>
      </c>
      <c r="J2251" s="309" t="s">
        <v>3042</v>
      </c>
      <c r="K2251" s="308" t="s">
        <v>3051</v>
      </c>
      <c r="L2251" s="228"/>
      <c r="M2251" s="312" t="s">
        <v>3052</v>
      </c>
      <c r="N2251" s="313">
        <v>42125</v>
      </c>
      <c r="O2251" s="313" t="s">
        <v>561</v>
      </c>
      <c r="P2251" s="314">
        <v>8050</v>
      </c>
      <c r="Q2251" s="314">
        <v>1</v>
      </c>
      <c r="R2251" s="318">
        <f t="shared" si="62"/>
        <v>8050</v>
      </c>
      <c r="S2251" s="319">
        <v>202304</v>
      </c>
      <c r="T2251" s="233"/>
      <c r="U2251" s="233"/>
      <c r="V2251" s="320"/>
      <c r="W2251" s="320"/>
      <c r="X2251" s="229">
        <v>44409</v>
      </c>
      <c r="Y2251" s="229">
        <v>45138</v>
      </c>
    </row>
    <row r="2252" s="5" customFormat="1" customHeight="1" spans="1:25">
      <c r="A2252" s="307" t="s">
        <v>448</v>
      </c>
      <c r="B2252" s="307" t="s">
        <v>3037</v>
      </c>
      <c r="C2252" s="307" t="s">
        <v>63</v>
      </c>
      <c r="D2252" s="307" t="s">
        <v>3038</v>
      </c>
      <c r="E2252" s="23" t="s">
        <v>3039</v>
      </c>
      <c r="F2252" s="307" t="s">
        <v>3040</v>
      </c>
      <c r="G2252" s="308" t="s">
        <v>88</v>
      </c>
      <c r="H2252" s="309" t="s">
        <v>3050</v>
      </c>
      <c r="I2252" s="46" t="e">
        <f>VLOOKUP(H2252,'合同高级查询数据-4月返'!A:A,1,FALSE)</f>
        <v>#N/A</v>
      </c>
      <c r="J2252" s="309" t="s">
        <v>3042</v>
      </c>
      <c r="K2252" s="308" t="s">
        <v>3051</v>
      </c>
      <c r="L2252" s="228"/>
      <c r="M2252" s="312" t="s">
        <v>3052</v>
      </c>
      <c r="N2252" s="313">
        <v>42125</v>
      </c>
      <c r="O2252" s="313" t="s">
        <v>3054</v>
      </c>
      <c r="P2252" s="314">
        <v>14950</v>
      </c>
      <c r="Q2252" s="314">
        <v>4</v>
      </c>
      <c r="R2252" s="318">
        <f t="shared" si="62"/>
        <v>59800</v>
      </c>
      <c r="S2252" s="319">
        <v>202304</v>
      </c>
      <c r="T2252" s="233"/>
      <c r="U2252" s="233"/>
      <c r="V2252" s="320"/>
      <c r="W2252" s="320"/>
      <c r="X2252" s="229">
        <v>44409</v>
      </c>
      <c r="Y2252" s="229">
        <v>45138</v>
      </c>
    </row>
    <row r="2253" s="5" customFormat="1" customHeight="1" spans="1:25">
      <c r="A2253" s="307" t="s">
        <v>448</v>
      </c>
      <c r="B2253" s="307" t="s">
        <v>3037</v>
      </c>
      <c r="C2253" s="307" t="s">
        <v>63</v>
      </c>
      <c r="D2253" s="307" t="s">
        <v>3038</v>
      </c>
      <c r="E2253" s="23" t="s">
        <v>3039</v>
      </c>
      <c r="F2253" s="307" t="s">
        <v>3040</v>
      </c>
      <c r="G2253" s="308" t="s">
        <v>88</v>
      </c>
      <c r="H2253" s="309" t="s">
        <v>3050</v>
      </c>
      <c r="I2253" s="46" t="e">
        <f>VLOOKUP(H2253,'合同高级查询数据-4月返'!A:A,1,FALSE)</f>
        <v>#N/A</v>
      </c>
      <c r="J2253" s="309" t="s">
        <v>3042</v>
      </c>
      <c r="K2253" s="308" t="s">
        <v>3051</v>
      </c>
      <c r="L2253" s="228"/>
      <c r="M2253" s="312" t="s">
        <v>3052</v>
      </c>
      <c r="N2253" s="313">
        <v>43680</v>
      </c>
      <c r="O2253" s="313" t="s">
        <v>503</v>
      </c>
      <c r="P2253" s="314">
        <v>5950</v>
      </c>
      <c r="Q2253" s="314">
        <v>2</v>
      </c>
      <c r="R2253" s="318">
        <f t="shared" si="62"/>
        <v>11900</v>
      </c>
      <c r="S2253" s="319">
        <v>202304</v>
      </c>
      <c r="T2253" s="233" t="s">
        <v>3055</v>
      </c>
      <c r="U2253" s="233"/>
      <c r="V2253" s="320"/>
      <c r="W2253" s="320"/>
      <c r="X2253" s="229">
        <v>44409</v>
      </c>
      <c r="Y2253" s="229">
        <v>45138</v>
      </c>
    </row>
    <row r="2254" s="5" customFormat="1" customHeight="1" spans="1:25">
      <c r="A2254" s="307" t="s">
        <v>448</v>
      </c>
      <c r="B2254" s="307" t="s">
        <v>3037</v>
      </c>
      <c r="C2254" s="307" t="s">
        <v>63</v>
      </c>
      <c r="D2254" s="307" t="s">
        <v>3038</v>
      </c>
      <c r="E2254" s="23" t="s">
        <v>3039</v>
      </c>
      <c r="F2254" s="307" t="s">
        <v>3040</v>
      </c>
      <c r="G2254" s="308" t="s">
        <v>67</v>
      </c>
      <c r="H2254" s="309" t="s">
        <v>3050</v>
      </c>
      <c r="I2254" s="46" t="e">
        <f>VLOOKUP(H2254,'合同高级查询数据-4月返'!A:A,1,FALSE)</f>
        <v>#N/A</v>
      </c>
      <c r="J2254" s="309" t="s">
        <v>67</v>
      </c>
      <c r="K2254" s="308" t="s">
        <v>3051</v>
      </c>
      <c r="L2254" s="228"/>
      <c r="M2254" s="312"/>
      <c r="N2254" s="313">
        <v>42125</v>
      </c>
      <c r="O2254" s="313"/>
      <c r="P2254" s="314">
        <v>42000</v>
      </c>
      <c r="Q2254" s="314">
        <v>2</v>
      </c>
      <c r="R2254" s="318">
        <f t="shared" si="62"/>
        <v>84000</v>
      </c>
      <c r="S2254" s="319">
        <v>202304</v>
      </c>
      <c r="T2254" s="233"/>
      <c r="U2254" s="233"/>
      <c r="V2254" s="320"/>
      <c r="W2254" s="320"/>
      <c r="X2254" s="229">
        <v>44409</v>
      </c>
      <c r="Y2254" s="229">
        <v>45138</v>
      </c>
    </row>
    <row r="2255" s="5" customFormat="1" customHeight="1" spans="1:25">
      <c r="A2255" s="307" t="s">
        <v>448</v>
      </c>
      <c r="B2255" s="307" t="s">
        <v>3037</v>
      </c>
      <c r="C2255" s="307" t="s">
        <v>63</v>
      </c>
      <c r="D2255" s="307" t="s">
        <v>3038</v>
      </c>
      <c r="E2255" s="23" t="s">
        <v>3039</v>
      </c>
      <c r="F2255" s="307" t="s">
        <v>3040</v>
      </c>
      <c r="G2255" s="308" t="s">
        <v>78</v>
      </c>
      <c r="H2255" s="309" t="s">
        <v>3050</v>
      </c>
      <c r="I2255" s="46" t="e">
        <f>VLOOKUP(H2255,'合同高级查询数据-4月返'!A:A,1,FALSE)</f>
        <v>#N/A</v>
      </c>
      <c r="J2255" s="309" t="s">
        <v>3056</v>
      </c>
      <c r="K2255" s="308" t="s">
        <v>3051</v>
      </c>
      <c r="L2255" s="228"/>
      <c r="M2255" s="312"/>
      <c r="N2255" s="313">
        <v>42125</v>
      </c>
      <c r="O2255" s="313"/>
      <c r="P2255" s="314">
        <v>2000</v>
      </c>
      <c r="Q2255" s="314">
        <v>8</v>
      </c>
      <c r="R2255" s="318">
        <f t="shared" si="62"/>
        <v>16000</v>
      </c>
      <c r="S2255" s="319">
        <v>202304</v>
      </c>
      <c r="T2255" s="233"/>
      <c r="U2255" s="233"/>
      <c r="V2255" s="320"/>
      <c r="W2255" s="320"/>
      <c r="X2255" s="229">
        <v>44409</v>
      </c>
      <c r="Y2255" s="229">
        <v>45138</v>
      </c>
    </row>
    <row r="2256" s="5" customFormat="1" customHeight="1" spans="1:25">
      <c r="A2256" s="307" t="s">
        <v>448</v>
      </c>
      <c r="B2256" s="307" t="s">
        <v>3037</v>
      </c>
      <c r="C2256" s="307" t="s">
        <v>63</v>
      </c>
      <c r="D2256" s="307" t="s">
        <v>3038</v>
      </c>
      <c r="E2256" s="23" t="s">
        <v>3039</v>
      </c>
      <c r="F2256" s="307" t="s">
        <v>3040</v>
      </c>
      <c r="G2256" s="308" t="s">
        <v>78</v>
      </c>
      <c r="H2256" s="309" t="s">
        <v>3050</v>
      </c>
      <c r="I2256" s="46" t="e">
        <f>VLOOKUP(H2256,'合同高级查询数据-4月返'!A:A,1,FALSE)</f>
        <v>#N/A</v>
      </c>
      <c r="J2256" s="309" t="s">
        <v>3056</v>
      </c>
      <c r="K2256" s="308" t="s">
        <v>3051</v>
      </c>
      <c r="L2256" s="228"/>
      <c r="M2256" s="312"/>
      <c r="N2256" s="313" t="s">
        <v>3057</v>
      </c>
      <c r="O2256" s="313"/>
      <c r="P2256" s="314">
        <v>2000</v>
      </c>
      <c r="Q2256" s="314">
        <v>-5</v>
      </c>
      <c r="R2256" s="318">
        <f t="shared" si="62"/>
        <v>-10000</v>
      </c>
      <c r="S2256" s="319">
        <v>202304</v>
      </c>
      <c r="T2256" s="233" t="s">
        <v>3058</v>
      </c>
      <c r="U2256" s="233"/>
      <c r="V2256" s="320"/>
      <c r="W2256" s="320"/>
      <c r="X2256" s="229">
        <v>44409</v>
      </c>
      <c r="Y2256" s="229">
        <v>45138</v>
      </c>
    </row>
    <row r="2257" s="5" customFormat="1" customHeight="1" spans="1:25">
      <c r="A2257" s="307" t="s">
        <v>448</v>
      </c>
      <c r="B2257" s="307" t="s">
        <v>3037</v>
      </c>
      <c r="C2257" s="307" t="s">
        <v>63</v>
      </c>
      <c r="D2257" s="307" t="s">
        <v>3038</v>
      </c>
      <c r="E2257" s="23" t="s">
        <v>3039</v>
      </c>
      <c r="F2257" s="307" t="s">
        <v>3040</v>
      </c>
      <c r="G2257" s="308" t="s">
        <v>78</v>
      </c>
      <c r="H2257" s="309" t="s">
        <v>3050</v>
      </c>
      <c r="I2257" s="46" t="e">
        <f>VLOOKUP(H2257,'合同高级查询数据-4月返'!A:A,1,FALSE)</f>
        <v>#N/A</v>
      </c>
      <c r="J2257" s="309" t="s">
        <v>3056</v>
      </c>
      <c r="K2257" s="308" t="s">
        <v>3051</v>
      </c>
      <c r="L2257" s="228"/>
      <c r="M2257" s="312"/>
      <c r="N2257" s="313">
        <v>44804</v>
      </c>
      <c r="O2257" s="313"/>
      <c r="P2257" s="314">
        <v>2000</v>
      </c>
      <c r="Q2257" s="314">
        <v>-3</v>
      </c>
      <c r="R2257" s="318">
        <f t="shared" si="62"/>
        <v>-6000</v>
      </c>
      <c r="S2257" s="319">
        <v>202304</v>
      </c>
      <c r="T2257" s="233" t="s">
        <v>3059</v>
      </c>
      <c r="U2257" s="233"/>
      <c r="V2257" s="320"/>
      <c r="W2257" s="320"/>
      <c r="X2257" s="229">
        <v>44409</v>
      </c>
      <c r="Y2257" s="229">
        <v>45138</v>
      </c>
    </row>
    <row r="2258" s="5" customFormat="1" customHeight="1" spans="1:25">
      <c r="A2258" s="307" t="s">
        <v>448</v>
      </c>
      <c r="B2258" s="307" t="s">
        <v>3037</v>
      </c>
      <c r="C2258" s="307" t="s">
        <v>63</v>
      </c>
      <c r="D2258" s="307" t="s">
        <v>3038</v>
      </c>
      <c r="E2258" s="23" t="s">
        <v>3039</v>
      </c>
      <c r="F2258" s="307" t="s">
        <v>3040</v>
      </c>
      <c r="G2258" s="308" t="s">
        <v>78</v>
      </c>
      <c r="H2258" s="309" t="s">
        <v>3050</v>
      </c>
      <c r="I2258" s="46" t="e">
        <f>VLOOKUP(H2258,'合同高级查询数据-4月返'!A:A,1,FALSE)</f>
        <v>#N/A</v>
      </c>
      <c r="J2258" s="309" t="s">
        <v>3060</v>
      </c>
      <c r="K2258" s="308" t="s">
        <v>3051</v>
      </c>
      <c r="L2258" s="228"/>
      <c r="M2258" s="312"/>
      <c r="N2258" s="313">
        <v>42125</v>
      </c>
      <c r="O2258" s="313"/>
      <c r="P2258" s="314">
        <v>5000</v>
      </c>
      <c r="Q2258" s="314">
        <v>1</v>
      </c>
      <c r="R2258" s="318">
        <f t="shared" si="62"/>
        <v>5000</v>
      </c>
      <c r="S2258" s="319">
        <v>202304</v>
      </c>
      <c r="T2258" s="233"/>
      <c r="U2258" s="233"/>
      <c r="V2258" s="320"/>
      <c r="W2258" s="320"/>
      <c r="X2258" s="229">
        <v>44409</v>
      </c>
      <c r="Y2258" s="229">
        <v>45138</v>
      </c>
    </row>
    <row r="2259" s="5" customFormat="1" customHeight="1" spans="1:25">
      <c r="A2259" s="307" t="s">
        <v>448</v>
      </c>
      <c r="B2259" s="307" t="s">
        <v>3037</v>
      </c>
      <c r="C2259" s="307" t="s">
        <v>63</v>
      </c>
      <c r="D2259" s="307" t="s">
        <v>3038</v>
      </c>
      <c r="E2259" s="23" t="s">
        <v>3039</v>
      </c>
      <c r="F2259" s="307" t="s">
        <v>3040</v>
      </c>
      <c r="G2259" s="308" t="s">
        <v>78</v>
      </c>
      <c r="H2259" s="309" t="s">
        <v>3050</v>
      </c>
      <c r="I2259" s="46" t="e">
        <f>VLOOKUP(H2259,'合同高级查询数据-4月返'!A:A,1,FALSE)</f>
        <v>#N/A</v>
      </c>
      <c r="J2259" s="309" t="s">
        <v>3060</v>
      </c>
      <c r="K2259" s="308" t="s">
        <v>3051</v>
      </c>
      <c r="L2259" s="228"/>
      <c r="M2259" s="312"/>
      <c r="N2259" s="313">
        <v>44804</v>
      </c>
      <c r="O2259" s="313"/>
      <c r="P2259" s="314">
        <v>5000</v>
      </c>
      <c r="Q2259" s="314">
        <v>-1</v>
      </c>
      <c r="R2259" s="318">
        <f t="shared" si="62"/>
        <v>-5000</v>
      </c>
      <c r="S2259" s="319">
        <v>202304</v>
      </c>
      <c r="T2259" s="233" t="s">
        <v>3059</v>
      </c>
      <c r="U2259" s="233"/>
      <c r="V2259" s="320"/>
      <c r="W2259" s="320"/>
      <c r="X2259" s="229">
        <v>44409</v>
      </c>
      <c r="Y2259" s="229">
        <v>45138</v>
      </c>
    </row>
    <row r="2260" s="5" customFormat="1" customHeight="1" spans="1:25">
      <c r="A2260" s="307" t="s">
        <v>448</v>
      </c>
      <c r="B2260" s="307" t="s">
        <v>3037</v>
      </c>
      <c r="C2260" s="307" t="s">
        <v>63</v>
      </c>
      <c r="D2260" s="307" t="s">
        <v>3038</v>
      </c>
      <c r="E2260" s="23" t="s">
        <v>3039</v>
      </c>
      <c r="F2260" s="307" t="s">
        <v>3040</v>
      </c>
      <c r="G2260" s="308" t="s">
        <v>88</v>
      </c>
      <c r="H2260" s="309" t="s">
        <v>3050</v>
      </c>
      <c r="I2260" s="46" t="e">
        <f>VLOOKUP(H2260,'合同高级查询数据-4月返'!A:A,1,FALSE)</f>
        <v>#N/A</v>
      </c>
      <c r="J2260" s="309" t="s">
        <v>3042</v>
      </c>
      <c r="K2260" s="308" t="s">
        <v>3051</v>
      </c>
      <c r="L2260" s="228"/>
      <c r="M2260" s="312" t="s">
        <v>3052</v>
      </c>
      <c r="N2260" s="313" t="s">
        <v>3061</v>
      </c>
      <c r="O2260" s="313" t="s">
        <v>503</v>
      </c>
      <c r="P2260" s="314">
        <v>5950</v>
      </c>
      <c r="Q2260" s="314">
        <v>-4</v>
      </c>
      <c r="R2260" s="318">
        <f t="shared" si="62"/>
        <v>-23800</v>
      </c>
      <c r="S2260" s="319">
        <v>202304</v>
      </c>
      <c r="T2260" s="233"/>
      <c r="U2260" s="233"/>
      <c r="V2260" s="320"/>
      <c r="W2260" s="320"/>
      <c r="X2260" s="229">
        <v>44409</v>
      </c>
      <c r="Y2260" s="229">
        <v>45138</v>
      </c>
    </row>
    <row r="2261" s="5" customFormat="1" customHeight="1" spans="1:25">
      <c r="A2261" s="307" t="s">
        <v>448</v>
      </c>
      <c r="B2261" s="307" t="s">
        <v>3037</v>
      </c>
      <c r="C2261" s="307" t="s">
        <v>63</v>
      </c>
      <c r="D2261" s="307" t="s">
        <v>3038</v>
      </c>
      <c r="E2261" s="23" t="s">
        <v>3039</v>
      </c>
      <c r="F2261" s="307" t="s">
        <v>3040</v>
      </c>
      <c r="G2261" s="308" t="s">
        <v>88</v>
      </c>
      <c r="H2261" s="309" t="s">
        <v>3050</v>
      </c>
      <c r="I2261" s="46" t="e">
        <f>VLOOKUP(H2261,'合同高级查询数据-4月返'!A:A,1,FALSE)</f>
        <v>#N/A</v>
      </c>
      <c r="J2261" s="309" t="s">
        <v>3042</v>
      </c>
      <c r="K2261" s="308" t="s">
        <v>3051</v>
      </c>
      <c r="L2261" s="228"/>
      <c r="M2261" s="312" t="s">
        <v>3052</v>
      </c>
      <c r="N2261" s="313" t="s">
        <v>3062</v>
      </c>
      <c r="O2261" s="313" t="s">
        <v>503</v>
      </c>
      <c r="P2261" s="314">
        <v>5950</v>
      </c>
      <c r="Q2261" s="314">
        <v>-581</v>
      </c>
      <c r="R2261" s="318">
        <f t="shared" si="62"/>
        <v>-3456950</v>
      </c>
      <c r="S2261" s="319">
        <v>202304</v>
      </c>
      <c r="T2261" s="233"/>
      <c r="U2261" s="233"/>
      <c r="V2261" s="320"/>
      <c r="W2261" s="320"/>
      <c r="X2261" s="229">
        <v>44409</v>
      </c>
      <c r="Y2261" s="229">
        <v>45138</v>
      </c>
    </row>
    <row r="2262" s="5" customFormat="1" customHeight="1" spans="1:25">
      <c r="A2262" s="307" t="s">
        <v>448</v>
      </c>
      <c r="B2262" s="307" t="s">
        <v>3037</v>
      </c>
      <c r="C2262" s="307" t="s">
        <v>63</v>
      </c>
      <c r="D2262" s="307" t="s">
        <v>3038</v>
      </c>
      <c r="E2262" s="23" t="s">
        <v>3039</v>
      </c>
      <c r="F2262" s="307" t="s">
        <v>3040</v>
      </c>
      <c r="G2262" s="308" t="s">
        <v>88</v>
      </c>
      <c r="H2262" s="309" t="s">
        <v>3050</v>
      </c>
      <c r="I2262" s="46" t="e">
        <f>VLOOKUP(H2262,'合同高级查询数据-4月返'!A:A,1,FALSE)</f>
        <v>#N/A</v>
      </c>
      <c r="J2262" s="309" t="s">
        <v>3042</v>
      </c>
      <c r="K2262" s="308" t="s">
        <v>3051</v>
      </c>
      <c r="L2262" s="228"/>
      <c r="M2262" s="312" t="s">
        <v>3052</v>
      </c>
      <c r="N2262" s="313">
        <v>44285</v>
      </c>
      <c r="O2262" s="313" t="s">
        <v>503</v>
      </c>
      <c r="P2262" s="314">
        <v>5950</v>
      </c>
      <c r="Q2262" s="314">
        <v>100</v>
      </c>
      <c r="R2262" s="318">
        <f t="shared" si="62"/>
        <v>595000</v>
      </c>
      <c r="S2262" s="319">
        <v>202304</v>
      </c>
      <c r="T2262" s="233" t="s">
        <v>3063</v>
      </c>
      <c r="U2262" s="233"/>
      <c r="V2262" s="320"/>
      <c r="W2262" s="320"/>
      <c r="X2262" s="229">
        <v>44409</v>
      </c>
      <c r="Y2262" s="229">
        <v>45138</v>
      </c>
    </row>
    <row r="2263" s="5" customFormat="1" customHeight="1" spans="1:25">
      <c r="A2263" s="307" t="s">
        <v>448</v>
      </c>
      <c r="B2263" s="307" t="s">
        <v>3037</v>
      </c>
      <c r="C2263" s="307" t="s">
        <v>63</v>
      </c>
      <c r="D2263" s="307" t="s">
        <v>3038</v>
      </c>
      <c r="E2263" s="23" t="s">
        <v>3039</v>
      </c>
      <c r="F2263" s="307" t="s">
        <v>3040</v>
      </c>
      <c r="G2263" s="308" t="s">
        <v>88</v>
      </c>
      <c r="H2263" s="309" t="s">
        <v>3050</v>
      </c>
      <c r="I2263" s="46" t="e">
        <f>VLOOKUP(H2263,'合同高级查询数据-4月返'!A:A,1,FALSE)</f>
        <v>#N/A</v>
      </c>
      <c r="J2263" s="309" t="s">
        <v>3042</v>
      </c>
      <c r="K2263" s="308" t="s">
        <v>3051</v>
      </c>
      <c r="L2263" s="228"/>
      <c r="M2263" s="312" t="s">
        <v>3052</v>
      </c>
      <c r="N2263" s="313">
        <v>44293</v>
      </c>
      <c r="O2263" s="313" t="s">
        <v>503</v>
      </c>
      <c r="P2263" s="314">
        <v>5950</v>
      </c>
      <c r="Q2263" s="314">
        <v>307</v>
      </c>
      <c r="R2263" s="318">
        <f t="shared" si="62"/>
        <v>1826650</v>
      </c>
      <c r="S2263" s="319">
        <v>202304</v>
      </c>
      <c r="T2263" s="233" t="s">
        <v>3064</v>
      </c>
      <c r="U2263" s="233"/>
      <c r="V2263" s="320"/>
      <c r="W2263" s="320"/>
      <c r="X2263" s="229">
        <v>44409</v>
      </c>
      <c r="Y2263" s="229">
        <v>45138</v>
      </c>
    </row>
    <row r="2264" s="5" customFormat="1" customHeight="1" spans="1:25">
      <c r="A2264" s="307" t="s">
        <v>448</v>
      </c>
      <c r="B2264" s="307" t="s">
        <v>3037</v>
      </c>
      <c r="C2264" s="307" t="s">
        <v>63</v>
      </c>
      <c r="D2264" s="307" t="s">
        <v>3038</v>
      </c>
      <c r="E2264" s="23" t="s">
        <v>3039</v>
      </c>
      <c r="F2264" s="307" t="s">
        <v>3040</v>
      </c>
      <c r="G2264" s="308" t="s">
        <v>88</v>
      </c>
      <c r="H2264" s="309" t="s">
        <v>3050</v>
      </c>
      <c r="I2264" s="46" t="e">
        <f>VLOOKUP(H2264,'合同高级查询数据-4月返'!A:A,1,FALSE)</f>
        <v>#N/A</v>
      </c>
      <c r="J2264" s="309" t="s">
        <v>3042</v>
      </c>
      <c r="K2264" s="308" t="s">
        <v>3051</v>
      </c>
      <c r="L2264" s="228"/>
      <c r="M2264" s="312" t="s">
        <v>3052</v>
      </c>
      <c r="N2264" s="313">
        <v>44302</v>
      </c>
      <c r="O2264" s="313" t="s">
        <v>503</v>
      </c>
      <c r="P2264" s="314">
        <v>5950</v>
      </c>
      <c r="Q2264" s="314">
        <v>174</v>
      </c>
      <c r="R2264" s="318">
        <f t="shared" si="62"/>
        <v>1035300</v>
      </c>
      <c r="S2264" s="319">
        <v>202304</v>
      </c>
      <c r="T2264" s="233" t="s">
        <v>3065</v>
      </c>
      <c r="U2264" s="233"/>
      <c r="V2264" s="320"/>
      <c r="W2264" s="320"/>
      <c r="X2264" s="229">
        <v>44409</v>
      </c>
      <c r="Y2264" s="229">
        <v>45138</v>
      </c>
    </row>
    <row r="2265" s="5" customFormat="1" customHeight="1" spans="1:25">
      <c r="A2265" s="307" t="s">
        <v>448</v>
      </c>
      <c r="B2265" s="307" t="s">
        <v>3037</v>
      </c>
      <c r="C2265" s="307" t="s">
        <v>63</v>
      </c>
      <c r="D2265" s="307" t="s">
        <v>3038</v>
      </c>
      <c r="E2265" s="23" t="s">
        <v>3039</v>
      </c>
      <c r="F2265" s="307" t="s">
        <v>3040</v>
      </c>
      <c r="G2265" s="308" t="s">
        <v>88</v>
      </c>
      <c r="H2265" s="309" t="s">
        <v>3050</v>
      </c>
      <c r="I2265" s="46" t="e">
        <f>VLOOKUP(H2265,'合同高级查询数据-4月返'!A:A,1,FALSE)</f>
        <v>#N/A</v>
      </c>
      <c r="J2265" s="309" t="s">
        <v>3042</v>
      </c>
      <c r="K2265" s="308" t="s">
        <v>3051</v>
      </c>
      <c r="L2265" s="228"/>
      <c r="M2265" s="312" t="s">
        <v>3052</v>
      </c>
      <c r="N2265" s="313">
        <v>44774</v>
      </c>
      <c r="O2265" s="313" t="s">
        <v>503</v>
      </c>
      <c r="P2265" s="314">
        <v>5950</v>
      </c>
      <c r="Q2265" s="314">
        <v>-973</v>
      </c>
      <c r="R2265" s="318">
        <f t="shared" ref="R2265:R2270" si="63">ROUND(P2265*Q2265,2)</f>
        <v>-5789350</v>
      </c>
      <c r="S2265" s="319">
        <v>202304</v>
      </c>
      <c r="T2265" s="233" t="s">
        <v>3066</v>
      </c>
      <c r="U2265" s="233"/>
      <c r="V2265" s="320"/>
      <c r="W2265" s="320"/>
      <c r="X2265" s="229">
        <v>44409</v>
      </c>
      <c r="Y2265" s="229">
        <v>45138</v>
      </c>
    </row>
    <row r="2266" s="5" customFormat="1" customHeight="1" spans="1:25">
      <c r="A2266" s="307" t="s">
        <v>448</v>
      </c>
      <c r="B2266" s="307" t="s">
        <v>3037</v>
      </c>
      <c r="C2266" s="307" t="s">
        <v>63</v>
      </c>
      <c r="D2266" s="307" t="s">
        <v>3038</v>
      </c>
      <c r="E2266" s="23" t="s">
        <v>3039</v>
      </c>
      <c r="F2266" s="307" t="s">
        <v>3040</v>
      </c>
      <c r="G2266" s="308" t="s">
        <v>88</v>
      </c>
      <c r="H2266" s="309" t="s">
        <v>3050</v>
      </c>
      <c r="I2266" s="46" t="e">
        <f>VLOOKUP(H2266,'合同高级查询数据-4月返'!A:A,1,FALSE)</f>
        <v>#N/A</v>
      </c>
      <c r="J2266" s="309" t="s">
        <v>3042</v>
      </c>
      <c r="K2266" s="308" t="s">
        <v>3051</v>
      </c>
      <c r="L2266" s="228"/>
      <c r="M2266" s="312" t="s">
        <v>3052</v>
      </c>
      <c r="N2266" s="313">
        <v>44774</v>
      </c>
      <c r="O2266" s="313" t="s">
        <v>561</v>
      </c>
      <c r="P2266" s="314">
        <v>8050</v>
      </c>
      <c r="Q2266" s="314">
        <v>-1</v>
      </c>
      <c r="R2266" s="318">
        <f t="shared" si="63"/>
        <v>-8050</v>
      </c>
      <c r="S2266" s="319">
        <v>202304</v>
      </c>
      <c r="T2266" s="233" t="s">
        <v>3067</v>
      </c>
      <c r="U2266" s="233"/>
      <c r="V2266" s="320"/>
      <c r="W2266" s="320"/>
      <c r="X2266" s="229">
        <v>44409</v>
      </c>
      <c r="Y2266" s="229">
        <v>45138</v>
      </c>
    </row>
    <row r="2267" s="5" customFormat="1" customHeight="1" spans="1:25">
      <c r="A2267" s="307" t="s">
        <v>448</v>
      </c>
      <c r="B2267" s="307" t="s">
        <v>3037</v>
      </c>
      <c r="C2267" s="307" t="s">
        <v>63</v>
      </c>
      <c r="D2267" s="307" t="s">
        <v>3038</v>
      </c>
      <c r="E2267" s="23" t="s">
        <v>3039</v>
      </c>
      <c r="F2267" s="307" t="s">
        <v>3040</v>
      </c>
      <c r="G2267" s="308" t="s">
        <v>88</v>
      </c>
      <c r="H2267" s="309" t="s">
        <v>3050</v>
      </c>
      <c r="I2267" s="46" t="e">
        <f>VLOOKUP(H2267,'合同高级查询数据-4月返'!A:A,1,FALSE)</f>
        <v>#N/A</v>
      </c>
      <c r="J2267" s="309" t="s">
        <v>3042</v>
      </c>
      <c r="K2267" s="308" t="s">
        <v>3051</v>
      </c>
      <c r="L2267" s="228"/>
      <c r="M2267" s="312" t="s">
        <v>3052</v>
      </c>
      <c r="N2267" s="313">
        <v>44774</v>
      </c>
      <c r="O2267" s="313" t="s">
        <v>561</v>
      </c>
      <c r="P2267" s="314">
        <v>8050</v>
      </c>
      <c r="Q2267" s="314">
        <v>-1</v>
      </c>
      <c r="R2267" s="318">
        <f t="shared" si="63"/>
        <v>-8050</v>
      </c>
      <c r="S2267" s="319">
        <v>202304</v>
      </c>
      <c r="T2267" s="233" t="s">
        <v>3068</v>
      </c>
      <c r="U2267" s="233"/>
      <c r="V2267" s="320"/>
      <c r="W2267" s="320"/>
      <c r="X2267" s="229">
        <v>44409</v>
      </c>
      <c r="Y2267" s="229">
        <v>45138</v>
      </c>
    </row>
    <row r="2268" s="5" customFormat="1" customHeight="1" spans="1:25">
      <c r="A2268" s="307" t="s">
        <v>448</v>
      </c>
      <c r="B2268" s="307" t="s">
        <v>3037</v>
      </c>
      <c r="C2268" s="307" t="s">
        <v>63</v>
      </c>
      <c r="D2268" s="307" t="s">
        <v>3038</v>
      </c>
      <c r="E2268" s="23" t="s">
        <v>3039</v>
      </c>
      <c r="F2268" s="307" t="s">
        <v>3040</v>
      </c>
      <c r="G2268" s="308" t="s">
        <v>88</v>
      </c>
      <c r="H2268" s="309" t="s">
        <v>3050</v>
      </c>
      <c r="I2268" s="46" t="e">
        <f>VLOOKUP(H2268,'合同高级查询数据-4月返'!A:A,1,FALSE)</f>
        <v>#N/A</v>
      </c>
      <c r="J2268" s="309" t="s">
        <v>3042</v>
      </c>
      <c r="K2268" s="308" t="s">
        <v>3051</v>
      </c>
      <c r="L2268" s="228"/>
      <c r="M2268" s="312" t="s">
        <v>3052</v>
      </c>
      <c r="N2268" s="313">
        <v>44796</v>
      </c>
      <c r="O2268" s="313" t="s">
        <v>600</v>
      </c>
      <c r="P2268" s="314">
        <v>5950</v>
      </c>
      <c r="Q2268" s="314">
        <v>-2</v>
      </c>
      <c r="R2268" s="318">
        <f t="shared" si="63"/>
        <v>-11900</v>
      </c>
      <c r="S2268" s="319">
        <v>202304</v>
      </c>
      <c r="T2268" s="233" t="s">
        <v>3069</v>
      </c>
      <c r="U2268" s="233"/>
      <c r="V2268" s="320"/>
      <c r="W2268" s="320"/>
      <c r="X2268" s="229">
        <v>44409</v>
      </c>
      <c r="Y2268" s="229">
        <v>45138</v>
      </c>
    </row>
    <row r="2269" s="5" customFormat="1" customHeight="1" spans="1:25">
      <c r="A2269" s="307" t="s">
        <v>448</v>
      </c>
      <c r="B2269" s="307" t="s">
        <v>3037</v>
      </c>
      <c r="C2269" s="307" t="s">
        <v>63</v>
      </c>
      <c r="D2269" s="307" t="s">
        <v>3038</v>
      </c>
      <c r="E2269" s="23" t="s">
        <v>3039</v>
      </c>
      <c r="F2269" s="307" t="s">
        <v>3040</v>
      </c>
      <c r="G2269" s="308" t="s">
        <v>88</v>
      </c>
      <c r="H2269" s="309" t="s">
        <v>3050</v>
      </c>
      <c r="I2269" s="46" t="e">
        <f>VLOOKUP(H2269,'合同高级查询数据-4月返'!A:A,1,FALSE)</f>
        <v>#N/A</v>
      </c>
      <c r="J2269" s="309" t="s">
        <v>3042</v>
      </c>
      <c r="K2269" s="308" t="s">
        <v>3051</v>
      </c>
      <c r="L2269" s="228"/>
      <c r="M2269" s="312" t="s">
        <v>3052</v>
      </c>
      <c r="N2269" s="313">
        <v>44796</v>
      </c>
      <c r="O2269" s="313" t="s">
        <v>503</v>
      </c>
      <c r="P2269" s="314">
        <v>5950</v>
      </c>
      <c r="Q2269" s="314">
        <v>-1</v>
      </c>
      <c r="R2269" s="318">
        <f t="shared" si="63"/>
        <v>-5950</v>
      </c>
      <c r="S2269" s="319">
        <v>202304</v>
      </c>
      <c r="T2269" s="233" t="s">
        <v>3070</v>
      </c>
      <c r="U2269" s="233"/>
      <c r="V2269" s="320"/>
      <c r="W2269" s="320"/>
      <c r="X2269" s="229">
        <v>44409</v>
      </c>
      <c r="Y2269" s="229">
        <v>45138</v>
      </c>
    </row>
    <row r="2270" s="5" customFormat="1" customHeight="1" spans="1:25">
      <c r="A2270" s="307" t="s">
        <v>448</v>
      </c>
      <c r="B2270" s="307" t="s">
        <v>3037</v>
      </c>
      <c r="C2270" s="307" t="s">
        <v>63</v>
      </c>
      <c r="D2270" s="307" t="s">
        <v>3038</v>
      </c>
      <c r="E2270" s="23" t="s">
        <v>3039</v>
      </c>
      <c r="F2270" s="307" t="s">
        <v>3040</v>
      </c>
      <c r="G2270" s="308" t="s">
        <v>88</v>
      </c>
      <c r="H2270" s="309" t="s">
        <v>3050</v>
      </c>
      <c r="I2270" s="46" t="e">
        <f>VLOOKUP(H2270,'合同高级查询数据-4月返'!A:A,1,FALSE)</f>
        <v>#N/A</v>
      </c>
      <c r="J2270" s="309" t="s">
        <v>3042</v>
      </c>
      <c r="K2270" s="308" t="s">
        <v>3051</v>
      </c>
      <c r="L2270" s="228"/>
      <c r="M2270" s="312" t="s">
        <v>3052</v>
      </c>
      <c r="N2270" s="313">
        <v>44796</v>
      </c>
      <c r="O2270" s="313" t="s">
        <v>3054</v>
      </c>
      <c r="P2270" s="314">
        <v>14950</v>
      </c>
      <c r="Q2270" s="314">
        <v>-4</v>
      </c>
      <c r="R2270" s="318">
        <f t="shared" si="63"/>
        <v>-59800</v>
      </c>
      <c r="S2270" s="319">
        <v>202304</v>
      </c>
      <c r="T2270" s="233" t="s">
        <v>3071</v>
      </c>
      <c r="U2270" s="233"/>
      <c r="V2270" s="320"/>
      <c r="W2270" s="320"/>
      <c r="X2270" s="229">
        <v>44409</v>
      </c>
      <c r="Y2270" s="229">
        <v>45138</v>
      </c>
    </row>
    <row r="2271" s="5" customFormat="1" customHeight="1" spans="1:25">
      <c r="A2271" s="307" t="s">
        <v>448</v>
      </c>
      <c r="B2271" s="307" t="s">
        <v>3037</v>
      </c>
      <c r="C2271" s="307" t="s">
        <v>63</v>
      </c>
      <c r="D2271" s="307" t="s">
        <v>3038</v>
      </c>
      <c r="E2271" s="23" t="s">
        <v>3039</v>
      </c>
      <c r="F2271" s="307" t="s">
        <v>3040</v>
      </c>
      <c r="G2271" s="308" t="s">
        <v>88</v>
      </c>
      <c r="H2271" s="309" t="s">
        <v>3045</v>
      </c>
      <c r="I2271" s="46" t="e">
        <f>VLOOKUP(H2271,'合同高级查询数据-4月返'!A:A,1,FALSE)</f>
        <v>#N/A</v>
      </c>
      <c r="J2271" s="309" t="s">
        <v>3042</v>
      </c>
      <c r="K2271" s="308" t="s">
        <v>3072</v>
      </c>
      <c r="L2271" s="228"/>
      <c r="M2271" s="312" t="s">
        <v>3073</v>
      </c>
      <c r="N2271" s="313" t="s">
        <v>1329</v>
      </c>
      <c r="O2271" s="313" t="s">
        <v>503</v>
      </c>
      <c r="P2271" s="314">
        <v>8000</v>
      </c>
      <c r="Q2271" s="314">
        <v>953</v>
      </c>
      <c r="R2271" s="318">
        <f t="shared" si="62"/>
        <v>7624000</v>
      </c>
      <c r="S2271" s="319">
        <v>202304</v>
      </c>
      <c r="T2271" s="233"/>
      <c r="U2271" s="233"/>
      <c r="V2271" s="320"/>
      <c r="W2271" s="320"/>
      <c r="X2271" s="229">
        <v>44743</v>
      </c>
      <c r="Y2271" s="229">
        <v>45107</v>
      </c>
    </row>
    <row r="2272" s="5" customFormat="1" customHeight="1" spans="1:25">
      <c r="A2272" s="307" t="s">
        <v>448</v>
      </c>
      <c r="B2272" s="307" t="s">
        <v>3037</v>
      </c>
      <c r="C2272" s="307" t="s">
        <v>63</v>
      </c>
      <c r="D2272" s="307" t="s">
        <v>3038</v>
      </c>
      <c r="E2272" s="23" t="s">
        <v>3039</v>
      </c>
      <c r="F2272" s="307" t="s">
        <v>3040</v>
      </c>
      <c r="G2272" s="308" t="s">
        <v>88</v>
      </c>
      <c r="H2272" s="309" t="s">
        <v>3045</v>
      </c>
      <c r="I2272" s="46" t="e">
        <f>VLOOKUP(H2272,'合同高级查询数据-4月返'!A:A,1,FALSE)</f>
        <v>#N/A</v>
      </c>
      <c r="J2272" s="309" t="s">
        <v>3042</v>
      </c>
      <c r="K2272" s="308" t="s">
        <v>3072</v>
      </c>
      <c r="L2272" s="228"/>
      <c r="M2272" s="312" t="s">
        <v>3074</v>
      </c>
      <c r="N2272" s="313">
        <v>42838</v>
      </c>
      <c r="O2272" s="313" t="s">
        <v>3054</v>
      </c>
      <c r="P2272" s="314">
        <v>18800</v>
      </c>
      <c r="Q2272" s="314">
        <v>2</v>
      </c>
      <c r="R2272" s="318">
        <f t="shared" si="62"/>
        <v>37600</v>
      </c>
      <c r="S2272" s="319">
        <v>202304</v>
      </c>
      <c r="T2272" s="233"/>
      <c r="U2272" s="233"/>
      <c r="V2272" s="320"/>
      <c r="W2272" s="320"/>
      <c r="X2272" s="229">
        <v>44743</v>
      </c>
      <c r="Y2272" s="229">
        <v>45107</v>
      </c>
    </row>
    <row r="2273" s="5" customFormat="1" customHeight="1" spans="1:25">
      <c r="A2273" s="307" t="s">
        <v>448</v>
      </c>
      <c r="B2273" s="307" t="s">
        <v>3037</v>
      </c>
      <c r="C2273" s="307" t="s">
        <v>63</v>
      </c>
      <c r="D2273" s="307" t="s">
        <v>3038</v>
      </c>
      <c r="E2273" s="23" t="s">
        <v>3039</v>
      </c>
      <c r="F2273" s="307" t="s">
        <v>3040</v>
      </c>
      <c r="G2273" s="308" t="s">
        <v>88</v>
      </c>
      <c r="H2273" s="309" t="s">
        <v>3045</v>
      </c>
      <c r="I2273" s="46" t="e">
        <f>VLOOKUP(H2273,'合同高级查询数据-4月返'!A:A,1,FALSE)</f>
        <v>#N/A</v>
      </c>
      <c r="J2273" s="309" t="s">
        <v>3042</v>
      </c>
      <c r="K2273" s="308" t="s">
        <v>3072</v>
      </c>
      <c r="L2273" s="228"/>
      <c r="M2273" s="312" t="s">
        <v>3074</v>
      </c>
      <c r="N2273" s="313">
        <v>44217</v>
      </c>
      <c r="O2273" s="313" t="s">
        <v>3054</v>
      </c>
      <c r="P2273" s="314">
        <v>18800</v>
      </c>
      <c r="Q2273" s="314">
        <v>-2</v>
      </c>
      <c r="R2273" s="318">
        <f t="shared" si="62"/>
        <v>-37600</v>
      </c>
      <c r="S2273" s="319">
        <v>202304</v>
      </c>
      <c r="T2273" s="233" t="s">
        <v>3075</v>
      </c>
      <c r="U2273" s="233"/>
      <c r="V2273" s="320"/>
      <c r="W2273" s="320"/>
      <c r="X2273" s="229">
        <v>44743</v>
      </c>
      <c r="Y2273" s="229">
        <v>45107</v>
      </c>
    </row>
    <row r="2274" s="5" customFormat="1" customHeight="1" spans="1:25">
      <c r="A2274" s="307" t="s">
        <v>448</v>
      </c>
      <c r="B2274" s="307" t="s">
        <v>3037</v>
      </c>
      <c r="C2274" s="307" t="s">
        <v>63</v>
      </c>
      <c r="D2274" s="307" t="s">
        <v>3038</v>
      </c>
      <c r="E2274" s="23" t="s">
        <v>3039</v>
      </c>
      <c r="F2274" s="307" t="s">
        <v>3040</v>
      </c>
      <c r="G2274" s="308" t="s">
        <v>88</v>
      </c>
      <c r="H2274" s="309" t="s">
        <v>3045</v>
      </c>
      <c r="I2274" s="46" t="e">
        <f>VLOOKUP(H2274,'合同高级查询数据-4月返'!A:A,1,FALSE)</f>
        <v>#N/A</v>
      </c>
      <c r="J2274" s="309" t="s">
        <v>3042</v>
      </c>
      <c r="K2274" s="308" t="s">
        <v>3072</v>
      </c>
      <c r="L2274" s="228"/>
      <c r="M2274" s="312" t="s">
        <v>3073</v>
      </c>
      <c r="N2274" s="313">
        <v>42844</v>
      </c>
      <c r="O2274" s="313" t="s">
        <v>3076</v>
      </c>
      <c r="P2274" s="314">
        <v>23120</v>
      </c>
      <c r="Q2274" s="314">
        <v>4</v>
      </c>
      <c r="R2274" s="318">
        <f t="shared" si="62"/>
        <v>92480</v>
      </c>
      <c r="S2274" s="319">
        <v>202304</v>
      </c>
      <c r="T2274" s="233"/>
      <c r="U2274" s="233"/>
      <c r="V2274" s="320"/>
      <c r="W2274" s="320"/>
      <c r="X2274" s="229">
        <v>44743</v>
      </c>
      <c r="Y2274" s="229">
        <v>45107</v>
      </c>
    </row>
    <row r="2275" s="5" customFormat="1" customHeight="1" spans="1:25">
      <c r="A2275" s="307" t="s">
        <v>448</v>
      </c>
      <c r="B2275" s="307" t="s">
        <v>3037</v>
      </c>
      <c r="C2275" s="307" t="s">
        <v>63</v>
      </c>
      <c r="D2275" s="307" t="s">
        <v>3038</v>
      </c>
      <c r="E2275" s="23" t="s">
        <v>3039</v>
      </c>
      <c r="F2275" s="307" t="s">
        <v>3040</v>
      </c>
      <c r="G2275" s="308" t="s">
        <v>88</v>
      </c>
      <c r="H2275" s="309" t="s">
        <v>3045</v>
      </c>
      <c r="I2275" s="46" t="e">
        <f>VLOOKUP(H2275,'合同高级查询数据-4月返'!A:A,1,FALSE)</f>
        <v>#N/A</v>
      </c>
      <c r="J2275" s="309" t="s">
        <v>3042</v>
      </c>
      <c r="K2275" s="308" t="s">
        <v>3072</v>
      </c>
      <c r="L2275" s="228"/>
      <c r="M2275" s="312" t="s">
        <v>3073</v>
      </c>
      <c r="N2275" s="313">
        <v>42976</v>
      </c>
      <c r="O2275" s="313" t="s">
        <v>503</v>
      </c>
      <c r="P2275" s="314">
        <v>8000</v>
      </c>
      <c r="Q2275" s="314">
        <v>1</v>
      </c>
      <c r="R2275" s="318">
        <f t="shared" si="62"/>
        <v>8000</v>
      </c>
      <c r="S2275" s="319">
        <v>202304</v>
      </c>
      <c r="T2275" s="233"/>
      <c r="U2275" s="233"/>
      <c r="V2275" s="320"/>
      <c r="W2275" s="320"/>
      <c r="X2275" s="229">
        <v>44743</v>
      </c>
      <c r="Y2275" s="229">
        <v>45107</v>
      </c>
    </row>
    <row r="2276" s="5" customFormat="1" customHeight="1" spans="1:25">
      <c r="A2276" s="307" t="s">
        <v>448</v>
      </c>
      <c r="B2276" s="307" t="s">
        <v>3037</v>
      </c>
      <c r="C2276" s="307" t="s">
        <v>63</v>
      </c>
      <c r="D2276" s="307" t="s">
        <v>3038</v>
      </c>
      <c r="E2276" s="23" t="s">
        <v>3039</v>
      </c>
      <c r="F2276" s="307" t="s">
        <v>3040</v>
      </c>
      <c r="G2276" s="308" t="s">
        <v>88</v>
      </c>
      <c r="H2276" s="309" t="s">
        <v>3045</v>
      </c>
      <c r="I2276" s="46" t="e">
        <f>VLOOKUP(H2276,'合同高级查询数据-4月返'!A:A,1,FALSE)</f>
        <v>#N/A</v>
      </c>
      <c r="J2276" s="309" t="s">
        <v>3042</v>
      </c>
      <c r="K2276" s="308" t="s">
        <v>3072</v>
      </c>
      <c r="L2276" s="228"/>
      <c r="M2276" s="312" t="s">
        <v>3073</v>
      </c>
      <c r="N2276" s="313">
        <v>42986</v>
      </c>
      <c r="O2276" s="313" t="s">
        <v>503</v>
      </c>
      <c r="P2276" s="314">
        <v>8000</v>
      </c>
      <c r="Q2276" s="314">
        <v>1</v>
      </c>
      <c r="R2276" s="318">
        <f t="shared" si="62"/>
        <v>8000</v>
      </c>
      <c r="S2276" s="319">
        <v>202304</v>
      </c>
      <c r="T2276" s="233"/>
      <c r="U2276" s="233"/>
      <c r="V2276" s="320"/>
      <c r="W2276" s="320"/>
      <c r="X2276" s="229">
        <v>44743</v>
      </c>
      <c r="Y2276" s="229">
        <v>45107</v>
      </c>
    </row>
    <row r="2277" s="5" customFormat="1" customHeight="1" spans="1:25">
      <c r="A2277" s="307" t="s">
        <v>448</v>
      </c>
      <c r="B2277" s="307" t="s">
        <v>3037</v>
      </c>
      <c r="C2277" s="307" t="s">
        <v>63</v>
      </c>
      <c r="D2277" s="307" t="s">
        <v>3038</v>
      </c>
      <c r="E2277" s="23" t="s">
        <v>3039</v>
      </c>
      <c r="F2277" s="307" t="s">
        <v>3040</v>
      </c>
      <c r="G2277" s="308" t="s">
        <v>88</v>
      </c>
      <c r="H2277" s="309" t="s">
        <v>3045</v>
      </c>
      <c r="I2277" s="46" t="e">
        <f>VLOOKUP(H2277,'合同高级查询数据-4月返'!A:A,1,FALSE)</f>
        <v>#N/A</v>
      </c>
      <c r="J2277" s="309" t="s">
        <v>3042</v>
      </c>
      <c r="K2277" s="308" t="s">
        <v>3072</v>
      </c>
      <c r="L2277" s="228"/>
      <c r="M2277" s="312" t="s">
        <v>3073</v>
      </c>
      <c r="N2277" s="313">
        <v>43003</v>
      </c>
      <c r="O2277" s="313" t="s">
        <v>503</v>
      </c>
      <c r="P2277" s="314">
        <v>8000</v>
      </c>
      <c r="Q2277" s="314">
        <v>17</v>
      </c>
      <c r="R2277" s="318">
        <f t="shared" si="62"/>
        <v>136000</v>
      </c>
      <c r="S2277" s="319">
        <v>202304</v>
      </c>
      <c r="T2277" s="233"/>
      <c r="U2277" s="233"/>
      <c r="V2277" s="320"/>
      <c r="W2277" s="320"/>
      <c r="X2277" s="229">
        <v>44743</v>
      </c>
      <c r="Y2277" s="229">
        <v>45107</v>
      </c>
    </row>
    <row r="2278" s="5" customFormat="1" customHeight="1" spans="1:25">
      <c r="A2278" s="307" t="s">
        <v>448</v>
      </c>
      <c r="B2278" s="307" t="s">
        <v>3037</v>
      </c>
      <c r="C2278" s="307" t="s">
        <v>63</v>
      </c>
      <c r="D2278" s="307" t="s">
        <v>3038</v>
      </c>
      <c r="E2278" s="23" t="s">
        <v>3039</v>
      </c>
      <c r="F2278" s="307" t="s">
        <v>3040</v>
      </c>
      <c r="G2278" s="308" t="s">
        <v>88</v>
      </c>
      <c r="H2278" s="309" t="s">
        <v>3045</v>
      </c>
      <c r="I2278" s="46" t="e">
        <f>VLOOKUP(H2278,'合同高级查询数据-4月返'!A:A,1,FALSE)</f>
        <v>#N/A</v>
      </c>
      <c r="J2278" s="309" t="s">
        <v>3042</v>
      </c>
      <c r="K2278" s="308" t="s">
        <v>3072</v>
      </c>
      <c r="L2278" s="228"/>
      <c r="M2278" s="312" t="s">
        <v>3073</v>
      </c>
      <c r="N2278" s="313">
        <v>43007</v>
      </c>
      <c r="O2278" s="313" t="s">
        <v>503</v>
      </c>
      <c r="P2278" s="314">
        <v>8000</v>
      </c>
      <c r="Q2278" s="314">
        <v>2</v>
      </c>
      <c r="R2278" s="318">
        <f t="shared" si="62"/>
        <v>16000</v>
      </c>
      <c r="S2278" s="319">
        <v>202304</v>
      </c>
      <c r="T2278" s="233"/>
      <c r="U2278" s="233"/>
      <c r="V2278" s="320"/>
      <c r="W2278" s="320"/>
      <c r="X2278" s="229">
        <v>44743</v>
      </c>
      <c r="Y2278" s="229">
        <v>45107</v>
      </c>
    </row>
    <row r="2279" s="5" customFormat="1" customHeight="1" spans="1:25">
      <c r="A2279" s="307" t="s">
        <v>448</v>
      </c>
      <c r="B2279" s="307" t="s">
        <v>3037</v>
      </c>
      <c r="C2279" s="307" t="s">
        <v>63</v>
      </c>
      <c r="D2279" s="307" t="s">
        <v>3038</v>
      </c>
      <c r="E2279" s="23" t="s">
        <v>3039</v>
      </c>
      <c r="F2279" s="307" t="s">
        <v>3040</v>
      </c>
      <c r="G2279" s="308" t="s">
        <v>88</v>
      </c>
      <c r="H2279" s="309" t="s">
        <v>3045</v>
      </c>
      <c r="I2279" s="46" t="e">
        <f>VLOOKUP(H2279,'合同高级查询数据-4月返'!A:A,1,FALSE)</f>
        <v>#N/A</v>
      </c>
      <c r="J2279" s="309" t="s">
        <v>3042</v>
      </c>
      <c r="K2279" s="308" t="s">
        <v>3072</v>
      </c>
      <c r="L2279" s="228"/>
      <c r="M2279" s="312" t="s">
        <v>3073</v>
      </c>
      <c r="N2279" s="313">
        <v>43017</v>
      </c>
      <c r="O2279" s="313" t="s">
        <v>503</v>
      </c>
      <c r="P2279" s="314">
        <v>8000</v>
      </c>
      <c r="Q2279" s="314">
        <v>1</v>
      </c>
      <c r="R2279" s="318">
        <f t="shared" si="62"/>
        <v>8000</v>
      </c>
      <c r="S2279" s="319">
        <v>202304</v>
      </c>
      <c r="T2279" s="233"/>
      <c r="U2279" s="233"/>
      <c r="V2279" s="320"/>
      <c r="W2279" s="320"/>
      <c r="X2279" s="229">
        <v>44743</v>
      </c>
      <c r="Y2279" s="229">
        <v>45107</v>
      </c>
    </row>
    <row r="2280" s="5" customFormat="1" customHeight="1" spans="1:25">
      <c r="A2280" s="307" t="s">
        <v>448</v>
      </c>
      <c r="B2280" s="307" t="s">
        <v>3037</v>
      </c>
      <c r="C2280" s="307" t="s">
        <v>63</v>
      </c>
      <c r="D2280" s="307" t="s">
        <v>3038</v>
      </c>
      <c r="E2280" s="23" t="s">
        <v>3039</v>
      </c>
      <c r="F2280" s="307" t="s">
        <v>3040</v>
      </c>
      <c r="G2280" s="308" t="s">
        <v>88</v>
      </c>
      <c r="H2280" s="309" t="s">
        <v>3045</v>
      </c>
      <c r="I2280" s="46" t="e">
        <f>VLOOKUP(H2280,'合同高级查询数据-4月返'!A:A,1,FALSE)</f>
        <v>#N/A</v>
      </c>
      <c r="J2280" s="309" t="s">
        <v>3042</v>
      </c>
      <c r="K2280" s="308" t="s">
        <v>3072</v>
      </c>
      <c r="L2280" s="228"/>
      <c r="M2280" s="312" t="s">
        <v>3073</v>
      </c>
      <c r="N2280" s="313">
        <v>43074</v>
      </c>
      <c r="O2280" s="313" t="s">
        <v>503</v>
      </c>
      <c r="P2280" s="314">
        <v>8000</v>
      </c>
      <c r="Q2280" s="314">
        <v>1</v>
      </c>
      <c r="R2280" s="318">
        <f t="shared" si="62"/>
        <v>8000</v>
      </c>
      <c r="S2280" s="319">
        <v>202304</v>
      </c>
      <c r="T2280" s="233"/>
      <c r="U2280" s="233"/>
      <c r="V2280" s="320"/>
      <c r="W2280" s="320"/>
      <c r="X2280" s="229">
        <v>44743</v>
      </c>
      <c r="Y2280" s="229">
        <v>45107</v>
      </c>
    </row>
    <row r="2281" s="5" customFormat="1" customHeight="1" spans="1:25">
      <c r="A2281" s="307" t="s">
        <v>448</v>
      </c>
      <c r="B2281" s="307" t="s">
        <v>3037</v>
      </c>
      <c r="C2281" s="307" t="s">
        <v>63</v>
      </c>
      <c r="D2281" s="307" t="s">
        <v>3038</v>
      </c>
      <c r="E2281" s="23" t="s">
        <v>3039</v>
      </c>
      <c r="F2281" s="307" t="s">
        <v>3040</v>
      </c>
      <c r="G2281" s="308" t="s">
        <v>88</v>
      </c>
      <c r="H2281" s="309" t="s">
        <v>3045</v>
      </c>
      <c r="I2281" s="46" t="e">
        <f>VLOOKUP(H2281,'合同高级查询数据-4月返'!A:A,1,FALSE)</f>
        <v>#N/A</v>
      </c>
      <c r="J2281" s="309" t="s">
        <v>3042</v>
      </c>
      <c r="K2281" s="308" t="s">
        <v>3072</v>
      </c>
      <c r="L2281" s="228"/>
      <c r="M2281" s="312" t="s">
        <v>3073</v>
      </c>
      <c r="N2281" s="313">
        <v>43120</v>
      </c>
      <c r="O2281" s="313" t="s">
        <v>503</v>
      </c>
      <c r="P2281" s="314">
        <v>8000</v>
      </c>
      <c r="Q2281" s="314">
        <v>2</v>
      </c>
      <c r="R2281" s="318">
        <f t="shared" si="62"/>
        <v>16000</v>
      </c>
      <c r="S2281" s="319">
        <v>202304</v>
      </c>
      <c r="T2281" s="233"/>
      <c r="U2281" s="233"/>
      <c r="V2281" s="320"/>
      <c r="W2281" s="320"/>
      <c r="X2281" s="229">
        <v>44743</v>
      </c>
      <c r="Y2281" s="229">
        <v>45107</v>
      </c>
    </row>
    <row r="2282" s="5" customFormat="1" customHeight="1" spans="1:25">
      <c r="A2282" s="307" t="s">
        <v>448</v>
      </c>
      <c r="B2282" s="307" t="s">
        <v>3037</v>
      </c>
      <c r="C2282" s="307" t="s">
        <v>63</v>
      </c>
      <c r="D2282" s="307" t="s">
        <v>3038</v>
      </c>
      <c r="E2282" s="23" t="s">
        <v>3039</v>
      </c>
      <c r="F2282" s="307" t="s">
        <v>3040</v>
      </c>
      <c r="G2282" s="308" t="s">
        <v>88</v>
      </c>
      <c r="H2282" s="309" t="s">
        <v>3045</v>
      </c>
      <c r="I2282" s="46" t="e">
        <f>VLOOKUP(H2282,'合同高级查询数据-4月返'!A:A,1,FALSE)</f>
        <v>#N/A</v>
      </c>
      <c r="J2282" s="309" t="s">
        <v>3042</v>
      </c>
      <c r="K2282" s="308" t="s">
        <v>3072</v>
      </c>
      <c r="L2282" s="228"/>
      <c r="M2282" s="312" t="s">
        <v>3073</v>
      </c>
      <c r="N2282" s="313">
        <v>43257</v>
      </c>
      <c r="O2282" s="313" t="s">
        <v>503</v>
      </c>
      <c r="P2282" s="314">
        <v>8000</v>
      </c>
      <c r="Q2282" s="314">
        <v>2</v>
      </c>
      <c r="R2282" s="318">
        <f t="shared" si="62"/>
        <v>16000</v>
      </c>
      <c r="S2282" s="319">
        <v>202304</v>
      </c>
      <c r="T2282" s="233"/>
      <c r="U2282" s="233"/>
      <c r="V2282" s="320"/>
      <c r="W2282" s="320"/>
      <c r="X2282" s="229">
        <v>44743</v>
      </c>
      <c r="Y2282" s="229">
        <v>45107</v>
      </c>
    </row>
    <row r="2283" s="5" customFormat="1" customHeight="1" spans="1:25">
      <c r="A2283" s="307" t="s">
        <v>448</v>
      </c>
      <c r="B2283" s="307" t="s">
        <v>3037</v>
      </c>
      <c r="C2283" s="307" t="s">
        <v>63</v>
      </c>
      <c r="D2283" s="307" t="s">
        <v>3038</v>
      </c>
      <c r="E2283" s="23" t="s">
        <v>3039</v>
      </c>
      <c r="F2283" s="307" t="s">
        <v>3040</v>
      </c>
      <c r="G2283" s="308" t="s">
        <v>88</v>
      </c>
      <c r="H2283" s="309" t="s">
        <v>3045</v>
      </c>
      <c r="I2283" s="46" t="e">
        <f>VLOOKUP(H2283,'合同高级查询数据-4月返'!A:A,1,FALSE)</f>
        <v>#N/A</v>
      </c>
      <c r="J2283" s="309" t="s">
        <v>3042</v>
      </c>
      <c r="K2283" s="308" t="s">
        <v>3072</v>
      </c>
      <c r="L2283" s="228"/>
      <c r="M2283" s="312" t="s">
        <v>3073</v>
      </c>
      <c r="N2283" s="313">
        <v>43271</v>
      </c>
      <c r="O2283" s="313" t="s">
        <v>503</v>
      </c>
      <c r="P2283" s="314">
        <v>8000</v>
      </c>
      <c r="Q2283" s="314">
        <v>1</v>
      </c>
      <c r="R2283" s="318">
        <f t="shared" si="62"/>
        <v>8000</v>
      </c>
      <c r="S2283" s="319">
        <v>202304</v>
      </c>
      <c r="T2283" s="233"/>
      <c r="U2283" s="233"/>
      <c r="V2283" s="320"/>
      <c r="W2283" s="320"/>
      <c r="X2283" s="229">
        <v>44743</v>
      </c>
      <c r="Y2283" s="229">
        <v>45107</v>
      </c>
    </row>
    <row r="2284" s="5" customFormat="1" customHeight="1" spans="1:25">
      <c r="A2284" s="307" t="s">
        <v>448</v>
      </c>
      <c r="B2284" s="307" t="s">
        <v>3037</v>
      </c>
      <c r="C2284" s="307" t="s">
        <v>63</v>
      </c>
      <c r="D2284" s="307" t="s">
        <v>3038</v>
      </c>
      <c r="E2284" s="23" t="s">
        <v>3039</v>
      </c>
      <c r="F2284" s="307" t="s">
        <v>3040</v>
      </c>
      <c r="G2284" s="308" t="s">
        <v>88</v>
      </c>
      <c r="H2284" s="309" t="s">
        <v>3045</v>
      </c>
      <c r="I2284" s="46" t="e">
        <f>VLOOKUP(H2284,'合同高级查询数据-4月返'!A:A,1,FALSE)</f>
        <v>#N/A</v>
      </c>
      <c r="J2284" s="309" t="s">
        <v>3042</v>
      </c>
      <c r="K2284" s="308" t="s">
        <v>3072</v>
      </c>
      <c r="L2284" s="228"/>
      <c r="M2284" s="312" t="s">
        <v>3073</v>
      </c>
      <c r="N2284" s="313">
        <v>43298</v>
      </c>
      <c r="O2284" s="313" t="s">
        <v>503</v>
      </c>
      <c r="P2284" s="314">
        <v>8000</v>
      </c>
      <c r="Q2284" s="314">
        <v>17</v>
      </c>
      <c r="R2284" s="318">
        <f t="shared" si="62"/>
        <v>136000</v>
      </c>
      <c r="S2284" s="319">
        <v>202304</v>
      </c>
      <c r="T2284" s="233"/>
      <c r="U2284" s="233"/>
      <c r="V2284" s="320"/>
      <c r="W2284" s="320"/>
      <c r="X2284" s="229">
        <v>44743</v>
      </c>
      <c r="Y2284" s="229">
        <v>45107</v>
      </c>
    </row>
    <row r="2285" s="5" customFormat="1" customHeight="1" spans="1:25">
      <c r="A2285" s="307" t="s">
        <v>448</v>
      </c>
      <c r="B2285" s="307" t="s">
        <v>3037</v>
      </c>
      <c r="C2285" s="307" t="s">
        <v>63</v>
      </c>
      <c r="D2285" s="307" t="s">
        <v>3038</v>
      </c>
      <c r="E2285" s="23" t="s">
        <v>3039</v>
      </c>
      <c r="F2285" s="307" t="s">
        <v>3040</v>
      </c>
      <c r="G2285" s="308" t="s">
        <v>88</v>
      </c>
      <c r="H2285" s="309" t="s">
        <v>3045</v>
      </c>
      <c r="I2285" s="46" t="e">
        <f>VLOOKUP(H2285,'合同高级查询数据-4月返'!A:A,1,FALSE)</f>
        <v>#N/A</v>
      </c>
      <c r="J2285" s="309" t="s">
        <v>3042</v>
      </c>
      <c r="K2285" s="308" t="s">
        <v>3072</v>
      </c>
      <c r="L2285" s="228"/>
      <c r="M2285" s="312" t="s">
        <v>3073</v>
      </c>
      <c r="N2285" s="313">
        <v>43426</v>
      </c>
      <c r="O2285" s="313" t="s">
        <v>503</v>
      </c>
      <c r="P2285" s="314">
        <v>8000</v>
      </c>
      <c r="Q2285" s="314">
        <v>1</v>
      </c>
      <c r="R2285" s="318">
        <f t="shared" si="62"/>
        <v>8000</v>
      </c>
      <c r="S2285" s="319">
        <v>202304</v>
      </c>
      <c r="T2285" s="233"/>
      <c r="U2285" s="233"/>
      <c r="V2285" s="320"/>
      <c r="W2285" s="320"/>
      <c r="X2285" s="229">
        <v>44743</v>
      </c>
      <c r="Y2285" s="229">
        <v>45107</v>
      </c>
    </row>
    <row r="2286" s="5" customFormat="1" customHeight="1" spans="1:25">
      <c r="A2286" s="307" t="s">
        <v>448</v>
      </c>
      <c r="B2286" s="307" t="s">
        <v>3037</v>
      </c>
      <c r="C2286" s="307" t="s">
        <v>63</v>
      </c>
      <c r="D2286" s="307" t="s">
        <v>3038</v>
      </c>
      <c r="E2286" s="23" t="s">
        <v>3039</v>
      </c>
      <c r="F2286" s="307" t="s">
        <v>3040</v>
      </c>
      <c r="G2286" s="308" t="s">
        <v>88</v>
      </c>
      <c r="H2286" s="309" t="s">
        <v>3045</v>
      </c>
      <c r="I2286" s="46" t="e">
        <f>VLOOKUP(H2286,'合同高级查询数据-4月返'!A:A,1,FALSE)</f>
        <v>#N/A</v>
      </c>
      <c r="J2286" s="309" t="s">
        <v>3042</v>
      </c>
      <c r="K2286" s="308" t="s">
        <v>3072</v>
      </c>
      <c r="L2286" s="228"/>
      <c r="M2286" s="312" t="s">
        <v>3073</v>
      </c>
      <c r="N2286" s="313">
        <v>43110</v>
      </c>
      <c r="O2286" s="313" t="s">
        <v>503</v>
      </c>
      <c r="P2286" s="314">
        <v>8000</v>
      </c>
      <c r="Q2286" s="314">
        <v>-5</v>
      </c>
      <c r="R2286" s="318">
        <f t="shared" si="62"/>
        <v>-40000</v>
      </c>
      <c r="S2286" s="319">
        <v>202304</v>
      </c>
      <c r="T2286" s="233" t="s">
        <v>3077</v>
      </c>
      <c r="U2286" s="233"/>
      <c r="V2286" s="320"/>
      <c r="W2286" s="320"/>
      <c r="X2286" s="229">
        <v>44743</v>
      </c>
      <c r="Y2286" s="229">
        <v>45107</v>
      </c>
    </row>
    <row r="2287" s="5" customFormat="1" customHeight="1" spans="1:25">
      <c r="A2287" s="307" t="s">
        <v>448</v>
      </c>
      <c r="B2287" s="307" t="s">
        <v>3037</v>
      </c>
      <c r="C2287" s="307" t="s">
        <v>63</v>
      </c>
      <c r="D2287" s="307" t="s">
        <v>3038</v>
      </c>
      <c r="E2287" s="23" t="s">
        <v>3039</v>
      </c>
      <c r="F2287" s="307" t="s">
        <v>3040</v>
      </c>
      <c r="G2287" s="308" t="s">
        <v>88</v>
      </c>
      <c r="H2287" s="309" t="s">
        <v>3045</v>
      </c>
      <c r="I2287" s="46" t="e">
        <f>VLOOKUP(H2287,'合同高级查询数据-4月返'!A:A,1,FALSE)</f>
        <v>#N/A</v>
      </c>
      <c r="J2287" s="309" t="s">
        <v>3042</v>
      </c>
      <c r="K2287" s="308" t="s">
        <v>3072</v>
      </c>
      <c r="L2287" s="228"/>
      <c r="M2287" s="312" t="s">
        <v>3073</v>
      </c>
      <c r="N2287" s="313">
        <v>43628</v>
      </c>
      <c r="O2287" s="313" t="s">
        <v>503</v>
      </c>
      <c r="P2287" s="314">
        <v>8000</v>
      </c>
      <c r="Q2287" s="314">
        <v>-244</v>
      </c>
      <c r="R2287" s="318">
        <f t="shared" si="62"/>
        <v>-1952000</v>
      </c>
      <c r="S2287" s="319">
        <v>202304</v>
      </c>
      <c r="T2287" s="233" t="s">
        <v>3078</v>
      </c>
      <c r="U2287" s="233"/>
      <c r="V2287" s="320"/>
      <c r="W2287" s="320"/>
      <c r="X2287" s="229">
        <v>44743</v>
      </c>
      <c r="Y2287" s="229">
        <v>45107</v>
      </c>
    </row>
    <row r="2288" s="5" customFormat="1" customHeight="1" spans="1:25">
      <c r="A2288" s="307" t="s">
        <v>448</v>
      </c>
      <c r="B2288" s="307" t="s">
        <v>3037</v>
      </c>
      <c r="C2288" s="307" t="s">
        <v>63</v>
      </c>
      <c r="D2288" s="307" t="s">
        <v>3038</v>
      </c>
      <c r="E2288" s="23" t="s">
        <v>3039</v>
      </c>
      <c r="F2288" s="307" t="s">
        <v>3040</v>
      </c>
      <c r="G2288" s="308" t="s">
        <v>88</v>
      </c>
      <c r="H2288" s="309" t="s">
        <v>3045</v>
      </c>
      <c r="I2288" s="46" t="e">
        <f>VLOOKUP(H2288,'合同高级查询数据-4月返'!A:A,1,FALSE)</f>
        <v>#N/A</v>
      </c>
      <c r="J2288" s="309" t="s">
        <v>3042</v>
      </c>
      <c r="K2288" s="308" t="s">
        <v>3072</v>
      </c>
      <c r="L2288" s="228"/>
      <c r="M2288" s="312" t="s">
        <v>3073</v>
      </c>
      <c r="N2288" s="313">
        <v>43640</v>
      </c>
      <c r="O2288" s="313" t="s">
        <v>503</v>
      </c>
      <c r="P2288" s="314">
        <v>8000</v>
      </c>
      <c r="Q2288" s="314">
        <v>45</v>
      </c>
      <c r="R2288" s="318">
        <f t="shared" si="62"/>
        <v>360000</v>
      </c>
      <c r="S2288" s="319">
        <v>202304</v>
      </c>
      <c r="T2288" s="233" t="s">
        <v>3079</v>
      </c>
      <c r="U2288" s="233"/>
      <c r="V2288" s="320"/>
      <c r="W2288" s="320"/>
      <c r="X2288" s="229">
        <v>44743</v>
      </c>
      <c r="Y2288" s="229">
        <v>45107</v>
      </c>
    </row>
    <row r="2289" s="5" customFormat="1" customHeight="1" spans="1:25">
      <c r="A2289" s="307" t="s">
        <v>448</v>
      </c>
      <c r="B2289" s="307" t="s">
        <v>3037</v>
      </c>
      <c r="C2289" s="307" t="s">
        <v>63</v>
      </c>
      <c r="D2289" s="307" t="s">
        <v>3038</v>
      </c>
      <c r="E2289" s="23" t="s">
        <v>3039</v>
      </c>
      <c r="F2289" s="307" t="s">
        <v>3040</v>
      </c>
      <c r="G2289" s="308" t="s">
        <v>88</v>
      </c>
      <c r="H2289" s="309" t="s">
        <v>3045</v>
      </c>
      <c r="I2289" s="46" t="e">
        <f>VLOOKUP(H2289,'合同高级查询数据-4月返'!A:A,1,FALSE)</f>
        <v>#N/A</v>
      </c>
      <c r="J2289" s="309" t="s">
        <v>3042</v>
      </c>
      <c r="K2289" s="308" t="s">
        <v>3072</v>
      </c>
      <c r="L2289" s="228"/>
      <c r="M2289" s="312" t="s">
        <v>3073</v>
      </c>
      <c r="N2289" s="313">
        <v>43641</v>
      </c>
      <c r="O2289" s="313" t="s">
        <v>503</v>
      </c>
      <c r="P2289" s="314">
        <v>8000</v>
      </c>
      <c r="Q2289" s="314">
        <v>-324</v>
      </c>
      <c r="R2289" s="318">
        <f t="shared" si="62"/>
        <v>-2592000</v>
      </c>
      <c r="S2289" s="319">
        <v>202304</v>
      </c>
      <c r="T2289" s="233" t="s">
        <v>3080</v>
      </c>
      <c r="U2289" s="233"/>
      <c r="V2289" s="320"/>
      <c r="W2289" s="320"/>
      <c r="X2289" s="229">
        <v>44743</v>
      </c>
      <c r="Y2289" s="229">
        <v>45107</v>
      </c>
    </row>
    <row r="2290" s="5" customFormat="1" customHeight="1" spans="1:25">
      <c r="A2290" s="307" t="s">
        <v>448</v>
      </c>
      <c r="B2290" s="307" t="s">
        <v>3037</v>
      </c>
      <c r="C2290" s="307" t="s">
        <v>63</v>
      </c>
      <c r="D2290" s="307" t="s">
        <v>3038</v>
      </c>
      <c r="E2290" s="23" t="s">
        <v>3039</v>
      </c>
      <c r="F2290" s="307" t="s">
        <v>3040</v>
      </c>
      <c r="G2290" s="308" t="s">
        <v>88</v>
      </c>
      <c r="H2290" s="309" t="s">
        <v>3045</v>
      </c>
      <c r="I2290" s="46" t="e">
        <f>VLOOKUP(H2290,'合同高级查询数据-4月返'!A:A,1,FALSE)</f>
        <v>#N/A</v>
      </c>
      <c r="J2290" s="309" t="s">
        <v>3042</v>
      </c>
      <c r="K2290" s="308" t="s">
        <v>3072</v>
      </c>
      <c r="L2290" s="228"/>
      <c r="M2290" s="312" t="s">
        <v>3073</v>
      </c>
      <c r="N2290" s="313">
        <v>43644</v>
      </c>
      <c r="O2290" s="313" t="s">
        <v>503</v>
      </c>
      <c r="P2290" s="314">
        <v>8000</v>
      </c>
      <c r="Q2290" s="314">
        <v>-53</v>
      </c>
      <c r="R2290" s="318">
        <f t="shared" si="62"/>
        <v>-424000</v>
      </c>
      <c r="S2290" s="319">
        <v>202304</v>
      </c>
      <c r="T2290" s="233" t="s">
        <v>3081</v>
      </c>
      <c r="U2290" s="233"/>
      <c r="V2290" s="320"/>
      <c r="W2290" s="320"/>
      <c r="X2290" s="229">
        <v>44743</v>
      </c>
      <c r="Y2290" s="229">
        <v>45107</v>
      </c>
    </row>
    <row r="2291" s="5" customFormat="1" customHeight="1" spans="1:25">
      <c r="A2291" s="307" t="s">
        <v>448</v>
      </c>
      <c r="B2291" s="307" t="s">
        <v>3037</v>
      </c>
      <c r="C2291" s="307" t="s">
        <v>63</v>
      </c>
      <c r="D2291" s="307" t="s">
        <v>3038</v>
      </c>
      <c r="E2291" s="23" t="s">
        <v>3039</v>
      </c>
      <c r="F2291" s="307" t="s">
        <v>3040</v>
      </c>
      <c r="G2291" s="308" t="s">
        <v>88</v>
      </c>
      <c r="H2291" s="309" t="s">
        <v>3045</v>
      </c>
      <c r="I2291" s="46" t="e">
        <f>VLOOKUP(H2291,'合同高级查询数据-4月返'!A:A,1,FALSE)</f>
        <v>#N/A</v>
      </c>
      <c r="J2291" s="309" t="s">
        <v>3042</v>
      </c>
      <c r="K2291" s="308" t="s">
        <v>3072</v>
      </c>
      <c r="L2291" s="228"/>
      <c r="M2291" s="312" t="s">
        <v>3073</v>
      </c>
      <c r="N2291" s="313">
        <v>43648</v>
      </c>
      <c r="O2291" s="313" t="s">
        <v>503</v>
      </c>
      <c r="P2291" s="314">
        <v>8000</v>
      </c>
      <c r="Q2291" s="314">
        <v>-117</v>
      </c>
      <c r="R2291" s="318">
        <f t="shared" si="62"/>
        <v>-936000</v>
      </c>
      <c r="S2291" s="319">
        <v>202304</v>
      </c>
      <c r="T2291" s="233" t="s">
        <v>3082</v>
      </c>
      <c r="U2291" s="233"/>
      <c r="V2291" s="320"/>
      <c r="W2291" s="320"/>
      <c r="X2291" s="229">
        <v>44743</v>
      </c>
      <c r="Y2291" s="229">
        <v>45107</v>
      </c>
    </row>
    <row r="2292" s="5" customFormat="1" customHeight="1" spans="1:25">
      <c r="A2292" s="307" t="s">
        <v>448</v>
      </c>
      <c r="B2292" s="307" t="s">
        <v>3037</v>
      </c>
      <c r="C2292" s="307" t="s">
        <v>63</v>
      </c>
      <c r="D2292" s="307" t="s">
        <v>3038</v>
      </c>
      <c r="E2292" s="23" t="s">
        <v>3039</v>
      </c>
      <c r="F2292" s="307" t="s">
        <v>3040</v>
      </c>
      <c r="G2292" s="308" t="s">
        <v>88</v>
      </c>
      <c r="H2292" s="309" t="s">
        <v>3045</v>
      </c>
      <c r="I2292" s="46" t="e">
        <f>VLOOKUP(H2292,'合同高级查询数据-4月返'!A:A,1,FALSE)</f>
        <v>#N/A</v>
      </c>
      <c r="J2292" s="309" t="s">
        <v>3042</v>
      </c>
      <c r="K2292" s="308" t="s">
        <v>3072</v>
      </c>
      <c r="L2292" s="228"/>
      <c r="M2292" s="312" t="s">
        <v>3073</v>
      </c>
      <c r="N2292" s="313">
        <v>43648</v>
      </c>
      <c r="O2292" s="313" t="s">
        <v>503</v>
      </c>
      <c r="P2292" s="314">
        <v>8000</v>
      </c>
      <c r="Q2292" s="314">
        <v>-4</v>
      </c>
      <c r="R2292" s="318">
        <f t="shared" si="62"/>
        <v>-32000</v>
      </c>
      <c r="S2292" s="319">
        <v>202304</v>
      </c>
      <c r="T2292" s="233" t="s">
        <v>3083</v>
      </c>
      <c r="U2292" s="233"/>
      <c r="V2292" s="320"/>
      <c r="W2292" s="320"/>
      <c r="X2292" s="229">
        <v>44743</v>
      </c>
      <c r="Y2292" s="229">
        <v>45107</v>
      </c>
    </row>
    <row r="2293" s="5" customFormat="1" customHeight="1" spans="1:25">
      <c r="A2293" s="307" t="s">
        <v>448</v>
      </c>
      <c r="B2293" s="307" t="s">
        <v>3037</v>
      </c>
      <c r="C2293" s="307" t="s">
        <v>63</v>
      </c>
      <c r="D2293" s="307" t="s">
        <v>3038</v>
      </c>
      <c r="E2293" s="23" t="s">
        <v>3039</v>
      </c>
      <c r="F2293" s="307" t="s">
        <v>3040</v>
      </c>
      <c r="G2293" s="308" t="s">
        <v>88</v>
      </c>
      <c r="H2293" s="309" t="s">
        <v>3045</v>
      </c>
      <c r="I2293" s="46" t="e">
        <f>VLOOKUP(H2293,'合同高级查询数据-4月返'!A:A,1,FALSE)</f>
        <v>#N/A</v>
      </c>
      <c r="J2293" s="309" t="s">
        <v>3042</v>
      </c>
      <c r="K2293" s="308" t="s">
        <v>3072</v>
      </c>
      <c r="L2293" s="228"/>
      <c r="M2293" s="312" t="s">
        <v>3073</v>
      </c>
      <c r="N2293" s="313">
        <v>43650</v>
      </c>
      <c r="O2293" s="313" t="s">
        <v>503</v>
      </c>
      <c r="P2293" s="314">
        <v>8000</v>
      </c>
      <c r="Q2293" s="314">
        <v>43</v>
      </c>
      <c r="R2293" s="318">
        <f t="shared" si="62"/>
        <v>344000</v>
      </c>
      <c r="S2293" s="319">
        <v>202304</v>
      </c>
      <c r="T2293" s="233" t="s">
        <v>3084</v>
      </c>
      <c r="U2293" s="233"/>
      <c r="V2293" s="320"/>
      <c r="W2293" s="320"/>
      <c r="X2293" s="229">
        <v>44743</v>
      </c>
      <c r="Y2293" s="229">
        <v>45107</v>
      </c>
    </row>
    <row r="2294" s="5" customFormat="1" customHeight="1" spans="1:25">
      <c r="A2294" s="307" t="s">
        <v>448</v>
      </c>
      <c r="B2294" s="307" t="s">
        <v>3037</v>
      </c>
      <c r="C2294" s="307" t="s">
        <v>63</v>
      </c>
      <c r="D2294" s="307" t="s">
        <v>3038</v>
      </c>
      <c r="E2294" s="23" t="s">
        <v>3039</v>
      </c>
      <c r="F2294" s="307" t="s">
        <v>3040</v>
      </c>
      <c r="G2294" s="308" t="s">
        <v>88</v>
      </c>
      <c r="H2294" s="309" t="s">
        <v>3045</v>
      </c>
      <c r="I2294" s="46" t="e">
        <f>VLOOKUP(H2294,'合同高级查询数据-4月返'!A:A,1,FALSE)</f>
        <v>#N/A</v>
      </c>
      <c r="J2294" s="309" t="s">
        <v>3042</v>
      </c>
      <c r="K2294" s="308" t="s">
        <v>3072</v>
      </c>
      <c r="L2294" s="228"/>
      <c r="M2294" s="312" t="s">
        <v>3073</v>
      </c>
      <c r="N2294" s="313">
        <v>43658</v>
      </c>
      <c r="O2294" s="313" t="s">
        <v>503</v>
      </c>
      <c r="P2294" s="314">
        <v>8000</v>
      </c>
      <c r="Q2294" s="314">
        <v>27</v>
      </c>
      <c r="R2294" s="318">
        <f t="shared" si="62"/>
        <v>216000</v>
      </c>
      <c r="S2294" s="319">
        <v>202304</v>
      </c>
      <c r="T2294" s="233" t="s">
        <v>3085</v>
      </c>
      <c r="U2294" s="233"/>
      <c r="V2294" s="320"/>
      <c r="W2294" s="320"/>
      <c r="X2294" s="229">
        <v>44743</v>
      </c>
      <c r="Y2294" s="229">
        <v>45107</v>
      </c>
    </row>
    <row r="2295" s="5" customFormat="1" customHeight="1" spans="1:25">
      <c r="A2295" s="307" t="s">
        <v>448</v>
      </c>
      <c r="B2295" s="307" t="s">
        <v>3037</v>
      </c>
      <c r="C2295" s="307" t="s">
        <v>63</v>
      </c>
      <c r="D2295" s="307" t="s">
        <v>3038</v>
      </c>
      <c r="E2295" s="23" t="s">
        <v>3039</v>
      </c>
      <c r="F2295" s="307" t="s">
        <v>3040</v>
      </c>
      <c r="G2295" s="308" t="s">
        <v>88</v>
      </c>
      <c r="H2295" s="309" t="s">
        <v>3045</v>
      </c>
      <c r="I2295" s="46" t="e">
        <f>VLOOKUP(H2295,'合同高级查询数据-4月返'!A:A,1,FALSE)</f>
        <v>#N/A</v>
      </c>
      <c r="J2295" s="309" t="s">
        <v>3042</v>
      </c>
      <c r="K2295" s="308" t="s">
        <v>3072</v>
      </c>
      <c r="L2295" s="228"/>
      <c r="M2295" s="312" t="s">
        <v>3073</v>
      </c>
      <c r="N2295" s="313">
        <v>43661</v>
      </c>
      <c r="O2295" s="313" t="s">
        <v>503</v>
      </c>
      <c r="P2295" s="314">
        <v>8000</v>
      </c>
      <c r="Q2295" s="314">
        <v>127</v>
      </c>
      <c r="R2295" s="318">
        <f t="shared" si="62"/>
        <v>1016000</v>
      </c>
      <c r="S2295" s="319">
        <v>202304</v>
      </c>
      <c r="T2295" s="233" t="s">
        <v>3086</v>
      </c>
      <c r="U2295" s="233"/>
      <c r="V2295" s="320"/>
      <c r="W2295" s="320"/>
      <c r="X2295" s="229">
        <v>44743</v>
      </c>
      <c r="Y2295" s="229">
        <v>45107</v>
      </c>
    </row>
    <row r="2296" s="5" customFormat="1" customHeight="1" spans="1:25">
      <c r="A2296" s="307" t="s">
        <v>448</v>
      </c>
      <c r="B2296" s="307" t="s">
        <v>3037</v>
      </c>
      <c r="C2296" s="307" t="s">
        <v>63</v>
      </c>
      <c r="D2296" s="307" t="s">
        <v>3038</v>
      </c>
      <c r="E2296" s="23" t="s">
        <v>3039</v>
      </c>
      <c r="F2296" s="307" t="s">
        <v>3040</v>
      </c>
      <c r="G2296" s="308" t="s">
        <v>88</v>
      </c>
      <c r="H2296" s="309" t="s">
        <v>3045</v>
      </c>
      <c r="I2296" s="46" t="e">
        <f>VLOOKUP(H2296,'合同高级查询数据-4月返'!A:A,1,FALSE)</f>
        <v>#N/A</v>
      </c>
      <c r="J2296" s="309" t="s">
        <v>3042</v>
      </c>
      <c r="K2296" s="308" t="s">
        <v>3072</v>
      </c>
      <c r="L2296" s="228"/>
      <c r="M2296" s="312" t="s">
        <v>3073</v>
      </c>
      <c r="N2296" s="313">
        <v>43826</v>
      </c>
      <c r="O2296" s="313" t="s">
        <v>503</v>
      </c>
      <c r="P2296" s="314">
        <v>8000</v>
      </c>
      <c r="Q2296" s="314">
        <v>-87</v>
      </c>
      <c r="R2296" s="318">
        <f t="shared" si="62"/>
        <v>-696000</v>
      </c>
      <c r="S2296" s="319">
        <v>202304</v>
      </c>
      <c r="T2296" s="233" t="s">
        <v>3087</v>
      </c>
      <c r="U2296" s="233"/>
      <c r="V2296" s="320"/>
      <c r="W2296" s="320"/>
      <c r="X2296" s="229">
        <v>44743</v>
      </c>
      <c r="Y2296" s="229">
        <v>45107</v>
      </c>
    </row>
    <row r="2297" s="5" customFormat="1" customHeight="1" spans="1:25">
      <c r="A2297" s="307" t="s">
        <v>448</v>
      </c>
      <c r="B2297" s="307" t="s">
        <v>3037</v>
      </c>
      <c r="C2297" s="307" t="s">
        <v>63</v>
      </c>
      <c r="D2297" s="307" t="s">
        <v>3038</v>
      </c>
      <c r="E2297" s="23" t="s">
        <v>3039</v>
      </c>
      <c r="F2297" s="307" t="s">
        <v>3040</v>
      </c>
      <c r="G2297" s="308" t="s">
        <v>88</v>
      </c>
      <c r="H2297" s="309" t="s">
        <v>3045</v>
      </c>
      <c r="I2297" s="46" t="e">
        <f>VLOOKUP(H2297,'合同高级查询数据-4月返'!A:A,1,FALSE)</f>
        <v>#N/A</v>
      </c>
      <c r="J2297" s="309" t="s">
        <v>3042</v>
      </c>
      <c r="K2297" s="308" t="s">
        <v>3072</v>
      </c>
      <c r="L2297" s="228"/>
      <c r="M2297" s="312" t="s">
        <v>3073</v>
      </c>
      <c r="N2297" s="313">
        <v>43902</v>
      </c>
      <c r="O2297" s="313" t="s">
        <v>503</v>
      </c>
      <c r="P2297" s="314">
        <v>8000</v>
      </c>
      <c r="Q2297" s="314">
        <v>2</v>
      </c>
      <c r="R2297" s="318">
        <f t="shared" si="62"/>
        <v>16000</v>
      </c>
      <c r="S2297" s="319">
        <v>202304</v>
      </c>
      <c r="T2297" s="233" t="s">
        <v>3088</v>
      </c>
      <c r="U2297" s="233"/>
      <c r="V2297" s="320"/>
      <c r="W2297" s="320"/>
      <c r="X2297" s="229">
        <v>44743</v>
      </c>
      <c r="Y2297" s="229">
        <v>45107</v>
      </c>
    </row>
    <row r="2298" s="5" customFormat="1" customHeight="1" spans="1:25">
      <c r="A2298" s="307" t="s">
        <v>448</v>
      </c>
      <c r="B2298" s="307" t="s">
        <v>3037</v>
      </c>
      <c r="C2298" s="307" t="s">
        <v>63</v>
      </c>
      <c r="D2298" s="307" t="s">
        <v>3038</v>
      </c>
      <c r="E2298" s="23" t="s">
        <v>3039</v>
      </c>
      <c r="F2298" s="307" t="s">
        <v>3040</v>
      </c>
      <c r="G2298" s="308" t="s">
        <v>78</v>
      </c>
      <c r="H2298" s="309" t="s">
        <v>3045</v>
      </c>
      <c r="I2298" s="46" t="e">
        <f>VLOOKUP(H2298,'合同高级查询数据-4月返'!A:A,1,FALSE)</f>
        <v>#N/A</v>
      </c>
      <c r="J2298" s="309" t="s">
        <v>3089</v>
      </c>
      <c r="K2298" s="308" t="s">
        <v>3072</v>
      </c>
      <c r="L2298" s="228"/>
      <c r="M2298" s="312" t="s">
        <v>3073</v>
      </c>
      <c r="N2298" s="313">
        <v>43922</v>
      </c>
      <c r="O2298" s="313"/>
      <c r="P2298" s="314">
        <v>3000</v>
      </c>
      <c r="Q2298" s="314">
        <f>485-413</f>
        <v>72</v>
      </c>
      <c r="R2298" s="318">
        <f t="shared" si="62"/>
        <v>216000</v>
      </c>
      <c r="S2298" s="319">
        <v>202304</v>
      </c>
      <c r="T2298" s="233" t="s">
        <v>3090</v>
      </c>
      <c r="U2298" s="233"/>
      <c r="V2298" s="320"/>
      <c r="W2298" s="320"/>
      <c r="X2298" s="229">
        <v>44743</v>
      </c>
      <c r="Y2298" s="229">
        <v>45107</v>
      </c>
    </row>
    <row r="2299" s="5" customFormat="1" customHeight="1" spans="1:25">
      <c r="A2299" s="307" t="s">
        <v>448</v>
      </c>
      <c r="B2299" s="307" t="s">
        <v>3037</v>
      </c>
      <c r="C2299" s="307" t="s">
        <v>63</v>
      </c>
      <c r="D2299" s="307" t="s">
        <v>3038</v>
      </c>
      <c r="E2299" s="23" t="s">
        <v>3039</v>
      </c>
      <c r="F2299" s="307" t="s">
        <v>3040</v>
      </c>
      <c r="G2299" s="308" t="s">
        <v>78</v>
      </c>
      <c r="H2299" s="309" t="s">
        <v>3045</v>
      </c>
      <c r="I2299" s="46" t="e">
        <f>VLOOKUP(H2299,'合同高级查询数据-4月返'!A:A,1,FALSE)</f>
        <v>#N/A</v>
      </c>
      <c r="J2299" s="309" t="s">
        <v>3089</v>
      </c>
      <c r="K2299" s="308" t="s">
        <v>3072</v>
      </c>
      <c r="L2299" s="228"/>
      <c r="M2299" s="312" t="s">
        <v>3073</v>
      </c>
      <c r="N2299" s="313">
        <v>44651</v>
      </c>
      <c r="O2299" s="313"/>
      <c r="P2299" s="314">
        <v>3000</v>
      </c>
      <c r="Q2299" s="314">
        <v>-72</v>
      </c>
      <c r="R2299" s="318">
        <f t="shared" si="62"/>
        <v>-216000</v>
      </c>
      <c r="S2299" s="319">
        <v>202304</v>
      </c>
      <c r="T2299" s="233" t="s">
        <v>3091</v>
      </c>
      <c r="U2299" s="233"/>
      <c r="V2299" s="320"/>
      <c r="W2299" s="320"/>
      <c r="X2299" s="229">
        <v>44743</v>
      </c>
      <c r="Y2299" s="229">
        <v>45107</v>
      </c>
    </row>
    <row r="2300" s="5" customFormat="1" customHeight="1" spans="1:25">
      <c r="A2300" s="307" t="s">
        <v>448</v>
      </c>
      <c r="B2300" s="307" t="s">
        <v>3037</v>
      </c>
      <c r="C2300" s="307" t="s">
        <v>63</v>
      </c>
      <c r="D2300" s="307" t="s">
        <v>3038</v>
      </c>
      <c r="E2300" s="23" t="s">
        <v>3039</v>
      </c>
      <c r="F2300" s="307" t="s">
        <v>3040</v>
      </c>
      <c r="G2300" s="308" t="s">
        <v>31</v>
      </c>
      <c r="H2300" s="309" t="s">
        <v>3045</v>
      </c>
      <c r="I2300" s="46" t="e">
        <f>VLOOKUP(H2300,'合同高级查询数据-4月返'!A:A,1,FALSE)</f>
        <v>#N/A</v>
      </c>
      <c r="J2300" s="309" t="s">
        <v>3092</v>
      </c>
      <c r="K2300" s="308" t="s">
        <v>3072</v>
      </c>
      <c r="L2300" s="228"/>
      <c r="M2300" s="312"/>
      <c r="N2300" s="313" t="s">
        <v>3093</v>
      </c>
      <c r="O2300" s="313"/>
      <c r="P2300" s="314">
        <v>50</v>
      </c>
      <c r="Q2300" s="314">
        <v>512</v>
      </c>
      <c r="R2300" s="318">
        <f t="shared" si="62"/>
        <v>25600</v>
      </c>
      <c r="S2300" s="319">
        <v>202304</v>
      </c>
      <c r="T2300" s="233"/>
      <c r="U2300" s="233"/>
      <c r="V2300" s="320"/>
      <c r="W2300" s="320"/>
      <c r="X2300" s="229">
        <v>44743</v>
      </c>
      <c r="Y2300" s="229">
        <v>45107</v>
      </c>
    </row>
    <row r="2301" s="5" customFormat="1" customHeight="1" spans="1:25">
      <c r="A2301" s="307" t="s">
        <v>448</v>
      </c>
      <c r="B2301" s="307" t="s">
        <v>3037</v>
      </c>
      <c r="C2301" s="307" t="s">
        <v>63</v>
      </c>
      <c r="D2301" s="307" t="s">
        <v>3038</v>
      </c>
      <c r="E2301" s="23" t="s">
        <v>3039</v>
      </c>
      <c r="F2301" s="307" t="s">
        <v>3040</v>
      </c>
      <c r="G2301" s="308" t="s">
        <v>78</v>
      </c>
      <c r="H2301" s="309" t="s">
        <v>3045</v>
      </c>
      <c r="I2301" s="46" t="e">
        <f>VLOOKUP(H2301,'合同高级查询数据-4月返'!A:A,1,FALSE)</f>
        <v>#N/A</v>
      </c>
      <c r="J2301" s="309" t="s">
        <v>3056</v>
      </c>
      <c r="K2301" s="308" t="s">
        <v>3072</v>
      </c>
      <c r="L2301" s="228"/>
      <c r="M2301" s="312"/>
      <c r="N2301" s="313"/>
      <c r="O2301" s="313"/>
      <c r="P2301" s="314">
        <v>2000</v>
      </c>
      <c r="Q2301" s="314">
        <v>10</v>
      </c>
      <c r="R2301" s="318">
        <f t="shared" si="62"/>
        <v>20000</v>
      </c>
      <c r="S2301" s="319">
        <v>202304</v>
      </c>
      <c r="T2301" s="233"/>
      <c r="U2301" s="233"/>
      <c r="V2301" s="320"/>
      <c r="W2301" s="320"/>
      <c r="X2301" s="229">
        <v>44743</v>
      </c>
      <c r="Y2301" s="229">
        <v>45107</v>
      </c>
    </row>
    <row r="2302" s="5" customFormat="1" customHeight="1" spans="1:25">
      <c r="A2302" s="307" t="s">
        <v>448</v>
      </c>
      <c r="B2302" s="307" t="s">
        <v>3037</v>
      </c>
      <c r="C2302" s="307" t="s">
        <v>63</v>
      </c>
      <c r="D2302" s="307" t="s">
        <v>3038</v>
      </c>
      <c r="E2302" s="23" t="s">
        <v>3039</v>
      </c>
      <c r="F2302" s="307" t="s">
        <v>3040</v>
      </c>
      <c r="G2302" s="308" t="s">
        <v>78</v>
      </c>
      <c r="H2302" s="309" t="s">
        <v>3045</v>
      </c>
      <c r="I2302" s="46" t="e">
        <f>VLOOKUP(H2302,'合同高级查询数据-4月返'!A:A,1,FALSE)</f>
        <v>#N/A</v>
      </c>
      <c r="J2302" s="309" t="s">
        <v>3056</v>
      </c>
      <c r="K2302" s="308" t="s">
        <v>3072</v>
      </c>
      <c r="L2302" s="228"/>
      <c r="M2302" s="312"/>
      <c r="N2302" s="313" t="s">
        <v>3057</v>
      </c>
      <c r="O2302" s="313"/>
      <c r="P2302" s="314">
        <v>2000</v>
      </c>
      <c r="Q2302" s="314">
        <v>-6</v>
      </c>
      <c r="R2302" s="318">
        <f t="shared" si="62"/>
        <v>-12000</v>
      </c>
      <c r="S2302" s="319">
        <v>202304</v>
      </c>
      <c r="T2302" s="233" t="s">
        <v>3058</v>
      </c>
      <c r="U2302" s="233"/>
      <c r="V2302" s="320"/>
      <c r="W2302" s="320"/>
      <c r="X2302" s="229">
        <v>44743</v>
      </c>
      <c r="Y2302" s="229">
        <v>45107</v>
      </c>
    </row>
    <row r="2303" s="5" customFormat="1" customHeight="1" spans="1:25">
      <c r="A2303" s="307" t="s">
        <v>448</v>
      </c>
      <c r="B2303" s="307" t="s">
        <v>3037</v>
      </c>
      <c r="C2303" s="307" t="s">
        <v>63</v>
      </c>
      <c r="D2303" s="307" t="s">
        <v>3038</v>
      </c>
      <c r="E2303" s="23" t="s">
        <v>3039</v>
      </c>
      <c r="F2303" s="307" t="s">
        <v>3040</v>
      </c>
      <c r="G2303" s="308" t="s">
        <v>67</v>
      </c>
      <c r="H2303" s="309" t="s">
        <v>3045</v>
      </c>
      <c r="I2303" s="46" t="e">
        <f>VLOOKUP(H2303,'合同高级查询数据-4月返'!A:A,1,FALSE)</f>
        <v>#N/A</v>
      </c>
      <c r="J2303" s="309" t="s">
        <v>3094</v>
      </c>
      <c r="K2303" s="308" t="s">
        <v>3072</v>
      </c>
      <c r="L2303" s="228"/>
      <c r="M2303" s="312"/>
      <c r="N2303" s="313"/>
      <c r="O2303" s="313"/>
      <c r="P2303" s="314">
        <v>231250</v>
      </c>
      <c r="Q2303" s="314">
        <v>1</v>
      </c>
      <c r="R2303" s="318">
        <f t="shared" si="62"/>
        <v>231250</v>
      </c>
      <c r="S2303" s="319">
        <v>202304</v>
      </c>
      <c r="T2303" s="233"/>
      <c r="U2303" s="233"/>
      <c r="V2303" s="320"/>
      <c r="W2303" s="320"/>
      <c r="X2303" s="229">
        <v>44743</v>
      </c>
      <c r="Y2303" s="229">
        <v>45107</v>
      </c>
    </row>
    <row r="2304" s="3" customFormat="1" customHeight="1" spans="1:25">
      <c r="A2304" s="310" t="s">
        <v>448</v>
      </c>
      <c r="B2304" s="310" t="s">
        <v>3037</v>
      </c>
      <c r="C2304" s="310" t="s">
        <v>63</v>
      </c>
      <c r="D2304" s="310" t="s">
        <v>3038</v>
      </c>
      <c r="E2304" s="13" t="s">
        <v>3039</v>
      </c>
      <c r="F2304" s="310" t="s">
        <v>3040</v>
      </c>
      <c r="G2304" s="311" t="s">
        <v>31</v>
      </c>
      <c r="H2304" s="140" t="s">
        <v>3095</v>
      </c>
      <c r="I2304" s="30" t="e">
        <f>VLOOKUP(H2304,'合同高级查询数据-4月返'!A:A,1,FALSE)</f>
        <v>#N/A</v>
      </c>
      <c r="J2304" s="140" t="s">
        <v>3092</v>
      </c>
      <c r="K2304" s="311" t="s">
        <v>3096</v>
      </c>
      <c r="L2304" s="315" t="s">
        <v>3097</v>
      </c>
      <c r="M2304" s="315"/>
      <c r="N2304" s="316">
        <v>44224</v>
      </c>
      <c r="O2304" s="316"/>
      <c r="P2304" s="317">
        <v>20</v>
      </c>
      <c r="Q2304" s="317">
        <v>256</v>
      </c>
      <c r="R2304" s="321">
        <f t="shared" si="62"/>
        <v>5120</v>
      </c>
      <c r="S2304" s="322">
        <v>202304</v>
      </c>
      <c r="T2304" s="232" t="s">
        <v>3098</v>
      </c>
      <c r="U2304" s="232"/>
      <c r="V2304" s="323"/>
      <c r="W2304" s="323"/>
      <c r="X2304" s="193">
        <v>44896</v>
      </c>
      <c r="Y2304" s="193"/>
    </row>
    <row r="2305" s="3" customFormat="1" customHeight="1" spans="1:25">
      <c r="A2305" s="310" t="s">
        <v>448</v>
      </c>
      <c r="B2305" s="310" t="s">
        <v>3037</v>
      </c>
      <c r="C2305" s="310" t="s">
        <v>63</v>
      </c>
      <c r="D2305" s="310" t="s">
        <v>3038</v>
      </c>
      <c r="E2305" s="13" t="s">
        <v>3039</v>
      </c>
      <c r="F2305" s="310" t="s">
        <v>3040</v>
      </c>
      <c r="G2305" s="311" t="s">
        <v>88</v>
      </c>
      <c r="H2305" s="140" t="s">
        <v>3099</v>
      </c>
      <c r="I2305" s="30" t="e">
        <f>VLOOKUP(H2305,'合同高级查询数据-4月返'!A:A,1,FALSE)</f>
        <v>#N/A</v>
      </c>
      <c r="J2305" s="140" t="s">
        <v>162</v>
      </c>
      <c r="K2305" s="311" t="s">
        <v>3100</v>
      </c>
      <c r="L2305" s="192"/>
      <c r="M2305" s="315" t="s">
        <v>3101</v>
      </c>
      <c r="N2305" s="316">
        <v>42448</v>
      </c>
      <c r="O2305" s="311" t="s">
        <v>163</v>
      </c>
      <c r="P2305" s="317">
        <v>5950</v>
      </c>
      <c r="Q2305" s="317">
        <v>6</v>
      </c>
      <c r="R2305" s="321">
        <f t="shared" si="62"/>
        <v>35700</v>
      </c>
      <c r="S2305" s="322">
        <v>202304</v>
      </c>
      <c r="T2305" s="232"/>
      <c r="U2305" s="232"/>
      <c r="V2305" s="323"/>
      <c r="W2305" s="323"/>
      <c r="X2305" s="193">
        <v>44166</v>
      </c>
      <c r="Y2305" s="193"/>
    </row>
    <row r="2306" s="3" customFormat="1" customHeight="1" spans="1:25">
      <c r="A2306" s="310" t="s">
        <v>448</v>
      </c>
      <c r="B2306" s="310" t="s">
        <v>3037</v>
      </c>
      <c r="C2306" s="310" t="s">
        <v>63</v>
      </c>
      <c r="D2306" s="310" t="s">
        <v>3038</v>
      </c>
      <c r="E2306" s="13" t="s">
        <v>3039</v>
      </c>
      <c r="F2306" s="310" t="s">
        <v>3040</v>
      </c>
      <c r="G2306" s="311" t="s">
        <v>88</v>
      </c>
      <c r="H2306" s="140" t="s">
        <v>3099</v>
      </c>
      <c r="I2306" s="30" t="e">
        <f>VLOOKUP(H2306,'合同高级查询数据-4月返'!A:A,1,FALSE)</f>
        <v>#N/A</v>
      </c>
      <c r="J2306" s="140" t="s">
        <v>162</v>
      </c>
      <c r="K2306" s="311" t="s">
        <v>3100</v>
      </c>
      <c r="L2306" s="192"/>
      <c r="M2306" s="315" t="s">
        <v>3101</v>
      </c>
      <c r="N2306" s="316" t="s">
        <v>3102</v>
      </c>
      <c r="O2306" s="311" t="s">
        <v>163</v>
      </c>
      <c r="P2306" s="317">
        <v>5950</v>
      </c>
      <c r="Q2306" s="317">
        <v>-6</v>
      </c>
      <c r="R2306" s="321">
        <f t="shared" si="62"/>
        <v>-35700</v>
      </c>
      <c r="S2306" s="322">
        <v>202304</v>
      </c>
      <c r="T2306" s="232"/>
      <c r="U2306" s="232"/>
      <c r="V2306" s="323"/>
      <c r="W2306" s="323"/>
      <c r="X2306" s="193">
        <v>44166</v>
      </c>
      <c r="Y2306" s="193"/>
    </row>
    <row r="2307" s="3" customFormat="1" customHeight="1" spans="1:25">
      <c r="A2307" s="310" t="s">
        <v>448</v>
      </c>
      <c r="B2307" s="310" t="s">
        <v>3037</v>
      </c>
      <c r="C2307" s="310" t="s">
        <v>63</v>
      </c>
      <c r="D2307" s="310" t="s">
        <v>3038</v>
      </c>
      <c r="E2307" s="13" t="s">
        <v>3039</v>
      </c>
      <c r="F2307" s="310" t="s">
        <v>3040</v>
      </c>
      <c r="G2307" s="311" t="s">
        <v>31</v>
      </c>
      <c r="H2307" s="140" t="s">
        <v>3095</v>
      </c>
      <c r="I2307" s="30" t="e">
        <f>VLOOKUP(H2307,'合同高级查询数据-4月返'!A:A,1,FALSE)</f>
        <v>#N/A</v>
      </c>
      <c r="J2307" s="140" t="s">
        <v>3092</v>
      </c>
      <c r="K2307" s="311" t="s">
        <v>3103</v>
      </c>
      <c r="L2307" s="192"/>
      <c r="M2307" s="315"/>
      <c r="N2307" s="316">
        <v>42448</v>
      </c>
      <c r="O2307" s="316"/>
      <c r="P2307" s="317">
        <v>20</v>
      </c>
      <c r="Q2307" s="317">
        <v>512</v>
      </c>
      <c r="R2307" s="321">
        <f t="shared" si="62"/>
        <v>10240</v>
      </c>
      <c r="S2307" s="322">
        <v>202304</v>
      </c>
      <c r="T2307" s="232" t="s">
        <v>3104</v>
      </c>
      <c r="U2307" s="232"/>
      <c r="V2307" s="323"/>
      <c r="W2307" s="323"/>
      <c r="X2307" s="193">
        <v>44896</v>
      </c>
      <c r="Y2307" s="193"/>
    </row>
    <row r="2308" s="3" customFormat="1" customHeight="1" spans="1:25">
      <c r="A2308" s="310" t="s">
        <v>448</v>
      </c>
      <c r="B2308" s="310" t="s">
        <v>3037</v>
      </c>
      <c r="C2308" s="310" t="s">
        <v>63</v>
      </c>
      <c r="D2308" s="310" t="s">
        <v>3038</v>
      </c>
      <c r="E2308" s="13" t="s">
        <v>3039</v>
      </c>
      <c r="F2308" s="310" t="s">
        <v>3040</v>
      </c>
      <c r="G2308" s="311" t="s">
        <v>88</v>
      </c>
      <c r="H2308" s="140" t="s">
        <v>3095</v>
      </c>
      <c r="I2308" s="30" t="e">
        <f>VLOOKUP(H2308,'合同高级查询数据-4月返'!A:A,1,FALSE)</f>
        <v>#N/A</v>
      </c>
      <c r="J2308" s="140" t="s">
        <v>162</v>
      </c>
      <c r="K2308" s="311" t="s">
        <v>3105</v>
      </c>
      <c r="L2308" s="192"/>
      <c r="M2308" s="315" t="s">
        <v>3106</v>
      </c>
      <c r="N2308" s="316" t="s">
        <v>3107</v>
      </c>
      <c r="O2308" s="316" t="s">
        <v>702</v>
      </c>
      <c r="P2308" s="317">
        <v>6000</v>
      </c>
      <c r="Q2308" s="317">
        <v>3</v>
      </c>
      <c r="R2308" s="321">
        <f t="shared" ref="R2308:R2309" si="64">ROUND(P2308*Q2308,2)</f>
        <v>18000</v>
      </c>
      <c r="S2308" s="322">
        <v>202304</v>
      </c>
      <c r="T2308" s="232"/>
      <c r="U2308" s="232"/>
      <c r="V2308" s="323"/>
      <c r="W2308" s="323"/>
      <c r="X2308" s="193">
        <v>44896</v>
      </c>
      <c r="Y2308" s="193"/>
    </row>
    <row r="2309" s="3" customFormat="1" customHeight="1" spans="1:25">
      <c r="A2309" s="310" t="s">
        <v>448</v>
      </c>
      <c r="B2309" s="310" t="s">
        <v>3037</v>
      </c>
      <c r="C2309" s="310" t="s">
        <v>63</v>
      </c>
      <c r="D2309" s="310" t="s">
        <v>3038</v>
      </c>
      <c r="E2309" s="13" t="s">
        <v>3039</v>
      </c>
      <c r="F2309" s="11" t="s">
        <v>3040</v>
      </c>
      <c r="G2309" s="311" t="s">
        <v>346</v>
      </c>
      <c r="H2309" s="140" t="s">
        <v>3108</v>
      </c>
      <c r="I2309" s="30" t="e">
        <f>VLOOKUP(H2309,'合同高级查询数据-4月返'!A:A,1,FALSE)</f>
        <v>#N/A</v>
      </c>
      <c r="J2309" s="140" t="s">
        <v>346</v>
      </c>
      <c r="K2309" s="11" t="s">
        <v>3109</v>
      </c>
      <c r="L2309" s="35"/>
      <c r="M2309" s="315"/>
      <c r="N2309" s="316">
        <v>43623</v>
      </c>
      <c r="O2309" s="11" t="s">
        <v>486</v>
      </c>
      <c r="P2309" s="324">
        <v>5800</v>
      </c>
      <c r="Q2309" s="324">
        <v>1</v>
      </c>
      <c r="R2309" s="126">
        <f t="shared" si="64"/>
        <v>5800</v>
      </c>
      <c r="S2309" s="322">
        <v>202304</v>
      </c>
      <c r="T2309" s="232" t="s">
        <v>3110</v>
      </c>
      <c r="U2309" s="232"/>
      <c r="V2309" s="323"/>
      <c r="W2309" s="323"/>
      <c r="X2309" s="326">
        <v>45017</v>
      </c>
      <c r="Y2309" s="193"/>
    </row>
    <row r="2310" s="3" customFormat="1" customHeight="1" spans="1:25">
      <c r="A2310" s="310" t="s">
        <v>448</v>
      </c>
      <c r="B2310" s="310" t="s">
        <v>3037</v>
      </c>
      <c r="C2310" s="310" t="s">
        <v>63</v>
      </c>
      <c r="D2310" s="310" t="s">
        <v>3038</v>
      </c>
      <c r="E2310" s="13" t="s">
        <v>3039</v>
      </c>
      <c r="F2310" s="11" t="s">
        <v>3040</v>
      </c>
      <c r="G2310" s="11" t="s">
        <v>346</v>
      </c>
      <c r="H2310" s="140" t="s">
        <v>3108</v>
      </c>
      <c r="I2310" s="30" t="e">
        <f>VLOOKUP(H2310,'合同高级查询数据-4月返'!A:A,1,FALSE)</f>
        <v>#N/A</v>
      </c>
      <c r="J2310" s="140" t="s">
        <v>346</v>
      </c>
      <c r="K2310" s="11" t="s">
        <v>3111</v>
      </c>
      <c r="L2310" s="174"/>
      <c r="M2310" s="315" t="s">
        <v>3112</v>
      </c>
      <c r="N2310" s="316">
        <v>43606</v>
      </c>
      <c r="O2310" s="11" t="s">
        <v>356</v>
      </c>
      <c r="P2310" s="324">
        <v>1353.8</v>
      </c>
      <c r="Q2310" s="324">
        <v>1</v>
      </c>
      <c r="R2310" s="126">
        <v>0</v>
      </c>
      <c r="S2310" s="322">
        <v>202304</v>
      </c>
      <c r="T2310" s="232" t="s">
        <v>3113</v>
      </c>
      <c r="U2310" s="232"/>
      <c r="V2310" s="323"/>
      <c r="W2310" s="323"/>
      <c r="X2310" s="326">
        <v>45017</v>
      </c>
      <c r="Y2310" s="193"/>
    </row>
    <row r="2311" s="3" customFormat="1" customHeight="1" spans="1:25">
      <c r="A2311" s="310" t="s">
        <v>448</v>
      </c>
      <c r="B2311" s="310" t="s">
        <v>3037</v>
      </c>
      <c r="C2311" s="310" t="s">
        <v>63</v>
      </c>
      <c r="D2311" s="310" t="s">
        <v>3038</v>
      </c>
      <c r="E2311" s="13" t="s">
        <v>3039</v>
      </c>
      <c r="F2311" s="11" t="s">
        <v>3040</v>
      </c>
      <c r="G2311" s="11" t="s">
        <v>346</v>
      </c>
      <c r="H2311" s="140" t="s">
        <v>3108</v>
      </c>
      <c r="I2311" s="30" t="e">
        <f>VLOOKUP(H2311,'合同高级查询数据-4月返'!A:A,1,FALSE)</f>
        <v>#N/A</v>
      </c>
      <c r="J2311" s="140" t="s">
        <v>346</v>
      </c>
      <c r="K2311" s="11" t="s">
        <v>3111</v>
      </c>
      <c r="L2311" s="174"/>
      <c r="M2311" s="315" t="s">
        <v>3112</v>
      </c>
      <c r="N2311" s="316">
        <v>44798</v>
      </c>
      <c r="O2311" s="11" t="s">
        <v>1524</v>
      </c>
      <c r="P2311" s="324">
        <v>2120</v>
      </c>
      <c r="Q2311" s="324">
        <v>1</v>
      </c>
      <c r="R2311" s="126">
        <f t="shared" ref="R2311:R2344" si="65">ROUND(P2311*Q2311,2)</f>
        <v>2120</v>
      </c>
      <c r="S2311" s="322">
        <v>202304</v>
      </c>
      <c r="T2311" s="232" t="s">
        <v>3114</v>
      </c>
      <c r="U2311" s="232"/>
      <c r="V2311" s="323"/>
      <c r="W2311" s="323"/>
      <c r="X2311" s="326">
        <v>45017</v>
      </c>
      <c r="Y2311" s="193"/>
    </row>
    <row r="2312" s="5" customFormat="1" customHeight="1" spans="1:25">
      <c r="A2312" s="307" t="s">
        <v>448</v>
      </c>
      <c r="B2312" s="307" t="s">
        <v>3037</v>
      </c>
      <c r="C2312" s="307" t="s">
        <v>63</v>
      </c>
      <c r="D2312" s="307" t="s">
        <v>3038</v>
      </c>
      <c r="E2312" s="23" t="s">
        <v>3039</v>
      </c>
      <c r="F2312" s="24" t="s">
        <v>3040</v>
      </c>
      <c r="G2312" s="24" t="s">
        <v>88</v>
      </c>
      <c r="H2312" s="309" t="s">
        <v>3115</v>
      </c>
      <c r="I2312" s="46" t="e">
        <f>VLOOKUP(H2312,'合同高级查询数据-4月返'!A:A,1,FALSE)</f>
        <v>#N/A</v>
      </c>
      <c r="J2312" s="309" t="s">
        <v>90</v>
      </c>
      <c r="K2312" s="24" t="s">
        <v>3116</v>
      </c>
      <c r="L2312" s="179"/>
      <c r="M2312" s="312" t="s">
        <v>3117</v>
      </c>
      <c r="N2312" s="313">
        <v>43703</v>
      </c>
      <c r="O2312" s="24" t="s">
        <v>503</v>
      </c>
      <c r="P2312" s="325">
        <v>6867</v>
      </c>
      <c r="Q2312" s="325">
        <v>7</v>
      </c>
      <c r="R2312" s="117">
        <f t="shared" si="65"/>
        <v>48069</v>
      </c>
      <c r="S2312" s="319">
        <v>202304</v>
      </c>
      <c r="T2312" s="233" t="s">
        <v>2107</v>
      </c>
      <c r="U2312" s="233"/>
      <c r="V2312" s="320"/>
      <c r="W2312" s="320"/>
      <c r="X2312" s="229">
        <v>44799</v>
      </c>
      <c r="Y2312" s="229">
        <v>45163</v>
      </c>
    </row>
    <row r="2313" s="5" customFormat="1" customHeight="1" spans="1:25">
      <c r="A2313" s="307" t="s">
        <v>448</v>
      </c>
      <c r="B2313" s="307" t="s">
        <v>3037</v>
      </c>
      <c r="C2313" s="307" t="s">
        <v>63</v>
      </c>
      <c r="D2313" s="307" t="s">
        <v>3038</v>
      </c>
      <c r="E2313" s="23" t="s">
        <v>3039</v>
      </c>
      <c r="F2313" s="24" t="s">
        <v>3040</v>
      </c>
      <c r="G2313" s="24" t="s">
        <v>88</v>
      </c>
      <c r="H2313" s="309" t="s">
        <v>3115</v>
      </c>
      <c r="I2313" s="46" t="e">
        <f>VLOOKUP(H2313,'合同高级查询数据-4月返'!A:A,1,FALSE)</f>
        <v>#N/A</v>
      </c>
      <c r="J2313" s="309" t="s">
        <v>90</v>
      </c>
      <c r="K2313" s="24" t="s">
        <v>3116</v>
      </c>
      <c r="L2313" s="179"/>
      <c r="M2313" s="312" t="s">
        <v>3117</v>
      </c>
      <c r="N2313" s="313">
        <v>43705</v>
      </c>
      <c r="O2313" s="24" t="s">
        <v>503</v>
      </c>
      <c r="P2313" s="325">
        <v>6867</v>
      </c>
      <c r="Q2313" s="325">
        <v>9</v>
      </c>
      <c r="R2313" s="117">
        <f t="shared" si="65"/>
        <v>61803</v>
      </c>
      <c r="S2313" s="319">
        <v>202304</v>
      </c>
      <c r="T2313" s="233" t="s">
        <v>3118</v>
      </c>
      <c r="U2313" s="233"/>
      <c r="V2313" s="320"/>
      <c r="W2313" s="320"/>
      <c r="X2313" s="229">
        <v>44799</v>
      </c>
      <c r="Y2313" s="229">
        <v>45163</v>
      </c>
    </row>
    <row r="2314" s="5" customFormat="1" customHeight="1" spans="1:25">
      <c r="A2314" s="307" t="s">
        <v>448</v>
      </c>
      <c r="B2314" s="307" t="s">
        <v>3037</v>
      </c>
      <c r="C2314" s="307" t="s">
        <v>63</v>
      </c>
      <c r="D2314" s="307" t="s">
        <v>3038</v>
      </c>
      <c r="E2314" s="23" t="s">
        <v>3039</v>
      </c>
      <c r="F2314" s="24" t="s">
        <v>3040</v>
      </c>
      <c r="G2314" s="24" t="s">
        <v>88</v>
      </c>
      <c r="H2314" s="309" t="s">
        <v>3115</v>
      </c>
      <c r="I2314" s="46" t="e">
        <f>VLOOKUP(H2314,'合同高级查询数据-4月返'!A:A,1,FALSE)</f>
        <v>#N/A</v>
      </c>
      <c r="J2314" s="309" t="s">
        <v>90</v>
      </c>
      <c r="K2314" s="24" t="s">
        <v>3116</v>
      </c>
      <c r="L2314" s="179"/>
      <c r="M2314" s="312" t="s">
        <v>3117</v>
      </c>
      <c r="N2314" s="313">
        <v>43719</v>
      </c>
      <c r="O2314" s="24" t="s">
        <v>503</v>
      </c>
      <c r="P2314" s="325">
        <v>6867</v>
      </c>
      <c r="Q2314" s="325">
        <v>15</v>
      </c>
      <c r="R2314" s="117">
        <f t="shared" si="65"/>
        <v>103005</v>
      </c>
      <c r="S2314" s="319">
        <v>202304</v>
      </c>
      <c r="T2314" s="233" t="s">
        <v>3118</v>
      </c>
      <c r="U2314" s="233"/>
      <c r="V2314" s="320"/>
      <c r="W2314" s="320"/>
      <c r="X2314" s="229">
        <v>44799</v>
      </c>
      <c r="Y2314" s="229">
        <v>45163</v>
      </c>
    </row>
    <row r="2315" s="5" customFormat="1" customHeight="1" spans="1:25">
      <c r="A2315" s="307" t="s">
        <v>448</v>
      </c>
      <c r="B2315" s="307" t="s">
        <v>3037</v>
      </c>
      <c r="C2315" s="307" t="s">
        <v>63</v>
      </c>
      <c r="D2315" s="307" t="s">
        <v>3038</v>
      </c>
      <c r="E2315" s="23" t="s">
        <v>3039</v>
      </c>
      <c r="F2315" s="24" t="s">
        <v>3040</v>
      </c>
      <c r="G2315" s="24" t="s">
        <v>88</v>
      </c>
      <c r="H2315" s="309" t="s">
        <v>3115</v>
      </c>
      <c r="I2315" s="46" t="e">
        <f>VLOOKUP(H2315,'合同高级查询数据-4月返'!A:A,1,FALSE)</f>
        <v>#N/A</v>
      </c>
      <c r="J2315" s="309" t="s">
        <v>90</v>
      </c>
      <c r="K2315" s="24" t="s">
        <v>3116</v>
      </c>
      <c r="L2315" s="179"/>
      <c r="M2315" s="312" t="s">
        <v>3117</v>
      </c>
      <c r="N2315" s="313">
        <v>43703</v>
      </c>
      <c r="O2315" s="24" t="s">
        <v>503</v>
      </c>
      <c r="P2315" s="325">
        <v>6867</v>
      </c>
      <c r="Q2315" s="325">
        <v>85</v>
      </c>
      <c r="R2315" s="117">
        <f t="shared" si="65"/>
        <v>583695</v>
      </c>
      <c r="S2315" s="319">
        <v>202304</v>
      </c>
      <c r="T2315" s="233" t="s">
        <v>3119</v>
      </c>
      <c r="U2315" s="233"/>
      <c r="V2315" s="320"/>
      <c r="W2315" s="320"/>
      <c r="X2315" s="229">
        <v>44799</v>
      </c>
      <c r="Y2315" s="229">
        <v>45163</v>
      </c>
    </row>
    <row r="2316" s="5" customFormat="1" customHeight="1" spans="1:25">
      <c r="A2316" s="307" t="s">
        <v>448</v>
      </c>
      <c r="B2316" s="307" t="s">
        <v>3037</v>
      </c>
      <c r="C2316" s="307" t="s">
        <v>63</v>
      </c>
      <c r="D2316" s="307" t="s">
        <v>3038</v>
      </c>
      <c r="E2316" s="23" t="s">
        <v>3039</v>
      </c>
      <c r="F2316" s="24" t="s">
        <v>3040</v>
      </c>
      <c r="G2316" s="24" t="s">
        <v>88</v>
      </c>
      <c r="H2316" s="309" t="s">
        <v>3115</v>
      </c>
      <c r="I2316" s="46" t="e">
        <f>VLOOKUP(H2316,'合同高级查询数据-4月返'!A:A,1,FALSE)</f>
        <v>#N/A</v>
      </c>
      <c r="J2316" s="309" t="s">
        <v>90</v>
      </c>
      <c r="K2316" s="24" t="s">
        <v>3116</v>
      </c>
      <c r="L2316" s="179"/>
      <c r="M2316" s="312" t="s">
        <v>3117</v>
      </c>
      <c r="N2316" s="313">
        <v>43703</v>
      </c>
      <c r="O2316" s="24" t="s">
        <v>525</v>
      </c>
      <c r="P2316" s="325">
        <v>6867</v>
      </c>
      <c r="Q2316" s="325">
        <v>12</v>
      </c>
      <c r="R2316" s="117">
        <f t="shared" si="65"/>
        <v>82404</v>
      </c>
      <c r="S2316" s="319">
        <v>202304</v>
      </c>
      <c r="T2316" s="233" t="s">
        <v>3119</v>
      </c>
      <c r="U2316" s="233"/>
      <c r="V2316" s="320"/>
      <c r="W2316" s="320"/>
      <c r="X2316" s="229">
        <v>44799</v>
      </c>
      <c r="Y2316" s="229">
        <v>45163</v>
      </c>
    </row>
    <row r="2317" s="5" customFormat="1" customHeight="1" spans="1:25">
      <c r="A2317" s="307" t="s">
        <v>448</v>
      </c>
      <c r="B2317" s="307" t="s">
        <v>3037</v>
      </c>
      <c r="C2317" s="307" t="s">
        <v>63</v>
      </c>
      <c r="D2317" s="307" t="s">
        <v>3038</v>
      </c>
      <c r="E2317" s="23" t="s">
        <v>3039</v>
      </c>
      <c r="F2317" s="24" t="s">
        <v>3040</v>
      </c>
      <c r="G2317" s="24" t="s">
        <v>88</v>
      </c>
      <c r="H2317" s="309" t="s">
        <v>3115</v>
      </c>
      <c r="I2317" s="46" t="e">
        <f>VLOOKUP(H2317,'合同高级查询数据-4月返'!A:A,1,FALSE)</f>
        <v>#N/A</v>
      </c>
      <c r="J2317" s="309" t="s">
        <v>90</v>
      </c>
      <c r="K2317" s="24" t="s">
        <v>3116</v>
      </c>
      <c r="L2317" s="179"/>
      <c r="M2317" s="312" t="s">
        <v>3117</v>
      </c>
      <c r="N2317" s="313">
        <v>43703</v>
      </c>
      <c r="O2317" s="24" t="s">
        <v>507</v>
      </c>
      <c r="P2317" s="325">
        <v>6867</v>
      </c>
      <c r="Q2317" s="325">
        <v>18</v>
      </c>
      <c r="R2317" s="117">
        <f t="shared" si="65"/>
        <v>123606</v>
      </c>
      <c r="S2317" s="319">
        <v>202304</v>
      </c>
      <c r="T2317" s="233" t="s">
        <v>3119</v>
      </c>
      <c r="U2317" s="233"/>
      <c r="V2317" s="320"/>
      <c r="W2317" s="320"/>
      <c r="X2317" s="229">
        <v>44799</v>
      </c>
      <c r="Y2317" s="229">
        <v>45163</v>
      </c>
    </row>
    <row r="2318" s="5" customFormat="1" customHeight="1" spans="1:25">
      <c r="A2318" s="307" t="s">
        <v>448</v>
      </c>
      <c r="B2318" s="307" t="s">
        <v>3037</v>
      </c>
      <c r="C2318" s="307" t="s">
        <v>63</v>
      </c>
      <c r="D2318" s="307" t="s">
        <v>3038</v>
      </c>
      <c r="E2318" s="23" t="s">
        <v>3039</v>
      </c>
      <c r="F2318" s="24" t="s">
        <v>3040</v>
      </c>
      <c r="G2318" s="24" t="s">
        <v>88</v>
      </c>
      <c r="H2318" s="309" t="s">
        <v>3115</v>
      </c>
      <c r="I2318" s="46" t="e">
        <f>VLOOKUP(H2318,'合同高级查询数据-4月返'!A:A,1,FALSE)</f>
        <v>#N/A</v>
      </c>
      <c r="J2318" s="309" t="s">
        <v>90</v>
      </c>
      <c r="K2318" s="24" t="s">
        <v>3116</v>
      </c>
      <c r="L2318" s="179"/>
      <c r="M2318" s="312" t="s">
        <v>3117</v>
      </c>
      <c r="N2318" s="313">
        <v>43703</v>
      </c>
      <c r="O2318" s="24" t="s">
        <v>3120</v>
      </c>
      <c r="P2318" s="325">
        <v>20288</v>
      </c>
      <c r="Q2318" s="325">
        <v>10</v>
      </c>
      <c r="R2318" s="117">
        <f t="shared" si="65"/>
        <v>202880</v>
      </c>
      <c r="S2318" s="319">
        <v>202304</v>
      </c>
      <c r="T2318" s="233" t="s">
        <v>3119</v>
      </c>
      <c r="U2318" s="233"/>
      <c r="V2318" s="320"/>
      <c r="W2318" s="320"/>
      <c r="X2318" s="229">
        <v>44799</v>
      </c>
      <c r="Y2318" s="229">
        <v>45163</v>
      </c>
    </row>
    <row r="2319" s="5" customFormat="1" customHeight="1" spans="1:25">
      <c r="A2319" s="307" t="s">
        <v>448</v>
      </c>
      <c r="B2319" s="307" t="s">
        <v>3037</v>
      </c>
      <c r="C2319" s="307" t="s">
        <v>63</v>
      </c>
      <c r="D2319" s="307" t="s">
        <v>3038</v>
      </c>
      <c r="E2319" s="23" t="s">
        <v>3039</v>
      </c>
      <c r="F2319" s="24" t="s">
        <v>3040</v>
      </c>
      <c r="G2319" s="24" t="s">
        <v>88</v>
      </c>
      <c r="H2319" s="309" t="s">
        <v>3115</v>
      </c>
      <c r="I2319" s="46" t="e">
        <f>VLOOKUP(H2319,'合同高级查询数据-4月返'!A:A,1,FALSE)</f>
        <v>#N/A</v>
      </c>
      <c r="J2319" s="309" t="s">
        <v>90</v>
      </c>
      <c r="K2319" s="24" t="s">
        <v>3116</v>
      </c>
      <c r="L2319" s="179"/>
      <c r="M2319" s="312" t="s">
        <v>3117</v>
      </c>
      <c r="N2319" s="313">
        <v>43703</v>
      </c>
      <c r="O2319" s="24" t="s">
        <v>600</v>
      </c>
      <c r="P2319" s="325">
        <v>3433</v>
      </c>
      <c r="Q2319" s="325">
        <v>14</v>
      </c>
      <c r="R2319" s="117">
        <f t="shared" si="65"/>
        <v>48062</v>
      </c>
      <c r="S2319" s="319">
        <v>202304</v>
      </c>
      <c r="T2319" s="233" t="s">
        <v>3121</v>
      </c>
      <c r="U2319" s="233"/>
      <c r="V2319" s="320"/>
      <c r="W2319" s="320"/>
      <c r="X2319" s="229">
        <v>44799</v>
      </c>
      <c r="Y2319" s="229">
        <v>45163</v>
      </c>
    </row>
    <row r="2320" s="5" customFormat="1" customHeight="1" spans="1:25">
      <c r="A2320" s="307" t="s">
        <v>448</v>
      </c>
      <c r="B2320" s="307" t="s">
        <v>3037</v>
      </c>
      <c r="C2320" s="307" t="s">
        <v>63</v>
      </c>
      <c r="D2320" s="307" t="s">
        <v>3038</v>
      </c>
      <c r="E2320" s="23" t="s">
        <v>3039</v>
      </c>
      <c r="F2320" s="24" t="s">
        <v>3040</v>
      </c>
      <c r="G2320" s="24" t="s">
        <v>88</v>
      </c>
      <c r="H2320" s="309" t="s">
        <v>3115</v>
      </c>
      <c r="I2320" s="46" t="e">
        <f>VLOOKUP(H2320,'合同高级查询数据-4月返'!A:A,1,FALSE)</f>
        <v>#N/A</v>
      </c>
      <c r="J2320" s="309" t="s">
        <v>90</v>
      </c>
      <c r="K2320" s="24" t="s">
        <v>3116</v>
      </c>
      <c r="L2320" s="179"/>
      <c r="M2320" s="312" t="s">
        <v>3117</v>
      </c>
      <c r="N2320" s="313">
        <v>43838</v>
      </c>
      <c r="O2320" s="24" t="s">
        <v>503</v>
      </c>
      <c r="P2320" s="325">
        <v>6867</v>
      </c>
      <c r="Q2320" s="325">
        <v>1</v>
      </c>
      <c r="R2320" s="117">
        <f t="shared" si="65"/>
        <v>6867</v>
      </c>
      <c r="S2320" s="319">
        <v>202304</v>
      </c>
      <c r="T2320" s="233" t="s">
        <v>3122</v>
      </c>
      <c r="U2320" s="233"/>
      <c r="V2320" s="320"/>
      <c r="W2320" s="320"/>
      <c r="X2320" s="229">
        <v>44799</v>
      </c>
      <c r="Y2320" s="229">
        <v>45163</v>
      </c>
    </row>
    <row r="2321" s="5" customFormat="1" customHeight="1" spans="1:25">
      <c r="A2321" s="307" t="s">
        <v>448</v>
      </c>
      <c r="B2321" s="307" t="s">
        <v>3037</v>
      </c>
      <c r="C2321" s="307" t="s">
        <v>63</v>
      </c>
      <c r="D2321" s="307" t="s">
        <v>3038</v>
      </c>
      <c r="E2321" s="23" t="s">
        <v>3039</v>
      </c>
      <c r="F2321" s="24" t="s">
        <v>3040</v>
      </c>
      <c r="G2321" s="24" t="s">
        <v>88</v>
      </c>
      <c r="H2321" s="309" t="s">
        <v>3115</v>
      </c>
      <c r="I2321" s="46" t="e">
        <f>VLOOKUP(H2321,'合同高级查询数据-4月返'!A:A,1,FALSE)</f>
        <v>#N/A</v>
      </c>
      <c r="J2321" s="309" t="s">
        <v>90</v>
      </c>
      <c r="K2321" s="24" t="s">
        <v>3116</v>
      </c>
      <c r="L2321" s="179"/>
      <c r="M2321" s="312" t="s">
        <v>3117</v>
      </c>
      <c r="N2321" s="313">
        <v>43847</v>
      </c>
      <c r="O2321" s="24" t="s">
        <v>503</v>
      </c>
      <c r="P2321" s="325">
        <v>6867</v>
      </c>
      <c r="Q2321" s="325">
        <v>50</v>
      </c>
      <c r="R2321" s="117">
        <f t="shared" si="65"/>
        <v>343350</v>
      </c>
      <c r="S2321" s="319">
        <v>202304</v>
      </c>
      <c r="T2321" s="233" t="s">
        <v>3122</v>
      </c>
      <c r="U2321" s="233"/>
      <c r="V2321" s="320"/>
      <c r="W2321" s="320"/>
      <c r="X2321" s="229">
        <v>44799</v>
      </c>
      <c r="Y2321" s="229">
        <v>45163</v>
      </c>
    </row>
    <row r="2322" s="5" customFormat="1" customHeight="1" spans="1:25">
      <c r="A2322" s="307" t="s">
        <v>448</v>
      </c>
      <c r="B2322" s="307" t="s">
        <v>3037</v>
      </c>
      <c r="C2322" s="307" t="s">
        <v>63</v>
      </c>
      <c r="D2322" s="307" t="s">
        <v>3038</v>
      </c>
      <c r="E2322" s="23" t="s">
        <v>3039</v>
      </c>
      <c r="F2322" s="24" t="s">
        <v>3040</v>
      </c>
      <c r="G2322" s="24" t="s">
        <v>88</v>
      </c>
      <c r="H2322" s="309" t="s">
        <v>3115</v>
      </c>
      <c r="I2322" s="46" t="e">
        <f>VLOOKUP(H2322,'合同高级查询数据-4月返'!A:A,1,FALSE)</f>
        <v>#N/A</v>
      </c>
      <c r="J2322" s="309" t="s">
        <v>90</v>
      </c>
      <c r="K2322" s="24" t="s">
        <v>3116</v>
      </c>
      <c r="L2322" s="179"/>
      <c r="M2322" s="312" t="s">
        <v>3117</v>
      </c>
      <c r="N2322" s="313">
        <v>43849</v>
      </c>
      <c r="O2322" s="24" t="s">
        <v>503</v>
      </c>
      <c r="P2322" s="325">
        <v>6867</v>
      </c>
      <c r="Q2322" s="325">
        <v>18</v>
      </c>
      <c r="R2322" s="117">
        <f t="shared" si="65"/>
        <v>123606</v>
      </c>
      <c r="S2322" s="319">
        <v>202304</v>
      </c>
      <c r="T2322" s="233" t="s">
        <v>3122</v>
      </c>
      <c r="U2322" s="233"/>
      <c r="V2322" s="320"/>
      <c r="W2322" s="320"/>
      <c r="X2322" s="229">
        <v>44799</v>
      </c>
      <c r="Y2322" s="229">
        <v>45163</v>
      </c>
    </row>
    <row r="2323" s="5" customFormat="1" customHeight="1" spans="1:25">
      <c r="A2323" s="307" t="s">
        <v>448</v>
      </c>
      <c r="B2323" s="307" t="s">
        <v>3037</v>
      </c>
      <c r="C2323" s="307" t="s">
        <v>63</v>
      </c>
      <c r="D2323" s="307" t="s">
        <v>3038</v>
      </c>
      <c r="E2323" s="23" t="s">
        <v>3039</v>
      </c>
      <c r="F2323" s="24" t="s">
        <v>3040</v>
      </c>
      <c r="G2323" s="24" t="s">
        <v>88</v>
      </c>
      <c r="H2323" s="309" t="s">
        <v>3115</v>
      </c>
      <c r="I2323" s="46" t="e">
        <f>VLOOKUP(H2323,'合同高级查询数据-4月返'!A:A,1,FALSE)</f>
        <v>#N/A</v>
      </c>
      <c r="J2323" s="309" t="s">
        <v>90</v>
      </c>
      <c r="K2323" s="24" t="s">
        <v>3116</v>
      </c>
      <c r="L2323" s="179"/>
      <c r="M2323" s="312" t="s">
        <v>3117</v>
      </c>
      <c r="N2323" s="313">
        <v>43872</v>
      </c>
      <c r="O2323" s="24" t="s">
        <v>503</v>
      </c>
      <c r="P2323" s="325">
        <v>6867</v>
      </c>
      <c r="Q2323" s="325">
        <v>26</v>
      </c>
      <c r="R2323" s="117">
        <f t="shared" si="65"/>
        <v>178542</v>
      </c>
      <c r="S2323" s="319">
        <v>202304</v>
      </c>
      <c r="T2323" s="233" t="s">
        <v>3123</v>
      </c>
      <c r="U2323" s="233"/>
      <c r="V2323" s="320"/>
      <c r="W2323" s="320"/>
      <c r="X2323" s="229">
        <v>44799</v>
      </c>
      <c r="Y2323" s="229">
        <v>45163</v>
      </c>
    </row>
    <row r="2324" s="5" customFormat="1" customHeight="1" spans="1:25">
      <c r="A2324" s="307" t="s">
        <v>448</v>
      </c>
      <c r="B2324" s="307" t="s">
        <v>3037</v>
      </c>
      <c r="C2324" s="307" t="s">
        <v>63</v>
      </c>
      <c r="D2324" s="307" t="s">
        <v>3038</v>
      </c>
      <c r="E2324" s="23" t="s">
        <v>3039</v>
      </c>
      <c r="F2324" s="24" t="s">
        <v>3040</v>
      </c>
      <c r="G2324" s="24" t="s">
        <v>88</v>
      </c>
      <c r="H2324" s="309" t="s">
        <v>3115</v>
      </c>
      <c r="I2324" s="46" t="e">
        <f>VLOOKUP(H2324,'合同高级查询数据-4月返'!A:A,1,FALSE)</f>
        <v>#N/A</v>
      </c>
      <c r="J2324" s="309" t="s">
        <v>90</v>
      </c>
      <c r="K2324" s="24" t="s">
        <v>3116</v>
      </c>
      <c r="L2324" s="179"/>
      <c r="M2324" s="312" t="s">
        <v>3117</v>
      </c>
      <c r="N2324" s="313">
        <v>43873</v>
      </c>
      <c r="O2324" s="24" t="s">
        <v>503</v>
      </c>
      <c r="P2324" s="325">
        <v>6867</v>
      </c>
      <c r="Q2324" s="325">
        <v>49</v>
      </c>
      <c r="R2324" s="117">
        <f t="shared" si="65"/>
        <v>336483</v>
      </c>
      <c r="S2324" s="319">
        <v>202304</v>
      </c>
      <c r="T2324" s="233" t="s">
        <v>3123</v>
      </c>
      <c r="U2324" s="233"/>
      <c r="V2324" s="320"/>
      <c r="W2324" s="320"/>
      <c r="X2324" s="229">
        <v>44799</v>
      </c>
      <c r="Y2324" s="229">
        <v>45163</v>
      </c>
    </row>
    <row r="2325" s="5" customFormat="1" customHeight="1" spans="1:25">
      <c r="A2325" s="307" t="s">
        <v>448</v>
      </c>
      <c r="B2325" s="307" t="s">
        <v>3037</v>
      </c>
      <c r="C2325" s="307" t="s">
        <v>63</v>
      </c>
      <c r="D2325" s="307" t="s">
        <v>3038</v>
      </c>
      <c r="E2325" s="23" t="s">
        <v>3039</v>
      </c>
      <c r="F2325" s="24" t="s">
        <v>3040</v>
      </c>
      <c r="G2325" s="24" t="s">
        <v>88</v>
      </c>
      <c r="H2325" s="309" t="s">
        <v>3115</v>
      </c>
      <c r="I2325" s="46" t="e">
        <f>VLOOKUP(H2325,'合同高级查询数据-4月返'!A:A,1,FALSE)</f>
        <v>#N/A</v>
      </c>
      <c r="J2325" s="309" t="s">
        <v>90</v>
      </c>
      <c r="K2325" s="24" t="s">
        <v>3116</v>
      </c>
      <c r="L2325" s="179"/>
      <c r="M2325" s="312" t="s">
        <v>3117</v>
      </c>
      <c r="N2325" s="313">
        <v>43874</v>
      </c>
      <c r="O2325" s="24" t="s">
        <v>503</v>
      </c>
      <c r="P2325" s="325">
        <v>6867</v>
      </c>
      <c r="Q2325" s="325">
        <v>4</v>
      </c>
      <c r="R2325" s="117">
        <f t="shared" si="65"/>
        <v>27468</v>
      </c>
      <c r="S2325" s="319">
        <v>202304</v>
      </c>
      <c r="T2325" s="233" t="s">
        <v>3123</v>
      </c>
      <c r="U2325" s="233"/>
      <c r="V2325" s="320"/>
      <c r="W2325" s="320"/>
      <c r="X2325" s="229">
        <v>44799</v>
      </c>
      <c r="Y2325" s="229">
        <v>45163</v>
      </c>
    </row>
    <row r="2326" s="5" customFormat="1" customHeight="1" spans="1:25">
      <c r="A2326" s="307" t="s">
        <v>448</v>
      </c>
      <c r="B2326" s="307" t="s">
        <v>3037</v>
      </c>
      <c r="C2326" s="307" t="s">
        <v>63</v>
      </c>
      <c r="D2326" s="307" t="s">
        <v>3038</v>
      </c>
      <c r="E2326" s="23" t="s">
        <v>3039</v>
      </c>
      <c r="F2326" s="24" t="s">
        <v>3040</v>
      </c>
      <c r="G2326" s="24" t="s">
        <v>88</v>
      </c>
      <c r="H2326" s="309" t="s">
        <v>3115</v>
      </c>
      <c r="I2326" s="46" t="e">
        <f>VLOOKUP(H2326,'合同高级查询数据-4月返'!A:A,1,FALSE)</f>
        <v>#N/A</v>
      </c>
      <c r="J2326" s="309" t="s">
        <v>90</v>
      </c>
      <c r="K2326" s="24" t="s">
        <v>3116</v>
      </c>
      <c r="L2326" s="179"/>
      <c r="M2326" s="312" t="s">
        <v>3117</v>
      </c>
      <c r="N2326" s="313" t="s">
        <v>3124</v>
      </c>
      <c r="O2326" s="24" t="s">
        <v>503</v>
      </c>
      <c r="P2326" s="325">
        <v>6867</v>
      </c>
      <c r="Q2326" s="325">
        <v>-2</v>
      </c>
      <c r="R2326" s="117">
        <f t="shared" si="65"/>
        <v>-13734</v>
      </c>
      <c r="S2326" s="319">
        <v>202304</v>
      </c>
      <c r="T2326" s="233" t="s">
        <v>3123</v>
      </c>
      <c r="U2326" s="233"/>
      <c r="V2326" s="320"/>
      <c r="W2326" s="320"/>
      <c r="X2326" s="229">
        <v>44799</v>
      </c>
      <c r="Y2326" s="229">
        <v>45163</v>
      </c>
    </row>
    <row r="2327" s="5" customFormat="1" customHeight="1" spans="1:25">
      <c r="A2327" s="307" t="s">
        <v>448</v>
      </c>
      <c r="B2327" s="307" t="s">
        <v>3037</v>
      </c>
      <c r="C2327" s="307" t="s">
        <v>63</v>
      </c>
      <c r="D2327" s="307" t="s">
        <v>3038</v>
      </c>
      <c r="E2327" s="23" t="s">
        <v>3039</v>
      </c>
      <c r="F2327" s="24" t="s">
        <v>3040</v>
      </c>
      <c r="G2327" s="24" t="s">
        <v>88</v>
      </c>
      <c r="H2327" s="309" t="s">
        <v>3115</v>
      </c>
      <c r="I2327" s="46" t="e">
        <f>VLOOKUP(H2327,'合同高级查询数据-4月返'!A:A,1,FALSE)</f>
        <v>#N/A</v>
      </c>
      <c r="J2327" s="309" t="s">
        <v>90</v>
      </c>
      <c r="K2327" s="24" t="s">
        <v>3116</v>
      </c>
      <c r="L2327" s="179"/>
      <c r="M2327" s="312" t="s">
        <v>3117</v>
      </c>
      <c r="N2327" s="313" t="s">
        <v>3125</v>
      </c>
      <c r="O2327" s="24" t="s">
        <v>503</v>
      </c>
      <c r="P2327" s="325">
        <v>6867</v>
      </c>
      <c r="Q2327" s="325">
        <v>-50</v>
      </c>
      <c r="R2327" s="117">
        <f t="shared" si="65"/>
        <v>-343350</v>
      </c>
      <c r="S2327" s="319">
        <v>202304</v>
      </c>
      <c r="T2327" s="233" t="s">
        <v>3123</v>
      </c>
      <c r="U2327" s="233"/>
      <c r="V2327" s="320"/>
      <c r="W2327" s="320"/>
      <c r="X2327" s="229">
        <v>44799</v>
      </c>
      <c r="Y2327" s="229">
        <v>45163</v>
      </c>
    </row>
    <row r="2328" s="5" customFormat="1" customHeight="1" spans="1:25">
      <c r="A2328" s="307" t="s">
        <v>448</v>
      </c>
      <c r="B2328" s="307" t="s">
        <v>3037</v>
      </c>
      <c r="C2328" s="307" t="s">
        <v>63</v>
      </c>
      <c r="D2328" s="307" t="s">
        <v>3038</v>
      </c>
      <c r="E2328" s="23" t="s">
        <v>3039</v>
      </c>
      <c r="F2328" s="24" t="s">
        <v>3040</v>
      </c>
      <c r="G2328" s="24" t="s">
        <v>88</v>
      </c>
      <c r="H2328" s="309" t="s">
        <v>3115</v>
      </c>
      <c r="I2328" s="46" t="e">
        <f>VLOOKUP(H2328,'合同高级查询数据-4月返'!A:A,1,FALSE)</f>
        <v>#N/A</v>
      </c>
      <c r="J2328" s="309" t="s">
        <v>90</v>
      </c>
      <c r="K2328" s="24" t="s">
        <v>3116</v>
      </c>
      <c r="L2328" s="179"/>
      <c r="M2328" s="312" t="s">
        <v>3117</v>
      </c>
      <c r="N2328" s="313">
        <v>43894</v>
      </c>
      <c r="O2328" s="24" t="s">
        <v>503</v>
      </c>
      <c r="P2328" s="325">
        <v>6867</v>
      </c>
      <c r="Q2328" s="325">
        <v>1</v>
      </c>
      <c r="R2328" s="117">
        <f t="shared" si="65"/>
        <v>6867</v>
      </c>
      <c r="S2328" s="319">
        <v>202304</v>
      </c>
      <c r="T2328" s="233"/>
      <c r="U2328" s="233"/>
      <c r="V2328" s="320"/>
      <c r="W2328" s="320"/>
      <c r="X2328" s="229">
        <v>44799</v>
      </c>
      <c r="Y2328" s="229">
        <v>45163</v>
      </c>
    </row>
    <row r="2329" s="5" customFormat="1" customHeight="1" spans="1:25">
      <c r="A2329" s="307" t="s">
        <v>448</v>
      </c>
      <c r="B2329" s="307" t="s">
        <v>3037</v>
      </c>
      <c r="C2329" s="307" t="s">
        <v>63</v>
      </c>
      <c r="D2329" s="307" t="s">
        <v>3038</v>
      </c>
      <c r="E2329" s="23" t="s">
        <v>3039</v>
      </c>
      <c r="F2329" s="24" t="s">
        <v>3040</v>
      </c>
      <c r="G2329" s="24" t="s">
        <v>88</v>
      </c>
      <c r="H2329" s="309" t="s">
        <v>3115</v>
      </c>
      <c r="I2329" s="46" t="e">
        <f>VLOOKUP(H2329,'合同高级查询数据-4月返'!A:A,1,FALSE)</f>
        <v>#N/A</v>
      </c>
      <c r="J2329" s="309" t="s">
        <v>90</v>
      </c>
      <c r="K2329" s="24" t="s">
        <v>3116</v>
      </c>
      <c r="L2329" s="179"/>
      <c r="M2329" s="312" t="s">
        <v>3117</v>
      </c>
      <c r="N2329" s="313">
        <v>43915</v>
      </c>
      <c r="O2329" s="24" t="s">
        <v>503</v>
      </c>
      <c r="P2329" s="325">
        <v>6867</v>
      </c>
      <c r="Q2329" s="325">
        <v>3</v>
      </c>
      <c r="R2329" s="117">
        <f t="shared" si="65"/>
        <v>20601</v>
      </c>
      <c r="S2329" s="319">
        <v>202304</v>
      </c>
      <c r="T2329" s="233"/>
      <c r="U2329" s="233"/>
      <c r="V2329" s="320"/>
      <c r="W2329" s="320"/>
      <c r="X2329" s="229">
        <v>44799</v>
      </c>
      <c r="Y2329" s="229">
        <v>45163</v>
      </c>
    </row>
    <row r="2330" s="5" customFormat="1" customHeight="1" spans="1:25">
      <c r="A2330" s="307" t="s">
        <v>448</v>
      </c>
      <c r="B2330" s="307" t="s">
        <v>3037</v>
      </c>
      <c r="C2330" s="307" t="s">
        <v>63</v>
      </c>
      <c r="D2330" s="307" t="s">
        <v>3038</v>
      </c>
      <c r="E2330" s="23" t="s">
        <v>3039</v>
      </c>
      <c r="F2330" s="24" t="s">
        <v>3040</v>
      </c>
      <c r="G2330" s="24" t="s">
        <v>88</v>
      </c>
      <c r="H2330" s="309" t="s">
        <v>3115</v>
      </c>
      <c r="I2330" s="46" t="e">
        <f>VLOOKUP(H2330,'合同高级查询数据-4月返'!A:A,1,FALSE)</f>
        <v>#N/A</v>
      </c>
      <c r="J2330" s="309" t="s">
        <v>90</v>
      </c>
      <c r="K2330" s="24" t="s">
        <v>3116</v>
      </c>
      <c r="L2330" s="179"/>
      <c r="M2330" s="312" t="s">
        <v>3117</v>
      </c>
      <c r="N2330" s="313" t="s">
        <v>3126</v>
      </c>
      <c r="O2330" s="24" t="s">
        <v>503</v>
      </c>
      <c r="P2330" s="325">
        <v>6867</v>
      </c>
      <c r="Q2330" s="325">
        <v>-1</v>
      </c>
      <c r="R2330" s="117">
        <f t="shared" si="65"/>
        <v>-6867</v>
      </c>
      <c r="S2330" s="319">
        <v>202304</v>
      </c>
      <c r="T2330" s="233"/>
      <c r="U2330" s="233"/>
      <c r="V2330" s="320"/>
      <c r="W2330" s="320"/>
      <c r="X2330" s="229">
        <v>44799</v>
      </c>
      <c r="Y2330" s="229">
        <v>45163</v>
      </c>
    </row>
    <row r="2331" s="5" customFormat="1" customHeight="1" spans="1:25">
      <c r="A2331" s="307" t="s">
        <v>448</v>
      </c>
      <c r="B2331" s="307" t="s">
        <v>3037</v>
      </c>
      <c r="C2331" s="307" t="s">
        <v>63</v>
      </c>
      <c r="D2331" s="307" t="s">
        <v>3038</v>
      </c>
      <c r="E2331" s="23" t="s">
        <v>3039</v>
      </c>
      <c r="F2331" s="24" t="s">
        <v>3040</v>
      </c>
      <c r="G2331" s="24" t="s">
        <v>88</v>
      </c>
      <c r="H2331" s="309" t="s">
        <v>3115</v>
      </c>
      <c r="I2331" s="46" t="e">
        <f>VLOOKUP(H2331,'合同高级查询数据-4月返'!A:A,1,FALSE)</f>
        <v>#N/A</v>
      </c>
      <c r="J2331" s="309" t="s">
        <v>90</v>
      </c>
      <c r="K2331" s="24" t="s">
        <v>3116</v>
      </c>
      <c r="L2331" s="179"/>
      <c r="M2331" s="312" t="s">
        <v>3117</v>
      </c>
      <c r="N2331" s="313" t="s">
        <v>3127</v>
      </c>
      <c r="O2331" s="24" t="s">
        <v>503</v>
      </c>
      <c r="P2331" s="325">
        <v>6867</v>
      </c>
      <c r="Q2331" s="325">
        <v>-1</v>
      </c>
      <c r="R2331" s="117">
        <f t="shared" si="65"/>
        <v>-6867</v>
      </c>
      <c r="S2331" s="319">
        <v>202304</v>
      </c>
      <c r="T2331" s="233"/>
      <c r="U2331" s="233"/>
      <c r="V2331" s="320"/>
      <c r="W2331" s="320"/>
      <c r="X2331" s="229">
        <v>44799</v>
      </c>
      <c r="Y2331" s="229">
        <v>45163</v>
      </c>
    </row>
    <row r="2332" s="5" customFormat="1" customHeight="1" spans="1:25">
      <c r="A2332" s="307" t="s">
        <v>448</v>
      </c>
      <c r="B2332" s="307" t="s">
        <v>3037</v>
      </c>
      <c r="C2332" s="307" t="s">
        <v>63</v>
      </c>
      <c r="D2332" s="307" t="s">
        <v>3038</v>
      </c>
      <c r="E2332" s="23" t="s">
        <v>3039</v>
      </c>
      <c r="F2332" s="24" t="s">
        <v>3040</v>
      </c>
      <c r="G2332" s="24" t="s">
        <v>88</v>
      </c>
      <c r="H2332" s="309" t="s">
        <v>3115</v>
      </c>
      <c r="I2332" s="46" t="e">
        <f>VLOOKUP(H2332,'合同高级查询数据-4月返'!A:A,1,FALSE)</f>
        <v>#N/A</v>
      </c>
      <c r="J2332" s="309" t="s">
        <v>90</v>
      </c>
      <c r="K2332" s="24" t="s">
        <v>3116</v>
      </c>
      <c r="L2332" s="179"/>
      <c r="M2332" s="312" t="s">
        <v>3117</v>
      </c>
      <c r="N2332" s="313">
        <v>43960</v>
      </c>
      <c r="O2332" s="24" t="s">
        <v>503</v>
      </c>
      <c r="P2332" s="325">
        <v>6867</v>
      </c>
      <c r="Q2332" s="325">
        <v>3</v>
      </c>
      <c r="R2332" s="117">
        <f t="shared" si="65"/>
        <v>20601</v>
      </c>
      <c r="S2332" s="319">
        <v>202304</v>
      </c>
      <c r="T2332" s="233"/>
      <c r="U2332" s="233"/>
      <c r="V2332" s="320"/>
      <c r="W2332" s="320"/>
      <c r="X2332" s="229">
        <v>44799</v>
      </c>
      <c r="Y2332" s="229">
        <v>45163</v>
      </c>
    </row>
    <row r="2333" s="5" customFormat="1" customHeight="1" spans="1:25">
      <c r="A2333" s="307" t="s">
        <v>448</v>
      </c>
      <c r="B2333" s="307" t="s">
        <v>3037</v>
      </c>
      <c r="C2333" s="307" t="s">
        <v>63</v>
      </c>
      <c r="D2333" s="307" t="s">
        <v>3038</v>
      </c>
      <c r="E2333" s="23" t="s">
        <v>3039</v>
      </c>
      <c r="F2333" s="24" t="s">
        <v>3040</v>
      </c>
      <c r="G2333" s="24" t="s">
        <v>88</v>
      </c>
      <c r="H2333" s="309" t="s">
        <v>3115</v>
      </c>
      <c r="I2333" s="46" t="e">
        <f>VLOOKUP(H2333,'合同高级查询数据-4月返'!A:A,1,FALSE)</f>
        <v>#N/A</v>
      </c>
      <c r="J2333" s="309" t="s">
        <v>90</v>
      </c>
      <c r="K2333" s="24" t="s">
        <v>3116</v>
      </c>
      <c r="L2333" s="179"/>
      <c r="M2333" s="312" t="s">
        <v>3117</v>
      </c>
      <c r="N2333" s="313">
        <v>44001</v>
      </c>
      <c r="O2333" s="24" t="s">
        <v>503</v>
      </c>
      <c r="P2333" s="325">
        <v>6867</v>
      </c>
      <c r="Q2333" s="325">
        <v>21</v>
      </c>
      <c r="R2333" s="117">
        <f t="shared" si="65"/>
        <v>144207</v>
      </c>
      <c r="S2333" s="319">
        <v>202304</v>
      </c>
      <c r="T2333" s="233" t="s">
        <v>3128</v>
      </c>
      <c r="U2333" s="233"/>
      <c r="V2333" s="320"/>
      <c r="W2333" s="320"/>
      <c r="X2333" s="229">
        <v>44799</v>
      </c>
      <c r="Y2333" s="229">
        <v>45163</v>
      </c>
    </row>
    <row r="2334" s="5" customFormat="1" customHeight="1" spans="1:25">
      <c r="A2334" s="307" t="s">
        <v>448</v>
      </c>
      <c r="B2334" s="307" t="s">
        <v>3037</v>
      </c>
      <c r="C2334" s="307" t="s">
        <v>63</v>
      </c>
      <c r="D2334" s="307" t="s">
        <v>3038</v>
      </c>
      <c r="E2334" s="23" t="s">
        <v>3039</v>
      </c>
      <c r="F2334" s="24" t="s">
        <v>3040</v>
      </c>
      <c r="G2334" s="24" t="s">
        <v>88</v>
      </c>
      <c r="H2334" s="309" t="s">
        <v>3115</v>
      </c>
      <c r="I2334" s="46" t="e">
        <f>VLOOKUP(H2334,'合同高级查询数据-4月返'!A:A,1,FALSE)</f>
        <v>#N/A</v>
      </c>
      <c r="J2334" s="309" t="s">
        <v>90</v>
      </c>
      <c r="K2334" s="24" t="s">
        <v>3116</v>
      </c>
      <c r="L2334" s="179"/>
      <c r="M2334" s="312" t="s">
        <v>3117</v>
      </c>
      <c r="N2334" s="313">
        <v>44019</v>
      </c>
      <c r="O2334" s="24" t="s">
        <v>503</v>
      </c>
      <c r="P2334" s="325">
        <v>6867</v>
      </c>
      <c r="Q2334" s="325">
        <v>11</v>
      </c>
      <c r="R2334" s="117">
        <f t="shared" si="65"/>
        <v>75537</v>
      </c>
      <c r="S2334" s="319">
        <v>202304</v>
      </c>
      <c r="T2334" s="233" t="s">
        <v>3129</v>
      </c>
      <c r="U2334" s="233"/>
      <c r="V2334" s="320"/>
      <c r="W2334" s="320"/>
      <c r="X2334" s="229">
        <v>44799</v>
      </c>
      <c r="Y2334" s="229">
        <v>45163</v>
      </c>
    </row>
    <row r="2335" s="5" customFormat="1" customHeight="1" spans="1:25">
      <c r="A2335" s="307" t="s">
        <v>448</v>
      </c>
      <c r="B2335" s="307" t="s">
        <v>3037</v>
      </c>
      <c r="C2335" s="307" t="s">
        <v>63</v>
      </c>
      <c r="D2335" s="307" t="s">
        <v>3038</v>
      </c>
      <c r="E2335" s="23" t="s">
        <v>3039</v>
      </c>
      <c r="F2335" s="24" t="s">
        <v>3040</v>
      </c>
      <c r="G2335" s="24" t="s">
        <v>88</v>
      </c>
      <c r="H2335" s="309" t="s">
        <v>3115</v>
      </c>
      <c r="I2335" s="46" t="e">
        <f>VLOOKUP(H2335,'合同高级查询数据-4月返'!A:A,1,FALSE)</f>
        <v>#N/A</v>
      </c>
      <c r="J2335" s="309" t="s">
        <v>90</v>
      </c>
      <c r="K2335" s="24" t="s">
        <v>3116</v>
      </c>
      <c r="L2335" s="179"/>
      <c r="M2335" s="312" t="s">
        <v>3117</v>
      </c>
      <c r="N2335" s="313">
        <v>44022</v>
      </c>
      <c r="O2335" s="24" t="s">
        <v>503</v>
      </c>
      <c r="P2335" s="325">
        <v>6867</v>
      </c>
      <c r="Q2335" s="325">
        <v>3</v>
      </c>
      <c r="R2335" s="117">
        <f t="shared" si="65"/>
        <v>20601</v>
      </c>
      <c r="S2335" s="319">
        <v>202304</v>
      </c>
      <c r="T2335" s="233" t="s">
        <v>3129</v>
      </c>
      <c r="U2335" s="233"/>
      <c r="V2335" s="320"/>
      <c r="W2335" s="320"/>
      <c r="X2335" s="229">
        <v>44799</v>
      </c>
      <c r="Y2335" s="229">
        <v>45163</v>
      </c>
    </row>
    <row r="2336" s="5" customFormat="1" customHeight="1" spans="1:25">
      <c r="A2336" s="307" t="s">
        <v>448</v>
      </c>
      <c r="B2336" s="307" t="s">
        <v>3037</v>
      </c>
      <c r="C2336" s="307" t="s">
        <v>63</v>
      </c>
      <c r="D2336" s="307" t="s">
        <v>3038</v>
      </c>
      <c r="E2336" s="23" t="s">
        <v>3039</v>
      </c>
      <c r="F2336" s="24" t="s">
        <v>3040</v>
      </c>
      <c r="G2336" s="24" t="s">
        <v>88</v>
      </c>
      <c r="H2336" s="309" t="s">
        <v>3115</v>
      </c>
      <c r="I2336" s="46" t="e">
        <f>VLOOKUP(H2336,'合同高级查询数据-4月返'!A:A,1,FALSE)</f>
        <v>#N/A</v>
      </c>
      <c r="J2336" s="309" t="s">
        <v>90</v>
      </c>
      <c r="K2336" s="24" t="s">
        <v>3116</v>
      </c>
      <c r="L2336" s="179"/>
      <c r="M2336" s="312" t="s">
        <v>3117</v>
      </c>
      <c r="N2336" s="313">
        <v>44030</v>
      </c>
      <c r="O2336" s="24" t="s">
        <v>503</v>
      </c>
      <c r="P2336" s="325">
        <v>6867</v>
      </c>
      <c r="Q2336" s="325">
        <v>2</v>
      </c>
      <c r="R2336" s="117">
        <f t="shared" si="65"/>
        <v>13734</v>
      </c>
      <c r="S2336" s="319">
        <v>202304</v>
      </c>
      <c r="T2336" s="233" t="s">
        <v>3129</v>
      </c>
      <c r="U2336" s="233"/>
      <c r="V2336" s="320"/>
      <c r="W2336" s="320"/>
      <c r="X2336" s="229">
        <v>44799</v>
      </c>
      <c r="Y2336" s="229">
        <v>45163</v>
      </c>
    </row>
    <row r="2337" s="5" customFormat="1" customHeight="1" spans="1:25">
      <c r="A2337" s="307" t="s">
        <v>448</v>
      </c>
      <c r="B2337" s="307" t="s">
        <v>3037</v>
      </c>
      <c r="C2337" s="307" t="s">
        <v>63</v>
      </c>
      <c r="D2337" s="307" t="s">
        <v>3038</v>
      </c>
      <c r="E2337" s="23" t="s">
        <v>3039</v>
      </c>
      <c r="F2337" s="24" t="s">
        <v>3040</v>
      </c>
      <c r="G2337" s="24" t="s">
        <v>88</v>
      </c>
      <c r="H2337" s="309" t="s">
        <v>3115</v>
      </c>
      <c r="I2337" s="46" t="e">
        <f>VLOOKUP(H2337,'合同高级查询数据-4月返'!A:A,1,FALSE)</f>
        <v>#N/A</v>
      </c>
      <c r="J2337" s="309" t="s">
        <v>90</v>
      </c>
      <c r="K2337" s="24" t="s">
        <v>3116</v>
      </c>
      <c r="L2337" s="179"/>
      <c r="M2337" s="312" t="s">
        <v>3117</v>
      </c>
      <c r="N2337" s="313">
        <v>44032</v>
      </c>
      <c r="O2337" s="24" t="s">
        <v>503</v>
      </c>
      <c r="P2337" s="325">
        <v>6867</v>
      </c>
      <c r="Q2337" s="325">
        <v>5</v>
      </c>
      <c r="R2337" s="117">
        <f t="shared" si="65"/>
        <v>34335</v>
      </c>
      <c r="S2337" s="319">
        <v>202304</v>
      </c>
      <c r="T2337" s="233" t="s">
        <v>3129</v>
      </c>
      <c r="U2337" s="233"/>
      <c r="V2337" s="320"/>
      <c r="W2337" s="320"/>
      <c r="X2337" s="229">
        <v>44799</v>
      </c>
      <c r="Y2337" s="229">
        <v>45163</v>
      </c>
    </row>
    <row r="2338" s="5" customFormat="1" customHeight="1" spans="1:25">
      <c r="A2338" s="307" t="s">
        <v>448</v>
      </c>
      <c r="B2338" s="307" t="s">
        <v>3037</v>
      </c>
      <c r="C2338" s="307" t="s">
        <v>63</v>
      </c>
      <c r="D2338" s="307" t="s">
        <v>3038</v>
      </c>
      <c r="E2338" s="23" t="s">
        <v>3039</v>
      </c>
      <c r="F2338" s="24" t="s">
        <v>3040</v>
      </c>
      <c r="G2338" s="24" t="s">
        <v>88</v>
      </c>
      <c r="H2338" s="309" t="s">
        <v>3115</v>
      </c>
      <c r="I2338" s="46" t="e">
        <f>VLOOKUP(H2338,'合同高级查询数据-4月返'!A:A,1,FALSE)</f>
        <v>#N/A</v>
      </c>
      <c r="J2338" s="309" t="s">
        <v>90</v>
      </c>
      <c r="K2338" s="24" t="s">
        <v>3116</v>
      </c>
      <c r="L2338" s="179"/>
      <c r="M2338" s="312" t="s">
        <v>3117</v>
      </c>
      <c r="N2338" s="313">
        <v>44042</v>
      </c>
      <c r="O2338" s="24" t="s">
        <v>503</v>
      </c>
      <c r="P2338" s="325">
        <v>6867</v>
      </c>
      <c r="Q2338" s="325">
        <v>3</v>
      </c>
      <c r="R2338" s="117">
        <f t="shared" si="65"/>
        <v>20601</v>
      </c>
      <c r="S2338" s="319">
        <v>202304</v>
      </c>
      <c r="T2338" s="233" t="s">
        <v>3129</v>
      </c>
      <c r="U2338" s="233"/>
      <c r="V2338" s="320"/>
      <c r="W2338" s="320"/>
      <c r="X2338" s="229">
        <v>44799</v>
      </c>
      <c r="Y2338" s="229">
        <v>45163</v>
      </c>
    </row>
    <row r="2339" s="5" customFormat="1" customHeight="1" spans="1:25">
      <c r="A2339" s="307" t="s">
        <v>448</v>
      </c>
      <c r="B2339" s="307" t="s">
        <v>3037</v>
      </c>
      <c r="C2339" s="307" t="s">
        <v>63</v>
      </c>
      <c r="D2339" s="307" t="s">
        <v>3038</v>
      </c>
      <c r="E2339" s="23" t="s">
        <v>3039</v>
      </c>
      <c r="F2339" s="24" t="s">
        <v>3040</v>
      </c>
      <c r="G2339" s="24" t="s">
        <v>88</v>
      </c>
      <c r="H2339" s="309" t="s">
        <v>3115</v>
      </c>
      <c r="I2339" s="46" t="e">
        <f>VLOOKUP(H2339,'合同高级查询数据-4月返'!A:A,1,FALSE)</f>
        <v>#N/A</v>
      </c>
      <c r="J2339" s="309" t="s">
        <v>90</v>
      </c>
      <c r="K2339" s="24" t="s">
        <v>3116</v>
      </c>
      <c r="L2339" s="179"/>
      <c r="M2339" s="312" t="s">
        <v>3117</v>
      </c>
      <c r="N2339" s="313">
        <v>44053</v>
      </c>
      <c r="O2339" s="24" t="s">
        <v>503</v>
      </c>
      <c r="P2339" s="325">
        <v>6867</v>
      </c>
      <c r="Q2339" s="325">
        <v>1</v>
      </c>
      <c r="R2339" s="117">
        <f t="shared" si="65"/>
        <v>6867</v>
      </c>
      <c r="S2339" s="319">
        <v>202304</v>
      </c>
      <c r="T2339" s="233" t="s">
        <v>3130</v>
      </c>
      <c r="U2339" s="233"/>
      <c r="V2339" s="320"/>
      <c r="W2339" s="320"/>
      <c r="X2339" s="229">
        <v>44799</v>
      </c>
      <c r="Y2339" s="229">
        <v>45163</v>
      </c>
    </row>
    <row r="2340" s="5" customFormat="1" customHeight="1" spans="1:25">
      <c r="A2340" s="307" t="s">
        <v>448</v>
      </c>
      <c r="B2340" s="307" t="s">
        <v>3037</v>
      </c>
      <c r="C2340" s="307" t="s">
        <v>63</v>
      </c>
      <c r="D2340" s="307" t="s">
        <v>3038</v>
      </c>
      <c r="E2340" s="23" t="s">
        <v>3039</v>
      </c>
      <c r="F2340" s="24" t="s">
        <v>3040</v>
      </c>
      <c r="G2340" s="24" t="s">
        <v>88</v>
      </c>
      <c r="H2340" s="309" t="s">
        <v>3115</v>
      </c>
      <c r="I2340" s="46" t="e">
        <f>VLOOKUP(H2340,'合同高级查询数据-4月返'!A:A,1,FALSE)</f>
        <v>#N/A</v>
      </c>
      <c r="J2340" s="309" t="s">
        <v>90</v>
      </c>
      <c r="K2340" s="24" t="s">
        <v>3116</v>
      </c>
      <c r="L2340" s="179"/>
      <c r="M2340" s="312" t="s">
        <v>3117</v>
      </c>
      <c r="N2340" s="313">
        <v>44078</v>
      </c>
      <c r="O2340" s="24" t="s">
        <v>503</v>
      </c>
      <c r="P2340" s="325">
        <v>6867</v>
      </c>
      <c r="Q2340" s="325">
        <v>20</v>
      </c>
      <c r="R2340" s="117">
        <f t="shared" si="65"/>
        <v>137340</v>
      </c>
      <c r="S2340" s="319">
        <v>202304</v>
      </c>
      <c r="T2340" s="233" t="s">
        <v>3131</v>
      </c>
      <c r="U2340" s="233"/>
      <c r="V2340" s="320"/>
      <c r="W2340" s="320"/>
      <c r="X2340" s="229">
        <v>44799</v>
      </c>
      <c r="Y2340" s="229">
        <v>45163</v>
      </c>
    </row>
    <row r="2341" s="5" customFormat="1" customHeight="1" spans="1:25">
      <c r="A2341" s="307" t="s">
        <v>448</v>
      </c>
      <c r="B2341" s="307" t="s">
        <v>3037</v>
      </c>
      <c r="C2341" s="307" t="s">
        <v>63</v>
      </c>
      <c r="D2341" s="307" t="s">
        <v>3038</v>
      </c>
      <c r="E2341" s="23" t="s">
        <v>3039</v>
      </c>
      <c r="F2341" s="24" t="s">
        <v>3040</v>
      </c>
      <c r="G2341" s="24" t="s">
        <v>88</v>
      </c>
      <c r="H2341" s="309" t="s">
        <v>3115</v>
      </c>
      <c r="I2341" s="46" t="e">
        <f>VLOOKUP(H2341,'合同高级查询数据-4月返'!A:A,1,FALSE)</f>
        <v>#N/A</v>
      </c>
      <c r="J2341" s="309" t="s">
        <v>90</v>
      </c>
      <c r="K2341" s="24" t="s">
        <v>3116</v>
      </c>
      <c r="L2341" s="179"/>
      <c r="M2341" s="312" t="s">
        <v>3117</v>
      </c>
      <c r="N2341" s="313">
        <v>44113</v>
      </c>
      <c r="O2341" s="24" t="s">
        <v>503</v>
      </c>
      <c r="P2341" s="325">
        <v>6867</v>
      </c>
      <c r="Q2341" s="325">
        <v>3</v>
      </c>
      <c r="R2341" s="117">
        <f t="shared" si="65"/>
        <v>20601</v>
      </c>
      <c r="S2341" s="319">
        <v>202304</v>
      </c>
      <c r="T2341" s="233" t="s">
        <v>3132</v>
      </c>
      <c r="U2341" s="233"/>
      <c r="V2341" s="320"/>
      <c r="W2341" s="320"/>
      <c r="X2341" s="229">
        <v>44799</v>
      </c>
      <c r="Y2341" s="229">
        <v>45163</v>
      </c>
    </row>
    <row r="2342" s="5" customFormat="1" customHeight="1" spans="1:25">
      <c r="A2342" s="307" t="s">
        <v>448</v>
      </c>
      <c r="B2342" s="307" t="s">
        <v>3037</v>
      </c>
      <c r="C2342" s="307" t="s">
        <v>63</v>
      </c>
      <c r="D2342" s="307" t="s">
        <v>3038</v>
      </c>
      <c r="E2342" s="23" t="s">
        <v>3039</v>
      </c>
      <c r="F2342" s="24" t="s">
        <v>3040</v>
      </c>
      <c r="G2342" s="24" t="s">
        <v>88</v>
      </c>
      <c r="H2342" s="309" t="s">
        <v>3115</v>
      </c>
      <c r="I2342" s="46" t="e">
        <f>VLOOKUP(H2342,'合同高级查询数据-4月返'!A:A,1,FALSE)</f>
        <v>#N/A</v>
      </c>
      <c r="J2342" s="309" t="s">
        <v>90</v>
      </c>
      <c r="K2342" s="24" t="s">
        <v>3116</v>
      </c>
      <c r="L2342" s="179"/>
      <c r="M2342" s="312" t="s">
        <v>3117</v>
      </c>
      <c r="N2342" s="313">
        <v>44130</v>
      </c>
      <c r="O2342" s="24" t="s">
        <v>503</v>
      </c>
      <c r="P2342" s="325">
        <v>6867</v>
      </c>
      <c r="Q2342" s="325">
        <v>4</v>
      </c>
      <c r="R2342" s="117">
        <f t="shared" si="65"/>
        <v>27468</v>
      </c>
      <c r="S2342" s="319">
        <v>202304</v>
      </c>
      <c r="T2342" s="233" t="s">
        <v>3133</v>
      </c>
      <c r="U2342" s="233"/>
      <c r="V2342" s="320"/>
      <c r="W2342" s="320"/>
      <c r="X2342" s="229">
        <v>44799</v>
      </c>
      <c r="Y2342" s="229">
        <v>45163</v>
      </c>
    </row>
    <row r="2343" s="5" customFormat="1" customHeight="1" spans="1:25">
      <c r="A2343" s="307" t="s">
        <v>448</v>
      </c>
      <c r="B2343" s="307" t="s">
        <v>3037</v>
      </c>
      <c r="C2343" s="307" t="s">
        <v>63</v>
      </c>
      <c r="D2343" s="307" t="s">
        <v>3038</v>
      </c>
      <c r="E2343" s="23" t="s">
        <v>3039</v>
      </c>
      <c r="F2343" s="24" t="s">
        <v>3040</v>
      </c>
      <c r="G2343" s="24" t="s">
        <v>88</v>
      </c>
      <c r="H2343" s="309" t="s">
        <v>3115</v>
      </c>
      <c r="I2343" s="46" t="e">
        <f>VLOOKUP(H2343,'合同高级查询数据-4月返'!A:A,1,FALSE)</f>
        <v>#N/A</v>
      </c>
      <c r="J2343" s="309" t="s">
        <v>90</v>
      </c>
      <c r="K2343" s="24" t="s">
        <v>3116</v>
      </c>
      <c r="L2343" s="179"/>
      <c r="M2343" s="312" t="s">
        <v>3117</v>
      </c>
      <c r="N2343" s="313">
        <v>44132</v>
      </c>
      <c r="O2343" s="24" t="s">
        <v>503</v>
      </c>
      <c r="P2343" s="325">
        <v>6867</v>
      </c>
      <c r="Q2343" s="325">
        <v>4</v>
      </c>
      <c r="R2343" s="117">
        <f t="shared" si="65"/>
        <v>27468</v>
      </c>
      <c r="S2343" s="319">
        <v>202304</v>
      </c>
      <c r="T2343" s="233" t="s">
        <v>3134</v>
      </c>
      <c r="U2343" s="233"/>
      <c r="V2343" s="320"/>
      <c r="W2343" s="320"/>
      <c r="X2343" s="229">
        <v>44799</v>
      </c>
      <c r="Y2343" s="229">
        <v>45163</v>
      </c>
    </row>
    <row r="2344" s="5" customFormat="1" customHeight="1" spans="1:25">
      <c r="A2344" s="307" t="s">
        <v>448</v>
      </c>
      <c r="B2344" s="307" t="s">
        <v>3037</v>
      </c>
      <c r="C2344" s="307" t="s">
        <v>63</v>
      </c>
      <c r="D2344" s="307" t="s">
        <v>3038</v>
      </c>
      <c r="E2344" s="23" t="s">
        <v>3039</v>
      </c>
      <c r="F2344" s="24" t="s">
        <v>3040</v>
      </c>
      <c r="G2344" s="24" t="s">
        <v>88</v>
      </c>
      <c r="H2344" s="309" t="s">
        <v>3115</v>
      </c>
      <c r="I2344" s="46" t="e">
        <f>VLOOKUP(H2344,'合同高级查询数据-4月返'!A:A,1,FALSE)</f>
        <v>#N/A</v>
      </c>
      <c r="J2344" s="309" t="s">
        <v>90</v>
      </c>
      <c r="K2344" s="24" t="s">
        <v>3116</v>
      </c>
      <c r="L2344" s="179"/>
      <c r="M2344" s="312" t="s">
        <v>3117</v>
      </c>
      <c r="N2344" s="313">
        <v>44138</v>
      </c>
      <c r="O2344" s="24" t="s">
        <v>503</v>
      </c>
      <c r="P2344" s="325">
        <v>6867</v>
      </c>
      <c r="Q2344" s="325">
        <v>6</v>
      </c>
      <c r="R2344" s="117">
        <f t="shared" si="65"/>
        <v>41202</v>
      </c>
      <c r="S2344" s="319">
        <v>202304</v>
      </c>
      <c r="T2344" s="233" t="s">
        <v>3135</v>
      </c>
      <c r="U2344" s="233"/>
      <c r="V2344" s="320"/>
      <c r="W2344" s="320"/>
      <c r="X2344" s="229">
        <v>44799</v>
      </c>
      <c r="Y2344" s="229">
        <v>45163</v>
      </c>
    </row>
    <row r="2345" s="5" customFormat="1" customHeight="1" spans="1:25">
      <c r="A2345" s="307" t="s">
        <v>448</v>
      </c>
      <c r="B2345" s="307" t="s">
        <v>3037</v>
      </c>
      <c r="C2345" s="307" t="s">
        <v>63</v>
      </c>
      <c r="D2345" s="307" t="s">
        <v>3038</v>
      </c>
      <c r="E2345" s="23" t="s">
        <v>3039</v>
      </c>
      <c r="F2345" s="24" t="s">
        <v>3040</v>
      </c>
      <c r="G2345" s="24" t="s">
        <v>88</v>
      </c>
      <c r="H2345" s="309" t="s">
        <v>3115</v>
      </c>
      <c r="I2345" s="46" t="e">
        <f>VLOOKUP(H2345,'合同高级查询数据-4月返'!A:A,1,FALSE)</f>
        <v>#N/A</v>
      </c>
      <c r="J2345" s="309" t="s">
        <v>90</v>
      </c>
      <c r="K2345" s="24" t="s">
        <v>3116</v>
      </c>
      <c r="L2345" s="179"/>
      <c r="M2345" s="312" t="s">
        <v>3117</v>
      </c>
      <c r="N2345" s="313">
        <v>44142</v>
      </c>
      <c r="O2345" s="24" t="s">
        <v>503</v>
      </c>
      <c r="P2345" s="325">
        <v>6867</v>
      </c>
      <c r="Q2345" s="325">
        <v>9</v>
      </c>
      <c r="R2345" s="117">
        <f t="shared" ref="R2345:R2379" si="66">ROUND(P2345*Q2345,2)</f>
        <v>61803</v>
      </c>
      <c r="S2345" s="319">
        <v>202304</v>
      </c>
      <c r="T2345" s="233" t="s">
        <v>3136</v>
      </c>
      <c r="U2345" s="233"/>
      <c r="V2345" s="320"/>
      <c r="W2345" s="320"/>
      <c r="X2345" s="229">
        <v>44799</v>
      </c>
      <c r="Y2345" s="229">
        <v>45163</v>
      </c>
    </row>
    <row r="2346" s="5" customFormat="1" customHeight="1" spans="1:25">
      <c r="A2346" s="307" t="s">
        <v>448</v>
      </c>
      <c r="B2346" s="307" t="s">
        <v>3037</v>
      </c>
      <c r="C2346" s="307" t="s">
        <v>63</v>
      </c>
      <c r="D2346" s="307" t="s">
        <v>3038</v>
      </c>
      <c r="E2346" s="23" t="s">
        <v>3039</v>
      </c>
      <c r="F2346" s="24" t="s">
        <v>3040</v>
      </c>
      <c r="G2346" s="24" t="s">
        <v>88</v>
      </c>
      <c r="H2346" s="309" t="s">
        <v>3115</v>
      </c>
      <c r="I2346" s="46" t="e">
        <f>VLOOKUP(H2346,'合同高级查询数据-4月返'!A:A,1,FALSE)</f>
        <v>#N/A</v>
      </c>
      <c r="J2346" s="309" t="s">
        <v>90</v>
      </c>
      <c r="K2346" s="24" t="s">
        <v>3116</v>
      </c>
      <c r="L2346" s="179"/>
      <c r="M2346" s="312" t="s">
        <v>3117</v>
      </c>
      <c r="N2346" s="313">
        <v>44148</v>
      </c>
      <c r="O2346" s="24" t="s">
        <v>503</v>
      </c>
      <c r="P2346" s="325">
        <v>6867</v>
      </c>
      <c r="Q2346" s="325">
        <v>2</v>
      </c>
      <c r="R2346" s="117">
        <f t="shared" si="66"/>
        <v>13734</v>
      </c>
      <c r="S2346" s="319">
        <v>202304</v>
      </c>
      <c r="T2346" s="233" t="s">
        <v>3137</v>
      </c>
      <c r="U2346" s="233"/>
      <c r="V2346" s="320"/>
      <c r="W2346" s="320"/>
      <c r="X2346" s="229">
        <v>44799</v>
      </c>
      <c r="Y2346" s="229">
        <v>45163</v>
      </c>
    </row>
    <row r="2347" s="5" customFormat="1" customHeight="1" spans="1:25">
      <c r="A2347" s="307" t="s">
        <v>448</v>
      </c>
      <c r="B2347" s="307" t="s">
        <v>3037</v>
      </c>
      <c r="C2347" s="307" t="s">
        <v>63</v>
      </c>
      <c r="D2347" s="307" t="s">
        <v>3038</v>
      </c>
      <c r="E2347" s="23" t="s">
        <v>3039</v>
      </c>
      <c r="F2347" s="24" t="s">
        <v>3040</v>
      </c>
      <c r="G2347" s="24" t="s">
        <v>88</v>
      </c>
      <c r="H2347" s="309" t="s">
        <v>3115</v>
      </c>
      <c r="I2347" s="46" t="e">
        <f>VLOOKUP(H2347,'合同高级查询数据-4月返'!A:A,1,FALSE)</f>
        <v>#N/A</v>
      </c>
      <c r="J2347" s="309" t="s">
        <v>90</v>
      </c>
      <c r="K2347" s="24" t="s">
        <v>3116</v>
      </c>
      <c r="L2347" s="179"/>
      <c r="M2347" s="312" t="s">
        <v>3117</v>
      </c>
      <c r="N2347" s="313">
        <v>44153</v>
      </c>
      <c r="O2347" s="24" t="s">
        <v>503</v>
      </c>
      <c r="P2347" s="325">
        <v>6867</v>
      </c>
      <c r="Q2347" s="325">
        <v>8</v>
      </c>
      <c r="R2347" s="117">
        <f t="shared" si="66"/>
        <v>54936</v>
      </c>
      <c r="S2347" s="319">
        <v>202304</v>
      </c>
      <c r="T2347" s="233" t="s">
        <v>3138</v>
      </c>
      <c r="U2347" s="233"/>
      <c r="V2347" s="320"/>
      <c r="W2347" s="320"/>
      <c r="X2347" s="229">
        <v>44799</v>
      </c>
      <c r="Y2347" s="229">
        <v>45163</v>
      </c>
    </row>
    <row r="2348" s="5" customFormat="1" customHeight="1" spans="1:25">
      <c r="A2348" s="307" t="s">
        <v>448</v>
      </c>
      <c r="B2348" s="307" t="s">
        <v>3037</v>
      </c>
      <c r="C2348" s="307" t="s">
        <v>63</v>
      </c>
      <c r="D2348" s="307" t="s">
        <v>3038</v>
      </c>
      <c r="E2348" s="23" t="s">
        <v>3039</v>
      </c>
      <c r="F2348" s="24" t="s">
        <v>3040</v>
      </c>
      <c r="G2348" s="24" t="s">
        <v>88</v>
      </c>
      <c r="H2348" s="309" t="s">
        <v>3115</v>
      </c>
      <c r="I2348" s="46" t="e">
        <f>VLOOKUP(H2348,'合同高级查询数据-4月返'!A:A,1,FALSE)</f>
        <v>#N/A</v>
      </c>
      <c r="J2348" s="309" t="s">
        <v>90</v>
      </c>
      <c r="K2348" s="24" t="s">
        <v>3116</v>
      </c>
      <c r="L2348" s="179"/>
      <c r="M2348" s="312" t="s">
        <v>3117</v>
      </c>
      <c r="N2348" s="313">
        <v>44159</v>
      </c>
      <c r="O2348" s="24" t="s">
        <v>503</v>
      </c>
      <c r="P2348" s="325">
        <v>6867</v>
      </c>
      <c r="Q2348" s="325">
        <v>3</v>
      </c>
      <c r="R2348" s="117">
        <f t="shared" si="66"/>
        <v>20601</v>
      </c>
      <c r="S2348" s="319">
        <v>202304</v>
      </c>
      <c r="T2348" s="233" t="s">
        <v>3139</v>
      </c>
      <c r="U2348" s="233"/>
      <c r="V2348" s="320"/>
      <c r="W2348" s="320"/>
      <c r="X2348" s="229">
        <v>44799</v>
      </c>
      <c r="Y2348" s="229">
        <v>45163</v>
      </c>
    </row>
    <row r="2349" s="5" customFormat="1" customHeight="1" spans="1:25">
      <c r="A2349" s="307" t="s">
        <v>448</v>
      </c>
      <c r="B2349" s="307" t="s">
        <v>3037</v>
      </c>
      <c r="C2349" s="307" t="s">
        <v>63</v>
      </c>
      <c r="D2349" s="307" t="s">
        <v>3038</v>
      </c>
      <c r="E2349" s="23" t="s">
        <v>3039</v>
      </c>
      <c r="F2349" s="24" t="s">
        <v>3040</v>
      </c>
      <c r="G2349" s="24" t="s">
        <v>88</v>
      </c>
      <c r="H2349" s="309" t="s">
        <v>3115</v>
      </c>
      <c r="I2349" s="46" t="e">
        <f>VLOOKUP(H2349,'合同高级查询数据-4月返'!A:A,1,FALSE)</f>
        <v>#N/A</v>
      </c>
      <c r="J2349" s="309" t="s">
        <v>90</v>
      </c>
      <c r="K2349" s="24" t="s">
        <v>3116</v>
      </c>
      <c r="L2349" s="179"/>
      <c r="M2349" s="312" t="s">
        <v>3117</v>
      </c>
      <c r="N2349" s="313">
        <v>44160</v>
      </c>
      <c r="O2349" s="24" t="s">
        <v>503</v>
      </c>
      <c r="P2349" s="325">
        <v>6867</v>
      </c>
      <c r="Q2349" s="325">
        <v>3</v>
      </c>
      <c r="R2349" s="117">
        <f t="shared" si="66"/>
        <v>20601</v>
      </c>
      <c r="S2349" s="319">
        <v>202304</v>
      </c>
      <c r="T2349" s="233" t="s">
        <v>3140</v>
      </c>
      <c r="U2349" s="233"/>
      <c r="V2349" s="320"/>
      <c r="W2349" s="320"/>
      <c r="X2349" s="229">
        <v>44799</v>
      </c>
      <c r="Y2349" s="229">
        <v>45163</v>
      </c>
    </row>
    <row r="2350" s="5" customFormat="1" customHeight="1" spans="1:25">
      <c r="A2350" s="307" t="s">
        <v>448</v>
      </c>
      <c r="B2350" s="307" t="s">
        <v>3037</v>
      </c>
      <c r="C2350" s="307" t="s">
        <v>63</v>
      </c>
      <c r="D2350" s="307" t="s">
        <v>3038</v>
      </c>
      <c r="E2350" s="23" t="s">
        <v>3039</v>
      </c>
      <c r="F2350" s="24" t="s">
        <v>3040</v>
      </c>
      <c r="G2350" s="24" t="s">
        <v>88</v>
      </c>
      <c r="H2350" s="309" t="s">
        <v>3115</v>
      </c>
      <c r="I2350" s="46" t="e">
        <f>VLOOKUP(H2350,'合同高级查询数据-4月返'!A:A,1,FALSE)</f>
        <v>#N/A</v>
      </c>
      <c r="J2350" s="309" t="s">
        <v>90</v>
      </c>
      <c r="K2350" s="24" t="s">
        <v>3116</v>
      </c>
      <c r="L2350" s="179"/>
      <c r="M2350" s="312" t="s">
        <v>3117</v>
      </c>
      <c r="N2350" s="313">
        <v>44165</v>
      </c>
      <c r="O2350" s="24" t="s">
        <v>503</v>
      </c>
      <c r="P2350" s="325">
        <v>6867</v>
      </c>
      <c r="Q2350" s="325">
        <v>2</v>
      </c>
      <c r="R2350" s="117">
        <f t="shared" si="66"/>
        <v>13734</v>
      </c>
      <c r="S2350" s="319">
        <v>202304</v>
      </c>
      <c r="T2350" s="233" t="s">
        <v>3141</v>
      </c>
      <c r="U2350" s="233"/>
      <c r="V2350" s="320"/>
      <c r="W2350" s="320"/>
      <c r="X2350" s="229">
        <v>44799</v>
      </c>
      <c r="Y2350" s="229">
        <v>45163</v>
      </c>
    </row>
    <row r="2351" s="5" customFormat="1" customHeight="1" spans="1:25">
      <c r="A2351" s="307" t="s">
        <v>448</v>
      </c>
      <c r="B2351" s="307" t="s">
        <v>3037</v>
      </c>
      <c r="C2351" s="307" t="s">
        <v>63</v>
      </c>
      <c r="D2351" s="307" t="s">
        <v>3038</v>
      </c>
      <c r="E2351" s="23" t="s">
        <v>3039</v>
      </c>
      <c r="F2351" s="24" t="s">
        <v>3040</v>
      </c>
      <c r="G2351" s="24" t="s">
        <v>88</v>
      </c>
      <c r="H2351" s="309" t="s">
        <v>3115</v>
      </c>
      <c r="I2351" s="46" t="e">
        <f>VLOOKUP(H2351,'合同高级查询数据-4月返'!A:A,1,FALSE)</f>
        <v>#N/A</v>
      </c>
      <c r="J2351" s="309" t="s">
        <v>90</v>
      </c>
      <c r="K2351" s="24" t="s">
        <v>3116</v>
      </c>
      <c r="L2351" s="179"/>
      <c r="M2351" s="312" t="s">
        <v>3117</v>
      </c>
      <c r="N2351" s="313">
        <v>44168</v>
      </c>
      <c r="O2351" s="24" t="s">
        <v>503</v>
      </c>
      <c r="P2351" s="325">
        <v>6867</v>
      </c>
      <c r="Q2351" s="325">
        <v>1</v>
      </c>
      <c r="R2351" s="117">
        <f t="shared" si="66"/>
        <v>6867</v>
      </c>
      <c r="S2351" s="319">
        <v>202304</v>
      </c>
      <c r="T2351" s="233" t="s">
        <v>3142</v>
      </c>
      <c r="U2351" s="233"/>
      <c r="V2351" s="320"/>
      <c r="W2351" s="320"/>
      <c r="X2351" s="229">
        <v>44799</v>
      </c>
      <c r="Y2351" s="229">
        <v>45163</v>
      </c>
    </row>
    <row r="2352" s="5" customFormat="1" customHeight="1" spans="1:25">
      <c r="A2352" s="307" t="s">
        <v>448</v>
      </c>
      <c r="B2352" s="307" t="s">
        <v>3037</v>
      </c>
      <c r="C2352" s="307" t="s">
        <v>63</v>
      </c>
      <c r="D2352" s="307" t="s">
        <v>3038</v>
      </c>
      <c r="E2352" s="23" t="s">
        <v>3039</v>
      </c>
      <c r="F2352" s="24" t="s">
        <v>3040</v>
      </c>
      <c r="G2352" s="24" t="s">
        <v>88</v>
      </c>
      <c r="H2352" s="309" t="s">
        <v>3115</v>
      </c>
      <c r="I2352" s="46" t="e">
        <f>VLOOKUP(H2352,'合同高级查询数据-4月返'!A:A,1,FALSE)</f>
        <v>#N/A</v>
      </c>
      <c r="J2352" s="309" t="s">
        <v>90</v>
      </c>
      <c r="K2352" s="24" t="s">
        <v>3116</v>
      </c>
      <c r="L2352" s="179"/>
      <c r="M2352" s="312" t="s">
        <v>3117</v>
      </c>
      <c r="N2352" s="313">
        <v>44172</v>
      </c>
      <c r="O2352" s="24" t="s">
        <v>503</v>
      </c>
      <c r="P2352" s="325">
        <v>6867</v>
      </c>
      <c r="Q2352" s="325">
        <v>1</v>
      </c>
      <c r="R2352" s="117">
        <f t="shared" si="66"/>
        <v>6867</v>
      </c>
      <c r="S2352" s="319">
        <v>202304</v>
      </c>
      <c r="T2352" s="233" t="s">
        <v>3143</v>
      </c>
      <c r="U2352" s="233"/>
      <c r="V2352" s="320"/>
      <c r="W2352" s="320"/>
      <c r="X2352" s="229">
        <v>44799</v>
      </c>
      <c r="Y2352" s="229">
        <v>45163</v>
      </c>
    </row>
    <row r="2353" s="5" customFormat="1" customHeight="1" spans="1:25">
      <c r="A2353" s="307" t="s">
        <v>448</v>
      </c>
      <c r="B2353" s="307" t="s">
        <v>3037</v>
      </c>
      <c r="C2353" s="307" t="s">
        <v>63</v>
      </c>
      <c r="D2353" s="307" t="s">
        <v>3038</v>
      </c>
      <c r="E2353" s="23" t="s">
        <v>3039</v>
      </c>
      <c r="F2353" s="24" t="s">
        <v>3040</v>
      </c>
      <c r="G2353" s="24" t="s">
        <v>88</v>
      </c>
      <c r="H2353" s="309" t="s">
        <v>3115</v>
      </c>
      <c r="I2353" s="46" t="e">
        <f>VLOOKUP(H2353,'合同高级查询数据-4月返'!A:A,1,FALSE)</f>
        <v>#N/A</v>
      </c>
      <c r="J2353" s="309" t="s">
        <v>90</v>
      </c>
      <c r="K2353" s="24" t="s">
        <v>3116</v>
      </c>
      <c r="L2353" s="179"/>
      <c r="M2353" s="312" t="s">
        <v>3117</v>
      </c>
      <c r="N2353" s="313">
        <v>44173</v>
      </c>
      <c r="O2353" s="24" t="s">
        <v>503</v>
      </c>
      <c r="P2353" s="325">
        <v>6867</v>
      </c>
      <c r="Q2353" s="325">
        <v>1</v>
      </c>
      <c r="R2353" s="117">
        <f t="shared" si="66"/>
        <v>6867</v>
      </c>
      <c r="S2353" s="319">
        <v>202304</v>
      </c>
      <c r="T2353" s="233" t="s">
        <v>3144</v>
      </c>
      <c r="U2353" s="233"/>
      <c r="V2353" s="320"/>
      <c r="W2353" s="320"/>
      <c r="X2353" s="229">
        <v>44799</v>
      </c>
      <c r="Y2353" s="229">
        <v>45163</v>
      </c>
    </row>
    <row r="2354" s="5" customFormat="1" customHeight="1" spans="1:25">
      <c r="A2354" s="307" t="s">
        <v>448</v>
      </c>
      <c r="B2354" s="307" t="s">
        <v>3037</v>
      </c>
      <c r="C2354" s="307" t="s">
        <v>63</v>
      </c>
      <c r="D2354" s="307" t="s">
        <v>3038</v>
      </c>
      <c r="E2354" s="23" t="s">
        <v>3039</v>
      </c>
      <c r="F2354" s="24" t="s">
        <v>3040</v>
      </c>
      <c r="G2354" s="24" t="s">
        <v>88</v>
      </c>
      <c r="H2354" s="309" t="s">
        <v>3115</v>
      </c>
      <c r="I2354" s="46" t="e">
        <f>VLOOKUP(H2354,'合同高级查询数据-4月返'!A:A,1,FALSE)</f>
        <v>#N/A</v>
      </c>
      <c r="J2354" s="309" t="s">
        <v>90</v>
      </c>
      <c r="K2354" s="24" t="s">
        <v>3116</v>
      </c>
      <c r="L2354" s="179"/>
      <c r="M2354" s="312" t="s">
        <v>3117</v>
      </c>
      <c r="N2354" s="313">
        <v>44175</v>
      </c>
      <c r="O2354" s="24" t="s">
        <v>503</v>
      </c>
      <c r="P2354" s="325">
        <v>6867</v>
      </c>
      <c r="Q2354" s="325">
        <v>3</v>
      </c>
      <c r="R2354" s="117">
        <f t="shared" si="66"/>
        <v>20601</v>
      </c>
      <c r="S2354" s="319">
        <v>202304</v>
      </c>
      <c r="T2354" s="233" t="s">
        <v>3145</v>
      </c>
      <c r="U2354" s="233"/>
      <c r="V2354" s="320"/>
      <c r="W2354" s="320"/>
      <c r="X2354" s="229">
        <v>44799</v>
      </c>
      <c r="Y2354" s="229">
        <v>45163</v>
      </c>
    </row>
    <row r="2355" s="5" customFormat="1" customHeight="1" spans="1:25">
      <c r="A2355" s="307" t="s">
        <v>448</v>
      </c>
      <c r="B2355" s="307" t="s">
        <v>3037</v>
      </c>
      <c r="C2355" s="307" t="s">
        <v>63</v>
      </c>
      <c r="D2355" s="307" t="s">
        <v>3038</v>
      </c>
      <c r="E2355" s="23" t="s">
        <v>3039</v>
      </c>
      <c r="F2355" s="24" t="s">
        <v>3040</v>
      </c>
      <c r="G2355" s="24" t="s">
        <v>88</v>
      </c>
      <c r="H2355" s="309" t="s">
        <v>3115</v>
      </c>
      <c r="I2355" s="46" t="e">
        <f>VLOOKUP(H2355,'合同高级查询数据-4月返'!A:A,1,FALSE)</f>
        <v>#N/A</v>
      </c>
      <c r="J2355" s="309" t="s">
        <v>90</v>
      </c>
      <c r="K2355" s="24" t="s">
        <v>3116</v>
      </c>
      <c r="L2355" s="179"/>
      <c r="M2355" s="312" t="s">
        <v>3117</v>
      </c>
      <c r="N2355" s="313">
        <v>44176</v>
      </c>
      <c r="O2355" s="24" t="s">
        <v>503</v>
      </c>
      <c r="P2355" s="325">
        <v>6867</v>
      </c>
      <c r="Q2355" s="325">
        <v>3</v>
      </c>
      <c r="R2355" s="117">
        <f t="shared" si="66"/>
        <v>20601</v>
      </c>
      <c r="S2355" s="319">
        <v>202304</v>
      </c>
      <c r="T2355" s="233" t="s">
        <v>3146</v>
      </c>
      <c r="U2355" s="233"/>
      <c r="V2355" s="320"/>
      <c r="W2355" s="320"/>
      <c r="X2355" s="229">
        <v>44799</v>
      </c>
      <c r="Y2355" s="229">
        <v>45163</v>
      </c>
    </row>
    <row r="2356" s="5" customFormat="1" customHeight="1" spans="1:25">
      <c r="A2356" s="307" t="s">
        <v>448</v>
      </c>
      <c r="B2356" s="307" t="s">
        <v>3037</v>
      </c>
      <c r="C2356" s="307" t="s">
        <v>63</v>
      </c>
      <c r="D2356" s="307" t="s">
        <v>3038</v>
      </c>
      <c r="E2356" s="23" t="s">
        <v>3039</v>
      </c>
      <c r="F2356" s="24" t="s">
        <v>3040</v>
      </c>
      <c r="G2356" s="24" t="s">
        <v>88</v>
      </c>
      <c r="H2356" s="309" t="s">
        <v>3115</v>
      </c>
      <c r="I2356" s="46" t="e">
        <f>VLOOKUP(H2356,'合同高级查询数据-4月返'!A:A,1,FALSE)</f>
        <v>#N/A</v>
      </c>
      <c r="J2356" s="309" t="s">
        <v>90</v>
      </c>
      <c r="K2356" s="24" t="s">
        <v>3116</v>
      </c>
      <c r="L2356" s="179"/>
      <c r="M2356" s="312" t="s">
        <v>3117</v>
      </c>
      <c r="N2356" s="313">
        <v>44181</v>
      </c>
      <c r="O2356" s="24" t="s">
        <v>503</v>
      </c>
      <c r="P2356" s="325">
        <v>6867</v>
      </c>
      <c r="Q2356" s="325">
        <v>11</v>
      </c>
      <c r="R2356" s="117">
        <f t="shared" si="66"/>
        <v>75537</v>
      </c>
      <c r="S2356" s="319">
        <v>202304</v>
      </c>
      <c r="T2356" s="233" t="s">
        <v>3147</v>
      </c>
      <c r="U2356" s="233"/>
      <c r="V2356" s="320"/>
      <c r="W2356" s="320"/>
      <c r="X2356" s="229">
        <v>44799</v>
      </c>
      <c r="Y2356" s="229">
        <v>45163</v>
      </c>
    </row>
    <row r="2357" s="5" customFormat="1" customHeight="1" spans="1:25">
      <c r="A2357" s="307" t="s">
        <v>448</v>
      </c>
      <c r="B2357" s="307" t="s">
        <v>3037</v>
      </c>
      <c r="C2357" s="307" t="s">
        <v>63</v>
      </c>
      <c r="D2357" s="307" t="s">
        <v>3038</v>
      </c>
      <c r="E2357" s="23" t="s">
        <v>3039</v>
      </c>
      <c r="F2357" s="24" t="s">
        <v>3040</v>
      </c>
      <c r="G2357" s="24" t="s">
        <v>88</v>
      </c>
      <c r="H2357" s="309" t="s">
        <v>3115</v>
      </c>
      <c r="I2357" s="46" t="e">
        <f>VLOOKUP(H2357,'合同高级查询数据-4月返'!A:A,1,FALSE)</f>
        <v>#N/A</v>
      </c>
      <c r="J2357" s="309" t="s">
        <v>90</v>
      </c>
      <c r="K2357" s="24" t="s">
        <v>3116</v>
      </c>
      <c r="L2357" s="179"/>
      <c r="M2357" s="312" t="s">
        <v>3117</v>
      </c>
      <c r="N2357" s="313">
        <v>44187</v>
      </c>
      <c r="O2357" s="24" t="s">
        <v>503</v>
      </c>
      <c r="P2357" s="325">
        <v>6867</v>
      </c>
      <c r="Q2357" s="325">
        <v>12</v>
      </c>
      <c r="R2357" s="117">
        <f t="shared" si="66"/>
        <v>82404</v>
      </c>
      <c r="S2357" s="319">
        <v>202304</v>
      </c>
      <c r="T2357" s="233" t="s">
        <v>3148</v>
      </c>
      <c r="U2357" s="233"/>
      <c r="V2357" s="320"/>
      <c r="W2357" s="320"/>
      <c r="X2357" s="229">
        <v>44799</v>
      </c>
      <c r="Y2357" s="229">
        <v>45163</v>
      </c>
    </row>
    <row r="2358" s="5" customFormat="1" customHeight="1" spans="1:25">
      <c r="A2358" s="307" t="s">
        <v>448</v>
      </c>
      <c r="B2358" s="307" t="s">
        <v>3037</v>
      </c>
      <c r="C2358" s="307" t="s">
        <v>63</v>
      </c>
      <c r="D2358" s="307" t="s">
        <v>3038</v>
      </c>
      <c r="E2358" s="23" t="s">
        <v>3039</v>
      </c>
      <c r="F2358" s="24" t="s">
        <v>3040</v>
      </c>
      <c r="G2358" s="24" t="s">
        <v>88</v>
      </c>
      <c r="H2358" s="309" t="s">
        <v>3115</v>
      </c>
      <c r="I2358" s="46" t="e">
        <f>VLOOKUP(H2358,'合同高级查询数据-4月返'!A:A,1,FALSE)</f>
        <v>#N/A</v>
      </c>
      <c r="J2358" s="309" t="s">
        <v>90</v>
      </c>
      <c r="K2358" s="24" t="s">
        <v>3116</v>
      </c>
      <c r="L2358" s="179"/>
      <c r="M2358" s="312" t="s">
        <v>3117</v>
      </c>
      <c r="N2358" s="313">
        <v>44188</v>
      </c>
      <c r="O2358" s="24" t="s">
        <v>503</v>
      </c>
      <c r="P2358" s="325">
        <v>6867</v>
      </c>
      <c r="Q2358" s="325">
        <v>8</v>
      </c>
      <c r="R2358" s="117">
        <f t="shared" si="66"/>
        <v>54936</v>
      </c>
      <c r="S2358" s="319">
        <v>202304</v>
      </c>
      <c r="T2358" s="233" t="s">
        <v>3149</v>
      </c>
      <c r="U2358" s="233"/>
      <c r="V2358" s="320"/>
      <c r="W2358" s="320"/>
      <c r="X2358" s="229">
        <v>44799</v>
      </c>
      <c r="Y2358" s="229">
        <v>45163</v>
      </c>
    </row>
    <row r="2359" s="5" customFormat="1" customHeight="1" spans="1:25">
      <c r="A2359" s="307" t="s">
        <v>448</v>
      </c>
      <c r="B2359" s="307" t="s">
        <v>3037</v>
      </c>
      <c r="C2359" s="307" t="s">
        <v>63</v>
      </c>
      <c r="D2359" s="307" t="s">
        <v>3038</v>
      </c>
      <c r="E2359" s="23" t="s">
        <v>3039</v>
      </c>
      <c r="F2359" s="24" t="s">
        <v>3040</v>
      </c>
      <c r="G2359" s="24" t="s">
        <v>88</v>
      </c>
      <c r="H2359" s="309" t="s">
        <v>3115</v>
      </c>
      <c r="I2359" s="46" t="e">
        <f>VLOOKUP(H2359,'合同高级查询数据-4月返'!A:A,1,FALSE)</f>
        <v>#N/A</v>
      </c>
      <c r="J2359" s="309" t="s">
        <v>90</v>
      </c>
      <c r="K2359" s="24" t="s">
        <v>3116</v>
      </c>
      <c r="L2359" s="179"/>
      <c r="M2359" s="312" t="s">
        <v>3117</v>
      </c>
      <c r="N2359" s="313">
        <v>44196</v>
      </c>
      <c r="O2359" s="24" t="s">
        <v>503</v>
      </c>
      <c r="P2359" s="325">
        <v>6867</v>
      </c>
      <c r="Q2359" s="325">
        <v>3</v>
      </c>
      <c r="R2359" s="117">
        <f t="shared" si="66"/>
        <v>20601</v>
      </c>
      <c r="S2359" s="319">
        <v>202304</v>
      </c>
      <c r="T2359" s="233" t="s">
        <v>3150</v>
      </c>
      <c r="U2359" s="233"/>
      <c r="V2359" s="320"/>
      <c r="W2359" s="320"/>
      <c r="X2359" s="229">
        <v>44799</v>
      </c>
      <c r="Y2359" s="229">
        <v>45163</v>
      </c>
    </row>
    <row r="2360" s="5" customFormat="1" customHeight="1" spans="1:25">
      <c r="A2360" s="307" t="s">
        <v>448</v>
      </c>
      <c r="B2360" s="307" t="s">
        <v>3037</v>
      </c>
      <c r="C2360" s="307" t="s">
        <v>63</v>
      </c>
      <c r="D2360" s="307" t="s">
        <v>3038</v>
      </c>
      <c r="E2360" s="23" t="s">
        <v>3039</v>
      </c>
      <c r="F2360" s="24" t="s">
        <v>3040</v>
      </c>
      <c r="G2360" s="24" t="s">
        <v>88</v>
      </c>
      <c r="H2360" s="309" t="s">
        <v>3115</v>
      </c>
      <c r="I2360" s="46" t="e">
        <f>VLOOKUP(H2360,'合同高级查询数据-4月返'!A:A,1,FALSE)</f>
        <v>#N/A</v>
      </c>
      <c r="J2360" s="309" t="s">
        <v>90</v>
      </c>
      <c r="K2360" s="24" t="s">
        <v>3116</v>
      </c>
      <c r="L2360" s="179"/>
      <c r="M2360" s="312" t="s">
        <v>3117</v>
      </c>
      <c r="N2360" s="313">
        <v>44204</v>
      </c>
      <c r="O2360" s="24" t="s">
        <v>503</v>
      </c>
      <c r="P2360" s="325">
        <v>6867</v>
      </c>
      <c r="Q2360" s="325">
        <v>22</v>
      </c>
      <c r="R2360" s="117">
        <f t="shared" si="66"/>
        <v>151074</v>
      </c>
      <c r="S2360" s="319">
        <v>202304</v>
      </c>
      <c r="T2360" s="233" t="s">
        <v>3151</v>
      </c>
      <c r="U2360" s="233"/>
      <c r="V2360" s="320"/>
      <c r="W2360" s="320"/>
      <c r="X2360" s="229">
        <v>44799</v>
      </c>
      <c r="Y2360" s="229">
        <v>45163</v>
      </c>
    </row>
    <row r="2361" s="5" customFormat="1" customHeight="1" spans="1:25">
      <c r="A2361" s="307" t="s">
        <v>448</v>
      </c>
      <c r="B2361" s="307" t="s">
        <v>3037</v>
      </c>
      <c r="C2361" s="307" t="s">
        <v>63</v>
      </c>
      <c r="D2361" s="307" t="s">
        <v>3038</v>
      </c>
      <c r="E2361" s="23" t="s">
        <v>3039</v>
      </c>
      <c r="F2361" s="24" t="s">
        <v>3040</v>
      </c>
      <c r="G2361" s="24" t="s">
        <v>88</v>
      </c>
      <c r="H2361" s="309" t="s">
        <v>3115</v>
      </c>
      <c r="I2361" s="46" t="e">
        <f>VLOOKUP(H2361,'合同高级查询数据-4月返'!A:A,1,FALSE)</f>
        <v>#N/A</v>
      </c>
      <c r="J2361" s="309" t="s">
        <v>90</v>
      </c>
      <c r="K2361" s="24" t="s">
        <v>3116</v>
      </c>
      <c r="L2361" s="179"/>
      <c r="M2361" s="312" t="s">
        <v>3117</v>
      </c>
      <c r="N2361" s="313">
        <v>44208</v>
      </c>
      <c r="O2361" s="24" t="s">
        <v>503</v>
      </c>
      <c r="P2361" s="325">
        <v>6867</v>
      </c>
      <c r="Q2361" s="325">
        <v>-22</v>
      </c>
      <c r="R2361" s="117">
        <f t="shared" si="66"/>
        <v>-151074</v>
      </c>
      <c r="S2361" s="319">
        <v>202304</v>
      </c>
      <c r="T2361" s="233" t="s">
        <v>3152</v>
      </c>
      <c r="U2361" s="233"/>
      <c r="V2361" s="320"/>
      <c r="W2361" s="320"/>
      <c r="X2361" s="229">
        <v>44799</v>
      </c>
      <c r="Y2361" s="229">
        <v>45163</v>
      </c>
    </row>
    <row r="2362" s="5" customFormat="1" customHeight="1" spans="1:25">
      <c r="A2362" s="307" t="s">
        <v>448</v>
      </c>
      <c r="B2362" s="307" t="s">
        <v>3037</v>
      </c>
      <c r="C2362" s="307" t="s">
        <v>63</v>
      </c>
      <c r="D2362" s="307" t="s">
        <v>3038</v>
      </c>
      <c r="E2362" s="23" t="s">
        <v>3039</v>
      </c>
      <c r="F2362" s="24" t="s">
        <v>3040</v>
      </c>
      <c r="G2362" s="24" t="s">
        <v>88</v>
      </c>
      <c r="H2362" s="309" t="s">
        <v>3115</v>
      </c>
      <c r="I2362" s="46" t="e">
        <f>VLOOKUP(H2362,'合同高级查询数据-4月返'!A:A,1,FALSE)</f>
        <v>#N/A</v>
      </c>
      <c r="J2362" s="309" t="s">
        <v>90</v>
      </c>
      <c r="K2362" s="24" t="s">
        <v>3116</v>
      </c>
      <c r="L2362" s="179"/>
      <c r="M2362" s="312" t="s">
        <v>3117</v>
      </c>
      <c r="N2362" s="313">
        <v>44208</v>
      </c>
      <c r="O2362" s="24" t="s">
        <v>503</v>
      </c>
      <c r="P2362" s="325">
        <v>6867</v>
      </c>
      <c r="Q2362" s="325">
        <v>29</v>
      </c>
      <c r="R2362" s="117">
        <f t="shared" si="66"/>
        <v>199143</v>
      </c>
      <c r="S2362" s="319">
        <v>202304</v>
      </c>
      <c r="T2362" s="233" t="s">
        <v>3153</v>
      </c>
      <c r="U2362" s="233"/>
      <c r="V2362" s="320"/>
      <c r="W2362" s="320"/>
      <c r="X2362" s="229">
        <v>44799</v>
      </c>
      <c r="Y2362" s="229">
        <v>45163</v>
      </c>
    </row>
    <row r="2363" s="5" customFormat="1" customHeight="1" spans="1:25">
      <c r="A2363" s="307" t="s">
        <v>448</v>
      </c>
      <c r="B2363" s="307" t="s">
        <v>3037</v>
      </c>
      <c r="C2363" s="307" t="s">
        <v>63</v>
      </c>
      <c r="D2363" s="307" t="s">
        <v>3038</v>
      </c>
      <c r="E2363" s="23" t="s">
        <v>3039</v>
      </c>
      <c r="F2363" s="24" t="s">
        <v>3040</v>
      </c>
      <c r="G2363" s="24" t="s">
        <v>88</v>
      </c>
      <c r="H2363" s="309" t="s">
        <v>3115</v>
      </c>
      <c r="I2363" s="46" t="e">
        <f>VLOOKUP(H2363,'合同高级查询数据-4月返'!A:A,1,FALSE)</f>
        <v>#N/A</v>
      </c>
      <c r="J2363" s="309" t="s">
        <v>90</v>
      </c>
      <c r="K2363" s="24" t="s">
        <v>3116</v>
      </c>
      <c r="L2363" s="179"/>
      <c r="M2363" s="312" t="s">
        <v>3117</v>
      </c>
      <c r="N2363" s="313">
        <v>44218</v>
      </c>
      <c r="O2363" s="24" t="s">
        <v>503</v>
      </c>
      <c r="P2363" s="325">
        <v>6867</v>
      </c>
      <c r="Q2363" s="325">
        <v>26</v>
      </c>
      <c r="R2363" s="117">
        <f t="shared" si="66"/>
        <v>178542</v>
      </c>
      <c r="S2363" s="319">
        <v>202304</v>
      </c>
      <c r="T2363" s="233" t="s">
        <v>3154</v>
      </c>
      <c r="U2363" s="233"/>
      <c r="V2363" s="320"/>
      <c r="W2363" s="320"/>
      <c r="X2363" s="229">
        <v>44799</v>
      </c>
      <c r="Y2363" s="229">
        <v>45163</v>
      </c>
    </row>
    <row r="2364" s="5" customFormat="1" customHeight="1" spans="1:25">
      <c r="A2364" s="307" t="s">
        <v>448</v>
      </c>
      <c r="B2364" s="307" t="s">
        <v>3037</v>
      </c>
      <c r="C2364" s="307" t="s">
        <v>63</v>
      </c>
      <c r="D2364" s="307" t="s">
        <v>3038</v>
      </c>
      <c r="E2364" s="23" t="s">
        <v>3039</v>
      </c>
      <c r="F2364" s="24" t="s">
        <v>3040</v>
      </c>
      <c r="G2364" s="24" t="s">
        <v>88</v>
      </c>
      <c r="H2364" s="309" t="s">
        <v>3115</v>
      </c>
      <c r="I2364" s="46" t="e">
        <f>VLOOKUP(H2364,'合同高级查询数据-4月返'!A:A,1,FALSE)</f>
        <v>#N/A</v>
      </c>
      <c r="J2364" s="309" t="s">
        <v>90</v>
      </c>
      <c r="K2364" s="24" t="s">
        <v>3116</v>
      </c>
      <c r="L2364" s="179"/>
      <c r="M2364" s="312" t="s">
        <v>3117</v>
      </c>
      <c r="N2364" s="313">
        <v>44232</v>
      </c>
      <c r="O2364" s="24" t="s">
        <v>503</v>
      </c>
      <c r="P2364" s="325">
        <v>6867</v>
      </c>
      <c r="Q2364" s="325">
        <v>5</v>
      </c>
      <c r="R2364" s="117">
        <f t="shared" si="66"/>
        <v>34335</v>
      </c>
      <c r="S2364" s="319">
        <v>202304</v>
      </c>
      <c r="T2364" s="233" t="s">
        <v>3155</v>
      </c>
      <c r="U2364" s="233"/>
      <c r="V2364" s="320"/>
      <c r="W2364" s="320"/>
      <c r="X2364" s="229">
        <v>44799</v>
      </c>
      <c r="Y2364" s="229">
        <v>45163</v>
      </c>
    </row>
    <row r="2365" s="5" customFormat="1" customHeight="1" spans="1:25">
      <c r="A2365" s="307" t="s">
        <v>448</v>
      </c>
      <c r="B2365" s="307" t="s">
        <v>3037</v>
      </c>
      <c r="C2365" s="307" t="s">
        <v>63</v>
      </c>
      <c r="D2365" s="307" t="s">
        <v>3038</v>
      </c>
      <c r="E2365" s="23" t="s">
        <v>3039</v>
      </c>
      <c r="F2365" s="24" t="s">
        <v>3040</v>
      </c>
      <c r="G2365" s="24" t="s">
        <v>88</v>
      </c>
      <c r="H2365" s="309" t="s">
        <v>3115</v>
      </c>
      <c r="I2365" s="46" t="e">
        <f>VLOOKUP(H2365,'合同高级查询数据-4月返'!A:A,1,FALSE)</f>
        <v>#N/A</v>
      </c>
      <c r="J2365" s="309" t="s">
        <v>90</v>
      </c>
      <c r="K2365" s="24" t="s">
        <v>3116</v>
      </c>
      <c r="L2365" s="179"/>
      <c r="M2365" s="312" t="s">
        <v>3117</v>
      </c>
      <c r="N2365" s="313">
        <v>44251</v>
      </c>
      <c r="O2365" s="24" t="s">
        <v>503</v>
      </c>
      <c r="P2365" s="325">
        <v>6867</v>
      </c>
      <c r="Q2365" s="325">
        <v>6</v>
      </c>
      <c r="R2365" s="117">
        <f t="shared" si="66"/>
        <v>41202</v>
      </c>
      <c r="S2365" s="319">
        <v>202304</v>
      </c>
      <c r="T2365" s="233" t="s">
        <v>3156</v>
      </c>
      <c r="U2365" s="233"/>
      <c r="V2365" s="320"/>
      <c r="W2365" s="320"/>
      <c r="X2365" s="229">
        <v>44799</v>
      </c>
      <c r="Y2365" s="229">
        <v>45163</v>
      </c>
    </row>
    <row r="2366" s="5" customFormat="1" customHeight="1" spans="1:25">
      <c r="A2366" s="307" t="s">
        <v>448</v>
      </c>
      <c r="B2366" s="307" t="s">
        <v>3037</v>
      </c>
      <c r="C2366" s="307" t="s">
        <v>63</v>
      </c>
      <c r="D2366" s="307" t="s">
        <v>3038</v>
      </c>
      <c r="E2366" s="23" t="s">
        <v>3039</v>
      </c>
      <c r="F2366" s="24" t="s">
        <v>3040</v>
      </c>
      <c r="G2366" s="24" t="s">
        <v>88</v>
      </c>
      <c r="H2366" s="309" t="s">
        <v>3115</v>
      </c>
      <c r="I2366" s="46" t="e">
        <f>VLOOKUP(H2366,'合同高级查询数据-4月返'!A:A,1,FALSE)</f>
        <v>#N/A</v>
      </c>
      <c r="J2366" s="309" t="s">
        <v>90</v>
      </c>
      <c r="K2366" s="24" t="s">
        <v>3116</v>
      </c>
      <c r="L2366" s="179"/>
      <c r="M2366" s="312" t="s">
        <v>3117</v>
      </c>
      <c r="N2366" s="313">
        <v>44253</v>
      </c>
      <c r="O2366" s="24" t="s">
        <v>503</v>
      </c>
      <c r="P2366" s="325">
        <v>6867</v>
      </c>
      <c r="Q2366" s="325">
        <v>47</v>
      </c>
      <c r="R2366" s="117">
        <f t="shared" si="66"/>
        <v>322749</v>
      </c>
      <c r="S2366" s="319">
        <v>202304</v>
      </c>
      <c r="T2366" s="233" t="s">
        <v>3157</v>
      </c>
      <c r="U2366" s="233"/>
      <c r="V2366" s="320"/>
      <c r="W2366" s="320"/>
      <c r="X2366" s="229">
        <v>44799</v>
      </c>
      <c r="Y2366" s="229">
        <v>45163</v>
      </c>
    </row>
    <row r="2367" s="5" customFormat="1" customHeight="1" spans="1:25">
      <c r="A2367" s="307" t="s">
        <v>448</v>
      </c>
      <c r="B2367" s="307" t="s">
        <v>3037</v>
      </c>
      <c r="C2367" s="307" t="s">
        <v>63</v>
      </c>
      <c r="D2367" s="307" t="s">
        <v>3038</v>
      </c>
      <c r="E2367" s="23" t="s">
        <v>3039</v>
      </c>
      <c r="F2367" s="24" t="s">
        <v>3040</v>
      </c>
      <c r="G2367" s="24" t="s">
        <v>88</v>
      </c>
      <c r="H2367" s="309" t="s">
        <v>3115</v>
      </c>
      <c r="I2367" s="46" t="e">
        <f>VLOOKUP(H2367,'合同高级查询数据-4月返'!A:A,1,FALSE)</f>
        <v>#N/A</v>
      </c>
      <c r="J2367" s="309" t="s">
        <v>90</v>
      </c>
      <c r="K2367" s="24" t="s">
        <v>3116</v>
      </c>
      <c r="L2367" s="179"/>
      <c r="M2367" s="312" t="s">
        <v>3117</v>
      </c>
      <c r="N2367" s="313">
        <v>44263</v>
      </c>
      <c r="O2367" s="24" t="s">
        <v>503</v>
      </c>
      <c r="P2367" s="325">
        <v>6867</v>
      </c>
      <c r="Q2367" s="325">
        <v>11</v>
      </c>
      <c r="R2367" s="117">
        <f t="shared" si="66"/>
        <v>75537</v>
      </c>
      <c r="S2367" s="319">
        <v>202304</v>
      </c>
      <c r="T2367" s="233" t="s">
        <v>3158</v>
      </c>
      <c r="U2367" s="233"/>
      <c r="V2367" s="320"/>
      <c r="W2367" s="320"/>
      <c r="X2367" s="229">
        <v>44799</v>
      </c>
      <c r="Y2367" s="229">
        <v>45163</v>
      </c>
    </row>
    <row r="2368" s="5" customFormat="1" customHeight="1" spans="1:25">
      <c r="A2368" s="307" t="s">
        <v>448</v>
      </c>
      <c r="B2368" s="307" t="s">
        <v>3037</v>
      </c>
      <c r="C2368" s="307" t="s">
        <v>63</v>
      </c>
      <c r="D2368" s="307" t="s">
        <v>3038</v>
      </c>
      <c r="E2368" s="23" t="s">
        <v>3039</v>
      </c>
      <c r="F2368" s="24" t="s">
        <v>3040</v>
      </c>
      <c r="G2368" s="24" t="s">
        <v>88</v>
      </c>
      <c r="H2368" s="309" t="s">
        <v>3115</v>
      </c>
      <c r="I2368" s="46" t="e">
        <f>VLOOKUP(H2368,'合同高级查询数据-4月返'!A:A,1,FALSE)</f>
        <v>#N/A</v>
      </c>
      <c r="J2368" s="309" t="s">
        <v>90</v>
      </c>
      <c r="K2368" s="24" t="s">
        <v>3116</v>
      </c>
      <c r="L2368" s="179"/>
      <c r="M2368" s="312" t="s">
        <v>3117</v>
      </c>
      <c r="N2368" s="313">
        <v>44270</v>
      </c>
      <c r="O2368" s="24" t="s">
        <v>503</v>
      </c>
      <c r="P2368" s="325">
        <v>6867</v>
      </c>
      <c r="Q2368" s="325">
        <v>3</v>
      </c>
      <c r="R2368" s="117">
        <f t="shared" si="66"/>
        <v>20601</v>
      </c>
      <c r="S2368" s="319">
        <v>202304</v>
      </c>
      <c r="T2368" s="233" t="s">
        <v>3159</v>
      </c>
      <c r="U2368" s="233"/>
      <c r="V2368" s="320"/>
      <c r="W2368" s="320"/>
      <c r="X2368" s="229">
        <v>44799</v>
      </c>
      <c r="Y2368" s="229">
        <v>45163</v>
      </c>
    </row>
    <row r="2369" s="5" customFormat="1" customHeight="1" spans="1:25">
      <c r="A2369" s="307" t="s">
        <v>448</v>
      </c>
      <c r="B2369" s="307" t="s">
        <v>3037</v>
      </c>
      <c r="C2369" s="307" t="s">
        <v>63</v>
      </c>
      <c r="D2369" s="307" t="s">
        <v>3038</v>
      </c>
      <c r="E2369" s="23" t="s">
        <v>3039</v>
      </c>
      <c r="F2369" s="24" t="s">
        <v>3040</v>
      </c>
      <c r="G2369" s="24" t="s">
        <v>88</v>
      </c>
      <c r="H2369" s="309" t="s">
        <v>3115</v>
      </c>
      <c r="I2369" s="46" t="e">
        <f>VLOOKUP(H2369,'合同高级查询数据-4月返'!A:A,1,FALSE)</f>
        <v>#N/A</v>
      </c>
      <c r="J2369" s="309" t="s">
        <v>90</v>
      </c>
      <c r="K2369" s="24" t="s">
        <v>3116</v>
      </c>
      <c r="L2369" s="179"/>
      <c r="M2369" s="312" t="s">
        <v>3117</v>
      </c>
      <c r="N2369" s="313">
        <v>44271</v>
      </c>
      <c r="O2369" s="24" t="s">
        <v>503</v>
      </c>
      <c r="P2369" s="325">
        <v>6867</v>
      </c>
      <c r="Q2369" s="325">
        <v>8</v>
      </c>
      <c r="R2369" s="117">
        <f t="shared" si="66"/>
        <v>54936</v>
      </c>
      <c r="S2369" s="319">
        <v>202304</v>
      </c>
      <c r="T2369" s="233" t="s">
        <v>3160</v>
      </c>
      <c r="U2369" s="233"/>
      <c r="V2369" s="320"/>
      <c r="W2369" s="320"/>
      <c r="X2369" s="229">
        <v>44799</v>
      </c>
      <c r="Y2369" s="229">
        <v>45163</v>
      </c>
    </row>
    <row r="2370" s="5" customFormat="1" customHeight="1" spans="1:25">
      <c r="A2370" s="307" t="s">
        <v>448</v>
      </c>
      <c r="B2370" s="307" t="s">
        <v>3037</v>
      </c>
      <c r="C2370" s="307" t="s">
        <v>63</v>
      </c>
      <c r="D2370" s="307" t="s">
        <v>3038</v>
      </c>
      <c r="E2370" s="23" t="s">
        <v>3039</v>
      </c>
      <c r="F2370" s="24" t="s">
        <v>3040</v>
      </c>
      <c r="G2370" s="24" t="s">
        <v>88</v>
      </c>
      <c r="H2370" s="309" t="s">
        <v>3115</v>
      </c>
      <c r="I2370" s="46" t="e">
        <f>VLOOKUP(H2370,'合同高级查询数据-4月返'!A:A,1,FALSE)</f>
        <v>#N/A</v>
      </c>
      <c r="J2370" s="309" t="s">
        <v>90</v>
      </c>
      <c r="K2370" s="24" t="s">
        <v>3116</v>
      </c>
      <c r="L2370" s="179"/>
      <c r="M2370" s="312" t="s">
        <v>3117</v>
      </c>
      <c r="N2370" s="313">
        <v>44278</v>
      </c>
      <c r="O2370" s="24" t="s">
        <v>503</v>
      </c>
      <c r="P2370" s="325">
        <v>6867</v>
      </c>
      <c r="Q2370" s="325">
        <v>5</v>
      </c>
      <c r="R2370" s="117">
        <f t="shared" si="66"/>
        <v>34335</v>
      </c>
      <c r="S2370" s="319">
        <v>202304</v>
      </c>
      <c r="T2370" s="233" t="s">
        <v>3161</v>
      </c>
      <c r="U2370" s="233"/>
      <c r="V2370" s="320"/>
      <c r="W2370" s="320"/>
      <c r="X2370" s="229">
        <v>44799</v>
      </c>
      <c r="Y2370" s="229">
        <v>45163</v>
      </c>
    </row>
    <row r="2371" s="5" customFormat="1" customHeight="1" spans="1:25">
      <c r="A2371" s="307" t="s">
        <v>448</v>
      </c>
      <c r="B2371" s="307" t="s">
        <v>3037</v>
      </c>
      <c r="C2371" s="307" t="s">
        <v>63</v>
      </c>
      <c r="D2371" s="307" t="s">
        <v>3038</v>
      </c>
      <c r="E2371" s="23" t="s">
        <v>3039</v>
      </c>
      <c r="F2371" s="24" t="s">
        <v>3040</v>
      </c>
      <c r="G2371" s="24" t="s">
        <v>88</v>
      </c>
      <c r="H2371" s="309" t="s">
        <v>3115</v>
      </c>
      <c r="I2371" s="46" t="e">
        <f>VLOOKUP(H2371,'合同高级查询数据-4月返'!A:A,1,FALSE)</f>
        <v>#N/A</v>
      </c>
      <c r="J2371" s="309" t="s">
        <v>90</v>
      </c>
      <c r="K2371" s="24" t="s">
        <v>3116</v>
      </c>
      <c r="L2371" s="179"/>
      <c r="M2371" s="312" t="s">
        <v>3117</v>
      </c>
      <c r="N2371" s="313">
        <v>44280</v>
      </c>
      <c r="O2371" s="24" t="s">
        <v>503</v>
      </c>
      <c r="P2371" s="325">
        <v>6867</v>
      </c>
      <c r="Q2371" s="325">
        <v>6</v>
      </c>
      <c r="R2371" s="117">
        <f t="shared" si="66"/>
        <v>41202</v>
      </c>
      <c r="S2371" s="319">
        <v>202304</v>
      </c>
      <c r="T2371" s="233" t="s">
        <v>3162</v>
      </c>
      <c r="U2371" s="233"/>
      <c r="V2371" s="320"/>
      <c r="W2371" s="320"/>
      <c r="X2371" s="229">
        <v>44799</v>
      </c>
      <c r="Y2371" s="229">
        <v>45163</v>
      </c>
    </row>
    <row r="2372" s="5" customFormat="1" customHeight="1" spans="1:25">
      <c r="A2372" s="307" t="s">
        <v>448</v>
      </c>
      <c r="B2372" s="307" t="s">
        <v>3037</v>
      </c>
      <c r="C2372" s="307" t="s">
        <v>63</v>
      </c>
      <c r="D2372" s="307" t="s">
        <v>3038</v>
      </c>
      <c r="E2372" s="23" t="s">
        <v>3039</v>
      </c>
      <c r="F2372" s="24" t="s">
        <v>3040</v>
      </c>
      <c r="G2372" s="24" t="s">
        <v>88</v>
      </c>
      <c r="H2372" s="309" t="s">
        <v>3115</v>
      </c>
      <c r="I2372" s="46" t="e">
        <f>VLOOKUP(H2372,'合同高级查询数据-4月返'!A:A,1,FALSE)</f>
        <v>#N/A</v>
      </c>
      <c r="J2372" s="309" t="s">
        <v>90</v>
      </c>
      <c r="K2372" s="24" t="s">
        <v>3116</v>
      </c>
      <c r="L2372" s="179"/>
      <c r="M2372" s="312" t="s">
        <v>3117</v>
      </c>
      <c r="N2372" s="313">
        <v>44288</v>
      </c>
      <c r="O2372" s="24" t="s">
        <v>503</v>
      </c>
      <c r="P2372" s="325">
        <v>6867</v>
      </c>
      <c r="Q2372" s="325">
        <v>8</v>
      </c>
      <c r="R2372" s="117">
        <f t="shared" si="66"/>
        <v>54936</v>
      </c>
      <c r="S2372" s="319">
        <v>202304</v>
      </c>
      <c r="T2372" s="233" t="s">
        <v>3163</v>
      </c>
      <c r="U2372" s="233"/>
      <c r="V2372" s="320"/>
      <c r="W2372" s="320"/>
      <c r="X2372" s="229">
        <v>44799</v>
      </c>
      <c r="Y2372" s="229">
        <v>45163</v>
      </c>
    </row>
    <row r="2373" s="5" customFormat="1" customHeight="1" spans="1:25">
      <c r="A2373" s="307" t="s">
        <v>448</v>
      </c>
      <c r="B2373" s="307" t="s">
        <v>3037</v>
      </c>
      <c r="C2373" s="307" t="s">
        <v>63</v>
      </c>
      <c r="D2373" s="307" t="s">
        <v>3038</v>
      </c>
      <c r="E2373" s="23" t="s">
        <v>3039</v>
      </c>
      <c r="F2373" s="24" t="s">
        <v>3040</v>
      </c>
      <c r="G2373" s="24" t="s">
        <v>88</v>
      </c>
      <c r="H2373" s="309" t="s">
        <v>3115</v>
      </c>
      <c r="I2373" s="46" t="e">
        <f>VLOOKUP(H2373,'合同高级查询数据-4月返'!A:A,1,FALSE)</f>
        <v>#N/A</v>
      </c>
      <c r="J2373" s="309" t="s">
        <v>90</v>
      </c>
      <c r="K2373" s="24" t="s">
        <v>3116</v>
      </c>
      <c r="L2373" s="179"/>
      <c r="M2373" s="312" t="s">
        <v>3117</v>
      </c>
      <c r="N2373" s="313">
        <v>44309</v>
      </c>
      <c r="O2373" s="24" t="s">
        <v>503</v>
      </c>
      <c r="P2373" s="325">
        <v>6867</v>
      </c>
      <c r="Q2373" s="325">
        <v>10</v>
      </c>
      <c r="R2373" s="117">
        <f t="shared" si="66"/>
        <v>68670</v>
      </c>
      <c r="S2373" s="319">
        <v>202304</v>
      </c>
      <c r="T2373" s="233" t="s">
        <v>3164</v>
      </c>
      <c r="U2373" s="233"/>
      <c r="V2373" s="320"/>
      <c r="W2373" s="320"/>
      <c r="X2373" s="229">
        <v>44799</v>
      </c>
      <c r="Y2373" s="229">
        <v>45163</v>
      </c>
    </row>
    <row r="2374" s="5" customFormat="1" customHeight="1" spans="1:25">
      <c r="A2374" s="307" t="s">
        <v>448</v>
      </c>
      <c r="B2374" s="307" t="s">
        <v>3037</v>
      </c>
      <c r="C2374" s="307" t="s">
        <v>63</v>
      </c>
      <c r="D2374" s="307" t="s">
        <v>3038</v>
      </c>
      <c r="E2374" s="23" t="s">
        <v>3039</v>
      </c>
      <c r="F2374" s="24" t="s">
        <v>3040</v>
      </c>
      <c r="G2374" s="24" t="s">
        <v>88</v>
      </c>
      <c r="H2374" s="309" t="s">
        <v>3115</v>
      </c>
      <c r="I2374" s="46" t="e">
        <f>VLOOKUP(H2374,'合同高级查询数据-4月返'!A:A,1,FALSE)</f>
        <v>#N/A</v>
      </c>
      <c r="J2374" s="309" t="s">
        <v>90</v>
      </c>
      <c r="K2374" s="24" t="s">
        <v>3116</v>
      </c>
      <c r="L2374" s="179"/>
      <c r="M2374" s="312" t="s">
        <v>3117</v>
      </c>
      <c r="N2374" s="313">
        <v>44314</v>
      </c>
      <c r="O2374" s="24" t="s">
        <v>503</v>
      </c>
      <c r="P2374" s="325">
        <v>6867</v>
      </c>
      <c r="Q2374" s="325">
        <v>3</v>
      </c>
      <c r="R2374" s="117">
        <f t="shared" si="66"/>
        <v>20601</v>
      </c>
      <c r="S2374" s="319">
        <v>202304</v>
      </c>
      <c r="T2374" s="233" t="s">
        <v>3165</v>
      </c>
      <c r="U2374" s="233"/>
      <c r="V2374" s="320"/>
      <c r="W2374" s="320"/>
      <c r="X2374" s="229">
        <v>44799</v>
      </c>
      <c r="Y2374" s="229">
        <v>45163</v>
      </c>
    </row>
    <row r="2375" s="5" customFormat="1" customHeight="1" spans="1:25">
      <c r="A2375" s="307" t="s">
        <v>448</v>
      </c>
      <c r="B2375" s="307" t="s">
        <v>3037</v>
      </c>
      <c r="C2375" s="307" t="s">
        <v>63</v>
      </c>
      <c r="D2375" s="307" t="s">
        <v>3038</v>
      </c>
      <c r="E2375" s="23" t="s">
        <v>3039</v>
      </c>
      <c r="F2375" s="24" t="s">
        <v>3040</v>
      </c>
      <c r="G2375" s="24" t="s">
        <v>88</v>
      </c>
      <c r="H2375" s="309" t="s">
        <v>3115</v>
      </c>
      <c r="I2375" s="46" t="e">
        <f>VLOOKUP(H2375,'合同高级查询数据-4月返'!A:A,1,FALSE)</f>
        <v>#N/A</v>
      </c>
      <c r="J2375" s="309" t="s">
        <v>90</v>
      </c>
      <c r="K2375" s="24" t="s">
        <v>3116</v>
      </c>
      <c r="L2375" s="179"/>
      <c r="M2375" s="312" t="s">
        <v>3117</v>
      </c>
      <c r="N2375" s="313">
        <v>44350</v>
      </c>
      <c r="O2375" s="24" t="s">
        <v>503</v>
      </c>
      <c r="P2375" s="325">
        <v>6867</v>
      </c>
      <c r="Q2375" s="325">
        <v>4</v>
      </c>
      <c r="R2375" s="117">
        <f t="shared" si="66"/>
        <v>27468</v>
      </c>
      <c r="S2375" s="319">
        <v>202304</v>
      </c>
      <c r="T2375" s="233" t="s">
        <v>3166</v>
      </c>
      <c r="U2375" s="233"/>
      <c r="V2375" s="320"/>
      <c r="W2375" s="320"/>
      <c r="X2375" s="229">
        <v>44799</v>
      </c>
      <c r="Y2375" s="229">
        <v>45163</v>
      </c>
    </row>
    <row r="2376" s="5" customFormat="1" customHeight="1" spans="1:25">
      <c r="A2376" s="307" t="s">
        <v>448</v>
      </c>
      <c r="B2376" s="307" t="s">
        <v>3037</v>
      </c>
      <c r="C2376" s="307" t="s">
        <v>63</v>
      </c>
      <c r="D2376" s="307" t="s">
        <v>3038</v>
      </c>
      <c r="E2376" s="23" t="s">
        <v>3039</v>
      </c>
      <c r="F2376" s="24" t="s">
        <v>3040</v>
      </c>
      <c r="G2376" s="24" t="s">
        <v>88</v>
      </c>
      <c r="H2376" s="309" t="s">
        <v>3115</v>
      </c>
      <c r="I2376" s="46" t="e">
        <f>VLOOKUP(H2376,'合同高级查询数据-4月返'!A:A,1,FALSE)</f>
        <v>#N/A</v>
      </c>
      <c r="J2376" s="309" t="s">
        <v>90</v>
      </c>
      <c r="K2376" s="24" t="s">
        <v>3116</v>
      </c>
      <c r="L2376" s="179"/>
      <c r="M2376" s="312" t="s">
        <v>3117</v>
      </c>
      <c r="N2376" s="313">
        <v>44358</v>
      </c>
      <c r="O2376" s="24" t="s">
        <v>503</v>
      </c>
      <c r="P2376" s="325">
        <v>6867</v>
      </c>
      <c r="Q2376" s="325">
        <v>12</v>
      </c>
      <c r="R2376" s="117">
        <f t="shared" si="66"/>
        <v>82404</v>
      </c>
      <c r="S2376" s="319">
        <v>202304</v>
      </c>
      <c r="T2376" s="233" t="s">
        <v>3167</v>
      </c>
      <c r="U2376" s="233"/>
      <c r="V2376" s="320"/>
      <c r="W2376" s="320"/>
      <c r="X2376" s="229">
        <v>44799</v>
      </c>
      <c r="Y2376" s="229">
        <v>45163</v>
      </c>
    </row>
    <row r="2377" s="5" customFormat="1" customHeight="1" spans="1:25">
      <c r="A2377" s="307" t="s">
        <v>448</v>
      </c>
      <c r="B2377" s="307" t="s">
        <v>3037</v>
      </c>
      <c r="C2377" s="307" t="s">
        <v>63</v>
      </c>
      <c r="D2377" s="307" t="s">
        <v>3038</v>
      </c>
      <c r="E2377" s="23" t="s">
        <v>3039</v>
      </c>
      <c r="F2377" s="24" t="s">
        <v>3040</v>
      </c>
      <c r="G2377" s="24" t="s">
        <v>88</v>
      </c>
      <c r="H2377" s="309" t="s">
        <v>3115</v>
      </c>
      <c r="I2377" s="46" t="e">
        <f>VLOOKUP(H2377,'合同高级查询数据-4月返'!A:A,1,FALSE)</f>
        <v>#N/A</v>
      </c>
      <c r="J2377" s="309" t="s">
        <v>90</v>
      </c>
      <c r="K2377" s="24" t="s">
        <v>3116</v>
      </c>
      <c r="L2377" s="179"/>
      <c r="M2377" s="312" t="s">
        <v>3117</v>
      </c>
      <c r="N2377" s="313">
        <v>44351</v>
      </c>
      <c r="O2377" s="24" t="s">
        <v>503</v>
      </c>
      <c r="P2377" s="325">
        <v>6867</v>
      </c>
      <c r="Q2377" s="325">
        <v>1</v>
      </c>
      <c r="R2377" s="117">
        <f t="shared" si="66"/>
        <v>6867</v>
      </c>
      <c r="S2377" s="319">
        <v>202304</v>
      </c>
      <c r="T2377" s="233" t="s">
        <v>3168</v>
      </c>
      <c r="U2377" s="233"/>
      <c r="V2377" s="320"/>
      <c r="W2377" s="320"/>
      <c r="X2377" s="229">
        <v>44799</v>
      </c>
      <c r="Y2377" s="229">
        <v>45163</v>
      </c>
    </row>
    <row r="2378" s="5" customFormat="1" customHeight="1" spans="1:25">
      <c r="A2378" s="307" t="s">
        <v>448</v>
      </c>
      <c r="B2378" s="307" t="s">
        <v>3037</v>
      </c>
      <c r="C2378" s="307" t="s">
        <v>63</v>
      </c>
      <c r="D2378" s="307" t="s">
        <v>3038</v>
      </c>
      <c r="E2378" s="23" t="s">
        <v>3039</v>
      </c>
      <c r="F2378" s="24" t="s">
        <v>3040</v>
      </c>
      <c r="G2378" s="24" t="s">
        <v>88</v>
      </c>
      <c r="H2378" s="309" t="s">
        <v>3115</v>
      </c>
      <c r="I2378" s="46" t="e">
        <f>VLOOKUP(H2378,'合同高级查询数据-4月返'!A:A,1,FALSE)</f>
        <v>#N/A</v>
      </c>
      <c r="J2378" s="309" t="s">
        <v>90</v>
      </c>
      <c r="K2378" s="24" t="s">
        <v>3116</v>
      </c>
      <c r="L2378" s="179"/>
      <c r="M2378" s="312" t="s">
        <v>3117</v>
      </c>
      <c r="N2378" s="313">
        <v>44440</v>
      </c>
      <c r="O2378" s="24" t="s">
        <v>503</v>
      </c>
      <c r="P2378" s="325">
        <v>6867</v>
      </c>
      <c r="Q2378" s="325">
        <v>12</v>
      </c>
      <c r="R2378" s="117">
        <f t="shared" si="66"/>
        <v>82404</v>
      </c>
      <c r="S2378" s="319">
        <v>202304</v>
      </c>
      <c r="T2378" s="233" t="s">
        <v>3169</v>
      </c>
      <c r="U2378" s="233"/>
      <c r="V2378" s="320"/>
      <c r="W2378" s="320"/>
      <c r="X2378" s="229">
        <v>44799</v>
      </c>
      <c r="Y2378" s="229">
        <v>45163</v>
      </c>
    </row>
    <row r="2379" s="5" customFormat="1" customHeight="1" spans="1:25">
      <c r="A2379" s="307" t="s">
        <v>448</v>
      </c>
      <c r="B2379" s="307" t="s">
        <v>3037</v>
      </c>
      <c r="C2379" s="307" t="s">
        <v>63</v>
      </c>
      <c r="D2379" s="307" t="s">
        <v>3038</v>
      </c>
      <c r="E2379" s="23" t="s">
        <v>3039</v>
      </c>
      <c r="F2379" s="24" t="s">
        <v>3040</v>
      </c>
      <c r="G2379" s="24" t="s">
        <v>88</v>
      </c>
      <c r="H2379" s="309" t="s">
        <v>3115</v>
      </c>
      <c r="I2379" s="46" t="e">
        <f>VLOOKUP(H2379,'合同高级查询数据-4月返'!A:A,1,FALSE)</f>
        <v>#N/A</v>
      </c>
      <c r="J2379" s="309" t="s">
        <v>90</v>
      </c>
      <c r="K2379" s="24" t="s">
        <v>3116</v>
      </c>
      <c r="L2379" s="179"/>
      <c r="M2379" s="312" t="s">
        <v>3117</v>
      </c>
      <c r="N2379" s="313">
        <v>44452</v>
      </c>
      <c r="O2379" s="24" t="s">
        <v>503</v>
      </c>
      <c r="P2379" s="325">
        <v>6867</v>
      </c>
      <c r="Q2379" s="325">
        <v>3</v>
      </c>
      <c r="R2379" s="117">
        <f t="shared" si="66"/>
        <v>20601</v>
      </c>
      <c r="S2379" s="319">
        <v>202304</v>
      </c>
      <c r="T2379" s="233" t="s">
        <v>3170</v>
      </c>
      <c r="U2379" s="233"/>
      <c r="V2379" s="320"/>
      <c r="W2379" s="320"/>
      <c r="X2379" s="229">
        <v>44799</v>
      </c>
      <c r="Y2379" s="229">
        <v>45163</v>
      </c>
    </row>
    <row r="2380" s="5" customFormat="1" customHeight="1" spans="1:25">
      <c r="A2380" s="307" t="s">
        <v>448</v>
      </c>
      <c r="B2380" s="307" t="s">
        <v>3037</v>
      </c>
      <c r="C2380" s="307" t="s">
        <v>63</v>
      </c>
      <c r="D2380" s="307" t="s">
        <v>3038</v>
      </c>
      <c r="E2380" s="23" t="s">
        <v>3039</v>
      </c>
      <c r="F2380" s="24" t="s">
        <v>3040</v>
      </c>
      <c r="G2380" s="24" t="s">
        <v>88</v>
      </c>
      <c r="H2380" s="309" t="s">
        <v>3115</v>
      </c>
      <c r="I2380" s="46" t="e">
        <f>VLOOKUP(H2380,'合同高级查询数据-4月返'!A:A,1,FALSE)</f>
        <v>#N/A</v>
      </c>
      <c r="J2380" s="309" t="s">
        <v>90</v>
      </c>
      <c r="K2380" s="24" t="s">
        <v>3116</v>
      </c>
      <c r="L2380" s="179"/>
      <c r="M2380" s="312" t="s">
        <v>3117</v>
      </c>
      <c r="N2380" s="313">
        <v>44529</v>
      </c>
      <c r="O2380" s="24" t="s">
        <v>503</v>
      </c>
      <c r="P2380" s="325">
        <v>6867</v>
      </c>
      <c r="Q2380" s="325">
        <v>-4</v>
      </c>
      <c r="R2380" s="117">
        <f t="shared" ref="R2380:R2387" si="67">ROUND(P2380*Q2380,2)</f>
        <v>-27468</v>
      </c>
      <c r="S2380" s="319">
        <v>202304</v>
      </c>
      <c r="T2380" s="233" t="s">
        <v>3171</v>
      </c>
      <c r="U2380" s="233"/>
      <c r="V2380" s="320"/>
      <c r="W2380" s="320"/>
      <c r="X2380" s="229">
        <v>44799</v>
      </c>
      <c r="Y2380" s="229">
        <v>45163</v>
      </c>
    </row>
    <row r="2381" s="5" customFormat="1" customHeight="1" spans="1:25">
      <c r="A2381" s="307" t="s">
        <v>448</v>
      </c>
      <c r="B2381" s="307" t="s">
        <v>3037</v>
      </c>
      <c r="C2381" s="307" t="s">
        <v>63</v>
      </c>
      <c r="D2381" s="307" t="s">
        <v>3038</v>
      </c>
      <c r="E2381" s="23" t="s">
        <v>3039</v>
      </c>
      <c r="F2381" s="24" t="s">
        <v>3040</v>
      </c>
      <c r="G2381" s="24" t="s">
        <v>88</v>
      </c>
      <c r="H2381" s="309" t="s">
        <v>3115</v>
      </c>
      <c r="I2381" s="46" t="e">
        <f>VLOOKUP(H2381,'合同高级查询数据-4月返'!A:A,1,FALSE)</f>
        <v>#N/A</v>
      </c>
      <c r="J2381" s="309" t="s">
        <v>90</v>
      </c>
      <c r="K2381" s="24" t="s">
        <v>3116</v>
      </c>
      <c r="L2381" s="179"/>
      <c r="M2381" s="312" t="s">
        <v>3117</v>
      </c>
      <c r="N2381" s="313">
        <v>44529</v>
      </c>
      <c r="O2381" s="24" t="s">
        <v>507</v>
      </c>
      <c r="P2381" s="325">
        <v>6867</v>
      </c>
      <c r="Q2381" s="325">
        <v>-4</v>
      </c>
      <c r="R2381" s="117">
        <f t="shared" si="67"/>
        <v>-27468</v>
      </c>
      <c r="S2381" s="319">
        <v>202304</v>
      </c>
      <c r="T2381" s="233" t="s">
        <v>3172</v>
      </c>
      <c r="U2381" s="233"/>
      <c r="V2381" s="320"/>
      <c r="W2381" s="320"/>
      <c r="X2381" s="229">
        <v>44799</v>
      </c>
      <c r="Y2381" s="229">
        <v>45163</v>
      </c>
    </row>
    <row r="2382" s="5" customFormat="1" customHeight="1" spans="1:25">
      <c r="A2382" s="307" t="s">
        <v>448</v>
      </c>
      <c r="B2382" s="307" t="s">
        <v>3037</v>
      </c>
      <c r="C2382" s="307" t="s">
        <v>63</v>
      </c>
      <c r="D2382" s="307" t="s">
        <v>3038</v>
      </c>
      <c r="E2382" s="23" t="s">
        <v>3039</v>
      </c>
      <c r="F2382" s="24" t="s">
        <v>3040</v>
      </c>
      <c r="G2382" s="24" t="s">
        <v>88</v>
      </c>
      <c r="H2382" s="309" t="s">
        <v>3115</v>
      </c>
      <c r="I2382" s="46" t="e">
        <f>VLOOKUP(H2382,'合同高级查询数据-4月返'!A:A,1,FALSE)</f>
        <v>#N/A</v>
      </c>
      <c r="J2382" s="309" t="s">
        <v>90</v>
      </c>
      <c r="K2382" s="24" t="s">
        <v>3116</v>
      </c>
      <c r="L2382" s="179"/>
      <c r="M2382" s="312" t="s">
        <v>3117</v>
      </c>
      <c r="N2382" s="313">
        <v>44607</v>
      </c>
      <c r="O2382" s="24" t="s">
        <v>503</v>
      </c>
      <c r="P2382" s="325">
        <v>6867</v>
      </c>
      <c r="Q2382" s="325">
        <v>4</v>
      </c>
      <c r="R2382" s="117">
        <f t="shared" si="67"/>
        <v>27468</v>
      </c>
      <c r="S2382" s="319">
        <v>202304</v>
      </c>
      <c r="T2382" s="233" t="s">
        <v>3173</v>
      </c>
      <c r="U2382" s="233"/>
      <c r="V2382" s="320"/>
      <c r="W2382" s="320"/>
      <c r="X2382" s="229">
        <v>44799</v>
      </c>
      <c r="Y2382" s="229">
        <v>45163</v>
      </c>
    </row>
    <row r="2383" s="5" customFormat="1" customHeight="1" spans="1:25">
      <c r="A2383" s="307" t="s">
        <v>448</v>
      </c>
      <c r="B2383" s="307" t="s">
        <v>3037</v>
      </c>
      <c r="C2383" s="307" t="s">
        <v>63</v>
      </c>
      <c r="D2383" s="307" t="s">
        <v>3038</v>
      </c>
      <c r="E2383" s="23" t="s">
        <v>3039</v>
      </c>
      <c r="F2383" s="24" t="s">
        <v>3040</v>
      </c>
      <c r="G2383" s="24" t="s">
        <v>88</v>
      </c>
      <c r="H2383" s="309" t="s">
        <v>3115</v>
      </c>
      <c r="I2383" s="46" t="e">
        <f>VLOOKUP(H2383,'合同高级查询数据-4月返'!A:A,1,FALSE)</f>
        <v>#N/A</v>
      </c>
      <c r="J2383" s="309" t="s">
        <v>90</v>
      </c>
      <c r="K2383" s="24" t="s">
        <v>3116</v>
      </c>
      <c r="L2383" s="179"/>
      <c r="M2383" s="312" t="s">
        <v>3117</v>
      </c>
      <c r="N2383" s="313">
        <v>44608</v>
      </c>
      <c r="O2383" s="24" t="s">
        <v>503</v>
      </c>
      <c r="P2383" s="325">
        <v>6867</v>
      </c>
      <c r="Q2383" s="325">
        <v>2</v>
      </c>
      <c r="R2383" s="117">
        <f t="shared" si="67"/>
        <v>13734</v>
      </c>
      <c r="S2383" s="319">
        <v>202304</v>
      </c>
      <c r="T2383" s="233" t="s">
        <v>3174</v>
      </c>
      <c r="U2383" s="233"/>
      <c r="V2383" s="320"/>
      <c r="W2383" s="320"/>
      <c r="X2383" s="229">
        <v>44799</v>
      </c>
      <c r="Y2383" s="229">
        <v>45163</v>
      </c>
    </row>
    <row r="2384" s="5" customFormat="1" customHeight="1" spans="1:25">
      <c r="A2384" s="307" t="s">
        <v>448</v>
      </c>
      <c r="B2384" s="307" t="s">
        <v>3037</v>
      </c>
      <c r="C2384" s="307" t="s">
        <v>63</v>
      </c>
      <c r="D2384" s="307" t="s">
        <v>3038</v>
      </c>
      <c r="E2384" s="23" t="s">
        <v>3039</v>
      </c>
      <c r="F2384" s="24" t="s">
        <v>3040</v>
      </c>
      <c r="G2384" s="24" t="s">
        <v>88</v>
      </c>
      <c r="H2384" s="309" t="s">
        <v>3115</v>
      </c>
      <c r="I2384" s="46" t="e">
        <f>VLOOKUP(H2384,'合同高级查询数据-4月返'!A:A,1,FALSE)</f>
        <v>#N/A</v>
      </c>
      <c r="J2384" s="309" t="s">
        <v>90</v>
      </c>
      <c r="K2384" s="24" t="s">
        <v>3116</v>
      </c>
      <c r="L2384" s="179"/>
      <c r="M2384" s="312" t="s">
        <v>3117</v>
      </c>
      <c r="N2384" s="313">
        <v>44609</v>
      </c>
      <c r="O2384" s="24" t="s">
        <v>503</v>
      </c>
      <c r="P2384" s="325">
        <v>6867</v>
      </c>
      <c r="Q2384" s="325">
        <v>1</v>
      </c>
      <c r="R2384" s="117">
        <f t="shared" si="67"/>
        <v>6867</v>
      </c>
      <c r="S2384" s="319">
        <v>202304</v>
      </c>
      <c r="T2384" s="233" t="s">
        <v>3175</v>
      </c>
      <c r="U2384" s="233"/>
      <c r="V2384" s="320"/>
      <c r="W2384" s="320"/>
      <c r="X2384" s="229">
        <v>44799</v>
      </c>
      <c r="Y2384" s="229">
        <v>45163</v>
      </c>
    </row>
    <row r="2385" s="5" customFormat="1" customHeight="1" spans="1:25">
      <c r="A2385" s="307" t="s">
        <v>448</v>
      </c>
      <c r="B2385" s="307" t="s">
        <v>3037</v>
      </c>
      <c r="C2385" s="307" t="s">
        <v>63</v>
      </c>
      <c r="D2385" s="307" t="s">
        <v>3038</v>
      </c>
      <c r="E2385" s="23" t="s">
        <v>3039</v>
      </c>
      <c r="F2385" s="24" t="s">
        <v>3040</v>
      </c>
      <c r="G2385" s="24" t="s">
        <v>88</v>
      </c>
      <c r="H2385" s="309" t="s">
        <v>3115</v>
      </c>
      <c r="I2385" s="46" t="e">
        <f>VLOOKUP(H2385,'合同高级查询数据-4月返'!A:A,1,FALSE)</f>
        <v>#N/A</v>
      </c>
      <c r="J2385" s="309" t="s">
        <v>90</v>
      </c>
      <c r="K2385" s="24" t="s">
        <v>3116</v>
      </c>
      <c r="L2385" s="179"/>
      <c r="M2385" s="312" t="s">
        <v>3117</v>
      </c>
      <c r="N2385" s="313">
        <v>44611</v>
      </c>
      <c r="O2385" s="24" t="s">
        <v>503</v>
      </c>
      <c r="P2385" s="325">
        <v>6867</v>
      </c>
      <c r="Q2385" s="325">
        <v>2</v>
      </c>
      <c r="R2385" s="117">
        <f t="shared" si="67"/>
        <v>13734</v>
      </c>
      <c r="S2385" s="319">
        <v>202304</v>
      </c>
      <c r="T2385" s="233" t="s">
        <v>3176</v>
      </c>
      <c r="U2385" s="233"/>
      <c r="V2385" s="320"/>
      <c r="W2385" s="320"/>
      <c r="X2385" s="229">
        <v>44799</v>
      </c>
      <c r="Y2385" s="229">
        <v>45163</v>
      </c>
    </row>
    <row r="2386" s="5" customFormat="1" customHeight="1" spans="1:25">
      <c r="A2386" s="307" t="s">
        <v>448</v>
      </c>
      <c r="B2386" s="307" t="s">
        <v>3037</v>
      </c>
      <c r="C2386" s="307" t="s">
        <v>63</v>
      </c>
      <c r="D2386" s="307" t="s">
        <v>3038</v>
      </c>
      <c r="E2386" s="23" t="s">
        <v>3039</v>
      </c>
      <c r="F2386" s="24" t="s">
        <v>3040</v>
      </c>
      <c r="G2386" s="24" t="s">
        <v>88</v>
      </c>
      <c r="H2386" s="309" t="s">
        <v>3115</v>
      </c>
      <c r="I2386" s="46" t="e">
        <f>VLOOKUP(H2386,'合同高级查询数据-4月返'!A:A,1,FALSE)</f>
        <v>#N/A</v>
      </c>
      <c r="J2386" s="309" t="s">
        <v>90</v>
      </c>
      <c r="K2386" s="24" t="s">
        <v>3116</v>
      </c>
      <c r="L2386" s="179"/>
      <c r="M2386" s="312" t="s">
        <v>3117</v>
      </c>
      <c r="N2386" s="313">
        <v>44613</v>
      </c>
      <c r="O2386" s="24" t="s">
        <v>503</v>
      </c>
      <c r="P2386" s="325">
        <v>6867</v>
      </c>
      <c r="Q2386" s="325">
        <v>9</v>
      </c>
      <c r="R2386" s="117">
        <f t="shared" si="67"/>
        <v>61803</v>
      </c>
      <c r="S2386" s="319">
        <v>202304</v>
      </c>
      <c r="T2386" s="233" t="s">
        <v>3177</v>
      </c>
      <c r="U2386" s="233"/>
      <c r="V2386" s="320"/>
      <c r="W2386" s="320"/>
      <c r="X2386" s="229">
        <v>44799</v>
      </c>
      <c r="Y2386" s="229">
        <v>45163</v>
      </c>
    </row>
    <row r="2387" s="5" customFormat="1" customHeight="1" spans="1:25">
      <c r="A2387" s="307" t="s">
        <v>448</v>
      </c>
      <c r="B2387" s="307" t="s">
        <v>3037</v>
      </c>
      <c r="C2387" s="307" t="s">
        <v>63</v>
      </c>
      <c r="D2387" s="307" t="s">
        <v>3038</v>
      </c>
      <c r="E2387" s="23" t="s">
        <v>3039</v>
      </c>
      <c r="F2387" s="24" t="s">
        <v>3040</v>
      </c>
      <c r="G2387" s="24" t="s">
        <v>88</v>
      </c>
      <c r="H2387" s="309" t="s">
        <v>3115</v>
      </c>
      <c r="I2387" s="46" t="e">
        <f>VLOOKUP(H2387,'合同高级查询数据-4月返'!A:A,1,FALSE)</f>
        <v>#N/A</v>
      </c>
      <c r="J2387" s="309" t="s">
        <v>90</v>
      </c>
      <c r="K2387" s="24" t="s">
        <v>3116</v>
      </c>
      <c r="L2387" s="179"/>
      <c r="M2387" s="312" t="s">
        <v>3117</v>
      </c>
      <c r="N2387" s="313">
        <v>44897</v>
      </c>
      <c r="O2387" s="24" t="s">
        <v>503</v>
      </c>
      <c r="P2387" s="325">
        <v>6867</v>
      </c>
      <c r="Q2387" s="325">
        <v>-4</v>
      </c>
      <c r="R2387" s="117">
        <f t="shared" si="67"/>
        <v>-27468</v>
      </c>
      <c r="S2387" s="319">
        <v>202304</v>
      </c>
      <c r="T2387" s="233" t="s">
        <v>3178</v>
      </c>
      <c r="U2387" s="233"/>
      <c r="V2387" s="320"/>
      <c r="W2387" s="320"/>
      <c r="X2387" s="229">
        <v>44799</v>
      </c>
      <c r="Y2387" s="229">
        <v>45163</v>
      </c>
    </row>
    <row r="2388" s="5" customFormat="1" customHeight="1" spans="1:25">
      <c r="A2388" s="307" t="s">
        <v>448</v>
      </c>
      <c r="B2388" s="307" t="s">
        <v>3037</v>
      </c>
      <c r="C2388" s="307" t="s">
        <v>63</v>
      </c>
      <c r="D2388" s="307" t="s">
        <v>3038</v>
      </c>
      <c r="E2388" s="23" t="s">
        <v>3039</v>
      </c>
      <c r="F2388" s="24" t="s">
        <v>3040</v>
      </c>
      <c r="G2388" s="24" t="s">
        <v>88</v>
      </c>
      <c r="H2388" s="309" t="s">
        <v>3115</v>
      </c>
      <c r="I2388" s="46" t="e">
        <f>VLOOKUP(H2388,'合同高级查询数据-4月返'!A:A,1,FALSE)</f>
        <v>#N/A</v>
      </c>
      <c r="J2388" s="309" t="s">
        <v>90</v>
      </c>
      <c r="K2388" s="24" t="s">
        <v>3116</v>
      </c>
      <c r="L2388" s="179"/>
      <c r="M2388" s="312" t="s">
        <v>3117</v>
      </c>
      <c r="N2388" s="313">
        <v>45034</v>
      </c>
      <c r="O2388" s="24" t="s">
        <v>503</v>
      </c>
      <c r="P2388" s="325">
        <v>6867</v>
      </c>
      <c r="Q2388" s="325">
        <v>-1</v>
      </c>
      <c r="R2388" s="117">
        <f>ROUND(P2388*Q2388*12/30,2)</f>
        <v>-2746.8</v>
      </c>
      <c r="S2388" s="319">
        <v>202304</v>
      </c>
      <c r="T2388" s="331" t="s">
        <v>3179</v>
      </c>
      <c r="U2388" s="233"/>
      <c r="V2388" s="320"/>
      <c r="W2388" s="320"/>
      <c r="X2388" s="229">
        <v>44799</v>
      </c>
      <c r="Y2388" s="229">
        <v>45163</v>
      </c>
    </row>
    <row r="2389" s="5" customFormat="1" customHeight="1" spans="1:25">
      <c r="A2389" s="307" t="s">
        <v>448</v>
      </c>
      <c r="B2389" s="307" t="s">
        <v>3037</v>
      </c>
      <c r="C2389" s="307" t="s">
        <v>63</v>
      </c>
      <c r="D2389" s="307" t="s">
        <v>3038</v>
      </c>
      <c r="E2389" s="23" t="s">
        <v>3039</v>
      </c>
      <c r="F2389" s="24" t="s">
        <v>3040</v>
      </c>
      <c r="G2389" s="24" t="s">
        <v>67</v>
      </c>
      <c r="H2389" s="309" t="s">
        <v>3115</v>
      </c>
      <c r="I2389" s="46" t="e">
        <f>VLOOKUP(H2389,'合同高级查询数据-4月返'!A:A,1,FALSE)</f>
        <v>#N/A</v>
      </c>
      <c r="J2389" s="24" t="s">
        <v>67</v>
      </c>
      <c r="K2389" s="24" t="s">
        <v>3116</v>
      </c>
      <c r="L2389" s="312"/>
      <c r="M2389" s="312" t="s">
        <v>3180</v>
      </c>
      <c r="N2389" s="313">
        <v>43714</v>
      </c>
      <c r="O2389" s="24"/>
      <c r="P2389" s="325">
        <v>390</v>
      </c>
      <c r="Q2389" s="325">
        <v>55</v>
      </c>
      <c r="R2389" s="117">
        <f t="shared" ref="R2389:R2536" si="68">ROUND(P2389*Q2389,2)</f>
        <v>21450</v>
      </c>
      <c r="S2389" s="319">
        <v>202304</v>
      </c>
      <c r="T2389" s="233" t="s">
        <v>3181</v>
      </c>
      <c r="U2389" s="233"/>
      <c r="V2389" s="320"/>
      <c r="W2389" s="320"/>
      <c r="X2389" s="229">
        <v>44799</v>
      </c>
      <c r="Y2389" s="229">
        <v>45163</v>
      </c>
    </row>
    <row r="2390" s="5" customFormat="1" customHeight="1" spans="1:25">
      <c r="A2390" s="307" t="s">
        <v>448</v>
      </c>
      <c r="B2390" s="307" t="s">
        <v>3037</v>
      </c>
      <c r="C2390" s="307" t="s">
        <v>63</v>
      </c>
      <c r="D2390" s="307" t="s">
        <v>3038</v>
      </c>
      <c r="E2390" s="23" t="s">
        <v>3039</v>
      </c>
      <c r="F2390" s="24" t="s">
        <v>3040</v>
      </c>
      <c r="G2390" s="24" t="s">
        <v>67</v>
      </c>
      <c r="H2390" s="309" t="s">
        <v>3115</v>
      </c>
      <c r="I2390" s="46" t="e">
        <f>VLOOKUP(H2390,'合同高级查询数据-4月返'!A:A,1,FALSE)</f>
        <v>#N/A</v>
      </c>
      <c r="J2390" s="24" t="s">
        <v>67</v>
      </c>
      <c r="K2390" s="24" t="s">
        <v>3116</v>
      </c>
      <c r="L2390" s="312"/>
      <c r="M2390" s="312" t="s">
        <v>3180</v>
      </c>
      <c r="N2390" s="313">
        <v>43714</v>
      </c>
      <c r="O2390" s="24"/>
      <c r="P2390" s="325">
        <v>390</v>
      </c>
      <c r="Q2390" s="325">
        <v>107.2</v>
      </c>
      <c r="R2390" s="117">
        <f t="shared" si="68"/>
        <v>41808</v>
      </c>
      <c r="S2390" s="319">
        <v>202304</v>
      </c>
      <c r="T2390" s="233" t="s">
        <v>3182</v>
      </c>
      <c r="U2390" s="233"/>
      <c r="V2390" s="320"/>
      <c r="W2390" s="320"/>
      <c r="X2390" s="229">
        <v>44799</v>
      </c>
      <c r="Y2390" s="229">
        <v>45163</v>
      </c>
    </row>
    <row r="2391" s="5" customFormat="1" customHeight="1" spans="1:25">
      <c r="A2391" s="307" t="s">
        <v>448</v>
      </c>
      <c r="B2391" s="307" t="s">
        <v>3037</v>
      </c>
      <c r="C2391" s="307" t="s">
        <v>63</v>
      </c>
      <c r="D2391" s="307" t="s">
        <v>3038</v>
      </c>
      <c r="E2391" s="23" t="s">
        <v>3039</v>
      </c>
      <c r="F2391" s="24" t="s">
        <v>3040</v>
      </c>
      <c r="G2391" s="24" t="s">
        <v>67</v>
      </c>
      <c r="H2391" s="309" t="s">
        <v>3115</v>
      </c>
      <c r="I2391" s="46" t="e">
        <f>VLOOKUP(H2391,'合同高级查询数据-4月返'!A:A,1,FALSE)</f>
        <v>#N/A</v>
      </c>
      <c r="J2391" s="24" t="s">
        <v>67</v>
      </c>
      <c r="K2391" s="24" t="s">
        <v>3116</v>
      </c>
      <c r="L2391" s="312"/>
      <c r="M2391" s="312" t="s">
        <v>3183</v>
      </c>
      <c r="N2391" s="313">
        <v>43703</v>
      </c>
      <c r="O2391" s="328"/>
      <c r="P2391" s="325">
        <v>390</v>
      </c>
      <c r="Q2391" s="325">
        <v>61</v>
      </c>
      <c r="R2391" s="117">
        <f t="shared" si="68"/>
        <v>23790</v>
      </c>
      <c r="S2391" s="319">
        <v>202304</v>
      </c>
      <c r="T2391" s="233"/>
      <c r="U2391" s="233"/>
      <c r="V2391" s="320"/>
      <c r="W2391" s="320"/>
      <c r="X2391" s="229">
        <v>44799</v>
      </c>
      <c r="Y2391" s="229">
        <v>45163</v>
      </c>
    </row>
    <row r="2392" s="5" customFormat="1" customHeight="1" spans="1:25">
      <c r="A2392" s="307" t="s">
        <v>448</v>
      </c>
      <c r="B2392" s="307" t="s">
        <v>3037</v>
      </c>
      <c r="C2392" s="307" t="s">
        <v>63</v>
      </c>
      <c r="D2392" s="307" t="s">
        <v>3038</v>
      </c>
      <c r="E2392" s="23" t="s">
        <v>3039</v>
      </c>
      <c r="F2392" s="24" t="s">
        <v>3040</v>
      </c>
      <c r="G2392" s="24" t="s">
        <v>67</v>
      </c>
      <c r="H2392" s="309" t="s">
        <v>3115</v>
      </c>
      <c r="I2392" s="46" t="e">
        <f>VLOOKUP(H2392,'合同高级查询数据-4月返'!A:A,1,FALSE)</f>
        <v>#N/A</v>
      </c>
      <c r="J2392" s="24" t="s">
        <v>67</v>
      </c>
      <c r="K2392" s="24" t="s">
        <v>3116</v>
      </c>
      <c r="L2392" s="312"/>
      <c r="M2392" s="312" t="s">
        <v>3183</v>
      </c>
      <c r="N2392" s="313">
        <v>43703</v>
      </c>
      <c r="O2392" s="328"/>
      <c r="P2392" s="325">
        <v>390</v>
      </c>
      <c r="Q2392" s="325">
        <v>62</v>
      </c>
      <c r="R2392" s="117">
        <f t="shared" si="68"/>
        <v>24180</v>
      </c>
      <c r="S2392" s="319">
        <v>202304</v>
      </c>
      <c r="T2392" s="233"/>
      <c r="U2392" s="233"/>
      <c r="V2392" s="320"/>
      <c r="W2392" s="320"/>
      <c r="X2392" s="229">
        <v>44799</v>
      </c>
      <c r="Y2392" s="229">
        <v>45163</v>
      </c>
    </row>
    <row r="2393" s="5" customFormat="1" customHeight="1" spans="1:25">
      <c r="A2393" s="307" t="s">
        <v>448</v>
      </c>
      <c r="B2393" s="307" t="s">
        <v>3037</v>
      </c>
      <c r="C2393" s="307" t="s">
        <v>63</v>
      </c>
      <c r="D2393" s="307" t="s">
        <v>3038</v>
      </c>
      <c r="E2393" s="23" t="s">
        <v>3039</v>
      </c>
      <c r="F2393" s="24" t="s">
        <v>3040</v>
      </c>
      <c r="G2393" s="24" t="s">
        <v>67</v>
      </c>
      <c r="H2393" s="309" t="s">
        <v>3115</v>
      </c>
      <c r="I2393" s="46" t="e">
        <f>VLOOKUP(H2393,'合同高级查询数据-4月返'!A:A,1,FALSE)</f>
        <v>#N/A</v>
      </c>
      <c r="J2393" s="24" t="s">
        <v>67</v>
      </c>
      <c r="K2393" s="24" t="s">
        <v>3116</v>
      </c>
      <c r="L2393" s="312"/>
      <c r="M2393" s="312" t="s">
        <v>3184</v>
      </c>
      <c r="N2393" s="313">
        <v>43703</v>
      </c>
      <c r="O2393" s="328"/>
      <c r="P2393" s="325">
        <v>390</v>
      </c>
      <c r="Q2393" s="325">
        <v>30</v>
      </c>
      <c r="R2393" s="117">
        <f t="shared" si="68"/>
        <v>11700</v>
      </c>
      <c r="S2393" s="319">
        <v>202304</v>
      </c>
      <c r="T2393" s="233"/>
      <c r="U2393" s="233"/>
      <c r="V2393" s="320"/>
      <c r="W2393" s="320"/>
      <c r="X2393" s="229">
        <v>44799</v>
      </c>
      <c r="Y2393" s="229">
        <v>45163</v>
      </c>
    </row>
    <row r="2394" s="5" customFormat="1" customHeight="1" spans="1:25">
      <c r="A2394" s="307" t="s">
        <v>448</v>
      </c>
      <c r="B2394" s="307" t="s">
        <v>3037</v>
      </c>
      <c r="C2394" s="307" t="s">
        <v>63</v>
      </c>
      <c r="D2394" s="307" t="s">
        <v>3038</v>
      </c>
      <c r="E2394" s="23" t="s">
        <v>3039</v>
      </c>
      <c r="F2394" s="24" t="s">
        <v>3040</v>
      </c>
      <c r="G2394" s="24" t="s">
        <v>67</v>
      </c>
      <c r="H2394" s="309" t="s">
        <v>3115</v>
      </c>
      <c r="I2394" s="46" t="e">
        <f>VLOOKUP(H2394,'合同高级查询数据-4月返'!A:A,1,FALSE)</f>
        <v>#N/A</v>
      </c>
      <c r="J2394" s="24" t="s">
        <v>67</v>
      </c>
      <c r="K2394" s="24" t="s">
        <v>3116</v>
      </c>
      <c r="L2394" s="312"/>
      <c r="M2394" s="312" t="s">
        <v>3184</v>
      </c>
      <c r="N2394" s="313">
        <v>43703</v>
      </c>
      <c r="O2394" s="328"/>
      <c r="P2394" s="325">
        <v>390</v>
      </c>
      <c r="Q2394" s="325">
        <v>14</v>
      </c>
      <c r="R2394" s="117">
        <f t="shared" si="68"/>
        <v>5460</v>
      </c>
      <c r="S2394" s="319">
        <v>202304</v>
      </c>
      <c r="T2394" s="233"/>
      <c r="U2394" s="233"/>
      <c r="V2394" s="320"/>
      <c r="W2394" s="320"/>
      <c r="X2394" s="229">
        <v>44799</v>
      </c>
      <c r="Y2394" s="229">
        <v>45163</v>
      </c>
    </row>
    <row r="2395" s="5" customFormat="1" customHeight="1" spans="1:25">
      <c r="A2395" s="307" t="s">
        <v>448</v>
      </c>
      <c r="B2395" s="307" t="s">
        <v>3037</v>
      </c>
      <c r="C2395" s="307" t="s">
        <v>63</v>
      </c>
      <c r="D2395" s="307" t="s">
        <v>3038</v>
      </c>
      <c r="E2395" s="23" t="s">
        <v>3039</v>
      </c>
      <c r="F2395" s="24" t="s">
        <v>3040</v>
      </c>
      <c r="G2395" s="24" t="s">
        <v>67</v>
      </c>
      <c r="H2395" s="309" t="s">
        <v>3115</v>
      </c>
      <c r="I2395" s="46" t="e">
        <f>VLOOKUP(H2395,'合同高级查询数据-4月返'!A:A,1,FALSE)</f>
        <v>#N/A</v>
      </c>
      <c r="J2395" s="24" t="s">
        <v>67</v>
      </c>
      <c r="K2395" s="24" t="s">
        <v>3116</v>
      </c>
      <c r="L2395" s="312"/>
      <c r="M2395" s="312" t="s">
        <v>3184</v>
      </c>
      <c r="N2395" s="313">
        <v>43703</v>
      </c>
      <c r="O2395" s="328"/>
      <c r="P2395" s="325">
        <v>390</v>
      </c>
      <c r="Q2395" s="325">
        <v>20</v>
      </c>
      <c r="R2395" s="117">
        <f t="shared" si="68"/>
        <v>7800</v>
      </c>
      <c r="S2395" s="319">
        <v>202304</v>
      </c>
      <c r="T2395" s="233"/>
      <c r="U2395" s="233"/>
      <c r="V2395" s="320"/>
      <c r="W2395" s="320"/>
      <c r="X2395" s="229">
        <v>44799</v>
      </c>
      <c r="Y2395" s="229">
        <v>45163</v>
      </c>
    </row>
    <row r="2396" s="5" customFormat="1" customHeight="1" spans="1:25">
      <c r="A2396" s="307" t="s">
        <v>448</v>
      </c>
      <c r="B2396" s="307" t="s">
        <v>3037</v>
      </c>
      <c r="C2396" s="307" t="s">
        <v>63</v>
      </c>
      <c r="D2396" s="307" t="s">
        <v>3038</v>
      </c>
      <c r="E2396" s="23" t="s">
        <v>3039</v>
      </c>
      <c r="F2396" s="24" t="s">
        <v>3040</v>
      </c>
      <c r="G2396" s="24" t="s">
        <v>67</v>
      </c>
      <c r="H2396" s="309" t="s">
        <v>3115</v>
      </c>
      <c r="I2396" s="46" t="e">
        <f>VLOOKUP(H2396,'合同高级查询数据-4月返'!A:A,1,FALSE)</f>
        <v>#N/A</v>
      </c>
      <c r="J2396" s="24" t="s">
        <v>67</v>
      </c>
      <c r="K2396" s="24" t="s">
        <v>3116</v>
      </c>
      <c r="L2396" s="312"/>
      <c r="M2396" s="312" t="s">
        <v>3184</v>
      </c>
      <c r="N2396" s="313">
        <v>43703</v>
      </c>
      <c r="O2396" s="328"/>
      <c r="P2396" s="325">
        <v>390</v>
      </c>
      <c r="Q2396" s="325">
        <v>14</v>
      </c>
      <c r="R2396" s="117">
        <f t="shared" si="68"/>
        <v>5460</v>
      </c>
      <c r="S2396" s="319">
        <v>202304</v>
      </c>
      <c r="T2396" s="233"/>
      <c r="U2396" s="233"/>
      <c r="V2396" s="320"/>
      <c r="W2396" s="320"/>
      <c r="X2396" s="229">
        <v>44799</v>
      </c>
      <c r="Y2396" s="229">
        <v>45163</v>
      </c>
    </row>
    <row r="2397" s="5" customFormat="1" customHeight="1" spans="1:25">
      <c r="A2397" s="307" t="s">
        <v>448</v>
      </c>
      <c r="B2397" s="307" t="s">
        <v>3037</v>
      </c>
      <c r="C2397" s="307" t="s">
        <v>63</v>
      </c>
      <c r="D2397" s="307" t="s">
        <v>3038</v>
      </c>
      <c r="E2397" s="23" t="s">
        <v>3039</v>
      </c>
      <c r="F2397" s="24" t="s">
        <v>3040</v>
      </c>
      <c r="G2397" s="24" t="s">
        <v>67</v>
      </c>
      <c r="H2397" s="309" t="s">
        <v>3115</v>
      </c>
      <c r="I2397" s="46" t="e">
        <f>VLOOKUP(H2397,'合同高级查询数据-4月返'!A:A,1,FALSE)</f>
        <v>#N/A</v>
      </c>
      <c r="J2397" s="24" t="s">
        <v>67</v>
      </c>
      <c r="K2397" s="24" t="s">
        <v>3116</v>
      </c>
      <c r="L2397" s="312"/>
      <c r="M2397" s="312" t="s">
        <v>3185</v>
      </c>
      <c r="N2397" s="313">
        <v>43703</v>
      </c>
      <c r="O2397" s="328"/>
      <c r="P2397" s="325">
        <v>390</v>
      </c>
      <c r="Q2397" s="325">
        <v>70</v>
      </c>
      <c r="R2397" s="117">
        <f t="shared" si="68"/>
        <v>27300</v>
      </c>
      <c r="S2397" s="319">
        <v>202304</v>
      </c>
      <c r="T2397" s="233"/>
      <c r="U2397" s="233"/>
      <c r="V2397" s="320"/>
      <c r="W2397" s="320"/>
      <c r="X2397" s="229">
        <v>44799</v>
      </c>
      <c r="Y2397" s="229">
        <v>45163</v>
      </c>
    </row>
    <row r="2398" s="5" customFormat="1" customHeight="1" spans="1:25">
      <c r="A2398" s="307" t="s">
        <v>448</v>
      </c>
      <c r="B2398" s="307" t="s">
        <v>3037</v>
      </c>
      <c r="C2398" s="307" t="s">
        <v>63</v>
      </c>
      <c r="D2398" s="307" t="s">
        <v>3038</v>
      </c>
      <c r="E2398" s="23" t="s">
        <v>3039</v>
      </c>
      <c r="F2398" s="24" t="s">
        <v>3040</v>
      </c>
      <c r="G2398" s="24" t="s">
        <v>67</v>
      </c>
      <c r="H2398" s="309" t="s">
        <v>3115</v>
      </c>
      <c r="I2398" s="46" t="e">
        <f>VLOOKUP(H2398,'合同高级查询数据-4月返'!A:A,1,FALSE)</f>
        <v>#N/A</v>
      </c>
      <c r="J2398" s="24" t="s">
        <v>67</v>
      </c>
      <c r="K2398" s="24" t="s">
        <v>3116</v>
      </c>
      <c r="L2398" s="312"/>
      <c r="M2398" s="312" t="s">
        <v>3185</v>
      </c>
      <c r="N2398" s="313">
        <v>43703</v>
      </c>
      <c r="O2398" s="328"/>
      <c r="P2398" s="325">
        <v>390</v>
      </c>
      <c r="Q2398" s="325">
        <v>71</v>
      </c>
      <c r="R2398" s="117">
        <f t="shared" si="68"/>
        <v>27690</v>
      </c>
      <c r="S2398" s="319">
        <v>202304</v>
      </c>
      <c r="T2398" s="233"/>
      <c r="U2398" s="233"/>
      <c r="V2398" s="320"/>
      <c r="W2398" s="320"/>
      <c r="X2398" s="229">
        <v>44799</v>
      </c>
      <c r="Y2398" s="229">
        <v>45163</v>
      </c>
    </row>
    <row r="2399" s="5" customFormat="1" customHeight="1" spans="1:25">
      <c r="A2399" s="307" t="s">
        <v>448</v>
      </c>
      <c r="B2399" s="307" t="s">
        <v>3037</v>
      </c>
      <c r="C2399" s="307" t="s">
        <v>63</v>
      </c>
      <c r="D2399" s="307" t="s">
        <v>3038</v>
      </c>
      <c r="E2399" s="23" t="s">
        <v>3039</v>
      </c>
      <c r="F2399" s="24" t="s">
        <v>3040</v>
      </c>
      <c r="G2399" s="24" t="s">
        <v>31</v>
      </c>
      <c r="H2399" s="327" t="s">
        <v>3045</v>
      </c>
      <c r="I2399" s="46" t="e">
        <f>VLOOKUP(H2399,'合同高级查询数据-4月返'!A:A,1,FALSE)</f>
        <v>#N/A</v>
      </c>
      <c r="J2399" s="329" t="s">
        <v>3186</v>
      </c>
      <c r="K2399" s="24"/>
      <c r="L2399" s="179"/>
      <c r="M2399" s="312"/>
      <c r="N2399" s="313">
        <v>43862</v>
      </c>
      <c r="O2399" s="24"/>
      <c r="P2399" s="325">
        <v>50</v>
      </c>
      <c r="Q2399" s="325">
        <v>512</v>
      </c>
      <c r="R2399" s="117">
        <f t="shared" si="68"/>
        <v>25600</v>
      </c>
      <c r="S2399" s="319">
        <v>202304</v>
      </c>
      <c r="T2399" s="233"/>
      <c r="U2399" s="233"/>
      <c r="V2399" s="320"/>
      <c r="W2399" s="320"/>
      <c r="X2399" s="229">
        <v>44743</v>
      </c>
      <c r="Y2399" s="229">
        <v>45107</v>
      </c>
    </row>
    <row r="2400" s="5" customFormat="1" customHeight="1" spans="1:25">
      <c r="A2400" s="307" t="s">
        <v>448</v>
      </c>
      <c r="B2400" s="307" t="s">
        <v>3037</v>
      </c>
      <c r="C2400" s="307" t="s">
        <v>63</v>
      </c>
      <c r="D2400" s="307" t="s">
        <v>3038</v>
      </c>
      <c r="E2400" s="23" t="s">
        <v>3039</v>
      </c>
      <c r="F2400" s="24" t="s">
        <v>3040</v>
      </c>
      <c r="G2400" s="24" t="s">
        <v>31</v>
      </c>
      <c r="H2400" s="327" t="s">
        <v>3045</v>
      </c>
      <c r="I2400" s="46" t="e">
        <f>VLOOKUP(H2400,'合同高级查询数据-4月返'!A:A,1,FALSE)</f>
        <v>#N/A</v>
      </c>
      <c r="J2400" s="329" t="s">
        <v>3186</v>
      </c>
      <c r="K2400" s="24"/>
      <c r="L2400" s="179"/>
      <c r="M2400" s="312"/>
      <c r="N2400" s="313">
        <v>44015</v>
      </c>
      <c r="O2400" s="24"/>
      <c r="P2400" s="325">
        <v>50</v>
      </c>
      <c r="Q2400" s="325">
        <v>1024</v>
      </c>
      <c r="R2400" s="117">
        <f t="shared" si="68"/>
        <v>51200</v>
      </c>
      <c r="S2400" s="319">
        <v>202304</v>
      </c>
      <c r="T2400" s="233" t="s">
        <v>3187</v>
      </c>
      <c r="U2400" s="233"/>
      <c r="V2400" s="320"/>
      <c r="W2400" s="320"/>
      <c r="X2400" s="229">
        <v>44743</v>
      </c>
      <c r="Y2400" s="229">
        <v>45107</v>
      </c>
    </row>
    <row r="2401" s="5" customFormat="1" customHeight="1" spans="1:25">
      <c r="A2401" s="307" t="s">
        <v>448</v>
      </c>
      <c r="B2401" s="307" t="s">
        <v>3037</v>
      </c>
      <c r="C2401" s="307" t="s">
        <v>63</v>
      </c>
      <c r="D2401" s="307" t="s">
        <v>3038</v>
      </c>
      <c r="E2401" s="23" t="s">
        <v>3039</v>
      </c>
      <c r="F2401" s="24" t="s">
        <v>3040</v>
      </c>
      <c r="G2401" s="24" t="s">
        <v>31</v>
      </c>
      <c r="H2401" s="327" t="s">
        <v>3188</v>
      </c>
      <c r="I2401" s="46" t="e">
        <f>VLOOKUP(H2401,'合同高级查询数据-4月返'!A:A,1,FALSE)</f>
        <v>#N/A</v>
      </c>
      <c r="J2401" s="309" t="s">
        <v>3189</v>
      </c>
      <c r="K2401" s="308" t="s">
        <v>3106</v>
      </c>
      <c r="L2401" s="179"/>
      <c r="M2401" s="312"/>
      <c r="N2401" s="313">
        <v>44043</v>
      </c>
      <c r="O2401" s="24"/>
      <c r="P2401" s="325">
        <v>40</v>
      </c>
      <c r="Q2401" s="325">
        <v>32</v>
      </c>
      <c r="R2401" s="117">
        <f>ROUND(P2401*Q2401,2)</f>
        <v>1280</v>
      </c>
      <c r="S2401" s="319">
        <v>202304</v>
      </c>
      <c r="T2401" s="233" t="s">
        <v>3190</v>
      </c>
      <c r="U2401" s="233"/>
      <c r="V2401" s="320"/>
      <c r="W2401" s="320"/>
      <c r="X2401" s="229">
        <v>44013</v>
      </c>
      <c r="Y2401" s="229">
        <v>45107</v>
      </c>
    </row>
    <row r="2402" s="3" customFormat="1" customHeight="1" spans="1:25">
      <c r="A2402" s="310" t="s">
        <v>448</v>
      </c>
      <c r="B2402" s="310" t="s">
        <v>3037</v>
      </c>
      <c r="C2402" s="310" t="s">
        <v>63</v>
      </c>
      <c r="D2402" s="310" t="s">
        <v>3038</v>
      </c>
      <c r="E2402" s="13" t="s">
        <v>3039</v>
      </c>
      <c r="F2402" s="11" t="s">
        <v>3040</v>
      </c>
      <c r="G2402" s="11" t="s">
        <v>31</v>
      </c>
      <c r="H2402" s="140" t="s">
        <v>3095</v>
      </c>
      <c r="I2402" s="30" t="e">
        <f>VLOOKUP(H2402,'合同高级查询数据-4月返'!A:A,1,FALSE)</f>
        <v>#N/A</v>
      </c>
      <c r="J2402" s="140" t="s">
        <v>3189</v>
      </c>
      <c r="K2402" s="311" t="s">
        <v>3103</v>
      </c>
      <c r="L2402" s="174"/>
      <c r="M2402" s="315"/>
      <c r="N2402" s="316">
        <v>44043</v>
      </c>
      <c r="O2402" s="11"/>
      <c r="P2402" s="317">
        <v>20</v>
      </c>
      <c r="Q2402" s="324">
        <v>256</v>
      </c>
      <c r="R2402" s="126">
        <f t="shared" ref="R2402:R2403" si="69">ROUND(P2402*Q2402,2)</f>
        <v>5120</v>
      </c>
      <c r="S2402" s="322">
        <v>202304</v>
      </c>
      <c r="T2402" s="232" t="s">
        <v>3191</v>
      </c>
      <c r="U2402" s="232"/>
      <c r="V2402" s="323"/>
      <c r="W2402" s="323"/>
      <c r="X2402" s="193">
        <v>44896</v>
      </c>
      <c r="Y2402" s="193"/>
    </row>
    <row r="2403" s="3" customFormat="1" customHeight="1" spans="1:25">
      <c r="A2403" s="310" t="s">
        <v>448</v>
      </c>
      <c r="B2403" s="310" t="s">
        <v>3037</v>
      </c>
      <c r="C2403" s="310" t="s">
        <v>63</v>
      </c>
      <c r="D2403" s="310" t="s">
        <v>3038</v>
      </c>
      <c r="E2403" s="13" t="s">
        <v>3039</v>
      </c>
      <c r="F2403" s="11" t="s">
        <v>3040</v>
      </c>
      <c r="G2403" s="11" t="s">
        <v>31</v>
      </c>
      <c r="H2403" s="140" t="s">
        <v>3095</v>
      </c>
      <c r="I2403" s="30" t="e">
        <f>VLOOKUP(H2403,'合同高级查询数据-4月返'!A:A,1,FALSE)</f>
        <v>#N/A</v>
      </c>
      <c r="J2403" s="140" t="s">
        <v>3092</v>
      </c>
      <c r="K2403" s="311" t="s">
        <v>3192</v>
      </c>
      <c r="L2403" s="330" t="s">
        <v>3193</v>
      </c>
      <c r="M2403" s="315"/>
      <c r="N2403" s="316">
        <v>44682</v>
      </c>
      <c r="O2403" s="11"/>
      <c r="P2403" s="324">
        <v>0</v>
      </c>
      <c r="Q2403" s="324">
        <v>768</v>
      </c>
      <c r="R2403" s="126">
        <f t="shared" si="69"/>
        <v>0</v>
      </c>
      <c r="S2403" s="322">
        <v>202304</v>
      </c>
      <c r="T2403" s="232" t="s">
        <v>3194</v>
      </c>
      <c r="U2403" s="232"/>
      <c r="V2403" s="323"/>
      <c r="W2403" s="323"/>
      <c r="X2403" s="193">
        <v>44896</v>
      </c>
      <c r="Y2403" s="193"/>
    </row>
    <row r="2404" s="3" customFormat="1" customHeight="1" spans="1:25">
      <c r="A2404" s="310" t="s">
        <v>448</v>
      </c>
      <c r="B2404" s="310" t="s">
        <v>3037</v>
      </c>
      <c r="C2404" s="310" t="s">
        <v>63</v>
      </c>
      <c r="D2404" s="310" t="s">
        <v>3038</v>
      </c>
      <c r="E2404" s="13" t="s">
        <v>3039</v>
      </c>
      <c r="F2404" s="11" t="s">
        <v>3040</v>
      </c>
      <c r="G2404" s="11" t="s">
        <v>31</v>
      </c>
      <c r="H2404" s="140" t="s">
        <v>3095</v>
      </c>
      <c r="I2404" s="30" t="e">
        <f>VLOOKUP(H2404,'合同高级查询数据-4月返'!A:A,1,FALSE)</f>
        <v>#N/A</v>
      </c>
      <c r="J2404" s="140" t="s">
        <v>3092</v>
      </c>
      <c r="K2404" s="311" t="s">
        <v>3192</v>
      </c>
      <c r="L2404" s="330" t="s">
        <v>3193</v>
      </c>
      <c r="M2404" s="315"/>
      <c r="N2404" s="316">
        <v>44682</v>
      </c>
      <c r="O2404" s="11"/>
      <c r="P2404" s="317">
        <v>20</v>
      </c>
      <c r="Q2404" s="324">
        <v>1280</v>
      </c>
      <c r="R2404" s="126">
        <f t="shared" si="68"/>
        <v>25600</v>
      </c>
      <c r="S2404" s="322">
        <v>202304</v>
      </c>
      <c r="T2404" s="232" t="s">
        <v>3194</v>
      </c>
      <c r="U2404" s="232"/>
      <c r="V2404" s="323"/>
      <c r="W2404" s="323"/>
      <c r="X2404" s="193">
        <v>44896</v>
      </c>
      <c r="Y2404" s="193"/>
    </row>
    <row r="2405" s="3" customFormat="1" customHeight="1" spans="1:25">
      <c r="A2405" s="310" t="s">
        <v>448</v>
      </c>
      <c r="B2405" s="310" t="s">
        <v>3037</v>
      </c>
      <c r="C2405" s="310" t="s">
        <v>63</v>
      </c>
      <c r="D2405" s="310" t="s">
        <v>3038</v>
      </c>
      <c r="E2405" s="13" t="s">
        <v>3039</v>
      </c>
      <c r="F2405" s="11" t="s">
        <v>3040</v>
      </c>
      <c r="G2405" s="311" t="s">
        <v>346</v>
      </c>
      <c r="H2405" s="140" t="s">
        <v>3108</v>
      </c>
      <c r="I2405" s="30" t="e">
        <f>VLOOKUP(H2405,'合同高级查询数据-4月返'!A:A,1,FALSE)</f>
        <v>#N/A</v>
      </c>
      <c r="J2405" s="140" t="s">
        <v>346</v>
      </c>
      <c r="K2405" s="310" t="s">
        <v>3195</v>
      </c>
      <c r="L2405" s="35"/>
      <c r="M2405" s="315" t="s">
        <v>3196</v>
      </c>
      <c r="N2405" s="316">
        <v>43983</v>
      </c>
      <c r="O2405" s="11" t="s">
        <v>353</v>
      </c>
      <c r="P2405" s="324">
        <v>700</v>
      </c>
      <c r="Q2405" s="324">
        <v>1</v>
      </c>
      <c r="R2405" s="126">
        <f t="shared" si="68"/>
        <v>700</v>
      </c>
      <c r="S2405" s="322">
        <v>202304</v>
      </c>
      <c r="T2405" s="232" t="s">
        <v>3197</v>
      </c>
      <c r="U2405" s="232"/>
      <c r="V2405" s="323"/>
      <c r="W2405" s="323"/>
      <c r="X2405" s="326">
        <v>45017</v>
      </c>
      <c r="Y2405" s="193"/>
    </row>
    <row r="2406" s="3" customFormat="1" customHeight="1" spans="1:25">
      <c r="A2406" s="310" t="s">
        <v>448</v>
      </c>
      <c r="B2406" s="310" t="s">
        <v>3037</v>
      </c>
      <c r="C2406" s="310" t="s">
        <v>63</v>
      </c>
      <c r="D2406" s="310" t="s">
        <v>3038</v>
      </c>
      <c r="E2406" s="13" t="s">
        <v>3039</v>
      </c>
      <c r="F2406" s="11" t="s">
        <v>3040</v>
      </c>
      <c r="G2406" s="311" t="s">
        <v>346</v>
      </c>
      <c r="H2406" s="140" t="s">
        <v>3108</v>
      </c>
      <c r="I2406" s="30" t="e">
        <f>VLOOKUP(H2406,'合同高级查询数据-4月返'!A:A,1,FALSE)</f>
        <v>#N/A</v>
      </c>
      <c r="J2406" s="140" t="s">
        <v>346</v>
      </c>
      <c r="K2406" s="310" t="s">
        <v>3195</v>
      </c>
      <c r="L2406" s="35"/>
      <c r="M2406" s="315" t="s">
        <v>3196</v>
      </c>
      <c r="N2406" s="316">
        <v>44781</v>
      </c>
      <c r="O2406" s="11" t="s">
        <v>353</v>
      </c>
      <c r="P2406" s="324">
        <v>700</v>
      </c>
      <c r="Q2406" s="324">
        <v>-1</v>
      </c>
      <c r="R2406" s="126">
        <f t="shared" si="68"/>
        <v>-700</v>
      </c>
      <c r="S2406" s="322">
        <v>202304</v>
      </c>
      <c r="T2406" s="232" t="s">
        <v>3198</v>
      </c>
      <c r="U2406" s="232"/>
      <c r="V2406" s="323"/>
      <c r="W2406" s="323"/>
      <c r="X2406" s="326">
        <v>45017</v>
      </c>
      <c r="Y2406" s="193"/>
    </row>
    <row r="2407" s="3" customFormat="1" customHeight="1" spans="1:25">
      <c r="A2407" s="310" t="s">
        <v>448</v>
      </c>
      <c r="B2407" s="310" t="s">
        <v>3037</v>
      </c>
      <c r="C2407" s="310" t="s">
        <v>63</v>
      </c>
      <c r="D2407" s="310" t="s">
        <v>3038</v>
      </c>
      <c r="E2407" s="13" t="s">
        <v>3039</v>
      </c>
      <c r="F2407" s="11" t="s">
        <v>3040</v>
      </c>
      <c r="G2407" s="311" t="s">
        <v>346</v>
      </c>
      <c r="H2407" s="140" t="s">
        <v>3108</v>
      </c>
      <c r="I2407" s="30" t="e">
        <f>VLOOKUP(H2407,'合同高级查询数据-4月返'!A:A,1,FALSE)</f>
        <v>#N/A</v>
      </c>
      <c r="J2407" s="140" t="s">
        <v>346</v>
      </c>
      <c r="K2407" s="310" t="s">
        <v>3199</v>
      </c>
      <c r="L2407" s="35"/>
      <c r="M2407" s="315" t="s">
        <v>3200</v>
      </c>
      <c r="N2407" s="316">
        <v>44202</v>
      </c>
      <c r="O2407" s="11" t="s">
        <v>356</v>
      </c>
      <c r="P2407" s="324">
        <v>1353.8</v>
      </c>
      <c r="Q2407" s="324">
        <v>1</v>
      </c>
      <c r="R2407" s="126">
        <f>ROUND(P2407*Q2407,2)</f>
        <v>1353.8</v>
      </c>
      <c r="S2407" s="322">
        <v>202304</v>
      </c>
      <c r="T2407" s="232" t="s">
        <v>3201</v>
      </c>
      <c r="U2407" s="232"/>
      <c r="V2407" s="323"/>
      <c r="W2407" s="323"/>
      <c r="X2407" s="326">
        <v>45017</v>
      </c>
      <c r="Y2407" s="193"/>
    </row>
    <row r="2408" s="3" customFormat="1" customHeight="1" spans="1:25">
      <c r="A2408" s="310" t="s">
        <v>448</v>
      </c>
      <c r="B2408" s="310" t="s">
        <v>3037</v>
      </c>
      <c r="C2408" s="310" t="s">
        <v>63</v>
      </c>
      <c r="D2408" s="310" t="s">
        <v>3038</v>
      </c>
      <c r="E2408" s="13" t="s">
        <v>3039</v>
      </c>
      <c r="F2408" s="11" t="s">
        <v>3040</v>
      </c>
      <c r="G2408" s="311" t="s">
        <v>346</v>
      </c>
      <c r="H2408" s="140" t="s">
        <v>3108</v>
      </c>
      <c r="I2408" s="30" t="e">
        <f>VLOOKUP(H2408,'合同高级查询数据-4月返'!A:A,1,FALSE)</f>
        <v>#N/A</v>
      </c>
      <c r="J2408" s="140" t="s">
        <v>346</v>
      </c>
      <c r="K2408" s="310" t="s">
        <v>3202</v>
      </c>
      <c r="L2408" s="35"/>
      <c r="M2408" s="315" t="s">
        <v>3203</v>
      </c>
      <c r="N2408" s="316">
        <v>43983</v>
      </c>
      <c r="O2408" s="11" t="s">
        <v>356</v>
      </c>
      <c r="P2408" s="324">
        <v>1353.8</v>
      </c>
      <c r="Q2408" s="324">
        <v>1</v>
      </c>
      <c r="R2408" s="126">
        <f t="shared" si="68"/>
        <v>1353.8</v>
      </c>
      <c r="S2408" s="322">
        <v>202304</v>
      </c>
      <c r="T2408" s="232" t="s">
        <v>3204</v>
      </c>
      <c r="U2408" s="232"/>
      <c r="V2408" s="323"/>
      <c r="W2408" s="323"/>
      <c r="X2408" s="326">
        <v>45017</v>
      </c>
      <c r="Y2408" s="193"/>
    </row>
    <row r="2409" s="3" customFormat="1" customHeight="1" spans="1:25">
      <c r="A2409" s="310" t="s">
        <v>448</v>
      </c>
      <c r="B2409" s="310" t="s">
        <v>3037</v>
      </c>
      <c r="C2409" s="310" t="s">
        <v>63</v>
      </c>
      <c r="D2409" s="310" t="s">
        <v>3038</v>
      </c>
      <c r="E2409" s="13" t="s">
        <v>3039</v>
      </c>
      <c r="F2409" s="11" t="s">
        <v>3040</v>
      </c>
      <c r="G2409" s="311" t="s">
        <v>346</v>
      </c>
      <c r="H2409" s="140" t="s">
        <v>3108</v>
      </c>
      <c r="I2409" s="30" t="e">
        <f>VLOOKUP(H2409,'合同高级查询数据-4月返'!A:A,1,FALSE)</f>
        <v>#N/A</v>
      </c>
      <c r="J2409" s="140" t="s">
        <v>346</v>
      </c>
      <c r="K2409" s="310" t="s">
        <v>3195</v>
      </c>
      <c r="L2409" s="35"/>
      <c r="M2409" s="315" t="s">
        <v>3205</v>
      </c>
      <c r="N2409" s="316">
        <v>43983</v>
      </c>
      <c r="O2409" s="11" t="s">
        <v>356</v>
      </c>
      <c r="P2409" s="324">
        <v>1353.8</v>
      </c>
      <c r="Q2409" s="324">
        <v>1</v>
      </c>
      <c r="R2409" s="126">
        <f t="shared" si="68"/>
        <v>1353.8</v>
      </c>
      <c r="S2409" s="322">
        <v>202304</v>
      </c>
      <c r="T2409" s="232" t="s">
        <v>3206</v>
      </c>
      <c r="U2409" s="232"/>
      <c r="V2409" s="323"/>
      <c r="W2409" s="323"/>
      <c r="X2409" s="326">
        <v>45017</v>
      </c>
      <c r="Y2409" s="193"/>
    </row>
    <row r="2410" s="3" customFormat="1" customHeight="1" spans="1:25">
      <c r="A2410" s="310" t="s">
        <v>448</v>
      </c>
      <c r="B2410" s="310" t="s">
        <v>3037</v>
      </c>
      <c r="C2410" s="310" t="s">
        <v>63</v>
      </c>
      <c r="D2410" s="310" t="s">
        <v>3038</v>
      </c>
      <c r="E2410" s="13" t="s">
        <v>3039</v>
      </c>
      <c r="F2410" s="11" t="s">
        <v>3040</v>
      </c>
      <c r="G2410" s="311" t="s">
        <v>346</v>
      </c>
      <c r="H2410" s="140" t="s">
        <v>3108</v>
      </c>
      <c r="I2410" s="30" t="e">
        <f>VLOOKUP(H2410,'合同高级查询数据-4月返'!A:A,1,FALSE)</f>
        <v>#N/A</v>
      </c>
      <c r="J2410" s="140" t="s">
        <v>346</v>
      </c>
      <c r="K2410" s="310" t="s">
        <v>3207</v>
      </c>
      <c r="L2410" s="35"/>
      <c r="M2410" s="315" t="s">
        <v>3208</v>
      </c>
      <c r="N2410" s="316">
        <v>43983</v>
      </c>
      <c r="O2410" s="11" t="s">
        <v>353</v>
      </c>
      <c r="P2410" s="324">
        <v>700</v>
      </c>
      <c r="Q2410" s="324">
        <v>1</v>
      </c>
      <c r="R2410" s="126">
        <f t="shared" si="68"/>
        <v>700</v>
      </c>
      <c r="S2410" s="322">
        <v>202304</v>
      </c>
      <c r="T2410" s="232" t="s">
        <v>3209</v>
      </c>
      <c r="U2410" s="232"/>
      <c r="V2410" s="323"/>
      <c r="W2410" s="323"/>
      <c r="X2410" s="326">
        <v>45017</v>
      </c>
      <c r="Y2410" s="193"/>
    </row>
    <row r="2411" s="3" customFormat="1" customHeight="1" spans="1:25">
      <c r="A2411" s="310" t="s">
        <v>448</v>
      </c>
      <c r="B2411" s="310" t="s">
        <v>3037</v>
      </c>
      <c r="C2411" s="310" t="s">
        <v>63</v>
      </c>
      <c r="D2411" s="310" t="s">
        <v>3038</v>
      </c>
      <c r="E2411" s="13" t="s">
        <v>3039</v>
      </c>
      <c r="F2411" s="11" t="s">
        <v>3040</v>
      </c>
      <c r="G2411" s="311" t="s">
        <v>346</v>
      </c>
      <c r="H2411" s="140" t="s">
        <v>3108</v>
      </c>
      <c r="I2411" s="30" t="e">
        <f>VLOOKUP(H2411,'合同高级查询数据-4月返'!A:A,1,FALSE)</f>
        <v>#N/A</v>
      </c>
      <c r="J2411" s="140" t="s">
        <v>346</v>
      </c>
      <c r="K2411" s="310" t="s">
        <v>3210</v>
      </c>
      <c r="L2411" s="35"/>
      <c r="M2411" s="315" t="s">
        <v>3211</v>
      </c>
      <c r="N2411" s="316">
        <v>43983</v>
      </c>
      <c r="O2411" s="11" t="s">
        <v>353</v>
      </c>
      <c r="P2411" s="324">
        <v>700</v>
      </c>
      <c r="Q2411" s="324">
        <v>1</v>
      </c>
      <c r="R2411" s="126">
        <f t="shared" si="68"/>
        <v>700</v>
      </c>
      <c r="S2411" s="322">
        <v>202304</v>
      </c>
      <c r="T2411" s="232" t="s">
        <v>3212</v>
      </c>
      <c r="U2411" s="232"/>
      <c r="V2411" s="323"/>
      <c r="W2411" s="323"/>
      <c r="X2411" s="326">
        <v>45017</v>
      </c>
      <c r="Y2411" s="193"/>
    </row>
    <row r="2412" s="3" customFormat="1" customHeight="1" spans="1:25">
      <c r="A2412" s="310" t="s">
        <v>448</v>
      </c>
      <c r="B2412" s="310" t="s">
        <v>3037</v>
      </c>
      <c r="C2412" s="310" t="s">
        <v>63</v>
      </c>
      <c r="D2412" s="310" t="s">
        <v>3038</v>
      </c>
      <c r="E2412" s="13" t="s">
        <v>3039</v>
      </c>
      <c r="F2412" s="11" t="s">
        <v>3040</v>
      </c>
      <c r="G2412" s="311" t="s">
        <v>346</v>
      </c>
      <c r="H2412" s="140" t="s">
        <v>3108</v>
      </c>
      <c r="I2412" s="30" t="e">
        <f>VLOOKUP(H2412,'合同高级查询数据-4月返'!A:A,1,FALSE)</f>
        <v>#N/A</v>
      </c>
      <c r="J2412" s="140" t="s">
        <v>346</v>
      </c>
      <c r="K2412" s="310" t="s">
        <v>3210</v>
      </c>
      <c r="L2412" s="35"/>
      <c r="M2412" s="315" t="s">
        <v>3211</v>
      </c>
      <c r="N2412" s="316">
        <v>44651</v>
      </c>
      <c r="O2412" s="11" t="s">
        <v>353</v>
      </c>
      <c r="P2412" s="324">
        <v>700</v>
      </c>
      <c r="Q2412" s="324">
        <v>-1</v>
      </c>
      <c r="R2412" s="126">
        <f t="shared" si="68"/>
        <v>-700</v>
      </c>
      <c r="S2412" s="322">
        <v>202304</v>
      </c>
      <c r="T2412" s="232" t="s">
        <v>3213</v>
      </c>
      <c r="U2412" s="232"/>
      <c r="V2412" s="323"/>
      <c r="W2412" s="323"/>
      <c r="X2412" s="326">
        <v>45017</v>
      </c>
      <c r="Y2412" s="193"/>
    </row>
    <row r="2413" s="3" customFormat="1" customHeight="1" spans="1:25">
      <c r="A2413" s="310" t="s">
        <v>448</v>
      </c>
      <c r="B2413" s="310" t="s">
        <v>3037</v>
      </c>
      <c r="C2413" s="310" t="s">
        <v>63</v>
      </c>
      <c r="D2413" s="310" t="s">
        <v>3038</v>
      </c>
      <c r="E2413" s="13" t="s">
        <v>3039</v>
      </c>
      <c r="F2413" s="11" t="s">
        <v>3040</v>
      </c>
      <c r="G2413" s="311" t="s">
        <v>346</v>
      </c>
      <c r="H2413" s="140" t="s">
        <v>3108</v>
      </c>
      <c r="I2413" s="30" t="e">
        <f>VLOOKUP(H2413,'合同高级查询数据-4月返'!A:A,1,FALSE)</f>
        <v>#N/A</v>
      </c>
      <c r="J2413" s="140" t="s">
        <v>346</v>
      </c>
      <c r="K2413" s="310" t="s">
        <v>3214</v>
      </c>
      <c r="L2413" s="35"/>
      <c r="M2413" s="315" t="s">
        <v>3215</v>
      </c>
      <c r="N2413" s="316">
        <v>43983</v>
      </c>
      <c r="O2413" s="11" t="s">
        <v>353</v>
      </c>
      <c r="P2413" s="324">
        <v>700</v>
      </c>
      <c r="Q2413" s="324">
        <v>1</v>
      </c>
      <c r="R2413" s="126">
        <f t="shared" si="68"/>
        <v>700</v>
      </c>
      <c r="S2413" s="322">
        <v>202304</v>
      </c>
      <c r="T2413" s="232" t="s">
        <v>3216</v>
      </c>
      <c r="U2413" s="232"/>
      <c r="V2413" s="323"/>
      <c r="W2413" s="323"/>
      <c r="X2413" s="326">
        <v>45017</v>
      </c>
      <c r="Y2413" s="193"/>
    </row>
    <row r="2414" s="3" customFormat="1" customHeight="1" spans="1:25">
      <c r="A2414" s="310" t="s">
        <v>448</v>
      </c>
      <c r="B2414" s="310" t="s">
        <v>3037</v>
      </c>
      <c r="C2414" s="310" t="s">
        <v>63</v>
      </c>
      <c r="D2414" s="310" t="s">
        <v>3038</v>
      </c>
      <c r="E2414" s="13" t="s">
        <v>3039</v>
      </c>
      <c r="F2414" s="11" t="s">
        <v>3040</v>
      </c>
      <c r="G2414" s="311" t="s">
        <v>346</v>
      </c>
      <c r="H2414" s="140" t="s">
        <v>3108</v>
      </c>
      <c r="I2414" s="30" t="e">
        <f>VLOOKUP(H2414,'合同高级查询数据-4月返'!A:A,1,FALSE)</f>
        <v>#N/A</v>
      </c>
      <c r="J2414" s="140" t="s">
        <v>346</v>
      </c>
      <c r="K2414" s="310" t="s">
        <v>3217</v>
      </c>
      <c r="L2414" s="35"/>
      <c r="M2414" s="315" t="s">
        <v>3218</v>
      </c>
      <c r="N2414" s="316">
        <v>44586</v>
      </c>
      <c r="O2414" s="11" t="s">
        <v>1524</v>
      </c>
      <c r="P2414" s="324">
        <v>2120</v>
      </c>
      <c r="Q2414" s="324">
        <v>1</v>
      </c>
      <c r="R2414" s="126">
        <f t="shared" si="68"/>
        <v>2120</v>
      </c>
      <c r="S2414" s="322">
        <v>202304</v>
      </c>
      <c r="T2414" s="232" t="s">
        <v>3219</v>
      </c>
      <c r="U2414" s="232"/>
      <c r="V2414" s="323"/>
      <c r="W2414" s="323"/>
      <c r="X2414" s="326">
        <v>45017</v>
      </c>
      <c r="Y2414" s="193"/>
    </row>
    <row r="2415" s="3" customFormat="1" customHeight="1" spans="1:25">
      <c r="A2415" s="310" t="s">
        <v>448</v>
      </c>
      <c r="B2415" s="310" t="s">
        <v>3037</v>
      </c>
      <c r="C2415" s="310" t="s">
        <v>63</v>
      </c>
      <c r="D2415" s="310" t="s">
        <v>3038</v>
      </c>
      <c r="E2415" s="13" t="s">
        <v>3039</v>
      </c>
      <c r="F2415" s="11" t="s">
        <v>3040</v>
      </c>
      <c r="G2415" s="311" t="s">
        <v>346</v>
      </c>
      <c r="H2415" s="140" t="s">
        <v>3108</v>
      </c>
      <c r="I2415" s="30" t="e">
        <f>VLOOKUP(H2415,'合同高级查询数据-4月返'!A:A,1,FALSE)</f>
        <v>#N/A</v>
      </c>
      <c r="J2415" s="140" t="s">
        <v>346</v>
      </c>
      <c r="K2415" s="310" t="s">
        <v>3220</v>
      </c>
      <c r="L2415" s="35"/>
      <c r="M2415" s="315" t="s">
        <v>3221</v>
      </c>
      <c r="N2415" s="316">
        <v>43983</v>
      </c>
      <c r="O2415" s="11" t="s">
        <v>356</v>
      </c>
      <c r="P2415" s="324">
        <v>6569.2</v>
      </c>
      <c r="Q2415" s="324">
        <v>1</v>
      </c>
      <c r="R2415" s="126">
        <f t="shared" si="68"/>
        <v>6569.2</v>
      </c>
      <c r="S2415" s="322">
        <v>202304</v>
      </c>
      <c r="T2415" s="232" t="s">
        <v>3222</v>
      </c>
      <c r="U2415" s="232"/>
      <c r="V2415" s="323"/>
      <c r="W2415" s="323"/>
      <c r="X2415" s="326">
        <v>45017</v>
      </c>
      <c r="Y2415" s="193"/>
    </row>
    <row r="2416" s="3" customFormat="1" customHeight="1" spans="1:25">
      <c r="A2416" s="310" t="s">
        <v>448</v>
      </c>
      <c r="B2416" s="310" t="s">
        <v>3037</v>
      </c>
      <c r="C2416" s="310" t="s">
        <v>63</v>
      </c>
      <c r="D2416" s="310" t="s">
        <v>3038</v>
      </c>
      <c r="E2416" s="13" t="s">
        <v>3039</v>
      </c>
      <c r="F2416" s="11" t="s">
        <v>3040</v>
      </c>
      <c r="G2416" s="311" t="s">
        <v>346</v>
      </c>
      <c r="H2416" s="140" t="s">
        <v>3108</v>
      </c>
      <c r="I2416" s="30" t="e">
        <f>VLOOKUP(H2416,'合同高级查询数据-4月返'!A:A,1,FALSE)</f>
        <v>#N/A</v>
      </c>
      <c r="J2416" s="140" t="s">
        <v>346</v>
      </c>
      <c r="K2416" s="310" t="s">
        <v>3223</v>
      </c>
      <c r="L2416" s="35"/>
      <c r="M2416" s="315" t="s">
        <v>3224</v>
      </c>
      <c r="N2416" s="316">
        <v>43983</v>
      </c>
      <c r="O2416" s="11" t="s">
        <v>353</v>
      </c>
      <c r="P2416" s="324">
        <v>3000</v>
      </c>
      <c r="Q2416" s="324">
        <v>1</v>
      </c>
      <c r="R2416" s="126">
        <f t="shared" si="68"/>
        <v>3000</v>
      </c>
      <c r="S2416" s="322">
        <v>202304</v>
      </c>
      <c r="T2416" s="232" t="s">
        <v>3225</v>
      </c>
      <c r="U2416" s="232"/>
      <c r="V2416" s="323"/>
      <c r="W2416" s="323"/>
      <c r="X2416" s="326">
        <v>45017</v>
      </c>
      <c r="Y2416" s="193"/>
    </row>
    <row r="2417" s="3" customFormat="1" customHeight="1" spans="1:25">
      <c r="A2417" s="310" t="s">
        <v>448</v>
      </c>
      <c r="B2417" s="310" t="s">
        <v>3037</v>
      </c>
      <c r="C2417" s="310" t="s">
        <v>63</v>
      </c>
      <c r="D2417" s="310" t="s">
        <v>3038</v>
      </c>
      <c r="E2417" s="13" t="s">
        <v>3039</v>
      </c>
      <c r="F2417" s="11" t="s">
        <v>3040</v>
      </c>
      <c r="G2417" s="311" t="s">
        <v>346</v>
      </c>
      <c r="H2417" s="140" t="s">
        <v>3108</v>
      </c>
      <c r="I2417" s="30" t="e">
        <f>VLOOKUP(H2417,'合同高级查询数据-4月返'!A:A,1,FALSE)</f>
        <v>#N/A</v>
      </c>
      <c r="J2417" s="140" t="s">
        <v>346</v>
      </c>
      <c r="K2417" s="310" t="s">
        <v>3223</v>
      </c>
      <c r="L2417" s="35"/>
      <c r="M2417" s="315" t="s">
        <v>3224</v>
      </c>
      <c r="N2417" s="316">
        <v>44104</v>
      </c>
      <c r="O2417" s="11" t="s">
        <v>353</v>
      </c>
      <c r="P2417" s="324">
        <v>3000</v>
      </c>
      <c r="Q2417" s="324">
        <v>-1</v>
      </c>
      <c r="R2417" s="126">
        <f t="shared" si="68"/>
        <v>-3000</v>
      </c>
      <c r="S2417" s="322">
        <v>202304</v>
      </c>
      <c r="T2417" s="232" t="s">
        <v>3226</v>
      </c>
      <c r="U2417" s="232"/>
      <c r="V2417" s="323"/>
      <c r="W2417" s="323"/>
      <c r="X2417" s="326">
        <v>45017</v>
      </c>
      <c r="Y2417" s="193"/>
    </row>
    <row r="2418" s="3" customFormat="1" customHeight="1" spans="1:25">
      <c r="A2418" s="310" t="s">
        <v>448</v>
      </c>
      <c r="B2418" s="310" t="s">
        <v>3037</v>
      </c>
      <c r="C2418" s="310" t="s">
        <v>63</v>
      </c>
      <c r="D2418" s="310" t="s">
        <v>3038</v>
      </c>
      <c r="E2418" s="13" t="s">
        <v>3039</v>
      </c>
      <c r="F2418" s="11" t="s">
        <v>3040</v>
      </c>
      <c r="G2418" s="311" t="s">
        <v>346</v>
      </c>
      <c r="H2418" s="140" t="s">
        <v>3108</v>
      </c>
      <c r="I2418" s="30" t="e">
        <f>VLOOKUP(H2418,'合同高级查询数据-4月返'!A:A,1,FALSE)</f>
        <v>#N/A</v>
      </c>
      <c r="J2418" s="140" t="s">
        <v>346</v>
      </c>
      <c r="K2418" s="310" t="s">
        <v>3227</v>
      </c>
      <c r="L2418" s="35"/>
      <c r="M2418" s="315" t="s">
        <v>3228</v>
      </c>
      <c r="N2418" s="316">
        <v>43983</v>
      </c>
      <c r="O2418" s="11" t="s">
        <v>486</v>
      </c>
      <c r="P2418" s="324">
        <v>8700</v>
      </c>
      <c r="Q2418" s="324">
        <v>1</v>
      </c>
      <c r="R2418" s="126">
        <v>0</v>
      </c>
      <c r="S2418" s="322">
        <v>202304</v>
      </c>
      <c r="T2418" s="232" t="s">
        <v>3229</v>
      </c>
      <c r="U2418" s="232"/>
      <c r="V2418" s="323"/>
      <c r="W2418" s="323"/>
      <c r="X2418" s="326">
        <v>45017</v>
      </c>
      <c r="Y2418" s="193"/>
    </row>
    <row r="2419" s="3" customFormat="1" customHeight="1" spans="1:25">
      <c r="A2419" s="310" t="s">
        <v>448</v>
      </c>
      <c r="B2419" s="310" t="s">
        <v>3037</v>
      </c>
      <c r="C2419" s="310" t="s">
        <v>63</v>
      </c>
      <c r="D2419" s="310" t="s">
        <v>3038</v>
      </c>
      <c r="E2419" s="13" t="s">
        <v>3039</v>
      </c>
      <c r="F2419" s="11" t="s">
        <v>3040</v>
      </c>
      <c r="G2419" s="311" t="s">
        <v>346</v>
      </c>
      <c r="H2419" s="140" t="s">
        <v>3108</v>
      </c>
      <c r="I2419" s="30" t="e">
        <f>VLOOKUP(H2419,'合同高级查询数据-4月返'!A:A,1,FALSE)</f>
        <v>#N/A</v>
      </c>
      <c r="J2419" s="140" t="s">
        <v>346</v>
      </c>
      <c r="K2419" s="310" t="s">
        <v>3227</v>
      </c>
      <c r="L2419" s="35"/>
      <c r="M2419" s="315" t="s">
        <v>3228</v>
      </c>
      <c r="N2419" s="316">
        <v>44326</v>
      </c>
      <c r="O2419" s="11" t="s">
        <v>492</v>
      </c>
      <c r="P2419" s="324">
        <v>3266.6</v>
      </c>
      <c r="Q2419" s="324">
        <v>1</v>
      </c>
      <c r="R2419" s="126">
        <f t="shared" si="68"/>
        <v>3266.6</v>
      </c>
      <c r="S2419" s="322">
        <v>202304</v>
      </c>
      <c r="T2419" s="232" t="s">
        <v>3229</v>
      </c>
      <c r="U2419" s="232"/>
      <c r="V2419" s="323"/>
      <c r="W2419" s="323"/>
      <c r="X2419" s="326">
        <v>45017</v>
      </c>
      <c r="Y2419" s="193"/>
    </row>
    <row r="2420" s="3" customFormat="1" customHeight="1" spans="1:25">
      <c r="A2420" s="310" t="s">
        <v>448</v>
      </c>
      <c r="B2420" s="310" t="s">
        <v>3037</v>
      </c>
      <c r="C2420" s="310" t="s">
        <v>63</v>
      </c>
      <c r="D2420" s="310" t="s">
        <v>3038</v>
      </c>
      <c r="E2420" s="13" t="s">
        <v>3039</v>
      </c>
      <c r="F2420" s="11" t="s">
        <v>3040</v>
      </c>
      <c r="G2420" s="311" t="s">
        <v>346</v>
      </c>
      <c r="H2420" s="140" t="s">
        <v>3108</v>
      </c>
      <c r="I2420" s="30" t="e">
        <f>VLOOKUP(H2420,'合同高级查询数据-4月返'!A:A,1,FALSE)</f>
        <v>#N/A</v>
      </c>
      <c r="J2420" s="140" t="s">
        <v>346</v>
      </c>
      <c r="K2420" s="310" t="s">
        <v>3230</v>
      </c>
      <c r="L2420" s="35"/>
      <c r="M2420" s="315" t="s">
        <v>3231</v>
      </c>
      <c r="N2420" s="316">
        <v>43983</v>
      </c>
      <c r="O2420" s="11" t="s">
        <v>492</v>
      </c>
      <c r="P2420" s="324">
        <v>4899.9</v>
      </c>
      <c r="Q2420" s="324">
        <v>1</v>
      </c>
      <c r="R2420" s="126">
        <v>0</v>
      </c>
      <c r="S2420" s="322">
        <v>202304</v>
      </c>
      <c r="T2420" s="232" t="s">
        <v>3232</v>
      </c>
      <c r="U2420" s="232"/>
      <c r="V2420" s="323"/>
      <c r="W2420" s="323"/>
      <c r="X2420" s="326">
        <v>45017</v>
      </c>
      <c r="Y2420" s="193"/>
    </row>
    <row r="2421" s="3" customFormat="1" customHeight="1" spans="1:25">
      <c r="A2421" s="310" t="s">
        <v>448</v>
      </c>
      <c r="B2421" s="310" t="s">
        <v>3037</v>
      </c>
      <c r="C2421" s="310" t="s">
        <v>63</v>
      </c>
      <c r="D2421" s="310" t="s">
        <v>3038</v>
      </c>
      <c r="E2421" s="13" t="s">
        <v>3039</v>
      </c>
      <c r="F2421" s="11" t="s">
        <v>3040</v>
      </c>
      <c r="G2421" s="311" t="s">
        <v>346</v>
      </c>
      <c r="H2421" s="140" t="s">
        <v>3108</v>
      </c>
      <c r="I2421" s="30" t="e">
        <f>VLOOKUP(H2421,'合同高级查询数据-4月返'!A:A,1,FALSE)</f>
        <v>#N/A</v>
      </c>
      <c r="J2421" s="140" t="s">
        <v>346</v>
      </c>
      <c r="K2421" s="310" t="s">
        <v>3230</v>
      </c>
      <c r="L2421" s="35"/>
      <c r="M2421" s="315" t="s">
        <v>3231</v>
      </c>
      <c r="N2421" s="316">
        <v>44322</v>
      </c>
      <c r="O2421" s="11" t="s">
        <v>353</v>
      </c>
      <c r="P2421" s="324">
        <v>2000</v>
      </c>
      <c r="Q2421" s="324">
        <v>1</v>
      </c>
      <c r="R2421" s="126">
        <f t="shared" ref="R2421:R2435" si="70">ROUND(P2421*Q2421,2)</f>
        <v>2000</v>
      </c>
      <c r="S2421" s="322">
        <v>202304</v>
      </c>
      <c r="T2421" s="232" t="s">
        <v>3232</v>
      </c>
      <c r="U2421" s="232"/>
      <c r="V2421" s="323"/>
      <c r="W2421" s="323"/>
      <c r="X2421" s="326">
        <v>45017</v>
      </c>
      <c r="Y2421" s="193"/>
    </row>
    <row r="2422" s="5" customFormat="1" customHeight="1" spans="1:25">
      <c r="A2422" s="307" t="s">
        <v>448</v>
      </c>
      <c r="B2422" s="307" t="s">
        <v>3037</v>
      </c>
      <c r="C2422" s="307" t="s">
        <v>63</v>
      </c>
      <c r="D2422" s="307" t="s">
        <v>3038</v>
      </c>
      <c r="E2422" s="23" t="s">
        <v>3039</v>
      </c>
      <c r="F2422" s="24" t="s">
        <v>3040</v>
      </c>
      <c r="G2422" s="308" t="s">
        <v>78</v>
      </c>
      <c r="H2422" s="327" t="s">
        <v>3233</v>
      </c>
      <c r="I2422" s="46" t="e">
        <f>VLOOKUP(H2422,'合同高级查询数据-4月返'!A:A,1,FALSE)</f>
        <v>#N/A</v>
      </c>
      <c r="J2422" s="309" t="s">
        <v>3234</v>
      </c>
      <c r="K2422" s="307"/>
      <c r="L2422" s="22"/>
      <c r="M2422" s="312"/>
      <c r="N2422" s="313">
        <v>44562</v>
      </c>
      <c r="O2422" s="24"/>
      <c r="P2422" s="325">
        <v>625000</v>
      </c>
      <c r="Q2422" s="325">
        <v>1</v>
      </c>
      <c r="R2422" s="117">
        <f t="shared" si="70"/>
        <v>625000</v>
      </c>
      <c r="S2422" s="319">
        <v>202304</v>
      </c>
      <c r="T2422" s="233" t="s">
        <v>3235</v>
      </c>
      <c r="U2422" s="233"/>
      <c r="V2422" s="320"/>
      <c r="W2422" s="320"/>
      <c r="X2422" s="313">
        <v>44317</v>
      </c>
      <c r="Y2422" s="313">
        <v>45046</v>
      </c>
    </row>
    <row r="2423" s="5" customFormat="1" customHeight="1" spans="1:25">
      <c r="A2423" s="307" t="s">
        <v>61</v>
      </c>
      <c r="B2423" s="307" t="s">
        <v>3236</v>
      </c>
      <c r="C2423" s="307" t="s">
        <v>3237</v>
      </c>
      <c r="D2423" s="307" t="s">
        <v>85</v>
      </c>
      <c r="E2423" s="23" t="s">
        <v>3238</v>
      </c>
      <c r="F2423" s="24" t="s">
        <v>3239</v>
      </c>
      <c r="G2423" s="24" t="s">
        <v>88</v>
      </c>
      <c r="H2423" s="309" t="s">
        <v>3240</v>
      </c>
      <c r="I2423" s="46" t="e">
        <f>VLOOKUP(H2423,'合同高级查询数据-4月返'!A:A,1,FALSE)</f>
        <v>#N/A</v>
      </c>
      <c r="J2423" s="309" t="s">
        <v>3241</v>
      </c>
      <c r="K2423" s="24" t="s">
        <v>3116</v>
      </c>
      <c r="L2423" s="179"/>
      <c r="M2423" s="312" t="s">
        <v>3117</v>
      </c>
      <c r="N2423" s="313"/>
      <c r="O2423" s="24" t="s">
        <v>584</v>
      </c>
      <c r="P2423" s="325">
        <v>270</v>
      </c>
      <c r="Q2423" s="325">
        <v>150</v>
      </c>
      <c r="R2423" s="117">
        <f t="shared" si="70"/>
        <v>40500</v>
      </c>
      <c r="S2423" s="319">
        <v>202304</v>
      </c>
      <c r="T2423" s="233" t="s">
        <v>3242</v>
      </c>
      <c r="U2423" s="233"/>
      <c r="V2423" s="320"/>
      <c r="W2423" s="320"/>
      <c r="X2423" s="229">
        <v>44799</v>
      </c>
      <c r="Y2423" s="229">
        <v>45163</v>
      </c>
    </row>
    <row r="2424" s="5" customFormat="1" customHeight="1" spans="1:25">
      <c r="A2424" s="307" t="s">
        <v>61</v>
      </c>
      <c r="B2424" s="307" t="s">
        <v>3236</v>
      </c>
      <c r="C2424" s="307" t="s">
        <v>3237</v>
      </c>
      <c r="D2424" s="307" t="s">
        <v>85</v>
      </c>
      <c r="E2424" s="23" t="s">
        <v>3238</v>
      </c>
      <c r="F2424" s="24" t="s">
        <v>3239</v>
      </c>
      <c r="G2424" s="24" t="s">
        <v>88</v>
      </c>
      <c r="H2424" s="309" t="s">
        <v>3240</v>
      </c>
      <c r="I2424" s="46" t="e">
        <f>VLOOKUP(H2424,'合同高级查询数据-4月返'!A:A,1,FALSE)</f>
        <v>#N/A</v>
      </c>
      <c r="J2424" s="309" t="s">
        <v>90</v>
      </c>
      <c r="K2424" s="24" t="s">
        <v>3116</v>
      </c>
      <c r="L2424" s="179"/>
      <c r="M2424" s="312" t="s">
        <v>3117</v>
      </c>
      <c r="N2424" s="313">
        <v>44908</v>
      </c>
      <c r="O2424" s="24" t="s">
        <v>3243</v>
      </c>
      <c r="P2424" s="325">
        <v>12600</v>
      </c>
      <c r="Q2424" s="325">
        <v>2</v>
      </c>
      <c r="R2424" s="117">
        <f t="shared" si="70"/>
        <v>25200</v>
      </c>
      <c r="S2424" s="319">
        <v>202304</v>
      </c>
      <c r="T2424" s="233" t="s">
        <v>3244</v>
      </c>
      <c r="U2424" s="233"/>
      <c r="V2424" s="320"/>
      <c r="W2424" s="320"/>
      <c r="X2424" s="229">
        <v>44799</v>
      </c>
      <c r="Y2424" s="229">
        <v>45163</v>
      </c>
    </row>
    <row r="2425" s="5" customFormat="1" customHeight="1" spans="1:25">
      <c r="A2425" s="307" t="s">
        <v>61</v>
      </c>
      <c r="B2425" s="307" t="s">
        <v>3236</v>
      </c>
      <c r="C2425" s="307" t="s">
        <v>3237</v>
      </c>
      <c r="D2425" s="307" t="s">
        <v>85</v>
      </c>
      <c r="E2425" s="23" t="s">
        <v>3238</v>
      </c>
      <c r="F2425" s="24" t="s">
        <v>3239</v>
      </c>
      <c r="G2425" s="24" t="s">
        <v>88</v>
      </c>
      <c r="H2425" s="309" t="s">
        <v>3245</v>
      </c>
      <c r="I2425" s="46" t="str">
        <f>VLOOKUP(H2425,'合同高级查询数据-4月返'!A:A,1,FALSE)</f>
        <v>182315IDC00094</v>
      </c>
      <c r="J2425" s="309" t="s">
        <v>90</v>
      </c>
      <c r="K2425" s="24" t="s">
        <v>3246</v>
      </c>
      <c r="L2425" s="179"/>
      <c r="M2425" s="312" t="s">
        <v>3247</v>
      </c>
      <c r="N2425" s="313">
        <v>44792</v>
      </c>
      <c r="O2425" s="24" t="s">
        <v>503</v>
      </c>
      <c r="P2425" s="325">
        <v>3975</v>
      </c>
      <c r="Q2425" s="325">
        <v>6</v>
      </c>
      <c r="R2425" s="117">
        <f t="shared" si="70"/>
        <v>23850</v>
      </c>
      <c r="S2425" s="319">
        <v>202304</v>
      </c>
      <c r="T2425" s="233" t="s">
        <v>3248</v>
      </c>
      <c r="U2425" s="233"/>
      <c r="V2425" s="320"/>
      <c r="W2425" s="320"/>
      <c r="X2425" s="313">
        <v>44805</v>
      </c>
      <c r="Y2425" s="229">
        <v>46630</v>
      </c>
    </row>
    <row r="2426" s="5" customFormat="1" customHeight="1" spans="1:25">
      <c r="A2426" s="307" t="s">
        <v>61</v>
      </c>
      <c r="B2426" s="307" t="s">
        <v>3236</v>
      </c>
      <c r="C2426" s="307" t="s">
        <v>3237</v>
      </c>
      <c r="D2426" s="307" t="s">
        <v>85</v>
      </c>
      <c r="E2426" s="23" t="s">
        <v>3238</v>
      </c>
      <c r="F2426" s="24" t="s">
        <v>3239</v>
      </c>
      <c r="G2426" s="24" t="s">
        <v>88</v>
      </c>
      <c r="H2426" s="309" t="s">
        <v>3245</v>
      </c>
      <c r="I2426" s="46" t="str">
        <f>VLOOKUP(H2426,'合同高级查询数据-4月返'!A:A,1,FALSE)</f>
        <v>182315IDC00094</v>
      </c>
      <c r="J2426" s="309" t="s">
        <v>90</v>
      </c>
      <c r="K2426" s="24" t="s">
        <v>3246</v>
      </c>
      <c r="L2426" s="179"/>
      <c r="M2426" s="312" t="s">
        <v>3247</v>
      </c>
      <c r="N2426" s="313">
        <v>44792</v>
      </c>
      <c r="O2426" s="24" t="s">
        <v>507</v>
      </c>
      <c r="P2426" s="325">
        <v>7950</v>
      </c>
      <c r="Q2426" s="325">
        <v>96</v>
      </c>
      <c r="R2426" s="117">
        <f t="shared" si="70"/>
        <v>763200</v>
      </c>
      <c r="S2426" s="319">
        <v>202304</v>
      </c>
      <c r="T2426" s="233" t="s">
        <v>3249</v>
      </c>
      <c r="U2426" s="233"/>
      <c r="V2426" s="320"/>
      <c r="W2426" s="320"/>
      <c r="X2426" s="313">
        <v>44805</v>
      </c>
      <c r="Y2426" s="229">
        <v>46630</v>
      </c>
    </row>
    <row r="2427" s="5" customFormat="1" customHeight="1" spans="1:25">
      <c r="A2427" s="307" t="s">
        <v>61</v>
      </c>
      <c r="B2427" s="307" t="s">
        <v>3236</v>
      </c>
      <c r="C2427" s="307" t="s">
        <v>3237</v>
      </c>
      <c r="D2427" s="307" t="s">
        <v>85</v>
      </c>
      <c r="E2427" s="23" t="s">
        <v>3238</v>
      </c>
      <c r="F2427" s="24" t="s">
        <v>3239</v>
      </c>
      <c r="G2427" s="24" t="s">
        <v>88</v>
      </c>
      <c r="H2427" s="309" t="s">
        <v>3245</v>
      </c>
      <c r="I2427" s="46" t="str">
        <f>VLOOKUP(H2427,'合同高级查询数据-4月返'!A:A,1,FALSE)</f>
        <v>182315IDC00094</v>
      </c>
      <c r="J2427" s="309" t="s">
        <v>90</v>
      </c>
      <c r="K2427" s="24" t="s">
        <v>3246</v>
      </c>
      <c r="L2427" s="179"/>
      <c r="M2427" s="312" t="s">
        <v>3247</v>
      </c>
      <c r="N2427" s="313">
        <v>44792</v>
      </c>
      <c r="O2427" s="24" t="s">
        <v>595</v>
      </c>
      <c r="P2427" s="325">
        <v>18770</v>
      </c>
      <c r="Q2427" s="325">
        <v>2</v>
      </c>
      <c r="R2427" s="117">
        <f t="shared" si="70"/>
        <v>37540</v>
      </c>
      <c r="S2427" s="319">
        <v>202304</v>
      </c>
      <c r="T2427" s="233" t="s">
        <v>3250</v>
      </c>
      <c r="U2427" s="233"/>
      <c r="V2427" s="320"/>
      <c r="W2427" s="320"/>
      <c r="X2427" s="313">
        <v>44805</v>
      </c>
      <c r="Y2427" s="229">
        <v>46630</v>
      </c>
    </row>
    <row r="2428" s="5" customFormat="1" customHeight="1" spans="1:25">
      <c r="A2428" s="307" t="s">
        <v>61</v>
      </c>
      <c r="B2428" s="307" t="s">
        <v>3236</v>
      </c>
      <c r="C2428" s="307" t="s">
        <v>3237</v>
      </c>
      <c r="D2428" s="307" t="s">
        <v>85</v>
      </c>
      <c r="E2428" s="23" t="s">
        <v>3238</v>
      </c>
      <c r="F2428" s="24" t="s">
        <v>3239</v>
      </c>
      <c r="G2428" s="24" t="s">
        <v>88</v>
      </c>
      <c r="H2428" s="309" t="s">
        <v>3245</v>
      </c>
      <c r="I2428" s="46" t="str">
        <f>VLOOKUP(H2428,'合同高级查询数据-4月返'!A:A,1,FALSE)</f>
        <v>182315IDC00094</v>
      </c>
      <c r="J2428" s="309" t="s">
        <v>90</v>
      </c>
      <c r="K2428" s="24" t="s">
        <v>3246</v>
      </c>
      <c r="L2428" s="179"/>
      <c r="M2428" s="312" t="s">
        <v>3247</v>
      </c>
      <c r="N2428" s="313">
        <v>44792</v>
      </c>
      <c r="O2428" s="24" t="s">
        <v>606</v>
      </c>
      <c r="P2428" s="325">
        <v>16000</v>
      </c>
      <c r="Q2428" s="325">
        <v>2</v>
      </c>
      <c r="R2428" s="117">
        <f t="shared" si="70"/>
        <v>32000</v>
      </c>
      <c r="S2428" s="319">
        <v>202304</v>
      </c>
      <c r="T2428" s="233" t="s">
        <v>3251</v>
      </c>
      <c r="U2428" s="233"/>
      <c r="V2428" s="320"/>
      <c r="W2428" s="320"/>
      <c r="X2428" s="313">
        <v>44805</v>
      </c>
      <c r="Y2428" s="229">
        <v>46630</v>
      </c>
    </row>
    <row r="2429" s="3" customFormat="1" customHeight="1" spans="1:25">
      <c r="A2429" s="310" t="s">
        <v>61</v>
      </c>
      <c r="B2429" s="310" t="s">
        <v>3236</v>
      </c>
      <c r="C2429" s="310" t="s">
        <v>3237</v>
      </c>
      <c r="D2429" s="310" t="s">
        <v>85</v>
      </c>
      <c r="E2429" s="13" t="s">
        <v>3238</v>
      </c>
      <c r="F2429" s="11" t="s">
        <v>3239</v>
      </c>
      <c r="G2429" s="11" t="s">
        <v>88</v>
      </c>
      <c r="H2429" s="140" t="s">
        <v>3252</v>
      </c>
      <c r="I2429" s="30" t="e">
        <f>VLOOKUP(H2429,'合同高级查询数据-4月返'!A:A,1,FALSE)</f>
        <v>#N/A</v>
      </c>
      <c r="J2429" s="140" t="s">
        <v>90</v>
      </c>
      <c r="K2429" s="11" t="s">
        <v>3246</v>
      </c>
      <c r="L2429" s="174"/>
      <c r="M2429" s="315" t="s">
        <v>3247</v>
      </c>
      <c r="N2429" s="316">
        <v>44793</v>
      </c>
      <c r="O2429" s="11" t="s">
        <v>600</v>
      </c>
      <c r="P2429" s="324">
        <v>0</v>
      </c>
      <c r="Q2429" s="324">
        <v>2</v>
      </c>
      <c r="R2429" s="126">
        <f t="shared" si="70"/>
        <v>0</v>
      </c>
      <c r="S2429" s="322">
        <v>202304</v>
      </c>
      <c r="T2429" s="232" t="s">
        <v>3253</v>
      </c>
      <c r="U2429" s="232"/>
      <c r="V2429" s="323"/>
      <c r="W2429" s="323"/>
      <c r="X2429" s="316">
        <v>44792</v>
      </c>
      <c r="Y2429" s="193"/>
    </row>
    <row r="2430" s="5" customFormat="1" customHeight="1" spans="1:25">
      <c r="A2430" s="307" t="s">
        <v>61</v>
      </c>
      <c r="B2430" s="307" t="s">
        <v>3236</v>
      </c>
      <c r="C2430" s="307" t="s">
        <v>3237</v>
      </c>
      <c r="D2430" s="307" t="s">
        <v>85</v>
      </c>
      <c r="E2430" s="23" t="s">
        <v>3238</v>
      </c>
      <c r="F2430" s="24" t="s">
        <v>3239</v>
      </c>
      <c r="G2430" s="24" t="s">
        <v>88</v>
      </c>
      <c r="H2430" s="309" t="s">
        <v>3245</v>
      </c>
      <c r="I2430" s="46" t="str">
        <f>VLOOKUP(H2430,'合同高级查询数据-4月返'!A:A,1,FALSE)</f>
        <v>182315IDC00094</v>
      </c>
      <c r="J2430" s="309" t="s">
        <v>90</v>
      </c>
      <c r="K2430" s="24" t="s">
        <v>3246</v>
      </c>
      <c r="L2430" s="179"/>
      <c r="M2430" s="312" t="s">
        <v>3247</v>
      </c>
      <c r="N2430" s="313">
        <v>44799</v>
      </c>
      <c r="O2430" s="24" t="s">
        <v>507</v>
      </c>
      <c r="P2430" s="325">
        <v>7950</v>
      </c>
      <c r="Q2430" s="325">
        <v>4</v>
      </c>
      <c r="R2430" s="117">
        <f t="shared" si="70"/>
        <v>31800</v>
      </c>
      <c r="S2430" s="319">
        <v>202304</v>
      </c>
      <c r="T2430" s="233" t="s">
        <v>3254</v>
      </c>
      <c r="U2430" s="233"/>
      <c r="V2430" s="320"/>
      <c r="W2430" s="320"/>
      <c r="X2430" s="313">
        <v>44805</v>
      </c>
      <c r="Y2430" s="229">
        <v>46630</v>
      </c>
    </row>
    <row r="2431" s="5" customFormat="1" customHeight="1" spans="1:25">
      <c r="A2431" s="307" t="s">
        <v>61</v>
      </c>
      <c r="B2431" s="307" t="s">
        <v>3236</v>
      </c>
      <c r="C2431" s="307" t="s">
        <v>3237</v>
      </c>
      <c r="D2431" s="307" t="s">
        <v>85</v>
      </c>
      <c r="E2431" s="23" t="s">
        <v>3238</v>
      </c>
      <c r="F2431" s="24" t="s">
        <v>3239</v>
      </c>
      <c r="G2431" s="24" t="s">
        <v>88</v>
      </c>
      <c r="H2431" s="309" t="s">
        <v>3245</v>
      </c>
      <c r="I2431" s="46" t="str">
        <f>VLOOKUP(H2431,'合同高级查询数据-4月返'!A:A,1,FALSE)</f>
        <v>182315IDC00094</v>
      </c>
      <c r="J2431" s="309" t="s">
        <v>90</v>
      </c>
      <c r="K2431" s="24" t="s">
        <v>3246</v>
      </c>
      <c r="L2431" s="179"/>
      <c r="M2431" s="312" t="s">
        <v>3247</v>
      </c>
      <c r="N2431" s="313">
        <v>44812</v>
      </c>
      <c r="O2431" s="24" t="s">
        <v>507</v>
      </c>
      <c r="P2431" s="325">
        <v>7950</v>
      </c>
      <c r="Q2431" s="325">
        <v>2</v>
      </c>
      <c r="R2431" s="117">
        <f t="shared" si="70"/>
        <v>15900</v>
      </c>
      <c r="S2431" s="319">
        <v>202304</v>
      </c>
      <c r="T2431" s="233" t="s">
        <v>3255</v>
      </c>
      <c r="U2431" s="233"/>
      <c r="V2431" s="320"/>
      <c r="W2431" s="320"/>
      <c r="X2431" s="313">
        <v>44805</v>
      </c>
      <c r="Y2431" s="229">
        <v>46630</v>
      </c>
    </row>
    <row r="2432" s="5" customFormat="1" customHeight="1" spans="1:25">
      <c r="A2432" s="307" t="s">
        <v>61</v>
      </c>
      <c r="B2432" s="307" t="s">
        <v>3236</v>
      </c>
      <c r="C2432" s="307" t="s">
        <v>3237</v>
      </c>
      <c r="D2432" s="307" t="s">
        <v>85</v>
      </c>
      <c r="E2432" s="23" t="s">
        <v>3238</v>
      </c>
      <c r="F2432" s="24" t="s">
        <v>3239</v>
      </c>
      <c r="G2432" s="24" t="s">
        <v>88</v>
      </c>
      <c r="H2432" s="309" t="s">
        <v>3245</v>
      </c>
      <c r="I2432" s="46" t="str">
        <f>VLOOKUP(H2432,'合同高级查询数据-4月返'!A:A,1,FALSE)</f>
        <v>182315IDC00094</v>
      </c>
      <c r="J2432" s="309" t="s">
        <v>90</v>
      </c>
      <c r="K2432" s="24" t="s">
        <v>3246</v>
      </c>
      <c r="L2432" s="179"/>
      <c r="M2432" s="312" t="s">
        <v>3247</v>
      </c>
      <c r="N2432" s="313">
        <v>44813</v>
      </c>
      <c r="O2432" s="24" t="s">
        <v>507</v>
      </c>
      <c r="P2432" s="325">
        <v>7950</v>
      </c>
      <c r="Q2432" s="325">
        <v>2</v>
      </c>
      <c r="R2432" s="117">
        <f t="shared" si="70"/>
        <v>15900</v>
      </c>
      <c r="S2432" s="319">
        <v>202304</v>
      </c>
      <c r="T2432" s="233" t="s">
        <v>3256</v>
      </c>
      <c r="U2432" s="233"/>
      <c r="V2432" s="320"/>
      <c r="W2432" s="320"/>
      <c r="X2432" s="313">
        <v>44805</v>
      </c>
      <c r="Y2432" s="229">
        <v>46630</v>
      </c>
    </row>
    <row r="2433" s="3" customFormat="1" customHeight="1" spans="1:25">
      <c r="A2433" s="310" t="s">
        <v>61</v>
      </c>
      <c r="B2433" s="310" t="s">
        <v>3236</v>
      </c>
      <c r="C2433" s="310" t="s">
        <v>3237</v>
      </c>
      <c r="D2433" s="310" t="s">
        <v>85</v>
      </c>
      <c r="E2433" s="13" t="s">
        <v>3238</v>
      </c>
      <c r="F2433" s="11" t="s">
        <v>3239</v>
      </c>
      <c r="G2433" s="11" t="s">
        <v>88</v>
      </c>
      <c r="H2433" s="140" t="s">
        <v>3252</v>
      </c>
      <c r="I2433" s="30" t="e">
        <f>VLOOKUP(H2433,'合同高级查询数据-4月返'!A:A,1,FALSE)</f>
        <v>#N/A</v>
      </c>
      <c r="J2433" s="140" t="s">
        <v>90</v>
      </c>
      <c r="K2433" s="11" t="s">
        <v>3246</v>
      </c>
      <c r="L2433" s="174"/>
      <c r="M2433" s="315" t="s">
        <v>3247</v>
      </c>
      <c r="N2433" s="316">
        <v>44814</v>
      </c>
      <c r="O2433" s="11" t="s">
        <v>600</v>
      </c>
      <c r="P2433" s="324">
        <v>0</v>
      </c>
      <c r="Q2433" s="324">
        <v>2</v>
      </c>
      <c r="R2433" s="126">
        <f t="shared" si="70"/>
        <v>0</v>
      </c>
      <c r="S2433" s="322">
        <v>202304</v>
      </c>
      <c r="T2433" s="232" t="s">
        <v>3257</v>
      </c>
      <c r="U2433" s="232"/>
      <c r="V2433" s="323"/>
      <c r="W2433" s="323"/>
      <c r="X2433" s="316">
        <v>44792</v>
      </c>
      <c r="Y2433" s="193"/>
    </row>
    <row r="2434" s="5" customFormat="1" customHeight="1" spans="1:25">
      <c r="A2434" s="307" t="s">
        <v>61</v>
      </c>
      <c r="B2434" s="307" t="s">
        <v>3236</v>
      </c>
      <c r="C2434" s="307" t="s">
        <v>3237</v>
      </c>
      <c r="D2434" s="307" t="s">
        <v>85</v>
      </c>
      <c r="E2434" s="23" t="s">
        <v>3238</v>
      </c>
      <c r="F2434" s="24" t="s">
        <v>3239</v>
      </c>
      <c r="G2434" s="24" t="s">
        <v>88</v>
      </c>
      <c r="H2434" s="309" t="s">
        <v>3245</v>
      </c>
      <c r="I2434" s="46" t="str">
        <f>VLOOKUP(H2434,'合同高级查询数据-4月返'!A:A,1,FALSE)</f>
        <v>182315IDC00094</v>
      </c>
      <c r="J2434" s="309" t="s">
        <v>90</v>
      </c>
      <c r="K2434" s="24" t="s">
        <v>3246</v>
      </c>
      <c r="L2434" s="179"/>
      <c r="M2434" s="312" t="s">
        <v>3247</v>
      </c>
      <c r="N2434" s="313">
        <v>44867</v>
      </c>
      <c r="O2434" s="24" t="s">
        <v>595</v>
      </c>
      <c r="P2434" s="325">
        <v>18770</v>
      </c>
      <c r="Q2434" s="325">
        <v>2</v>
      </c>
      <c r="R2434" s="117">
        <f t="shared" si="70"/>
        <v>37540</v>
      </c>
      <c r="S2434" s="319">
        <v>202304</v>
      </c>
      <c r="T2434" s="233" t="s">
        <v>3258</v>
      </c>
      <c r="U2434" s="233"/>
      <c r="V2434" s="320"/>
      <c r="W2434" s="320"/>
      <c r="X2434" s="313">
        <v>44805</v>
      </c>
      <c r="Y2434" s="229">
        <v>46630</v>
      </c>
    </row>
    <row r="2435" s="5" customFormat="1" customHeight="1" spans="1:25">
      <c r="A2435" s="307" t="s">
        <v>61</v>
      </c>
      <c r="B2435" s="307" t="s">
        <v>3236</v>
      </c>
      <c r="C2435" s="307" t="s">
        <v>3237</v>
      </c>
      <c r="D2435" s="307" t="s">
        <v>85</v>
      </c>
      <c r="E2435" s="23" t="s">
        <v>3238</v>
      </c>
      <c r="F2435" s="24" t="s">
        <v>3239</v>
      </c>
      <c r="G2435" s="24" t="s">
        <v>88</v>
      </c>
      <c r="H2435" s="309" t="s">
        <v>3245</v>
      </c>
      <c r="I2435" s="46" t="str">
        <f>VLOOKUP(H2435,'合同高级查询数据-4月返'!A:A,1,FALSE)</f>
        <v>182315IDC00094</v>
      </c>
      <c r="J2435" s="309" t="s">
        <v>90</v>
      </c>
      <c r="K2435" s="24" t="s">
        <v>3246</v>
      </c>
      <c r="L2435" s="179"/>
      <c r="M2435" s="312" t="s">
        <v>3247</v>
      </c>
      <c r="N2435" s="313">
        <v>44867</v>
      </c>
      <c r="O2435" s="24" t="s">
        <v>507</v>
      </c>
      <c r="P2435" s="325">
        <v>7950</v>
      </c>
      <c r="Q2435" s="325">
        <v>1</v>
      </c>
      <c r="R2435" s="117">
        <f t="shared" si="70"/>
        <v>7950</v>
      </c>
      <c r="S2435" s="319">
        <v>202304</v>
      </c>
      <c r="T2435" s="233" t="s">
        <v>3259</v>
      </c>
      <c r="U2435" s="233"/>
      <c r="V2435" s="320"/>
      <c r="W2435" s="320"/>
      <c r="X2435" s="313">
        <v>44805</v>
      </c>
      <c r="Y2435" s="229">
        <v>46630</v>
      </c>
    </row>
    <row r="2436" s="5" customFormat="1" customHeight="1" spans="1:25">
      <c r="A2436" s="307" t="s">
        <v>61</v>
      </c>
      <c r="B2436" s="307" t="s">
        <v>3236</v>
      </c>
      <c r="C2436" s="307" t="s">
        <v>3237</v>
      </c>
      <c r="D2436" s="307" t="s">
        <v>85</v>
      </c>
      <c r="E2436" s="23" t="s">
        <v>3238</v>
      </c>
      <c r="F2436" s="24" t="s">
        <v>3239</v>
      </c>
      <c r="G2436" s="24" t="s">
        <v>88</v>
      </c>
      <c r="H2436" s="309" t="s">
        <v>3245</v>
      </c>
      <c r="I2436" s="46" t="str">
        <f>VLOOKUP(H2436,'合同高级查询数据-4月返'!A:A,1,FALSE)</f>
        <v>182315IDC00094</v>
      </c>
      <c r="J2436" s="309" t="s">
        <v>90</v>
      </c>
      <c r="K2436" s="24" t="s">
        <v>3246</v>
      </c>
      <c r="L2436" s="179"/>
      <c r="M2436" s="312" t="s">
        <v>3247</v>
      </c>
      <c r="N2436" s="313">
        <v>44870</v>
      </c>
      <c r="O2436" s="24" t="s">
        <v>507</v>
      </c>
      <c r="P2436" s="325">
        <v>7950</v>
      </c>
      <c r="Q2436" s="325">
        <v>6</v>
      </c>
      <c r="R2436" s="117">
        <f t="shared" ref="R2436:R2497" si="71">ROUND(P2436*Q2436,2)</f>
        <v>47700</v>
      </c>
      <c r="S2436" s="319">
        <v>202304</v>
      </c>
      <c r="T2436" s="233" t="s">
        <v>3260</v>
      </c>
      <c r="U2436" s="233"/>
      <c r="V2436" s="320"/>
      <c r="W2436" s="320"/>
      <c r="X2436" s="313">
        <v>44805</v>
      </c>
      <c r="Y2436" s="229">
        <v>46630</v>
      </c>
    </row>
    <row r="2437" s="5" customFormat="1" customHeight="1" spans="1:25">
      <c r="A2437" s="307" t="s">
        <v>61</v>
      </c>
      <c r="B2437" s="307" t="s">
        <v>3236</v>
      </c>
      <c r="C2437" s="307" t="s">
        <v>3237</v>
      </c>
      <c r="D2437" s="307" t="s">
        <v>85</v>
      </c>
      <c r="E2437" s="23" t="s">
        <v>3238</v>
      </c>
      <c r="F2437" s="24" t="s">
        <v>3239</v>
      </c>
      <c r="G2437" s="24" t="s">
        <v>88</v>
      </c>
      <c r="H2437" s="309" t="s">
        <v>3245</v>
      </c>
      <c r="I2437" s="46" t="str">
        <f>VLOOKUP(H2437,'合同高级查询数据-4月返'!A:A,1,FALSE)</f>
        <v>182315IDC00094</v>
      </c>
      <c r="J2437" s="309" t="s">
        <v>90</v>
      </c>
      <c r="K2437" s="24" t="s">
        <v>3246</v>
      </c>
      <c r="L2437" s="179"/>
      <c r="M2437" s="312" t="s">
        <v>3247</v>
      </c>
      <c r="N2437" s="313">
        <v>44882</v>
      </c>
      <c r="O2437" s="24" t="s">
        <v>507</v>
      </c>
      <c r="P2437" s="325">
        <v>7950</v>
      </c>
      <c r="Q2437" s="325">
        <v>5</v>
      </c>
      <c r="R2437" s="117">
        <f t="shared" si="71"/>
        <v>39750</v>
      </c>
      <c r="S2437" s="319">
        <v>202304</v>
      </c>
      <c r="T2437" s="233" t="s">
        <v>3261</v>
      </c>
      <c r="U2437" s="233"/>
      <c r="V2437" s="320"/>
      <c r="W2437" s="320"/>
      <c r="X2437" s="313">
        <v>44805</v>
      </c>
      <c r="Y2437" s="229">
        <v>46630</v>
      </c>
    </row>
    <row r="2438" s="5" customFormat="1" customHeight="1" spans="1:25">
      <c r="A2438" s="307" t="s">
        <v>61</v>
      </c>
      <c r="B2438" s="307" t="s">
        <v>3236</v>
      </c>
      <c r="C2438" s="307" t="s">
        <v>3237</v>
      </c>
      <c r="D2438" s="307" t="s">
        <v>85</v>
      </c>
      <c r="E2438" s="23" t="s">
        <v>3238</v>
      </c>
      <c r="F2438" s="24" t="s">
        <v>3239</v>
      </c>
      <c r="G2438" s="24" t="s">
        <v>88</v>
      </c>
      <c r="H2438" s="309" t="s">
        <v>3245</v>
      </c>
      <c r="I2438" s="46" t="str">
        <f>VLOOKUP(H2438,'合同高级查询数据-4月返'!A:A,1,FALSE)</f>
        <v>182315IDC00094</v>
      </c>
      <c r="J2438" s="309" t="s">
        <v>90</v>
      </c>
      <c r="K2438" s="24" t="s">
        <v>3246</v>
      </c>
      <c r="L2438" s="179"/>
      <c r="M2438" s="312" t="s">
        <v>3247</v>
      </c>
      <c r="N2438" s="313">
        <v>44903</v>
      </c>
      <c r="O2438" s="24" t="s">
        <v>503</v>
      </c>
      <c r="P2438" s="325">
        <v>3975</v>
      </c>
      <c r="Q2438" s="325">
        <v>1</v>
      </c>
      <c r="R2438" s="117">
        <f t="shared" si="71"/>
        <v>3975</v>
      </c>
      <c r="S2438" s="319">
        <v>202304</v>
      </c>
      <c r="T2438" s="233" t="s">
        <v>3262</v>
      </c>
      <c r="U2438" s="233"/>
      <c r="V2438" s="320"/>
      <c r="W2438" s="320"/>
      <c r="X2438" s="313">
        <v>44805</v>
      </c>
      <c r="Y2438" s="229">
        <v>46630</v>
      </c>
    </row>
    <row r="2439" s="5" customFormat="1" customHeight="1" spans="1:25">
      <c r="A2439" s="307" t="s">
        <v>61</v>
      </c>
      <c r="B2439" s="307" t="s">
        <v>3236</v>
      </c>
      <c r="C2439" s="307" t="s">
        <v>3237</v>
      </c>
      <c r="D2439" s="307" t="s">
        <v>85</v>
      </c>
      <c r="E2439" s="23" t="s">
        <v>3238</v>
      </c>
      <c r="F2439" s="24" t="s">
        <v>3239</v>
      </c>
      <c r="G2439" s="24" t="s">
        <v>88</v>
      </c>
      <c r="H2439" s="309" t="s">
        <v>3245</v>
      </c>
      <c r="I2439" s="46" t="str">
        <f>VLOOKUP(H2439,'合同高级查询数据-4月返'!A:A,1,FALSE)</f>
        <v>182315IDC00094</v>
      </c>
      <c r="J2439" s="309" t="s">
        <v>90</v>
      </c>
      <c r="K2439" s="24" t="s">
        <v>3246</v>
      </c>
      <c r="L2439" s="179"/>
      <c r="M2439" s="312" t="s">
        <v>3247</v>
      </c>
      <c r="N2439" s="313">
        <v>44903</v>
      </c>
      <c r="O2439" s="24" t="s">
        <v>507</v>
      </c>
      <c r="P2439" s="325">
        <v>7950</v>
      </c>
      <c r="Q2439" s="325">
        <v>2</v>
      </c>
      <c r="R2439" s="117">
        <f t="shared" si="71"/>
        <v>15900</v>
      </c>
      <c r="S2439" s="319">
        <v>202304</v>
      </c>
      <c r="T2439" s="233" t="s">
        <v>3263</v>
      </c>
      <c r="U2439" s="233"/>
      <c r="V2439" s="320"/>
      <c r="W2439" s="320"/>
      <c r="X2439" s="313">
        <v>44805</v>
      </c>
      <c r="Y2439" s="229">
        <v>46630</v>
      </c>
    </row>
    <row r="2440" s="5" customFormat="1" customHeight="1" spans="1:25">
      <c r="A2440" s="307" t="s">
        <v>61</v>
      </c>
      <c r="B2440" s="307" t="s">
        <v>3236</v>
      </c>
      <c r="C2440" s="307" t="s">
        <v>3237</v>
      </c>
      <c r="D2440" s="307" t="s">
        <v>85</v>
      </c>
      <c r="E2440" s="23" t="s">
        <v>3238</v>
      </c>
      <c r="F2440" s="24" t="s">
        <v>3239</v>
      </c>
      <c r="G2440" s="24" t="s">
        <v>88</v>
      </c>
      <c r="H2440" s="309" t="s">
        <v>3245</v>
      </c>
      <c r="I2440" s="46" t="str">
        <f>VLOOKUP(H2440,'合同高级查询数据-4月返'!A:A,1,FALSE)</f>
        <v>182315IDC00094</v>
      </c>
      <c r="J2440" s="309" t="s">
        <v>90</v>
      </c>
      <c r="K2440" s="24" t="s">
        <v>3246</v>
      </c>
      <c r="L2440" s="179"/>
      <c r="M2440" s="312" t="s">
        <v>3247</v>
      </c>
      <c r="N2440" s="313">
        <v>44905</v>
      </c>
      <c r="O2440" s="24" t="s">
        <v>507</v>
      </c>
      <c r="P2440" s="325">
        <v>7950</v>
      </c>
      <c r="Q2440" s="325">
        <v>2</v>
      </c>
      <c r="R2440" s="117">
        <f t="shared" si="71"/>
        <v>15900</v>
      </c>
      <c r="S2440" s="319">
        <v>202304</v>
      </c>
      <c r="T2440" s="233" t="s">
        <v>3264</v>
      </c>
      <c r="U2440" s="233"/>
      <c r="V2440" s="320"/>
      <c r="W2440" s="320"/>
      <c r="X2440" s="313">
        <v>44805</v>
      </c>
      <c r="Y2440" s="229">
        <v>46630</v>
      </c>
    </row>
    <row r="2441" s="5" customFormat="1" customHeight="1" spans="1:25">
      <c r="A2441" s="307" t="s">
        <v>61</v>
      </c>
      <c r="B2441" s="307" t="s">
        <v>3236</v>
      </c>
      <c r="C2441" s="307" t="s">
        <v>3237</v>
      </c>
      <c r="D2441" s="307" t="s">
        <v>85</v>
      </c>
      <c r="E2441" s="23" t="s">
        <v>3238</v>
      </c>
      <c r="F2441" s="24" t="s">
        <v>3239</v>
      </c>
      <c r="G2441" s="24" t="s">
        <v>88</v>
      </c>
      <c r="H2441" s="309" t="s">
        <v>3245</v>
      </c>
      <c r="I2441" s="46" t="str">
        <f>VLOOKUP(H2441,'合同高级查询数据-4月返'!A:A,1,FALSE)</f>
        <v>182315IDC00094</v>
      </c>
      <c r="J2441" s="309" t="s">
        <v>90</v>
      </c>
      <c r="K2441" s="24" t="s">
        <v>3246</v>
      </c>
      <c r="L2441" s="179"/>
      <c r="M2441" s="312" t="s">
        <v>3247</v>
      </c>
      <c r="N2441" s="313">
        <v>44909</v>
      </c>
      <c r="O2441" s="24" t="s">
        <v>507</v>
      </c>
      <c r="P2441" s="325">
        <v>7950</v>
      </c>
      <c r="Q2441" s="325">
        <v>3</v>
      </c>
      <c r="R2441" s="117">
        <f t="shared" si="71"/>
        <v>23850</v>
      </c>
      <c r="S2441" s="319">
        <v>202304</v>
      </c>
      <c r="T2441" s="233" t="s">
        <v>3265</v>
      </c>
      <c r="U2441" s="233"/>
      <c r="V2441" s="320"/>
      <c r="W2441" s="320"/>
      <c r="X2441" s="313">
        <v>44805</v>
      </c>
      <c r="Y2441" s="229">
        <v>46630</v>
      </c>
    </row>
    <row r="2442" s="5" customFormat="1" customHeight="1" spans="1:25">
      <c r="A2442" s="307" t="s">
        <v>61</v>
      </c>
      <c r="B2442" s="307" t="s">
        <v>3236</v>
      </c>
      <c r="C2442" s="307" t="s">
        <v>3237</v>
      </c>
      <c r="D2442" s="307" t="s">
        <v>85</v>
      </c>
      <c r="E2442" s="23" t="s">
        <v>3238</v>
      </c>
      <c r="F2442" s="24" t="s">
        <v>3239</v>
      </c>
      <c r="G2442" s="24" t="s">
        <v>88</v>
      </c>
      <c r="H2442" s="309" t="s">
        <v>3245</v>
      </c>
      <c r="I2442" s="46" t="str">
        <f>VLOOKUP(H2442,'合同高级查询数据-4月返'!A:A,1,FALSE)</f>
        <v>182315IDC00094</v>
      </c>
      <c r="J2442" s="309" t="s">
        <v>90</v>
      </c>
      <c r="K2442" s="24" t="s">
        <v>3246</v>
      </c>
      <c r="L2442" s="179"/>
      <c r="M2442" s="312" t="s">
        <v>3247</v>
      </c>
      <c r="N2442" s="313">
        <v>44910</v>
      </c>
      <c r="O2442" s="24" t="s">
        <v>507</v>
      </c>
      <c r="P2442" s="325">
        <v>7950</v>
      </c>
      <c r="Q2442" s="325">
        <v>1</v>
      </c>
      <c r="R2442" s="117">
        <f t="shared" si="71"/>
        <v>7950</v>
      </c>
      <c r="S2442" s="319">
        <v>202304</v>
      </c>
      <c r="T2442" s="233" t="s">
        <v>3266</v>
      </c>
      <c r="U2442" s="233"/>
      <c r="V2442" s="320"/>
      <c r="W2442" s="320"/>
      <c r="X2442" s="313">
        <v>44805</v>
      </c>
      <c r="Y2442" s="229">
        <v>46630</v>
      </c>
    </row>
    <row r="2443" s="5" customFormat="1" customHeight="1" spans="1:25">
      <c r="A2443" s="307" t="s">
        <v>61</v>
      </c>
      <c r="B2443" s="307" t="s">
        <v>3236</v>
      </c>
      <c r="C2443" s="307" t="s">
        <v>3237</v>
      </c>
      <c r="D2443" s="307" t="s">
        <v>85</v>
      </c>
      <c r="E2443" s="23" t="s">
        <v>3238</v>
      </c>
      <c r="F2443" s="24" t="s">
        <v>3239</v>
      </c>
      <c r="G2443" s="24" t="s">
        <v>88</v>
      </c>
      <c r="H2443" s="309" t="s">
        <v>3245</v>
      </c>
      <c r="I2443" s="46" t="str">
        <f>VLOOKUP(H2443,'合同高级查询数据-4月返'!A:A,1,FALSE)</f>
        <v>182315IDC00094</v>
      </c>
      <c r="J2443" s="309" t="s">
        <v>90</v>
      </c>
      <c r="K2443" s="24" t="s">
        <v>3246</v>
      </c>
      <c r="L2443" s="179"/>
      <c r="M2443" s="312" t="s">
        <v>3247</v>
      </c>
      <c r="N2443" s="313">
        <v>44914</v>
      </c>
      <c r="O2443" s="24" t="s">
        <v>507</v>
      </c>
      <c r="P2443" s="325">
        <v>7950</v>
      </c>
      <c r="Q2443" s="325">
        <v>3</v>
      </c>
      <c r="R2443" s="117">
        <f t="shared" si="71"/>
        <v>23850</v>
      </c>
      <c r="S2443" s="319">
        <v>202304</v>
      </c>
      <c r="T2443" s="233" t="s">
        <v>3267</v>
      </c>
      <c r="U2443" s="233"/>
      <c r="V2443" s="320"/>
      <c r="W2443" s="320"/>
      <c r="X2443" s="313">
        <v>44805</v>
      </c>
      <c r="Y2443" s="229">
        <v>46630</v>
      </c>
    </row>
    <row r="2444" s="5" customFormat="1" customHeight="1" spans="1:25">
      <c r="A2444" s="307" t="s">
        <v>61</v>
      </c>
      <c r="B2444" s="307" t="s">
        <v>3236</v>
      </c>
      <c r="C2444" s="307" t="s">
        <v>3237</v>
      </c>
      <c r="D2444" s="307" t="s">
        <v>85</v>
      </c>
      <c r="E2444" s="23" t="s">
        <v>3238</v>
      </c>
      <c r="F2444" s="24" t="s">
        <v>3239</v>
      </c>
      <c r="G2444" s="24" t="s">
        <v>88</v>
      </c>
      <c r="H2444" s="309" t="s">
        <v>3245</v>
      </c>
      <c r="I2444" s="46" t="str">
        <f>VLOOKUP(H2444,'合同高级查询数据-4月返'!A:A,1,FALSE)</f>
        <v>182315IDC00094</v>
      </c>
      <c r="J2444" s="309" t="s">
        <v>90</v>
      </c>
      <c r="K2444" s="24" t="s">
        <v>3246</v>
      </c>
      <c r="L2444" s="179"/>
      <c r="M2444" s="312" t="s">
        <v>3247</v>
      </c>
      <c r="N2444" s="313">
        <v>44928</v>
      </c>
      <c r="O2444" s="24" t="s">
        <v>507</v>
      </c>
      <c r="P2444" s="325">
        <v>7950</v>
      </c>
      <c r="Q2444" s="325">
        <v>14</v>
      </c>
      <c r="R2444" s="117">
        <f t="shared" si="71"/>
        <v>111300</v>
      </c>
      <c r="S2444" s="319">
        <v>202304</v>
      </c>
      <c r="T2444" s="233" t="s">
        <v>3268</v>
      </c>
      <c r="U2444" s="233"/>
      <c r="V2444" s="320"/>
      <c r="W2444" s="320"/>
      <c r="X2444" s="313">
        <v>44805</v>
      </c>
      <c r="Y2444" s="229">
        <v>46630</v>
      </c>
    </row>
    <row r="2445" s="5" customFormat="1" customHeight="1" spans="1:25">
      <c r="A2445" s="307" t="s">
        <v>61</v>
      </c>
      <c r="B2445" s="307" t="s">
        <v>3236</v>
      </c>
      <c r="C2445" s="307" t="s">
        <v>3237</v>
      </c>
      <c r="D2445" s="307" t="s">
        <v>85</v>
      </c>
      <c r="E2445" s="23" t="s">
        <v>3238</v>
      </c>
      <c r="F2445" s="24" t="s">
        <v>3239</v>
      </c>
      <c r="G2445" s="24" t="s">
        <v>88</v>
      </c>
      <c r="H2445" s="309" t="s">
        <v>3245</v>
      </c>
      <c r="I2445" s="46" t="str">
        <f>VLOOKUP(H2445,'合同高级查询数据-4月返'!A:A,1,FALSE)</f>
        <v>182315IDC00094</v>
      </c>
      <c r="J2445" s="309" t="s">
        <v>90</v>
      </c>
      <c r="K2445" s="24" t="s">
        <v>3246</v>
      </c>
      <c r="L2445" s="179"/>
      <c r="M2445" s="312" t="s">
        <v>3247</v>
      </c>
      <c r="N2445" s="313">
        <v>44929</v>
      </c>
      <c r="O2445" s="24" t="s">
        <v>503</v>
      </c>
      <c r="P2445" s="325">
        <v>3975</v>
      </c>
      <c r="Q2445" s="325">
        <v>1</v>
      </c>
      <c r="R2445" s="117">
        <f t="shared" si="71"/>
        <v>3975</v>
      </c>
      <c r="S2445" s="319">
        <v>202304</v>
      </c>
      <c r="T2445" s="233" t="s">
        <v>3269</v>
      </c>
      <c r="U2445" s="233"/>
      <c r="V2445" s="320"/>
      <c r="W2445" s="320"/>
      <c r="X2445" s="313">
        <v>44805</v>
      </c>
      <c r="Y2445" s="229">
        <v>46630</v>
      </c>
    </row>
    <row r="2446" s="5" customFormat="1" customHeight="1" spans="1:25">
      <c r="A2446" s="307" t="s">
        <v>61</v>
      </c>
      <c r="B2446" s="307" t="s">
        <v>3236</v>
      </c>
      <c r="C2446" s="307" t="s">
        <v>3237</v>
      </c>
      <c r="D2446" s="307" t="s">
        <v>85</v>
      </c>
      <c r="E2446" s="23" t="s">
        <v>3238</v>
      </c>
      <c r="F2446" s="24" t="s">
        <v>3239</v>
      </c>
      <c r="G2446" s="24" t="s">
        <v>88</v>
      </c>
      <c r="H2446" s="309" t="s">
        <v>3245</v>
      </c>
      <c r="I2446" s="46" t="str">
        <f>VLOOKUP(H2446,'合同高级查询数据-4月返'!A:A,1,FALSE)</f>
        <v>182315IDC00094</v>
      </c>
      <c r="J2446" s="309" t="s">
        <v>90</v>
      </c>
      <c r="K2446" s="24" t="s">
        <v>3246</v>
      </c>
      <c r="L2446" s="179"/>
      <c r="M2446" s="312" t="s">
        <v>3247</v>
      </c>
      <c r="N2446" s="313">
        <v>44929</v>
      </c>
      <c r="O2446" s="24" t="s">
        <v>507</v>
      </c>
      <c r="P2446" s="325">
        <v>7950</v>
      </c>
      <c r="Q2446" s="325">
        <v>6</v>
      </c>
      <c r="R2446" s="117">
        <f t="shared" si="71"/>
        <v>47700</v>
      </c>
      <c r="S2446" s="319">
        <v>202304</v>
      </c>
      <c r="T2446" s="233" t="s">
        <v>3270</v>
      </c>
      <c r="U2446" s="233"/>
      <c r="V2446" s="320"/>
      <c r="W2446" s="320"/>
      <c r="X2446" s="313">
        <v>44805</v>
      </c>
      <c r="Y2446" s="229">
        <v>46630</v>
      </c>
    </row>
    <row r="2447" s="5" customFormat="1" customHeight="1" spans="1:25">
      <c r="A2447" s="307" t="s">
        <v>61</v>
      </c>
      <c r="B2447" s="307" t="s">
        <v>3236</v>
      </c>
      <c r="C2447" s="307" t="s">
        <v>3237</v>
      </c>
      <c r="D2447" s="307" t="s">
        <v>85</v>
      </c>
      <c r="E2447" s="23" t="s">
        <v>3238</v>
      </c>
      <c r="F2447" s="24" t="s">
        <v>3239</v>
      </c>
      <c r="G2447" s="24" t="s">
        <v>88</v>
      </c>
      <c r="H2447" s="309" t="s">
        <v>3245</v>
      </c>
      <c r="I2447" s="46" t="str">
        <f>VLOOKUP(H2447,'合同高级查询数据-4月返'!A:A,1,FALSE)</f>
        <v>182315IDC00094</v>
      </c>
      <c r="J2447" s="309" t="s">
        <v>90</v>
      </c>
      <c r="K2447" s="24" t="s">
        <v>3246</v>
      </c>
      <c r="L2447" s="179"/>
      <c r="M2447" s="312" t="s">
        <v>3247</v>
      </c>
      <c r="N2447" s="313">
        <v>44929</v>
      </c>
      <c r="O2447" s="24" t="s">
        <v>507</v>
      </c>
      <c r="P2447" s="325">
        <v>7950</v>
      </c>
      <c r="Q2447" s="325">
        <v>16</v>
      </c>
      <c r="R2447" s="117">
        <f t="shared" si="71"/>
        <v>127200</v>
      </c>
      <c r="S2447" s="319">
        <v>202304</v>
      </c>
      <c r="T2447" s="233" t="s">
        <v>3271</v>
      </c>
      <c r="U2447" s="233"/>
      <c r="V2447" s="320"/>
      <c r="W2447" s="320"/>
      <c r="X2447" s="313">
        <v>44805</v>
      </c>
      <c r="Y2447" s="229">
        <v>46630</v>
      </c>
    </row>
    <row r="2448" s="5" customFormat="1" customHeight="1" spans="1:25">
      <c r="A2448" s="307" t="s">
        <v>61</v>
      </c>
      <c r="B2448" s="307" t="s">
        <v>3236</v>
      </c>
      <c r="C2448" s="307" t="s">
        <v>3237</v>
      </c>
      <c r="D2448" s="307" t="s">
        <v>85</v>
      </c>
      <c r="E2448" s="23" t="s">
        <v>3238</v>
      </c>
      <c r="F2448" s="24" t="s">
        <v>3239</v>
      </c>
      <c r="G2448" s="24" t="s">
        <v>88</v>
      </c>
      <c r="H2448" s="309" t="s">
        <v>3245</v>
      </c>
      <c r="I2448" s="46" t="str">
        <f>VLOOKUP(H2448,'合同高级查询数据-4月返'!A:A,1,FALSE)</f>
        <v>182315IDC00094</v>
      </c>
      <c r="J2448" s="309" t="s">
        <v>90</v>
      </c>
      <c r="K2448" s="24" t="s">
        <v>3246</v>
      </c>
      <c r="L2448" s="179"/>
      <c r="M2448" s="312" t="s">
        <v>3247</v>
      </c>
      <c r="N2448" s="313">
        <v>44929</v>
      </c>
      <c r="O2448" s="24" t="s">
        <v>507</v>
      </c>
      <c r="P2448" s="325">
        <v>3975</v>
      </c>
      <c r="Q2448" s="325">
        <v>2</v>
      </c>
      <c r="R2448" s="117">
        <f t="shared" si="71"/>
        <v>7950</v>
      </c>
      <c r="S2448" s="319">
        <v>202304</v>
      </c>
      <c r="T2448" s="233" t="s">
        <v>3272</v>
      </c>
      <c r="U2448" s="233"/>
      <c r="V2448" s="320"/>
      <c r="W2448" s="320"/>
      <c r="X2448" s="313">
        <v>44805</v>
      </c>
      <c r="Y2448" s="229">
        <v>46630</v>
      </c>
    </row>
    <row r="2449" s="5" customFormat="1" customHeight="1" spans="1:25">
      <c r="A2449" s="307" t="s">
        <v>61</v>
      </c>
      <c r="B2449" s="307" t="s">
        <v>3236</v>
      </c>
      <c r="C2449" s="307" t="s">
        <v>3237</v>
      </c>
      <c r="D2449" s="307" t="s">
        <v>85</v>
      </c>
      <c r="E2449" s="23" t="s">
        <v>3238</v>
      </c>
      <c r="F2449" s="24" t="s">
        <v>3239</v>
      </c>
      <c r="G2449" s="24" t="s">
        <v>88</v>
      </c>
      <c r="H2449" s="309" t="s">
        <v>3245</v>
      </c>
      <c r="I2449" s="46" t="str">
        <f>VLOOKUP(H2449,'合同高级查询数据-4月返'!A:A,1,FALSE)</f>
        <v>182315IDC00094</v>
      </c>
      <c r="J2449" s="309" t="s">
        <v>90</v>
      </c>
      <c r="K2449" s="24" t="s">
        <v>3246</v>
      </c>
      <c r="L2449" s="179"/>
      <c r="M2449" s="312" t="s">
        <v>3247</v>
      </c>
      <c r="N2449" s="313">
        <v>44930</v>
      </c>
      <c r="O2449" s="24" t="s">
        <v>507</v>
      </c>
      <c r="P2449" s="325">
        <v>7950</v>
      </c>
      <c r="Q2449" s="325">
        <v>13</v>
      </c>
      <c r="R2449" s="117">
        <f t="shared" si="71"/>
        <v>103350</v>
      </c>
      <c r="S2449" s="319">
        <v>202304</v>
      </c>
      <c r="T2449" s="233" t="s">
        <v>3273</v>
      </c>
      <c r="U2449" s="233"/>
      <c r="V2449" s="320"/>
      <c r="W2449" s="320"/>
      <c r="X2449" s="313">
        <v>44805</v>
      </c>
      <c r="Y2449" s="229">
        <v>46630</v>
      </c>
    </row>
    <row r="2450" s="5" customFormat="1" customHeight="1" spans="1:25">
      <c r="A2450" s="307" t="s">
        <v>61</v>
      </c>
      <c r="B2450" s="307" t="s">
        <v>3236</v>
      </c>
      <c r="C2450" s="307" t="s">
        <v>3237</v>
      </c>
      <c r="D2450" s="307" t="s">
        <v>85</v>
      </c>
      <c r="E2450" s="23" t="s">
        <v>3238</v>
      </c>
      <c r="F2450" s="24" t="s">
        <v>3239</v>
      </c>
      <c r="G2450" s="24" t="s">
        <v>88</v>
      </c>
      <c r="H2450" s="309" t="s">
        <v>3245</v>
      </c>
      <c r="I2450" s="46" t="str">
        <f>VLOOKUP(H2450,'合同高级查询数据-4月返'!A:A,1,FALSE)</f>
        <v>182315IDC00094</v>
      </c>
      <c r="J2450" s="309" t="s">
        <v>90</v>
      </c>
      <c r="K2450" s="24" t="s">
        <v>3246</v>
      </c>
      <c r="L2450" s="179"/>
      <c r="M2450" s="312" t="s">
        <v>3247</v>
      </c>
      <c r="N2450" s="313">
        <v>44934</v>
      </c>
      <c r="O2450" s="24" t="s">
        <v>507</v>
      </c>
      <c r="P2450" s="325">
        <v>7950</v>
      </c>
      <c r="Q2450" s="325">
        <v>12</v>
      </c>
      <c r="R2450" s="117">
        <f t="shared" si="71"/>
        <v>95400</v>
      </c>
      <c r="S2450" s="319">
        <v>202304</v>
      </c>
      <c r="T2450" s="233" t="s">
        <v>3274</v>
      </c>
      <c r="U2450" s="233"/>
      <c r="V2450" s="320"/>
      <c r="W2450" s="320"/>
      <c r="X2450" s="313">
        <v>44805</v>
      </c>
      <c r="Y2450" s="229">
        <v>46630</v>
      </c>
    </row>
    <row r="2451" s="5" customFormat="1" customHeight="1" spans="1:25">
      <c r="A2451" s="307" t="s">
        <v>61</v>
      </c>
      <c r="B2451" s="307" t="s">
        <v>3236</v>
      </c>
      <c r="C2451" s="307" t="s">
        <v>3237</v>
      </c>
      <c r="D2451" s="307" t="s">
        <v>85</v>
      </c>
      <c r="E2451" s="23" t="s">
        <v>3238</v>
      </c>
      <c r="F2451" s="24" t="s">
        <v>3239</v>
      </c>
      <c r="G2451" s="24" t="s">
        <v>88</v>
      </c>
      <c r="H2451" s="309" t="s">
        <v>3245</v>
      </c>
      <c r="I2451" s="46" t="str">
        <f>VLOOKUP(H2451,'合同高级查询数据-4月返'!A:A,1,FALSE)</f>
        <v>182315IDC00094</v>
      </c>
      <c r="J2451" s="309" t="s">
        <v>90</v>
      </c>
      <c r="K2451" s="24" t="s">
        <v>3246</v>
      </c>
      <c r="L2451" s="179"/>
      <c r="M2451" s="312" t="s">
        <v>3247</v>
      </c>
      <c r="N2451" s="313">
        <v>44937</v>
      </c>
      <c r="O2451" s="24" t="s">
        <v>507</v>
      </c>
      <c r="P2451" s="325">
        <v>7950</v>
      </c>
      <c r="Q2451" s="325">
        <v>1</v>
      </c>
      <c r="R2451" s="117">
        <f t="shared" si="71"/>
        <v>7950</v>
      </c>
      <c r="S2451" s="319">
        <v>202304</v>
      </c>
      <c r="T2451" s="233" t="s">
        <v>3275</v>
      </c>
      <c r="U2451" s="233"/>
      <c r="V2451" s="320"/>
      <c r="W2451" s="320"/>
      <c r="X2451" s="313">
        <v>44805</v>
      </c>
      <c r="Y2451" s="229">
        <v>46630</v>
      </c>
    </row>
    <row r="2452" s="5" customFormat="1" customHeight="1" spans="1:25">
      <c r="A2452" s="307" t="s">
        <v>61</v>
      </c>
      <c r="B2452" s="307" t="s">
        <v>3236</v>
      </c>
      <c r="C2452" s="307" t="s">
        <v>3237</v>
      </c>
      <c r="D2452" s="307" t="s">
        <v>85</v>
      </c>
      <c r="E2452" s="23" t="s">
        <v>3238</v>
      </c>
      <c r="F2452" s="24" t="s">
        <v>3239</v>
      </c>
      <c r="G2452" s="24" t="s">
        <v>88</v>
      </c>
      <c r="H2452" s="309" t="s">
        <v>3245</v>
      </c>
      <c r="I2452" s="46" t="str">
        <f>VLOOKUP(H2452,'合同高级查询数据-4月返'!A:A,1,FALSE)</f>
        <v>182315IDC00094</v>
      </c>
      <c r="J2452" s="309" t="s">
        <v>90</v>
      </c>
      <c r="K2452" s="24" t="s">
        <v>3246</v>
      </c>
      <c r="L2452" s="179"/>
      <c r="M2452" s="312" t="s">
        <v>3247</v>
      </c>
      <c r="N2452" s="313">
        <v>44938</v>
      </c>
      <c r="O2452" s="24" t="s">
        <v>507</v>
      </c>
      <c r="P2452" s="325">
        <v>7950</v>
      </c>
      <c r="Q2452" s="325">
        <v>3</v>
      </c>
      <c r="R2452" s="117">
        <f t="shared" si="71"/>
        <v>23850</v>
      </c>
      <c r="S2452" s="319">
        <v>202304</v>
      </c>
      <c r="T2452" s="233" t="s">
        <v>3276</v>
      </c>
      <c r="U2452" s="233"/>
      <c r="V2452" s="320"/>
      <c r="W2452" s="320"/>
      <c r="X2452" s="313">
        <v>44805</v>
      </c>
      <c r="Y2452" s="229">
        <v>46630</v>
      </c>
    </row>
    <row r="2453" s="5" customFormat="1" customHeight="1" spans="1:25">
      <c r="A2453" s="307" t="s">
        <v>61</v>
      </c>
      <c r="B2453" s="307" t="s">
        <v>3236</v>
      </c>
      <c r="C2453" s="307" t="s">
        <v>3237</v>
      </c>
      <c r="D2453" s="307" t="s">
        <v>85</v>
      </c>
      <c r="E2453" s="23" t="s">
        <v>3238</v>
      </c>
      <c r="F2453" s="24" t="s">
        <v>3239</v>
      </c>
      <c r="G2453" s="24" t="s">
        <v>88</v>
      </c>
      <c r="H2453" s="309" t="s">
        <v>3245</v>
      </c>
      <c r="I2453" s="46" t="str">
        <f>VLOOKUP(H2453,'合同高级查询数据-4月返'!A:A,1,FALSE)</f>
        <v>182315IDC00094</v>
      </c>
      <c r="J2453" s="309" t="s">
        <v>90</v>
      </c>
      <c r="K2453" s="24" t="s">
        <v>3246</v>
      </c>
      <c r="L2453" s="179"/>
      <c r="M2453" s="312" t="s">
        <v>3247</v>
      </c>
      <c r="N2453" s="313">
        <v>44957</v>
      </c>
      <c r="O2453" s="24" t="s">
        <v>503</v>
      </c>
      <c r="P2453" s="325">
        <v>3975</v>
      </c>
      <c r="Q2453" s="325">
        <v>1</v>
      </c>
      <c r="R2453" s="117">
        <f t="shared" si="71"/>
        <v>3975</v>
      </c>
      <c r="S2453" s="319">
        <v>202304</v>
      </c>
      <c r="T2453" s="233" t="s">
        <v>3277</v>
      </c>
      <c r="U2453" s="233"/>
      <c r="V2453" s="320"/>
      <c r="W2453" s="320"/>
      <c r="X2453" s="313">
        <v>44805</v>
      </c>
      <c r="Y2453" s="229">
        <v>46630</v>
      </c>
    </row>
    <row r="2454" s="5" customFormat="1" customHeight="1" spans="1:25">
      <c r="A2454" s="307" t="s">
        <v>61</v>
      </c>
      <c r="B2454" s="307" t="s">
        <v>3236</v>
      </c>
      <c r="C2454" s="307" t="s">
        <v>3237</v>
      </c>
      <c r="D2454" s="307" t="s">
        <v>85</v>
      </c>
      <c r="E2454" s="23" t="s">
        <v>3238</v>
      </c>
      <c r="F2454" s="24" t="s">
        <v>3239</v>
      </c>
      <c r="G2454" s="24" t="s">
        <v>88</v>
      </c>
      <c r="H2454" s="309" t="s">
        <v>3245</v>
      </c>
      <c r="I2454" s="46" t="str">
        <f>VLOOKUP(H2454,'合同高级查询数据-4月返'!A:A,1,FALSE)</f>
        <v>182315IDC00094</v>
      </c>
      <c r="J2454" s="309" t="s">
        <v>90</v>
      </c>
      <c r="K2454" s="24" t="s">
        <v>3246</v>
      </c>
      <c r="L2454" s="179"/>
      <c r="M2454" s="312" t="s">
        <v>3247</v>
      </c>
      <c r="N2454" s="313">
        <v>44957</v>
      </c>
      <c r="O2454" s="24" t="s">
        <v>507</v>
      </c>
      <c r="P2454" s="325">
        <v>7950</v>
      </c>
      <c r="Q2454" s="325">
        <v>2</v>
      </c>
      <c r="R2454" s="117">
        <f t="shared" si="71"/>
        <v>15900</v>
      </c>
      <c r="S2454" s="319">
        <v>202304</v>
      </c>
      <c r="T2454" s="233" t="s">
        <v>3278</v>
      </c>
      <c r="U2454" s="233"/>
      <c r="V2454" s="320"/>
      <c r="W2454" s="320"/>
      <c r="X2454" s="313">
        <v>44805</v>
      </c>
      <c r="Y2454" s="229">
        <v>46630</v>
      </c>
    </row>
    <row r="2455" s="5" customFormat="1" customHeight="1" spans="1:25">
      <c r="A2455" s="307" t="s">
        <v>61</v>
      </c>
      <c r="B2455" s="307" t="s">
        <v>3236</v>
      </c>
      <c r="C2455" s="307" t="s">
        <v>3237</v>
      </c>
      <c r="D2455" s="307" t="s">
        <v>85</v>
      </c>
      <c r="E2455" s="23" t="s">
        <v>3238</v>
      </c>
      <c r="F2455" s="24" t="s">
        <v>3239</v>
      </c>
      <c r="G2455" s="24" t="s">
        <v>88</v>
      </c>
      <c r="H2455" s="309" t="s">
        <v>3245</v>
      </c>
      <c r="I2455" s="46" t="str">
        <f>VLOOKUP(H2455,'合同高级查询数据-4月返'!A:A,1,FALSE)</f>
        <v>182315IDC00094</v>
      </c>
      <c r="J2455" s="309" t="s">
        <v>90</v>
      </c>
      <c r="K2455" s="24" t="s">
        <v>3246</v>
      </c>
      <c r="L2455" s="179"/>
      <c r="M2455" s="312" t="s">
        <v>3247</v>
      </c>
      <c r="N2455" s="313">
        <v>44918</v>
      </c>
      <c r="O2455" s="24" t="s">
        <v>507</v>
      </c>
      <c r="P2455" s="325">
        <v>7950</v>
      </c>
      <c r="Q2455" s="325">
        <v>2</v>
      </c>
      <c r="R2455" s="117">
        <f t="shared" si="71"/>
        <v>15900</v>
      </c>
      <c r="S2455" s="319">
        <v>202304</v>
      </c>
      <c r="T2455" s="233" t="s">
        <v>3279</v>
      </c>
      <c r="U2455" s="233"/>
      <c r="V2455" s="320"/>
      <c r="W2455" s="320"/>
      <c r="X2455" s="313">
        <v>44805</v>
      </c>
      <c r="Y2455" s="229">
        <v>46630</v>
      </c>
    </row>
    <row r="2456" s="5" customFormat="1" customHeight="1" spans="1:25">
      <c r="A2456" s="307" t="s">
        <v>61</v>
      </c>
      <c r="B2456" s="307" t="s">
        <v>3236</v>
      </c>
      <c r="C2456" s="307" t="s">
        <v>3237</v>
      </c>
      <c r="D2456" s="307" t="s">
        <v>85</v>
      </c>
      <c r="E2456" s="23" t="s">
        <v>3238</v>
      </c>
      <c r="F2456" s="24" t="s">
        <v>3239</v>
      </c>
      <c r="G2456" s="24" t="s">
        <v>88</v>
      </c>
      <c r="H2456" s="309" t="s">
        <v>3245</v>
      </c>
      <c r="I2456" s="46" t="str">
        <f>VLOOKUP(H2456,'合同高级查询数据-4月返'!A:A,1,FALSE)</f>
        <v>182315IDC00094</v>
      </c>
      <c r="J2456" s="309" t="s">
        <v>90</v>
      </c>
      <c r="K2456" s="24" t="s">
        <v>3246</v>
      </c>
      <c r="L2456" s="179"/>
      <c r="M2456" s="312" t="s">
        <v>3247</v>
      </c>
      <c r="N2456" s="313">
        <v>44958</v>
      </c>
      <c r="O2456" s="24" t="s">
        <v>507</v>
      </c>
      <c r="P2456" s="325">
        <v>7950</v>
      </c>
      <c r="Q2456" s="325">
        <v>16</v>
      </c>
      <c r="R2456" s="117">
        <f t="shared" si="71"/>
        <v>127200</v>
      </c>
      <c r="S2456" s="319">
        <v>202304</v>
      </c>
      <c r="T2456" s="233" t="s">
        <v>3280</v>
      </c>
      <c r="U2456" s="233"/>
      <c r="V2456" s="320"/>
      <c r="W2456" s="320"/>
      <c r="X2456" s="313">
        <v>44805</v>
      </c>
      <c r="Y2456" s="229">
        <v>46630</v>
      </c>
    </row>
    <row r="2457" s="5" customFormat="1" customHeight="1" spans="1:25">
      <c r="A2457" s="307" t="s">
        <v>61</v>
      </c>
      <c r="B2457" s="307" t="s">
        <v>3236</v>
      </c>
      <c r="C2457" s="307" t="s">
        <v>3237</v>
      </c>
      <c r="D2457" s="307" t="s">
        <v>85</v>
      </c>
      <c r="E2457" s="23" t="s">
        <v>3238</v>
      </c>
      <c r="F2457" s="24" t="s">
        <v>3239</v>
      </c>
      <c r="G2457" s="24" t="s">
        <v>88</v>
      </c>
      <c r="H2457" s="309" t="s">
        <v>3245</v>
      </c>
      <c r="I2457" s="46" t="str">
        <f>VLOOKUP(H2457,'合同高级查询数据-4月返'!A:A,1,FALSE)</f>
        <v>182315IDC00094</v>
      </c>
      <c r="J2457" s="309" t="s">
        <v>90</v>
      </c>
      <c r="K2457" s="24" t="s">
        <v>3246</v>
      </c>
      <c r="L2457" s="179"/>
      <c r="M2457" s="312" t="s">
        <v>3247</v>
      </c>
      <c r="N2457" s="313">
        <v>44962</v>
      </c>
      <c r="O2457" s="24" t="s">
        <v>507</v>
      </c>
      <c r="P2457" s="325">
        <v>7950</v>
      </c>
      <c r="Q2457" s="325">
        <v>1</v>
      </c>
      <c r="R2457" s="117">
        <f t="shared" si="71"/>
        <v>7950</v>
      </c>
      <c r="S2457" s="319">
        <v>202304</v>
      </c>
      <c r="T2457" s="233" t="s">
        <v>3281</v>
      </c>
      <c r="U2457" s="233"/>
      <c r="V2457" s="320"/>
      <c r="W2457" s="320"/>
      <c r="X2457" s="313">
        <v>44805</v>
      </c>
      <c r="Y2457" s="229">
        <v>46630</v>
      </c>
    </row>
    <row r="2458" s="5" customFormat="1" customHeight="1" spans="1:25">
      <c r="A2458" s="307" t="s">
        <v>61</v>
      </c>
      <c r="B2458" s="307" t="s">
        <v>3236</v>
      </c>
      <c r="C2458" s="307" t="s">
        <v>3237</v>
      </c>
      <c r="D2458" s="307" t="s">
        <v>85</v>
      </c>
      <c r="E2458" s="23" t="s">
        <v>3238</v>
      </c>
      <c r="F2458" s="24" t="s">
        <v>3239</v>
      </c>
      <c r="G2458" s="24" t="s">
        <v>88</v>
      </c>
      <c r="H2458" s="309" t="s">
        <v>3245</v>
      </c>
      <c r="I2458" s="46" t="str">
        <f>VLOOKUP(H2458,'合同高级查询数据-4月返'!A:A,1,FALSE)</f>
        <v>182315IDC00094</v>
      </c>
      <c r="J2458" s="309" t="s">
        <v>90</v>
      </c>
      <c r="K2458" s="24" t="s">
        <v>3246</v>
      </c>
      <c r="L2458" s="179"/>
      <c r="M2458" s="312" t="s">
        <v>3247</v>
      </c>
      <c r="N2458" s="313">
        <v>44966</v>
      </c>
      <c r="O2458" s="24" t="s">
        <v>507</v>
      </c>
      <c r="P2458" s="325">
        <v>7950</v>
      </c>
      <c r="Q2458" s="325">
        <v>16</v>
      </c>
      <c r="R2458" s="117">
        <f t="shared" si="71"/>
        <v>127200</v>
      </c>
      <c r="S2458" s="319">
        <v>202304</v>
      </c>
      <c r="T2458" s="233" t="s">
        <v>3282</v>
      </c>
      <c r="U2458" s="233"/>
      <c r="V2458" s="320"/>
      <c r="W2458" s="320"/>
      <c r="X2458" s="313">
        <v>44805</v>
      </c>
      <c r="Y2458" s="229">
        <v>46630</v>
      </c>
    </row>
    <row r="2459" s="5" customFormat="1" customHeight="1" spans="1:25">
      <c r="A2459" s="307" t="s">
        <v>61</v>
      </c>
      <c r="B2459" s="307" t="s">
        <v>3236</v>
      </c>
      <c r="C2459" s="307" t="s">
        <v>3237</v>
      </c>
      <c r="D2459" s="307" t="s">
        <v>85</v>
      </c>
      <c r="E2459" s="23" t="s">
        <v>3238</v>
      </c>
      <c r="F2459" s="24" t="s">
        <v>3239</v>
      </c>
      <c r="G2459" s="24" t="s">
        <v>88</v>
      </c>
      <c r="H2459" s="309" t="s">
        <v>3245</v>
      </c>
      <c r="I2459" s="46" t="str">
        <f>VLOOKUP(H2459,'合同高级查询数据-4月返'!A:A,1,FALSE)</f>
        <v>182315IDC00094</v>
      </c>
      <c r="J2459" s="309" t="s">
        <v>90</v>
      </c>
      <c r="K2459" s="24" t="s">
        <v>3246</v>
      </c>
      <c r="L2459" s="179"/>
      <c r="M2459" s="312" t="s">
        <v>3247</v>
      </c>
      <c r="N2459" s="313">
        <v>44967</v>
      </c>
      <c r="O2459" s="24" t="s">
        <v>507</v>
      </c>
      <c r="P2459" s="325">
        <v>7950</v>
      </c>
      <c r="Q2459" s="325">
        <v>2</v>
      </c>
      <c r="R2459" s="117">
        <f t="shared" si="71"/>
        <v>15900</v>
      </c>
      <c r="S2459" s="319">
        <v>202304</v>
      </c>
      <c r="T2459" s="233" t="s">
        <v>3283</v>
      </c>
      <c r="U2459" s="233"/>
      <c r="V2459" s="320"/>
      <c r="W2459" s="320"/>
      <c r="X2459" s="313">
        <v>44805</v>
      </c>
      <c r="Y2459" s="229">
        <v>46630</v>
      </c>
    </row>
    <row r="2460" s="5" customFormat="1" customHeight="1" spans="1:25">
      <c r="A2460" s="307" t="s">
        <v>61</v>
      </c>
      <c r="B2460" s="307" t="s">
        <v>3236</v>
      </c>
      <c r="C2460" s="307" t="s">
        <v>3237</v>
      </c>
      <c r="D2460" s="307" t="s">
        <v>85</v>
      </c>
      <c r="E2460" s="23" t="s">
        <v>3238</v>
      </c>
      <c r="F2460" s="24" t="s">
        <v>3239</v>
      </c>
      <c r="G2460" s="24" t="s">
        <v>88</v>
      </c>
      <c r="H2460" s="309" t="s">
        <v>3245</v>
      </c>
      <c r="I2460" s="46" t="str">
        <f>VLOOKUP(H2460,'合同高级查询数据-4月返'!A:A,1,FALSE)</f>
        <v>182315IDC00094</v>
      </c>
      <c r="J2460" s="309" t="s">
        <v>90</v>
      </c>
      <c r="K2460" s="24" t="s">
        <v>3246</v>
      </c>
      <c r="L2460" s="179"/>
      <c r="M2460" s="312" t="s">
        <v>3247</v>
      </c>
      <c r="N2460" s="313">
        <v>44972</v>
      </c>
      <c r="O2460" s="24" t="s">
        <v>507</v>
      </c>
      <c r="P2460" s="325">
        <v>7950</v>
      </c>
      <c r="Q2460" s="325">
        <v>10</v>
      </c>
      <c r="R2460" s="117">
        <f t="shared" si="71"/>
        <v>79500</v>
      </c>
      <c r="S2460" s="319">
        <v>202304</v>
      </c>
      <c r="T2460" s="233" t="s">
        <v>3284</v>
      </c>
      <c r="U2460" s="233"/>
      <c r="V2460" s="320"/>
      <c r="W2460" s="320"/>
      <c r="X2460" s="313">
        <v>44805</v>
      </c>
      <c r="Y2460" s="229">
        <v>46630</v>
      </c>
    </row>
    <row r="2461" s="5" customFormat="1" customHeight="1" spans="1:25">
      <c r="A2461" s="307" t="s">
        <v>61</v>
      </c>
      <c r="B2461" s="307" t="s">
        <v>3236</v>
      </c>
      <c r="C2461" s="307" t="s">
        <v>3237</v>
      </c>
      <c r="D2461" s="307" t="s">
        <v>85</v>
      </c>
      <c r="E2461" s="23" t="s">
        <v>3238</v>
      </c>
      <c r="F2461" s="24" t="s">
        <v>3239</v>
      </c>
      <c r="G2461" s="24" t="s">
        <v>88</v>
      </c>
      <c r="H2461" s="309" t="s">
        <v>3245</v>
      </c>
      <c r="I2461" s="46" t="str">
        <f>VLOOKUP(H2461,'合同高级查询数据-4月返'!A:A,1,FALSE)</f>
        <v>182315IDC00094</v>
      </c>
      <c r="J2461" s="309" t="s">
        <v>90</v>
      </c>
      <c r="K2461" s="24" t="s">
        <v>3246</v>
      </c>
      <c r="L2461" s="179"/>
      <c r="M2461" s="312" t="s">
        <v>3247</v>
      </c>
      <c r="N2461" s="313">
        <v>44974</v>
      </c>
      <c r="O2461" s="24" t="s">
        <v>507</v>
      </c>
      <c r="P2461" s="325">
        <v>7950</v>
      </c>
      <c r="Q2461" s="325">
        <v>2</v>
      </c>
      <c r="R2461" s="117">
        <f t="shared" si="71"/>
        <v>15900</v>
      </c>
      <c r="S2461" s="319">
        <v>202304</v>
      </c>
      <c r="T2461" s="233" t="s">
        <v>3285</v>
      </c>
      <c r="U2461" s="233"/>
      <c r="V2461" s="320"/>
      <c r="W2461" s="320"/>
      <c r="X2461" s="313">
        <v>44805</v>
      </c>
      <c r="Y2461" s="229">
        <v>46630</v>
      </c>
    </row>
    <row r="2462" s="5" customFormat="1" customHeight="1" spans="1:25">
      <c r="A2462" s="307" t="s">
        <v>61</v>
      </c>
      <c r="B2462" s="307" t="s">
        <v>3236</v>
      </c>
      <c r="C2462" s="307" t="s">
        <v>3237</v>
      </c>
      <c r="D2462" s="307" t="s">
        <v>85</v>
      </c>
      <c r="E2462" s="23" t="s">
        <v>3238</v>
      </c>
      <c r="F2462" s="24" t="s">
        <v>3239</v>
      </c>
      <c r="G2462" s="24" t="s">
        <v>88</v>
      </c>
      <c r="H2462" s="309" t="s">
        <v>3245</v>
      </c>
      <c r="I2462" s="46" t="str">
        <f>VLOOKUP(H2462,'合同高级查询数据-4月返'!A:A,1,FALSE)</f>
        <v>182315IDC00094</v>
      </c>
      <c r="J2462" s="309" t="s">
        <v>90</v>
      </c>
      <c r="K2462" s="24" t="s">
        <v>3246</v>
      </c>
      <c r="L2462" s="179"/>
      <c r="M2462" s="312" t="s">
        <v>3247</v>
      </c>
      <c r="N2462" s="313">
        <v>44978</v>
      </c>
      <c r="O2462" s="24" t="s">
        <v>507</v>
      </c>
      <c r="P2462" s="325">
        <v>7950</v>
      </c>
      <c r="Q2462" s="325">
        <v>10</v>
      </c>
      <c r="R2462" s="117">
        <f t="shared" si="71"/>
        <v>79500</v>
      </c>
      <c r="S2462" s="319">
        <v>202304</v>
      </c>
      <c r="T2462" s="233" t="s">
        <v>3286</v>
      </c>
      <c r="U2462" s="233"/>
      <c r="V2462" s="320"/>
      <c r="W2462" s="320"/>
      <c r="X2462" s="313">
        <v>44805</v>
      </c>
      <c r="Y2462" s="229">
        <v>46630</v>
      </c>
    </row>
    <row r="2463" s="5" customFormat="1" customHeight="1" spans="1:25">
      <c r="A2463" s="307" t="s">
        <v>61</v>
      </c>
      <c r="B2463" s="307" t="s">
        <v>3236</v>
      </c>
      <c r="C2463" s="307" t="s">
        <v>3237</v>
      </c>
      <c r="D2463" s="307" t="s">
        <v>85</v>
      </c>
      <c r="E2463" s="23" t="s">
        <v>3238</v>
      </c>
      <c r="F2463" s="24" t="s">
        <v>3239</v>
      </c>
      <c r="G2463" s="24" t="s">
        <v>88</v>
      </c>
      <c r="H2463" s="309" t="s">
        <v>3245</v>
      </c>
      <c r="I2463" s="46" t="str">
        <f>VLOOKUP(H2463,'合同高级查询数据-4月返'!A:A,1,FALSE)</f>
        <v>182315IDC00094</v>
      </c>
      <c r="J2463" s="309" t="s">
        <v>90</v>
      </c>
      <c r="K2463" s="24" t="s">
        <v>3246</v>
      </c>
      <c r="L2463" s="179"/>
      <c r="M2463" s="312" t="s">
        <v>3247</v>
      </c>
      <c r="N2463" s="313">
        <v>44981</v>
      </c>
      <c r="O2463" s="24" t="s">
        <v>507</v>
      </c>
      <c r="P2463" s="325">
        <v>7950</v>
      </c>
      <c r="Q2463" s="325">
        <v>18</v>
      </c>
      <c r="R2463" s="117">
        <f t="shared" si="71"/>
        <v>143100</v>
      </c>
      <c r="S2463" s="319">
        <v>202304</v>
      </c>
      <c r="T2463" s="233" t="s">
        <v>3287</v>
      </c>
      <c r="U2463" s="233"/>
      <c r="V2463" s="320"/>
      <c r="W2463" s="320"/>
      <c r="X2463" s="313">
        <v>44805</v>
      </c>
      <c r="Y2463" s="229">
        <v>46630</v>
      </c>
    </row>
    <row r="2464" s="5" customFormat="1" customHeight="1" spans="1:25">
      <c r="A2464" s="307" t="s">
        <v>61</v>
      </c>
      <c r="B2464" s="307" t="s">
        <v>3236</v>
      </c>
      <c r="C2464" s="307" t="s">
        <v>3237</v>
      </c>
      <c r="D2464" s="307" t="s">
        <v>85</v>
      </c>
      <c r="E2464" s="23" t="s">
        <v>3238</v>
      </c>
      <c r="F2464" s="24" t="s">
        <v>3239</v>
      </c>
      <c r="G2464" s="24" t="s">
        <v>88</v>
      </c>
      <c r="H2464" s="309" t="s">
        <v>3245</v>
      </c>
      <c r="I2464" s="46" t="str">
        <f>VLOOKUP(H2464,'合同高级查询数据-4月返'!A:A,1,FALSE)</f>
        <v>182315IDC00094</v>
      </c>
      <c r="J2464" s="309" t="s">
        <v>90</v>
      </c>
      <c r="K2464" s="24" t="s">
        <v>3246</v>
      </c>
      <c r="L2464" s="179"/>
      <c r="M2464" s="312" t="s">
        <v>3247</v>
      </c>
      <c r="N2464" s="313">
        <v>44982</v>
      </c>
      <c r="O2464" s="24" t="s">
        <v>507</v>
      </c>
      <c r="P2464" s="325">
        <v>7950</v>
      </c>
      <c r="Q2464" s="325">
        <v>5</v>
      </c>
      <c r="R2464" s="117">
        <f t="shared" si="71"/>
        <v>39750</v>
      </c>
      <c r="S2464" s="319">
        <v>202304</v>
      </c>
      <c r="T2464" s="233" t="s">
        <v>3288</v>
      </c>
      <c r="U2464" s="233"/>
      <c r="V2464" s="320"/>
      <c r="W2464" s="320"/>
      <c r="X2464" s="313">
        <v>44805</v>
      </c>
      <c r="Y2464" s="229">
        <v>46630</v>
      </c>
    </row>
    <row r="2465" s="5" customFormat="1" customHeight="1" spans="1:25">
      <c r="A2465" s="307" t="s">
        <v>61</v>
      </c>
      <c r="B2465" s="307" t="s">
        <v>3236</v>
      </c>
      <c r="C2465" s="307" t="s">
        <v>3237</v>
      </c>
      <c r="D2465" s="307" t="s">
        <v>85</v>
      </c>
      <c r="E2465" s="23" t="s">
        <v>3238</v>
      </c>
      <c r="F2465" s="24" t="s">
        <v>3239</v>
      </c>
      <c r="G2465" s="24" t="s">
        <v>88</v>
      </c>
      <c r="H2465" s="309" t="s">
        <v>3245</v>
      </c>
      <c r="I2465" s="46" t="str">
        <f>VLOOKUP(H2465,'合同高级查询数据-4月返'!A:A,1,FALSE)</f>
        <v>182315IDC00094</v>
      </c>
      <c r="J2465" s="309" t="s">
        <v>90</v>
      </c>
      <c r="K2465" s="24" t="s">
        <v>3246</v>
      </c>
      <c r="L2465" s="179"/>
      <c r="M2465" s="312" t="s">
        <v>3247</v>
      </c>
      <c r="N2465" s="313">
        <v>44985</v>
      </c>
      <c r="O2465" s="24" t="s">
        <v>507</v>
      </c>
      <c r="P2465" s="325">
        <v>7950</v>
      </c>
      <c r="Q2465" s="325">
        <v>2</v>
      </c>
      <c r="R2465" s="117">
        <f t="shared" si="71"/>
        <v>15900</v>
      </c>
      <c r="S2465" s="319">
        <v>202304</v>
      </c>
      <c r="T2465" s="233" t="s">
        <v>3289</v>
      </c>
      <c r="U2465" s="233"/>
      <c r="V2465" s="320"/>
      <c r="W2465" s="320"/>
      <c r="X2465" s="313">
        <v>44805</v>
      </c>
      <c r="Y2465" s="229">
        <v>46630</v>
      </c>
    </row>
    <row r="2466" s="5" customFormat="1" customHeight="1" spans="1:25">
      <c r="A2466" s="307" t="s">
        <v>61</v>
      </c>
      <c r="B2466" s="307" t="s">
        <v>3236</v>
      </c>
      <c r="C2466" s="307" t="s">
        <v>3237</v>
      </c>
      <c r="D2466" s="307" t="s">
        <v>85</v>
      </c>
      <c r="E2466" s="23" t="s">
        <v>3238</v>
      </c>
      <c r="F2466" s="24" t="s">
        <v>3239</v>
      </c>
      <c r="G2466" s="24" t="s">
        <v>88</v>
      </c>
      <c r="H2466" s="309" t="s">
        <v>3245</v>
      </c>
      <c r="I2466" s="46" t="str">
        <f>VLOOKUP(H2466,'合同高级查询数据-4月返'!A:A,1,FALSE)</f>
        <v>182315IDC00094</v>
      </c>
      <c r="J2466" s="309" t="s">
        <v>90</v>
      </c>
      <c r="K2466" s="24" t="s">
        <v>3246</v>
      </c>
      <c r="L2466" s="179"/>
      <c r="M2466" s="312" t="s">
        <v>3247</v>
      </c>
      <c r="N2466" s="313">
        <v>44985</v>
      </c>
      <c r="O2466" s="24" t="s">
        <v>503</v>
      </c>
      <c r="P2466" s="325">
        <v>3975</v>
      </c>
      <c r="Q2466" s="325">
        <v>1</v>
      </c>
      <c r="R2466" s="117">
        <f t="shared" si="71"/>
        <v>3975</v>
      </c>
      <c r="S2466" s="319">
        <v>202304</v>
      </c>
      <c r="T2466" s="233" t="s">
        <v>3290</v>
      </c>
      <c r="U2466" s="233"/>
      <c r="V2466" s="320"/>
      <c r="W2466" s="320"/>
      <c r="X2466" s="313">
        <v>44805</v>
      </c>
      <c r="Y2466" s="229">
        <v>46630</v>
      </c>
    </row>
    <row r="2467" s="5" customFormat="1" customHeight="1" spans="1:25">
      <c r="A2467" s="307" t="s">
        <v>61</v>
      </c>
      <c r="B2467" s="307" t="s">
        <v>3236</v>
      </c>
      <c r="C2467" s="307" t="s">
        <v>3237</v>
      </c>
      <c r="D2467" s="307" t="s">
        <v>85</v>
      </c>
      <c r="E2467" s="23" t="s">
        <v>3238</v>
      </c>
      <c r="F2467" s="24" t="s">
        <v>3239</v>
      </c>
      <c r="G2467" s="24" t="s">
        <v>88</v>
      </c>
      <c r="H2467" s="309" t="s">
        <v>3245</v>
      </c>
      <c r="I2467" s="46" t="str">
        <f>VLOOKUP(H2467,'合同高级查询数据-4月返'!A:A,1,FALSE)</f>
        <v>182315IDC00094</v>
      </c>
      <c r="J2467" s="309" t="s">
        <v>90</v>
      </c>
      <c r="K2467" s="24" t="s">
        <v>3246</v>
      </c>
      <c r="L2467" s="179"/>
      <c r="M2467" s="312" t="s">
        <v>3247</v>
      </c>
      <c r="N2467" s="313">
        <v>44986</v>
      </c>
      <c r="O2467" s="24" t="s">
        <v>507</v>
      </c>
      <c r="P2467" s="325">
        <v>7950</v>
      </c>
      <c r="Q2467" s="325">
        <v>2</v>
      </c>
      <c r="R2467" s="117">
        <f t="shared" si="71"/>
        <v>15900</v>
      </c>
      <c r="S2467" s="319">
        <v>202304</v>
      </c>
      <c r="T2467" s="233" t="s">
        <v>3291</v>
      </c>
      <c r="U2467" s="233"/>
      <c r="V2467" s="320"/>
      <c r="W2467" s="320"/>
      <c r="X2467" s="313">
        <v>44805</v>
      </c>
      <c r="Y2467" s="229">
        <v>46630</v>
      </c>
    </row>
    <row r="2468" s="5" customFormat="1" customHeight="1" spans="1:25">
      <c r="A2468" s="307" t="s">
        <v>61</v>
      </c>
      <c r="B2468" s="307" t="s">
        <v>3236</v>
      </c>
      <c r="C2468" s="307" t="s">
        <v>3237</v>
      </c>
      <c r="D2468" s="307" t="s">
        <v>85</v>
      </c>
      <c r="E2468" s="23" t="s">
        <v>3238</v>
      </c>
      <c r="F2468" s="24" t="s">
        <v>3239</v>
      </c>
      <c r="G2468" s="24" t="s">
        <v>88</v>
      </c>
      <c r="H2468" s="309" t="s">
        <v>3245</v>
      </c>
      <c r="I2468" s="46" t="str">
        <f>VLOOKUP(H2468,'合同高级查询数据-4月返'!A:A,1,FALSE)</f>
        <v>182315IDC00094</v>
      </c>
      <c r="J2468" s="309" t="s">
        <v>90</v>
      </c>
      <c r="K2468" s="24" t="s">
        <v>3246</v>
      </c>
      <c r="L2468" s="179"/>
      <c r="M2468" s="312" t="s">
        <v>3247</v>
      </c>
      <c r="N2468" s="313">
        <v>44987</v>
      </c>
      <c r="O2468" s="24" t="s">
        <v>507</v>
      </c>
      <c r="P2468" s="325">
        <v>7950</v>
      </c>
      <c r="Q2468" s="325">
        <v>1</v>
      </c>
      <c r="R2468" s="117">
        <f t="shared" si="71"/>
        <v>7950</v>
      </c>
      <c r="S2468" s="319">
        <v>202304</v>
      </c>
      <c r="T2468" s="233" t="s">
        <v>3292</v>
      </c>
      <c r="U2468" s="233"/>
      <c r="V2468" s="320"/>
      <c r="W2468" s="320"/>
      <c r="X2468" s="313">
        <v>44805</v>
      </c>
      <c r="Y2468" s="229">
        <v>46630</v>
      </c>
    </row>
    <row r="2469" s="5" customFormat="1" customHeight="1" spans="1:25">
      <c r="A2469" s="307" t="s">
        <v>61</v>
      </c>
      <c r="B2469" s="307" t="s">
        <v>3236</v>
      </c>
      <c r="C2469" s="307" t="s">
        <v>3237</v>
      </c>
      <c r="D2469" s="307" t="s">
        <v>85</v>
      </c>
      <c r="E2469" s="23" t="s">
        <v>3238</v>
      </c>
      <c r="F2469" s="24" t="s">
        <v>3239</v>
      </c>
      <c r="G2469" s="24" t="s">
        <v>88</v>
      </c>
      <c r="H2469" s="309" t="s">
        <v>3245</v>
      </c>
      <c r="I2469" s="46" t="str">
        <f>VLOOKUP(H2469,'合同高级查询数据-4月返'!A:A,1,FALSE)</f>
        <v>182315IDC00094</v>
      </c>
      <c r="J2469" s="309" t="s">
        <v>90</v>
      </c>
      <c r="K2469" s="24" t="s">
        <v>3246</v>
      </c>
      <c r="L2469" s="179"/>
      <c r="M2469" s="312" t="s">
        <v>3247</v>
      </c>
      <c r="N2469" s="313">
        <v>44988</v>
      </c>
      <c r="O2469" s="24" t="s">
        <v>507</v>
      </c>
      <c r="P2469" s="325">
        <v>7950</v>
      </c>
      <c r="Q2469" s="325">
        <v>24</v>
      </c>
      <c r="R2469" s="117">
        <f t="shared" si="71"/>
        <v>190800</v>
      </c>
      <c r="S2469" s="319">
        <v>202304</v>
      </c>
      <c r="T2469" s="233" t="s">
        <v>3293</v>
      </c>
      <c r="U2469" s="233"/>
      <c r="V2469" s="320"/>
      <c r="W2469" s="320"/>
      <c r="X2469" s="313">
        <v>44805</v>
      </c>
      <c r="Y2469" s="229">
        <v>46630</v>
      </c>
    </row>
    <row r="2470" s="5" customFormat="1" customHeight="1" spans="1:25">
      <c r="A2470" s="307" t="s">
        <v>61</v>
      </c>
      <c r="B2470" s="307" t="s">
        <v>3236</v>
      </c>
      <c r="C2470" s="307" t="s">
        <v>3237</v>
      </c>
      <c r="D2470" s="307" t="s">
        <v>85</v>
      </c>
      <c r="E2470" s="23" t="s">
        <v>3238</v>
      </c>
      <c r="F2470" s="24" t="s">
        <v>3239</v>
      </c>
      <c r="G2470" s="24" t="s">
        <v>88</v>
      </c>
      <c r="H2470" s="309" t="s">
        <v>3245</v>
      </c>
      <c r="I2470" s="46" t="str">
        <f>VLOOKUP(H2470,'合同高级查询数据-4月返'!A:A,1,FALSE)</f>
        <v>182315IDC00094</v>
      </c>
      <c r="J2470" s="309" t="s">
        <v>90</v>
      </c>
      <c r="K2470" s="24" t="s">
        <v>3246</v>
      </c>
      <c r="L2470" s="179"/>
      <c r="M2470" s="312" t="s">
        <v>3247</v>
      </c>
      <c r="N2470" s="313">
        <v>44991</v>
      </c>
      <c r="O2470" s="24" t="s">
        <v>507</v>
      </c>
      <c r="P2470" s="325">
        <v>7950</v>
      </c>
      <c r="Q2470" s="325">
        <v>6</v>
      </c>
      <c r="R2470" s="117">
        <f t="shared" si="71"/>
        <v>47700</v>
      </c>
      <c r="S2470" s="319">
        <v>202304</v>
      </c>
      <c r="T2470" s="233" t="s">
        <v>3294</v>
      </c>
      <c r="U2470" s="233"/>
      <c r="V2470" s="320"/>
      <c r="W2470" s="320"/>
      <c r="X2470" s="313">
        <v>44805</v>
      </c>
      <c r="Y2470" s="229">
        <v>46630</v>
      </c>
    </row>
    <row r="2471" s="5" customFormat="1" customHeight="1" spans="1:25">
      <c r="A2471" s="307" t="s">
        <v>61</v>
      </c>
      <c r="B2471" s="307" t="s">
        <v>3236</v>
      </c>
      <c r="C2471" s="307" t="s">
        <v>3237</v>
      </c>
      <c r="D2471" s="307" t="s">
        <v>85</v>
      </c>
      <c r="E2471" s="23" t="s">
        <v>3238</v>
      </c>
      <c r="F2471" s="24" t="s">
        <v>3239</v>
      </c>
      <c r="G2471" s="24" t="s">
        <v>88</v>
      </c>
      <c r="H2471" s="309" t="s">
        <v>3245</v>
      </c>
      <c r="I2471" s="46" t="str">
        <f>VLOOKUP(H2471,'合同高级查询数据-4月返'!A:A,1,FALSE)</f>
        <v>182315IDC00094</v>
      </c>
      <c r="J2471" s="309" t="s">
        <v>90</v>
      </c>
      <c r="K2471" s="24" t="s">
        <v>3246</v>
      </c>
      <c r="L2471" s="179"/>
      <c r="M2471" s="312" t="s">
        <v>3247</v>
      </c>
      <c r="N2471" s="313">
        <v>44992</v>
      </c>
      <c r="O2471" s="24" t="s">
        <v>507</v>
      </c>
      <c r="P2471" s="325">
        <v>7950</v>
      </c>
      <c r="Q2471" s="325">
        <v>29</v>
      </c>
      <c r="R2471" s="117">
        <f t="shared" si="71"/>
        <v>230550</v>
      </c>
      <c r="S2471" s="319">
        <v>202304</v>
      </c>
      <c r="T2471" s="233" t="s">
        <v>3295</v>
      </c>
      <c r="U2471" s="233"/>
      <c r="V2471" s="320"/>
      <c r="W2471" s="320"/>
      <c r="X2471" s="313">
        <v>44805</v>
      </c>
      <c r="Y2471" s="229">
        <v>46630</v>
      </c>
    </row>
    <row r="2472" s="5" customFormat="1" customHeight="1" spans="1:25">
      <c r="A2472" s="307" t="s">
        <v>61</v>
      </c>
      <c r="B2472" s="307" t="s">
        <v>3236</v>
      </c>
      <c r="C2472" s="307" t="s">
        <v>3237</v>
      </c>
      <c r="D2472" s="307" t="s">
        <v>85</v>
      </c>
      <c r="E2472" s="23" t="s">
        <v>3238</v>
      </c>
      <c r="F2472" s="24" t="s">
        <v>3239</v>
      </c>
      <c r="G2472" s="24" t="s">
        <v>88</v>
      </c>
      <c r="H2472" s="309" t="s">
        <v>3245</v>
      </c>
      <c r="I2472" s="46" t="str">
        <f>VLOOKUP(H2472,'合同高级查询数据-4月返'!A:A,1,FALSE)</f>
        <v>182315IDC00094</v>
      </c>
      <c r="J2472" s="309" t="s">
        <v>90</v>
      </c>
      <c r="K2472" s="24" t="s">
        <v>3246</v>
      </c>
      <c r="L2472" s="179"/>
      <c r="M2472" s="312" t="s">
        <v>3247</v>
      </c>
      <c r="N2472" s="313">
        <v>44992</v>
      </c>
      <c r="O2472" s="24" t="s">
        <v>507</v>
      </c>
      <c r="P2472" s="325">
        <v>7950</v>
      </c>
      <c r="Q2472" s="325">
        <v>4</v>
      </c>
      <c r="R2472" s="117">
        <f>ROUND(P2472*Q2472*25/31,2)</f>
        <v>25645.16</v>
      </c>
      <c r="S2472" s="319">
        <v>202303</v>
      </c>
      <c r="T2472" s="233" t="s">
        <v>3296</v>
      </c>
      <c r="U2472" s="233"/>
      <c r="V2472" s="320"/>
      <c r="W2472" s="320"/>
      <c r="X2472" s="313">
        <v>44805</v>
      </c>
      <c r="Y2472" s="229">
        <v>46630</v>
      </c>
    </row>
    <row r="2473" s="5" customFormat="1" customHeight="1" spans="1:25">
      <c r="A2473" s="307" t="s">
        <v>61</v>
      </c>
      <c r="B2473" s="307" t="s">
        <v>3236</v>
      </c>
      <c r="C2473" s="307" t="s">
        <v>3237</v>
      </c>
      <c r="D2473" s="307" t="s">
        <v>85</v>
      </c>
      <c r="E2473" s="23" t="s">
        <v>3238</v>
      </c>
      <c r="F2473" s="24" t="s">
        <v>3239</v>
      </c>
      <c r="G2473" s="24" t="s">
        <v>88</v>
      </c>
      <c r="H2473" s="309" t="s">
        <v>3245</v>
      </c>
      <c r="I2473" s="46" t="str">
        <f>VLOOKUP(H2473,'合同高级查询数据-4月返'!A:A,1,FALSE)</f>
        <v>182315IDC00094</v>
      </c>
      <c r="J2473" s="309" t="s">
        <v>90</v>
      </c>
      <c r="K2473" s="24" t="s">
        <v>3246</v>
      </c>
      <c r="L2473" s="179"/>
      <c r="M2473" s="312" t="s">
        <v>3247</v>
      </c>
      <c r="N2473" s="313">
        <v>44994</v>
      </c>
      <c r="O2473" s="24" t="s">
        <v>507</v>
      </c>
      <c r="P2473" s="325">
        <v>7950</v>
      </c>
      <c r="Q2473" s="325">
        <v>6</v>
      </c>
      <c r="R2473" s="117">
        <f t="shared" si="71"/>
        <v>47700</v>
      </c>
      <c r="S2473" s="319">
        <v>202304</v>
      </c>
      <c r="T2473" s="233" t="s">
        <v>3297</v>
      </c>
      <c r="U2473" s="233"/>
      <c r="V2473" s="320"/>
      <c r="W2473" s="320"/>
      <c r="X2473" s="313">
        <v>44805</v>
      </c>
      <c r="Y2473" s="229">
        <v>46630</v>
      </c>
    </row>
    <row r="2474" s="5" customFormat="1" customHeight="1" spans="1:25">
      <c r="A2474" s="307" t="s">
        <v>61</v>
      </c>
      <c r="B2474" s="307" t="s">
        <v>3236</v>
      </c>
      <c r="C2474" s="307" t="s">
        <v>3237</v>
      </c>
      <c r="D2474" s="307" t="s">
        <v>85</v>
      </c>
      <c r="E2474" s="23" t="s">
        <v>3238</v>
      </c>
      <c r="F2474" s="24" t="s">
        <v>3239</v>
      </c>
      <c r="G2474" s="24" t="s">
        <v>88</v>
      </c>
      <c r="H2474" s="309" t="s">
        <v>3245</v>
      </c>
      <c r="I2474" s="46" t="str">
        <f>VLOOKUP(H2474,'合同高级查询数据-4月返'!A:A,1,FALSE)</f>
        <v>182315IDC00094</v>
      </c>
      <c r="J2474" s="309" t="s">
        <v>90</v>
      </c>
      <c r="K2474" s="24" t="s">
        <v>3246</v>
      </c>
      <c r="L2474" s="179"/>
      <c r="M2474" s="312" t="s">
        <v>3247</v>
      </c>
      <c r="N2474" s="313">
        <v>44995</v>
      </c>
      <c r="O2474" s="24" t="s">
        <v>507</v>
      </c>
      <c r="P2474" s="325">
        <v>7950</v>
      </c>
      <c r="Q2474" s="325">
        <v>3</v>
      </c>
      <c r="R2474" s="117">
        <f t="shared" si="71"/>
        <v>23850</v>
      </c>
      <c r="S2474" s="319">
        <v>202304</v>
      </c>
      <c r="T2474" s="233" t="s">
        <v>3298</v>
      </c>
      <c r="U2474" s="233"/>
      <c r="V2474" s="320"/>
      <c r="W2474" s="320"/>
      <c r="X2474" s="313">
        <v>44805</v>
      </c>
      <c r="Y2474" s="229">
        <v>46630</v>
      </c>
    </row>
    <row r="2475" s="5" customFormat="1" customHeight="1" spans="1:25">
      <c r="A2475" s="307" t="s">
        <v>61</v>
      </c>
      <c r="B2475" s="307" t="s">
        <v>3236</v>
      </c>
      <c r="C2475" s="307" t="s">
        <v>3237</v>
      </c>
      <c r="D2475" s="307" t="s">
        <v>85</v>
      </c>
      <c r="E2475" s="23" t="s">
        <v>3238</v>
      </c>
      <c r="F2475" s="24" t="s">
        <v>3239</v>
      </c>
      <c r="G2475" s="24" t="s">
        <v>88</v>
      </c>
      <c r="H2475" s="309" t="s">
        <v>3245</v>
      </c>
      <c r="I2475" s="46" t="str">
        <f>VLOOKUP(H2475,'合同高级查询数据-4月返'!A:A,1,FALSE)</f>
        <v>182315IDC00094</v>
      </c>
      <c r="J2475" s="309" t="s">
        <v>90</v>
      </c>
      <c r="K2475" s="24" t="s">
        <v>3246</v>
      </c>
      <c r="L2475" s="179"/>
      <c r="M2475" s="312" t="s">
        <v>3247</v>
      </c>
      <c r="N2475" s="313">
        <v>44999</v>
      </c>
      <c r="O2475" s="24" t="s">
        <v>507</v>
      </c>
      <c r="P2475" s="325">
        <v>7950</v>
      </c>
      <c r="Q2475" s="325">
        <v>6</v>
      </c>
      <c r="R2475" s="117">
        <f t="shared" si="71"/>
        <v>47700</v>
      </c>
      <c r="S2475" s="319">
        <v>202304</v>
      </c>
      <c r="T2475" s="233" t="s">
        <v>3299</v>
      </c>
      <c r="U2475" s="233"/>
      <c r="V2475" s="320"/>
      <c r="W2475" s="320"/>
      <c r="X2475" s="313">
        <v>44805</v>
      </c>
      <c r="Y2475" s="229">
        <v>46630</v>
      </c>
    </row>
    <row r="2476" s="5" customFormat="1" customHeight="1" spans="1:25">
      <c r="A2476" s="307" t="s">
        <v>61</v>
      </c>
      <c r="B2476" s="307" t="s">
        <v>3236</v>
      </c>
      <c r="C2476" s="307" t="s">
        <v>3237</v>
      </c>
      <c r="D2476" s="307" t="s">
        <v>85</v>
      </c>
      <c r="E2476" s="23" t="s">
        <v>3238</v>
      </c>
      <c r="F2476" s="24" t="s">
        <v>3239</v>
      </c>
      <c r="G2476" s="24" t="s">
        <v>88</v>
      </c>
      <c r="H2476" s="309" t="s">
        <v>3245</v>
      </c>
      <c r="I2476" s="46" t="str">
        <f>VLOOKUP(H2476,'合同高级查询数据-4月返'!A:A,1,FALSE)</f>
        <v>182315IDC00094</v>
      </c>
      <c r="J2476" s="309" t="s">
        <v>90</v>
      </c>
      <c r="K2476" s="24" t="s">
        <v>3246</v>
      </c>
      <c r="L2476" s="179"/>
      <c r="M2476" s="312" t="s">
        <v>3247</v>
      </c>
      <c r="N2476" s="313">
        <v>45000</v>
      </c>
      <c r="O2476" s="24" t="s">
        <v>507</v>
      </c>
      <c r="P2476" s="325">
        <v>7950</v>
      </c>
      <c r="Q2476" s="325">
        <v>4</v>
      </c>
      <c r="R2476" s="117">
        <f t="shared" si="71"/>
        <v>31800</v>
      </c>
      <c r="S2476" s="319">
        <v>202304</v>
      </c>
      <c r="T2476" s="233" t="s">
        <v>3300</v>
      </c>
      <c r="U2476" s="233"/>
      <c r="V2476" s="320"/>
      <c r="W2476" s="320"/>
      <c r="X2476" s="313">
        <v>44805</v>
      </c>
      <c r="Y2476" s="229">
        <v>46630</v>
      </c>
    </row>
    <row r="2477" s="5" customFormat="1" customHeight="1" spans="1:25">
      <c r="A2477" s="307" t="s">
        <v>61</v>
      </c>
      <c r="B2477" s="307" t="s">
        <v>3236</v>
      </c>
      <c r="C2477" s="307" t="s">
        <v>3237</v>
      </c>
      <c r="D2477" s="307" t="s">
        <v>85</v>
      </c>
      <c r="E2477" s="23" t="s">
        <v>3238</v>
      </c>
      <c r="F2477" s="24" t="s">
        <v>3239</v>
      </c>
      <c r="G2477" s="24" t="s">
        <v>88</v>
      </c>
      <c r="H2477" s="309" t="s">
        <v>3245</v>
      </c>
      <c r="I2477" s="46" t="str">
        <f>VLOOKUP(H2477,'合同高级查询数据-4月返'!A:A,1,FALSE)</f>
        <v>182315IDC00094</v>
      </c>
      <c r="J2477" s="309" t="s">
        <v>90</v>
      </c>
      <c r="K2477" s="24" t="s">
        <v>3246</v>
      </c>
      <c r="L2477" s="179"/>
      <c r="M2477" s="312" t="s">
        <v>3247</v>
      </c>
      <c r="N2477" s="313">
        <v>45000</v>
      </c>
      <c r="O2477" s="24" t="s">
        <v>507</v>
      </c>
      <c r="P2477" s="325">
        <v>7950</v>
      </c>
      <c r="Q2477" s="325">
        <v>-5</v>
      </c>
      <c r="R2477" s="117">
        <f t="shared" si="71"/>
        <v>-39750</v>
      </c>
      <c r="S2477" s="319">
        <v>202304</v>
      </c>
      <c r="T2477" s="233" t="s">
        <v>3301</v>
      </c>
      <c r="U2477" s="233"/>
      <c r="V2477" s="320"/>
      <c r="W2477" s="320"/>
      <c r="X2477" s="313">
        <v>44805</v>
      </c>
      <c r="Y2477" s="229">
        <v>46630</v>
      </c>
    </row>
    <row r="2478" s="5" customFormat="1" customHeight="1" spans="1:25">
      <c r="A2478" s="307" t="s">
        <v>61</v>
      </c>
      <c r="B2478" s="307" t="s">
        <v>3236</v>
      </c>
      <c r="C2478" s="307" t="s">
        <v>3237</v>
      </c>
      <c r="D2478" s="307" t="s">
        <v>85</v>
      </c>
      <c r="E2478" s="23" t="s">
        <v>3238</v>
      </c>
      <c r="F2478" s="24" t="s">
        <v>3239</v>
      </c>
      <c r="G2478" s="24" t="s">
        <v>88</v>
      </c>
      <c r="H2478" s="309" t="s">
        <v>3245</v>
      </c>
      <c r="I2478" s="46" t="str">
        <f>VLOOKUP(H2478,'合同高级查询数据-4月返'!A:A,1,FALSE)</f>
        <v>182315IDC00094</v>
      </c>
      <c r="J2478" s="309" t="s">
        <v>90</v>
      </c>
      <c r="K2478" s="24" t="s">
        <v>3246</v>
      </c>
      <c r="L2478" s="179"/>
      <c r="M2478" s="312" t="s">
        <v>3247</v>
      </c>
      <c r="N2478" s="313">
        <v>45001</v>
      </c>
      <c r="O2478" s="24" t="s">
        <v>507</v>
      </c>
      <c r="P2478" s="325">
        <v>7950</v>
      </c>
      <c r="Q2478" s="325">
        <v>10</v>
      </c>
      <c r="R2478" s="117">
        <f t="shared" si="71"/>
        <v>79500</v>
      </c>
      <c r="S2478" s="319">
        <v>202304</v>
      </c>
      <c r="T2478" s="233" t="s">
        <v>3302</v>
      </c>
      <c r="U2478" s="233"/>
      <c r="V2478" s="320"/>
      <c r="W2478" s="320"/>
      <c r="X2478" s="313">
        <v>44805</v>
      </c>
      <c r="Y2478" s="229">
        <v>46630</v>
      </c>
    </row>
    <row r="2479" s="5" customFormat="1" customHeight="1" spans="1:25">
      <c r="A2479" s="307" t="s">
        <v>61</v>
      </c>
      <c r="B2479" s="307" t="s">
        <v>3236</v>
      </c>
      <c r="C2479" s="307" t="s">
        <v>3237</v>
      </c>
      <c r="D2479" s="307" t="s">
        <v>85</v>
      </c>
      <c r="E2479" s="23" t="s">
        <v>3238</v>
      </c>
      <c r="F2479" s="24" t="s">
        <v>3239</v>
      </c>
      <c r="G2479" s="24" t="s">
        <v>88</v>
      </c>
      <c r="H2479" s="309" t="s">
        <v>3245</v>
      </c>
      <c r="I2479" s="46" t="str">
        <f>VLOOKUP(H2479,'合同高级查询数据-4月返'!A:A,1,FALSE)</f>
        <v>182315IDC00094</v>
      </c>
      <c r="J2479" s="309" t="s">
        <v>90</v>
      </c>
      <c r="K2479" s="24" t="s">
        <v>3246</v>
      </c>
      <c r="L2479" s="179"/>
      <c r="M2479" s="312" t="s">
        <v>3247</v>
      </c>
      <c r="N2479" s="313">
        <v>45002</v>
      </c>
      <c r="O2479" s="24" t="s">
        <v>507</v>
      </c>
      <c r="P2479" s="325">
        <v>7950</v>
      </c>
      <c r="Q2479" s="325">
        <v>23</v>
      </c>
      <c r="R2479" s="117">
        <f t="shared" si="71"/>
        <v>182850</v>
      </c>
      <c r="S2479" s="319">
        <v>202304</v>
      </c>
      <c r="T2479" s="233" t="s">
        <v>3303</v>
      </c>
      <c r="U2479" s="233"/>
      <c r="V2479" s="320"/>
      <c r="W2479" s="320"/>
      <c r="X2479" s="313">
        <v>44805</v>
      </c>
      <c r="Y2479" s="229">
        <v>46630</v>
      </c>
    </row>
    <row r="2480" s="5" customFormat="1" customHeight="1" spans="1:25">
      <c r="A2480" s="307" t="s">
        <v>61</v>
      </c>
      <c r="B2480" s="307" t="s">
        <v>3236</v>
      </c>
      <c r="C2480" s="307" t="s">
        <v>3237</v>
      </c>
      <c r="D2480" s="307" t="s">
        <v>85</v>
      </c>
      <c r="E2480" s="23" t="s">
        <v>3238</v>
      </c>
      <c r="F2480" s="24" t="s">
        <v>3239</v>
      </c>
      <c r="G2480" s="24" t="s">
        <v>88</v>
      </c>
      <c r="H2480" s="309" t="s">
        <v>3245</v>
      </c>
      <c r="I2480" s="46" t="str">
        <f>VLOOKUP(H2480,'合同高级查询数据-4月返'!A:A,1,FALSE)</f>
        <v>182315IDC00094</v>
      </c>
      <c r="J2480" s="309" t="s">
        <v>90</v>
      </c>
      <c r="K2480" s="24" t="s">
        <v>3246</v>
      </c>
      <c r="L2480" s="179"/>
      <c r="M2480" s="312" t="s">
        <v>3247</v>
      </c>
      <c r="N2480" s="313">
        <v>45002</v>
      </c>
      <c r="O2480" s="24" t="s">
        <v>507</v>
      </c>
      <c r="P2480" s="325">
        <v>7950</v>
      </c>
      <c r="Q2480" s="325">
        <v>6</v>
      </c>
      <c r="R2480" s="117">
        <f>ROUND(P2480*Q2480*15/31,2)</f>
        <v>23080.65</v>
      </c>
      <c r="S2480" s="319">
        <v>202303</v>
      </c>
      <c r="T2480" s="233" t="s">
        <v>3304</v>
      </c>
      <c r="U2480" s="233"/>
      <c r="V2480" s="320"/>
      <c r="W2480" s="320"/>
      <c r="X2480" s="313">
        <v>44805</v>
      </c>
      <c r="Y2480" s="229">
        <v>46630</v>
      </c>
    </row>
    <row r="2481" s="5" customFormat="1" customHeight="1" spans="1:25">
      <c r="A2481" s="307" t="s">
        <v>61</v>
      </c>
      <c r="B2481" s="307" t="s">
        <v>3236</v>
      </c>
      <c r="C2481" s="307" t="s">
        <v>3237</v>
      </c>
      <c r="D2481" s="307" t="s">
        <v>85</v>
      </c>
      <c r="E2481" s="23" t="s">
        <v>3238</v>
      </c>
      <c r="F2481" s="24" t="s">
        <v>3239</v>
      </c>
      <c r="G2481" s="24" t="s">
        <v>88</v>
      </c>
      <c r="H2481" s="309" t="s">
        <v>3245</v>
      </c>
      <c r="I2481" s="46" t="str">
        <f>VLOOKUP(H2481,'合同高级查询数据-4月返'!A:A,1,FALSE)</f>
        <v>182315IDC00094</v>
      </c>
      <c r="J2481" s="309" t="s">
        <v>90</v>
      </c>
      <c r="K2481" s="24" t="s">
        <v>3246</v>
      </c>
      <c r="L2481" s="179"/>
      <c r="M2481" s="312" t="s">
        <v>3247</v>
      </c>
      <c r="N2481" s="313">
        <v>45003</v>
      </c>
      <c r="O2481" s="24" t="s">
        <v>507</v>
      </c>
      <c r="P2481" s="325">
        <v>7950</v>
      </c>
      <c r="Q2481" s="325">
        <v>13</v>
      </c>
      <c r="R2481" s="117">
        <f t="shared" si="71"/>
        <v>103350</v>
      </c>
      <c r="S2481" s="319">
        <v>202304</v>
      </c>
      <c r="T2481" s="233" t="s">
        <v>3305</v>
      </c>
      <c r="U2481" s="233"/>
      <c r="V2481" s="320"/>
      <c r="W2481" s="320"/>
      <c r="X2481" s="313">
        <v>44805</v>
      </c>
      <c r="Y2481" s="229">
        <v>46630</v>
      </c>
    </row>
    <row r="2482" s="5" customFormat="1" customHeight="1" spans="1:25">
      <c r="A2482" s="307" t="s">
        <v>61</v>
      </c>
      <c r="B2482" s="307" t="s">
        <v>3236</v>
      </c>
      <c r="C2482" s="307" t="s">
        <v>3237</v>
      </c>
      <c r="D2482" s="307" t="s">
        <v>85</v>
      </c>
      <c r="E2482" s="23" t="s">
        <v>3238</v>
      </c>
      <c r="F2482" s="24" t="s">
        <v>3239</v>
      </c>
      <c r="G2482" s="24" t="s">
        <v>88</v>
      </c>
      <c r="H2482" s="309" t="s">
        <v>3245</v>
      </c>
      <c r="I2482" s="46" t="str">
        <f>VLOOKUP(H2482,'合同高级查询数据-4月返'!A:A,1,FALSE)</f>
        <v>182315IDC00094</v>
      </c>
      <c r="J2482" s="309" t="s">
        <v>90</v>
      </c>
      <c r="K2482" s="24" t="s">
        <v>3246</v>
      </c>
      <c r="L2482" s="179"/>
      <c r="M2482" s="312" t="s">
        <v>3247</v>
      </c>
      <c r="N2482" s="313">
        <v>45004</v>
      </c>
      <c r="O2482" s="24" t="s">
        <v>507</v>
      </c>
      <c r="P2482" s="325">
        <v>7950</v>
      </c>
      <c r="Q2482" s="325">
        <v>15</v>
      </c>
      <c r="R2482" s="117">
        <f t="shared" si="71"/>
        <v>119250</v>
      </c>
      <c r="S2482" s="319">
        <v>202304</v>
      </c>
      <c r="T2482" s="233" t="s">
        <v>3306</v>
      </c>
      <c r="U2482" s="233"/>
      <c r="V2482" s="320"/>
      <c r="W2482" s="320"/>
      <c r="X2482" s="313">
        <v>44805</v>
      </c>
      <c r="Y2482" s="229">
        <v>46630</v>
      </c>
    </row>
    <row r="2483" s="5" customFormat="1" customHeight="1" spans="1:25">
      <c r="A2483" s="307" t="s">
        <v>61</v>
      </c>
      <c r="B2483" s="307" t="s">
        <v>3236</v>
      </c>
      <c r="C2483" s="307" t="s">
        <v>3237</v>
      </c>
      <c r="D2483" s="307" t="s">
        <v>85</v>
      </c>
      <c r="E2483" s="23" t="s">
        <v>3238</v>
      </c>
      <c r="F2483" s="24" t="s">
        <v>3239</v>
      </c>
      <c r="G2483" s="24" t="s">
        <v>88</v>
      </c>
      <c r="H2483" s="309" t="s">
        <v>3245</v>
      </c>
      <c r="I2483" s="46" t="str">
        <f>VLOOKUP(H2483,'合同高级查询数据-4月返'!A:A,1,FALSE)</f>
        <v>182315IDC00094</v>
      </c>
      <c r="J2483" s="309" t="s">
        <v>90</v>
      </c>
      <c r="K2483" s="24" t="s">
        <v>3246</v>
      </c>
      <c r="L2483" s="179"/>
      <c r="M2483" s="312" t="s">
        <v>3247</v>
      </c>
      <c r="N2483" s="313">
        <v>45005</v>
      </c>
      <c r="O2483" s="24" t="s">
        <v>507</v>
      </c>
      <c r="P2483" s="325">
        <v>7950</v>
      </c>
      <c r="Q2483" s="325">
        <v>3</v>
      </c>
      <c r="R2483" s="117">
        <f t="shared" si="71"/>
        <v>23850</v>
      </c>
      <c r="S2483" s="319">
        <v>202304</v>
      </c>
      <c r="T2483" s="233" t="s">
        <v>3307</v>
      </c>
      <c r="U2483" s="233"/>
      <c r="V2483" s="320"/>
      <c r="W2483" s="320"/>
      <c r="X2483" s="313">
        <v>44805</v>
      </c>
      <c r="Y2483" s="229">
        <v>46630</v>
      </c>
    </row>
    <row r="2484" s="5" customFormat="1" customHeight="1" spans="1:25">
      <c r="A2484" s="307" t="s">
        <v>61</v>
      </c>
      <c r="B2484" s="307" t="s">
        <v>3236</v>
      </c>
      <c r="C2484" s="307" t="s">
        <v>3237</v>
      </c>
      <c r="D2484" s="307" t="s">
        <v>85</v>
      </c>
      <c r="E2484" s="23" t="s">
        <v>3238</v>
      </c>
      <c r="F2484" s="24" t="s">
        <v>3239</v>
      </c>
      <c r="G2484" s="24" t="s">
        <v>88</v>
      </c>
      <c r="H2484" s="309" t="s">
        <v>3245</v>
      </c>
      <c r="I2484" s="46" t="str">
        <f>VLOOKUP(H2484,'合同高级查询数据-4月返'!A:A,1,FALSE)</f>
        <v>182315IDC00094</v>
      </c>
      <c r="J2484" s="309" t="s">
        <v>90</v>
      </c>
      <c r="K2484" s="24" t="s">
        <v>3246</v>
      </c>
      <c r="L2484" s="179"/>
      <c r="M2484" s="312" t="s">
        <v>3247</v>
      </c>
      <c r="N2484" s="313">
        <v>45006</v>
      </c>
      <c r="O2484" s="24" t="s">
        <v>507</v>
      </c>
      <c r="P2484" s="325">
        <v>7950</v>
      </c>
      <c r="Q2484" s="325">
        <v>17</v>
      </c>
      <c r="R2484" s="117">
        <f t="shared" si="71"/>
        <v>135150</v>
      </c>
      <c r="S2484" s="319">
        <v>202304</v>
      </c>
      <c r="T2484" s="233" t="s">
        <v>3308</v>
      </c>
      <c r="U2484" s="233"/>
      <c r="V2484" s="320"/>
      <c r="W2484" s="320"/>
      <c r="X2484" s="313">
        <v>44805</v>
      </c>
      <c r="Y2484" s="229">
        <v>46630</v>
      </c>
    </row>
    <row r="2485" s="5" customFormat="1" customHeight="1" spans="1:25">
      <c r="A2485" s="307" t="s">
        <v>61</v>
      </c>
      <c r="B2485" s="307" t="s">
        <v>3236</v>
      </c>
      <c r="C2485" s="307" t="s">
        <v>3237</v>
      </c>
      <c r="D2485" s="307" t="s">
        <v>85</v>
      </c>
      <c r="E2485" s="23" t="s">
        <v>3238</v>
      </c>
      <c r="F2485" s="24" t="s">
        <v>3239</v>
      </c>
      <c r="G2485" s="24" t="s">
        <v>88</v>
      </c>
      <c r="H2485" s="309" t="s">
        <v>3245</v>
      </c>
      <c r="I2485" s="46" t="str">
        <f>VLOOKUP(H2485,'合同高级查询数据-4月返'!A:A,1,FALSE)</f>
        <v>182315IDC00094</v>
      </c>
      <c r="J2485" s="309" t="s">
        <v>90</v>
      </c>
      <c r="K2485" s="24" t="s">
        <v>3246</v>
      </c>
      <c r="L2485" s="179"/>
      <c r="M2485" s="312" t="s">
        <v>3247</v>
      </c>
      <c r="N2485" s="313">
        <v>45006</v>
      </c>
      <c r="O2485" s="24" t="s">
        <v>507</v>
      </c>
      <c r="P2485" s="325">
        <v>7950</v>
      </c>
      <c r="Q2485" s="325">
        <v>16</v>
      </c>
      <c r="R2485" s="117">
        <f>ROUND(P2485*Q2485*11/31,2)</f>
        <v>45135.48</v>
      </c>
      <c r="S2485" s="319">
        <v>202303</v>
      </c>
      <c r="T2485" s="233" t="s">
        <v>3309</v>
      </c>
      <c r="U2485" s="233"/>
      <c r="V2485" s="320"/>
      <c r="W2485" s="320"/>
      <c r="X2485" s="313">
        <v>44805</v>
      </c>
      <c r="Y2485" s="229">
        <v>46630</v>
      </c>
    </row>
    <row r="2486" s="5" customFormat="1" customHeight="1" spans="1:25">
      <c r="A2486" s="307" t="s">
        <v>61</v>
      </c>
      <c r="B2486" s="307" t="s">
        <v>3236</v>
      </c>
      <c r="C2486" s="307" t="s">
        <v>3237</v>
      </c>
      <c r="D2486" s="307" t="s">
        <v>85</v>
      </c>
      <c r="E2486" s="23" t="s">
        <v>3238</v>
      </c>
      <c r="F2486" s="24" t="s">
        <v>3239</v>
      </c>
      <c r="G2486" s="24" t="s">
        <v>88</v>
      </c>
      <c r="H2486" s="309" t="s">
        <v>3245</v>
      </c>
      <c r="I2486" s="46" t="str">
        <f>VLOOKUP(H2486,'合同高级查询数据-4月返'!A:A,1,FALSE)</f>
        <v>182315IDC00094</v>
      </c>
      <c r="J2486" s="309" t="s">
        <v>90</v>
      </c>
      <c r="K2486" s="24" t="s">
        <v>3246</v>
      </c>
      <c r="L2486" s="179"/>
      <c r="M2486" s="312" t="s">
        <v>3247</v>
      </c>
      <c r="N2486" s="313">
        <v>45007</v>
      </c>
      <c r="O2486" s="24" t="s">
        <v>507</v>
      </c>
      <c r="P2486" s="325">
        <v>7950</v>
      </c>
      <c r="Q2486" s="325">
        <v>6</v>
      </c>
      <c r="R2486" s="117">
        <f t="shared" si="71"/>
        <v>47700</v>
      </c>
      <c r="S2486" s="319">
        <v>202304</v>
      </c>
      <c r="T2486" s="233" t="s">
        <v>3310</v>
      </c>
      <c r="U2486" s="233"/>
      <c r="V2486" s="320"/>
      <c r="W2486" s="320"/>
      <c r="X2486" s="313">
        <v>44805</v>
      </c>
      <c r="Y2486" s="229">
        <v>46630</v>
      </c>
    </row>
    <row r="2487" s="5" customFormat="1" customHeight="1" spans="1:25">
      <c r="A2487" s="307" t="s">
        <v>61</v>
      </c>
      <c r="B2487" s="307" t="s">
        <v>3236</v>
      </c>
      <c r="C2487" s="307" t="s">
        <v>3237</v>
      </c>
      <c r="D2487" s="307" t="s">
        <v>85</v>
      </c>
      <c r="E2487" s="23" t="s">
        <v>3238</v>
      </c>
      <c r="F2487" s="24" t="s">
        <v>3239</v>
      </c>
      <c r="G2487" s="24" t="s">
        <v>88</v>
      </c>
      <c r="H2487" s="309" t="s">
        <v>3245</v>
      </c>
      <c r="I2487" s="46" t="str">
        <f>VLOOKUP(H2487,'合同高级查询数据-4月返'!A:A,1,FALSE)</f>
        <v>182315IDC00094</v>
      </c>
      <c r="J2487" s="309" t="s">
        <v>90</v>
      </c>
      <c r="K2487" s="24" t="s">
        <v>3246</v>
      </c>
      <c r="L2487" s="179"/>
      <c r="M2487" s="312" t="s">
        <v>3247</v>
      </c>
      <c r="N2487" s="313">
        <v>45008</v>
      </c>
      <c r="O2487" s="24" t="s">
        <v>507</v>
      </c>
      <c r="P2487" s="325">
        <v>7950</v>
      </c>
      <c r="Q2487" s="325">
        <v>1</v>
      </c>
      <c r="R2487" s="117">
        <f t="shared" si="71"/>
        <v>7950</v>
      </c>
      <c r="S2487" s="319">
        <v>202304</v>
      </c>
      <c r="T2487" s="233" t="s">
        <v>3311</v>
      </c>
      <c r="U2487" s="233"/>
      <c r="V2487" s="320"/>
      <c r="W2487" s="320"/>
      <c r="X2487" s="313">
        <v>44805</v>
      </c>
      <c r="Y2487" s="229">
        <v>46630</v>
      </c>
    </row>
    <row r="2488" s="5" customFormat="1" customHeight="1" spans="1:25">
      <c r="A2488" s="307" t="s">
        <v>61</v>
      </c>
      <c r="B2488" s="307" t="s">
        <v>3236</v>
      </c>
      <c r="C2488" s="307" t="s">
        <v>3237</v>
      </c>
      <c r="D2488" s="307" t="s">
        <v>85</v>
      </c>
      <c r="E2488" s="23" t="s">
        <v>3238</v>
      </c>
      <c r="F2488" s="24" t="s">
        <v>3239</v>
      </c>
      <c r="G2488" s="24" t="s">
        <v>88</v>
      </c>
      <c r="H2488" s="309" t="s">
        <v>3245</v>
      </c>
      <c r="I2488" s="46" t="str">
        <f>VLOOKUP(H2488,'合同高级查询数据-4月返'!A:A,1,FALSE)</f>
        <v>182315IDC00094</v>
      </c>
      <c r="J2488" s="309" t="s">
        <v>90</v>
      </c>
      <c r="K2488" s="24" t="s">
        <v>3246</v>
      </c>
      <c r="L2488" s="179"/>
      <c r="M2488" s="312" t="s">
        <v>3247</v>
      </c>
      <c r="N2488" s="313">
        <v>45008</v>
      </c>
      <c r="O2488" s="24" t="s">
        <v>507</v>
      </c>
      <c r="P2488" s="325">
        <v>7950</v>
      </c>
      <c r="Q2488" s="325">
        <v>1</v>
      </c>
      <c r="R2488" s="117">
        <f>ROUND(P2488*Q2488*9/31,2)</f>
        <v>2308.06</v>
      </c>
      <c r="S2488" s="319">
        <v>202303</v>
      </c>
      <c r="T2488" s="233" t="s">
        <v>3312</v>
      </c>
      <c r="U2488" s="233"/>
      <c r="V2488" s="320"/>
      <c r="W2488" s="320"/>
      <c r="X2488" s="313">
        <v>44805</v>
      </c>
      <c r="Y2488" s="229">
        <v>46630</v>
      </c>
    </row>
    <row r="2489" s="5" customFormat="1" customHeight="1" spans="1:25">
      <c r="A2489" s="307" t="s">
        <v>61</v>
      </c>
      <c r="B2489" s="307" t="s">
        <v>3236</v>
      </c>
      <c r="C2489" s="307" t="s">
        <v>3237</v>
      </c>
      <c r="D2489" s="307" t="s">
        <v>85</v>
      </c>
      <c r="E2489" s="23" t="s">
        <v>3238</v>
      </c>
      <c r="F2489" s="24" t="s">
        <v>3239</v>
      </c>
      <c r="G2489" s="24" t="s">
        <v>88</v>
      </c>
      <c r="H2489" s="309" t="s">
        <v>3245</v>
      </c>
      <c r="I2489" s="46" t="str">
        <f>VLOOKUP(H2489,'合同高级查询数据-4月返'!A:A,1,FALSE)</f>
        <v>182315IDC00094</v>
      </c>
      <c r="J2489" s="309" t="s">
        <v>90</v>
      </c>
      <c r="K2489" s="24" t="s">
        <v>3246</v>
      </c>
      <c r="L2489" s="179"/>
      <c r="M2489" s="312" t="s">
        <v>3247</v>
      </c>
      <c r="N2489" s="313">
        <v>45009</v>
      </c>
      <c r="O2489" s="24" t="s">
        <v>507</v>
      </c>
      <c r="P2489" s="325">
        <v>7950</v>
      </c>
      <c r="Q2489" s="325">
        <v>61</v>
      </c>
      <c r="R2489" s="117">
        <f t="shared" ref="R2489" si="72">ROUND(P2489*Q2489,2)</f>
        <v>484950</v>
      </c>
      <c r="S2489" s="319">
        <v>202304</v>
      </c>
      <c r="T2489" s="233" t="s">
        <v>3313</v>
      </c>
      <c r="U2489" s="233"/>
      <c r="V2489" s="320"/>
      <c r="W2489" s="320"/>
      <c r="X2489" s="313">
        <v>44805</v>
      </c>
      <c r="Y2489" s="229">
        <v>46630</v>
      </c>
    </row>
    <row r="2490" s="5" customFormat="1" customHeight="1" spans="1:25">
      <c r="A2490" s="307" t="s">
        <v>61</v>
      </c>
      <c r="B2490" s="307" t="s">
        <v>3236</v>
      </c>
      <c r="C2490" s="307" t="s">
        <v>3237</v>
      </c>
      <c r="D2490" s="307" t="s">
        <v>85</v>
      </c>
      <c r="E2490" s="23" t="s">
        <v>3238</v>
      </c>
      <c r="F2490" s="24" t="s">
        <v>3239</v>
      </c>
      <c r="G2490" s="24" t="s">
        <v>88</v>
      </c>
      <c r="H2490" s="309" t="s">
        <v>3245</v>
      </c>
      <c r="I2490" s="46" t="str">
        <f>VLOOKUP(H2490,'合同高级查询数据-4月返'!A:A,1,FALSE)</f>
        <v>182315IDC00094</v>
      </c>
      <c r="J2490" s="309" t="s">
        <v>90</v>
      </c>
      <c r="K2490" s="24" t="s">
        <v>3246</v>
      </c>
      <c r="L2490" s="179"/>
      <c r="M2490" s="312" t="s">
        <v>3247</v>
      </c>
      <c r="N2490" s="313">
        <v>45009</v>
      </c>
      <c r="O2490" s="24" t="s">
        <v>507</v>
      </c>
      <c r="P2490" s="325">
        <v>7950</v>
      </c>
      <c r="Q2490" s="325">
        <v>61</v>
      </c>
      <c r="R2490" s="117">
        <f>ROUND(P2490*Q2490*8/31,2)</f>
        <v>125148.39</v>
      </c>
      <c r="S2490" s="319">
        <v>202303</v>
      </c>
      <c r="T2490" s="233" t="s">
        <v>3314</v>
      </c>
      <c r="U2490" s="233"/>
      <c r="V2490" s="320"/>
      <c r="W2490" s="320"/>
      <c r="X2490" s="313">
        <v>44805</v>
      </c>
      <c r="Y2490" s="229">
        <v>46630</v>
      </c>
    </row>
    <row r="2491" s="5" customFormat="1" customHeight="1" spans="1:25">
      <c r="A2491" s="307" t="s">
        <v>61</v>
      </c>
      <c r="B2491" s="307" t="s">
        <v>3236</v>
      </c>
      <c r="C2491" s="307" t="s">
        <v>3237</v>
      </c>
      <c r="D2491" s="307" t="s">
        <v>85</v>
      </c>
      <c r="E2491" s="23" t="s">
        <v>3238</v>
      </c>
      <c r="F2491" s="24" t="s">
        <v>3239</v>
      </c>
      <c r="G2491" s="24" t="s">
        <v>88</v>
      </c>
      <c r="H2491" s="309" t="s">
        <v>3245</v>
      </c>
      <c r="I2491" s="46" t="str">
        <f>VLOOKUP(H2491,'合同高级查询数据-4月返'!A:A,1,FALSE)</f>
        <v>182315IDC00094</v>
      </c>
      <c r="J2491" s="309" t="s">
        <v>90</v>
      </c>
      <c r="K2491" s="24" t="s">
        <v>3246</v>
      </c>
      <c r="L2491" s="179"/>
      <c r="M2491" s="312" t="s">
        <v>3247</v>
      </c>
      <c r="N2491" s="313">
        <v>45010</v>
      </c>
      <c r="O2491" s="24" t="s">
        <v>507</v>
      </c>
      <c r="P2491" s="325">
        <v>7950</v>
      </c>
      <c r="Q2491" s="325">
        <v>1</v>
      </c>
      <c r="R2491" s="117">
        <f t="shared" ref="R2491" si="73">ROUND(P2491*Q2491,2)</f>
        <v>7950</v>
      </c>
      <c r="S2491" s="319">
        <v>202304</v>
      </c>
      <c r="T2491" s="233" t="s">
        <v>3315</v>
      </c>
      <c r="U2491" s="233"/>
      <c r="V2491" s="320"/>
      <c r="W2491" s="320"/>
      <c r="X2491" s="313">
        <v>44805</v>
      </c>
      <c r="Y2491" s="229">
        <v>46630</v>
      </c>
    </row>
    <row r="2492" s="5" customFormat="1" customHeight="1" spans="1:25">
      <c r="A2492" s="307" t="s">
        <v>61</v>
      </c>
      <c r="B2492" s="307" t="s">
        <v>3236</v>
      </c>
      <c r="C2492" s="307" t="s">
        <v>3237</v>
      </c>
      <c r="D2492" s="307" t="s">
        <v>85</v>
      </c>
      <c r="E2492" s="23" t="s">
        <v>3238</v>
      </c>
      <c r="F2492" s="24" t="s">
        <v>3239</v>
      </c>
      <c r="G2492" s="24" t="s">
        <v>88</v>
      </c>
      <c r="H2492" s="309" t="s">
        <v>3245</v>
      </c>
      <c r="I2492" s="46" t="str">
        <f>VLOOKUP(H2492,'合同高级查询数据-4月返'!A:A,1,FALSE)</f>
        <v>182315IDC00094</v>
      </c>
      <c r="J2492" s="309" t="s">
        <v>90</v>
      </c>
      <c r="K2492" s="24" t="s">
        <v>3246</v>
      </c>
      <c r="L2492" s="179"/>
      <c r="M2492" s="312" t="s">
        <v>3247</v>
      </c>
      <c r="N2492" s="313">
        <v>45010</v>
      </c>
      <c r="O2492" s="24" t="s">
        <v>507</v>
      </c>
      <c r="P2492" s="325">
        <v>7950</v>
      </c>
      <c r="Q2492" s="325">
        <v>1</v>
      </c>
      <c r="R2492" s="117">
        <f>ROUND(P2492*Q2492*7/31,2)</f>
        <v>1795.16</v>
      </c>
      <c r="S2492" s="319">
        <v>202303</v>
      </c>
      <c r="T2492" s="233" t="s">
        <v>3316</v>
      </c>
      <c r="U2492" s="233"/>
      <c r="V2492" s="320"/>
      <c r="W2492" s="320"/>
      <c r="X2492" s="313">
        <v>44805</v>
      </c>
      <c r="Y2492" s="229">
        <v>46630</v>
      </c>
    </row>
    <row r="2493" s="5" customFormat="1" customHeight="1" spans="1:25">
      <c r="A2493" s="307" t="s">
        <v>61</v>
      </c>
      <c r="B2493" s="307" t="s">
        <v>3236</v>
      </c>
      <c r="C2493" s="307" t="s">
        <v>3237</v>
      </c>
      <c r="D2493" s="307" t="s">
        <v>85</v>
      </c>
      <c r="E2493" s="23" t="s">
        <v>3238</v>
      </c>
      <c r="F2493" s="24" t="s">
        <v>3239</v>
      </c>
      <c r="G2493" s="24" t="s">
        <v>88</v>
      </c>
      <c r="H2493" s="309" t="s">
        <v>3245</v>
      </c>
      <c r="I2493" s="46" t="str">
        <f>VLOOKUP(H2493,'合同高级查询数据-4月返'!A:A,1,FALSE)</f>
        <v>182315IDC00094</v>
      </c>
      <c r="J2493" s="309" t="s">
        <v>90</v>
      </c>
      <c r="K2493" s="24" t="s">
        <v>3246</v>
      </c>
      <c r="L2493" s="179"/>
      <c r="M2493" s="312" t="s">
        <v>3247</v>
      </c>
      <c r="N2493" s="313">
        <v>45011</v>
      </c>
      <c r="O2493" s="24" t="s">
        <v>507</v>
      </c>
      <c r="P2493" s="325">
        <v>7950</v>
      </c>
      <c r="Q2493" s="325">
        <v>51</v>
      </c>
      <c r="R2493" s="117">
        <f t="shared" si="71"/>
        <v>405450</v>
      </c>
      <c r="S2493" s="319">
        <v>202304</v>
      </c>
      <c r="T2493" s="233" t="s">
        <v>3317</v>
      </c>
      <c r="U2493" s="233"/>
      <c r="V2493" s="320"/>
      <c r="W2493" s="320"/>
      <c r="X2493" s="313">
        <v>44805</v>
      </c>
      <c r="Y2493" s="229">
        <v>46630</v>
      </c>
    </row>
    <row r="2494" s="5" customFormat="1" customHeight="1" spans="1:25">
      <c r="A2494" s="307" t="s">
        <v>61</v>
      </c>
      <c r="B2494" s="307" t="s">
        <v>3236</v>
      </c>
      <c r="C2494" s="307" t="s">
        <v>3237</v>
      </c>
      <c r="D2494" s="307" t="s">
        <v>85</v>
      </c>
      <c r="E2494" s="23" t="s">
        <v>3238</v>
      </c>
      <c r="F2494" s="24" t="s">
        <v>3239</v>
      </c>
      <c r="G2494" s="24" t="s">
        <v>88</v>
      </c>
      <c r="H2494" s="309" t="s">
        <v>3245</v>
      </c>
      <c r="I2494" s="46" t="str">
        <f>VLOOKUP(H2494,'合同高级查询数据-4月返'!A:A,1,FALSE)</f>
        <v>182315IDC00094</v>
      </c>
      <c r="J2494" s="309" t="s">
        <v>90</v>
      </c>
      <c r="K2494" s="24" t="s">
        <v>3246</v>
      </c>
      <c r="L2494" s="179"/>
      <c r="M2494" s="312" t="s">
        <v>3247</v>
      </c>
      <c r="N2494" s="313">
        <v>45011</v>
      </c>
      <c r="O2494" s="24" t="s">
        <v>503</v>
      </c>
      <c r="P2494" s="325">
        <f>7950-3975</f>
        <v>3975</v>
      </c>
      <c r="Q2494" s="325">
        <v>1</v>
      </c>
      <c r="R2494" s="117">
        <f>ROUND(P2494*Q2494*6/31,2)</f>
        <v>769.35</v>
      </c>
      <c r="S2494" s="319">
        <v>202303</v>
      </c>
      <c r="T2494" s="233" t="s">
        <v>3318</v>
      </c>
      <c r="U2494" s="233"/>
      <c r="V2494" s="320"/>
      <c r="W2494" s="320"/>
      <c r="X2494" s="313">
        <v>44805</v>
      </c>
      <c r="Y2494" s="229">
        <v>46630</v>
      </c>
    </row>
    <row r="2495" s="5" customFormat="1" customHeight="1" spans="1:25">
      <c r="A2495" s="307" t="s">
        <v>61</v>
      </c>
      <c r="B2495" s="307" t="s">
        <v>3236</v>
      </c>
      <c r="C2495" s="307" t="s">
        <v>3237</v>
      </c>
      <c r="D2495" s="307" t="s">
        <v>85</v>
      </c>
      <c r="E2495" s="23" t="s">
        <v>3238</v>
      </c>
      <c r="F2495" s="24" t="s">
        <v>3239</v>
      </c>
      <c r="G2495" s="24" t="s">
        <v>88</v>
      </c>
      <c r="H2495" s="309" t="s">
        <v>3245</v>
      </c>
      <c r="I2495" s="46" t="str">
        <f>VLOOKUP(H2495,'合同高级查询数据-4月返'!A:A,1,FALSE)</f>
        <v>182315IDC00094</v>
      </c>
      <c r="J2495" s="309" t="s">
        <v>90</v>
      </c>
      <c r="K2495" s="24" t="s">
        <v>3246</v>
      </c>
      <c r="L2495" s="179"/>
      <c r="M2495" s="312" t="s">
        <v>3247</v>
      </c>
      <c r="N2495" s="313">
        <v>45012</v>
      </c>
      <c r="O2495" s="24" t="s">
        <v>507</v>
      </c>
      <c r="P2495" s="325">
        <v>7950</v>
      </c>
      <c r="Q2495" s="325">
        <v>5</v>
      </c>
      <c r="R2495" s="117">
        <f t="shared" si="71"/>
        <v>39750</v>
      </c>
      <c r="S2495" s="319">
        <v>202304</v>
      </c>
      <c r="T2495" s="233" t="s">
        <v>3319</v>
      </c>
      <c r="U2495" s="233"/>
      <c r="V2495" s="320"/>
      <c r="W2495" s="320"/>
      <c r="X2495" s="313">
        <v>44805</v>
      </c>
      <c r="Y2495" s="229">
        <v>46630</v>
      </c>
    </row>
    <row r="2496" s="5" customFormat="1" customHeight="1" spans="1:25">
      <c r="A2496" s="307" t="s">
        <v>61</v>
      </c>
      <c r="B2496" s="307" t="s">
        <v>3236</v>
      </c>
      <c r="C2496" s="307" t="s">
        <v>3237</v>
      </c>
      <c r="D2496" s="307" t="s">
        <v>85</v>
      </c>
      <c r="E2496" s="23" t="s">
        <v>3238</v>
      </c>
      <c r="F2496" s="24" t="s">
        <v>3239</v>
      </c>
      <c r="G2496" s="24" t="s">
        <v>88</v>
      </c>
      <c r="H2496" s="309" t="s">
        <v>3245</v>
      </c>
      <c r="I2496" s="46" t="str">
        <f>VLOOKUP(H2496,'合同高级查询数据-4月返'!A:A,1,FALSE)</f>
        <v>182315IDC00094</v>
      </c>
      <c r="J2496" s="309" t="s">
        <v>90</v>
      </c>
      <c r="K2496" s="24" t="s">
        <v>3246</v>
      </c>
      <c r="L2496" s="179"/>
      <c r="M2496" s="312" t="s">
        <v>3247</v>
      </c>
      <c r="N2496" s="313">
        <v>45013</v>
      </c>
      <c r="O2496" s="24" t="s">
        <v>507</v>
      </c>
      <c r="P2496" s="325">
        <v>7950</v>
      </c>
      <c r="Q2496" s="325">
        <v>18</v>
      </c>
      <c r="R2496" s="117">
        <f t="shared" si="71"/>
        <v>143100</v>
      </c>
      <c r="S2496" s="319">
        <v>202304</v>
      </c>
      <c r="T2496" s="233" t="s">
        <v>3320</v>
      </c>
      <c r="U2496" s="233"/>
      <c r="V2496" s="320"/>
      <c r="W2496" s="320"/>
      <c r="X2496" s="313">
        <v>44805</v>
      </c>
      <c r="Y2496" s="229">
        <v>46630</v>
      </c>
    </row>
    <row r="2497" s="5" customFormat="1" customHeight="1" spans="1:25">
      <c r="A2497" s="307" t="s">
        <v>61</v>
      </c>
      <c r="B2497" s="307" t="s">
        <v>3236</v>
      </c>
      <c r="C2497" s="307" t="s">
        <v>3237</v>
      </c>
      <c r="D2497" s="307" t="s">
        <v>85</v>
      </c>
      <c r="E2497" s="23" t="s">
        <v>3238</v>
      </c>
      <c r="F2497" s="24" t="s">
        <v>3239</v>
      </c>
      <c r="G2497" s="24" t="s">
        <v>88</v>
      </c>
      <c r="H2497" s="309" t="s">
        <v>3245</v>
      </c>
      <c r="I2497" s="46" t="str">
        <f>VLOOKUP(H2497,'合同高级查询数据-4月返'!A:A,1,FALSE)</f>
        <v>182315IDC00094</v>
      </c>
      <c r="J2497" s="309" t="s">
        <v>90</v>
      </c>
      <c r="K2497" s="24" t="s">
        <v>3246</v>
      </c>
      <c r="L2497" s="179"/>
      <c r="M2497" s="312" t="s">
        <v>3247</v>
      </c>
      <c r="N2497" s="313">
        <v>45015</v>
      </c>
      <c r="O2497" s="24" t="s">
        <v>507</v>
      </c>
      <c r="P2497" s="325">
        <v>7950</v>
      </c>
      <c r="Q2497" s="325">
        <v>29</v>
      </c>
      <c r="R2497" s="117">
        <f t="shared" si="71"/>
        <v>230550</v>
      </c>
      <c r="S2497" s="319">
        <v>202304</v>
      </c>
      <c r="T2497" s="233" t="s">
        <v>3321</v>
      </c>
      <c r="U2497" s="233"/>
      <c r="V2497" s="320"/>
      <c r="W2497" s="320"/>
      <c r="X2497" s="313">
        <v>44805</v>
      </c>
      <c r="Y2497" s="229">
        <v>46630</v>
      </c>
    </row>
    <row r="2498" s="5" customFormat="1" customHeight="1" spans="1:25">
      <c r="A2498" s="307" t="s">
        <v>61</v>
      </c>
      <c r="B2498" s="307" t="s">
        <v>3236</v>
      </c>
      <c r="C2498" s="307" t="s">
        <v>3237</v>
      </c>
      <c r="D2498" s="307" t="s">
        <v>85</v>
      </c>
      <c r="E2498" s="23" t="s">
        <v>3238</v>
      </c>
      <c r="F2498" s="24" t="s">
        <v>3239</v>
      </c>
      <c r="G2498" s="24" t="s">
        <v>88</v>
      </c>
      <c r="H2498" s="309" t="s">
        <v>3245</v>
      </c>
      <c r="I2498" s="46" t="str">
        <f>VLOOKUP(H2498,'合同高级查询数据-4月返'!A:A,1,FALSE)</f>
        <v>182315IDC00094</v>
      </c>
      <c r="J2498" s="309" t="s">
        <v>90</v>
      </c>
      <c r="K2498" s="24" t="s">
        <v>3246</v>
      </c>
      <c r="L2498" s="179"/>
      <c r="M2498" s="312" t="s">
        <v>3247</v>
      </c>
      <c r="N2498" s="333">
        <v>45019</v>
      </c>
      <c r="O2498" s="24" t="s">
        <v>507</v>
      </c>
      <c r="P2498" s="325">
        <v>7950</v>
      </c>
      <c r="Q2498" s="325">
        <v>14</v>
      </c>
      <c r="R2498" s="117">
        <f>ROUND(P2498*Q2498*28/30,2)</f>
        <v>103880</v>
      </c>
      <c r="S2498" s="319">
        <v>202304</v>
      </c>
      <c r="T2498" s="331" t="s">
        <v>3322</v>
      </c>
      <c r="U2498" s="233"/>
      <c r="V2498" s="320"/>
      <c r="W2498" s="320"/>
      <c r="X2498" s="313">
        <v>44805</v>
      </c>
      <c r="Y2498" s="229">
        <v>46630</v>
      </c>
    </row>
    <row r="2499" s="5" customFormat="1" customHeight="1" spans="1:25">
      <c r="A2499" s="307" t="s">
        <v>61</v>
      </c>
      <c r="B2499" s="307" t="s">
        <v>3236</v>
      </c>
      <c r="C2499" s="307" t="s">
        <v>3237</v>
      </c>
      <c r="D2499" s="307" t="s">
        <v>85</v>
      </c>
      <c r="E2499" s="23" t="s">
        <v>3238</v>
      </c>
      <c r="F2499" s="24" t="s">
        <v>3239</v>
      </c>
      <c r="G2499" s="24" t="s">
        <v>88</v>
      </c>
      <c r="H2499" s="309" t="s">
        <v>3245</v>
      </c>
      <c r="I2499" s="46" t="str">
        <f>VLOOKUP(H2499,'合同高级查询数据-4月返'!A:A,1,FALSE)</f>
        <v>182315IDC00094</v>
      </c>
      <c r="J2499" s="309" t="s">
        <v>90</v>
      </c>
      <c r="K2499" s="24" t="s">
        <v>3246</v>
      </c>
      <c r="L2499" s="179"/>
      <c r="M2499" s="312" t="s">
        <v>3247</v>
      </c>
      <c r="N2499" s="333">
        <v>45029</v>
      </c>
      <c r="O2499" s="24" t="s">
        <v>507</v>
      </c>
      <c r="P2499" s="325">
        <v>7950</v>
      </c>
      <c r="Q2499" s="325">
        <v>1</v>
      </c>
      <c r="R2499" s="117">
        <f>ROUND(P2499*Q2499*18/30,2)</f>
        <v>4770</v>
      </c>
      <c r="S2499" s="319">
        <v>202304</v>
      </c>
      <c r="T2499" s="331" t="s">
        <v>3323</v>
      </c>
      <c r="U2499" s="233"/>
      <c r="V2499" s="320"/>
      <c r="W2499" s="320"/>
      <c r="X2499" s="313">
        <v>44805</v>
      </c>
      <c r="Y2499" s="229">
        <v>46630</v>
      </c>
    </row>
    <row r="2500" s="5" customFormat="1" customHeight="1" spans="1:25">
      <c r="A2500" s="307" t="s">
        <v>61</v>
      </c>
      <c r="B2500" s="307" t="s">
        <v>3236</v>
      </c>
      <c r="C2500" s="307" t="s">
        <v>3237</v>
      </c>
      <c r="D2500" s="307" t="s">
        <v>85</v>
      </c>
      <c r="E2500" s="23" t="s">
        <v>3238</v>
      </c>
      <c r="F2500" s="24" t="s">
        <v>3239</v>
      </c>
      <c r="G2500" s="24" t="s">
        <v>88</v>
      </c>
      <c r="H2500" s="309" t="s">
        <v>3245</v>
      </c>
      <c r="I2500" s="46" t="str">
        <f>VLOOKUP(H2500,'合同高级查询数据-4月返'!A:A,1,FALSE)</f>
        <v>182315IDC00094</v>
      </c>
      <c r="J2500" s="309" t="s">
        <v>90</v>
      </c>
      <c r="K2500" s="24" t="s">
        <v>3324</v>
      </c>
      <c r="L2500" s="179"/>
      <c r="M2500" s="312" t="s">
        <v>3325</v>
      </c>
      <c r="N2500" s="313">
        <v>44817</v>
      </c>
      <c r="O2500" s="24" t="s">
        <v>507</v>
      </c>
      <c r="P2500" s="325">
        <v>7950</v>
      </c>
      <c r="Q2500" s="325">
        <v>2</v>
      </c>
      <c r="R2500" s="117">
        <f t="shared" ref="R2500:R2512" si="74">ROUND(P2500*Q2500,2)</f>
        <v>15900</v>
      </c>
      <c r="S2500" s="319">
        <v>202304</v>
      </c>
      <c r="T2500" s="233" t="s">
        <v>3326</v>
      </c>
      <c r="U2500" s="233"/>
      <c r="V2500" s="320"/>
      <c r="W2500" s="320"/>
      <c r="X2500" s="313">
        <v>44805</v>
      </c>
      <c r="Y2500" s="229">
        <v>46630</v>
      </c>
    </row>
    <row r="2501" s="5" customFormat="1" customHeight="1" spans="1:25">
      <c r="A2501" s="307" t="s">
        <v>61</v>
      </c>
      <c r="B2501" s="307" t="s">
        <v>3236</v>
      </c>
      <c r="C2501" s="307" t="s">
        <v>3237</v>
      </c>
      <c r="D2501" s="307" t="s">
        <v>85</v>
      </c>
      <c r="E2501" s="23" t="s">
        <v>3238</v>
      </c>
      <c r="F2501" s="24" t="s">
        <v>3239</v>
      </c>
      <c r="G2501" s="24" t="s">
        <v>88</v>
      </c>
      <c r="H2501" s="309" t="s">
        <v>3245</v>
      </c>
      <c r="I2501" s="46" t="str">
        <f>VLOOKUP(H2501,'合同高级查询数据-4月返'!A:A,1,FALSE)</f>
        <v>182315IDC00094</v>
      </c>
      <c r="J2501" s="309" t="s">
        <v>90</v>
      </c>
      <c r="K2501" s="24" t="s">
        <v>3324</v>
      </c>
      <c r="L2501" s="179"/>
      <c r="M2501" s="312" t="s">
        <v>3325</v>
      </c>
      <c r="N2501" s="313">
        <v>44818</v>
      </c>
      <c r="O2501" s="24" t="s">
        <v>507</v>
      </c>
      <c r="P2501" s="325">
        <v>7950</v>
      </c>
      <c r="Q2501" s="325">
        <v>36</v>
      </c>
      <c r="R2501" s="117">
        <f t="shared" si="74"/>
        <v>286200</v>
      </c>
      <c r="S2501" s="319">
        <v>202304</v>
      </c>
      <c r="T2501" s="233" t="s">
        <v>3327</v>
      </c>
      <c r="U2501" s="233"/>
      <c r="V2501" s="320"/>
      <c r="W2501" s="320"/>
      <c r="X2501" s="313">
        <v>44805</v>
      </c>
      <c r="Y2501" s="229">
        <v>46630</v>
      </c>
    </row>
    <row r="2502" s="5" customFormat="1" customHeight="1" spans="1:25">
      <c r="A2502" s="307" t="s">
        <v>61</v>
      </c>
      <c r="B2502" s="307" t="s">
        <v>3236</v>
      </c>
      <c r="C2502" s="307" t="s">
        <v>3237</v>
      </c>
      <c r="D2502" s="307" t="s">
        <v>85</v>
      </c>
      <c r="E2502" s="23" t="s">
        <v>3238</v>
      </c>
      <c r="F2502" s="24" t="s">
        <v>3239</v>
      </c>
      <c r="G2502" s="24" t="s">
        <v>88</v>
      </c>
      <c r="H2502" s="309" t="s">
        <v>3245</v>
      </c>
      <c r="I2502" s="46" t="str">
        <f>VLOOKUP(H2502,'合同高级查询数据-4月返'!A:A,1,FALSE)</f>
        <v>182315IDC00094</v>
      </c>
      <c r="J2502" s="309" t="s">
        <v>90</v>
      </c>
      <c r="K2502" s="24" t="s">
        <v>3324</v>
      </c>
      <c r="L2502" s="179"/>
      <c r="M2502" s="312" t="s">
        <v>3325</v>
      </c>
      <c r="N2502" s="313">
        <v>44819</v>
      </c>
      <c r="O2502" s="24" t="s">
        <v>507</v>
      </c>
      <c r="P2502" s="325">
        <v>7950</v>
      </c>
      <c r="Q2502" s="325">
        <v>13</v>
      </c>
      <c r="R2502" s="117">
        <f t="shared" si="74"/>
        <v>103350</v>
      </c>
      <c r="S2502" s="319">
        <v>202304</v>
      </c>
      <c r="T2502" s="233" t="s">
        <v>3328</v>
      </c>
      <c r="U2502" s="233"/>
      <c r="V2502" s="320"/>
      <c r="W2502" s="320"/>
      <c r="X2502" s="313">
        <v>44805</v>
      </c>
      <c r="Y2502" s="229">
        <v>46630</v>
      </c>
    </row>
    <row r="2503" s="5" customFormat="1" customHeight="1" spans="1:25">
      <c r="A2503" s="307" t="s">
        <v>61</v>
      </c>
      <c r="B2503" s="307" t="s">
        <v>3236</v>
      </c>
      <c r="C2503" s="307" t="s">
        <v>3237</v>
      </c>
      <c r="D2503" s="307" t="s">
        <v>85</v>
      </c>
      <c r="E2503" s="23" t="s">
        <v>3238</v>
      </c>
      <c r="F2503" s="24" t="s">
        <v>3239</v>
      </c>
      <c r="G2503" s="24" t="s">
        <v>88</v>
      </c>
      <c r="H2503" s="309" t="s">
        <v>3245</v>
      </c>
      <c r="I2503" s="46" t="str">
        <f>VLOOKUP(H2503,'合同高级查询数据-4月返'!A:A,1,FALSE)</f>
        <v>182315IDC00094</v>
      </c>
      <c r="J2503" s="309" t="s">
        <v>90</v>
      </c>
      <c r="K2503" s="24" t="s">
        <v>3324</v>
      </c>
      <c r="L2503" s="179"/>
      <c r="M2503" s="312" t="s">
        <v>3325</v>
      </c>
      <c r="N2503" s="313">
        <v>44825</v>
      </c>
      <c r="O2503" s="24" t="s">
        <v>507</v>
      </c>
      <c r="P2503" s="325">
        <v>7950</v>
      </c>
      <c r="Q2503" s="325">
        <v>44</v>
      </c>
      <c r="R2503" s="117">
        <f t="shared" si="74"/>
        <v>349800</v>
      </c>
      <c r="S2503" s="319">
        <v>202304</v>
      </c>
      <c r="T2503" s="233" t="s">
        <v>3329</v>
      </c>
      <c r="U2503" s="233"/>
      <c r="V2503" s="320"/>
      <c r="W2503" s="320"/>
      <c r="X2503" s="313">
        <v>44805</v>
      </c>
      <c r="Y2503" s="229">
        <v>46630</v>
      </c>
    </row>
    <row r="2504" s="5" customFormat="1" customHeight="1" spans="1:25">
      <c r="A2504" s="307" t="s">
        <v>61</v>
      </c>
      <c r="B2504" s="307" t="s">
        <v>3236</v>
      </c>
      <c r="C2504" s="307" t="s">
        <v>3237</v>
      </c>
      <c r="D2504" s="307" t="s">
        <v>85</v>
      </c>
      <c r="E2504" s="23" t="s">
        <v>3238</v>
      </c>
      <c r="F2504" s="24" t="s">
        <v>3239</v>
      </c>
      <c r="G2504" s="24" t="s">
        <v>88</v>
      </c>
      <c r="H2504" s="309" t="s">
        <v>3245</v>
      </c>
      <c r="I2504" s="46" t="str">
        <f>VLOOKUP(H2504,'合同高级查询数据-4月返'!A:A,1,FALSE)</f>
        <v>182315IDC00094</v>
      </c>
      <c r="J2504" s="309" t="s">
        <v>90</v>
      </c>
      <c r="K2504" s="24" t="s">
        <v>3324</v>
      </c>
      <c r="L2504" s="179"/>
      <c r="M2504" s="312" t="s">
        <v>3325</v>
      </c>
      <c r="N2504" s="313">
        <v>44825</v>
      </c>
      <c r="O2504" s="24" t="s">
        <v>503</v>
      </c>
      <c r="P2504" s="325">
        <v>3975</v>
      </c>
      <c r="Q2504" s="325">
        <v>1</v>
      </c>
      <c r="R2504" s="117">
        <f t="shared" si="74"/>
        <v>3975</v>
      </c>
      <c r="S2504" s="319">
        <v>202304</v>
      </c>
      <c r="T2504" s="233" t="s">
        <v>3330</v>
      </c>
      <c r="U2504" s="233"/>
      <c r="V2504" s="320"/>
      <c r="W2504" s="320"/>
      <c r="X2504" s="313">
        <v>44805</v>
      </c>
      <c r="Y2504" s="229">
        <v>46630</v>
      </c>
    </row>
    <row r="2505" s="5" customFormat="1" customHeight="1" spans="1:25">
      <c r="A2505" s="307" t="s">
        <v>61</v>
      </c>
      <c r="B2505" s="307" t="s">
        <v>3236</v>
      </c>
      <c r="C2505" s="307" t="s">
        <v>3237</v>
      </c>
      <c r="D2505" s="307" t="s">
        <v>85</v>
      </c>
      <c r="E2505" s="23" t="s">
        <v>3238</v>
      </c>
      <c r="F2505" s="24" t="s">
        <v>3239</v>
      </c>
      <c r="G2505" s="24" t="s">
        <v>88</v>
      </c>
      <c r="H2505" s="309" t="s">
        <v>3245</v>
      </c>
      <c r="I2505" s="46" t="str">
        <f>VLOOKUP(H2505,'合同高级查询数据-4月返'!A:A,1,FALSE)</f>
        <v>182315IDC00094</v>
      </c>
      <c r="J2505" s="309" t="s">
        <v>90</v>
      </c>
      <c r="K2505" s="24" t="s">
        <v>3324</v>
      </c>
      <c r="L2505" s="179"/>
      <c r="M2505" s="312" t="s">
        <v>3325</v>
      </c>
      <c r="N2505" s="313">
        <v>44831</v>
      </c>
      <c r="O2505" s="24" t="s">
        <v>507</v>
      </c>
      <c r="P2505" s="325">
        <v>7950</v>
      </c>
      <c r="Q2505" s="325">
        <v>2</v>
      </c>
      <c r="R2505" s="117">
        <f t="shared" si="74"/>
        <v>15900</v>
      </c>
      <c r="S2505" s="319">
        <v>202304</v>
      </c>
      <c r="T2505" s="233" t="s">
        <v>3331</v>
      </c>
      <c r="U2505" s="233"/>
      <c r="V2505" s="320"/>
      <c r="W2505" s="320"/>
      <c r="X2505" s="313">
        <v>44805</v>
      </c>
      <c r="Y2505" s="229">
        <v>46630</v>
      </c>
    </row>
    <row r="2506" s="5" customFormat="1" customHeight="1" spans="1:25">
      <c r="A2506" s="307" t="s">
        <v>61</v>
      </c>
      <c r="B2506" s="307" t="s">
        <v>3236</v>
      </c>
      <c r="C2506" s="307" t="s">
        <v>3237</v>
      </c>
      <c r="D2506" s="307" t="s">
        <v>85</v>
      </c>
      <c r="E2506" s="23" t="s">
        <v>3238</v>
      </c>
      <c r="F2506" s="24" t="s">
        <v>3239</v>
      </c>
      <c r="G2506" s="24" t="s">
        <v>88</v>
      </c>
      <c r="H2506" s="309" t="s">
        <v>3245</v>
      </c>
      <c r="I2506" s="46" t="str">
        <f>VLOOKUP(H2506,'合同高级查询数据-4月返'!A:A,1,FALSE)</f>
        <v>182315IDC00094</v>
      </c>
      <c r="J2506" s="309" t="s">
        <v>90</v>
      </c>
      <c r="K2506" s="24" t="s">
        <v>3324</v>
      </c>
      <c r="L2506" s="179"/>
      <c r="M2506" s="312" t="s">
        <v>3325</v>
      </c>
      <c r="N2506" s="313">
        <v>44888</v>
      </c>
      <c r="O2506" s="24" t="s">
        <v>507</v>
      </c>
      <c r="P2506" s="325">
        <v>7950</v>
      </c>
      <c r="Q2506" s="325">
        <v>7</v>
      </c>
      <c r="R2506" s="117">
        <f t="shared" si="74"/>
        <v>55650</v>
      </c>
      <c r="S2506" s="319">
        <v>202304</v>
      </c>
      <c r="T2506" s="233" t="s">
        <v>3332</v>
      </c>
      <c r="U2506" s="233"/>
      <c r="V2506" s="320"/>
      <c r="W2506" s="320"/>
      <c r="X2506" s="313">
        <v>44805</v>
      </c>
      <c r="Y2506" s="229">
        <v>46630</v>
      </c>
    </row>
    <row r="2507" s="5" customFormat="1" customHeight="1" spans="1:25">
      <c r="A2507" s="307" t="s">
        <v>61</v>
      </c>
      <c r="B2507" s="307" t="s">
        <v>3236</v>
      </c>
      <c r="C2507" s="307" t="s">
        <v>3237</v>
      </c>
      <c r="D2507" s="307" t="s">
        <v>85</v>
      </c>
      <c r="E2507" s="23" t="s">
        <v>3238</v>
      </c>
      <c r="F2507" s="24" t="s">
        <v>3239</v>
      </c>
      <c r="G2507" s="24" t="s">
        <v>88</v>
      </c>
      <c r="H2507" s="309" t="s">
        <v>3245</v>
      </c>
      <c r="I2507" s="46" t="str">
        <f>VLOOKUP(H2507,'合同高级查询数据-4月返'!A:A,1,FALSE)</f>
        <v>182315IDC00094</v>
      </c>
      <c r="J2507" s="309" t="s">
        <v>90</v>
      </c>
      <c r="K2507" s="24" t="s">
        <v>3324</v>
      </c>
      <c r="L2507" s="179"/>
      <c r="M2507" s="312" t="s">
        <v>3325</v>
      </c>
      <c r="N2507" s="313">
        <v>44923</v>
      </c>
      <c r="O2507" s="24" t="s">
        <v>507</v>
      </c>
      <c r="P2507" s="325">
        <v>7950</v>
      </c>
      <c r="Q2507" s="325">
        <v>2</v>
      </c>
      <c r="R2507" s="117">
        <f t="shared" si="74"/>
        <v>15900</v>
      </c>
      <c r="S2507" s="319">
        <v>202304</v>
      </c>
      <c r="T2507" s="233" t="s">
        <v>3333</v>
      </c>
      <c r="U2507" s="233"/>
      <c r="V2507" s="320"/>
      <c r="W2507" s="320"/>
      <c r="X2507" s="313">
        <v>44805</v>
      </c>
      <c r="Y2507" s="229">
        <v>46630</v>
      </c>
    </row>
    <row r="2508" s="5" customFormat="1" customHeight="1" spans="1:25">
      <c r="A2508" s="307" t="s">
        <v>61</v>
      </c>
      <c r="B2508" s="307" t="s">
        <v>3236</v>
      </c>
      <c r="C2508" s="307" t="s">
        <v>3237</v>
      </c>
      <c r="D2508" s="307" t="s">
        <v>85</v>
      </c>
      <c r="E2508" s="23" t="s">
        <v>3238</v>
      </c>
      <c r="F2508" s="24" t="s">
        <v>3239</v>
      </c>
      <c r="G2508" s="24" t="s">
        <v>88</v>
      </c>
      <c r="H2508" s="309" t="s">
        <v>3245</v>
      </c>
      <c r="I2508" s="46" t="str">
        <f>VLOOKUP(H2508,'合同高级查询数据-4月返'!A:A,1,FALSE)</f>
        <v>182315IDC00094</v>
      </c>
      <c r="J2508" s="309" t="s">
        <v>90</v>
      </c>
      <c r="K2508" s="24" t="s">
        <v>3324</v>
      </c>
      <c r="L2508" s="179"/>
      <c r="M2508" s="312" t="s">
        <v>3325</v>
      </c>
      <c r="N2508" s="313">
        <v>44956</v>
      </c>
      <c r="O2508" s="24" t="s">
        <v>507</v>
      </c>
      <c r="P2508" s="325">
        <v>7950</v>
      </c>
      <c r="Q2508" s="325">
        <v>3</v>
      </c>
      <c r="R2508" s="117">
        <f t="shared" si="74"/>
        <v>23850</v>
      </c>
      <c r="S2508" s="319">
        <v>202304</v>
      </c>
      <c r="T2508" s="233" t="s">
        <v>3334</v>
      </c>
      <c r="U2508" s="233"/>
      <c r="V2508" s="320"/>
      <c r="W2508" s="320"/>
      <c r="X2508" s="313">
        <v>44805</v>
      </c>
      <c r="Y2508" s="229">
        <v>46630</v>
      </c>
    </row>
    <row r="2509" s="5" customFormat="1" customHeight="1" spans="1:25">
      <c r="A2509" s="307" t="s">
        <v>61</v>
      </c>
      <c r="B2509" s="307" t="s">
        <v>3236</v>
      </c>
      <c r="C2509" s="307" t="s">
        <v>3237</v>
      </c>
      <c r="D2509" s="307" t="s">
        <v>85</v>
      </c>
      <c r="E2509" s="23" t="s">
        <v>3238</v>
      </c>
      <c r="F2509" s="24" t="s">
        <v>3239</v>
      </c>
      <c r="G2509" s="24" t="s">
        <v>88</v>
      </c>
      <c r="H2509" s="309" t="s">
        <v>3245</v>
      </c>
      <c r="I2509" s="46" t="str">
        <f>VLOOKUP(H2509,'合同高级查询数据-4月返'!A:A,1,FALSE)</f>
        <v>182315IDC00094</v>
      </c>
      <c r="J2509" s="309" t="s">
        <v>90</v>
      </c>
      <c r="K2509" s="24" t="s">
        <v>3324</v>
      </c>
      <c r="L2509" s="179"/>
      <c r="M2509" s="312" t="s">
        <v>3325</v>
      </c>
      <c r="N2509" s="313">
        <v>45002</v>
      </c>
      <c r="O2509" s="24" t="s">
        <v>507</v>
      </c>
      <c r="P2509" s="325">
        <v>7950</v>
      </c>
      <c r="Q2509" s="325">
        <v>-32</v>
      </c>
      <c r="R2509" s="117">
        <f t="shared" si="74"/>
        <v>-254400</v>
      </c>
      <c r="S2509" s="319">
        <v>202304</v>
      </c>
      <c r="T2509" s="233" t="s">
        <v>3335</v>
      </c>
      <c r="U2509" s="233"/>
      <c r="V2509" s="320"/>
      <c r="W2509" s="320"/>
      <c r="X2509" s="313">
        <v>44805</v>
      </c>
      <c r="Y2509" s="229">
        <v>46630</v>
      </c>
    </row>
    <row r="2510" s="5" customFormat="1" customHeight="1" spans="1:25">
      <c r="A2510" s="307" t="s">
        <v>61</v>
      </c>
      <c r="B2510" s="307" t="s">
        <v>3236</v>
      </c>
      <c r="C2510" s="307" t="s">
        <v>3237</v>
      </c>
      <c r="D2510" s="307" t="s">
        <v>85</v>
      </c>
      <c r="E2510" s="23" t="s">
        <v>3238</v>
      </c>
      <c r="F2510" s="24" t="s">
        <v>3239</v>
      </c>
      <c r="G2510" s="24" t="s">
        <v>88</v>
      </c>
      <c r="H2510" s="309" t="s">
        <v>3245</v>
      </c>
      <c r="I2510" s="46" t="str">
        <f>VLOOKUP(H2510,'合同高级查询数据-4月返'!A:A,1,FALSE)</f>
        <v>182315IDC00094</v>
      </c>
      <c r="J2510" s="309" t="s">
        <v>3241</v>
      </c>
      <c r="K2510" s="24" t="s">
        <v>3336</v>
      </c>
      <c r="L2510" s="179"/>
      <c r="M2510" s="312" t="s">
        <v>3337</v>
      </c>
      <c r="N2510" s="313"/>
      <c r="O2510" s="24" t="s">
        <v>584</v>
      </c>
      <c r="P2510" s="325">
        <f>8550-7950</f>
        <v>600</v>
      </c>
      <c r="Q2510" s="325">
        <v>10</v>
      </c>
      <c r="R2510" s="117">
        <f t="shared" si="74"/>
        <v>6000</v>
      </c>
      <c r="S2510" s="319">
        <v>202304</v>
      </c>
      <c r="T2510" s="233" t="s">
        <v>3338</v>
      </c>
      <c r="U2510" s="233"/>
      <c r="V2510" s="320"/>
      <c r="W2510" s="320"/>
      <c r="X2510" s="313">
        <v>44805</v>
      </c>
      <c r="Y2510" s="229">
        <v>46630</v>
      </c>
    </row>
    <row r="2511" s="5" customFormat="1" customHeight="1" spans="1:25">
      <c r="A2511" s="307" t="s">
        <v>61</v>
      </c>
      <c r="B2511" s="307" t="s">
        <v>3236</v>
      </c>
      <c r="C2511" s="307" t="s">
        <v>3237</v>
      </c>
      <c r="D2511" s="307" t="s">
        <v>85</v>
      </c>
      <c r="E2511" s="23" t="s">
        <v>3238</v>
      </c>
      <c r="F2511" s="24" t="s">
        <v>3239</v>
      </c>
      <c r="G2511" s="24" t="s">
        <v>88</v>
      </c>
      <c r="H2511" s="309" t="s">
        <v>3245</v>
      </c>
      <c r="I2511" s="46" t="str">
        <f>VLOOKUP(H2511,'合同高级查询数据-4月返'!A:A,1,FALSE)</f>
        <v>182315IDC00094</v>
      </c>
      <c r="J2511" s="309" t="s">
        <v>3241</v>
      </c>
      <c r="K2511" s="24" t="s">
        <v>3336</v>
      </c>
      <c r="L2511" s="179"/>
      <c r="M2511" s="312" t="s">
        <v>3337</v>
      </c>
      <c r="N2511" s="313"/>
      <c r="O2511" s="24" t="s">
        <v>584</v>
      </c>
      <c r="P2511" s="325">
        <f>8550-7950</f>
        <v>600</v>
      </c>
      <c r="Q2511" s="325">
        <v>4</v>
      </c>
      <c r="R2511" s="117">
        <f t="shared" si="74"/>
        <v>2400</v>
      </c>
      <c r="S2511" s="319">
        <v>202303</v>
      </c>
      <c r="T2511" s="233" t="s">
        <v>3339</v>
      </c>
      <c r="U2511" s="233"/>
      <c r="V2511" s="320"/>
      <c r="W2511" s="320"/>
      <c r="X2511" s="313">
        <v>44805</v>
      </c>
      <c r="Y2511" s="229">
        <v>46630</v>
      </c>
    </row>
    <row r="2512" s="3" customFormat="1" customHeight="1" spans="1:25">
      <c r="A2512" s="310" t="s">
        <v>61</v>
      </c>
      <c r="B2512" s="310" t="s">
        <v>3236</v>
      </c>
      <c r="C2512" s="310" t="s">
        <v>3237</v>
      </c>
      <c r="D2512" s="310" t="s">
        <v>85</v>
      </c>
      <c r="E2512" s="13" t="s">
        <v>3238</v>
      </c>
      <c r="F2512" s="11" t="s">
        <v>3239</v>
      </c>
      <c r="G2512" s="11" t="s">
        <v>88</v>
      </c>
      <c r="H2512" s="140" t="s">
        <v>3340</v>
      </c>
      <c r="I2512" s="30" t="e">
        <f>VLOOKUP(H2512,'合同高级查询数据-4月返'!A:A,1,FALSE)</f>
        <v>#N/A</v>
      </c>
      <c r="J2512" s="140" t="s">
        <v>90</v>
      </c>
      <c r="K2512" s="11" t="s">
        <v>3341</v>
      </c>
      <c r="L2512" s="174"/>
      <c r="M2512" s="315" t="s">
        <v>3247</v>
      </c>
      <c r="N2512" s="316">
        <v>45009</v>
      </c>
      <c r="O2512" s="11" t="s">
        <v>507</v>
      </c>
      <c r="P2512" s="324">
        <v>7950</v>
      </c>
      <c r="Q2512" s="324">
        <v>34</v>
      </c>
      <c r="R2512" s="126">
        <f t="shared" si="74"/>
        <v>270300</v>
      </c>
      <c r="S2512" s="322">
        <v>202304</v>
      </c>
      <c r="T2512" s="335" t="s">
        <v>3342</v>
      </c>
      <c r="U2512" s="232"/>
      <c r="V2512" s="323"/>
      <c r="W2512" s="323"/>
      <c r="X2512" s="316">
        <v>44986</v>
      </c>
      <c r="Y2512" s="193"/>
    </row>
    <row r="2513" s="3" customFormat="1" customHeight="1" spans="1:25">
      <c r="A2513" s="310" t="s">
        <v>61</v>
      </c>
      <c r="B2513" s="310" t="s">
        <v>3236</v>
      </c>
      <c r="C2513" s="310" t="s">
        <v>3237</v>
      </c>
      <c r="D2513" s="310" t="s">
        <v>85</v>
      </c>
      <c r="E2513" s="13" t="s">
        <v>3238</v>
      </c>
      <c r="F2513" s="11" t="s">
        <v>3239</v>
      </c>
      <c r="G2513" s="11" t="s">
        <v>88</v>
      </c>
      <c r="H2513" s="140" t="s">
        <v>3340</v>
      </c>
      <c r="I2513" s="30" t="e">
        <f>VLOOKUP(H2513,'合同高级查询数据-4月返'!A:A,1,FALSE)</f>
        <v>#N/A</v>
      </c>
      <c r="J2513" s="140" t="s">
        <v>90</v>
      </c>
      <c r="K2513" s="11" t="s">
        <v>3341</v>
      </c>
      <c r="L2513" s="174"/>
      <c r="M2513" s="315" t="s">
        <v>3247</v>
      </c>
      <c r="N2513" s="316">
        <v>45009</v>
      </c>
      <c r="O2513" s="11" t="s">
        <v>507</v>
      </c>
      <c r="P2513" s="324">
        <v>7950</v>
      </c>
      <c r="Q2513" s="324">
        <v>34</v>
      </c>
      <c r="R2513" s="126">
        <f>ROUND(P2513*Q2513*8/31,2)</f>
        <v>69754.84</v>
      </c>
      <c r="S2513" s="322">
        <v>202303</v>
      </c>
      <c r="T2513" s="335" t="s">
        <v>3343</v>
      </c>
      <c r="U2513" s="232"/>
      <c r="V2513" s="323"/>
      <c r="W2513" s="323"/>
      <c r="X2513" s="316">
        <v>44986</v>
      </c>
      <c r="Y2513" s="193"/>
    </row>
    <row r="2514" s="3" customFormat="1" customHeight="1" spans="1:25">
      <c r="A2514" s="310" t="s">
        <v>61</v>
      </c>
      <c r="B2514" s="310" t="s">
        <v>3236</v>
      </c>
      <c r="C2514" s="310" t="s">
        <v>3237</v>
      </c>
      <c r="D2514" s="310" t="s">
        <v>85</v>
      </c>
      <c r="E2514" s="13" t="s">
        <v>3238</v>
      </c>
      <c r="F2514" s="11" t="s">
        <v>3239</v>
      </c>
      <c r="G2514" s="11" t="s">
        <v>88</v>
      </c>
      <c r="H2514" s="140" t="s">
        <v>3340</v>
      </c>
      <c r="I2514" s="30" t="e">
        <f>VLOOKUP(H2514,'合同高级查询数据-4月返'!A:A,1,FALSE)</f>
        <v>#N/A</v>
      </c>
      <c r="J2514" s="140" t="s">
        <v>90</v>
      </c>
      <c r="K2514" s="11" t="s">
        <v>3341</v>
      </c>
      <c r="L2514" s="174"/>
      <c r="M2514" s="315" t="s">
        <v>3247</v>
      </c>
      <c r="N2514" s="316">
        <v>45010</v>
      </c>
      <c r="O2514" s="11" t="s">
        <v>503</v>
      </c>
      <c r="P2514" s="324">
        <v>3975</v>
      </c>
      <c r="Q2514" s="324">
        <v>2</v>
      </c>
      <c r="R2514" s="126">
        <f>ROUND(P2514*Q2514,2)</f>
        <v>7950</v>
      </c>
      <c r="S2514" s="322">
        <v>202304</v>
      </c>
      <c r="T2514" s="335" t="s">
        <v>3344</v>
      </c>
      <c r="U2514" s="232"/>
      <c r="V2514" s="323"/>
      <c r="W2514" s="323"/>
      <c r="X2514" s="316">
        <v>44986</v>
      </c>
      <c r="Y2514" s="193"/>
    </row>
    <row r="2515" s="3" customFormat="1" customHeight="1" spans="1:25">
      <c r="A2515" s="310" t="s">
        <v>61</v>
      </c>
      <c r="B2515" s="310" t="s">
        <v>3236</v>
      </c>
      <c r="C2515" s="310" t="s">
        <v>3237</v>
      </c>
      <c r="D2515" s="310" t="s">
        <v>85</v>
      </c>
      <c r="E2515" s="13" t="s">
        <v>3238</v>
      </c>
      <c r="F2515" s="11" t="s">
        <v>3239</v>
      </c>
      <c r="G2515" s="11" t="s">
        <v>88</v>
      </c>
      <c r="H2515" s="140" t="s">
        <v>3340</v>
      </c>
      <c r="I2515" s="30" t="e">
        <f>VLOOKUP(H2515,'合同高级查询数据-4月返'!A:A,1,FALSE)</f>
        <v>#N/A</v>
      </c>
      <c r="J2515" s="140" t="s">
        <v>90</v>
      </c>
      <c r="K2515" s="11" t="s">
        <v>3341</v>
      </c>
      <c r="L2515" s="174"/>
      <c r="M2515" s="315" t="s">
        <v>3247</v>
      </c>
      <c r="N2515" s="316">
        <v>45010</v>
      </c>
      <c r="O2515" s="11" t="s">
        <v>507</v>
      </c>
      <c r="P2515" s="324">
        <v>7950</v>
      </c>
      <c r="Q2515" s="324">
        <v>56</v>
      </c>
      <c r="R2515" s="126">
        <f>ROUND(P2515*Q2515,2)</f>
        <v>445200</v>
      </c>
      <c r="S2515" s="322">
        <v>202304</v>
      </c>
      <c r="T2515" s="335" t="s">
        <v>3345</v>
      </c>
      <c r="U2515" s="232"/>
      <c r="V2515" s="323"/>
      <c r="W2515" s="323"/>
      <c r="X2515" s="316">
        <v>44986</v>
      </c>
      <c r="Y2515" s="193"/>
    </row>
    <row r="2516" s="3" customFormat="1" customHeight="1" spans="1:25">
      <c r="A2516" s="310" t="s">
        <v>61</v>
      </c>
      <c r="B2516" s="310" t="s">
        <v>3236</v>
      </c>
      <c r="C2516" s="310" t="s">
        <v>3237</v>
      </c>
      <c r="D2516" s="310" t="s">
        <v>85</v>
      </c>
      <c r="E2516" s="13" t="s">
        <v>3238</v>
      </c>
      <c r="F2516" s="11" t="s">
        <v>3239</v>
      </c>
      <c r="G2516" s="11" t="s">
        <v>88</v>
      </c>
      <c r="H2516" s="140" t="s">
        <v>3340</v>
      </c>
      <c r="I2516" s="30" t="e">
        <f>VLOOKUP(H2516,'合同高级查询数据-4月返'!A:A,1,FALSE)</f>
        <v>#N/A</v>
      </c>
      <c r="J2516" s="140" t="s">
        <v>90</v>
      </c>
      <c r="K2516" s="11" t="s">
        <v>3341</v>
      </c>
      <c r="L2516" s="174"/>
      <c r="M2516" s="315" t="s">
        <v>3247</v>
      </c>
      <c r="N2516" s="316">
        <v>45012</v>
      </c>
      <c r="O2516" s="11" t="s">
        <v>507</v>
      </c>
      <c r="P2516" s="324">
        <v>7950</v>
      </c>
      <c r="Q2516" s="324">
        <v>15</v>
      </c>
      <c r="R2516" s="126">
        <f t="shared" ref="R2516" si="75">ROUND(P2516*Q2516,2)</f>
        <v>119250</v>
      </c>
      <c r="S2516" s="322">
        <v>202304</v>
      </c>
      <c r="T2516" s="232" t="s">
        <v>3346</v>
      </c>
      <c r="U2516" s="232"/>
      <c r="V2516" s="323"/>
      <c r="W2516" s="323"/>
      <c r="X2516" s="316">
        <v>44986</v>
      </c>
      <c r="Y2516" s="193"/>
    </row>
    <row r="2517" s="3" customFormat="1" customHeight="1" spans="1:25">
      <c r="A2517" s="310" t="s">
        <v>61</v>
      </c>
      <c r="B2517" s="310" t="s">
        <v>3236</v>
      </c>
      <c r="C2517" s="310" t="s">
        <v>3237</v>
      </c>
      <c r="D2517" s="310" t="s">
        <v>85</v>
      </c>
      <c r="E2517" s="13" t="s">
        <v>3238</v>
      </c>
      <c r="F2517" s="11" t="s">
        <v>3239</v>
      </c>
      <c r="G2517" s="11" t="s">
        <v>88</v>
      </c>
      <c r="H2517" s="140" t="s">
        <v>3340</v>
      </c>
      <c r="I2517" s="30" t="e">
        <f>VLOOKUP(H2517,'合同高级查询数据-4月返'!A:A,1,FALSE)</f>
        <v>#N/A</v>
      </c>
      <c r="J2517" s="140" t="s">
        <v>90</v>
      </c>
      <c r="K2517" s="11" t="s">
        <v>3341</v>
      </c>
      <c r="L2517" s="174"/>
      <c r="M2517" s="315" t="s">
        <v>3247</v>
      </c>
      <c r="N2517" s="316">
        <v>45012</v>
      </c>
      <c r="O2517" s="11" t="s">
        <v>507</v>
      </c>
      <c r="P2517" s="324">
        <v>7950</v>
      </c>
      <c r="Q2517" s="324">
        <v>1</v>
      </c>
      <c r="R2517" s="126">
        <f>ROUND(P2517*Q2517*5/31,2)</f>
        <v>1282.26</v>
      </c>
      <c r="S2517" s="322">
        <v>202303</v>
      </c>
      <c r="T2517" s="232" t="s">
        <v>3347</v>
      </c>
      <c r="U2517" s="232"/>
      <c r="V2517" s="323"/>
      <c r="W2517" s="323"/>
      <c r="X2517" s="316">
        <v>44986</v>
      </c>
      <c r="Y2517" s="193"/>
    </row>
    <row r="2518" s="3" customFormat="1" customHeight="1" spans="1:25">
      <c r="A2518" s="310" t="s">
        <v>61</v>
      </c>
      <c r="B2518" s="310" t="s">
        <v>3236</v>
      </c>
      <c r="C2518" s="310" t="s">
        <v>3237</v>
      </c>
      <c r="D2518" s="310" t="s">
        <v>85</v>
      </c>
      <c r="E2518" s="13" t="s">
        <v>3238</v>
      </c>
      <c r="F2518" s="11" t="s">
        <v>3239</v>
      </c>
      <c r="G2518" s="11" t="s">
        <v>88</v>
      </c>
      <c r="H2518" s="140" t="s">
        <v>3340</v>
      </c>
      <c r="I2518" s="30" t="e">
        <f>VLOOKUP(H2518,'合同高级查询数据-4月返'!A:A,1,FALSE)</f>
        <v>#N/A</v>
      </c>
      <c r="J2518" s="140" t="s">
        <v>90</v>
      </c>
      <c r="K2518" s="11" t="s">
        <v>3341</v>
      </c>
      <c r="L2518" s="174"/>
      <c r="M2518" s="315" t="s">
        <v>3247</v>
      </c>
      <c r="N2518" s="316">
        <v>45013</v>
      </c>
      <c r="O2518" s="11" t="s">
        <v>507</v>
      </c>
      <c r="P2518" s="324">
        <v>7950</v>
      </c>
      <c r="Q2518" s="324">
        <v>4</v>
      </c>
      <c r="R2518" s="126">
        <f t="shared" ref="R2518:R2519" si="76">ROUND(P2518*Q2518,2)</f>
        <v>31800</v>
      </c>
      <c r="S2518" s="322">
        <v>202304</v>
      </c>
      <c r="T2518" s="232" t="s">
        <v>3348</v>
      </c>
      <c r="U2518" s="232"/>
      <c r="V2518" s="323"/>
      <c r="W2518" s="323"/>
      <c r="X2518" s="316">
        <v>44986</v>
      </c>
      <c r="Y2518" s="193"/>
    </row>
    <row r="2519" s="3" customFormat="1" customHeight="1" spans="1:25">
      <c r="A2519" s="310" t="s">
        <v>61</v>
      </c>
      <c r="B2519" s="310" t="s">
        <v>3236</v>
      </c>
      <c r="C2519" s="310" t="s">
        <v>3237</v>
      </c>
      <c r="D2519" s="310" t="s">
        <v>85</v>
      </c>
      <c r="E2519" s="13" t="s">
        <v>3238</v>
      </c>
      <c r="F2519" s="11" t="s">
        <v>3239</v>
      </c>
      <c r="G2519" s="11" t="s">
        <v>88</v>
      </c>
      <c r="H2519" s="140" t="s">
        <v>3340</v>
      </c>
      <c r="I2519" s="30" t="e">
        <f>VLOOKUP(H2519,'合同高级查询数据-4月返'!A:A,1,FALSE)</f>
        <v>#N/A</v>
      </c>
      <c r="J2519" s="140" t="s">
        <v>90</v>
      </c>
      <c r="K2519" s="11" t="s">
        <v>3341</v>
      </c>
      <c r="L2519" s="174"/>
      <c r="M2519" s="315" t="s">
        <v>3247</v>
      </c>
      <c r="N2519" s="316">
        <v>45014</v>
      </c>
      <c r="O2519" s="11" t="s">
        <v>507</v>
      </c>
      <c r="P2519" s="324">
        <v>7950</v>
      </c>
      <c r="Q2519" s="324">
        <v>2</v>
      </c>
      <c r="R2519" s="126">
        <f t="shared" si="76"/>
        <v>15900</v>
      </c>
      <c r="S2519" s="322">
        <v>202304</v>
      </c>
      <c r="T2519" s="335" t="s">
        <v>3349</v>
      </c>
      <c r="U2519" s="232"/>
      <c r="V2519" s="323"/>
      <c r="W2519" s="323"/>
      <c r="X2519" s="316">
        <v>44986</v>
      </c>
      <c r="Y2519" s="193"/>
    </row>
    <row r="2520" s="3" customFormat="1" customHeight="1" spans="1:25">
      <c r="A2520" s="310" t="s">
        <v>61</v>
      </c>
      <c r="B2520" s="310" t="s">
        <v>3236</v>
      </c>
      <c r="C2520" s="310" t="s">
        <v>3237</v>
      </c>
      <c r="D2520" s="310" t="s">
        <v>85</v>
      </c>
      <c r="E2520" s="13" t="s">
        <v>3238</v>
      </c>
      <c r="F2520" s="11" t="s">
        <v>3239</v>
      </c>
      <c r="G2520" s="11" t="s">
        <v>88</v>
      </c>
      <c r="H2520" s="140" t="s">
        <v>3340</v>
      </c>
      <c r="I2520" s="30" t="e">
        <f>VLOOKUP(H2520,'合同高级查询数据-4月返'!A:A,1,FALSE)</f>
        <v>#N/A</v>
      </c>
      <c r="J2520" s="140" t="s">
        <v>90</v>
      </c>
      <c r="K2520" s="11" t="s">
        <v>3341</v>
      </c>
      <c r="L2520" s="174"/>
      <c r="M2520" s="315" t="s">
        <v>3247</v>
      </c>
      <c r="N2520" s="316">
        <v>45014</v>
      </c>
      <c r="O2520" s="11" t="s">
        <v>507</v>
      </c>
      <c r="P2520" s="324">
        <v>7950</v>
      </c>
      <c r="Q2520" s="324">
        <v>2</v>
      </c>
      <c r="R2520" s="126">
        <f>ROUND(P2520*Q2520*3/31,2)</f>
        <v>1538.71</v>
      </c>
      <c r="S2520" s="322">
        <v>202303</v>
      </c>
      <c r="T2520" s="335" t="s">
        <v>3350</v>
      </c>
      <c r="U2520" s="232"/>
      <c r="V2520" s="323"/>
      <c r="W2520" s="323"/>
      <c r="X2520" s="316">
        <v>44986</v>
      </c>
      <c r="Y2520" s="193"/>
    </row>
    <row r="2521" s="3" customFormat="1" customHeight="1" spans="1:25">
      <c r="A2521" s="310" t="s">
        <v>61</v>
      </c>
      <c r="B2521" s="310" t="s">
        <v>3236</v>
      </c>
      <c r="C2521" s="310" t="s">
        <v>3237</v>
      </c>
      <c r="D2521" s="310" t="s">
        <v>85</v>
      </c>
      <c r="E2521" s="13" t="s">
        <v>3238</v>
      </c>
      <c r="F2521" s="11" t="s">
        <v>3239</v>
      </c>
      <c r="G2521" s="11" t="s">
        <v>88</v>
      </c>
      <c r="H2521" s="140" t="s">
        <v>3340</v>
      </c>
      <c r="I2521" s="30" t="e">
        <f>VLOOKUP(H2521,'合同高级查询数据-4月返'!A:A,1,FALSE)</f>
        <v>#N/A</v>
      </c>
      <c r="J2521" s="140" t="s">
        <v>90</v>
      </c>
      <c r="K2521" s="11" t="s">
        <v>3341</v>
      </c>
      <c r="L2521" s="174"/>
      <c r="M2521" s="315" t="s">
        <v>3247</v>
      </c>
      <c r="N2521" s="334">
        <v>45017</v>
      </c>
      <c r="O2521" s="11" t="s">
        <v>507</v>
      </c>
      <c r="P2521" s="324">
        <v>7950</v>
      </c>
      <c r="Q2521" s="324">
        <v>47</v>
      </c>
      <c r="R2521" s="126">
        <f>ROUND(P2521*Q2521,2)</f>
        <v>373650</v>
      </c>
      <c r="S2521" s="322">
        <v>202304</v>
      </c>
      <c r="T2521" s="336" t="s">
        <v>3351</v>
      </c>
      <c r="U2521" s="232"/>
      <c r="V2521" s="323"/>
      <c r="W2521" s="323"/>
      <c r="X2521" s="316">
        <v>44986</v>
      </c>
      <c r="Y2521" s="193"/>
    </row>
    <row r="2522" s="3" customFormat="1" customHeight="1" spans="1:25">
      <c r="A2522" s="310" t="s">
        <v>61</v>
      </c>
      <c r="B2522" s="310" t="s">
        <v>3236</v>
      </c>
      <c r="C2522" s="310" t="s">
        <v>3237</v>
      </c>
      <c r="D2522" s="310" t="s">
        <v>85</v>
      </c>
      <c r="E2522" s="13" t="s">
        <v>3238</v>
      </c>
      <c r="F2522" s="11" t="s">
        <v>3239</v>
      </c>
      <c r="G2522" s="11" t="s">
        <v>88</v>
      </c>
      <c r="H2522" s="140" t="s">
        <v>3340</v>
      </c>
      <c r="I2522" s="30" t="e">
        <f>VLOOKUP(H2522,'合同高级查询数据-4月返'!A:A,1,FALSE)</f>
        <v>#N/A</v>
      </c>
      <c r="J2522" s="140" t="s">
        <v>90</v>
      </c>
      <c r="K2522" s="11" t="s">
        <v>3341</v>
      </c>
      <c r="L2522" s="174"/>
      <c r="M2522" s="315" t="s">
        <v>3247</v>
      </c>
      <c r="N2522" s="334">
        <v>45019</v>
      </c>
      <c r="O2522" s="11" t="s">
        <v>507</v>
      </c>
      <c r="P2522" s="324">
        <v>7950</v>
      </c>
      <c r="Q2522" s="324">
        <v>20</v>
      </c>
      <c r="R2522" s="126">
        <f>ROUND(P2522*Q2522*28/30,2)</f>
        <v>148400</v>
      </c>
      <c r="S2522" s="322">
        <v>202304</v>
      </c>
      <c r="T2522" s="336" t="s">
        <v>3352</v>
      </c>
      <c r="U2522" s="232"/>
      <c r="V2522" s="323"/>
      <c r="W2522" s="323"/>
      <c r="X2522" s="316">
        <v>44986</v>
      </c>
      <c r="Y2522" s="193"/>
    </row>
    <row r="2523" s="3" customFormat="1" customHeight="1" spans="1:25">
      <c r="A2523" s="310" t="s">
        <v>61</v>
      </c>
      <c r="B2523" s="310" t="s">
        <v>3236</v>
      </c>
      <c r="C2523" s="310" t="s">
        <v>3237</v>
      </c>
      <c r="D2523" s="310" t="s">
        <v>85</v>
      </c>
      <c r="E2523" s="13" t="s">
        <v>3238</v>
      </c>
      <c r="F2523" s="11" t="s">
        <v>3239</v>
      </c>
      <c r="G2523" s="11" t="s">
        <v>88</v>
      </c>
      <c r="H2523" s="140" t="s">
        <v>3340</v>
      </c>
      <c r="I2523" s="30" t="e">
        <f>VLOOKUP(H2523,'合同高级查询数据-4月返'!A:A,1,FALSE)</f>
        <v>#N/A</v>
      </c>
      <c r="J2523" s="140" t="s">
        <v>90</v>
      </c>
      <c r="K2523" s="11" t="s">
        <v>3341</v>
      </c>
      <c r="L2523" s="174"/>
      <c r="M2523" s="315" t="s">
        <v>3247</v>
      </c>
      <c r="N2523" s="334">
        <v>45019</v>
      </c>
      <c r="O2523" s="11" t="s">
        <v>507</v>
      </c>
      <c r="P2523" s="324">
        <v>7950</v>
      </c>
      <c r="Q2523" s="324">
        <v>2</v>
      </c>
      <c r="R2523" s="126">
        <f>ROUND(P2523*Q2523*28/30,2)</f>
        <v>14840</v>
      </c>
      <c r="S2523" s="322">
        <v>202304</v>
      </c>
      <c r="T2523" s="336" t="s">
        <v>3353</v>
      </c>
      <c r="U2523" s="232"/>
      <c r="V2523" s="323"/>
      <c r="W2523" s="323"/>
      <c r="X2523" s="316">
        <v>44986</v>
      </c>
      <c r="Y2523" s="193"/>
    </row>
    <row r="2524" s="3" customFormat="1" customHeight="1" spans="1:25">
      <c r="A2524" s="310" t="s">
        <v>61</v>
      </c>
      <c r="B2524" s="310" t="s">
        <v>3236</v>
      </c>
      <c r="C2524" s="310" t="s">
        <v>3237</v>
      </c>
      <c r="D2524" s="310" t="s">
        <v>85</v>
      </c>
      <c r="E2524" s="13" t="s">
        <v>3238</v>
      </c>
      <c r="F2524" s="11" t="s">
        <v>3239</v>
      </c>
      <c r="G2524" s="11" t="s">
        <v>88</v>
      </c>
      <c r="H2524" s="140" t="s">
        <v>3340</v>
      </c>
      <c r="I2524" s="30" t="e">
        <f>VLOOKUP(H2524,'合同高级查询数据-4月返'!A:A,1,FALSE)</f>
        <v>#N/A</v>
      </c>
      <c r="J2524" s="140" t="s">
        <v>90</v>
      </c>
      <c r="K2524" s="11" t="s">
        <v>3341</v>
      </c>
      <c r="L2524" s="174"/>
      <c r="M2524" s="315" t="s">
        <v>3247</v>
      </c>
      <c r="N2524" s="316">
        <v>45028</v>
      </c>
      <c r="O2524" s="11" t="s">
        <v>507</v>
      </c>
      <c r="P2524" s="324">
        <v>7950</v>
      </c>
      <c r="Q2524" s="324">
        <v>12</v>
      </c>
      <c r="R2524" s="126">
        <f>ROUND(P2524*Q2524*19/30,2)</f>
        <v>60420</v>
      </c>
      <c r="S2524" s="322">
        <v>202304</v>
      </c>
      <c r="T2524" s="336" t="s">
        <v>3354</v>
      </c>
      <c r="U2524" s="232"/>
      <c r="V2524" s="323"/>
      <c r="W2524" s="323"/>
      <c r="X2524" s="316">
        <v>44986</v>
      </c>
      <c r="Y2524" s="193"/>
    </row>
    <row r="2525" s="3" customFormat="1" customHeight="1" spans="1:25">
      <c r="A2525" s="310" t="s">
        <v>61</v>
      </c>
      <c r="B2525" s="310" t="s">
        <v>3236</v>
      </c>
      <c r="C2525" s="310" t="s">
        <v>3237</v>
      </c>
      <c r="D2525" s="310" t="s">
        <v>85</v>
      </c>
      <c r="E2525" s="13" t="s">
        <v>3238</v>
      </c>
      <c r="F2525" s="11" t="s">
        <v>3239</v>
      </c>
      <c r="G2525" s="11" t="s">
        <v>88</v>
      </c>
      <c r="H2525" s="140" t="s">
        <v>3340</v>
      </c>
      <c r="I2525" s="30" t="e">
        <f>VLOOKUP(H2525,'合同高级查询数据-4月返'!A:A,1,FALSE)</f>
        <v>#N/A</v>
      </c>
      <c r="J2525" s="140" t="s">
        <v>90</v>
      </c>
      <c r="K2525" s="11" t="s">
        <v>3341</v>
      </c>
      <c r="L2525" s="174"/>
      <c r="M2525" s="315" t="s">
        <v>3247</v>
      </c>
      <c r="N2525" s="316">
        <v>45033</v>
      </c>
      <c r="O2525" s="11" t="s">
        <v>507</v>
      </c>
      <c r="P2525" s="324">
        <v>7950</v>
      </c>
      <c r="Q2525" s="324">
        <v>4</v>
      </c>
      <c r="R2525" s="126">
        <f>ROUND(P2525*Q2525*14/30,2)</f>
        <v>14840</v>
      </c>
      <c r="S2525" s="322">
        <v>202304</v>
      </c>
      <c r="T2525" s="336" t="s">
        <v>3355</v>
      </c>
      <c r="U2525" s="232"/>
      <c r="V2525" s="323"/>
      <c r="W2525" s="323"/>
      <c r="X2525" s="316">
        <v>44986</v>
      </c>
      <c r="Y2525" s="193"/>
    </row>
    <row r="2526" s="3" customFormat="1" customHeight="1" spans="1:25">
      <c r="A2526" s="310" t="s">
        <v>61</v>
      </c>
      <c r="B2526" s="310" t="s">
        <v>3236</v>
      </c>
      <c r="C2526" s="310" t="s">
        <v>3237</v>
      </c>
      <c r="D2526" s="310" t="s">
        <v>85</v>
      </c>
      <c r="E2526" s="13" t="s">
        <v>3238</v>
      </c>
      <c r="F2526" s="11" t="s">
        <v>3239</v>
      </c>
      <c r="G2526" s="11" t="s">
        <v>88</v>
      </c>
      <c r="H2526" s="140" t="s">
        <v>3340</v>
      </c>
      <c r="I2526" s="30" t="e">
        <f>VLOOKUP(H2526,'合同高级查询数据-4月返'!A:A,1,FALSE)</f>
        <v>#N/A</v>
      </c>
      <c r="J2526" s="140" t="s">
        <v>90</v>
      </c>
      <c r="K2526" s="11" t="s">
        <v>3341</v>
      </c>
      <c r="L2526" s="174"/>
      <c r="M2526" s="315" t="s">
        <v>3247</v>
      </c>
      <c r="N2526" s="316">
        <v>45038</v>
      </c>
      <c r="O2526" s="11" t="s">
        <v>507</v>
      </c>
      <c r="P2526" s="324">
        <v>7950</v>
      </c>
      <c r="Q2526" s="324">
        <v>10</v>
      </c>
      <c r="R2526" s="126">
        <f>ROUND(P2526*Q2526*9/30,2)</f>
        <v>23850</v>
      </c>
      <c r="S2526" s="322">
        <v>202304</v>
      </c>
      <c r="T2526" s="336" t="s">
        <v>3356</v>
      </c>
      <c r="U2526" s="232"/>
      <c r="V2526" s="323"/>
      <c r="W2526" s="323"/>
      <c r="X2526" s="316">
        <v>44986</v>
      </c>
      <c r="Y2526" s="193"/>
    </row>
    <row r="2527" s="3" customFormat="1" customHeight="1" spans="1:25">
      <c r="A2527" s="310" t="s">
        <v>61</v>
      </c>
      <c r="B2527" s="310" t="s">
        <v>3236</v>
      </c>
      <c r="C2527" s="310" t="s">
        <v>3237</v>
      </c>
      <c r="D2527" s="310" t="s">
        <v>85</v>
      </c>
      <c r="E2527" s="13" t="s">
        <v>3238</v>
      </c>
      <c r="F2527" s="11" t="s">
        <v>3239</v>
      </c>
      <c r="G2527" s="11" t="s">
        <v>88</v>
      </c>
      <c r="H2527" s="140" t="s">
        <v>3340</v>
      </c>
      <c r="I2527" s="30" t="e">
        <f>VLOOKUP(H2527,'合同高级查询数据-4月返'!A:A,1,FALSE)</f>
        <v>#N/A</v>
      </c>
      <c r="J2527" s="140" t="s">
        <v>90</v>
      </c>
      <c r="K2527" s="11" t="s">
        <v>3341</v>
      </c>
      <c r="L2527" s="174"/>
      <c r="M2527" s="315" t="s">
        <v>3247</v>
      </c>
      <c r="N2527" s="316">
        <v>45039</v>
      </c>
      <c r="O2527" s="11" t="s">
        <v>507</v>
      </c>
      <c r="P2527" s="324">
        <v>7950</v>
      </c>
      <c r="Q2527" s="324">
        <v>23</v>
      </c>
      <c r="R2527" s="126">
        <f>ROUND(P2527*Q2527*8/30,2)</f>
        <v>48760</v>
      </c>
      <c r="S2527" s="322">
        <v>202304</v>
      </c>
      <c r="T2527" s="336" t="s">
        <v>3357</v>
      </c>
      <c r="U2527" s="232"/>
      <c r="V2527" s="323"/>
      <c r="W2527" s="323"/>
      <c r="X2527" s="316">
        <v>44986</v>
      </c>
      <c r="Y2527" s="193"/>
    </row>
    <row r="2528" s="3" customFormat="1" customHeight="1" spans="1:25">
      <c r="A2528" s="310" t="s">
        <v>61</v>
      </c>
      <c r="B2528" s="310" t="s">
        <v>3236</v>
      </c>
      <c r="C2528" s="310" t="s">
        <v>3237</v>
      </c>
      <c r="D2528" s="310" t="s">
        <v>85</v>
      </c>
      <c r="E2528" s="13" t="s">
        <v>3238</v>
      </c>
      <c r="F2528" s="11" t="s">
        <v>3239</v>
      </c>
      <c r="G2528" s="11" t="s">
        <v>88</v>
      </c>
      <c r="H2528" s="140" t="s">
        <v>3358</v>
      </c>
      <c r="I2528" s="30" t="e">
        <f>VLOOKUP(H2528,'合同高级查询数据-4月返'!A:A,1,FALSE)</f>
        <v>#N/A</v>
      </c>
      <c r="J2528" s="140" t="s">
        <v>90</v>
      </c>
      <c r="K2528" s="11" t="s">
        <v>3359</v>
      </c>
      <c r="L2528" s="174"/>
      <c r="M2528" s="315" t="s">
        <v>3247</v>
      </c>
      <c r="N2528" s="316">
        <v>45039</v>
      </c>
      <c r="O2528" s="11" t="s">
        <v>507</v>
      </c>
      <c r="P2528" s="324">
        <v>7950</v>
      </c>
      <c r="Q2528" s="324">
        <v>2</v>
      </c>
      <c r="R2528" s="126">
        <f>ROUND(P2528*Q2528*8/30,2)</f>
        <v>4240</v>
      </c>
      <c r="S2528" s="322">
        <v>202304</v>
      </c>
      <c r="T2528" s="336" t="s">
        <v>3360</v>
      </c>
      <c r="U2528" s="232"/>
      <c r="V2528" s="323"/>
      <c r="W2528" s="323"/>
      <c r="X2528" s="316">
        <v>45017</v>
      </c>
      <c r="Y2528" s="193"/>
    </row>
    <row r="2529" s="5" customFormat="1" customHeight="1" spans="1:25">
      <c r="A2529" s="307" t="s">
        <v>448</v>
      </c>
      <c r="B2529" s="307" t="s">
        <v>3037</v>
      </c>
      <c r="C2529" s="307" t="s">
        <v>144</v>
      </c>
      <c r="D2529" s="307" t="s">
        <v>3038</v>
      </c>
      <c r="E2529" s="23" t="s">
        <v>945</v>
      </c>
      <c r="F2529" s="332" t="s">
        <v>3361</v>
      </c>
      <c r="G2529" s="24" t="s">
        <v>88</v>
      </c>
      <c r="H2529" s="309" t="s">
        <v>3362</v>
      </c>
      <c r="I2529" s="46" t="e">
        <f>VLOOKUP(H2529,'合同高级查询数据-4月返'!A:A,1,FALSE)</f>
        <v>#N/A</v>
      </c>
      <c r="J2529" s="24" t="s">
        <v>162</v>
      </c>
      <c r="K2529" s="24" t="s">
        <v>3363</v>
      </c>
      <c r="L2529" s="109"/>
      <c r="M2529" s="312" t="s">
        <v>3364</v>
      </c>
      <c r="N2529" s="313">
        <v>43205</v>
      </c>
      <c r="O2529" s="24" t="s">
        <v>1535</v>
      </c>
      <c r="P2529" s="325">
        <v>4000</v>
      </c>
      <c r="Q2529" s="325">
        <v>8</v>
      </c>
      <c r="R2529" s="117">
        <f t="shared" si="68"/>
        <v>32000</v>
      </c>
      <c r="S2529" s="319">
        <v>202304</v>
      </c>
      <c r="T2529" s="233" t="s">
        <v>3365</v>
      </c>
      <c r="U2529" s="233"/>
      <c r="V2529" s="320"/>
      <c r="W2529" s="320"/>
      <c r="X2529" s="229">
        <v>44774</v>
      </c>
      <c r="Y2529" s="184">
        <v>45138</v>
      </c>
    </row>
    <row r="2530" s="5" customFormat="1" customHeight="1" spans="1:25">
      <c r="A2530" s="307" t="s">
        <v>448</v>
      </c>
      <c r="B2530" s="307" t="s">
        <v>3037</v>
      </c>
      <c r="C2530" s="307" t="s">
        <v>144</v>
      </c>
      <c r="D2530" s="307" t="s">
        <v>3038</v>
      </c>
      <c r="E2530" s="23" t="s">
        <v>945</v>
      </c>
      <c r="F2530" s="332" t="s">
        <v>3361</v>
      </c>
      <c r="G2530" s="24" t="s">
        <v>88</v>
      </c>
      <c r="H2530" s="309" t="s">
        <v>3362</v>
      </c>
      <c r="I2530" s="46" t="e">
        <f>VLOOKUP(H2530,'合同高级查询数据-4月返'!A:A,1,FALSE)</f>
        <v>#N/A</v>
      </c>
      <c r="J2530" s="24" t="s">
        <v>162</v>
      </c>
      <c r="K2530" s="24" t="s">
        <v>3363</v>
      </c>
      <c r="L2530" s="109"/>
      <c r="M2530" s="312" t="s">
        <v>3364</v>
      </c>
      <c r="N2530" s="313">
        <v>43205</v>
      </c>
      <c r="O2530" s="24" t="s">
        <v>1535</v>
      </c>
      <c r="P2530" s="325">
        <v>4000</v>
      </c>
      <c r="Q2530" s="325">
        <v>-8</v>
      </c>
      <c r="R2530" s="117">
        <f>ROUND(P2530*Q2530,2)</f>
        <v>-32000</v>
      </c>
      <c r="S2530" s="319">
        <v>202304</v>
      </c>
      <c r="T2530" s="233" t="s">
        <v>3365</v>
      </c>
      <c r="U2530" s="233"/>
      <c r="V2530" s="320"/>
      <c r="W2530" s="320"/>
      <c r="X2530" s="229">
        <v>44774</v>
      </c>
      <c r="Y2530" s="184">
        <v>45138</v>
      </c>
    </row>
    <row r="2531" s="5" customFormat="1" customHeight="1" spans="1:25">
      <c r="A2531" s="307" t="s">
        <v>448</v>
      </c>
      <c r="B2531" s="307" t="s">
        <v>3037</v>
      </c>
      <c r="C2531" s="307" t="s">
        <v>144</v>
      </c>
      <c r="D2531" s="307" t="s">
        <v>3038</v>
      </c>
      <c r="E2531" s="23" t="s">
        <v>945</v>
      </c>
      <c r="F2531" s="332" t="s">
        <v>3361</v>
      </c>
      <c r="G2531" s="24" t="s">
        <v>88</v>
      </c>
      <c r="H2531" s="309" t="s">
        <v>3362</v>
      </c>
      <c r="I2531" s="46" t="e">
        <f>VLOOKUP(H2531,'合同高级查询数据-4月返'!A:A,1,FALSE)</f>
        <v>#N/A</v>
      </c>
      <c r="J2531" s="24" t="s">
        <v>162</v>
      </c>
      <c r="K2531" s="24" t="s">
        <v>3366</v>
      </c>
      <c r="L2531" s="109"/>
      <c r="M2531" s="312" t="s">
        <v>3364</v>
      </c>
      <c r="N2531" s="313">
        <v>43344</v>
      </c>
      <c r="O2531" s="24" t="s">
        <v>1535</v>
      </c>
      <c r="P2531" s="325">
        <v>4000</v>
      </c>
      <c r="Q2531" s="325">
        <v>6</v>
      </c>
      <c r="R2531" s="117">
        <f t="shared" si="68"/>
        <v>24000</v>
      </c>
      <c r="S2531" s="319">
        <v>202304</v>
      </c>
      <c r="T2531" s="233"/>
      <c r="U2531" s="233"/>
      <c r="V2531" s="320"/>
      <c r="W2531" s="320"/>
      <c r="X2531" s="229">
        <v>44774</v>
      </c>
      <c r="Y2531" s="184">
        <v>45138</v>
      </c>
    </row>
    <row r="2532" s="5" customFormat="1" customHeight="1" spans="1:25">
      <c r="A2532" s="307" t="s">
        <v>448</v>
      </c>
      <c r="B2532" s="307" t="s">
        <v>3037</v>
      </c>
      <c r="C2532" s="307" t="s">
        <v>144</v>
      </c>
      <c r="D2532" s="307" t="s">
        <v>3038</v>
      </c>
      <c r="E2532" s="23" t="s">
        <v>945</v>
      </c>
      <c r="F2532" s="332" t="s">
        <v>3361</v>
      </c>
      <c r="G2532" s="24" t="s">
        <v>88</v>
      </c>
      <c r="H2532" s="309" t="s">
        <v>3362</v>
      </c>
      <c r="I2532" s="46" t="e">
        <f>VLOOKUP(H2532,'合同高级查询数据-4月返'!A:A,1,FALSE)</f>
        <v>#N/A</v>
      </c>
      <c r="J2532" s="24" t="s">
        <v>162</v>
      </c>
      <c r="K2532" s="24" t="s">
        <v>3367</v>
      </c>
      <c r="L2532" s="109"/>
      <c r="M2532" s="312" t="s">
        <v>3364</v>
      </c>
      <c r="N2532" s="313">
        <v>43405</v>
      </c>
      <c r="O2532" s="24" t="s">
        <v>1535</v>
      </c>
      <c r="P2532" s="325">
        <v>4000</v>
      </c>
      <c r="Q2532" s="325">
        <v>6</v>
      </c>
      <c r="R2532" s="117">
        <f t="shared" si="68"/>
        <v>24000</v>
      </c>
      <c r="S2532" s="319">
        <v>202304</v>
      </c>
      <c r="T2532" s="233"/>
      <c r="U2532" s="233"/>
      <c r="V2532" s="320"/>
      <c r="W2532" s="320"/>
      <c r="X2532" s="229">
        <v>44774</v>
      </c>
      <c r="Y2532" s="184">
        <v>45138</v>
      </c>
    </row>
    <row r="2533" s="5" customFormat="1" customHeight="1" spans="1:25">
      <c r="A2533" s="307" t="s">
        <v>448</v>
      </c>
      <c r="B2533" s="307" t="s">
        <v>3037</v>
      </c>
      <c r="C2533" s="307" t="s">
        <v>144</v>
      </c>
      <c r="D2533" s="307" t="s">
        <v>3038</v>
      </c>
      <c r="E2533" s="23" t="s">
        <v>945</v>
      </c>
      <c r="F2533" s="332" t="s">
        <v>3361</v>
      </c>
      <c r="G2533" s="24" t="s">
        <v>88</v>
      </c>
      <c r="H2533" s="309" t="s">
        <v>3362</v>
      </c>
      <c r="I2533" s="46" t="e">
        <f>VLOOKUP(H2533,'合同高级查询数据-4月返'!A:A,1,FALSE)</f>
        <v>#N/A</v>
      </c>
      <c r="J2533" s="24" t="s">
        <v>162</v>
      </c>
      <c r="K2533" s="24" t="s">
        <v>3367</v>
      </c>
      <c r="L2533" s="109"/>
      <c r="M2533" s="312" t="s">
        <v>3364</v>
      </c>
      <c r="N2533" s="313">
        <v>44561</v>
      </c>
      <c r="O2533" s="24" t="s">
        <v>1535</v>
      </c>
      <c r="P2533" s="325">
        <v>4000</v>
      </c>
      <c r="Q2533" s="325">
        <v>-6</v>
      </c>
      <c r="R2533" s="117">
        <f t="shared" si="68"/>
        <v>-24000</v>
      </c>
      <c r="S2533" s="319">
        <v>202304</v>
      </c>
      <c r="T2533" s="233" t="s">
        <v>3368</v>
      </c>
      <c r="U2533" s="233"/>
      <c r="V2533" s="320"/>
      <c r="W2533" s="320"/>
      <c r="X2533" s="229">
        <v>44774</v>
      </c>
      <c r="Y2533" s="184">
        <v>45138</v>
      </c>
    </row>
    <row r="2534" s="5" customFormat="1" customHeight="1" spans="1:25">
      <c r="A2534" s="307" t="s">
        <v>448</v>
      </c>
      <c r="B2534" s="307" t="s">
        <v>3037</v>
      </c>
      <c r="C2534" s="307" t="s">
        <v>144</v>
      </c>
      <c r="D2534" s="307" t="s">
        <v>3038</v>
      </c>
      <c r="E2534" s="23" t="s">
        <v>945</v>
      </c>
      <c r="F2534" s="332" t="s">
        <v>3361</v>
      </c>
      <c r="G2534" s="24" t="s">
        <v>88</v>
      </c>
      <c r="H2534" s="309" t="s">
        <v>3362</v>
      </c>
      <c r="I2534" s="46" t="e">
        <f>VLOOKUP(H2534,'合同高级查询数据-4月返'!A:A,1,FALSE)</f>
        <v>#N/A</v>
      </c>
      <c r="J2534" s="24" t="s">
        <v>162</v>
      </c>
      <c r="K2534" s="24" t="s">
        <v>3366</v>
      </c>
      <c r="L2534" s="109"/>
      <c r="M2534" s="312" t="s">
        <v>3364</v>
      </c>
      <c r="N2534" s="313">
        <v>44681</v>
      </c>
      <c r="O2534" s="24" t="s">
        <v>1535</v>
      </c>
      <c r="P2534" s="325">
        <v>4000</v>
      </c>
      <c r="Q2534" s="325">
        <v>-4</v>
      </c>
      <c r="R2534" s="117">
        <f t="shared" si="68"/>
        <v>-16000</v>
      </c>
      <c r="S2534" s="319">
        <v>202304</v>
      </c>
      <c r="T2534" s="233" t="s">
        <v>3369</v>
      </c>
      <c r="U2534" s="233"/>
      <c r="V2534" s="320"/>
      <c r="W2534" s="320"/>
      <c r="X2534" s="229">
        <v>44774</v>
      </c>
      <c r="Y2534" s="184">
        <v>45138</v>
      </c>
    </row>
    <row r="2535" s="5" customFormat="1" customHeight="1" spans="1:25">
      <c r="A2535" s="307" t="s">
        <v>448</v>
      </c>
      <c r="B2535" s="307" t="s">
        <v>3037</v>
      </c>
      <c r="C2535" s="307" t="s">
        <v>144</v>
      </c>
      <c r="D2535" s="307" t="s">
        <v>3038</v>
      </c>
      <c r="E2535" s="23" t="s">
        <v>945</v>
      </c>
      <c r="F2535" s="332" t="s">
        <v>3361</v>
      </c>
      <c r="G2535" s="24" t="s">
        <v>31</v>
      </c>
      <c r="H2535" s="309" t="s">
        <v>3362</v>
      </c>
      <c r="I2535" s="46" t="e">
        <f>VLOOKUP(H2535,'合同高级查询数据-4月返'!A:A,1,FALSE)</f>
        <v>#N/A</v>
      </c>
      <c r="J2535" s="309" t="s">
        <v>3189</v>
      </c>
      <c r="K2535" s="24" t="s">
        <v>148</v>
      </c>
      <c r="L2535" s="109"/>
      <c r="M2535" s="312" t="s">
        <v>3364</v>
      </c>
      <c r="N2535" s="313">
        <v>43405</v>
      </c>
      <c r="O2535" s="24" t="s">
        <v>37</v>
      </c>
      <c r="P2535" s="325">
        <v>0</v>
      </c>
      <c r="Q2535" s="325">
        <v>576</v>
      </c>
      <c r="R2535" s="117">
        <f t="shared" si="68"/>
        <v>0</v>
      </c>
      <c r="S2535" s="319">
        <v>202304</v>
      </c>
      <c r="T2535" s="233" t="s">
        <v>3370</v>
      </c>
      <c r="U2535" s="233"/>
      <c r="V2535" s="320"/>
      <c r="W2535" s="320"/>
      <c r="X2535" s="229">
        <v>44774</v>
      </c>
      <c r="Y2535" s="184">
        <v>45138</v>
      </c>
    </row>
    <row r="2536" s="5" customFormat="1" customHeight="1" spans="1:25">
      <c r="A2536" s="307" t="s">
        <v>448</v>
      </c>
      <c r="B2536" s="307" t="s">
        <v>3037</v>
      </c>
      <c r="C2536" s="307" t="s">
        <v>144</v>
      </c>
      <c r="D2536" s="307" t="s">
        <v>3038</v>
      </c>
      <c r="E2536" s="23" t="s">
        <v>945</v>
      </c>
      <c r="F2536" s="332" t="s">
        <v>3361</v>
      </c>
      <c r="G2536" s="24" t="s">
        <v>31</v>
      </c>
      <c r="H2536" s="309" t="s">
        <v>3362</v>
      </c>
      <c r="I2536" s="46" t="e">
        <f>VLOOKUP(H2536,'合同高级查询数据-4月返'!A:A,1,FALSE)</f>
        <v>#N/A</v>
      </c>
      <c r="J2536" s="309" t="s">
        <v>3189</v>
      </c>
      <c r="K2536" s="24" t="s">
        <v>3367</v>
      </c>
      <c r="L2536" s="109"/>
      <c r="M2536" s="312" t="s">
        <v>3364</v>
      </c>
      <c r="N2536" s="313">
        <v>44561</v>
      </c>
      <c r="O2536" s="24" t="s">
        <v>37</v>
      </c>
      <c r="P2536" s="325">
        <v>0</v>
      </c>
      <c r="Q2536" s="325">
        <v>-288</v>
      </c>
      <c r="R2536" s="117">
        <f t="shared" si="68"/>
        <v>0</v>
      </c>
      <c r="S2536" s="319">
        <v>202304</v>
      </c>
      <c r="T2536" s="233" t="s">
        <v>3371</v>
      </c>
      <c r="U2536" s="233"/>
      <c r="V2536" s="320"/>
      <c r="W2536" s="320"/>
      <c r="X2536" s="229">
        <v>44774</v>
      </c>
      <c r="Y2536" s="184">
        <v>45138</v>
      </c>
    </row>
    <row r="2537" s="5" customFormat="1" customHeight="1" spans="1:25">
      <c r="A2537" s="307" t="s">
        <v>448</v>
      </c>
      <c r="B2537" s="307" t="s">
        <v>3037</v>
      </c>
      <c r="C2537" s="307" t="s">
        <v>144</v>
      </c>
      <c r="D2537" s="307" t="s">
        <v>3038</v>
      </c>
      <c r="E2537" s="23" t="s">
        <v>945</v>
      </c>
      <c r="F2537" s="24" t="s">
        <v>3372</v>
      </c>
      <c r="G2537" s="24" t="s">
        <v>88</v>
      </c>
      <c r="H2537" s="309" t="s">
        <v>3362</v>
      </c>
      <c r="I2537" s="46" t="e">
        <f>VLOOKUP(H2537,'合同高级查询数据-4月返'!A:A,1,FALSE)</f>
        <v>#N/A</v>
      </c>
      <c r="J2537" s="24" t="s">
        <v>162</v>
      </c>
      <c r="K2537" s="24" t="s">
        <v>3373</v>
      </c>
      <c r="L2537" s="24"/>
      <c r="M2537" s="312" t="s">
        <v>3374</v>
      </c>
      <c r="N2537" s="313">
        <v>43812</v>
      </c>
      <c r="O2537" s="24" t="s">
        <v>1535</v>
      </c>
      <c r="P2537" s="325">
        <v>4000</v>
      </c>
      <c r="Q2537" s="325">
        <v>2</v>
      </c>
      <c r="R2537" s="117">
        <f t="shared" ref="R2537:R2552" si="77">ROUND(P2537*Q2537,2)</f>
        <v>8000</v>
      </c>
      <c r="S2537" s="319">
        <v>202304</v>
      </c>
      <c r="T2537" s="233" t="s">
        <v>3375</v>
      </c>
      <c r="U2537" s="233"/>
      <c r="V2537" s="320"/>
      <c r="W2537" s="320"/>
      <c r="X2537" s="229">
        <v>44774</v>
      </c>
      <c r="Y2537" s="184">
        <v>45138</v>
      </c>
    </row>
    <row r="2538" s="5" customFormat="1" customHeight="1" spans="1:25">
      <c r="A2538" s="307" t="s">
        <v>448</v>
      </c>
      <c r="B2538" s="307" t="s">
        <v>3037</v>
      </c>
      <c r="C2538" s="307" t="s">
        <v>144</v>
      </c>
      <c r="D2538" s="307" t="s">
        <v>3038</v>
      </c>
      <c r="E2538" s="23" t="s">
        <v>945</v>
      </c>
      <c r="F2538" s="24" t="s">
        <v>3372</v>
      </c>
      <c r="G2538" s="24" t="s">
        <v>88</v>
      </c>
      <c r="H2538" s="309" t="s">
        <v>3362</v>
      </c>
      <c r="I2538" s="46" t="e">
        <f>VLOOKUP(H2538,'合同高级查询数据-4月返'!A:A,1,FALSE)</f>
        <v>#N/A</v>
      </c>
      <c r="J2538" s="24" t="s">
        <v>162</v>
      </c>
      <c r="K2538" s="24" t="s">
        <v>3376</v>
      </c>
      <c r="L2538" s="24"/>
      <c r="M2538" s="312" t="s">
        <v>3374</v>
      </c>
      <c r="N2538" s="313">
        <v>43709</v>
      </c>
      <c r="O2538" s="24" t="s">
        <v>1535</v>
      </c>
      <c r="P2538" s="325">
        <v>4000</v>
      </c>
      <c r="Q2538" s="325">
        <v>9</v>
      </c>
      <c r="R2538" s="117">
        <f t="shared" si="77"/>
        <v>36000</v>
      </c>
      <c r="S2538" s="319">
        <v>202304</v>
      </c>
      <c r="T2538" s="233" t="s">
        <v>3377</v>
      </c>
      <c r="U2538" s="233"/>
      <c r="V2538" s="320"/>
      <c r="W2538" s="320"/>
      <c r="X2538" s="229">
        <v>44774</v>
      </c>
      <c r="Y2538" s="184">
        <v>45138</v>
      </c>
    </row>
    <row r="2539" s="5" customFormat="1" customHeight="1" spans="1:25">
      <c r="A2539" s="307" t="s">
        <v>448</v>
      </c>
      <c r="B2539" s="307" t="s">
        <v>3037</v>
      </c>
      <c r="C2539" s="307" t="s">
        <v>144</v>
      </c>
      <c r="D2539" s="307" t="s">
        <v>3038</v>
      </c>
      <c r="E2539" s="23" t="s">
        <v>945</v>
      </c>
      <c r="F2539" s="24" t="s">
        <v>3372</v>
      </c>
      <c r="G2539" s="24" t="s">
        <v>88</v>
      </c>
      <c r="H2539" s="309" t="s">
        <v>3362</v>
      </c>
      <c r="I2539" s="46" t="e">
        <f>VLOOKUP(H2539,'合同高级查询数据-4月返'!A:A,1,FALSE)</f>
        <v>#N/A</v>
      </c>
      <c r="J2539" s="24" t="s">
        <v>162</v>
      </c>
      <c r="K2539" s="24" t="s">
        <v>3376</v>
      </c>
      <c r="L2539" s="24"/>
      <c r="M2539" s="312" t="s">
        <v>3374</v>
      </c>
      <c r="N2539" s="313">
        <v>44286</v>
      </c>
      <c r="O2539" s="24" t="s">
        <v>1535</v>
      </c>
      <c r="P2539" s="325">
        <v>4000</v>
      </c>
      <c r="Q2539" s="325">
        <v>-9</v>
      </c>
      <c r="R2539" s="117">
        <f t="shared" si="77"/>
        <v>-36000</v>
      </c>
      <c r="S2539" s="319">
        <v>202304</v>
      </c>
      <c r="T2539" s="233" t="s">
        <v>3378</v>
      </c>
      <c r="U2539" s="233"/>
      <c r="V2539" s="320"/>
      <c r="W2539" s="320"/>
      <c r="X2539" s="229">
        <v>44774</v>
      </c>
      <c r="Y2539" s="184">
        <v>45138</v>
      </c>
    </row>
    <row r="2540" s="5" customFormat="1" customHeight="1" spans="1:25">
      <c r="A2540" s="307" t="s">
        <v>448</v>
      </c>
      <c r="B2540" s="307" t="s">
        <v>3037</v>
      </c>
      <c r="C2540" s="307" t="s">
        <v>144</v>
      </c>
      <c r="D2540" s="307" t="s">
        <v>3038</v>
      </c>
      <c r="E2540" s="23" t="s">
        <v>945</v>
      </c>
      <c r="F2540" s="24" t="s">
        <v>3372</v>
      </c>
      <c r="G2540" s="24" t="s">
        <v>88</v>
      </c>
      <c r="H2540" s="309" t="s">
        <v>3362</v>
      </c>
      <c r="I2540" s="46" t="e">
        <f>VLOOKUP(H2540,'合同高级查询数据-4月返'!A:A,1,FALSE)</f>
        <v>#N/A</v>
      </c>
      <c r="J2540" s="24" t="s">
        <v>162</v>
      </c>
      <c r="K2540" s="24" t="s">
        <v>3373</v>
      </c>
      <c r="L2540" s="24"/>
      <c r="M2540" s="312" t="s">
        <v>3374</v>
      </c>
      <c r="N2540" s="313">
        <v>43678</v>
      </c>
      <c r="O2540" s="24" t="s">
        <v>1535</v>
      </c>
      <c r="P2540" s="325">
        <v>4000</v>
      </c>
      <c r="Q2540" s="325">
        <v>6</v>
      </c>
      <c r="R2540" s="117">
        <f t="shared" si="77"/>
        <v>24000</v>
      </c>
      <c r="S2540" s="319">
        <v>202304</v>
      </c>
      <c r="T2540" s="233" t="s">
        <v>3379</v>
      </c>
      <c r="U2540" s="233"/>
      <c r="V2540" s="320"/>
      <c r="W2540" s="320"/>
      <c r="X2540" s="229">
        <v>44774</v>
      </c>
      <c r="Y2540" s="184">
        <v>45138</v>
      </c>
    </row>
    <row r="2541" s="5" customFormat="1" customHeight="1" spans="1:25">
      <c r="A2541" s="307" t="s">
        <v>448</v>
      </c>
      <c r="B2541" s="307" t="s">
        <v>3037</v>
      </c>
      <c r="C2541" s="307" t="s">
        <v>144</v>
      </c>
      <c r="D2541" s="307" t="s">
        <v>3038</v>
      </c>
      <c r="E2541" s="23" t="s">
        <v>945</v>
      </c>
      <c r="F2541" s="24" t="s">
        <v>3372</v>
      </c>
      <c r="G2541" s="24" t="s">
        <v>88</v>
      </c>
      <c r="H2541" s="309" t="s">
        <v>3362</v>
      </c>
      <c r="I2541" s="46" t="e">
        <f>VLOOKUP(H2541,'合同高级查询数据-4月返'!A:A,1,FALSE)</f>
        <v>#N/A</v>
      </c>
      <c r="J2541" s="24" t="s">
        <v>162</v>
      </c>
      <c r="K2541" s="24" t="s">
        <v>3373</v>
      </c>
      <c r="L2541" s="24"/>
      <c r="M2541" s="312" t="s">
        <v>3374</v>
      </c>
      <c r="N2541" s="313">
        <v>43837</v>
      </c>
      <c r="O2541" s="24" t="s">
        <v>1535</v>
      </c>
      <c r="P2541" s="325">
        <v>4000</v>
      </c>
      <c r="Q2541" s="325">
        <v>2</v>
      </c>
      <c r="R2541" s="117">
        <f t="shared" si="77"/>
        <v>8000</v>
      </c>
      <c r="S2541" s="319">
        <v>202304</v>
      </c>
      <c r="T2541" s="233" t="s">
        <v>3380</v>
      </c>
      <c r="U2541" s="233"/>
      <c r="V2541" s="320"/>
      <c r="W2541" s="320"/>
      <c r="X2541" s="229">
        <v>44774</v>
      </c>
      <c r="Y2541" s="184">
        <v>45138</v>
      </c>
    </row>
    <row r="2542" s="5" customFormat="1" customHeight="1" spans="1:25">
      <c r="A2542" s="307" t="s">
        <v>448</v>
      </c>
      <c r="B2542" s="307" t="s">
        <v>3037</v>
      </c>
      <c r="C2542" s="307" t="s">
        <v>144</v>
      </c>
      <c r="D2542" s="307" t="s">
        <v>3038</v>
      </c>
      <c r="E2542" s="23" t="s">
        <v>945</v>
      </c>
      <c r="F2542" s="24" t="s">
        <v>3372</v>
      </c>
      <c r="G2542" s="24" t="s">
        <v>88</v>
      </c>
      <c r="H2542" s="309" t="s">
        <v>3362</v>
      </c>
      <c r="I2542" s="46" t="e">
        <f>VLOOKUP(H2542,'合同高级查询数据-4月返'!A:A,1,FALSE)</f>
        <v>#N/A</v>
      </c>
      <c r="J2542" s="24" t="s">
        <v>162</v>
      </c>
      <c r="K2542" s="24" t="s">
        <v>3373</v>
      </c>
      <c r="L2542" s="24"/>
      <c r="M2542" s="312" t="s">
        <v>3374</v>
      </c>
      <c r="N2542" s="313">
        <v>44317</v>
      </c>
      <c r="O2542" s="24" t="s">
        <v>1535</v>
      </c>
      <c r="P2542" s="325">
        <v>4000</v>
      </c>
      <c r="Q2542" s="325">
        <v>1</v>
      </c>
      <c r="R2542" s="117">
        <f t="shared" si="77"/>
        <v>4000</v>
      </c>
      <c r="S2542" s="319">
        <v>202304</v>
      </c>
      <c r="T2542" s="233" t="s">
        <v>3381</v>
      </c>
      <c r="U2542" s="233"/>
      <c r="V2542" s="320"/>
      <c r="W2542" s="320"/>
      <c r="X2542" s="229">
        <v>44774</v>
      </c>
      <c r="Y2542" s="184">
        <v>45138</v>
      </c>
    </row>
    <row r="2543" s="5" customFormat="1" customHeight="1" spans="1:25">
      <c r="A2543" s="307" t="s">
        <v>448</v>
      </c>
      <c r="B2543" s="307" t="s">
        <v>3037</v>
      </c>
      <c r="C2543" s="307" t="s">
        <v>144</v>
      </c>
      <c r="D2543" s="307" t="s">
        <v>3038</v>
      </c>
      <c r="E2543" s="23" t="s">
        <v>945</v>
      </c>
      <c r="F2543" s="24" t="s">
        <v>3372</v>
      </c>
      <c r="G2543" s="24" t="s">
        <v>88</v>
      </c>
      <c r="H2543" s="309" t="s">
        <v>3362</v>
      </c>
      <c r="I2543" s="46" t="e">
        <f>VLOOKUP(H2543,'合同高级查询数据-4月返'!A:A,1,FALSE)</f>
        <v>#N/A</v>
      </c>
      <c r="J2543" s="24" t="s">
        <v>162</v>
      </c>
      <c r="K2543" s="24" t="s">
        <v>3373</v>
      </c>
      <c r="L2543" s="24"/>
      <c r="M2543" s="312" t="s">
        <v>3374</v>
      </c>
      <c r="N2543" s="313">
        <v>44317</v>
      </c>
      <c r="O2543" s="24" t="s">
        <v>1535</v>
      </c>
      <c r="P2543" s="325">
        <v>4000</v>
      </c>
      <c r="Q2543" s="325">
        <v>2</v>
      </c>
      <c r="R2543" s="117">
        <f t="shared" si="77"/>
        <v>8000</v>
      </c>
      <c r="S2543" s="319">
        <v>202304</v>
      </c>
      <c r="T2543" s="233" t="s">
        <v>3382</v>
      </c>
      <c r="U2543" s="233"/>
      <c r="V2543" s="320"/>
      <c r="W2543" s="320"/>
      <c r="X2543" s="229">
        <v>44774</v>
      </c>
      <c r="Y2543" s="184">
        <v>45138</v>
      </c>
    </row>
    <row r="2544" s="5" customFormat="1" customHeight="1" spans="1:25">
      <c r="A2544" s="307" t="s">
        <v>448</v>
      </c>
      <c r="B2544" s="307" t="s">
        <v>3037</v>
      </c>
      <c r="C2544" s="307" t="s">
        <v>144</v>
      </c>
      <c r="D2544" s="307" t="s">
        <v>3038</v>
      </c>
      <c r="E2544" s="23" t="s">
        <v>945</v>
      </c>
      <c r="F2544" s="24" t="s">
        <v>3372</v>
      </c>
      <c r="G2544" s="24" t="s">
        <v>31</v>
      </c>
      <c r="H2544" s="309" t="s">
        <v>3362</v>
      </c>
      <c r="I2544" s="46" t="e">
        <f>VLOOKUP(H2544,'合同高级查询数据-4月返'!A:A,1,FALSE)</f>
        <v>#N/A</v>
      </c>
      <c r="J2544" s="309" t="s">
        <v>3189</v>
      </c>
      <c r="K2544" s="24" t="s">
        <v>3373</v>
      </c>
      <c r="L2544" s="24"/>
      <c r="M2544" s="312" t="s">
        <v>3374</v>
      </c>
      <c r="N2544" s="313">
        <v>44295</v>
      </c>
      <c r="O2544" s="24"/>
      <c r="P2544" s="325">
        <v>0</v>
      </c>
      <c r="Q2544" s="325">
        <v>128</v>
      </c>
      <c r="R2544" s="117">
        <f t="shared" si="77"/>
        <v>0</v>
      </c>
      <c r="S2544" s="319">
        <v>202304</v>
      </c>
      <c r="T2544" s="233" t="s">
        <v>3383</v>
      </c>
      <c r="U2544" s="233"/>
      <c r="V2544" s="320"/>
      <c r="W2544" s="320"/>
      <c r="X2544" s="229">
        <v>44774</v>
      </c>
      <c r="Y2544" s="184">
        <v>45138</v>
      </c>
    </row>
    <row r="2545" s="5" customFormat="1" customHeight="1" spans="1:25">
      <c r="A2545" s="307" t="s">
        <v>448</v>
      </c>
      <c r="B2545" s="307" t="s">
        <v>3037</v>
      </c>
      <c r="C2545" s="307" t="s">
        <v>144</v>
      </c>
      <c r="D2545" s="307" t="s">
        <v>3038</v>
      </c>
      <c r="E2545" s="23" t="s">
        <v>945</v>
      </c>
      <c r="F2545" s="24" t="s">
        <v>3372</v>
      </c>
      <c r="G2545" s="24" t="s">
        <v>31</v>
      </c>
      <c r="H2545" s="309" t="s">
        <v>3362</v>
      </c>
      <c r="I2545" s="46" t="e">
        <f>VLOOKUP(H2545,'合同高级查询数据-4月返'!A:A,1,FALSE)</f>
        <v>#N/A</v>
      </c>
      <c r="J2545" s="309" t="s">
        <v>3189</v>
      </c>
      <c r="K2545" s="24" t="s">
        <v>3373</v>
      </c>
      <c r="L2545" s="24"/>
      <c r="M2545" s="312" t="s">
        <v>3374</v>
      </c>
      <c r="N2545" s="313">
        <v>44317</v>
      </c>
      <c r="O2545" s="24"/>
      <c r="P2545" s="325">
        <v>0</v>
      </c>
      <c r="Q2545" s="325">
        <v>256</v>
      </c>
      <c r="R2545" s="117">
        <f t="shared" si="77"/>
        <v>0</v>
      </c>
      <c r="S2545" s="319">
        <v>202304</v>
      </c>
      <c r="T2545" s="233" t="s">
        <v>3384</v>
      </c>
      <c r="U2545" s="233"/>
      <c r="V2545" s="320"/>
      <c r="W2545" s="320"/>
      <c r="X2545" s="229">
        <v>44774</v>
      </c>
      <c r="Y2545" s="184">
        <v>45138</v>
      </c>
    </row>
    <row r="2546" s="5" customFormat="1" customHeight="1" spans="1:25">
      <c r="A2546" s="307" t="s">
        <v>448</v>
      </c>
      <c r="B2546" s="307" t="s">
        <v>3037</v>
      </c>
      <c r="C2546" s="307" t="s">
        <v>144</v>
      </c>
      <c r="D2546" s="307" t="s">
        <v>3038</v>
      </c>
      <c r="E2546" s="23" t="s">
        <v>945</v>
      </c>
      <c r="F2546" s="24" t="s">
        <v>3372</v>
      </c>
      <c r="G2546" s="24" t="s">
        <v>31</v>
      </c>
      <c r="H2546" s="309" t="s">
        <v>3362</v>
      </c>
      <c r="I2546" s="46" t="e">
        <f>VLOOKUP(H2546,'合同高级查询数据-4月返'!A:A,1,FALSE)</f>
        <v>#N/A</v>
      </c>
      <c r="J2546" s="309" t="s">
        <v>3189</v>
      </c>
      <c r="K2546" s="24" t="s">
        <v>3385</v>
      </c>
      <c r="L2546" s="24"/>
      <c r="M2546" s="312" t="s">
        <v>3374</v>
      </c>
      <c r="N2546" s="313">
        <v>43952</v>
      </c>
      <c r="O2546" s="24"/>
      <c r="P2546" s="325">
        <v>0</v>
      </c>
      <c r="Q2546" s="325">
        <v>864</v>
      </c>
      <c r="R2546" s="117">
        <f t="shared" si="77"/>
        <v>0</v>
      </c>
      <c r="S2546" s="319">
        <v>202304</v>
      </c>
      <c r="T2546" s="233" t="s">
        <v>3386</v>
      </c>
      <c r="U2546" s="233"/>
      <c r="V2546" s="320"/>
      <c r="W2546" s="320"/>
      <c r="X2546" s="229">
        <v>44774</v>
      </c>
      <c r="Y2546" s="184">
        <v>45138</v>
      </c>
    </row>
    <row r="2547" s="5" customFormat="1" customHeight="1" spans="1:25">
      <c r="A2547" s="307" t="s">
        <v>448</v>
      </c>
      <c r="B2547" s="307" t="s">
        <v>3037</v>
      </c>
      <c r="C2547" s="307" t="s">
        <v>144</v>
      </c>
      <c r="D2547" s="307" t="s">
        <v>3038</v>
      </c>
      <c r="E2547" s="23" t="s">
        <v>945</v>
      </c>
      <c r="F2547" s="24" t="s">
        <v>3372</v>
      </c>
      <c r="G2547" s="24" t="s">
        <v>31</v>
      </c>
      <c r="H2547" s="309" t="s">
        <v>3362</v>
      </c>
      <c r="I2547" s="46" t="e">
        <f>VLOOKUP(H2547,'合同高级查询数据-4月返'!A:A,1,FALSE)</f>
        <v>#N/A</v>
      </c>
      <c r="J2547" s="309" t="s">
        <v>3189</v>
      </c>
      <c r="K2547" s="24" t="s">
        <v>3376</v>
      </c>
      <c r="L2547" s="24"/>
      <c r="M2547" s="312" t="s">
        <v>3374</v>
      </c>
      <c r="N2547" s="313">
        <v>43952</v>
      </c>
      <c r="O2547" s="24"/>
      <c r="P2547" s="325">
        <v>0</v>
      </c>
      <c r="Q2547" s="325">
        <v>-288</v>
      </c>
      <c r="R2547" s="117">
        <f t="shared" si="77"/>
        <v>0</v>
      </c>
      <c r="S2547" s="319">
        <v>202304</v>
      </c>
      <c r="T2547" s="233" t="s">
        <v>3387</v>
      </c>
      <c r="U2547" s="233"/>
      <c r="V2547" s="320"/>
      <c r="W2547" s="320"/>
      <c r="X2547" s="229">
        <v>44774</v>
      </c>
      <c r="Y2547" s="184">
        <v>45138</v>
      </c>
    </row>
    <row r="2548" s="5" customFormat="1" customHeight="1" spans="1:25">
      <c r="A2548" s="307" t="s">
        <v>448</v>
      </c>
      <c r="B2548" s="307" t="s">
        <v>3037</v>
      </c>
      <c r="C2548" s="307" t="s">
        <v>144</v>
      </c>
      <c r="D2548" s="307" t="s">
        <v>3038</v>
      </c>
      <c r="E2548" s="23" t="s">
        <v>945</v>
      </c>
      <c r="F2548" s="24" t="s">
        <v>3372</v>
      </c>
      <c r="G2548" s="24" t="s">
        <v>31</v>
      </c>
      <c r="H2548" s="309" t="s">
        <v>3362</v>
      </c>
      <c r="I2548" s="46" t="e">
        <f>VLOOKUP(H2548,'合同高级查询数据-4月返'!A:A,1,FALSE)</f>
        <v>#N/A</v>
      </c>
      <c r="J2548" s="309" t="s">
        <v>3189</v>
      </c>
      <c r="K2548" s="24" t="s">
        <v>3388</v>
      </c>
      <c r="L2548" s="24"/>
      <c r="M2548" s="312" t="s">
        <v>3374</v>
      </c>
      <c r="N2548" s="313">
        <v>43952</v>
      </c>
      <c r="O2548" s="24"/>
      <c r="P2548" s="325">
        <v>0</v>
      </c>
      <c r="Q2548" s="325">
        <v>-288</v>
      </c>
      <c r="R2548" s="117">
        <f t="shared" si="77"/>
        <v>0</v>
      </c>
      <c r="S2548" s="319">
        <v>202304</v>
      </c>
      <c r="T2548" s="233" t="s">
        <v>3389</v>
      </c>
      <c r="U2548" s="233"/>
      <c r="V2548" s="320"/>
      <c r="W2548" s="320"/>
      <c r="X2548" s="229">
        <v>44774</v>
      </c>
      <c r="Y2548" s="184">
        <v>45138</v>
      </c>
    </row>
    <row r="2549" s="5" customFormat="1" customHeight="1" spans="1:25">
      <c r="A2549" s="307" t="s">
        <v>448</v>
      </c>
      <c r="B2549" s="307" t="s">
        <v>3037</v>
      </c>
      <c r="C2549" s="307" t="s">
        <v>144</v>
      </c>
      <c r="D2549" s="307" t="s">
        <v>3038</v>
      </c>
      <c r="E2549" s="23" t="s">
        <v>945</v>
      </c>
      <c r="F2549" s="24" t="s">
        <v>3372</v>
      </c>
      <c r="G2549" s="24" t="s">
        <v>31</v>
      </c>
      <c r="H2549" s="309" t="s">
        <v>3362</v>
      </c>
      <c r="I2549" s="46" t="e">
        <f>VLOOKUP(H2549,'合同高级查询数据-4月返'!A:A,1,FALSE)</f>
        <v>#N/A</v>
      </c>
      <c r="J2549" s="24" t="s">
        <v>3189</v>
      </c>
      <c r="K2549" s="24" t="s">
        <v>3373</v>
      </c>
      <c r="L2549" s="24"/>
      <c r="M2549" s="312" t="s">
        <v>3374</v>
      </c>
      <c r="N2549" s="313">
        <v>44756</v>
      </c>
      <c r="O2549" s="24"/>
      <c r="P2549" s="325">
        <v>0</v>
      </c>
      <c r="Q2549" s="325">
        <v>-128</v>
      </c>
      <c r="R2549" s="117">
        <f t="shared" si="77"/>
        <v>0</v>
      </c>
      <c r="S2549" s="319">
        <v>202304</v>
      </c>
      <c r="T2549" s="233" t="s">
        <v>3390</v>
      </c>
      <c r="U2549" s="233"/>
      <c r="V2549" s="320"/>
      <c r="W2549" s="320"/>
      <c r="X2549" s="229">
        <v>44774</v>
      </c>
      <c r="Y2549" s="184">
        <v>45138</v>
      </c>
    </row>
    <row r="2550" s="5" customFormat="1" customHeight="1" spans="1:25">
      <c r="A2550" s="307" t="s">
        <v>448</v>
      </c>
      <c r="B2550" s="307" t="s">
        <v>3037</v>
      </c>
      <c r="C2550" s="307" t="s">
        <v>144</v>
      </c>
      <c r="D2550" s="307" t="s">
        <v>3038</v>
      </c>
      <c r="E2550" s="23" t="s">
        <v>945</v>
      </c>
      <c r="F2550" s="24" t="s">
        <v>3372</v>
      </c>
      <c r="G2550" s="24" t="s">
        <v>88</v>
      </c>
      <c r="H2550" s="309" t="s">
        <v>3362</v>
      </c>
      <c r="I2550" s="46" t="e">
        <f>VLOOKUP(H2550,'合同高级查询数据-4月返'!A:A,1,FALSE)</f>
        <v>#N/A</v>
      </c>
      <c r="J2550" s="24" t="s">
        <v>162</v>
      </c>
      <c r="K2550" s="24" t="s">
        <v>3388</v>
      </c>
      <c r="L2550" s="24"/>
      <c r="M2550" s="312" t="s">
        <v>3374</v>
      </c>
      <c r="N2550" s="313">
        <v>43952</v>
      </c>
      <c r="O2550" s="24" t="s">
        <v>1535</v>
      </c>
      <c r="P2550" s="325">
        <v>4000</v>
      </c>
      <c r="Q2550" s="325">
        <v>4</v>
      </c>
      <c r="R2550" s="117">
        <f t="shared" si="77"/>
        <v>16000</v>
      </c>
      <c r="S2550" s="319">
        <v>202304</v>
      </c>
      <c r="T2550" s="233"/>
      <c r="U2550" s="233"/>
      <c r="V2550" s="320"/>
      <c r="W2550" s="320"/>
      <c r="X2550" s="229">
        <v>44774</v>
      </c>
      <c r="Y2550" s="184">
        <v>45138</v>
      </c>
    </row>
    <row r="2551" s="5" customFormat="1" customHeight="1" spans="1:25">
      <c r="A2551" s="307" t="s">
        <v>448</v>
      </c>
      <c r="B2551" s="307" t="s">
        <v>3037</v>
      </c>
      <c r="C2551" s="307" t="s">
        <v>144</v>
      </c>
      <c r="D2551" s="307" t="s">
        <v>3038</v>
      </c>
      <c r="E2551" s="23" t="s">
        <v>945</v>
      </c>
      <c r="F2551" s="24" t="s">
        <v>3372</v>
      </c>
      <c r="G2551" s="24" t="s">
        <v>88</v>
      </c>
      <c r="H2551" s="309" t="s">
        <v>3362</v>
      </c>
      <c r="I2551" s="46" t="e">
        <f>VLOOKUP(H2551,'合同高级查询数据-4月返'!A:A,1,FALSE)</f>
        <v>#N/A</v>
      </c>
      <c r="J2551" s="24" t="s">
        <v>162</v>
      </c>
      <c r="K2551" s="24" t="s">
        <v>3388</v>
      </c>
      <c r="L2551" s="24"/>
      <c r="M2551" s="312" t="s">
        <v>3374</v>
      </c>
      <c r="N2551" s="313">
        <v>44286</v>
      </c>
      <c r="O2551" s="24" t="s">
        <v>1535</v>
      </c>
      <c r="P2551" s="325">
        <v>4000</v>
      </c>
      <c r="Q2551" s="325">
        <v>-4</v>
      </c>
      <c r="R2551" s="117">
        <f t="shared" si="77"/>
        <v>-16000</v>
      </c>
      <c r="S2551" s="319">
        <v>202304</v>
      </c>
      <c r="T2551" s="233" t="s">
        <v>3391</v>
      </c>
      <c r="U2551" s="233"/>
      <c r="V2551" s="320"/>
      <c r="W2551" s="320"/>
      <c r="X2551" s="229">
        <v>44774</v>
      </c>
      <c r="Y2551" s="184">
        <v>45138</v>
      </c>
    </row>
    <row r="2552" s="5" customFormat="1" customHeight="1" spans="1:25">
      <c r="A2552" s="307" t="s">
        <v>448</v>
      </c>
      <c r="B2552" s="307" t="s">
        <v>3037</v>
      </c>
      <c r="C2552" s="307" t="s">
        <v>144</v>
      </c>
      <c r="D2552" s="307" t="s">
        <v>3038</v>
      </c>
      <c r="E2552" s="23" t="s">
        <v>945</v>
      </c>
      <c r="F2552" s="24" t="s">
        <v>3372</v>
      </c>
      <c r="G2552" s="24" t="s">
        <v>88</v>
      </c>
      <c r="H2552" s="309" t="s">
        <v>3362</v>
      </c>
      <c r="I2552" s="46" t="e">
        <f>VLOOKUP(H2552,'合同高级查询数据-4月返'!A:A,1,FALSE)</f>
        <v>#N/A</v>
      </c>
      <c r="J2552" s="24" t="s">
        <v>162</v>
      </c>
      <c r="K2552" s="24" t="s">
        <v>3373</v>
      </c>
      <c r="L2552" s="24"/>
      <c r="M2552" s="312" t="s">
        <v>3374</v>
      </c>
      <c r="N2552" s="313">
        <v>44754</v>
      </c>
      <c r="O2552" s="24" t="s">
        <v>1535</v>
      </c>
      <c r="P2552" s="325">
        <v>4000</v>
      </c>
      <c r="Q2552" s="325">
        <v>-7</v>
      </c>
      <c r="R2552" s="117">
        <f t="shared" si="77"/>
        <v>-28000</v>
      </c>
      <c r="S2552" s="319">
        <v>202304</v>
      </c>
      <c r="T2552" s="233" t="s">
        <v>3392</v>
      </c>
      <c r="U2552" s="233"/>
      <c r="V2552" s="320"/>
      <c r="W2552" s="320"/>
      <c r="X2552" s="229">
        <v>44774</v>
      </c>
      <c r="Y2552" s="184">
        <v>45138</v>
      </c>
    </row>
    <row r="2553" s="5" customFormat="1" customHeight="1" spans="1:25">
      <c r="A2553" s="307" t="s">
        <v>448</v>
      </c>
      <c r="B2553" s="307" t="s">
        <v>3037</v>
      </c>
      <c r="C2553" s="307" t="s">
        <v>63</v>
      </c>
      <c r="D2553" s="307" t="s">
        <v>85</v>
      </c>
      <c r="E2553" s="23" t="s">
        <v>945</v>
      </c>
      <c r="F2553" s="24" t="s">
        <v>3393</v>
      </c>
      <c r="G2553" s="309" t="s">
        <v>346</v>
      </c>
      <c r="H2553" s="24" t="s">
        <v>3394</v>
      </c>
      <c r="I2553" s="46" t="e">
        <f>VLOOKUP(H2553,'合同高级查询数据-4月返'!A:A,1,FALSE)</f>
        <v>#N/A</v>
      </c>
      <c r="J2553" s="24" t="s">
        <v>346</v>
      </c>
      <c r="K2553" s="24" t="s">
        <v>3395</v>
      </c>
      <c r="L2553" s="22"/>
      <c r="M2553" s="312"/>
      <c r="N2553" s="313">
        <v>41526</v>
      </c>
      <c r="O2553" s="22"/>
      <c r="P2553" s="325">
        <v>800000</v>
      </c>
      <c r="Q2553" s="325">
        <v>1</v>
      </c>
      <c r="R2553" s="117">
        <v>0</v>
      </c>
      <c r="S2553" s="319">
        <v>202304</v>
      </c>
      <c r="T2553" s="233"/>
      <c r="U2553" s="233"/>
      <c r="V2553" s="320"/>
      <c r="W2553" s="320"/>
      <c r="X2553" s="337"/>
      <c r="Y2553" s="50"/>
    </row>
    <row r="2554" s="5" customFormat="1" customHeight="1" spans="1:25">
      <c r="A2554" s="307" t="s">
        <v>448</v>
      </c>
      <c r="B2554" s="307" t="s">
        <v>3037</v>
      </c>
      <c r="C2554" s="307" t="s">
        <v>63</v>
      </c>
      <c r="D2554" s="307" t="s">
        <v>85</v>
      </c>
      <c r="E2554" s="23" t="s">
        <v>945</v>
      </c>
      <c r="F2554" s="24" t="s">
        <v>3393</v>
      </c>
      <c r="G2554" s="309" t="s">
        <v>346</v>
      </c>
      <c r="H2554" s="24" t="s">
        <v>3394</v>
      </c>
      <c r="I2554" s="46" t="e">
        <f>VLOOKUP(H2554,'合同高级查询数据-4月返'!A:A,1,FALSE)</f>
        <v>#N/A</v>
      </c>
      <c r="J2554" s="24" t="s">
        <v>346</v>
      </c>
      <c r="K2554" s="24" t="s">
        <v>3395</v>
      </c>
      <c r="L2554" s="22"/>
      <c r="M2554" s="312"/>
      <c r="N2554" s="313">
        <v>44135</v>
      </c>
      <c r="O2554" s="22"/>
      <c r="P2554" s="325">
        <v>800000</v>
      </c>
      <c r="Q2554" s="325">
        <v>-1</v>
      </c>
      <c r="R2554" s="117">
        <v>0</v>
      </c>
      <c r="S2554" s="319">
        <v>202304</v>
      </c>
      <c r="T2554" s="233" t="s">
        <v>3396</v>
      </c>
      <c r="U2554" s="233"/>
      <c r="V2554" s="320"/>
      <c r="W2554" s="320"/>
      <c r="X2554" s="337"/>
      <c r="Y2554" s="50"/>
    </row>
    <row r="2555" s="3" customFormat="1" customHeight="1" spans="1:25">
      <c r="A2555" s="310" t="s">
        <v>448</v>
      </c>
      <c r="B2555" s="310" t="s">
        <v>3037</v>
      </c>
      <c r="C2555" s="310" t="s">
        <v>63</v>
      </c>
      <c r="D2555" s="310" t="s">
        <v>85</v>
      </c>
      <c r="E2555" s="13" t="s">
        <v>945</v>
      </c>
      <c r="F2555" s="11" t="s">
        <v>3393</v>
      </c>
      <c r="G2555" s="11" t="s">
        <v>346</v>
      </c>
      <c r="H2555" s="11" t="s">
        <v>3397</v>
      </c>
      <c r="I2555" s="30" t="e">
        <f>VLOOKUP(H2555,'合同高级查询数据-4月返'!A:A,1,FALSE)</f>
        <v>#N/A</v>
      </c>
      <c r="J2555" s="11" t="s">
        <v>346</v>
      </c>
      <c r="K2555" s="11" t="s">
        <v>3398</v>
      </c>
      <c r="L2555" s="35"/>
      <c r="M2555" s="315"/>
      <c r="N2555" s="316">
        <v>40623</v>
      </c>
      <c r="O2555" s="11" t="s">
        <v>1980</v>
      </c>
      <c r="P2555" s="324">
        <v>800000</v>
      </c>
      <c r="Q2555" s="324">
        <v>1</v>
      </c>
      <c r="R2555" s="126">
        <f t="shared" ref="R2555:R2608" si="78">ROUND(P2555*Q2555,2)</f>
        <v>800000</v>
      </c>
      <c r="S2555" s="322">
        <v>202304</v>
      </c>
      <c r="T2555" s="232" t="s">
        <v>3399</v>
      </c>
      <c r="U2555" s="232"/>
      <c r="V2555" s="323"/>
      <c r="W2555" s="323"/>
      <c r="X2555" s="193">
        <v>44927</v>
      </c>
      <c r="Y2555" s="193"/>
    </row>
    <row r="2556" s="3" customFormat="1" customHeight="1" spans="1:25">
      <c r="A2556" s="310" t="s">
        <v>448</v>
      </c>
      <c r="B2556" s="310" t="s">
        <v>3037</v>
      </c>
      <c r="C2556" s="310" t="s">
        <v>63</v>
      </c>
      <c r="D2556" s="310" t="s">
        <v>85</v>
      </c>
      <c r="E2556" s="13" t="s">
        <v>945</v>
      </c>
      <c r="F2556" s="11" t="s">
        <v>3393</v>
      </c>
      <c r="G2556" s="11" t="s">
        <v>346</v>
      </c>
      <c r="H2556" s="11" t="s">
        <v>3397</v>
      </c>
      <c r="I2556" s="30" t="e">
        <f>VLOOKUP(H2556,'合同高级查询数据-4月返'!A:A,1,FALSE)</f>
        <v>#N/A</v>
      </c>
      <c r="J2556" s="11" t="s">
        <v>346</v>
      </c>
      <c r="K2556" s="11" t="s">
        <v>3398</v>
      </c>
      <c r="L2556" s="35"/>
      <c r="M2556" s="315"/>
      <c r="N2556" s="316">
        <v>44985</v>
      </c>
      <c r="O2556" s="11" t="s">
        <v>1980</v>
      </c>
      <c r="P2556" s="324">
        <v>800000</v>
      </c>
      <c r="Q2556" s="324">
        <v>-1</v>
      </c>
      <c r="R2556" s="126">
        <f t="shared" si="78"/>
        <v>-800000</v>
      </c>
      <c r="S2556" s="322">
        <v>202304</v>
      </c>
      <c r="T2556" s="232" t="s">
        <v>3400</v>
      </c>
      <c r="U2556" s="232"/>
      <c r="V2556" s="323"/>
      <c r="W2556" s="323"/>
      <c r="X2556" s="193">
        <v>44927</v>
      </c>
      <c r="Y2556" s="193"/>
    </row>
    <row r="2557" s="3" customFormat="1" customHeight="1" spans="1:25">
      <c r="A2557" s="310" t="s">
        <v>448</v>
      </c>
      <c r="B2557" s="310" t="s">
        <v>3037</v>
      </c>
      <c r="C2557" s="310" t="s">
        <v>63</v>
      </c>
      <c r="D2557" s="310" t="s">
        <v>85</v>
      </c>
      <c r="E2557" s="13" t="s">
        <v>945</v>
      </c>
      <c r="F2557" s="11" t="s">
        <v>3393</v>
      </c>
      <c r="G2557" s="11" t="s">
        <v>346</v>
      </c>
      <c r="H2557" s="11" t="s">
        <v>3397</v>
      </c>
      <c r="I2557" s="30" t="e">
        <f>VLOOKUP(H2557,'合同高级查询数据-4月返'!A:A,1,FALSE)</f>
        <v>#N/A</v>
      </c>
      <c r="J2557" s="11" t="s">
        <v>346</v>
      </c>
      <c r="K2557" s="11" t="s">
        <v>3401</v>
      </c>
      <c r="L2557" s="32"/>
      <c r="M2557" s="315"/>
      <c r="N2557" s="316" t="s">
        <v>3402</v>
      </c>
      <c r="O2557" s="11" t="s">
        <v>1980</v>
      </c>
      <c r="P2557" s="324">
        <v>800000</v>
      </c>
      <c r="Q2557" s="324">
        <v>1</v>
      </c>
      <c r="R2557" s="126">
        <f t="shared" si="78"/>
        <v>800000</v>
      </c>
      <c r="S2557" s="322">
        <v>202304</v>
      </c>
      <c r="T2557" s="232" t="s">
        <v>3403</v>
      </c>
      <c r="U2557" s="232"/>
      <c r="V2557" s="323"/>
      <c r="W2557" s="323"/>
      <c r="X2557" s="193">
        <v>44927</v>
      </c>
      <c r="Y2557" s="193"/>
    </row>
    <row r="2558" s="3" customFormat="1" customHeight="1" spans="1:25">
      <c r="A2558" s="310" t="s">
        <v>448</v>
      </c>
      <c r="B2558" s="310" t="s">
        <v>3037</v>
      </c>
      <c r="C2558" s="310" t="s">
        <v>63</v>
      </c>
      <c r="D2558" s="310" t="s">
        <v>85</v>
      </c>
      <c r="E2558" s="13" t="s">
        <v>3404</v>
      </c>
      <c r="F2558" s="11" t="s">
        <v>3405</v>
      </c>
      <c r="G2558" s="11" t="s">
        <v>346</v>
      </c>
      <c r="H2558" s="11" t="s">
        <v>3406</v>
      </c>
      <c r="I2558" s="30" t="e">
        <f>VLOOKUP(H2558,'合同高级查询数据-4月返'!A:A,1,FALSE)</f>
        <v>#N/A</v>
      </c>
      <c r="J2558" s="11" t="s">
        <v>346</v>
      </c>
      <c r="K2558" s="11" t="s">
        <v>3407</v>
      </c>
      <c r="L2558" s="32"/>
      <c r="M2558" s="315"/>
      <c r="N2558" s="316">
        <v>44228</v>
      </c>
      <c r="O2558" s="11" t="s">
        <v>1470</v>
      </c>
      <c r="P2558" s="324">
        <v>400000</v>
      </c>
      <c r="Q2558" s="324">
        <v>1</v>
      </c>
      <c r="R2558" s="126">
        <f t="shared" si="78"/>
        <v>400000</v>
      </c>
      <c r="S2558" s="322">
        <v>202304</v>
      </c>
      <c r="T2558" s="232"/>
      <c r="U2558" s="232"/>
      <c r="V2558" s="323"/>
      <c r="W2558" s="323"/>
      <c r="X2558" s="193">
        <v>44927</v>
      </c>
      <c r="Y2558" s="193"/>
    </row>
    <row r="2559" s="3" customFormat="1" customHeight="1" spans="1:25">
      <c r="A2559" s="310" t="s">
        <v>448</v>
      </c>
      <c r="B2559" s="310" t="s">
        <v>3037</v>
      </c>
      <c r="C2559" s="310" t="s">
        <v>63</v>
      </c>
      <c r="D2559" s="310" t="s">
        <v>85</v>
      </c>
      <c r="E2559" s="13" t="s">
        <v>3404</v>
      </c>
      <c r="F2559" s="11" t="s">
        <v>3405</v>
      </c>
      <c r="G2559" s="11" t="s">
        <v>346</v>
      </c>
      <c r="H2559" s="11" t="s">
        <v>3406</v>
      </c>
      <c r="I2559" s="30" t="e">
        <f>VLOOKUP(H2559,'合同高级查询数据-4月返'!A:A,1,FALSE)</f>
        <v>#N/A</v>
      </c>
      <c r="J2559" s="11" t="s">
        <v>346</v>
      </c>
      <c r="K2559" s="11" t="s">
        <v>3407</v>
      </c>
      <c r="L2559" s="32"/>
      <c r="M2559" s="315"/>
      <c r="N2559" s="316">
        <v>44681</v>
      </c>
      <c r="O2559" s="11" t="s">
        <v>1470</v>
      </c>
      <c r="P2559" s="324">
        <v>400000</v>
      </c>
      <c r="Q2559" s="324">
        <v>-1</v>
      </c>
      <c r="R2559" s="126">
        <f t="shared" si="78"/>
        <v>-400000</v>
      </c>
      <c r="S2559" s="322">
        <v>202304</v>
      </c>
      <c r="T2559" s="232"/>
      <c r="U2559" s="232"/>
      <c r="V2559" s="323"/>
      <c r="W2559" s="323"/>
      <c r="X2559" s="193">
        <v>44927</v>
      </c>
      <c r="Y2559" s="193"/>
    </row>
    <row r="2560" s="3" customFormat="1" customHeight="1" spans="1:25">
      <c r="A2560" s="310" t="s">
        <v>448</v>
      </c>
      <c r="B2560" s="310" t="s">
        <v>3037</v>
      </c>
      <c r="C2560" s="310" t="s">
        <v>63</v>
      </c>
      <c r="D2560" s="310" t="s">
        <v>85</v>
      </c>
      <c r="E2560" s="13" t="s">
        <v>3404</v>
      </c>
      <c r="F2560" s="11" t="s">
        <v>3405</v>
      </c>
      <c r="G2560" s="11" t="s">
        <v>346</v>
      </c>
      <c r="H2560" s="11" t="s">
        <v>3406</v>
      </c>
      <c r="I2560" s="30" t="e">
        <f>VLOOKUP(H2560,'合同高级查询数据-4月返'!A:A,1,FALSE)</f>
        <v>#N/A</v>
      </c>
      <c r="J2560" s="11" t="s">
        <v>346</v>
      </c>
      <c r="K2560" s="11" t="s">
        <v>3408</v>
      </c>
      <c r="L2560" s="32"/>
      <c r="M2560" s="315"/>
      <c r="N2560" s="316">
        <v>44228</v>
      </c>
      <c r="O2560" s="11" t="s">
        <v>1470</v>
      </c>
      <c r="P2560" s="324">
        <v>400000</v>
      </c>
      <c r="Q2560" s="324">
        <v>1</v>
      </c>
      <c r="R2560" s="126">
        <f t="shared" si="78"/>
        <v>400000</v>
      </c>
      <c r="S2560" s="322">
        <v>202304</v>
      </c>
      <c r="T2560" s="232"/>
      <c r="U2560" s="232"/>
      <c r="V2560" s="323"/>
      <c r="W2560" s="323"/>
      <c r="X2560" s="193">
        <v>44927</v>
      </c>
      <c r="Y2560" s="193"/>
    </row>
    <row r="2561" s="5" customFormat="1" customHeight="1" spans="1:25">
      <c r="A2561" s="24" t="s">
        <v>448</v>
      </c>
      <c r="B2561" s="307" t="s">
        <v>3037</v>
      </c>
      <c r="C2561" s="24" t="s">
        <v>144</v>
      </c>
      <c r="D2561" s="307" t="s">
        <v>3038</v>
      </c>
      <c r="E2561" s="23" t="s">
        <v>945</v>
      </c>
      <c r="F2561" s="24" t="s">
        <v>3409</v>
      </c>
      <c r="G2561" s="24" t="s">
        <v>88</v>
      </c>
      <c r="H2561" s="309" t="s">
        <v>3362</v>
      </c>
      <c r="I2561" s="46" t="e">
        <f>VLOOKUP(H2561,'合同高级查询数据-4月返'!A:A,1,FALSE)</f>
        <v>#N/A</v>
      </c>
      <c r="J2561" s="24" t="s">
        <v>2423</v>
      </c>
      <c r="K2561" s="307" t="s">
        <v>3410</v>
      </c>
      <c r="L2561" s="24"/>
      <c r="M2561" s="312" t="s">
        <v>3411</v>
      </c>
      <c r="N2561" s="260">
        <v>43510</v>
      </c>
      <c r="O2561" s="341" t="s">
        <v>1535</v>
      </c>
      <c r="P2561" s="342">
        <v>0</v>
      </c>
      <c r="Q2561" s="342">
        <v>7</v>
      </c>
      <c r="R2561" s="318">
        <f t="shared" si="78"/>
        <v>0</v>
      </c>
      <c r="S2561" s="319">
        <v>202304</v>
      </c>
      <c r="T2561" s="347" t="s">
        <v>3412</v>
      </c>
      <c r="U2561" s="347"/>
      <c r="V2561" s="320"/>
      <c r="W2561" s="320"/>
      <c r="X2561" s="229">
        <v>44774</v>
      </c>
      <c r="Y2561" s="184">
        <v>45138</v>
      </c>
    </row>
    <row r="2562" s="5" customFormat="1" customHeight="1" spans="1:25">
      <c r="A2562" s="24" t="s">
        <v>448</v>
      </c>
      <c r="B2562" s="307" t="s">
        <v>3037</v>
      </c>
      <c r="C2562" s="24" t="s">
        <v>144</v>
      </c>
      <c r="D2562" s="307" t="s">
        <v>3038</v>
      </c>
      <c r="E2562" s="23" t="s">
        <v>945</v>
      </c>
      <c r="F2562" s="24" t="s">
        <v>3409</v>
      </c>
      <c r="G2562" s="24" t="s">
        <v>88</v>
      </c>
      <c r="H2562" s="309" t="s">
        <v>3362</v>
      </c>
      <c r="I2562" s="46" t="e">
        <f>VLOOKUP(H2562,'合同高级查询数据-4月返'!A:A,1,FALSE)</f>
        <v>#N/A</v>
      </c>
      <c r="J2562" s="24" t="s">
        <v>2423</v>
      </c>
      <c r="K2562" s="307" t="s">
        <v>3410</v>
      </c>
      <c r="L2562" s="24"/>
      <c r="M2562" s="312" t="s">
        <v>3411</v>
      </c>
      <c r="N2562" s="260">
        <v>44732</v>
      </c>
      <c r="O2562" s="341" t="s">
        <v>1535</v>
      </c>
      <c r="P2562" s="342">
        <v>0</v>
      </c>
      <c r="Q2562" s="342">
        <v>-5</v>
      </c>
      <c r="R2562" s="318">
        <f t="shared" si="78"/>
        <v>0</v>
      </c>
      <c r="S2562" s="319">
        <v>202304</v>
      </c>
      <c r="T2562" s="347" t="s">
        <v>3413</v>
      </c>
      <c r="U2562" s="347"/>
      <c r="V2562" s="320"/>
      <c r="W2562" s="320"/>
      <c r="X2562" s="229">
        <v>44774</v>
      </c>
      <c r="Y2562" s="184">
        <v>45138</v>
      </c>
    </row>
    <row r="2563" s="5" customFormat="1" customHeight="1" spans="1:25">
      <c r="A2563" s="24" t="s">
        <v>448</v>
      </c>
      <c r="B2563" s="307" t="s">
        <v>3037</v>
      </c>
      <c r="C2563" s="24" t="s">
        <v>144</v>
      </c>
      <c r="D2563" s="307" t="s">
        <v>3038</v>
      </c>
      <c r="E2563" s="23" t="s">
        <v>945</v>
      </c>
      <c r="F2563" s="24" t="s">
        <v>3409</v>
      </c>
      <c r="G2563" s="24" t="s">
        <v>31</v>
      </c>
      <c r="H2563" s="309" t="s">
        <v>3362</v>
      </c>
      <c r="I2563" s="46" t="e">
        <f>VLOOKUP(H2563,'合同高级查询数据-4月返'!A:A,1,FALSE)</f>
        <v>#N/A</v>
      </c>
      <c r="J2563" s="309" t="s">
        <v>3189</v>
      </c>
      <c r="K2563" s="307" t="s">
        <v>3410</v>
      </c>
      <c r="L2563" s="24"/>
      <c r="M2563" s="312" t="s">
        <v>3411</v>
      </c>
      <c r="N2563" s="260">
        <v>43510</v>
      </c>
      <c r="O2563" s="341"/>
      <c r="P2563" s="342">
        <v>0</v>
      </c>
      <c r="Q2563" s="342">
        <v>288</v>
      </c>
      <c r="R2563" s="318">
        <f t="shared" si="78"/>
        <v>0</v>
      </c>
      <c r="S2563" s="319">
        <v>202304</v>
      </c>
      <c r="T2563" s="347" t="s">
        <v>3414</v>
      </c>
      <c r="U2563" s="347"/>
      <c r="V2563" s="320"/>
      <c r="W2563" s="320"/>
      <c r="X2563" s="229">
        <v>44774</v>
      </c>
      <c r="Y2563" s="184">
        <v>45138</v>
      </c>
    </row>
    <row r="2564" s="3" customFormat="1" customHeight="1" spans="1:25">
      <c r="A2564" s="338" t="s">
        <v>446</v>
      </c>
      <c r="B2564" s="310" t="s">
        <v>3037</v>
      </c>
      <c r="C2564" s="338" t="s">
        <v>144</v>
      </c>
      <c r="D2564" s="310" t="s">
        <v>3038</v>
      </c>
      <c r="E2564" s="30" t="s">
        <v>3415</v>
      </c>
      <c r="F2564" s="338" t="s">
        <v>3416</v>
      </c>
      <c r="G2564" s="144" t="s">
        <v>88</v>
      </c>
      <c r="H2564" s="339" t="s">
        <v>3417</v>
      </c>
      <c r="I2564" s="30" t="e">
        <f>VLOOKUP(H2564,'合同高级查询数据-4月返'!A:A,1,FALSE)</f>
        <v>#N/A</v>
      </c>
      <c r="J2564" s="339" t="s">
        <v>2423</v>
      </c>
      <c r="K2564" s="144" t="s">
        <v>148</v>
      </c>
      <c r="L2564" s="144"/>
      <c r="M2564" s="315" t="s">
        <v>3418</v>
      </c>
      <c r="N2564" s="143">
        <v>40186</v>
      </c>
      <c r="O2564" s="143" t="s">
        <v>1535</v>
      </c>
      <c r="P2564" s="343">
        <v>4000</v>
      </c>
      <c r="Q2564" s="343">
        <v>15</v>
      </c>
      <c r="R2564" s="348">
        <f t="shared" si="78"/>
        <v>60000</v>
      </c>
      <c r="S2564" s="322">
        <v>202304</v>
      </c>
      <c r="T2564" s="349"/>
      <c r="U2564" s="349"/>
      <c r="V2564" s="323"/>
      <c r="W2564" s="323"/>
      <c r="X2564" s="193">
        <v>44927</v>
      </c>
      <c r="Y2564" s="193"/>
    </row>
    <row r="2565" s="3" customFormat="1" customHeight="1" spans="1:25">
      <c r="A2565" s="338" t="s">
        <v>446</v>
      </c>
      <c r="B2565" s="310" t="s">
        <v>3037</v>
      </c>
      <c r="C2565" s="338" t="s">
        <v>144</v>
      </c>
      <c r="D2565" s="310" t="s">
        <v>3038</v>
      </c>
      <c r="E2565" s="30" t="s">
        <v>3415</v>
      </c>
      <c r="F2565" s="338" t="s">
        <v>3416</v>
      </c>
      <c r="G2565" s="144" t="s">
        <v>88</v>
      </c>
      <c r="H2565" s="339" t="s">
        <v>3417</v>
      </c>
      <c r="I2565" s="30" t="e">
        <f>VLOOKUP(H2565,'合同高级查询数据-4月返'!A:A,1,FALSE)</f>
        <v>#N/A</v>
      </c>
      <c r="J2565" s="339" t="s">
        <v>2423</v>
      </c>
      <c r="K2565" s="144" t="s">
        <v>148</v>
      </c>
      <c r="L2565" s="144"/>
      <c r="M2565" s="315" t="s">
        <v>3418</v>
      </c>
      <c r="N2565" s="143">
        <v>40186</v>
      </c>
      <c r="O2565" s="143" t="s">
        <v>1535</v>
      </c>
      <c r="P2565" s="343">
        <v>4000</v>
      </c>
      <c r="Q2565" s="343">
        <v>-15</v>
      </c>
      <c r="R2565" s="348">
        <f t="shared" si="78"/>
        <v>-60000</v>
      </c>
      <c r="S2565" s="322">
        <v>202304</v>
      </c>
      <c r="T2565" s="349"/>
      <c r="U2565" s="349"/>
      <c r="V2565" s="323"/>
      <c r="W2565" s="323"/>
      <c r="X2565" s="193">
        <v>44927</v>
      </c>
      <c r="Y2565" s="193"/>
    </row>
    <row r="2566" s="3" customFormat="1" customHeight="1" spans="1:25">
      <c r="A2566" s="338" t="s">
        <v>446</v>
      </c>
      <c r="B2566" s="310" t="s">
        <v>3037</v>
      </c>
      <c r="C2566" s="338" t="s">
        <v>144</v>
      </c>
      <c r="D2566" s="310" t="s">
        <v>3038</v>
      </c>
      <c r="E2566" s="30" t="s">
        <v>3415</v>
      </c>
      <c r="F2566" s="338" t="s">
        <v>3416</v>
      </c>
      <c r="G2566" s="144" t="s">
        <v>88</v>
      </c>
      <c r="H2566" s="339" t="s">
        <v>3417</v>
      </c>
      <c r="I2566" s="30" t="e">
        <f>VLOOKUP(H2566,'合同高级查询数据-4月返'!A:A,1,FALSE)</f>
        <v>#N/A</v>
      </c>
      <c r="J2566" s="339" t="s">
        <v>3419</v>
      </c>
      <c r="K2566" s="144" t="s">
        <v>148</v>
      </c>
      <c r="L2566" s="144"/>
      <c r="M2566" s="315" t="s">
        <v>3418</v>
      </c>
      <c r="N2566" s="143">
        <v>40186</v>
      </c>
      <c r="O2566" s="143" t="s">
        <v>1535</v>
      </c>
      <c r="P2566" s="343">
        <v>4000</v>
      </c>
      <c r="Q2566" s="343">
        <v>4</v>
      </c>
      <c r="R2566" s="348">
        <f t="shared" si="78"/>
        <v>16000</v>
      </c>
      <c r="S2566" s="322">
        <v>202304</v>
      </c>
      <c r="T2566" s="349"/>
      <c r="U2566" s="349"/>
      <c r="V2566" s="323"/>
      <c r="W2566" s="323"/>
      <c r="X2566" s="193">
        <v>44927</v>
      </c>
      <c r="Y2566" s="193"/>
    </row>
    <row r="2567" s="3" customFormat="1" customHeight="1" spans="1:25">
      <c r="A2567" s="338" t="s">
        <v>446</v>
      </c>
      <c r="B2567" s="310" t="s">
        <v>3037</v>
      </c>
      <c r="C2567" s="338" t="s">
        <v>144</v>
      </c>
      <c r="D2567" s="310" t="s">
        <v>3038</v>
      </c>
      <c r="E2567" s="30" t="s">
        <v>3415</v>
      </c>
      <c r="F2567" s="338" t="s">
        <v>3416</v>
      </c>
      <c r="G2567" s="144" t="s">
        <v>88</v>
      </c>
      <c r="H2567" s="339" t="s">
        <v>3417</v>
      </c>
      <c r="I2567" s="30" t="e">
        <f>VLOOKUP(H2567,'合同高级查询数据-4月返'!A:A,1,FALSE)</f>
        <v>#N/A</v>
      </c>
      <c r="J2567" s="339" t="s">
        <v>3419</v>
      </c>
      <c r="K2567" s="144" t="s">
        <v>148</v>
      </c>
      <c r="L2567" s="144"/>
      <c r="M2567" s="315" t="s">
        <v>3418</v>
      </c>
      <c r="N2567" s="143">
        <v>44377</v>
      </c>
      <c r="O2567" s="143" t="s">
        <v>1535</v>
      </c>
      <c r="P2567" s="343">
        <v>4000</v>
      </c>
      <c r="Q2567" s="343">
        <v>-4</v>
      </c>
      <c r="R2567" s="348">
        <f t="shared" si="78"/>
        <v>-16000</v>
      </c>
      <c r="S2567" s="322">
        <v>202304</v>
      </c>
      <c r="T2567" s="349" t="s">
        <v>3420</v>
      </c>
      <c r="U2567" s="349"/>
      <c r="V2567" s="323"/>
      <c r="W2567" s="323"/>
      <c r="X2567" s="193">
        <v>44927</v>
      </c>
      <c r="Y2567" s="193"/>
    </row>
    <row r="2568" s="3" customFormat="1" customHeight="1" spans="1:25">
      <c r="A2568" s="338" t="s">
        <v>446</v>
      </c>
      <c r="B2568" s="310" t="s">
        <v>3037</v>
      </c>
      <c r="C2568" s="338" t="s">
        <v>144</v>
      </c>
      <c r="D2568" s="310" t="s">
        <v>3038</v>
      </c>
      <c r="E2568" s="30" t="s">
        <v>3415</v>
      </c>
      <c r="F2568" s="338" t="s">
        <v>3416</v>
      </c>
      <c r="G2568" s="144" t="s">
        <v>88</v>
      </c>
      <c r="H2568" s="339" t="s">
        <v>3417</v>
      </c>
      <c r="I2568" s="30" t="e">
        <f>VLOOKUP(H2568,'合同高级查询数据-4月返'!A:A,1,FALSE)</f>
        <v>#N/A</v>
      </c>
      <c r="J2568" s="339" t="s">
        <v>3421</v>
      </c>
      <c r="K2568" s="144" t="s">
        <v>148</v>
      </c>
      <c r="L2568" s="144"/>
      <c r="M2568" s="315" t="s">
        <v>3418</v>
      </c>
      <c r="N2568" s="143">
        <v>40186</v>
      </c>
      <c r="O2568" s="143" t="s">
        <v>1535</v>
      </c>
      <c r="P2568" s="343">
        <v>4000</v>
      </c>
      <c r="Q2568" s="343">
        <v>3</v>
      </c>
      <c r="R2568" s="348">
        <f t="shared" si="78"/>
        <v>12000</v>
      </c>
      <c r="S2568" s="322">
        <v>202304</v>
      </c>
      <c r="T2568" s="349" t="s">
        <v>3422</v>
      </c>
      <c r="U2568" s="349"/>
      <c r="V2568" s="323"/>
      <c r="W2568" s="323"/>
      <c r="X2568" s="193">
        <v>44927</v>
      </c>
      <c r="Y2568" s="193"/>
    </row>
    <row r="2569" s="3" customFormat="1" customHeight="1" spans="1:25">
      <c r="A2569" s="338" t="s">
        <v>446</v>
      </c>
      <c r="B2569" s="310" t="s">
        <v>3037</v>
      </c>
      <c r="C2569" s="338" t="s">
        <v>144</v>
      </c>
      <c r="D2569" s="310" t="s">
        <v>3038</v>
      </c>
      <c r="E2569" s="30" t="s">
        <v>3415</v>
      </c>
      <c r="F2569" s="338" t="s">
        <v>3416</v>
      </c>
      <c r="G2569" s="144" t="s">
        <v>88</v>
      </c>
      <c r="H2569" s="339" t="s">
        <v>3417</v>
      </c>
      <c r="I2569" s="30" t="e">
        <f>VLOOKUP(H2569,'合同高级查询数据-4月返'!A:A,1,FALSE)</f>
        <v>#N/A</v>
      </c>
      <c r="J2569" s="339" t="s">
        <v>3421</v>
      </c>
      <c r="K2569" s="144" t="s">
        <v>148</v>
      </c>
      <c r="L2569" s="144"/>
      <c r="M2569" s="315" t="s">
        <v>3418</v>
      </c>
      <c r="N2569" s="143">
        <v>44895</v>
      </c>
      <c r="O2569" s="143" t="s">
        <v>1535</v>
      </c>
      <c r="P2569" s="343">
        <v>4000</v>
      </c>
      <c r="Q2569" s="343">
        <v>-3</v>
      </c>
      <c r="R2569" s="348">
        <f t="shared" si="78"/>
        <v>-12000</v>
      </c>
      <c r="S2569" s="322">
        <v>202304</v>
      </c>
      <c r="T2569" s="349" t="s">
        <v>3423</v>
      </c>
      <c r="U2569" s="349"/>
      <c r="V2569" s="323"/>
      <c r="W2569" s="323"/>
      <c r="X2569" s="193">
        <v>44927</v>
      </c>
      <c r="Y2569" s="193"/>
    </row>
    <row r="2570" s="3" customFormat="1" customHeight="1" spans="1:25">
      <c r="A2570" s="338" t="s">
        <v>446</v>
      </c>
      <c r="B2570" s="310" t="s">
        <v>3037</v>
      </c>
      <c r="C2570" s="338" t="s">
        <v>144</v>
      </c>
      <c r="D2570" s="310" t="s">
        <v>3038</v>
      </c>
      <c r="E2570" s="30" t="s">
        <v>3415</v>
      </c>
      <c r="F2570" s="338" t="s">
        <v>3416</v>
      </c>
      <c r="G2570" s="144" t="s">
        <v>31</v>
      </c>
      <c r="H2570" s="339" t="s">
        <v>3417</v>
      </c>
      <c r="I2570" s="30" t="e">
        <f>VLOOKUP(H2570,'合同高级查询数据-4月返'!A:A,1,FALSE)</f>
        <v>#N/A</v>
      </c>
      <c r="J2570" s="11" t="s">
        <v>3424</v>
      </c>
      <c r="K2570" s="144" t="s">
        <v>148</v>
      </c>
      <c r="L2570" s="144"/>
      <c r="M2570" s="315"/>
      <c r="N2570" s="143">
        <v>40186</v>
      </c>
      <c r="O2570" s="143"/>
      <c r="P2570" s="343">
        <v>0</v>
      </c>
      <c r="Q2570" s="343">
        <v>1024</v>
      </c>
      <c r="R2570" s="348">
        <f t="shared" si="78"/>
        <v>0</v>
      </c>
      <c r="S2570" s="322">
        <v>202304</v>
      </c>
      <c r="T2570" s="349" t="s">
        <v>3425</v>
      </c>
      <c r="U2570" s="349"/>
      <c r="V2570" s="323"/>
      <c r="W2570" s="323"/>
      <c r="X2570" s="193">
        <v>44927</v>
      </c>
      <c r="Y2570" s="193"/>
    </row>
    <row r="2571" s="3" customFormat="1" customHeight="1" spans="1:25">
      <c r="A2571" s="338" t="s">
        <v>446</v>
      </c>
      <c r="B2571" s="310" t="s">
        <v>3037</v>
      </c>
      <c r="C2571" s="338" t="s">
        <v>144</v>
      </c>
      <c r="D2571" s="310" t="s">
        <v>3038</v>
      </c>
      <c r="E2571" s="30" t="s">
        <v>3415</v>
      </c>
      <c r="F2571" s="338" t="s">
        <v>3416</v>
      </c>
      <c r="G2571" s="144" t="s">
        <v>31</v>
      </c>
      <c r="H2571" s="339" t="s">
        <v>3417</v>
      </c>
      <c r="I2571" s="30" t="e">
        <f>VLOOKUP(H2571,'合同高级查询数据-4月返'!A:A,1,FALSE)</f>
        <v>#N/A</v>
      </c>
      <c r="J2571" s="11" t="s">
        <v>3424</v>
      </c>
      <c r="K2571" s="144" t="s">
        <v>148</v>
      </c>
      <c r="L2571" s="144"/>
      <c r="M2571" s="344" t="s">
        <v>3426</v>
      </c>
      <c r="N2571" s="143">
        <v>44377</v>
      </c>
      <c r="O2571" s="143"/>
      <c r="P2571" s="343">
        <v>0</v>
      </c>
      <c r="Q2571" s="343">
        <v>-512</v>
      </c>
      <c r="R2571" s="348">
        <f t="shared" si="78"/>
        <v>0</v>
      </c>
      <c r="S2571" s="322">
        <v>202304</v>
      </c>
      <c r="T2571" s="349" t="s">
        <v>3427</v>
      </c>
      <c r="U2571" s="349"/>
      <c r="V2571" s="323"/>
      <c r="W2571" s="323"/>
      <c r="X2571" s="193">
        <v>44927</v>
      </c>
      <c r="Y2571" s="193"/>
    </row>
    <row r="2572" s="3" customFormat="1" customHeight="1" spans="1:25">
      <c r="A2572" s="338" t="s">
        <v>446</v>
      </c>
      <c r="B2572" s="310" t="s">
        <v>3037</v>
      </c>
      <c r="C2572" s="338" t="s">
        <v>144</v>
      </c>
      <c r="D2572" s="310" t="s">
        <v>3038</v>
      </c>
      <c r="E2572" s="30" t="s">
        <v>3415</v>
      </c>
      <c r="F2572" s="338" t="s">
        <v>3416</v>
      </c>
      <c r="G2572" s="144" t="s">
        <v>31</v>
      </c>
      <c r="H2572" s="339" t="s">
        <v>3417</v>
      </c>
      <c r="I2572" s="30" t="e">
        <f>VLOOKUP(H2572,'合同高级查询数据-4月返'!A:A,1,FALSE)</f>
        <v>#N/A</v>
      </c>
      <c r="J2572" s="11" t="s">
        <v>3424</v>
      </c>
      <c r="K2572" s="144" t="s">
        <v>148</v>
      </c>
      <c r="L2572" s="144"/>
      <c r="M2572" s="344" t="s">
        <v>3426</v>
      </c>
      <c r="N2572" s="143">
        <v>44895</v>
      </c>
      <c r="O2572" s="143"/>
      <c r="P2572" s="343">
        <v>0</v>
      </c>
      <c r="Q2572" s="343">
        <v>-512</v>
      </c>
      <c r="R2572" s="348">
        <f t="shared" si="78"/>
        <v>0</v>
      </c>
      <c r="S2572" s="322">
        <v>202304</v>
      </c>
      <c r="T2572" s="349" t="s">
        <v>3428</v>
      </c>
      <c r="U2572" s="349"/>
      <c r="V2572" s="323"/>
      <c r="W2572" s="323"/>
      <c r="X2572" s="193">
        <v>44927</v>
      </c>
      <c r="Y2572" s="193"/>
    </row>
    <row r="2573" s="3" customFormat="1" customHeight="1" spans="1:25">
      <c r="A2573" s="338" t="s">
        <v>446</v>
      </c>
      <c r="B2573" s="310" t="s">
        <v>3037</v>
      </c>
      <c r="C2573" s="338" t="s">
        <v>144</v>
      </c>
      <c r="D2573" s="310" t="s">
        <v>3038</v>
      </c>
      <c r="E2573" s="30" t="s">
        <v>3415</v>
      </c>
      <c r="F2573" s="338" t="s">
        <v>3416</v>
      </c>
      <c r="G2573" s="144" t="s">
        <v>88</v>
      </c>
      <c r="H2573" s="339" t="s">
        <v>3417</v>
      </c>
      <c r="I2573" s="30" t="e">
        <f>VLOOKUP(H2573,'合同高级查询数据-4月返'!A:A,1,FALSE)</f>
        <v>#N/A</v>
      </c>
      <c r="J2573" s="339" t="s">
        <v>2423</v>
      </c>
      <c r="K2573" s="144" t="s">
        <v>3429</v>
      </c>
      <c r="L2573" s="144"/>
      <c r="M2573" s="315" t="s">
        <v>3430</v>
      </c>
      <c r="N2573" s="143"/>
      <c r="O2573" s="143" t="s">
        <v>1535</v>
      </c>
      <c r="P2573" s="343">
        <v>4000</v>
      </c>
      <c r="Q2573" s="343">
        <v>10</v>
      </c>
      <c r="R2573" s="348">
        <f t="shared" si="78"/>
        <v>40000</v>
      </c>
      <c r="S2573" s="322">
        <v>202304</v>
      </c>
      <c r="T2573" s="349"/>
      <c r="U2573" s="349"/>
      <c r="V2573" s="323"/>
      <c r="W2573" s="323"/>
      <c r="X2573" s="193">
        <v>44927</v>
      </c>
      <c r="Y2573" s="193"/>
    </row>
    <row r="2574" s="3" customFormat="1" customHeight="1" spans="1:25">
      <c r="A2574" s="338" t="s">
        <v>446</v>
      </c>
      <c r="B2574" s="310" t="s">
        <v>3037</v>
      </c>
      <c r="C2574" s="338" t="s">
        <v>144</v>
      </c>
      <c r="D2574" s="310" t="s">
        <v>3038</v>
      </c>
      <c r="E2574" s="30" t="s">
        <v>3415</v>
      </c>
      <c r="F2574" s="338" t="s">
        <v>3416</v>
      </c>
      <c r="G2574" s="144" t="s">
        <v>88</v>
      </c>
      <c r="H2574" s="339" t="s">
        <v>3417</v>
      </c>
      <c r="I2574" s="30" t="e">
        <f>VLOOKUP(H2574,'合同高级查询数据-4月返'!A:A,1,FALSE)</f>
        <v>#N/A</v>
      </c>
      <c r="J2574" s="339" t="s">
        <v>2423</v>
      </c>
      <c r="K2574" s="144" t="s">
        <v>3429</v>
      </c>
      <c r="L2574" s="144"/>
      <c r="M2574" s="315" t="s">
        <v>3430</v>
      </c>
      <c r="N2574" s="143">
        <v>44804</v>
      </c>
      <c r="O2574" s="143" t="s">
        <v>1535</v>
      </c>
      <c r="P2574" s="343">
        <v>4000</v>
      </c>
      <c r="Q2574" s="343">
        <v>-6</v>
      </c>
      <c r="R2574" s="348">
        <f t="shared" si="78"/>
        <v>-24000</v>
      </c>
      <c r="S2574" s="322">
        <v>202304</v>
      </c>
      <c r="T2574" s="349" t="s">
        <v>3431</v>
      </c>
      <c r="U2574" s="349"/>
      <c r="V2574" s="323"/>
      <c r="W2574" s="323"/>
      <c r="X2574" s="193">
        <v>44927</v>
      </c>
      <c r="Y2574" s="193"/>
    </row>
    <row r="2575" s="3" customFormat="1" customHeight="1" spans="1:25">
      <c r="A2575" s="338" t="s">
        <v>446</v>
      </c>
      <c r="B2575" s="310" t="s">
        <v>3037</v>
      </c>
      <c r="C2575" s="338" t="s">
        <v>144</v>
      </c>
      <c r="D2575" s="310" t="s">
        <v>3038</v>
      </c>
      <c r="E2575" s="30" t="s">
        <v>3415</v>
      </c>
      <c r="F2575" s="338" t="s">
        <v>3416</v>
      </c>
      <c r="G2575" s="144" t="s">
        <v>31</v>
      </c>
      <c r="H2575" s="339" t="s">
        <v>3417</v>
      </c>
      <c r="I2575" s="30" t="e">
        <f>VLOOKUP(H2575,'合同高级查询数据-4月返'!A:A,1,FALSE)</f>
        <v>#N/A</v>
      </c>
      <c r="J2575" s="140" t="s">
        <v>3189</v>
      </c>
      <c r="K2575" s="144" t="s">
        <v>3429</v>
      </c>
      <c r="L2575" s="144"/>
      <c r="M2575" s="315"/>
      <c r="N2575" s="143"/>
      <c r="O2575" s="143"/>
      <c r="P2575" s="343">
        <v>0</v>
      </c>
      <c r="Q2575" s="343">
        <v>512</v>
      </c>
      <c r="R2575" s="348">
        <f t="shared" si="78"/>
        <v>0</v>
      </c>
      <c r="S2575" s="322">
        <v>202304</v>
      </c>
      <c r="T2575" s="349" t="s">
        <v>3432</v>
      </c>
      <c r="U2575" s="349"/>
      <c r="V2575" s="323"/>
      <c r="W2575" s="323"/>
      <c r="X2575" s="193">
        <v>44927</v>
      </c>
      <c r="Y2575" s="193"/>
    </row>
    <row r="2576" s="3" customFormat="1" customHeight="1" spans="1:25">
      <c r="A2576" s="338" t="s">
        <v>446</v>
      </c>
      <c r="B2576" s="310" t="s">
        <v>3037</v>
      </c>
      <c r="C2576" s="338" t="s">
        <v>144</v>
      </c>
      <c r="D2576" s="310" t="s">
        <v>3038</v>
      </c>
      <c r="E2576" s="30" t="s">
        <v>3415</v>
      </c>
      <c r="F2576" s="338" t="s">
        <v>3416</v>
      </c>
      <c r="G2576" s="144" t="s">
        <v>88</v>
      </c>
      <c r="H2576" s="339" t="s">
        <v>3417</v>
      </c>
      <c r="I2576" s="30" t="e">
        <f>VLOOKUP(H2576,'合同高级查询数据-4月返'!A:A,1,FALSE)</f>
        <v>#N/A</v>
      </c>
      <c r="J2576" s="339" t="s">
        <v>2423</v>
      </c>
      <c r="K2576" s="144" t="s">
        <v>3433</v>
      </c>
      <c r="L2576" s="144"/>
      <c r="M2576" s="315" t="s">
        <v>3434</v>
      </c>
      <c r="N2576" s="143"/>
      <c r="O2576" s="143" t="s">
        <v>1535</v>
      </c>
      <c r="P2576" s="343">
        <v>4000</v>
      </c>
      <c r="Q2576" s="343">
        <v>9</v>
      </c>
      <c r="R2576" s="348">
        <f t="shared" si="78"/>
        <v>36000</v>
      </c>
      <c r="S2576" s="322">
        <v>202304</v>
      </c>
      <c r="T2576" s="349"/>
      <c r="U2576" s="349"/>
      <c r="V2576" s="323"/>
      <c r="W2576" s="323"/>
      <c r="X2576" s="193">
        <v>44927</v>
      </c>
      <c r="Y2576" s="193"/>
    </row>
    <row r="2577" s="3" customFormat="1" customHeight="1" spans="1:25">
      <c r="A2577" s="338" t="s">
        <v>446</v>
      </c>
      <c r="B2577" s="310" t="s">
        <v>3037</v>
      </c>
      <c r="C2577" s="338" t="s">
        <v>144</v>
      </c>
      <c r="D2577" s="310" t="s">
        <v>3038</v>
      </c>
      <c r="E2577" s="30" t="s">
        <v>3415</v>
      </c>
      <c r="F2577" s="338" t="s">
        <v>3416</v>
      </c>
      <c r="G2577" s="144" t="s">
        <v>88</v>
      </c>
      <c r="H2577" s="339" t="s">
        <v>3417</v>
      </c>
      <c r="I2577" s="30" t="e">
        <f>VLOOKUP(H2577,'合同高级查询数据-4月返'!A:A,1,FALSE)</f>
        <v>#N/A</v>
      </c>
      <c r="J2577" s="339" t="s">
        <v>2423</v>
      </c>
      <c r="K2577" s="144" t="s">
        <v>3433</v>
      </c>
      <c r="L2577" s="144"/>
      <c r="M2577" s="315" t="s">
        <v>3434</v>
      </c>
      <c r="N2577" s="143">
        <v>44561</v>
      </c>
      <c r="O2577" s="143" t="s">
        <v>1535</v>
      </c>
      <c r="P2577" s="343">
        <v>4000</v>
      </c>
      <c r="Q2577" s="343">
        <v>-3</v>
      </c>
      <c r="R2577" s="348">
        <f t="shared" si="78"/>
        <v>-12000</v>
      </c>
      <c r="S2577" s="322">
        <v>202304</v>
      </c>
      <c r="T2577" s="349" t="s">
        <v>3435</v>
      </c>
      <c r="U2577" s="349"/>
      <c r="V2577" s="323"/>
      <c r="W2577" s="323"/>
      <c r="X2577" s="193">
        <v>44927</v>
      </c>
      <c r="Y2577" s="193"/>
    </row>
    <row r="2578" s="3" customFormat="1" customHeight="1" spans="1:25">
      <c r="A2578" s="338" t="s">
        <v>446</v>
      </c>
      <c r="B2578" s="310" t="s">
        <v>3037</v>
      </c>
      <c r="C2578" s="338" t="s">
        <v>144</v>
      </c>
      <c r="D2578" s="310" t="s">
        <v>3038</v>
      </c>
      <c r="E2578" s="30" t="s">
        <v>3415</v>
      </c>
      <c r="F2578" s="338" t="s">
        <v>3416</v>
      </c>
      <c r="G2578" s="144" t="s">
        <v>31</v>
      </c>
      <c r="H2578" s="339" t="s">
        <v>3417</v>
      </c>
      <c r="I2578" s="30" t="e">
        <f>VLOOKUP(H2578,'合同高级查询数据-4月返'!A:A,1,FALSE)</f>
        <v>#N/A</v>
      </c>
      <c r="J2578" s="140" t="s">
        <v>3189</v>
      </c>
      <c r="K2578" s="144" t="s">
        <v>3433</v>
      </c>
      <c r="L2578" s="144"/>
      <c r="M2578" s="315"/>
      <c r="N2578" s="143"/>
      <c r="O2578" s="143"/>
      <c r="P2578" s="343">
        <v>0</v>
      </c>
      <c r="Q2578" s="343">
        <v>544</v>
      </c>
      <c r="R2578" s="348">
        <f t="shared" si="78"/>
        <v>0</v>
      </c>
      <c r="S2578" s="322">
        <v>202304</v>
      </c>
      <c r="T2578" s="349" t="s">
        <v>3436</v>
      </c>
      <c r="U2578" s="349"/>
      <c r="V2578" s="323"/>
      <c r="W2578" s="323"/>
      <c r="X2578" s="193">
        <v>44927</v>
      </c>
      <c r="Y2578" s="193"/>
    </row>
    <row r="2579" s="3" customFormat="1" customHeight="1" spans="1:25">
      <c r="A2579" s="338" t="s">
        <v>446</v>
      </c>
      <c r="B2579" s="310" t="s">
        <v>3037</v>
      </c>
      <c r="C2579" s="338" t="s">
        <v>144</v>
      </c>
      <c r="D2579" s="310" t="s">
        <v>3038</v>
      </c>
      <c r="E2579" s="30" t="s">
        <v>3415</v>
      </c>
      <c r="F2579" s="338" t="s">
        <v>3416</v>
      </c>
      <c r="G2579" s="144" t="s">
        <v>88</v>
      </c>
      <c r="H2579" s="339" t="s">
        <v>3417</v>
      </c>
      <c r="I2579" s="30" t="e">
        <f>VLOOKUP(H2579,'合同高级查询数据-4月返'!A:A,1,FALSE)</f>
        <v>#N/A</v>
      </c>
      <c r="J2579" s="339" t="s">
        <v>2423</v>
      </c>
      <c r="K2579" s="144" t="s">
        <v>3433</v>
      </c>
      <c r="L2579" s="144"/>
      <c r="M2579" s="315" t="s">
        <v>3434</v>
      </c>
      <c r="N2579" s="143">
        <v>43930</v>
      </c>
      <c r="O2579" s="143" t="s">
        <v>1535</v>
      </c>
      <c r="P2579" s="343">
        <v>4000</v>
      </c>
      <c r="Q2579" s="343">
        <v>1</v>
      </c>
      <c r="R2579" s="348">
        <f t="shared" si="78"/>
        <v>4000</v>
      </c>
      <c r="S2579" s="322">
        <v>202304</v>
      </c>
      <c r="T2579" s="349" t="s">
        <v>3437</v>
      </c>
      <c r="U2579" s="349"/>
      <c r="V2579" s="323"/>
      <c r="W2579" s="323"/>
      <c r="X2579" s="193">
        <v>44927</v>
      </c>
      <c r="Y2579" s="193"/>
    </row>
    <row r="2580" s="3" customFormat="1" customHeight="1" spans="1:25">
      <c r="A2580" s="338" t="s">
        <v>446</v>
      </c>
      <c r="B2580" s="310" t="s">
        <v>3037</v>
      </c>
      <c r="C2580" s="338" t="s">
        <v>144</v>
      </c>
      <c r="D2580" s="310" t="s">
        <v>3038</v>
      </c>
      <c r="E2580" s="30" t="s">
        <v>3415</v>
      </c>
      <c r="F2580" s="338" t="s">
        <v>3416</v>
      </c>
      <c r="G2580" s="144" t="s">
        <v>88</v>
      </c>
      <c r="H2580" s="339" t="s">
        <v>3417</v>
      </c>
      <c r="I2580" s="30" t="e">
        <f>VLOOKUP(H2580,'合同高级查询数据-4月返'!A:A,1,FALSE)</f>
        <v>#N/A</v>
      </c>
      <c r="J2580" s="339" t="s">
        <v>2423</v>
      </c>
      <c r="K2580" s="144" t="s">
        <v>3438</v>
      </c>
      <c r="L2580" s="144"/>
      <c r="M2580" s="315" t="s">
        <v>3439</v>
      </c>
      <c r="N2580" s="143">
        <v>43008</v>
      </c>
      <c r="O2580" s="143" t="s">
        <v>1535</v>
      </c>
      <c r="P2580" s="343">
        <v>4000</v>
      </c>
      <c r="Q2580" s="343">
        <v>4</v>
      </c>
      <c r="R2580" s="348">
        <f t="shared" si="78"/>
        <v>16000</v>
      </c>
      <c r="S2580" s="322">
        <v>202304</v>
      </c>
      <c r="T2580" s="349"/>
      <c r="U2580" s="349"/>
      <c r="V2580" s="323"/>
      <c r="W2580" s="323"/>
      <c r="X2580" s="193">
        <v>44927</v>
      </c>
      <c r="Y2580" s="193"/>
    </row>
    <row r="2581" s="3" customFormat="1" customHeight="1" spans="1:25">
      <c r="A2581" s="338" t="s">
        <v>446</v>
      </c>
      <c r="B2581" s="310" t="s">
        <v>3037</v>
      </c>
      <c r="C2581" s="338" t="s">
        <v>144</v>
      </c>
      <c r="D2581" s="310" t="s">
        <v>3038</v>
      </c>
      <c r="E2581" s="30" t="s">
        <v>3415</v>
      </c>
      <c r="F2581" s="338" t="s">
        <v>3416</v>
      </c>
      <c r="G2581" s="144" t="s">
        <v>88</v>
      </c>
      <c r="H2581" s="339" t="s">
        <v>3417</v>
      </c>
      <c r="I2581" s="30" t="e">
        <f>VLOOKUP(H2581,'合同高级查询数据-4月返'!A:A,1,FALSE)</f>
        <v>#N/A</v>
      </c>
      <c r="J2581" s="339" t="s">
        <v>2423</v>
      </c>
      <c r="K2581" s="144" t="s">
        <v>3440</v>
      </c>
      <c r="L2581" s="144"/>
      <c r="M2581" s="315" t="s">
        <v>3441</v>
      </c>
      <c r="N2581" s="143">
        <v>43008</v>
      </c>
      <c r="O2581" s="143" t="s">
        <v>1535</v>
      </c>
      <c r="P2581" s="343">
        <v>4000</v>
      </c>
      <c r="Q2581" s="343">
        <v>7</v>
      </c>
      <c r="R2581" s="348">
        <f t="shared" si="78"/>
        <v>28000</v>
      </c>
      <c r="S2581" s="322">
        <v>202304</v>
      </c>
      <c r="T2581" s="349"/>
      <c r="U2581" s="349"/>
      <c r="V2581" s="323"/>
      <c r="W2581" s="323"/>
      <c r="X2581" s="193">
        <v>44927</v>
      </c>
      <c r="Y2581" s="193"/>
    </row>
    <row r="2582" s="3" customFormat="1" customHeight="1" spans="1:25">
      <c r="A2582" s="338" t="s">
        <v>446</v>
      </c>
      <c r="B2582" s="310" t="s">
        <v>3037</v>
      </c>
      <c r="C2582" s="338" t="s">
        <v>144</v>
      </c>
      <c r="D2582" s="310" t="s">
        <v>3038</v>
      </c>
      <c r="E2582" s="30" t="s">
        <v>3415</v>
      </c>
      <c r="F2582" s="338" t="s">
        <v>3416</v>
      </c>
      <c r="G2582" s="144" t="s">
        <v>31</v>
      </c>
      <c r="H2582" s="339" t="s">
        <v>3417</v>
      </c>
      <c r="I2582" s="30" t="e">
        <f>VLOOKUP(H2582,'合同高级查询数据-4月返'!A:A,1,FALSE)</f>
        <v>#N/A</v>
      </c>
      <c r="J2582" s="140" t="s">
        <v>3189</v>
      </c>
      <c r="K2582" s="144" t="s">
        <v>3442</v>
      </c>
      <c r="L2582" s="144"/>
      <c r="M2582" s="315"/>
      <c r="N2582" s="143">
        <v>43008</v>
      </c>
      <c r="O2582" s="143"/>
      <c r="P2582" s="345">
        <v>0</v>
      </c>
      <c r="Q2582" s="345">
        <v>512</v>
      </c>
      <c r="R2582" s="348">
        <f t="shared" si="78"/>
        <v>0</v>
      </c>
      <c r="S2582" s="322">
        <v>202304</v>
      </c>
      <c r="T2582" s="349" t="s">
        <v>3443</v>
      </c>
      <c r="U2582" s="349"/>
      <c r="V2582" s="323"/>
      <c r="W2582" s="323"/>
      <c r="X2582" s="193">
        <v>44927</v>
      </c>
      <c r="Y2582" s="193"/>
    </row>
    <row r="2583" s="3" customFormat="1" customHeight="1" spans="1:25">
      <c r="A2583" s="338" t="s">
        <v>446</v>
      </c>
      <c r="B2583" s="310" t="s">
        <v>3037</v>
      </c>
      <c r="C2583" s="338" t="s">
        <v>144</v>
      </c>
      <c r="D2583" s="310" t="s">
        <v>3038</v>
      </c>
      <c r="E2583" s="30" t="s">
        <v>3415</v>
      </c>
      <c r="F2583" s="338" t="s">
        <v>3416</v>
      </c>
      <c r="G2583" s="144" t="s">
        <v>88</v>
      </c>
      <c r="H2583" s="339" t="s">
        <v>3417</v>
      </c>
      <c r="I2583" s="30" t="e">
        <f>VLOOKUP(H2583,'合同高级查询数据-4月返'!A:A,1,FALSE)</f>
        <v>#N/A</v>
      </c>
      <c r="J2583" s="339" t="s">
        <v>2423</v>
      </c>
      <c r="K2583" s="144" t="s">
        <v>3444</v>
      </c>
      <c r="L2583" s="144"/>
      <c r="M2583" s="315" t="s">
        <v>3445</v>
      </c>
      <c r="N2583" s="143" t="s">
        <v>3446</v>
      </c>
      <c r="O2583" s="143" t="s">
        <v>1535</v>
      </c>
      <c r="P2583" s="343">
        <v>4000</v>
      </c>
      <c r="Q2583" s="343">
        <v>14</v>
      </c>
      <c r="R2583" s="348">
        <f t="shared" si="78"/>
        <v>56000</v>
      </c>
      <c r="S2583" s="322">
        <v>202304</v>
      </c>
      <c r="T2583" s="349" t="s">
        <v>3447</v>
      </c>
      <c r="U2583" s="349"/>
      <c r="V2583" s="323"/>
      <c r="W2583" s="323"/>
      <c r="X2583" s="193">
        <v>44927</v>
      </c>
      <c r="Y2583" s="193"/>
    </row>
    <row r="2584" s="3" customFormat="1" customHeight="1" spans="1:25">
      <c r="A2584" s="338" t="s">
        <v>446</v>
      </c>
      <c r="B2584" s="310" t="s">
        <v>3037</v>
      </c>
      <c r="C2584" s="338" t="s">
        <v>144</v>
      </c>
      <c r="D2584" s="310" t="s">
        <v>3038</v>
      </c>
      <c r="E2584" s="30" t="s">
        <v>3415</v>
      </c>
      <c r="F2584" s="338" t="s">
        <v>3416</v>
      </c>
      <c r="G2584" s="144" t="s">
        <v>88</v>
      </c>
      <c r="H2584" s="339" t="s">
        <v>3417</v>
      </c>
      <c r="I2584" s="30" t="e">
        <f>VLOOKUP(H2584,'合同高级查询数据-4月返'!A:A,1,FALSE)</f>
        <v>#N/A</v>
      </c>
      <c r="J2584" s="339" t="s">
        <v>2423</v>
      </c>
      <c r="K2584" s="144" t="s">
        <v>3410</v>
      </c>
      <c r="L2584" s="144" t="s">
        <v>3448</v>
      </c>
      <c r="M2584" s="315" t="s">
        <v>3445</v>
      </c>
      <c r="N2584" s="143">
        <v>44712</v>
      </c>
      <c r="O2584" s="143" t="s">
        <v>1535</v>
      </c>
      <c r="P2584" s="343">
        <v>4000</v>
      </c>
      <c r="Q2584" s="343">
        <v>-7</v>
      </c>
      <c r="R2584" s="348">
        <f t="shared" si="78"/>
        <v>-28000</v>
      </c>
      <c r="S2584" s="322">
        <v>202304</v>
      </c>
      <c r="T2584" s="349" t="s">
        <v>3449</v>
      </c>
      <c r="U2584" s="349"/>
      <c r="V2584" s="323"/>
      <c r="W2584" s="323"/>
      <c r="X2584" s="193">
        <v>44927</v>
      </c>
      <c r="Y2584" s="193"/>
    </row>
    <row r="2585" s="3" customFormat="1" customHeight="1" spans="1:25">
      <c r="A2585" s="338" t="s">
        <v>446</v>
      </c>
      <c r="B2585" s="310" t="s">
        <v>3037</v>
      </c>
      <c r="C2585" s="338" t="s">
        <v>144</v>
      </c>
      <c r="D2585" s="310" t="s">
        <v>3038</v>
      </c>
      <c r="E2585" s="30" t="s">
        <v>3415</v>
      </c>
      <c r="F2585" s="338" t="s">
        <v>3416</v>
      </c>
      <c r="G2585" s="144" t="s">
        <v>88</v>
      </c>
      <c r="H2585" s="339" t="s">
        <v>3417</v>
      </c>
      <c r="I2585" s="30" t="e">
        <f>VLOOKUP(H2585,'合同高级查询数据-4月返'!A:A,1,FALSE)</f>
        <v>#N/A</v>
      </c>
      <c r="J2585" s="339" t="s">
        <v>2423</v>
      </c>
      <c r="K2585" s="144" t="s">
        <v>3410</v>
      </c>
      <c r="L2585" s="144" t="s">
        <v>3448</v>
      </c>
      <c r="M2585" s="315" t="s">
        <v>3445</v>
      </c>
      <c r="N2585" s="143">
        <v>44903</v>
      </c>
      <c r="O2585" s="143" t="s">
        <v>1535</v>
      </c>
      <c r="P2585" s="343">
        <v>4000</v>
      </c>
      <c r="Q2585" s="343">
        <v>-2</v>
      </c>
      <c r="R2585" s="348">
        <f t="shared" si="78"/>
        <v>-8000</v>
      </c>
      <c r="S2585" s="322">
        <v>202304</v>
      </c>
      <c r="T2585" s="349" t="s">
        <v>3450</v>
      </c>
      <c r="U2585" s="349"/>
      <c r="V2585" s="323"/>
      <c r="W2585" s="323"/>
      <c r="X2585" s="193">
        <v>44927</v>
      </c>
      <c r="Y2585" s="193"/>
    </row>
    <row r="2586" s="3" customFormat="1" customHeight="1" spans="1:25">
      <c r="A2586" s="338" t="s">
        <v>446</v>
      </c>
      <c r="B2586" s="310" t="s">
        <v>3037</v>
      </c>
      <c r="C2586" s="338" t="s">
        <v>144</v>
      </c>
      <c r="D2586" s="310" t="s">
        <v>3038</v>
      </c>
      <c r="E2586" s="30" t="s">
        <v>3415</v>
      </c>
      <c r="F2586" s="338" t="s">
        <v>3416</v>
      </c>
      <c r="G2586" s="144" t="s">
        <v>88</v>
      </c>
      <c r="H2586" s="339" t="s">
        <v>3417</v>
      </c>
      <c r="I2586" s="30" t="e">
        <f>VLOOKUP(H2586,'合同高级查询数据-4月返'!A:A,1,FALSE)</f>
        <v>#N/A</v>
      </c>
      <c r="J2586" s="339" t="s">
        <v>2423</v>
      </c>
      <c r="K2586" s="144" t="s">
        <v>3410</v>
      </c>
      <c r="L2586" s="144" t="s">
        <v>3448</v>
      </c>
      <c r="M2586" s="315" t="s">
        <v>3445</v>
      </c>
      <c r="N2586" s="143">
        <v>44903</v>
      </c>
      <c r="O2586" s="143" t="s">
        <v>1535</v>
      </c>
      <c r="P2586" s="343">
        <v>4000</v>
      </c>
      <c r="Q2586" s="343">
        <v>-5</v>
      </c>
      <c r="R2586" s="348">
        <f t="shared" si="78"/>
        <v>-20000</v>
      </c>
      <c r="S2586" s="322">
        <v>202304</v>
      </c>
      <c r="T2586" s="349" t="s">
        <v>3451</v>
      </c>
      <c r="U2586" s="349"/>
      <c r="V2586" s="323"/>
      <c r="W2586" s="323"/>
      <c r="X2586" s="193">
        <v>44927</v>
      </c>
      <c r="Y2586" s="193"/>
    </row>
    <row r="2587" s="3" customFormat="1" customHeight="1" spans="1:25">
      <c r="A2587" s="338" t="s">
        <v>446</v>
      </c>
      <c r="B2587" s="310" t="s">
        <v>3037</v>
      </c>
      <c r="C2587" s="338" t="s">
        <v>144</v>
      </c>
      <c r="D2587" s="310" t="s">
        <v>3038</v>
      </c>
      <c r="E2587" s="30" t="s">
        <v>3415</v>
      </c>
      <c r="F2587" s="338" t="s">
        <v>3416</v>
      </c>
      <c r="G2587" s="144" t="s">
        <v>88</v>
      </c>
      <c r="H2587" s="339" t="s">
        <v>3417</v>
      </c>
      <c r="I2587" s="30" t="e">
        <f>VLOOKUP(H2587,'合同高级查询数据-4月返'!A:A,1,FALSE)</f>
        <v>#N/A</v>
      </c>
      <c r="J2587" s="339" t="s">
        <v>2423</v>
      </c>
      <c r="K2587" s="144" t="s">
        <v>3410</v>
      </c>
      <c r="L2587" s="144" t="s">
        <v>3452</v>
      </c>
      <c r="M2587" s="315" t="s">
        <v>3445</v>
      </c>
      <c r="N2587" s="143">
        <v>44923</v>
      </c>
      <c r="O2587" s="143" t="s">
        <v>1535</v>
      </c>
      <c r="P2587" s="343">
        <v>4000</v>
      </c>
      <c r="Q2587" s="343">
        <v>5</v>
      </c>
      <c r="R2587" s="348">
        <f t="shared" si="78"/>
        <v>20000</v>
      </c>
      <c r="S2587" s="322">
        <v>202304</v>
      </c>
      <c r="T2587" s="349" t="s">
        <v>3453</v>
      </c>
      <c r="U2587" s="349"/>
      <c r="V2587" s="323"/>
      <c r="W2587" s="323"/>
      <c r="X2587" s="193">
        <v>44927</v>
      </c>
      <c r="Y2587" s="193"/>
    </row>
    <row r="2588" s="3" customFormat="1" customHeight="1" spans="1:25">
      <c r="A2588" s="338" t="s">
        <v>446</v>
      </c>
      <c r="B2588" s="310" t="s">
        <v>3037</v>
      </c>
      <c r="C2588" s="338" t="s">
        <v>144</v>
      </c>
      <c r="D2588" s="310" t="s">
        <v>3038</v>
      </c>
      <c r="E2588" s="30" t="s">
        <v>3415</v>
      </c>
      <c r="F2588" s="338" t="s">
        <v>3416</v>
      </c>
      <c r="G2588" s="144" t="s">
        <v>31</v>
      </c>
      <c r="H2588" s="339" t="s">
        <v>3417</v>
      </c>
      <c r="I2588" s="30" t="e">
        <f>VLOOKUP(H2588,'合同高级查询数据-4月返'!A:A,1,FALSE)</f>
        <v>#N/A</v>
      </c>
      <c r="J2588" s="140" t="s">
        <v>3189</v>
      </c>
      <c r="K2588" s="144" t="s">
        <v>3454</v>
      </c>
      <c r="L2588" s="144" t="s">
        <v>3455</v>
      </c>
      <c r="M2588" s="315" t="s">
        <v>3445</v>
      </c>
      <c r="N2588" s="143" t="s">
        <v>3446</v>
      </c>
      <c r="O2588" s="143"/>
      <c r="P2588" s="345">
        <v>0</v>
      </c>
      <c r="Q2588" s="345">
        <v>576</v>
      </c>
      <c r="R2588" s="348">
        <f t="shared" si="78"/>
        <v>0</v>
      </c>
      <c r="S2588" s="322">
        <v>202304</v>
      </c>
      <c r="T2588" s="350" t="s">
        <v>3456</v>
      </c>
      <c r="U2588" s="349"/>
      <c r="V2588" s="323"/>
      <c r="W2588" s="323"/>
      <c r="X2588" s="193">
        <v>44927</v>
      </c>
      <c r="Y2588" s="193"/>
    </row>
    <row r="2589" s="3" customFormat="1" customHeight="1" spans="1:25">
      <c r="A2589" s="338" t="s">
        <v>446</v>
      </c>
      <c r="B2589" s="310" t="s">
        <v>3037</v>
      </c>
      <c r="C2589" s="338" t="s">
        <v>144</v>
      </c>
      <c r="D2589" s="310" t="s">
        <v>3038</v>
      </c>
      <c r="E2589" s="30" t="s">
        <v>3415</v>
      </c>
      <c r="F2589" s="338" t="s">
        <v>3416</v>
      </c>
      <c r="G2589" s="144" t="s">
        <v>31</v>
      </c>
      <c r="H2589" s="339" t="s">
        <v>3417</v>
      </c>
      <c r="I2589" s="30" t="e">
        <f>VLOOKUP(H2589,'合同高级查询数据-4月返'!A:A,1,FALSE)</f>
        <v>#N/A</v>
      </c>
      <c r="J2589" s="140" t="s">
        <v>3189</v>
      </c>
      <c r="K2589" s="144" t="s">
        <v>3410</v>
      </c>
      <c r="L2589" s="144" t="s">
        <v>3448</v>
      </c>
      <c r="M2589" s="315" t="s">
        <v>3445</v>
      </c>
      <c r="N2589" s="143">
        <v>44712</v>
      </c>
      <c r="O2589" s="143"/>
      <c r="P2589" s="345">
        <v>0</v>
      </c>
      <c r="Q2589" s="345">
        <v>-288</v>
      </c>
      <c r="R2589" s="348">
        <f t="shared" si="78"/>
        <v>0</v>
      </c>
      <c r="S2589" s="322">
        <v>202304</v>
      </c>
      <c r="T2589" s="349" t="s">
        <v>3457</v>
      </c>
      <c r="U2589" s="349"/>
      <c r="V2589" s="323"/>
      <c r="W2589" s="323"/>
      <c r="X2589" s="193">
        <v>44927</v>
      </c>
      <c r="Y2589" s="193"/>
    </row>
    <row r="2590" s="3" customFormat="1" customHeight="1" spans="1:25">
      <c r="A2590" s="338" t="s">
        <v>446</v>
      </c>
      <c r="B2590" s="310" t="s">
        <v>3037</v>
      </c>
      <c r="C2590" s="338" t="s">
        <v>144</v>
      </c>
      <c r="D2590" s="310" t="s">
        <v>3038</v>
      </c>
      <c r="E2590" s="30" t="s">
        <v>3415</v>
      </c>
      <c r="F2590" s="338" t="s">
        <v>3416</v>
      </c>
      <c r="G2590" s="144" t="s">
        <v>31</v>
      </c>
      <c r="H2590" s="339" t="s">
        <v>3417</v>
      </c>
      <c r="I2590" s="30" t="e">
        <f>VLOOKUP(H2590,'合同高级查询数据-4月返'!A:A,1,FALSE)</f>
        <v>#N/A</v>
      </c>
      <c r="J2590" s="140" t="s">
        <v>3189</v>
      </c>
      <c r="K2590" s="144" t="s">
        <v>3410</v>
      </c>
      <c r="L2590" s="144" t="s">
        <v>3458</v>
      </c>
      <c r="M2590" s="315" t="s">
        <v>3445</v>
      </c>
      <c r="N2590" s="143">
        <v>44895</v>
      </c>
      <c r="O2590" s="143"/>
      <c r="P2590" s="345">
        <v>0</v>
      </c>
      <c r="Q2590" s="345">
        <v>-256</v>
      </c>
      <c r="R2590" s="348">
        <f t="shared" si="78"/>
        <v>0</v>
      </c>
      <c r="S2590" s="322">
        <v>202304</v>
      </c>
      <c r="T2590" s="349" t="s">
        <v>3459</v>
      </c>
      <c r="U2590" s="349"/>
      <c r="V2590" s="323"/>
      <c r="W2590" s="323"/>
      <c r="X2590" s="193">
        <v>44927</v>
      </c>
      <c r="Y2590" s="193"/>
    </row>
    <row r="2591" s="3" customFormat="1" customHeight="1" spans="1:25">
      <c r="A2591" s="338" t="s">
        <v>446</v>
      </c>
      <c r="B2591" s="310" t="s">
        <v>3037</v>
      </c>
      <c r="C2591" s="338" t="s">
        <v>144</v>
      </c>
      <c r="D2591" s="310" t="s">
        <v>3038</v>
      </c>
      <c r="E2591" s="30" t="s">
        <v>3415</v>
      </c>
      <c r="F2591" s="338" t="s">
        <v>3416</v>
      </c>
      <c r="G2591" s="144" t="s">
        <v>31</v>
      </c>
      <c r="H2591" s="339" t="s">
        <v>3417</v>
      </c>
      <c r="I2591" s="30" t="e">
        <f>VLOOKUP(H2591,'合同高级查询数据-4月返'!A:A,1,FALSE)</f>
        <v>#N/A</v>
      </c>
      <c r="J2591" s="140" t="s">
        <v>3189</v>
      </c>
      <c r="K2591" s="144" t="s">
        <v>3410</v>
      </c>
      <c r="L2591" s="144" t="s">
        <v>3458</v>
      </c>
      <c r="M2591" s="315" t="s">
        <v>3445</v>
      </c>
      <c r="N2591" s="143">
        <v>45028</v>
      </c>
      <c r="O2591" s="143"/>
      <c r="P2591" s="345">
        <v>0</v>
      </c>
      <c r="Q2591" s="345">
        <v>-32</v>
      </c>
      <c r="R2591" s="348">
        <f t="shared" si="78"/>
        <v>0</v>
      </c>
      <c r="S2591" s="322">
        <v>202304</v>
      </c>
      <c r="T2591" s="349" t="s">
        <v>3460</v>
      </c>
      <c r="U2591" s="349"/>
      <c r="V2591" s="323"/>
      <c r="W2591" s="323"/>
      <c r="X2591" s="193">
        <v>44927</v>
      </c>
      <c r="Y2591" s="193"/>
    </row>
    <row r="2592" s="3" customFormat="1" customHeight="1" spans="1:25">
      <c r="A2592" s="338" t="s">
        <v>446</v>
      </c>
      <c r="B2592" s="310" t="s">
        <v>3037</v>
      </c>
      <c r="C2592" s="338" t="s">
        <v>144</v>
      </c>
      <c r="D2592" s="310" t="s">
        <v>3038</v>
      </c>
      <c r="E2592" s="30" t="s">
        <v>3415</v>
      </c>
      <c r="F2592" s="338" t="s">
        <v>3416</v>
      </c>
      <c r="G2592" s="144" t="s">
        <v>31</v>
      </c>
      <c r="H2592" s="339" t="s">
        <v>3417</v>
      </c>
      <c r="I2592" s="30" t="e">
        <f>VLOOKUP(H2592,'合同高级查询数据-4月返'!A:A,1,FALSE)</f>
        <v>#N/A</v>
      </c>
      <c r="J2592" s="140" t="s">
        <v>3189</v>
      </c>
      <c r="K2592" s="144" t="s">
        <v>3410</v>
      </c>
      <c r="L2592" s="144" t="s">
        <v>3452</v>
      </c>
      <c r="M2592" s="315" t="s">
        <v>3445</v>
      </c>
      <c r="N2592" s="143">
        <v>44927</v>
      </c>
      <c r="O2592" s="143"/>
      <c r="P2592" s="345">
        <v>0</v>
      </c>
      <c r="Q2592" s="345">
        <v>160</v>
      </c>
      <c r="R2592" s="348">
        <f t="shared" si="78"/>
        <v>0</v>
      </c>
      <c r="S2592" s="322">
        <v>202304</v>
      </c>
      <c r="T2592" s="349" t="s">
        <v>3461</v>
      </c>
      <c r="U2592" s="349"/>
      <c r="V2592" s="323"/>
      <c r="W2592" s="323"/>
      <c r="X2592" s="193">
        <v>44927</v>
      </c>
      <c r="Y2592" s="193"/>
    </row>
    <row r="2593" s="3" customFormat="1" customHeight="1" spans="1:25">
      <c r="A2593" s="338" t="s">
        <v>446</v>
      </c>
      <c r="B2593" s="310" t="s">
        <v>3037</v>
      </c>
      <c r="C2593" s="338" t="s">
        <v>144</v>
      </c>
      <c r="D2593" s="310" t="s">
        <v>3038</v>
      </c>
      <c r="E2593" s="30" t="s">
        <v>3415</v>
      </c>
      <c r="F2593" s="338" t="s">
        <v>3416</v>
      </c>
      <c r="G2593" s="144" t="s">
        <v>88</v>
      </c>
      <c r="H2593" s="339" t="s">
        <v>3417</v>
      </c>
      <c r="I2593" s="30" t="e">
        <f>VLOOKUP(H2593,'合同高级查询数据-4月返'!A:A,1,FALSE)</f>
        <v>#N/A</v>
      </c>
      <c r="J2593" s="339" t="s">
        <v>2423</v>
      </c>
      <c r="K2593" s="144" t="s">
        <v>3462</v>
      </c>
      <c r="L2593" s="144"/>
      <c r="M2593" s="315" t="s">
        <v>3445</v>
      </c>
      <c r="N2593" s="143">
        <v>43516</v>
      </c>
      <c r="O2593" s="143" t="s">
        <v>1535</v>
      </c>
      <c r="P2593" s="343">
        <v>4000</v>
      </c>
      <c r="Q2593" s="343">
        <v>7</v>
      </c>
      <c r="R2593" s="348">
        <f t="shared" si="78"/>
        <v>28000</v>
      </c>
      <c r="S2593" s="322">
        <v>202304</v>
      </c>
      <c r="T2593" s="349" t="s">
        <v>3463</v>
      </c>
      <c r="U2593" s="349"/>
      <c r="V2593" s="323"/>
      <c r="W2593" s="323"/>
      <c r="X2593" s="193">
        <v>44927</v>
      </c>
      <c r="Y2593" s="193"/>
    </row>
    <row r="2594" s="3" customFormat="1" customHeight="1" spans="1:25">
      <c r="A2594" s="338" t="s">
        <v>446</v>
      </c>
      <c r="B2594" s="310" t="s">
        <v>3037</v>
      </c>
      <c r="C2594" s="338" t="s">
        <v>144</v>
      </c>
      <c r="D2594" s="310" t="s">
        <v>3038</v>
      </c>
      <c r="E2594" s="30" t="s">
        <v>3415</v>
      </c>
      <c r="F2594" s="338" t="s">
        <v>3416</v>
      </c>
      <c r="G2594" s="144" t="s">
        <v>88</v>
      </c>
      <c r="H2594" s="339" t="s">
        <v>3417</v>
      </c>
      <c r="I2594" s="30" t="e">
        <f>VLOOKUP(H2594,'合同高级查询数据-4月返'!A:A,1,FALSE)</f>
        <v>#N/A</v>
      </c>
      <c r="J2594" s="339" t="s">
        <v>2423</v>
      </c>
      <c r="K2594" s="144" t="s">
        <v>3464</v>
      </c>
      <c r="L2594" s="144"/>
      <c r="M2594" s="315" t="s">
        <v>3445</v>
      </c>
      <c r="N2594" s="143">
        <v>44075</v>
      </c>
      <c r="O2594" s="143" t="s">
        <v>1535</v>
      </c>
      <c r="P2594" s="343">
        <v>4000</v>
      </c>
      <c r="Q2594" s="343">
        <v>5</v>
      </c>
      <c r="R2594" s="348">
        <f t="shared" si="78"/>
        <v>20000</v>
      </c>
      <c r="S2594" s="322">
        <v>202304</v>
      </c>
      <c r="T2594" s="349" t="s">
        <v>3465</v>
      </c>
      <c r="U2594" s="349"/>
      <c r="V2594" s="323"/>
      <c r="W2594" s="323"/>
      <c r="X2594" s="193">
        <v>44927</v>
      </c>
      <c r="Y2594" s="193"/>
    </row>
    <row r="2595" s="3" customFormat="1" customHeight="1" spans="1:25">
      <c r="A2595" s="338" t="s">
        <v>446</v>
      </c>
      <c r="B2595" s="310" t="s">
        <v>3037</v>
      </c>
      <c r="C2595" s="338" t="s">
        <v>144</v>
      </c>
      <c r="D2595" s="310" t="s">
        <v>3038</v>
      </c>
      <c r="E2595" s="30" t="s">
        <v>3415</v>
      </c>
      <c r="F2595" s="338" t="s">
        <v>3416</v>
      </c>
      <c r="G2595" s="144" t="s">
        <v>88</v>
      </c>
      <c r="H2595" s="339" t="s">
        <v>3417</v>
      </c>
      <c r="I2595" s="30" t="e">
        <f>VLOOKUP(H2595,'合同高级查询数据-4月返'!A:A,1,FALSE)</f>
        <v>#N/A</v>
      </c>
      <c r="J2595" s="339" t="s">
        <v>2423</v>
      </c>
      <c r="K2595" s="144" t="s">
        <v>3466</v>
      </c>
      <c r="L2595" s="144"/>
      <c r="M2595" s="315" t="s">
        <v>3467</v>
      </c>
      <c r="N2595" s="143">
        <v>44606</v>
      </c>
      <c r="O2595" s="143" t="s">
        <v>1535</v>
      </c>
      <c r="P2595" s="343">
        <v>4000</v>
      </c>
      <c r="Q2595" s="343">
        <v>1</v>
      </c>
      <c r="R2595" s="348">
        <f t="shared" si="78"/>
        <v>4000</v>
      </c>
      <c r="S2595" s="322">
        <v>202304</v>
      </c>
      <c r="T2595" s="349" t="s">
        <v>3468</v>
      </c>
      <c r="U2595" s="349"/>
      <c r="V2595" s="323"/>
      <c r="W2595" s="323"/>
      <c r="X2595" s="193">
        <v>44927</v>
      </c>
      <c r="Y2595" s="193"/>
    </row>
    <row r="2596" s="3" customFormat="1" customHeight="1" spans="1:25">
      <c r="A2596" s="338" t="s">
        <v>446</v>
      </c>
      <c r="B2596" s="310" t="s">
        <v>3037</v>
      </c>
      <c r="C2596" s="338" t="s">
        <v>144</v>
      </c>
      <c r="D2596" s="310" t="s">
        <v>3038</v>
      </c>
      <c r="E2596" s="30" t="s">
        <v>3415</v>
      </c>
      <c r="F2596" s="338" t="s">
        <v>3416</v>
      </c>
      <c r="G2596" s="144" t="s">
        <v>31</v>
      </c>
      <c r="H2596" s="339" t="s">
        <v>3417</v>
      </c>
      <c r="I2596" s="30" t="e">
        <f>VLOOKUP(H2596,'合同高级查询数据-4月返'!A:A,1,FALSE)</f>
        <v>#N/A</v>
      </c>
      <c r="J2596" s="140" t="s">
        <v>3189</v>
      </c>
      <c r="K2596" s="144" t="s">
        <v>3462</v>
      </c>
      <c r="L2596" s="144"/>
      <c r="M2596" s="315" t="s">
        <v>3445</v>
      </c>
      <c r="N2596" s="143">
        <v>43516</v>
      </c>
      <c r="O2596" s="143"/>
      <c r="P2596" s="343">
        <v>0</v>
      </c>
      <c r="Q2596" s="343">
        <v>288</v>
      </c>
      <c r="R2596" s="348">
        <f t="shared" si="78"/>
        <v>0</v>
      </c>
      <c r="S2596" s="322">
        <v>202304</v>
      </c>
      <c r="T2596" s="349" t="s">
        <v>3469</v>
      </c>
      <c r="U2596" s="349"/>
      <c r="V2596" s="323"/>
      <c r="W2596" s="323"/>
      <c r="X2596" s="193">
        <v>44927</v>
      </c>
      <c r="Y2596" s="193"/>
    </row>
    <row r="2597" s="3" customFormat="1" customHeight="1" spans="1:25">
      <c r="A2597" s="338" t="s">
        <v>446</v>
      </c>
      <c r="B2597" s="310" t="s">
        <v>3037</v>
      </c>
      <c r="C2597" s="338" t="s">
        <v>144</v>
      </c>
      <c r="D2597" s="310" t="s">
        <v>3038</v>
      </c>
      <c r="E2597" s="30" t="s">
        <v>3415</v>
      </c>
      <c r="F2597" s="338" t="s">
        <v>3416</v>
      </c>
      <c r="G2597" s="144" t="s">
        <v>31</v>
      </c>
      <c r="H2597" s="339" t="s">
        <v>3417</v>
      </c>
      <c r="I2597" s="30" t="e">
        <f>VLOOKUP(H2597,'合同高级查询数据-4月返'!A:A,1,FALSE)</f>
        <v>#N/A</v>
      </c>
      <c r="J2597" s="339" t="s">
        <v>3189</v>
      </c>
      <c r="K2597" s="144" t="s">
        <v>3464</v>
      </c>
      <c r="L2597" s="144"/>
      <c r="M2597" s="315" t="s">
        <v>3467</v>
      </c>
      <c r="N2597" s="143">
        <v>44075</v>
      </c>
      <c r="O2597" s="143"/>
      <c r="P2597" s="343">
        <v>0</v>
      </c>
      <c r="Q2597" s="343">
        <v>288</v>
      </c>
      <c r="R2597" s="348">
        <f t="shared" si="78"/>
        <v>0</v>
      </c>
      <c r="S2597" s="322">
        <v>202304</v>
      </c>
      <c r="T2597" s="349" t="s">
        <v>3470</v>
      </c>
      <c r="U2597" s="349"/>
      <c r="V2597" s="323"/>
      <c r="W2597" s="323"/>
      <c r="X2597" s="193">
        <v>44927</v>
      </c>
      <c r="Y2597" s="193"/>
    </row>
    <row r="2598" s="3" customFormat="1" customHeight="1" spans="1:25">
      <c r="A2598" s="338" t="s">
        <v>446</v>
      </c>
      <c r="B2598" s="310" t="s">
        <v>3037</v>
      </c>
      <c r="C2598" s="338" t="s">
        <v>144</v>
      </c>
      <c r="D2598" s="310" t="s">
        <v>3038</v>
      </c>
      <c r="E2598" s="30" t="s">
        <v>3415</v>
      </c>
      <c r="F2598" s="338" t="s">
        <v>3416</v>
      </c>
      <c r="G2598" s="144" t="s">
        <v>88</v>
      </c>
      <c r="H2598" s="339" t="s">
        <v>3417</v>
      </c>
      <c r="I2598" s="30" t="e">
        <f>VLOOKUP(H2598,'合同高级查询数据-4月返'!A:A,1,FALSE)</f>
        <v>#N/A</v>
      </c>
      <c r="J2598" s="339" t="s">
        <v>2423</v>
      </c>
      <c r="K2598" s="144" t="s">
        <v>3471</v>
      </c>
      <c r="L2598" s="144"/>
      <c r="M2598" s="315" t="s">
        <v>3472</v>
      </c>
      <c r="N2598" s="143">
        <v>43384</v>
      </c>
      <c r="O2598" s="143" t="s">
        <v>1535</v>
      </c>
      <c r="P2598" s="343">
        <v>4000</v>
      </c>
      <c r="Q2598" s="343">
        <v>9</v>
      </c>
      <c r="R2598" s="348">
        <f t="shared" si="78"/>
        <v>36000</v>
      </c>
      <c r="S2598" s="322">
        <v>202304</v>
      </c>
      <c r="T2598" s="349" t="s">
        <v>3473</v>
      </c>
      <c r="U2598" s="349"/>
      <c r="V2598" s="323"/>
      <c r="W2598" s="323"/>
      <c r="X2598" s="193">
        <v>44927</v>
      </c>
      <c r="Y2598" s="193"/>
    </row>
    <row r="2599" s="3" customFormat="1" customHeight="1" spans="1:25">
      <c r="A2599" s="338" t="s">
        <v>446</v>
      </c>
      <c r="B2599" s="310" t="s">
        <v>3037</v>
      </c>
      <c r="C2599" s="338" t="s">
        <v>144</v>
      </c>
      <c r="D2599" s="310" t="s">
        <v>3038</v>
      </c>
      <c r="E2599" s="30" t="s">
        <v>3415</v>
      </c>
      <c r="F2599" s="338" t="s">
        <v>3416</v>
      </c>
      <c r="G2599" s="144" t="s">
        <v>88</v>
      </c>
      <c r="H2599" s="339" t="s">
        <v>3417</v>
      </c>
      <c r="I2599" s="30" t="e">
        <f>VLOOKUP(H2599,'合同高级查询数据-4月返'!A:A,1,FALSE)</f>
        <v>#N/A</v>
      </c>
      <c r="J2599" s="339" t="s">
        <v>2423</v>
      </c>
      <c r="K2599" s="144" t="s">
        <v>3471</v>
      </c>
      <c r="L2599" s="144"/>
      <c r="M2599" s="315" t="s">
        <v>3472</v>
      </c>
      <c r="N2599" s="143">
        <v>44681</v>
      </c>
      <c r="O2599" s="143" t="s">
        <v>1535</v>
      </c>
      <c r="P2599" s="343">
        <v>4000</v>
      </c>
      <c r="Q2599" s="343">
        <v>-4</v>
      </c>
      <c r="R2599" s="348">
        <f t="shared" si="78"/>
        <v>-16000</v>
      </c>
      <c r="S2599" s="322">
        <v>202304</v>
      </c>
      <c r="T2599" s="349" t="s">
        <v>3474</v>
      </c>
      <c r="U2599" s="349"/>
      <c r="V2599" s="323"/>
      <c r="W2599" s="323"/>
      <c r="X2599" s="193">
        <v>44927</v>
      </c>
      <c r="Y2599" s="193"/>
    </row>
    <row r="2600" s="3" customFormat="1" customHeight="1" spans="1:25">
      <c r="A2600" s="338" t="s">
        <v>446</v>
      </c>
      <c r="B2600" s="310" t="s">
        <v>3037</v>
      </c>
      <c r="C2600" s="338" t="s">
        <v>144</v>
      </c>
      <c r="D2600" s="310" t="s">
        <v>3038</v>
      </c>
      <c r="E2600" s="30" t="s">
        <v>3415</v>
      </c>
      <c r="F2600" s="338" t="s">
        <v>3416</v>
      </c>
      <c r="G2600" s="144" t="s">
        <v>88</v>
      </c>
      <c r="H2600" s="339" t="s">
        <v>3417</v>
      </c>
      <c r="I2600" s="30" t="e">
        <f>VLOOKUP(H2600,'合同高级查询数据-4月返'!A:A,1,FALSE)</f>
        <v>#N/A</v>
      </c>
      <c r="J2600" s="339" t="s">
        <v>2423</v>
      </c>
      <c r="K2600" s="144" t="s">
        <v>3471</v>
      </c>
      <c r="L2600" s="144"/>
      <c r="M2600" s="315" t="s">
        <v>3472</v>
      </c>
      <c r="N2600" s="143">
        <v>44712</v>
      </c>
      <c r="O2600" s="143" t="s">
        <v>1535</v>
      </c>
      <c r="P2600" s="343">
        <v>4000</v>
      </c>
      <c r="Q2600" s="343">
        <v>-5</v>
      </c>
      <c r="R2600" s="348">
        <f t="shared" si="78"/>
        <v>-20000</v>
      </c>
      <c r="S2600" s="322">
        <v>202304</v>
      </c>
      <c r="T2600" s="349" t="s">
        <v>3475</v>
      </c>
      <c r="U2600" s="349"/>
      <c r="V2600" s="323"/>
      <c r="W2600" s="323"/>
      <c r="X2600" s="193">
        <v>44927</v>
      </c>
      <c r="Y2600" s="193"/>
    </row>
    <row r="2601" s="3" customFormat="1" customHeight="1" spans="1:25">
      <c r="A2601" s="338" t="s">
        <v>446</v>
      </c>
      <c r="B2601" s="310" t="s">
        <v>3037</v>
      </c>
      <c r="C2601" s="338" t="s">
        <v>144</v>
      </c>
      <c r="D2601" s="310" t="s">
        <v>3038</v>
      </c>
      <c r="E2601" s="30" t="s">
        <v>3415</v>
      </c>
      <c r="F2601" s="338" t="s">
        <v>3416</v>
      </c>
      <c r="G2601" s="144" t="s">
        <v>31</v>
      </c>
      <c r="H2601" s="339" t="s">
        <v>3417</v>
      </c>
      <c r="I2601" s="30" t="e">
        <f>VLOOKUP(H2601,'合同高级查询数据-4月返'!A:A,1,FALSE)</f>
        <v>#N/A</v>
      </c>
      <c r="J2601" s="140" t="s">
        <v>3189</v>
      </c>
      <c r="K2601" s="144" t="s">
        <v>3471</v>
      </c>
      <c r="L2601" s="144"/>
      <c r="M2601" s="315"/>
      <c r="N2601" s="143">
        <v>43384</v>
      </c>
      <c r="O2601" s="143"/>
      <c r="P2601" s="343">
        <v>0</v>
      </c>
      <c r="Q2601" s="343">
        <v>544</v>
      </c>
      <c r="R2601" s="348">
        <f t="shared" si="78"/>
        <v>0</v>
      </c>
      <c r="S2601" s="322">
        <v>202304</v>
      </c>
      <c r="T2601" s="349" t="s">
        <v>3476</v>
      </c>
      <c r="U2601" s="349"/>
      <c r="V2601" s="323"/>
      <c r="W2601" s="323"/>
      <c r="X2601" s="193">
        <v>44927</v>
      </c>
      <c r="Y2601" s="193"/>
    </row>
    <row r="2602" s="3" customFormat="1" customHeight="1" spans="1:25">
      <c r="A2602" s="338" t="s">
        <v>446</v>
      </c>
      <c r="B2602" s="310" t="s">
        <v>3037</v>
      </c>
      <c r="C2602" s="338" t="s">
        <v>144</v>
      </c>
      <c r="D2602" s="310" t="s">
        <v>3038</v>
      </c>
      <c r="E2602" s="30" t="s">
        <v>3415</v>
      </c>
      <c r="F2602" s="338" t="s">
        <v>3416</v>
      </c>
      <c r="G2602" s="144" t="s">
        <v>31</v>
      </c>
      <c r="H2602" s="339" t="s">
        <v>3417</v>
      </c>
      <c r="I2602" s="30" t="e">
        <f>VLOOKUP(H2602,'合同高级查询数据-4月返'!A:A,1,FALSE)</f>
        <v>#N/A</v>
      </c>
      <c r="J2602" s="140" t="s">
        <v>3189</v>
      </c>
      <c r="K2602" s="144" t="s">
        <v>3471</v>
      </c>
      <c r="L2602" s="144"/>
      <c r="M2602" s="315"/>
      <c r="N2602" s="143">
        <v>44712</v>
      </c>
      <c r="O2602" s="143"/>
      <c r="P2602" s="343">
        <v>0</v>
      </c>
      <c r="Q2602" s="343">
        <v>-544</v>
      </c>
      <c r="R2602" s="348">
        <f t="shared" si="78"/>
        <v>0</v>
      </c>
      <c r="S2602" s="322">
        <v>202304</v>
      </c>
      <c r="T2602" s="349" t="s">
        <v>3477</v>
      </c>
      <c r="U2602" s="349"/>
      <c r="V2602" s="323"/>
      <c r="W2602" s="323"/>
      <c r="X2602" s="193">
        <v>44927</v>
      </c>
      <c r="Y2602" s="193"/>
    </row>
    <row r="2603" s="3" customFormat="1" customHeight="1" spans="1:25">
      <c r="A2603" s="338" t="s">
        <v>446</v>
      </c>
      <c r="B2603" s="310" t="s">
        <v>3037</v>
      </c>
      <c r="C2603" s="338" t="s">
        <v>144</v>
      </c>
      <c r="D2603" s="310" t="s">
        <v>3038</v>
      </c>
      <c r="E2603" s="30" t="s">
        <v>3415</v>
      </c>
      <c r="F2603" s="338" t="s">
        <v>3416</v>
      </c>
      <c r="G2603" s="144" t="s">
        <v>88</v>
      </c>
      <c r="H2603" s="339" t="s">
        <v>3417</v>
      </c>
      <c r="I2603" s="30" t="e">
        <f>VLOOKUP(H2603,'合同高级查询数据-4月返'!A:A,1,FALSE)</f>
        <v>#N/A</v>
      </c>
      <c r="J2603" s="339" t="s">
        <v>2423</v>
      </c>
      <c r="K2603" s="144" t="s">
        <v>3433</v>
      </c>
      <c r="L2603" s="144"/>
      <c r="M2603" s="315" t="s">
        <v>3434</v>
      </c>
      <c r="N2603" s="143">
        <v>43810</v>
      </c>
      <c r="O2603" s="143" t="s">
        <v>1535</v>
      </c>
      <c r="P2603" s="343">
        <v>4000</v>
      </c>
      <c r="Q2603" s="343">
        <v>2</v>
      </c>
      <c r="R2603" s="348">
        <f t="shared" si="78"/>
        <v>8000</v>
      </c>
      <c r="S2603" s="322">
        <v>202304</v>
      </c>
      <c r="T2603" s="349" t="s">
        <v>3478</v>
      </c>
      <c r="U2603" s="349"/>
      <c r="V2603" s="323"/>
      <c r="W2603" s="323"/>
      <c r="X2603" s="193">
        <v>44927</v>
      </c>
      <c r="Y2603" s="193"/>
    </row>
    <row r="2604" s="3" customFormat="1" customHeight="1" spans="1:25">
      <c r="A2604" s="338" t="s">
        <v>446</v>
      </c>
      <c r="B2604" s="310" t="s">
        <v>3037</v>
      </c>
      <c r="C2604" s="338" t="s">
        <v>144</v>
      </c>
      <c r="D2604" s="310" t="s">
        <v>3038</v>
      </c>
      <c r="E2604" s="30" t="s">
        <v>3415</v>
      </c>
      <c r="F2604" s="338" t="s">
        <v>3416</v>
      </c>
      <c r="G2604" s="144" t="s">
        <v>88</v>
      </c>
      <c r="H2604" s="339" t="s">
        <v>3417</v>
      </c>
      <c r="I2604" s="30" t="e">
        <f>VLOOKUP(H2604,'合同高级查询数据-4月返'!A:A,1,FALSE)</f>
        <v>#N/A</v>
      </c>
      <c r="J2604" s="339" t="s">
        <v>2423</v>
      </c>
      <c r="K2604" s="144" t="s">
        <v>3433</v>
      </c>
      <c r="L2604" s="144"/>
      <c r="M2604" s="315" t="s">
        <v>3434</v>
      </c>
      <c r="N2604" s="143">
        <v>44293</v>
      </c>
      <c r="O2604" s="143" t="s">
        <v>1535</v>
      </c>
      <c r="P2604" s="343">
        <v>4000</v>
      </c>
      <c r="Q2604" s="343">
        <v>1</v>
      </c>
      <c r="R2604" s="348">
        <f t="shared" si="78"/>
        <v>4000</v>
      </c>
      <c r="S2604" s="322">
        <v>202304</v>
      </c>
      <c r="T2604" s="349" t="s">
        <v>3479</v>
      </c>
      <c r="U2604" s="349"/>
      <c r="V2604" s="323"/>
      <c r="W2604" s="323"/>
      <c r="X2604" s="193">
        <v>44927</v>
      </c>
      <c r="Y2604" s="193"/>
    </row>
    <row r="2605" s="3" customFormat="1" customHeight="1" spans="1:25">
      <c r="A2605" s="338" t="s">
        <v>446</v>
      </c>
      <c r="B2605" s="310" t="s">
        <v>3037</v>
      </c>
      <c r="C2605" s="338" t="s">
        <v>144</v>
      </c>
      <c r="D2605" s="310" t="s">
        <v>3038</v>
      </c>
      <c r="E2605" s="30" t="s">
        <v>3415</v>
      </c>
      <c r="F2605" s="338" t="s">
        <v>3416</v>
      </c>
      <c r="G2605" s="144" t="s">
        <v>31</v>
      </c>
      <c r="H2605" s="339" t="s">
        <v>3417</v>
      </c>
      <c r="I2605" s="30" t="e">
        <f>VLOOKUP(H2605,'合同高级查询数据-4月返'!A:A,1,FALSE)</f>
        <v>#N/A</v>
      </c>
      <c r="J2605" s="339" t="s">
        <v>3480</v>
      </c>
      <c r="K2605" s="144" t="s">
        <v>3433</v>
      </c>
      <c r="L2605" s="144"/>
      <c r="M2605" s="315" t="s">
        <v>3434</v>
      </c>
      <c r="N2605" s="143">
        <v>44293</v>
      </c>
      <c r="O2605" s="143" t="s">
        <v>37</v>
      </c>
      <c r="P2605" s="343">
        <v>0</v>
      </c>
      <c r="Q2605" s="343">
        <v>128</v>
      </c>
      <c r="R2605" s="348">
        <f t="shared" si="78"/>
        <v>0</v>
      </c>
      <c r="S2605" s="322">
        <v>202304</v>
      </c>
      <c r="T2605" s="349" t="s">
        <v>3481</v>
      </c>
      <c r="U2605" s="349"/>
      <c r="V2605" s="323"/>
      <c r="W2605" s="323"/>
      <c r="X2605" s="193">
        <v>44927</v>
      </c>
      <c r="Y2605" s="193"/>
    </row>
    <row r="2606" s="3" customFormat="1" customHeight="1" spans="1:25">
      <c r="A2606" s="338" t="s">
        <v>446</v>
      </c>
      <c r="B2606" s="310" t="s">
        <v>3037</v>
      </c>
      <c r="C2606" s="338" t="s">
        <v>144</v>
      </c>
      <c r="D2606" s="310" t="s">
        <v>3038</v>
      </c>
      <c r="E2606" s="30" t="s">
        <v>3415</v>
      </c>
      <c r="F2606" s="338" t="s">
        <v>3416</v>
      </c>
      <c r="G2606" s="144" t="s">
        <v>88</v>
      </c>
      <c r="H2606" s="339" t="s">
        <v>3417</v>
      </c>
      <c r="I2606" s="30" t="e">
        <f>VLOOKUP(H2606,'合同高级查询数据-4月返'!A:A,1,FALSE)</f>
        <v>#N/A</v>
      </c>
      <c r="J2606" s="339" t="s">
        <v>2423</v>
      </c>
      <c r="K2606" s="144" t="s">
        <v>3433</v>
      </c>
      <c r="L2606" s="144"/>
      <c r="M2606" s="315" t="s">
        <v>3434</v>
      </c>
      <c r="N2606" s="143">
        <v>44303</v>
      </c>
      <c r="O2606" s="143" t="s">
        <v>1535</v>
      </c>
      <c r="P2606" s="343">
        <v>4000</v>
      </c>
      <c r="Q2606" s="343">
        <v>1</v>
      </c>
      <c r="R2606" s="348">
        <f t="shared" si="78"/>
        <v>4000</v>
      </c>
      <c r="S2606" s="322">
        <v>202304</v>
      </c>
      <c r="T2606" s="349" t="s">
        <v>3482</v>
      </c>
      <c r="U2606" s="349"/>
      <c r="V2606" s="323"/>
      <c r="W2606" s="323"/>
      <c r="X2606" s="193">
        <v>44927</v>
      </c>
      <c r="Y2606" s="193"/>
    </row>
    <row r="2607" s="3" customFormat="1" customHeight="1" spans="1:25">
      <c r="A2607" s="338" t="s">
        <v>446</v>
      </c>
      <c r="B2607" s="310" t="s">
        <v>3037</v>
      </c>
      <c r="C2607" s="338" t="s">
        <v>144</v>
      </c>
      <c r="D2607" s="310" t="s">
        <v>3038</v>
      </c>
      <c r="E2607" s="30" t="s">
        <v>3415</v>
      </c>
      <c r="F2607" s="338" t="s">
        <v>3416</v>
      </c>
      <c r="G2607" s="144" t="s">
        <v>31</v>
      </c>
      <c r="H2607" s="339" t="s">
        <v>3417</v>
      </c>
      <c r="I2607" s="30" t="e">
        <f>VLOOKUP(H2607,'合同高级查询数据-4月返'!A:A,1,FALSE)</f>
        <v>#N/A</v>
      </c>
      <c r="J2607" s="339" t="s">
        <v>3480</v>
      </c>
      <c r="K2607" s="144" t="s">
        <v>3433</v>
      </c>
      <c r="L2607" s="144"/>
      <c r="M2607" s="315" t="s">
        <v>3434</v>
      </c>
      <c r="N2607" s="143">
        <v>44303</v>
      </c>
      <c r="O2607" s="143" t="s">
        <v>37</v>
      </c>
      <c r="P2607" s="343">
        <v>0</v>
      </c>
      <c r="Q2607" s="343">
        <v>128</v>
      </c>
      <c r="R2607" s="348">
        <f t="shared" si="78"/>
        <v>0</v>
      </c>
      <c r="S2607" s="322">
        <v>202304</v>
      </c>
      <c r="T2607" s="349" t="s">
        <v>3483</v>
      </c>
      <c r="U2607" s="349"/>
      <c r="V2607" s="323"/>
      <c r="W2607" s="323"/>
      <c r="X2607" s="193">
        <v>44927</v>
      </c>
      <c r="Y2607" s="193"/>
    </row>
    <row r="2608" s="3" customFormat="1" customHeight="1" spans="1:25">
      <c r="A2608" s="338" t="s">
        <v>446</v>
      </c>
      <c r="B2608" s="310" t="s">
        <v>3037</v>
      </c>
      <c r="C2608" s="338" t="s">
        <v>144</v>
      </c>
      <c r="D2608" s="310" t="s">
        <v>3038</v>
      </c>
      <c r="E2608" s="30" t="s">
        <v>3415</v>
      </c>
      <c r="F2608" s="338" t="s">
        <v>3416</v>
      </c>
      <c r="G2608" s="144" t="s">
        <v>88</v>
      </c>
      <c r="H2608" s="339" t="s">
        <v>3417</v>
      </c>
      <c r="I2608" s="30" t="e">
        <f>VLOOKUP(H2608,'合同高级查询数据-4月返'!A:A,1,FALSE)</f>
        <v>#N/A</v>
      </c>
      <c r="J2608" s="339" t="s">
        <v>2423</v>
      </c>
      <c r="K2608" s="144" t="s">
        <v>3433</v>
      </c>
      <c r="L2608" s="144"/>
      <c r="M2608" s="315" t="s">
        <v>3434</v>
      </c>
      <c r="N2608" s="143">
        <v>44348</v>
      </c>
      <c r="O2608" s="143" t="s">
        <v>1535</v>
      </c>
      <c r="P2608" s="343">
        <v>4000</v>
      </c>
      <c r="Q2608" s="343">
        <v>4</v>
      </c>
      <c r="R2608" s="348">
        <f t="shared" si="78"/>
        <v>16000</v>
      </c>
      <c r="S2608" s="322">
        <v>202304</v>
      </c>
      <c r="T2608" s="349" t="s">
        <v>3484</v>
      </c>
      <c r="U2608" s="349"/>
      <c r="V2608" s="323"/>
      <c r="W2608" s="323"/>
      <c r="X2608" s="193">
        <v>44927</v>
      </c>
      <c r="Y2608" s="193"/>
    </row>
    <row r="2609" s="3" customFormat="1" customHeight="1" spans="1:25">
      <c r="A2609" s="338" t="s">
        <v>446</v>
      </c>
      <c r="B2609" s="310" t="s">
        <v>3037</v>
      </c>
      <c r="C2609" s="338" t="s">
        <v>144</v>
      </c>
      <c r="D2609" s="310" t="s">
        <v>3038</v>
      </c>
      <c r="E2609" s="30" t="s">
        <v>3415</v>
      </c>
      <c r="F2609" s="338" t="s">
        <v>3416</v>
      </c>
      <c r="G2609" s="144" t="s">
        <v>31</v>
      </c>
      <c r="H2609" s="339" t="s">
        <v>3417</v>
      </c>
      <c r="I2609" s="30" t="e">
        <f>VLOOKUP(H2609,'合同高级查询数据-4月返'!A:A,1,FALSE)</f>
        <v>#N/A</v>
      </c>
      <c r="J2609" s="339" t="s">
        <v>3480</v>
      </c>
      <c r="K2609" s="144" t="s">
        <v>3485</v>
      </c>
      <c r="L2609" s="144"/>
      <c r="M2609" s="315" t="s">
        <v>3434</v>
      </c>
      <c r="N2609" s="143">
        <v>44750</v>
      </c>
      <c r="O2609" s="143" t="s">
        <v>37</v>
      </c>
      <c r="P2609" s="343">
        <v>0</v>
      </c>
      <c r="Q2609" s="343">
        <v>128</v>
      </c>
      <c r="R2609" s="348">
        <f t="shared" ref="R2609:R2611" si="79">ROUND(P2609*Q2609,2)</f>
        <v>0</v>
      </c>
      <c r="S2609" s="322">
        <v>202304</v>
      </c>
      <c r="T2609" s="349" t="s">
        <v>3486</v>
      </c>
      <c r="U2609" s="349"/>
      <c r="V2609" s="323"/>
      <c r="W2609" s="323"/>
      <c r="X2609" s="193">
        <v>44927</v>
      </c>
      <c r="Y2609" s="193"/>
    </row>
    <row r="2610" s="3" customFormat="1" customHeight="1" spans="1:25">
      <c r="A2610" s="338" t="s">
        <v>446</v>
      </c>
      <c r="B2610" s="310" t="s">
        <v>3037</v>
      </c>
      <c r="C2610" s="338" t="s">
        <v>144</v>
      </c>
      <c r="D2610" s="310" t="s">
        <v>3038</v>
      </c>
      <c r="E2610" s="30" t="s">
        <v>3415</v>
      </c>
      <c r="F2610" s="338" t="s">
        <v>3416</v>
      </c>
      <c r="G2610" s="144" t="s">
        <v>88</v>
      </c>
      <c r="H2610" s="339" t="s">
        <v>3417</v>
      </c>
      <c r="I2610" s="30" t="e">
        <f>VLOOKUP(H2610,'合同高级查询数据-4月返'!A:A,1,FALSE)</f>
        <v>#N/A</v>
      </c>
      <c r="J2610" s="339" t="s">
        <v>2423</v>
      </c>
      <c r="K2610" s="144" t="s">
        <v>3485</v>
      </c>
      <c r="L2610" s="144"/>
      <c r="M2610" s="315" t="s">
        <v>3434</v>
      </c>
      <c r="N2610" s="143">
        <v>44750</v>
      </c>
      <c r="O2610" s="143" t="s">
        <v>1535</v>
      </c>
      <c r="P2610" s="343">
        <v>4000</v>
      </c>
      <c r="Q2610" s="343">
        <v>2</v>
      </c>
      <c r="R2610" s="348">
        <f t="shared" si="79"/>
        <v>8000</v>
      </c>
      <c r="S2610" s="322">
        <v>202304</v>
      </c>
      <c r="T2610" s="349" t="s">
        <v>3487</v>
      </c>
      <c r="U2610" s="349"/>
      <c r="V2610" s="323"/>
      <c r="W2610" s="323"/>
      <c r="X2610" s="193">
        <v>44927</v>
      </c>
      <c r="Y2610" s="193"/>
    </row>
    <row r="2611" s="3" customFormat="1" customHeight="1" spans="1:25">
      <c r="A2611" s="338" t="s">
        <v>446</v>
      </c>
      <c r="B2611" s="310" t="s">
        <v>3037</v>
      </c>
      <c r="C2611" s="338" t="s">
        <v>144</v>
      </c>
      <c r="D2611" s="310" t="s">
        <v>3038</v>
      </c>
      <c r="E2611" s="30" t="s">
        <v>3415</v>
      </c>
      <c r="F2611" s="338" t="s">
        <v>3416</v>
      </c>
      <c r="G2611" s="144" t="s">
        <v>88</v>
      </c>
      <c r="H2611" s="339" t="s">
        <v>3417</v>
      </c>
      <c r="I2611" s="30" t="e">
        <f>VLOOKUP(H2611,'合同高级查询数据-4月返'!A:A,1,FALSE)</f>
        <v>#N/A</v>
      </c>
      <c r="J2611" s="339" t="s">
        <v>3488</v>
      </c>
      <c r="K2611" s="144" t="s">
        <v>3433</v>
      </c>
      <c r="L2611" s="144"/>
      <c r="M2611" s="315" t="s">
        <v>3434</v>
      </c>
      <c r="N2611" s="143">
        <v>44470</v>
      </c>
      <c r="O2611" s="143" t="s">
        <v>1535</v>
      </c>
      <c r="P2611" s="343">
        <v>4000</v>
      </c>
      <c r="Q2611" s="343">
        <v>1</v>
      </c>
      <c r="R2611" s="348">
        <f t="shared" si="79"/>
        <v>4000</v>
      </c>
      <c r="S2611" s="322">
        <v>202304</v>
      </c>
      <c r="T2611" s="349" t="s">
        <v>3489</v>
      </c>
      <c r="U2611" s="349"/>
      <c r="V2611" s="323"/>
      <c r="W2611" s="323"/>
      <c r="X2611" s="193">
        <v>44927</v>
      </c>
      <c r="Y2611" s="193"/>
    </row>
    <row r="2612" s="5" customFormat="1" customHeight="1" spans="1:25">
      <c r="A2612" s="327" t="s">
        <v>444</v>
      </c>
      <c r="B2612" s="307" t="s">
        <v>3037</v>
      </c>
      <c r="C2612" s="327" t="s">
        <v>144</v>
      </c>
      <c r="D2612" s="307" t="s">
        <v>3038</v>
      </c>
      <c r="E2612" s="46" t="s">
        <v>3490</v>
      </c>
      <c r="F2612" s="327" t="s">
        <v>3491</v>
      </c>
      <c r="G2612" s="340" t="s">
        <v>67</v>
      </c>
      <c r="H2612" s="329" t="s">
        <v>3492</v>
      </c>
      <c r="I2612" s="46" t="e">
        <f>VLOOKUP(H2612,'合同高级查询数据-4月返'!A:A,1,FALSE)</f>
        <v>#N/A</v>
      </c>
      <c r="J2612" s="340" t="s">
        <v>69</v>
      </c>
      <c r="K2612" s="340" t="s">
        <v>3493</v>
      </c>
      <c r="L2612" s="340"/>
      <c r="M2612" s="312"/>
      <c r="N2612" s="265">
        <v>44071</v>
      </c>
      <c r="O2612" s="265" t="s">
        <v>71</v>
      </c>
      <c r="P2612" s="346">
        <v>400</v>
      </c>
      <c r="Q2612" s="346">
        <v>42.3</v>
      </c>
      <c r="R2612" s="351">
        <f t="shared" ref="R2612:R2620" si="80">ROUND(P2612*Q2612,2)</f>
        <v>16920</v>
      </c>
      <c r="S2612" s="319">
        <v>202304</v>
      </c>
      <c r="T2612" s="347" t="s">
        <v>3494</v>
      </c>
      <c r="U2612" s="347"/>
      <c r="V2612" s="320"/>
      <c r="W2612" s="320"/>
      <c r="X2612" s="352">
        <v>44027</v>
      </c>
      <c r="Y2612" s="352">
        <v>45121</v>
      </c>
    </row>
    <row r="2613" s="5" customFormat="1" customHeight="1" spans="1:25">
      <c r="A2613" s="327" t="s">
        <v>444</v>
      </c>
      <c r="B2613" s="307" t="s">
        <v>3037</v>
      </c>
      <c r="C2613" s="327" t="s">
        <v>144</v>
      </c>
      <c r="D2613" s="307" t="s">
        <v>3038</v>
      </c>
      <c r="E2613" s="46" t="s">
        <v>3490</v>
      </c>
      <c r="F2613" s="327" t="s">
        <v>3491</v>
      </c>
      <c r="G2613" s="340" t="s">
        <v>67</v>
      </c>
      <c r="H2613" s="329" t="s">
        <v>3492</v>
      </c>
      <c r="I2613" s="46" t="e">
        <f>VLOOKUP(H2613,'合同高级查询数据-4月返'!A:A,1,FALSE)</f>
        <v>#N/A</v>
      </c>
      <c r="J2613" s="340" t="s">
        <v>69</v>
      </c>
      <c r="K2613" s="340" t="s">
        <v>3493</v>
      </c>
      <c r="L2613" s="340"/>
      <c r="M2613" s="312"/>
      <c r="N2613" s="265">
        <v>44098</v>
      </c>
      <c r="O2613" s="265" t="s">
        <v>2383</v>
      </c>
      <c r="P2613" s="346">
        <v>800</v>
      </c>
      <c r="Q2613" s="346">
        <v>30</v>
      </c>
      <c r="R2613" s="351">
        <f t="shared" si="80"/>
        <v>24000</v>
      </c>
      <c r="S2613" s="319">
        <v>202304</v>
      </c>
      <c r="T2613" s="347" t="s">
        <v>3495</v>
      </c>
      <c r="U2613" s="347"/>
      <c r="V2613" s="320"/>
      <c r="W2613" s="320"/>
      <c r="X2613" s="352">
        <v>44027</v>
      </c>
      <c r="Y2613" s="352">
        <v>45121</v>
      </c>
    </row>
    <row r="2614" s="5" customFormat="1" customHeight="1" spans="1:25">
      <c r="A2614" s="327" t="s">
        <v>444</v>
      </c>
      <c r="B2614" s="307" t="s">
        <v>3037</v>
      </c>
      <c r="C2614" s="327" t="s">
        <v>144</v>
      </c>
      <c r="D2614" s="307" t="s">
        <v>3038</v>
      </c>
      <c r="E2614" s="46" t="s">
        <v>3490</v>
      </c>
      <c r="F2614" s="327" t="s">
        <v>3491</v>
      </c>
      <c r="G2614" s="340" t="s">
        <v>67</v>
      </c>
      <c r="H2614" s="329" t="s">
        <v>3492</v>
      </c>
      <c r="I2614" s="46" t="e">
        <f>VLOOKUP(H2614,'合同高级查询数据-4月返'!A:A,1,FALSE)</f>
        <v>#N/A</v>
      </c>
      <c r="J2614" s="340" t="s">
        <v>69</v>
      </c>
      <c r="K2614" s="340" t="s">
        <v>3496</v>
      </c>
      <c r="L2614" s="340"/>
      <c r="M2614" s="312"/>
      <c r="N2614" s="265">
        <v>44086</v>
      </c>
      <c r="O2614" s="265" t="s">
        <v>71</v>
      </c>
      <c r="P2614" s="346">
        <v>400</v>
      </c>
      <c r="Q2614" s="346">
        <v>79.2</v>
      </c>
      <c r="R2614" s="351">
        <f t="shared" si="80"/>
        <v>31680</v>
      </c>
      <c r="S2614" s="319">
        <v>202304</v>
      </c>
      <c r="T2614" s="347" t="s">
        <v>3497</v>
      </c>
      <c r="U2614" s="347"/>
      <c r="V2614" s="320"/>
      <c r="W2614" s="320"/>
      <c r="X2614" s="352">
        <v>44027</v>
      </c>
      <c r="Y2614" s="352">
        <v>45121</v>
      </c>
    </row>
    <row r="2615" s="5" customFormat="1" customHeight="1" spans="1:25">
      <c r="A2615" s="327" t="s">
        <v>444</v>
      </c>
      <c r="B2615" s="307" t="s">
        <v>3037</v>
      </c>
      <c r="C2615" s="327" t="s">
        <v>144</v>
      </c>
      <c r="D2615" s="307" t="s">
        <v>3038</v>
      </c>
      <c r="E2615" s="46" t="s">
        <v>3490</v>
      </c>
      <c r="F2615" s="327" t="s">
        <v>3491</v>
      </c>
      <c r="G2615" s="340" t="s">
        <v>67</v>
      </c>
      <c r="H2615" s="329" t="s">
        <v>3492</v>
      </c>
      <c r="I2615" s="46" t="e">
        <f>VLOOKUP(H2615,'合同高级查询数据-4月返'!A:A,1,FALSE)</f>
        <v>#N/A</v>
      </c>
      <c r="J2615" s="340" t="s">
        <v>69</v>
      </c>
      <c r="K2615" s="340" t="s">
        <v>3496</v>
      </c>
      <c r="L2615" s="340"/>
      <c r="M2615" s="312"/>
      <c r="N2615" s="265">
        <v>44116</v>
      </c>
      <c r="O2615" s="265" t="s">
        <v>2383</v>
      </c>
      <c r="P2615" s="346">
        <v>800</v>
      </c>
      <c r="Q2615" s="346">
        <v>68</v>
      </c>
      <c r="R2615" s="351">
        <f t="shared" si="80"/>
        <v>54400</v>
      </c>
      <c r="S2615" s="319">
        <v>202304</v>
      </c>
      <c r="T2615" s="347" t="s">
        <v>3498</v>
      </c>
      <c r="U2615" s="347"/>
      <c r="V2615" s="320"/>
      <c r="W2615" s="320"/>
      <c r="X2615" s="352">
        <v>44027</v>
      </c>
      <c r="Y2615" s="352">
        <v>45121</v>
      </c>
    </row>
    <row r="2616" s="5" customFormat="1" customHeight="1" spans="1:25">
      <c r="A2616" s="327" t="s">
        <v>444</v>
      </c>
      <c r="B2616" s="307" t="s">
        <v>3037</v>
      </c>
      <c r="C2616" s="327" t="s">
        <v>144</v>
      </c>
      <c r="D2616" s="307" t="s">
        <v>3038</v>
      </c>
      <c r="E2616" s="46" t="s">
        <v>3490</v>
      </c>
      <c r="F2616" s="327" t="s">
        <v>3491</v>
      </c>
      <c r="G2616" s="340" t="s">
        <v>67</v>
      </c>
      <c r="H2616" s="329" t="s">
        <v>3492</v>
      </c>
      <c r="I2616" s="46" t="e">
        <f>VLOOKUP(H2616,'合同高级查询数据-4月返'!A:A,1,FALSE)</f>
        <v>#N/A</v>
      </c>
      <c r="J2616" s="340" t="s">
        <v>69</v>
      </c>
      <c r="K2616" s="340" t="s">
        <v>3496</v>
      </c>
      <c r="L2616" s="340"/>
      <c r="M2616" s="312"/>
      <c r="N2616" s="265">
        <v>44086</v>
      </c>
      <c r="O2616" s="265" t="s">
        <v>2383</v>
      </c>
      <c r="P2616" s="346">
        <v>800</v>
      </c>
      <c r="Q2616" s="346">
        <v>48.7</v>
      </c>
      <c r="R2616" s="351">
        <f t="shared" si="80"/>
        <v>38960</v>
      </c>
      <c r="S2616" s="319">
        <v>202304</v>
      </c>
      <c r="T2616" s="347" t="s">
        <v>3499</v>
      </c>
      <c r="U2616" s="347"/>
      <c r="V2616" s="320"/>
      <c r="W2616" s="320"/>
      <c r="X2616" s="352">
        <v>44027</v>
      </c>
      <c r="Y2616" s="352">
        <v>45121</v>
      </c>
    </row>
    <row r="2617" s="5" customFormat="1" customHeight="1" spans="1:25">
      <c r="A2617" s="327" t="s">
        <v>444</v>
      </c>
      <c r="B2617" s="307" t="s">
        <v>3037</v>
      </c>
      <c r="C2617" s="327" t="s">
        <v>144</v>
      </c>
      <c r="D2617" s="307" t="s">
        <v>3038</v>
      </c>
      <c r="E2617" s="46" t="s">
        <v>3490</v>
      </c>
      <c r="F2617" s="327" t="s">
        <v>3491</v>
      </c>
      <c r="G2617" s="340" t="s">
        <v>67</v>
      </c>
      <c r="H2617" s="329" t="s">
        <v>3492</v>
      </c>
      <c r="I2617" s="46" t="e">
        <f>VLOOKUP(H2617,'合同高级查询数据-4月返'!A:A,1,FALSE)</f>
        <v>#N/A</v>
      </c>
      <c r="J2617" s="340" t="s">
        <v>69</v>
      </c>
      <c r="K2617" s="340" t="s">
        <v>3496</v>
      </c>
      <c r="L2617" s="340"/>
      <c r="M2617" s="312"/>
      <c r="N2617" s="265">
        <v>44307</v>
      </c>
      <c r="O2617" s="265" t="s">
        <v>71</v>
      </c>
      <c r="P2617" s="346">
        <v>400</v>
      </c>
      <c r="Q2617" s="346">
        <v>69</v>
      </c>
      <c r="R2617" s="351">
        <f t="shared" si="80"/>
        <v>27600</v>
      </c>
      <c r="S2617" s="319">
        <v>202304</v>
      </c>
      <c r="T2617" s="347" t="s">
        <v>3500</v>
      </c>
      <c r="U2617" s="347"/>
      <c r="V2617" s="320"/>
      <c r="W2617" s="320"/>
      <c r="X2617" s="352">
        <v>44027</v>
      </c>
      <c r="Y2617" s="352">
        <v>45121</v>
      </c>
    </row>
    <row r="2618" s="5" customFormat="1" customHeight="1" spans="1:25">
      <c r="A2618" s="327" t="s">
        <v>444</v>
      </c>
      <c r="B2618" s="307" t="s">
        <v>3037</v>
      </c>
      <c r="C2618" s="327" t="s">
        <v>144</v>
      </c>
      <c r="D2618" s="307" t="s">
        <v>3038</v>
      </c>
      <c r="E2618" s="46" t="s">
        <v>3490</v>
      </c>
      <c r="F2618" s="327" t="s">
        <v>3491</v>
      </c>
      <c r="G2618" s="340" t="s">
        <v>67</v>
      </c>
      <c r="H2618" s="329" t="s">
        <v>3492</v>
      </c>
      <c r="I2618" s="46" t="e">
        <f>VLOOKUP(H2618,'合同高级查询数据-4月返'!A:A,1,FALSE)</f>
        <v>#N/A</v>
      </c>
      <c r="J2618" s="340" t="s">
        <v>69</v>
      </c>
      <c r="K2618" s="340" t="s">
        <v>3496</v>
      </c>
      <c r="L2618" s="340"/>
      <c r="M2618" s="312"/>
      <c r="N2618" s="265">
        <v>44307</v>
      </c>
      <c r="O2618" s="265" t="s">
        <v>71</v>
      </c>
      <c r="P2618" s="346">
        <v>400</v>
      </c>
      <c r="Q2618" s="346">
        <v>58.9</v>
      </c>
      <c r="R2618" s="351">
        <f t="shared" si="80"/>
        <v>23560</v>
      </c>
      <c r="S2618" s="319">
        <v>202304</v>
      </c>
      <c r="T2618" s="347" t="s">
        <v>3501</v>
      </c>
      <c r="U2618" s="347"/>
      <c r="V2618" s="320"/>
      <c r="W2618" s="320"/>
      <c r="X2618" s="352">
        <v>44027</v>
      </c>
      <c r="Y2618" s="352">
        <v>45121</v>
      </c>
    </row>
    <row r="2619" s="5" customFormat="1" customHeight="1" spans="1:25">
      <c r="A2619" s="327" t="s">
        <v>444</v>
      </c>
      <c r="B2619" s="307" t="s">
        <v>3037</v>
      </c>
      <c r="C2619" s="327" t="s">
        <v>144</v>
      </c>
      <c r="D2619" s="307" t="s">
        <v>3038</v>
      </c>
      <c r="E2619" s="46" t="s">
        <v>3490</v>
      </c>
      <c r="F2619" s="327" t="s">
        <v>3491</v>
      </c>
      <c r="G2619" s="340" t="s">
        <v>67</v>
      </c>
      <c r="H2619" s="329" t="s">
        <v>3492</v>
      </c>
      <c r="I2619" s="46" t="e">
        <f>VLOOKUP(H2619,'合同高级查询数据-4月返'!A:A,1,FALSE)</f>
        <v>#N/A</v>
      </c>
      <c r="J2619" s="340" t="s">
        <v>69</v>
      </c>
      <c r="K2619" s="340" t="s">
        <v>3496</v>
      </c>
      <c r="L2619" s="340"/>
      <c r="M2619" s="312"/>
      <c r="N2619" s="265">
        <v>44419</v>
      </c>
      <c r="O2619" s="265" t="s">
        <v>71</v>
      </c>
      <c r="P2619" s="346">
        <v>400</v>
      </c>
      <c r="Q2619" s="346">
        <v>110</v>
      </c>
      <c r="R2619" s="351">
        <f t="shared" si="80"/>
        <v>44000</v>
      </c>
      <c r="S2619" s="319">
        <v>202304</v>
      </c>
      <c r="T2619" s="347" t="s">
        <v>3502</v>
      </c>
      <c r="U2619" s="347"/>
      <c r="V2619" s="320"/>
      <c r="W2619" s="320"/>
      <c r="X2619" s="352">
        <v>44027</v>
      </c>
      <c r="Y2619" s="352">
        <v>45121</v>
      </c>
    </row>
    <row r="2620" s="5" customFormat="1" customHeight="1" spans="1:25">
      <c r="A2620" s="327" t="s">
        <v>444</v>
      </c>
      <c r="B2620" s="307" t="s">
        <v>3037</v>
      </c>
      <c r="C2620" s="327" t="s">
        <v>144</v>
      </c>
      <c r="D2620" s="307" t="s">
        <v>3038</v>
      </c>
      <c r="E2620" s="46" t="s">
        <v>3490</v>
      </c>
      <c r="F2620" s="327" t="s">
        <v>3491</v>
      </c>
      <c r="G2620" s="340" t="s">
        <v>67</v>
      </c>
      <c r="H2620" s="329" t="s">
        <v>3492</v>
      </c>
      <c r="I2620" s="46" t="e">
        <f>VLOOKUP(H2620,'合同高级查询数据-4月返'!A:A,1,FALSE)</f>
        <v>#N/A</v>
      </c>
      <c r="J2620" s="340" t="s">
        <v>69</v>
      </c>
      <c r="K2620" s="340" t="s">
        <v>3493</v>
      </c>
      <c r="L2620" s="340"/>
      <c r="M2620" s="312"/>
      <c r="N2620" s="265">
        <v>44531</v>
      </c>
      <c r="O2620" s="265" t="s">
        <v>71</v>
      </c>
      <c r="P2620" s="346">
        <v>400</v>
      </c>
      <c r="Q2620" s="346">
        <v>31.3</v>
      </c>
      <c r="R2620" s="351">
        <f t="shared" si="80"/>
        <v>12520</v>
      </c>
      <c r="S2620" s="319">
        <v>202304</v>
      </c>
      <c r="T2620" s="347" t="s">
        <v>3503</v>
      </c>
      <c r="U2620" s="347"/>
      <c r="V2620" s="320"/>
      <c r="W2620" s="320"/>
      <c r="X2620" s="352">
        <v>44027</v>
      </c>
      <c r="Y2620" s="352">
        <v>45121</v>
      </c>
    </row>
    <row r="2621" s="5" customFormat="1" customHeight="1" spans="1:25">
      <c r="A2621" s="327" t="s">
        <v>444</v>
      </c>
      <c r="B2621" s="307" t="s">
        <v>3037</v>
      </c>
      <c r="C2621" s="327" t="s">
        <v>144</v>
      </c>
      <c r="D2621" s="307" t="s">
        <v>3038</v>
      </c>
      <c r="E2621" s="46" t="s">
        <v>3490</v>
      </c>
      <c r="F2621" s="327" t="s">
        <v>3504</v>
      </c>
      <c r="G2621" s="340" t="s">
        <v>88</v>
      </c>
      <c r="H2621" s="329" t="s">
        <v>3505</v>
      </c>
      <c r="I2621" s="46" t="e">
        <f>VLOOKUP(H2621,'合同高级查询数据-4月返'!A:A,1,FALSE)</f>
        <v>#N/A</v>
      </c>
      <c r="J2621" s="329" t="s">
        <v>162</v>
      </c>
      <c r="K2621" s="340" t="s">
        <v>3506</v>
      </c>
      <c r="L2621" s="340"/>
      <c r="M2621" s="312" t="s">
        <v>3507</v>
      </c>
      <c r="N2621" s="265" t="s">
        <v>3508</v>
      </c>
      <c r="O2621" s="340" t="s">
        <v>503</v>
      </c>
      <c r="P2621" s="346">
        <v>5600</v>
      </c>
      <c r="Q2621" s="346">
        <v>12</v>
      </c>
      <c r="R2621" s="351">
        <f>Q2621*P2621</f>
        <v>67200</v>
      </c>
      <c r="S2621" s="319">
        <v>202304</v>
      </c>
      <c r="T2621" s="353" t="s">
        <v>3509</v>
      </c>
      <c r="U2621" s="353"/>
      <c r="V2621" s="320"/>
      <c r="W2621" s="320"/>
      <c r="X2621" s="352">
        <v>44866</v>
      </c>
      <c r="Y2621" s="352">
        <v>45230</v>
      </c>
    </row>
    <row r="2622" s="5" customFormat="1" customHeight="1" spans="1:25">
      <c r="A2622" s="327" t="s">
        <v>444</v>
      </c>
      <c r="B2622" s="307" t="s">
        <v>3037</v>
      </c>
      <c r="C2622" s="327" t="s">
        <v>144</v>
      </c>
      <c r="D2622" s="307" t="s">
        <v>3038</v>
      </c>
      <c r="E2622" s="46" t="s">
        <v>3490</v>
      </c>
      <c r="F2622" s="327" t="s">
        <v>3504</v>
      </c>
      <c r="G2622" s="329" t="s">
        <v>88</v>
      </c>
      <c r="H2622" s="329" t="s">
        <v>3505</v>
      </c>
      <c r="I2622" s="46" t="e">
        <f>VLOOKUP(H2622,'合同高级查询数据-4月返'!A:A,1,FALSE)</f>
        <v>#N/A</v>
      </c>
      <c r="J2622" s="329" t="s">
        <v>162</v>
      </c>
      <c r="K2622" s="340" t="s">
        <v>3510</v>
      </c>
      <c r="L2622" s="340"/>
      <c r="M2622" s="312" t="s">
        <v>3507</v>
      </c>
      <c r="N2622" s="265">
        <v>44763</v>
      </c>
      <c r="O2622" s="340" t="s">
        <v>503</v>
      </c>
      <c r="P2622" s="346">
        <v>5600</v>
      </c>
      <c r="Q2622" s="346">
        <v>-2</v>
      </c>
      <c r="R2622" s="351">
        <f>ROUND(P2622*Q2622,2)</f>
        <v>-11200</v>
      </c>
      <c r="S2622" s="319">
        <v>202304</v>
      </c>
      <c r="T2622" s="347" t="s">
        <v>3511</v>
      </c>
      <c r="U2622" s="347"/>
      <c r="V2622" s="320"/>
      <c r="W2622" s="320"/>
      <c r="X2622" s="352">
        <v>44866</v>
      </c>
      <c r="Y2622" s="352">
        <v>45230</v>
      </c>
    </row>
    <row r="2623" s="5" customFormat="1" customHeight="1" spans="1:25">
      <c r="A2623" s="327" t="s">
        <v>444</v>
      </c>
      <c r="B2623" s="307" t="s">
        <v>3037</v>
      </c>
      <c r="C2623" s="327" t="s">
        <v>144</v>
      </c>
      <c r="D2623" s="307" t="s">
        <v>3038</v>
      </c>
      <c r="E2623" s="46" t="s">
        <v>3490</v>
      </c>
      <c r="F2623" s="327" t="s">
        <v>3504</v>
      </c>
      <c r="G2623" s="329" t="s">
        <v>88</v>
      </c>
      <c r="H2623" s="329" t="s">
        <v>3505</v>
      </c>
      <c r="I2623" s="46" t="e">
        <f>VLOOKUP(H2623,'合同高级查询数据-4月返'!A:A,1,FALSE)</f>
        <v>#N/A</v>
      </c>
      <c r="J2623" s="329" t="s">
        <v>162</v>
      </c>
      <c r="K2623" s="340" t="s">
        <v>3510</v>
      </c>
      <c r="L2623" s="340"/>
      <c r="M2623" s="312" t="s">
        <v>3507</v>
      </c>
      <c r="N2623" s="265">
        <v>44926</v>
      </c>
      <c r="O2623" s="340" t="s">
        <v>503</v>
      </c>
      <c r="P2623" s="346">
        <v>5600</v>
      </c>
      <c r="Q2623" s="346">
        <v>-2</v>
      </c>
      <c r="R2623" s="351">
        <f>ROUND(P2623*Q2623,2)</f>
        <v>-11200</v>
      </c>
      <c r="S2623" s="319">
        <v>202304</v>
      </c>
      <c r="T2623" s="347" t="s">
        <v>3512</v>
      </c>
      <c r="U2623" s="347"/>
      <c r="V2623" s="320"/>
      <c r="W2623" s="320"/>
      <c r="X2623" s="352">
        <v>44866</v>
      </c>
      <c r="Y2623" s="352">
        <v>45230</v>
      </c>
    </row>
    <row r="2624" s="5" customFormat="1" customHeight="1" spans="1:25">
      <c r="A2624" s="327" t="s">
        <v>444</v>
      </c>
      <c r="B2624" s="307" t="s">
        <v>3037</v>
      </c>
      <c r="C2624" s="327" t="s">
        <v>144</v>
      </c>
      <c r="D2624" s="307" t="s">
        <v>3038</v>
      </c>
      <c r="E2624" s="46" t="s">
        <v>3490</v>
      </c>
      <c r="F2624" s="327" t="s">
        <v>3504</v>
      </c>
      <c r="G2624" s="340" t="s">
        <v>31</v>
      </c>
      <c r="H2624" s="329" t="s">
        <v>3505</v>
      </c>
      <c r="I2624" s="46" t="e">
        <f>VLOOKUP(H2624,'合同高级查询数据-4月返'!A:A,1,FALSE)</f>
        <v>#N/A</v>
      </c>
      <c r="J2624" s="309" t="s">
        <v>3092</v>
      </c>
      <c r="K2624" s="340" t="s">
        <v>3433</v>
      </c>
      <c r="L2624" s="340" t="s">
        <v>3513</v>
      </c>
      <c r="M2624" s="312"/>
      <c r="N2624" s="265">
        <v>43461</v>
      </c>
      <c r="O2624" s="340"/>
      <c r="P2624" s="346">
        <v>0</v>
      </c>
      <c r="Q2624" s="346">
        <v>512</v>
      </c>
      <c r="R2624" s="351">
        <f t="shared" ref="R2624:R2629" si="81">P2624*Q2624</f>
        <v>0</v>
      </c>
      <c r="S2624" s="319">
        <v>202304</v>
      </c>
      <c r="T2624" s="122" t="s">
        <v>3514</v>
      </c>
      <c r="U2624" s="353"/>
      <c r="V2624" s="320"/>
      <c r="W2624" s="320"/>
      <c r="X2624" s="352">
        <v>44866</v>
      </c>
      <c r="Y2624" s="352">
        <v>45230</v>
      </c>
    </row>
    <row r="2625" s="5" customFormat="1" customHeight="1" spans="1:25">
      <c r="A2625" s="327" t="s">
        <v>444</v>
      </c>
      <c r="B2625" s="307" t="s">
        <v>3037</v>
      </c>
      <c r="C2625" s="327" t="s">
        <v>144</v>
      </c>
      <c r="D2625" s="307" t="s">
        <v>3038</v>
      </c>
      <c r="E2625" s="46" t="s">
        <v>3490</v>
      </c>
      <c r="F2625" s="327" t="s">
        <v>3504</v>
      </c>
      <c r="G2625" s="340" t="s">
        <v>31</v>
      </c>
      <c r="H2625" s="329" t="s">
        <v>3505</v>
      </c>
      <c r="I2625" s="46" t="e">
        <f>VLOOKUP(H2625,'合同高级查询数据-4月返'!A:A,1,FALSE)</f>
        <v>#N/A</v>
      </c>
      <c r="J2625" s="309" t="s">
        <v>3092</v>
      </c>
      <c r="K2625" s="340" t="s">
        <v>3433</v>
      </c>
      <c r="L2625" s="340" t="s">
        <v>3513</v>
      </c>
      <c r="M2625" s="312"/>
      <c r="N2625" s="265">
        <v>43461</v>
      </c>
      <c r="O2625" s="340"/>
      <c r="P2625" s="346">
        <v>0</v>
      </c>
      <c r="Q2625" s="346">
        <v>-512</v>
      </c>
      <c r="R2625" s="351">
        <f t="shared" si="81"/>
        <v>0</v>
      </c>
      <c r="S2625" s="319">
        <v>202304</v>
      </c>
      <c r="T2625" s="122" t="s">
        <v>3514</v>
      </c>
      <c r="U2625" s="353"/>
      <c r="V2625" s="320"/>
      <c r="W2625" s="320"/>
      <c r="X2625" s="352">
        <v>44866</v>
      </c>
      <c r="Y2625" s="352">
        <v>45230</v>
      </c>
    </row>
    <row r="2626" s="5" customFormat="1" customHeight="1" spans="1:25">
      <c r="A2626" s="327" t="s">
        <v>444</v>
      </c>
      <c r="B2626" s="307" t="s">
        <v>3037</v>
      </c>
      <c r="C2626" s="327" t="s">
        <v>144</v>
      </c>
      <c r="D2626" s="307" t="s">
        <v>3038</v>
      </c>
      <c r="E2626" s="46" t="s">
        <v>3490</v>
      </c>
      <c r="F2626" s="327" t="s">
        <v>3504</v>
      </c>
      <c r="G2626" s="340" t="s">
        <v>31</v>
      </c>
      <c r="H2626" s="329" t="s">
        <v>3505</v>
      </c>
      <c r="I2626" s="46" t="e">
        <f>VLOOKUP(H2626,'合同高级查询数据-4月返'!A:A,1,FALSE)</f>
        <v>#N/A</v>
      </c>
      <c r="J2626" s="309" t="s">
        <v>3189</v>
      </c>
      <c r="K2626" s="340" t="s">
        <v>3433</v>
      </c>
      <c r="L2626" s="340" t="s">
        <v>3515</v>
      </c>
      <c r="M2626" s="312"/>
      <c r="N2626" s="265">
        <v>43461</v>
      </c>
      <c r="O2626" s="340"/>
      <c r="P2626" s="346">
        <v>0</v>
      </c>
      <c r="Q2626" s="346">
        <v>544</v>
      </c>
      <c r="R2626" s="351">
        <f t="shared" si="81"/>
        <v>0</v>
      </c>
      <c r="S2626" s="319">
        <v>202304</v>
      </c>
      <c r="T2626" s="122" t="s">
        <v>3516</v>
      </c>
      <c r="U2626" s="353"/>
      <c r="V2626" s="320"/>
      <c r="W2626" s="320"/>
      <c r="X2626" s="352">
        <v>44866</v>
      </c>
      <c r="Y2626" s="352">
        <v>45230</v>
      </c>
    </row>
    <row r="2627" s="5" customFormat="1" customHeight="1" spans="1:25">
      <c r="A2627" s="327" t="s">
        <v>444</v>
      </c>
      <c r="B2627" s="307" t="s">
        <v>3037</v>
      </c>
      <c r="C2627" s="327" t="s">
        <v>144</v>
      </c>
      <c r="D2627" s="307" t="s">
        <v>3038</v>
      </c>
      <c r="E2627" s="46" t="s">
        <v>3490</v>
      </c>
      <c r="F2627" s="327" t="s">
        <v>3504</v>
      </c>
      <c r="G2627" s="340" t="s">
        <v>31</v>
      </c>
      <c r="H2627" s="329" t="s">
        <v>3505</v>
      </c>
      <c r="I2627" s="46" t="e">
        <f>VLOOKUP(H2627,'合同高级查询数据-4月返'!A:A,1,FALSE)</f>
        <v>#N/A</v>
      </c>
      <c r="J2627" s="309" t="s">
        <v>3189</v>
      </c>
      <c r="K2627" s="340" t="s">
        <v>3433</v>
      </c>
      <c r="L2627" s="340" t="s">
        <v>3510</v>
      </c>
      <c r="M2627" s="312"/>
      <c r="N2627" s="265">
        <v>43461</v>
      </c>
      <c r="O2627" s="340"/>
      <c r="P2627" s="346">
        <v>0</v>
      </c>
      <c r="Q2627" s="346">
        <v>288</v>
      </c>
      <c r="R2627" s="351">
        <f t="shared" si="81"/>
        <v>0</v>
      </c>
      <c r="S2627" s="319">
        <v>202304</v>
      </c>
      <c r="T2627" s="122" t="s">
        <v>3514</v>
      </c>
      <c r="U2627" s="353"/>
      <c r="V2627" s="320"/>
      <c r="W2627" s="320"/>
      <c r="X2627" s="352">
        <v>44866</v>
      </c>
      <c r="Y2627" s="352">
        <v>45230</v>
      </c>
    </row>
    <row r="2628" s="5" customFormat="1" customHeight="1" spans="1:25">
      <c r="A2628" s="327" t="s">
        <v>444</v>
      </c>
      <c r="B2628" s="307" t="s">
        <v>3037</v>
      </c>
      <c r="C2628" s="327" t="s">
        <v>144</v>
      </c>
      <c r="D2628" s="307" t="s">
        <v>3038</v>
      </c>
      <c r="E2628" s="46" t="s">
        <v>3490</v>
      </c>
      <c r="F2628" s="327" t="s">
        <v>3504</v>
      </c>
      <c r="G2628" s="340" t="s">
        <v>31</v>
      </c>
      <c r="H2628" s="329" t="s">
        <v>3505</v>
      </c>
      <c r="I2628" s="46" t="e">
        <f>VLOOKUP(H2628,'合同高级查询数据-4月返'!A:A,1,FALSE)</f>
        <v>#N/A</v>
      </c>
      <c r="J2628" s="309" t="s">
        <v>3189</v>
      </c>
      <c r="K2628" s="340" t="s">
        <v>3433</v>
      </c>
      <c r="L2628" s="340" t="s">
        <v>3510</v>
      </c>
      <c r="M2628" s="312"/>
      <c r="N2628" s="265">
        <v>44763</v>
      </c>
      <c r="O2628" s="340"/>
      <c r="P2628" s="346">
        <v>0</v>
      </c>
      <c r="Q2628" s="346">
        <v>-128</v>
      </c>
      <c r="R2628" s="351">
        <f t="shared" si="81"/>
        <v>0</v>
      </c>
      <c r="S2628" s="319">
        <v>202304</v>
      </c>
      <c r="T2628" s="122" t="s">
        <v>3517</v>
      </c>
      <c r="U2628" s="353"/>
      <c r="V2628" s="320"/>
      <c r="W2628" s="320"/>
      <c r="X2628" s="352">
        <v>44866</v>
      </c>
      <c r="Y2628" s="352">
        <v>45230</v>
      </c>
    </row>
    <row r="2629" s="5" customFormat="1" customHeight="1" spans="1:25">
      <c r="A2629" s="327" t="s">
        <v>444</v>
      </c>
      <c r="B2629" s="307" t="s">
        <v>3037</v>
      </c>
      <c r="C2629" s="327" t="s">
        <v>144</v>
      </c>
      <c r="D2629" s="307" t="s">
        <v>3038</v>
      </c>
      <c r="E2629" s="46" t="s">
        <v>3490</v>
      </c>
      <c r="F2629" s="327" t="s">
        <v>3504</v>
      </c>
      <c r="G2629" s="340" t="s">
        <v>31</v>
      </c>
      <c r="H2629" s="329" t="s">
        <v>3505</v>
      </c>
      <c r="I2629" s="46" t="e">
        <f>VLOOKUP(H2629,'合同高级查询数据-4月返'!A:A,1,FALSE)</f>
        <v>#N/A</v>
      </c>
      <c r="J2629" s="309" t="s">
        <v>3189</v>
      </c>
      <c r="K2629" s="340" t="s">
        <v>3433</v>
      </c>
      <c r="L2629" s="340" t="s">
        <v>3510</v>
      </c>
      <c r="M2629" s="312"/>
      <c r="N2629" s="265">
        <v>44926</v>
      </c>
      <c r="O2629" s="340"/>
      <c r="P2629" s="346">
        <v>0</v>
      </c>
      <c r="Q2629" s="346">
        <v>-160</v>
      </c>
      <c r="R2629" s="351">
        <f t="shared" si="81"/>
        <v>0</v>
      </c>
      <c r="S2629" s="319">
        <v>202304</v>
      </c>
      <c r="T2629" s="122" t="s">
        <v>3518</v>
      </c>
      <c r="U2629" s="353"/>
      <c r="V2629" s="320"/>
      <c r="W2629" s="320"/>
      <c r="X2629" s="352">
        <v>44866</v>
      </c>
      <c r="Y2629" s="352">
        <v>45230</v>
      </c>
    </row>
    <row r="2630" s="5" customFormat="1" customHeight="1" spans="1:25">
      <c r="A2630" s="327" t="s">
        <v>444</v>
      </c>
      <c r="B2630" s="307" t="s">
        <v>3037</v>
      </c>
      <c r="C2630" s="327" t="s">
        <v>144</v>
      </c>
      <c r="D2630" s="307" t="s">
        <v>3038</v>
      </c>
      <c r="E2630" s="46" t="s">
        <v>3490</v>
      </c>
      <c r="F2630" s="327" t="s">
        <v>3504</v>
      </c>
      <c r="G2630" s="340" t="s">
        <v>88</v>
      </c>
      <c r="H2630" s="329" t="s">
        <v>3505</v>
      </c>
      <c r="I2630" s="46" t="e">
        <f>VLOOKUP(H2630,'合同高级查询数据-4月返'!A:A,1,FALSE)</f>
        <v>#N/A</v>
      </c>
      <c r="J2630" s="329" t="s">
        <v>3488</v>
      </c>
      <c r="K2630" s="340" t="s">
        <v>3433</v>
      </c>
      <c r="L2630" s="340"/>
      <c r="M2630" s="312" t="s">
        <v>3519</v>
      </c>
      <c r="N2630" s="265"/>
      <c r="O2630" s="340" t="s">
        <v>503</v>
      </c>
      <c r="P2630" s="346">
        <v>5600</v>
      </c>
      <c r="Q2630" s="346">
        <v>491</v>
      </c>
      <c r="R2630" s="351">
        <f>Q2630*P2630</f>
        <v>2749600</v>
      </c>
      <c r="S2630" s="319">
        <v>202304</v>
      </c>
      <c r="T2630" s="353" t="s">
        <v>3520</v>
      </c>
      <c r="U2630" s="353"/>
      <c r="V2630" s="320"/>
      <c r="W2630" s="320"/>
      <c r="X2630" s="352">
        <v>44866</v>
      </c>
      <c r="Y2630" s="352">
        <v>45230</v>
      </c>
    </row>
    <row r="2631" s="5" customFormat="1" customHeight="1" spans="1:25">
      <c r="A2631" s="327" t="s">
        <v>444</v>
      </c>
      <c r="B2631" s="307" t="s">
        <v>3037</v>
      </c>
      <c r="C2631" s="327" t="s">
        <v>144</v>
      </c>
      <c r="D2631" s="307" t="s">
        <v>3038</v>
      </c>
      <c r="E2631" s="46" t="s">
        <v>3490</v>
      </c>
      <c r="F2631" s="327" t="s">
        <v>3504</v>
      </c>
      <c r="G2631" s="340" t="s">
        <v>88</v>
      </c>
      <c r="H2631" s="329" t="s">
        <v>3505</v>
      </c>
      <c r="I2631" s="46" t="e">
        <f>VLOOKUP(H2631,'合同高级查询数据-4月返'!A:A,1,FALSE)</f>
        <v>#N/A</v>
      </c>
      <c r="J2631" s="329" t="s">
        <v>3488</v>
      </c>
      <c r="K2631" s="340" t="s">
        <v>3433</v>
      </c>
      <c r="L2631" s="340"/>
      <c r="M2631" s="312" t="s">
        <v>3519</v>
      </c>
      <c r="N2631" s="265"/>
      <c r="O2631" s="340" t="s">
        <v>503</v>
      </c>
      <c r="P2631" s="346">
        <v>5600</v>
      </c>
      <c r="Q2631" s="346">
        <v>-8</v>
      </c>
      <c r="R2631" s="351">
        <f t="shared" ref="R2631:R2640" si="82">ROUND(P2631*Q2631,2)</f>
        <v>-44800</v>
      </c>
      <c r="S2631" s="319">
        <v>202304</v>
      </c>
      <c r="T2631" s="353" t="s">
        <v>3521</v>
      </c>
      <c r="U2631" s="353"/>
      <c r="V2631" s="320"/>
      <c r="W2631" s="320"/>
      <c r="X2631" s="352">
        <v>44866</v>
      </c>
      <c r="Y2631" s="352">
        <v>45230</v>
      </c>
    </row>
    <row r="2632" s="5" customFormat="1" customHeight="1" spans="1:25">
      <c r="A2632" s="327" t="s">
        <v>444</v>
      </c>
      <c r="B2632" s="307" t="s">
        <v>3037</v>
      </c>
      <c r="C2632" s="327" t="s">
        <v>144</v>
      </c>
      <c r="D2632" s="307" t="s">
        <v>3038</v>
      </c>
      <c r="E2632" s="46" t="s">
        <v>3490</v>
      </c>
      <c r="F2632" s="327" t="s">
        <v>3504</v>
      </c>
      <c r="G2632" s="340" t="s">
        <v>88</v>
      </c>
      <c r="H2632" s="329" t="s">
        <v>3505</v>
      </c>
      <c r="I2632" s="46" t="e">
        <f>VLOOKUP(H2632,'合同高级查询数据-4月返'!A:A,1,FALSE)</f>
        <v>#N/A</v>
      </c>
      <c r="J2632" s="329" t="s">
        <v>3488</v>
      </c>
      <c r="K2632" s="340" t="s">
        <v>3433</v>
      </c>
      <c r="L2632" s="340"/>
      <c r="M2632" s="312" t="s">
        <v>3519</v>
      </c>
      <c r="N2632" s="265">
        <v>43430</v>
      </c>
      <c r="O2632" s="340" t="s">
        <v>503</v>
      </c>
      <c r="P2632" s="346">
        <v>5600</v>
      </c>
      <c r="Q2632" s="346">
        <v>16</v>
      </c>
      <c r="R2632" s="351">
        <f t="shared" si="82"/>
        <v>89600</v>
      </c>
      <c r="S2632" s="319">
        <v>202304</v>
      </c>
      <c r="T2632" s="353" t="s">
        <v>3522</v>
      </c>
      <c r="U2632" s="353"/>
      <c r="V2632" s="320"/>
      <c r="W2632" s="320"/>
      <c r="X2632" s="352">
        <v>44866</v>
      </c>
      <c r="Y2632" s="352">
        <v>45230</v>
      </c>
    </row>
    <row r="2633" s="5" customFormat="1" customHeight="1" spans="1:25">
      <c r="A2633" s="327" t="s">
        <v>444</v>
      </c>
      <c r="B2633" s="307" t="s">
        <v>3037</v>
      </c>
      <c r="C2633" s="327" t="s">
        <v>144</v>
      </c>
      <c r="D2633" s="307" t="s">
        <v>3038</v>
      </c>
      <c r="E2633" s="46" t="s">
        <v>3490</v>
      </c>
      <c r="F2633" s="327" t="s">
        <v>3504</v>
      </c>
      <c r="G2633" s="340" t="s">
        <v>88</v>
      </c>
      <c r="H2633" s="329" t="s">
        <v>3505</v>
      </c>
      <c r="I2633" s="46" t="e">
        <f>VLOOKUP(H2633,'合同高级查询数据-4月返'!A:A,1,FALSE)</f>
        <v>#N/A</v>
      </c>
      <c r="J2633" s="329" t="s">
        <v>3488</v>
      </c>
      <c r="K2633" s="340" t="s">
        <v>3433</v>
      </c>
      <c r="L2633" s="340"/>
      <c r="M2633" s="312" t="s">
        <v>3519</v>
      </c>
      <c r="N2633" s="265">
        <v>43431</v>
      </c>
      <c r="O2633" s="340" t="s">
        <v>503</v>
      </c>
      <c r="P2633" s="346">
        <v>5600</v>
      </c>
      <c r="Q2633" s="346">
        <v>37</v>
      </c>
      <c r="R2633" s="351">
        <f t="shared" si="82"/>
        <v>207200</v>
      </c>
      <c r="S2633" s="319">
        <v>202304</v>
      </c>
      <c r="T2633" s="353" t="s">
        <v>3523</v>
      </c>
      <c r="U2633" s="353"/>
      <c r="V2633" s="320"/>
      <c r="W2633" s="320"/>
      <c r="X2633" s="352">
        <v>44866</v>
      </c>
      <c r="Y2633" s="352">
        <v>45230</v>
      </c>
    </row>
    <row r="2634" s="5" customFormat="1" customHeight="1" spans="1:25">
      <c r="A2634" s="327" t="s">
        <v>444</v>
      </c>
      <c r="B2634" s="307" t="s">
        <v>3037</v>
      </c>
      <c r="C2634" s="327" t="s">
        <v>144</v>
      </c>
      <c r="D2634" s="307" t="s">
        <v>3038</v>
      </c>
      <c r="E2634" s="46" t="s">
        <v>3490</v>
      </c>
      <c r="F2634" s="327" t="s">
        <v>3504</v>
      </c>
      <c r="G2634" s="340" t="s">
        <v>88</v>
      </c>
      <c r="H2634" s="329" t="s">
        <v>3505</v>
      </c>
      <c r="I2634" s="46" t="e">
        <f>VLOOKUP(H2634,'合同高级查询数据-4月返'!A:A,1,FALSE)</f>
        <v>#N/A</v>
      </c>
      <c r="J2634" s="329" t="s">
        <v>3488</v>
      </c>
      <c r="K2634" s="340" t="s">
        <v>3433</v>
      </c>
      <c r="L2634" s="340"/>
      <c r="M2634" s="312" t="s">
        <v>3519</v>
      </c>
      <c r="N2634" s="265">
        <v>43432</v>
      </c>
      <c r="O2634" s="340" t="s">
        <v>503</v>
      </c>
      <c r="P2634" s="346">
        <v>5600</v>
      </c>
      <c r="Q2634" s="346">
        <v>1</v>
      </c>
      <c r="R2634" s="351">
        <f t="shared" si="82"/>
        <v>5600</v>
      </c>
      <c r="S2634" s="319">
        <v>202304</v>
      </c>
      <c r="T2634" s="353" t="s">
        <v>3524</v>
      </c>
      <c r="U2634" s="353"/>
      <c r="V2634" s="320"/>
      <c r="W2634" s="320"/>
      <c r="X2634" s="352">
        <v>44866</v>
      </c>
      <c r="Y2634" s="352">
        <v>45230</v>
      </c>
    </row>
    <row r="2635" s="5" customFormat="1" customHeight="1" spans="1:25">
      <c r="A2635" s="327" t="s">
        <v>444</v>
      </c>
      <c r="B2635" s="307" t="s">
        <v>3037</v>
      </c>
      <c r="C2635" s="327" t="s">
        <v>144</v>
      </c>
      <c r="D2635" s="307" t="s">
        <v>3038</v>
      </c>
      <c r="E2635" s="46" t="s">
        <v>3490</v>
      </c>
      <c r="F2635" s="327" t="s">
        <v>3504</v>
      </c>
      <c r="G2635" s="340" t="s">
        <v>88</v>
      </c>
      <c r="H2635" s="329" t="s">
        <v>3505</v>
      </c>
      <c r="I2635" s="46" t="e">
        <f>VLOOKUP(H2635,'合同高级查询数据-4月返'!A:A,1,FALSE)</f>
        <v>#N/A</v>
      </c>
      <c r="J2635" s="329" t="s">
        <v>3488</v>
      </c>
      <c r="K2635" s="340" t="s">
        <v>3433</v>
      </c>
      <c r="L2635" s="340"/>
      <c r="M2635" s="312" t="s">
        <v>3519</v>
      </c>
      <c r="N2635" s="265">
        <v>43434</v>
      </c>
      <c r="O2635" s="340" t="s">
        <v>503</v>
      </c>
      <c r="P2635" s="346">
        <v>5600</v>
      </c>
      <c r="Q2635" s="346">
        <v>2</v>
      </c>
      <c r="R2635" s="351">
        <f t="shared" si="82"/>
        <v>11200</v>
      </c>
      <c r="S2635" s="319">
        <v>202304</v>
      </c>
      <c r="T2635" s="353" t="s">
        <v>3525</v>
      </c>
      <c r="U2635" s="353"/>
      <c r="V2635" s="320"/>
      <c r="W2635" s="320"/>
      <c r="X2635" s="352">
        <v>44866</v>
      </c>
      <c r="Y2635" s="352">
        <v>45230</v>
      </c>
    </row>
    <row r="2636" s="5" customFormat="1" customHeight="1" spans="1:25">
      <c r="A2636" s="327" t="s">
        <v>444</v>
      </c>
      <c r="B2636" s="307" t="s">
        <v>3037</v>
      </c>
      <c r="C2636" s="327" t="s">
        <v>144</v>
      </c>
      <c r="D2636" s="307" t="s">
        <v>3038</v>
      </c>
      <c r="E2636" s="46" t="s">
        <v>3490</v>
      </c>
      <c r="F2636" s="327" t="s">
        <v>3504</v>
      </c>
      <c r="G2636" s="340" t="s">
        <v>88</v>
      </c>
      <c r="H2636" s="329" t="s">
        <v>3505</v>
      </c>
      <c r="I2636" s="46" t="e">
        <f>VLOOKUP(H2636,'合同高级查询数据-4月返'!A:A,1,FALSE)</f>
        <v>#N/A</v>
      </c>
      <c r="J2636" s="329" t="s">
        <v>3488</v>
      </c>
      <c r="K2636" s="340" t="s">
        <v>3433</v>
      </c>
      <c r="L2636" s="340"/>
      <c r="M2636" s="312" t="s">
        <v>3519</v>
      </c>
      <c r="N2636" s="265">
        <v>43437</v>
      </c>
      <c r="O2636" s="340" t="s">
        <v>503</v>
      </c>
      <c r="P2636" s="346">
        <v>5600</v>
      </c>
      <c r="Q2636" s="346">
        <v>22</v>
      </c>
      <c r="R2636" s="351">
        <f t="shared" si="82"/>
        <v>123200</v>
      </c>
      <c r="S2636" s="319">
        <v>202304</v>
      </c>
      <c r="T2636" s="353" t="s">
        <v>3526</v>
      </c>
      <c r="U2636" s="353"/>
      <c r="V2636" s="320"/>
      <c r="W2636" s="320"/>
      <c r="X2636" s="352">
        <v>44866</v>
      </c>
      <c r="Y2636" s="352">
        <v>45230</v>
      </c>
    </row>
    <row r="2637" s="5" customFormat="1" customHeight="1" spans="1:25">
      <c r="A2637" s="327" t="s">
        <v>444</v>
      </c>
      <c r="B2637" s="307" t="s">
        <v>3037</v>
      </c>
      <c r="C2637" s="327" t="s">
        <v>144</v>
      </c>
      <c r="D2637" s="307" t="s">
        <v>3038</v>
      </c>
      <c r="E2637" s="46" t="s">
        <v>3490</v>
      </c>
      <c r="F2637" s="327" t="s">
        <v>3504</v>
      </c>
      <c r="G2637" s="340" t="s">
        <v>88</v>
      </c>
      <c r="H2637" s="329" t="s">
        <v>3505</v>
      </c>
      <c r="I2637" s="46" t="e">
        <f>VLOOKUP(H2637,'合同高级查询数据-4月返'!A:A,1,FALSE)</f>
        <v>#N/A</v>
      </c>
      <c r="J2637" s="329" t="s">
        <v>3488</v>
      </c>
      <c r="K2637" s="340" t="s">
        <v>3433</v>
      </c>
      <c r="L2637" s="340"/>
      <c r="M2637" s="312" t="s">
        <v>3519</v>
      </c>
      <c r="N2637" s="265">
        <v>43451</v>
      </c>
      <c r="O2637" s="340" t="s">
        <v>503</v>
      </c>
      <c r="P2637" s="346">
        <v>5600</v>
      </c>
      <c r="Q2637" s="346">
        <v>37</v>
      </c>
      <c r="R2637" s="351">
        <f t="shared" si="82"/>
        <v>207200</v>
      </c>
      <c r="S2637" s="319">
        <v>202304</v>
      </c>
      <c r="T2637" s="353" t="s">
        <v>3527</v>
      </c>
      <c r="U2637" s="353"/>
      <c r="V2637" s="320"/>
      <c r="W2637" s="320"/>
      <c r="X2637" s="352">
        <v>44866</v>
      </c>
      <c r="Y2637" s="352">
        <v>45230</v>
      </c>
    </row>
    <row r="2638" s="5" customFormat="1" customHeight="1" spans="1:25">
      <c r="A2638" s="327" t="s">
        <v>444</v>
      </c>
      <c r="B2638" s="307" t="s">
        <v>3037</v>
      </c>
      <c r="C2638" s="327" t="s">
        <v>144</v>
      </c>
      <c r="D2638" s="307" t="s">
        <v>3038</v>
      </c>
      <c r="E2638" s="46" t="s">
        <v>3490</v>
      </c>
      <c r="F2638" s="327" t="s">
        <v>3504</v>
      </c>
      <c r="G2638" s="340" t="s">
        <v>88</v>
      </c>
      <c r="H2638" s="329" t="s">
        <v>3505</v>
      </c>
      <c r="I2638" s="46" t="e">
        <f>VLOOKUP(H2638,'合同高级查询数据-4月返'!A:A,1,FALSE)</f>
        <v>#N/A</v>
      </c>
      <c r="J2638" s="329" t="s">
        <v>3488</v>
      </c>
      <c r="K2638" s="340" t="s">
        <v>3433</v>
      </c>
      <c r="L2638" s="340"/>
      <c r="M2638" s="312" t="s">
        <v>3519</v>
      </c>
      <c r="N2638" s="265">
        <v>43452</v>
      </c>
      <c r="O2638" s="340" t="s">
        <v>503</v>
      </c>
      <c r="P2638" s="346">
        <v>5600</v>
      </c>
      <c r="Q2638" s="346">
        <v>8</v>
      </c>
      <c r="R2638" s="351">
        <f t="shared" si="82"/>
        <v>44800</v>
      </c>
      <c r="S2638" s="319">
        <v>202304</v>
      </c>
      <c r="T2638" s="353" t="s">
        <v>3528</v>
      </c>
      <c r="U2638" s="353"/>
      <c r="V2638" s="320"/>
      <c r="W2638" s="320"/>
      <c r="X2638" s="352">
        <v>44866</v>
      </c>
      <c r="Y2638" s="352">
        <v>45230</v>
      </c>
    </row>
    <row r="2639" s="5" customFormat="1" customHeight="1" spans="1:25">
      <c r="A2639" s="327" t="s">
        <v>444</v>
      </c>
      <c r="B2639" s="307" t="s">
        <v>3037</v>
      </c>
      <c r="C2639" s="327" t="s">
        <v>144</v>
      </c>
      <c r="D2639" s="307" t="s">
        <v>3038</v>
      </c>
      <c r="E2639" s="46" t="s">
        <v>3490</v>
      </c>
      <c r="F2639" s="327" t="s">
        <v>3504</v>
      </c>
      <c r="G2639" s="340" t="s">
        <v>88</v>
      </c>
      <c r="H2639" s="329" t="s">
        <v>3505</v>
      </c>
      <c r="I2639" s="46" t="e">
        <f>VLOOKUP(H2639,'合同高级查询数据-4月返'!A:A,1,FALSE)</f>
        <v>#N/A</v>
      </c>
      <c r="J2639" s="329" t="s">
        <v>3488</v>
      </c>
      <c r="K2639" s="340" t="s">
        <v>3433</v>
      </c>
      <c r="L2639" s="340"/>
      <c r="M2639" s="312" t="s">
        <v>3519</v>
      </c>
      <c r="N2639" s="265">
        <v>43455</v>
      </c>
      <c r="O2639" s="340" t="s">
        <v>503</v>
      </c>
      <c r="P2639" s="346">
        <v>5600</v>
      </c>
      <c r="Q2639" s="346">
        <v>4</v>
      </c>
      <c r="R2639" s="351">
        <f t="shared" si="82"/>
        <v>22400</v>
      </c>
      <c r="S2639" s="319">
        <v>202304</v>
      </c>
      <c r="T2639" s="353" t="s">
        <v>3529</v>
      </c>
      <c r="U2639" s="353"/>
      <c r="V2639" s="320"/>
      <c r="W2639" s="320"/>
      <c r="X2639" s="352">
        <v>44866</v>
      </c>
      <c r="Y2639" s="352">
        <v>45230</v>
      </c>
    </row>
    <row r="2640" s="5" customFormat="1" customHeight="1" spans="1:25">
      <c r="A2640" s="327" t="s">
        <v>444</v>
      </c>
      <c r="B2640" s="307" t="s">
        <v>3037</v>
      </c>
      <c r="C2640" s="327" t="s">
        <v>144</v>
      </c>
      <c r="D2640" s="307" t="s">
        <v>3038</v>
      </c>
      <c r="E2640" s="46" t="s">
        <v>3490</v>
      </c>
      <c r="F2640" s="327" t="s">
        <v>3504</v>
      </c>
      <c r="G2640" s="340" t="s">
        <v>88</v>
      </c>
      <c r="H2640" s="329" t="s">
        <v>3505</v>
      </c>
      <c r="I2640" s="46" t="e">
        <f>VLOOKUP(H2640,'合同高级查询数据-4月返'!A:A,1,FALSE)</f>
        <v>#N/A</v>
      </c>
      <c r="J2640" s="329" t="s">
        <v>3488</v>
      </c>
      <c r="K2640" s="340" t="s">
        <v>3433</v>
      </c>
      <c r="L2640" s="340"/>
      <c r="M2640" s="312" t="s">
        <v>3519</v>
      </c>
      <c r="N2640" s="265">
        <v>43458</v>
      </c>
      <c r="O2640" s="340" t="s">
        <v>503</v>
      </c>
      <c r="P2640" s="346">
        <v>5600</v>
      </c>
      <c r="Q2640" s="346">
        <v>22</v>
      </c>
      <c r="R2640" s="351">
        <f t="shared" si="82"/>
        <v>123200</v>
      </c>
      <c r="S2640" s="319">
        <v>202304</v>
      </c>
      <c r="T2640" s="353" t="s">
        <v>3530</v>
      </c>
      <c r="U2640" s="353"/>
      <c r="V2640" s="320"/>
      <c r="W2640" s="320"/>
      <c r="X2640" s="352">
        <v>44866</v>
      </c>
      <c r="Y2640" s="352">
        <v>45230</v>
      </c>
    </row>
    <row r="2641" s="5" customFormat="1" customHeight="1" spans="1:25">
      <c r="A2641" s="327" t="s">
        <v>444</v>
      </c>
      <c r="B2641" s="307" t="s">
        <v>3037</v>
      </c>
      <c r="C2641" s="327" t="s">
        <v>144</v>
      </c>
      <c r="D2641" s="307" t="s">
        <v>3038</v>
      </c>
      <c r="E2641" s="46" t="s">
        <v>3490</v>
      </c>
      <c r="F2641" s="327" t="s">
        <v>3504</v>
      </c>
      <c r="G2641" s="340" t="s">
        <v>88</v>
      </c>
      <c r="H2641" s="329" t="s">
        <v>3505</v>
      </c>
      <c r="I2641" s="46" t="e">
        <f>VLOOKUP(H2641,'合同高级查询数据-4月返'!A:A,1,FALSE)</f>
        <v>#N/A</v>
      </c>
      <c r="J2641" s="329" t="s">
        <v>3488</v>
      </c>
      <c r="K2641" s="340" t="s">
        <v>3433</v>
      </c>
      <c r="L2641" s="340"/>
      <c r="M2641" s="312" t="s">
        <v>3519</v>
      </c>
      <c r="N2641" s="265"/>
      <c r="O2641" s="340" t="s">
        <v>503</v>
      </c>
      <c r="P2641" s="346">
        <v>5600</v>
      </c>
      <c r="Q2641" s="346">
        <v>-4</v>
      </c>
      <c r="R2641" s="351">
        <v>-22400</v>
      </c>
      <c r="S2641" s="319">
        <v>202304</v>
      </c>
      <c r="T2641" s="353"/>
      <c r="U2641" s="353"/>
      <c r="V2641" s="320"/>
      <c r="W2641" s="320"/>
      <c r="X2641" s="352">
        <v>44866</v>
      </c>
      <c r="Y2641" s="352">
        <v>45230</v>
      </c>
    </row>
    <row r="2642" s="5" customFormat="1" customHeight="1" spans="1:25">
      <c r="A2642" s="327" t="s">
        <v>444</v>
      </c>
      <c r="B2642" s="307" t="s">
        <v>3037</v>
      </c>
      <c r="C2642" s="327" t="s">
        <v>144</v>
      </c>
      <c r="D2642" s="307" t="s">
        <v>3038</v>
      </c>
      <c r="E2642" s="46" t="s">
        <v>3490</v>
      </c>
      <c r="F2642" s="327" t="s">
        <v>3504</v>
      </c>
      <c r="G2642" s="340" t="s">
        <v>88</v>
      </c>
      <c r="H2642" s="329" t="s">
        <v>3505</v>
      </c>
      <c r="I2642" s="46" t="e">
        <f>VLOOKUP(H2642,'合同高级查询数据-4月返'!A:A,1,FALSE)</f>
        <v>#N/A</v>
      </c>
      <c r="J2642" s="329" t="s">
        <v>3488</v>
      </c>
      <c r="K2642" s="340" t="s">
        <v>3433</v>
      </c>
      <c r="L2642" s="340"/>
      <c r="M2642" s="312" t="s">
        <v>3519</v>
      </c>
      <c r="N2642" s="265"/>
      <c r="O2642" s="340" t="s">
        <v>561</v>
      </c>
      <c r="P2642" s="346">
        <v>7420</v>
      </c>
      <c r="Q2642" s="346">
        <v>4</v>
      </c>
      <c r="R2642" s="351">
        <f>Q2642*P2642</f>
        <v>29680</v>
      </c>
      <c r="S2642" s="319">
        <v>202304</v>
      </c>
      <c r="T2642" s="353" t="s">
        <v>3531</v>
      </c>
      <c r="U2642" s="353"/>
      <c r="V2642" s="320"/>
      <c r="W2642" s="320"/>
      <c r="X2642" s="352">
        <v>44866</v>
      </c>
      <c r="Y2642" s="352">
        <v>45230</v>
      </c>
    </row>
    <row r="2643" s="5" customFormat="1" customHeight="1" spans="1:25">
      <c r="A2643" s="327" t="s">
        <v>444</v>
      </c>
      <c r="B2643" s="307" t="s">
        <v>3037</v>
      </c>
      <c r="C2643" s="327" t="s">
        <v>144</v>
      </c>
      <c r="D2643" s="307" t="s">
        <v>3038</v>
      </c>
      <c r="E2643" s="46" t="s">
        <v>3490</v>
      </c>
      <c r="F2643" s="327" t="s">
        <v>3504</v>
      </c>
      <c r="G2643" s="340" t="s">
        <v>88</v>
      </c>
      <c r="H2643" s="329" t="s">
        <v>3505</v>
      </c>
      <c r="I2643" s="46" t="e">
        <f>VLOOKUP(H2643,'合同高级查询数据-4月返'!A:A,1,FALSE)</f>
        <v>#N/A</v>
      </c>
      <c r="J2643" s="329" t="s">
        <v>3488</v>
      </c>
      <c r="K2643" s="340" t="s">
        <v>3433</v>
      </c>
      <c r="L2643" s="340"/>
      <c r="M2643" s="312" t="s">
        <v>3519</v>
      </c>
      <c r="N2643" s="265"/>
      <c r="O2643" s="340" t="s">
        <v>507</v>
      </c>
      <c r="P2643" s="346">
        <v>10800</v>
      </c>
      <c r="Q2643" s="346">
        <v>2</v>
      </c>
      <c r="R2643" s="351">
        <f>Q2643*P2643</f>
        <v>21600</v>
      </c>
      <c r="S2643" s="319">
        <v>202304</v>
      </c>
      <c r="T2643" s="353"/>
      <c r="U2643" s="353"/>
      <c r="V2643" s="320"/>
      <c r="W2643" s="320"/>
      <c r="X2643" s="352">
        <v>44866</v>
      </c>
      <c r="Y2643" s="352">
        <v>45230</v>
      </c>
    </row>
    <row r="2644" s="5" customFormat="1" customHeight="1" spans="1:25">
      <c r="A2644" s="327" t="s">
        <v>444</v>
      </c>
      <c r="B2644" s="307" t="s">
        <v>3037</v>
      </c>
      <c r="C2644" s="327" t="s">
        <v>144</v>
      </c>
      <c r="D2644" s="307" t="s">
        <v>3038</v>
      </c>
      <c r="E2644" s="46" t="s">
        <v>3490</v>
      </c>
      <c r="F2644" s="327" t="s">
        <v>3504</v>
      </c>
      <c r="G2644" s="340" t="s">
        <v>88</v>
      </c>
      <c r="H2644" s="329" t="s">
        <v>3505</v>
      </c>
      <c r="I2644" s="46" t="e">
        <f>VLOOKUP(H2644,'合同高级查询数据-4月返'!A:A,1,FALSE)</f>
        <v>#N/A</v>
      </c>
      <c r="J2644" s="329" t="s">
        <v>3488</v>
      </c>
      <c r="K2644" s="340" t="s">
        <v>3433</v>
      </c>
      <c r="L2644" s="340"/>
      <c r="M2644" s="312" t="s">
        <v>3519</v>
      </c>
      <c r="N2644" s="265"/>
      <c r="O2644" s="340" t="s">
        <v>574</v>
      </c>
      <c r="P2644" s="346">
        <v>16650</v>
      </c>
      <c r="Q2644" s="346">
        <v>14</v>
      </c>
      <c r="R2644" s="351">
        <f>Q2644*P2644</f>
        <v>233100</v>
      </c>
      <c r="S2644" s="319">
        <v>202304</v>
      </c>
      <c r="T2644" s="353" t="s">
        <v>3531</v>
      </c>
      <c r="U2644" s="353"/>
      <c r="V2644" s="320"/>
      <c r="W2644" s="320"/>
      <c r="X2644" s="352">
        <v>44866</v>
      </c>
      <c r="Y2644" s="352">
        <v>45230</v>
      </c>
    </row>
    <row r="2645" s="5" customFormat="1" customHeight="1" spans="1:25">
      <c r="A2645" s="327" t="s">
        <v>444</v>
      </c>
      <c r="B2645" s="307" t="s">
        <v>3037</v>
      </c>
      <c r="C2645" s="327" t="s">
        <v>144</v>
      </c>
      <c r="D2645" s="307" t="s">
        <v>3038</v>
      </c>
      <c r="E2645" s="46" t="s">
        <v>3490</v>
      </c>
      <c r="F2645" s="327" t="s">
        <v>3504</v>
      </c>
      <c r="G2645" s="340" t="s">
        <v>88</v>
      </c>
      <c r="H2645" s="329" t="s">
        <v>3505</v>
      </c>
      <c r="I2645" s="46" t="e">
        <f>VLOOKUP(H2645,'合同高级查询数据-4月返'!A:A,1,FALSE)</f>
        <v>#N/A</v>
      </c>
      <c r="J2645" s="329" t="s">
        <v>3488</v>
      </c>
      <c r="K2645" s="340" t="s">
        <v>3433</v>
      </c>
      <c r="L2645" s="340"/>
      <c r="M2645" s="312" t="s">
        <v>3519</v>
      </c>
      <c r="N2645" s="265">
        <v>43459</v>
      </c>
      <c r="O2645" s="340" t="s">
        <v>503</v>
      </c>
      <c r="P2645" s="346">
        <v>5600</v>
      </c>
      <c r="Q2645" s="346">
        <v>14</v>
      </c>
      <c r="R2645" s="351">
        <f>Q2645*P2645</f>
        <v>78400</v>
      </c>
      <c r="S2645" s="319">
        <v>202304</v>
      </c>
      <c r="T2645" s="353" t="s">
        <v>3532</v>
      </c>
      <c r="U2645" s="353"/>
      <c r="V2645" s="320"/>
      <c r="W2645" s="320"/>
      <c r="X2645" s="352">
        <v>44866</v>
      </c>
      <c r="Y2645" s="352">
        <v>45230</v>
      </c>
    </row>
    <row r="2646" s="5" customFormat="1" customHeight="1" spans="1:25">
      <c r="A2646" s="327" t="s">
        <v>444</v>
      </c>
      <c r="B2646" s="307" t="s">
        <v>3037</v>
      </c>
      <c r="C2646" s="327" t="s">
        <v>144</v>
      </c>
      <c r="D2646" s="307" t="s">
        <v>3038</v>
      </c>
      <c r="E2646" s="46" t="s">
        <v>3490</v>
      </c>
      <c r="F2646" s="327" t="s">
        <v>3504</v>
      </c>
      <c r="G2646" s="340" t="s">
        <v>88</v>
      </c>
      <c r="H2646" s="329" t="s">
        <v>3505</v>
      </c>
      <c r="I2646" s="46" t="e">
        <f>VLOOKUP(H2646,'合同高级查询数据-4月返'!A:A,1,FALSE)</f>
        <v>#N/A</v>
      </c>
      <c r="J2646" s="329" t="s">
        <v>3488</v>
      </c>
      <c r="K2646" s="340" t="s">
        <v>3433</v>
      </c>
      <c r="L2646" s="340"/>
      <c r="M2646" s="312" t="s">
        <v>3519</v>
      </c>
      <c r="N2646" s="265">
        <v>43460</v>
      </c>
      <c r="O2646" s="340" t="s">
        <v>503</v>
      </c>
      <c r="P2646" s="346">
        <v>5600</v>
      </c>
      <c r="Q2646" s="346">
        <v>3</v>
      </c>
      <c r="R2646" s="351">
        <f t="shared" ref="R2646:R2704" si="83">ROUND(P2646*Q2646,2)</f>
        <v>16800</v>
      </c>
      <c r="S2646" s="319">
        <v>202304</v>
      </c>
      <c r="T2646" s="353" t="s">
        <v>3533</v>
      </c>
      <c r="U2646" s="353"/>
      <c r="V2646" s="320"/>
      <c r="W2646" s="320"/>
      <c r="X2646" s="352">
        <v>44866</v>
      </c>
      <c r="Y2646" s="352">
        <v>45230</v>
      </c>
    </row>
    <row r="2647" s="5" customFormat="1" customHeight="1" spans="1:25">
      <c r="A2647" s="327" t="s">
        <v>444</v>
      </c>
      <c r="B2647" s="307" t="s">
        <v>3037</v>
      </c>
      <c r="C2647" s="327" t="s">
        <v>144</v>
      </c>
      <c r="D2647" s="307" t="s">
        <v>3038</v>
      </c>
      <c r="E2647" s="46" t="s">
        <v>3490</v>
      </c>
      <c r="F2647" s="327" t="s">
        <v>3504</v>
      </c>
      <c r="G2647" s="340" t="s">
        <v>88</v>
      </c>
      <c r="H2647" s="329" t="s">
        <v>3505</v>
      </c>
      <c r="I2647" s="46" t="e">
        <f>VLOOKUP(H2647,'合同高级查询数据-4月返'!A:A,1,FALSE)</f>
        <v>#N/A</v>
      </c>
      <c r="J2647" s="329" t="s">
        <v>3488</v>
      </c>
      <c r="K2647" s="340" t="s">
        <v>3433</v>
      </c>
      <c r="L2647" s="340"/>
      <c r="M2647" s="312" t="s">
        <v>3519</v>
      </c>
      <c r="N2647" s="265">
        <v>43461</v>
      </c>
      <c r="O2647" s="340" t="s">
        <v>503</v>
      </c>
      <c r="P2647" s="346">
        <v>5600</v>
      </c>
      <c r="Q2647" s="346">
        <v>20</v>
      </c>
      <c r="R2647" s="351">
        <f t="shared" si="83"/>
        <v>112000</v>
      </c>
      <c r="S2647" s="319">
        <v>202304</v>
      </c>
      <c r="T2647" s="353" t="s">
        <v>3534</v>
      </c>
      <c r="U2647" s="354"/>
      <c r="V2647" s="320"/>
      <c r="W2647" s="320"/>
      <c r="X2647" s="352">
        <v>44866</v>
      </c>
      <c r="Y2647" s="352">
        <v>45230</v>
      </c>
    </row>
    <row r="2648" s="5" customFormat="1" customHeight="1" spans="1:25">
      <c r="A2648" s="327" t="s">
        <v>444</v>
      </c>
      <c r="B2648" s="307" t="s">
        <v>3037</v>
      </c>
      <c r="C2648" s="327" t="s">
        <v>144</v>
      </c>
      <c r="D2648" s="307" t="s">
        <v>3038</v>
      </c>
      <c r="E2648" s="46" t="s">
        <v>3490</v>
      </c>
      <c r="F2648" s="327" t="s">
        <v>3504</v>
      </c>
      <c r="G2648" s="340" t="s">
        <v>88</v>
      </c>
      <c r="H2648" s="329" t="s">
        <v>3505</v>
      </c>
      <c r="I2648" s="46" t="e">
        <f>VLOOKUP(H2648,'合同高级查询数据-4月返'!A:A,1,FALSE)</f>
        <v>#N/A</v>
      </c>
      <c r="J2648" s="329" t="s">
        <v>3488</v>
      </c>
      <c r="K2648" s="340" t="s">
        <v>3433</v>
      </c>
      <c r="L2648" s="340"/>
      <c r="M2648" s="312" t="s">
        <v>3519</v>
      </c>
      <c r="N2648" s="265">
        <v>43462</v>
      </c>
      <c r="O2648" s="340" t="s">
        <v>503</v>
      </c>
      <c r="P2648" s="346">
        <v>5600</v>
      </c>
      <c r="Q2648" s="346">
        <v>5</v>
      </c>
      <c r="R2648" s="351">
        <f t="shared" si="83"/>
        <v>28000</v>
      </c>
      <c r="S2648" s="319">
        <v>202304</v>
      </c>
      <c r="T2648" s="353" t="s">
        <v>3535</v>
      </c>
      <c r="U2648" s="353"/>
      <c r="V2648" s="320"/>
      <c r="W2648" s="320"/>
      <c r="X2648" s="352">
        <v>44866</v>
      </c>
      <c r="Y2648" s="352">
        <v>45230</v>
      </c>
    </row>
    <row r="2649" s="5" customFormat="1" customHeight="1" spans="1:25">
      <c r="A2649" s="327" t="s">
        <v>444</v>
      </c>
      <c r="B2649" s="307" t="s">
        <v>3037</v>
      </c>
      <c r="C2649" s="327" t="s">
        <v>144</v>
      </c>
      <c r="D2649" s="307" t="s">
        <v>3038</v>
      </c>
      <c r="E2649" s="46" t="s">
        <v>3490</v>
      </c>
      <c r="F2649" s="327" t="s">
        <v>3504</v>
      </c>
      <c r="G2649" s="340" t="s">
        <v>88</v>
      </c>
      <c r="H2649" s="329" t="s">
        <v>3505</v>
      </c>
      <c r="I2649" s="46" t="e">
        <f>VLOOKUP(H2649,'合同高级查询数据-4月返'!A:A,1,FALSE)</f>
        <v>#N/A</v>
      </c>
      <c r="J2649" s="329" t="s">
        <v>3488</v>
      </c>
      <c r="K2649" s="340" t="s">
        <v>3433</v>
      </c>
      <c r="L2649" s="340"/>
      <c r="M2649" s="312" t="s">
        <v>3519</v>
      </c>
      <c r="N2649" s="265">
        <v>43468</v>
      </c>
      <c r="O2649" s="340" t="s">
        <v>503</v>
      </c>
      <c r="P2649" s="346">
        <v>5600</v>
      </c>
      <c r="Q2649" s="346">
        <v>14</v>
      </c>
      <c r="R2649" s="351">
        <f t="shared" si="83"/>
        <v>78400</v>
      </c>
      <c r="S2649" s="319">
        <v>202304</v>
      </c>
      <c r="T2649" s="353" t="s">
        <v>3536</v>
      </c>
      <c r="U2649" s="353"/>
      <c r="V2649" s="320"/>
      <c r="W2649" s="320"/>
      <c r="X2649" s="352">
        <v>44866</v>
      </c>
      <c r="Y2649" s="352">
        <v>45230</v>
      </c>
    </row>
    <row r="2650" s="5" customFormat="1" customHeight="1" spans="1:25">
      <c r="A2650" s="327" t="s">
        <v>444</v>
      </c>
      <c r="B2650" s="307" t="s">
        <v>3037</v>
      </c>
      <c r="C2650" s="327" t="s">
        <v>144</v>
      </c>
      <c r="D2650" s="307" t="s">
        <v>3038</v>
      </c>
      <c r="E2650" s="46" t="s">
        <v>3490</v>
      </c>
      <c r="F2650" s="327" t="s">
        <v>3504</v>
      </c>
      <c r="G2650" s="340" t="s">
        <v>88</v>
      </c>
      <c r="H2650" s="329" t="s">
        <v>3505</v>
      </c>
      <c r="I2650" s="46" t="e">
        <f>VLOOKUP(H2650,'合同高级查询数据-4月返'!A:A,1,FALSE)</f>
        <v>#N/A</v>
      </c>
      <c r="J2650" s="329" t="s">
        <v>3488</v>
      </c>
      <c r="K2650" s="340" t="s">
        <v>3433</v>
      </c>
      <c r="L2650" s="340"/>
      <c r="M2650" s="312" t="s">
        <v>3519</v>
      </c>
      <c r="N2650" s="265">
        <v>43472</v>
      </c>
      <c r="O2650" s="340" t="s">
        <v>503</v>
      </c>
      <c r="P2650" s="346">
        <v>5600</v>
      </c>
      <c r="Q2650" s="346">
        <v>2</v>
      </c>
      <c r="R2650" s="351">
        <f t="shared" si="83"/>
        <v>11200</v>
      </c>
      <c r="S2650" s="319">
        <v>202304</v>
      </c>
      <c r="T2650" s="353" t="s">
        <v>3537</v>
      </c>
      <c r="U2650" s="353"/>
      <c r="V2650" s="320"/>
      <c r="W2650" s="320"/>
      <c r="X2650" s="352">
        <v>44866</v>
      </c>
      <c r="Y2650" s="352">
        <v>45230</v>
      </c>
    </row>
    <row r="2651" s="5" customFormat="1" customHeight="1" spans="1:25">
      <c r="A2651" s="327" t="s">
        <v>444</v>
      </c>
      <c r="B2651" s="307" t="s">
        <v>3037</v>
      </c>
      <c r="C2651" s="327" t="s">
        <v>144</v>
      </c>
      <c r="D2651" s="307" t="s">
        <v>3038</v>
      </c>
      <c r="E2651" s="46" t="s">
        <v>3490</v>
      </c>
      <c r="F2651" s="327" t="s">
        <v>3504</v>
      </c>
      <c r="G2651" s="340" t="s">
        <v>88</v>
      </c>
      <c r="H2651" s="329" t="s">
        <v>3505</v>
      </c>
      <c r="I2651" s="46" t="e">
        <f>VLOOKUP(H2651,'合同高级查询数据-4月返'!A:A,1,FALSE)</f>
        <v>#N/A</v>
      </c>
      <c r="J2651" s="329" t="s">
        <v>3488</v>
      </c>
      <c r="K2651" s="340" t="s">
        <v>3433</v>
      </c>
      <c r="L2651" s="340"/>
      <c r="M2651" s="312" t="s">
        <v>3519</v>
      </c>
      <c r="N2651" s="265">
        <v>43479</v>
      </c>
      <c r="O2651" s="340" t="s">
        <v>503</v>
      </c>
      <c r="P2651" s="346">
        <v>5600</v>
      </c>
      <c r="Q2651" s="346">
        <v>4</v>
      </c>
      <c r="R2651" s="351">
        <f t="shared" si="83"/>
        <v>22400</v>
      </c>
      <c r="S2651" s="319">
        <v>202304</v>
      </c>
      <c r="T2651" s="353" t="s">
        <v>3538</v>
      </c>
      <c r="U2651" s="353"/>
      <c r="V2651" s="320"/>
      <c r="W2651" s="320"/>
      <c r="X2651" s="352">
        <v>44866</v>
      </c>
      <c r="Y2651" s="352">
        <v>45230</v>
      </c>
    </row>
    <row r="2652" s="5" customFormat="1" customHeight="1" spans="1:25">
      <c r="A2652" s="327" t="s">
        <v>444</v>
      </c>
      <c r="B2652" s="307" t="s">
        <v>3037</v>
      </c>
      <c r="C2652" s="327" t="s">
        <v>144</v>
      </c>
      <c r="D2652" s="307" t="s">
        <v>3038</v>
      </c>
      <c r="E2652" s="46" t="s">
        <v>3490</v>
      </c>
      <c r="F2652" s="327" t="s">
        <v>3504</v>
      </c>
      <c r="G2652" s="340" t="s">
        <v>88</v>
      </c>
      <c r="H2652" s="329" t="s">
        <v>3505</v>
      </c>
      <c r="I2652" s="46" t="e">
        <f>VLOOKUP(H2652,'合同高级查询数据-4月返'!A:A,1,FALSE)</f>
        <v>#N/A</v>
      </c>
      <c r="J2652" s="329" t="s">
        <v>3488</v>
      </c>
      <c r="K2652" s="340" t="s">
        <v>3433</v>
      </c>
      <c r="L2652" s="340"/>
      <c r="M2652" s="312" t="s">
        <v>3519</v>
      </c>
      <c r="N2652" s="265">
        <v>43480</v>
      </c>
      <c r="O2652" s="340" t="s">
        <v>503</v>
      </c>
      <c r="P2652" s="346">
        <v>5600</v>
      </c>
      <c r="Q2652" s="346">
        <v>2</v>
      </c>
      <c r="R2652" s="351">
        <f t="shared" si="83"/>
        <v>11200</v>
      </c>
      <c r="S2652" s="319">
        <v>202304</v>
      </c>
      <c r="T2652" s="353" t="s">
        <v>3539</v>
      </c>
      <c r="U2652" s="353"/>
      <c r="V2652" s="320"/>
      <c r="W2652" s="320"/>
      <c r="X2652" s="352">
        <v>44866</v>
      </c>
      <c r="Y2652" s="352">
        <v>45230</v>
      </c>
    </row>
    <row r="2653" s="5" customFormat="1" customHeight="1" spans="1:25">
      <c r="A2653" s="327" t="s">
        <v>444</v>
      </c>
      <c r="B2653" s="307" t="s">
        <v>3037</v>
      </c>
      <c r="C2653" s="327" t="s">
        <v>144</v>
      </c>
      <c r="D2653" s="307" t="s">
        <v>3038</v>
      </c>
      <c r="E2653" s="46" t="s">
        <v>3490</v>
      </c>
      <c r="F2653" s="327" t="s">
        <v>3504</v>
      </c>
      <c r="G2653" s="340" t="s">
        <v>88</v>
      </c>
      <c r="H2653" s="329" t="s">
        <v>3505</v>
      </c>
      <c r="I2653" s="46" t="e">
        <f>VLOOKUP(H2653,'合同高级查询数据-4月返'!A:A,1,FALSE)</f>
        <v>#N/A</v>
      </c>
      <c r="J2653" s="329" t="s">
        <v>3488</v>
      </c>
      <c r="K2653" s="340" t="s">
        <v>3433</v>
      </c>
      <c r="L2653" s="340"/>
      <c r="M2653" s="312" t="s">
        <v>3519</v>
      </c>
      <c r="N2653" s="265">
        <v>43481</v>
      </c>
      <c r="O2653" s="340" t="s">
        <v>503</v>
      </c>
      <c r="P2653" s="346">
        <v>5600</v>
      </c>
      <c r="Q2653" s="346">
        <v>10</v>
      </c>
      <c r="R2653" s="351">
        <f t="shared" si="83"/>
        <v>56000</v>
      </c>
      <c r="S2653" s="319">
        <v>202304</v>
      </c>
      <c r="T2653" s="353" t="s">
        <v>3540</v>
      </c>
      <c r="U2653" s="353"/>
      <c r="V2653" s="320"/>
      <c r="W2653" s="320"/>
      <c r="X2653" s="352">
        <v>44866</v>
      </c>
      <c r="Y2653" s="352">
        <v>45230</v>
      </c>
    </row>
    <row r="2654" s="5" customFormat="1" customHeight="1" spans="1:25">
      <c r="A2654" s="327" t="s">
        <v>444</v>
      </c>
      <c r="B2654" s="307" t="s">
        <v>3037</v>
      </c>
      <c r="C2654" s="327" t="s">
        <v>144</v>
      </c>
      <c r="D2654" s="307" t="s">
        <v>3038</v>
      </c>
      <c r="E2654" s="46" t="s">
        <v>3490</v>
      </c>
      <c r="F2654" s="327" t="s">
        <v>3504</v>
      </c>
      <c r="G2654" s="340" t="s">
        <v>88</v>
      </c>
      <c r="H2654" s="329" t="s">
        <v>3505</v>
      </c>
      <c r="I2654" s="46" t="e">
        <f>VLOOKUP(H2654,'合同高级查询数据-4月返'!A:A,1,FALSE)</f>
        <v>#N/A</v>
      </c>
      <c r="J2654" s="329" t="s">
        <v>3488</v>
      </c>
      <c r="K2654" s="340" t="s">
        <v>3433</v>
      </c>
      <c r="L2654" s="340"/>
      <c r="M2654" s="312" t="s">
        <v>3519</v>
      </c>
      <c r="N2654" s="265">
        <v>43487</v>
      </c>
      <c r="O2654" s="340" t="s">
        <v>503</v>
      </c>
      <c r="P2654" s="346">
        <v>5600</v>
      </c>
      <c r="Q2654" s="346">
        <v>2</v>
      </c>
      <c r="R2654" s="351">
        <f t="shared" si="83"/>
        <v>11200</v>
      </c>
      <c r="S2654" s="319">
        <v>202304</v>
      </c>
      <c r="T2654" s="353" t="s">
        <v>3541</v>
      </c>
      <c r="U2654" s="353"/>
      <c r="V2654" s="320"/>
      <c r="W2654" s="320"/>
      <c r="X2654" s="352">
        <v>44866</v>
      </c>
      <c r="Y2654" s="352">
        <v>45230</v>
      </c>
    </row>
    <row r="2655" s="5" customFormat="1" customHeight="1" spans="1:25">
      <c r="A2655" s="327" t="s">
        <v>444</v>
      </c>
      <c r="B2655" s="307" t="s">
        <v>3037</v>
      </c>
      <c r="C2655" s="327" t="s">
        <v>144</v>
      </c>
      <c r="D2655" s="307" t="s">
        <v>3038</v>
      </c>
      <c r="E2655" s="46" t="s">
        <v>3490</v>
      </c>
      <c r="F2655" s="327" t="s">
        <v>3504</v>
      </c>
      <c r="G2655" s="340" t="s">
        <v>88</v>
      </c>
      <c r="H2655" s="329" t="s">
        <v>3505</v>
      </c>
      <c r="I2655" s="46" t="e">
        <f>VLOOKUP(H2655,'合同高级查询数据-4月返'!A:A,1,FALSE)</f>
        <v>#N/A</v>
      </c>
      <c r="J2655" s="329" t="s">
        <v>3488</v>
      </c>
      <c r="K2655" s="340" t="s">
        <v>3433</v>
      </c>
      <c r="L2655" s="340"/>
      <c r="M2655" s="312" t="s">
        <v>3519</v>
      </c>
      <c r="N2655" s="265">
        <v>43494</v>
      </c>
      <c r="O2655" s="340" t="s">
        <v>503</v>
      </c>
      <c r="P2655" s="346">
        <v>5600</v>
      </c>
      <c r="Q2655" s="346">
        <v>11</v>
      </c>
      <c r="R2655" s="351">
        <f t="shared" si="83"/>
        <v>61600</v>
      </c>
      <c r="S2655" s="319">
        <v>202304</v>
      </c>
      <c r="T2655" s="353" t="s">
        <v>3542</v>
      </c>
      <c r="U2655" s="353"/>
      <c r="V2655" s="320"/>
      <c r="W2655" s="320"/>
      <c r="X2655" s="352">
        <v>44866</v>
      </c>
      <c r="Y2655" s="352">
        <v>45230</v>
      </c>
    </row>
    <row r="2656" s="5" customFormat="1" customHeight="1" spans="1:25">
      <c r="A2656" s="327" t="s">
        <v>444</v>
      </c>
      <c r="B2656" s="307" t="s">
        <v>3037</v>
      </c>
      <c r="C2656" s="327" t="s">
        <v>144</v>
      </c>
      <c r="D2656" s="307" t="s">
        <v>3038</v>
      </c>
      <c r="E2656" s="46" t="s">
        <v>3490</v>
      </c>
      <c r="F2656" s="327" t="s">
        <v>3504</v>
      </c>
      <c r="G2656" s="340" t="s">
        <v>88</v>
      </c>
      <c r="H2656" s="329" t="s">
        <v>3505</v>
      </c>
      <c r="I2656" s="46" t="e">
        <f>VLOOKUP(H2656,'合同高级查询数据-4月返'!A:A,1,FALSE)</f>
        <v>#N/A</v>
      </c>
      <c r="J2656" s="329" t="s">
        <v>3488</v>
      </c>
      <c r="K2656" s="340" t="s">
        <v>3433</v>
      </c>
      <c r="L2656" s="340"/>
      <c r="M2656" s="312" t="s">
        <v>3519</v>
      </c>
      <c r="N2656" s="265">
        <v>43507</v>
      </c>
      <c r="O2656" s="340" t="s">
        <v>503</v>
      </c>
      <c r="P2656" s="346">
        <v>5600</v>
      </c>
      <c r="Q2656" s="346">
        <v>11</v>
      </c>
      <c r="R2656" s="351">
        <f t="shared" si="83"/>
        <v>61600</v>
      </c>
      <c r="S2656" s="319">
        <v>202304</v>
      </c>
      <c r="T2656" s="353" t="s">
        <v>3543</v>
      </c>
      <c r="U2656" s="329"/>
      <c r="V2656" s="320"/>
      <c r="W2656" s="320"/>
      <c r="X2656" s="352">
        <v>44866</v>
      </c>
      <c r="Y2656" s="352">
        <v>45230</v>
      </c>
    </row>
    <row r="2657" s="5" customFormat="1" customHeight="1" spans="1:25">
      <c r="A2657" s="327" t="s">
        <v>444</v>
      </c>
      <c r="B2657" s="307" t="s">
        <v>3037</v>
      </c>
      <c r="C2657" s="327" t="s">
        <v>144</v>
      </c>
      <c r="D2657" s="307" t="s">
        <v>3038</v>
      </c>
      <c r="E2657" s="46" t="s">
        <v>3490</v>
      </c>
      <c r="F2657" s="327" t="s">
        <v>3504</v>
      </c>
      <c r="G2657" s="340" t="s">
        <v>88</v>
      </c>
      <c r="H2657" s="329" t="s">
        <v>3505</v>
      </c>
      <c r="I2657" s="46" t="e">
        <f>VLOOKUP(H2657,'合同高级查询数据-4月返'!A:A,1,FALSE)</f>
        <v>#N/A</v>
      </c>
      <c r="J2657" s="329" t="s">
        <v>3488</v>
      </c>
      <c r="K2657" s="340" t="s">
        <v>3433</v>
      </c>
      <c r="L2657" s="340"/>
      <c r="M2657" s="312" t="s">
        <v>3519</v>
      </c>
      <c r="N2657" s="265">
        <v>43522</v>
      </c>
      <c r="O2657" s="340" t="s">
        <v>503</v>
      </c>
      <c r="P2657" s="346">
        <v>5600</v>
      </c>
      <c r="Q2657" s="346">
        <v>11</v>
      </c>
      <c r="R2657" s="351">
        <f t="shared" si="83"/>
        <v>61600</v>
      </c>
      <c r="S2657" s="319">
        <v>202304</v>
      </c>
      <c r="T2657" s="353" t="s">
        <v>3544</v>
      </c>
      <c r="U2657" s="329"/>
      <c r="V2657" s="320"/>
      <c r="W2657" s="320"/>
      <c r="X2657" s="352">
        <v>44866</v>
      </c>
      <c r="Y2657" s="352">
        <v>45230</v>
      </c>
    </row>
    <row r="2658" s="5" customFormat="1" customHeight="1" spans="1:25">
      <c r="A2658" s="327" t="s">
        <v>444</v>
      </c>
      <c r="B2658" s="307" t="s">
        <v>3037</v>
      </c>
      <c r="C2658" s="327" t="s">
        <v>144</v>
      </c>
      <c r="D2658" s="307" t="s">
        <v>3038</v>
      </c>
      <c r="E2658" s="46" t="s">
        <v>3490</v>
      </c>
      <c r="F2658" s="327" t="s">
        <v>3504</v>
      </c>
      <c r="G2658" s="340" t="s">
        <v>88</v>
      </c>
      <c r="H2658" s="329" t="s">
        <v>3505</v>
      </c>
      <c r="I2658" s="46" t="e">
        <f>VLOOKUP(H2658,'合同高级查询数据-4月返'!A:A,1,FALSE)</f>
        <v>#N/A</v>
      </c>
      <c r="J2658" s="329" t="s">
        <v>3488</v>
      </c>
      <c r="K2658" s="340" t="s">
        <v>3433</v>
      </c>
      <c r="L2658" s="340"/>
      <c r="M2658" s="312" t="s">
        <v>3519</v>
      </c>
      <c r="N2658" s="265">
        <v>43525</v>
      </c>
      <c r="O2658" s="340" t="s">
        <v>503</v>
      </c>
      <c r="P2658" s="346">
        <v>5600</v>
      </c>
      <c r="Q2658" s="346">
        <v>30</v>
      </c>
      <c r="R2658" s="351">
        <f t="shared" si="83"/>
        <v>168000</v>
      </c>
      <c r="S2658" s="319">
        <v>202304</v>
      </c>
      <c r="T2658" s="353" t="s">
        <v>3545</v>
      </c>
      <c r="U2658" s="329"/>
      <c r="V2658" s="320"/>
      <c r="W2658" s="320"/>
      <c r="X2658" s="352">
        <v>44866</v>
      </c>
      <c r="Y2658" s="352">
        <v>45230</v>
      </c>
    </row>
    <row r="2659" s="5" customFormat="1" customHeight="1" spans="1:25">
      <c r="A2659" s="327" t="s">
        <v>444</v>
      </c>
      <c r="B2659" s="307" t="s">
        <v>3037</v>
      </c>
      <c r="C2659" s="327" t="s">
        <v>144</v>
      </c>
      <c r="D2659" s="307" t="s">
        <v>3038</v>
      </c>
      <c r="E2659" s="46" t="s">
        <v>3490</v>
      </c>
      <c r="F2659" s="327" t="s">
        <v>3504</v>
      </c>
      <c r="G2659" s="340" t="s">
        <v>88</v>
      </c>
      <c r="H2659" s="329" t="s">
        <v>3505</v>
      </c>
      <c r="I2659" s="46" t="e">
        <f>VLOOKUP(H2659,'合同高级查询数据-4月返'!A:A,1,FALSE)</f>
        <v>#N/A</v>
      </c>
      <c r="J2659" s="329" t="s">
        <v>3488</v>
      </c>
      <c r="K2659" s="340" t="s">
        <v>3433</v>
      </c>
      <c r="L2659" s="340"/>
      <c r="M2659" s="312" t="s">
        <v>3519</v>
      </c>
      <c r="N2659" s="265">
        <v>43543</v>
      </c>
      <c r="O2659" s="340" t="s">
        <v>503</v>
      </c>
      <c r="P2659" s="346">
        <v>5600</v>
      </c>
      <c r="Q2659" s="346">
        <v>22</v>
      </c>
      <c r="R2659" s="351">
        <f t="shared" si="83"/>
        <v>123200</v>
      </c>
      <c r="S2659" s="319">
        <v>202304</v>
      </c>
      <c r="T2659" s="353" t="s">
        <v>3545</v>
      </c>
      <c r="U2659" s="329"/>
      <c r="V2659" s="320"/>
      <c r="W2659" s="320"/>
      <c r="X2659" s="352">
        <v>44866</v>
      </c>
      <c r="Y2659" s="352">
        <v>45230</v>
      </c>
    </row>
    <row r="2660" s="5" customFormat="1" customHeight="1" spans="1:25">
      <c r="A2660" s="327" t="s">
        <v>444</v>
      </c>
      <c r="B2660" s="307" t="s">
        <v>3037</v>
      </c>
      <c r="C2660" s="327" t="s">
        <v>144</v>
      </c>
      <c r="D2660" s="307" t="s">
        <v>3038</v>
      </c>
      <c r="E2660" s="46" t="s">
        <v>3490</v>
      </c>
      <c r="F2660" s="327" t="s">
        <v>3504</v>
      </c>
      <c r="G2660" s="340" t="s">
        <v>88</v>
      </c>
      <c r="H2660" s="329" t="s">
        <v>3505</v>
      </c>
      <c r="I2660" s="46" t="e">
        <f>VLOOKUP(H2660,'合同高级查询数据-4月返'!A:A,1,FALSE)</f>
        <v>#N/A</v>
      </c>
      <c r="J2660" s="329" t="s">
        <v>3488</v>
      </c>
      <c r="K2660" s="340" t="s">
        <v>3433</v>
      </c>
      <c r="L2660" s="340"/>
      <c r="M2660" s="312" t="s">
        <v>3519</v>
      </c>
      <c r="N2660" s="265">
        <v>43552</v>
      </c>
      <c r="O2660" s="340" t="s">
        <v>503</v>
      </c>
      <c r="P2660" s="346">
        <v>5600</v>
      </c>
      <c r="Q2660" s="346">
        <v>6</v>
      </c>
      <c r="R2660" s="351">
        <f t="shared" si="83"/>
        <v>33600</v>
      </c>
      <c r="S2660" s="319">
        <v>202304</v>
      </c>
      <c r="T2660" s="353" t="s">
        <v>3545</v>
      </c>
      <c r="U2660" s="329"/>
      <c r="V2660" s="320"/>
      <c r="W2660" s="320"/>
      <c r="X2660" s="352">
        <v>44866</v>
      </c>
      <c r="Y2660" s="352">
        <v>45230</v>
      </c>
    </row>
    <row r="2661" s="5" customFormat="1" customHeight="1" spans="1:25">
      <c r="A2661" s="327" t="s">
        <v>444</v>
      </c>
      <c r="B2661" s="307" t="s">
        <v>3037</v>
      </c>
      <c r="C2661" s="327" t="s">
        <v>144</v>
      </c>
      <c r="D2661" s="307" t="s">
        <v>3038</v>
      </c>
      <c r="E2661" s="46" t="s">
        <v>3490</v>
      </c>
      <c r="F2661" s="327" t="s">
        <v>3504</v>
      </c>
      <c r="G2661" s="340" t="s">
        <v>88</v>
      </c>
      <c r="H2661" s="329" t="s">
        <v>3505</v>
      </c>
      <c r="I2661" s="46" t="e">
        <f>VLOOKUP(H2661,'合同高级查询数据-4月返'!A:A,1,FALSE)</f>
        <v>#N/A</v>
      </c>
      <c r="J2661" s="329" t="s">
        <v>3488</v>
      </c>
      <c r="K2661" s="340" t="s">
        <v>3433</v>
      </c>
      <c r="L2661" s="340"/>
      <c r="M2661" s="312" t="s">
        <v>3519</v>
      </c>
      <c r="N2661" s="265">
        <v>43590</v>
      </c>
      <c r="O2661" s="340" t="s">
        <v>503</v>
      </c>
      <c r="P2661" s="346">
        <v>5600</v>
      </c>
      <c r="Q2661" s="346">
        <v>60</v>
      </c>
      <c r="R2661" s="351">
        <f t="shared" si="83"/>
        <v>336000</v>
      </c>
      <c r="S2661" s="319">
        <v>202304</v>
      </c>
      <c r="T2661" s="353" t="s">
        <v>3545</v>
      </c>
      <c r="U2661" s="329"/>
      <c r="V2661" s="320"/>
      <c r="W2661" s="320"/>
      <c r="X2661" s="352">
        <v>44866</v>
      </c>
      <c r="Y2661" s="352">
        <v>45230</v>
      </c>
    </row>
    <row r="2662" s="5" customFormat="1" customHeight="1" spans="1:25">
      <c r="A2662" s="327" t="s">
        <v>444</v>
      </c>
      <c r="B2662" s="307" t="s">
        <v>3037</v>
      </c>
      <c r="C2662" s="327" t="s">
        <v>144</v>
      </c>
      <c r="D2662" s="307" t="s">
        <v>3038</v>
      </c>
      <c r="E2662" s="46" t="s">
        <v>3490</v>
      </c>
      <c r="F2662" s="327" t="s">
        <v>3504</v>
      </c>
      <c r="G2662" s="340" t="s">
        <v>88</v>
      </c>
      <c r="H2662" s="329" t="s">
        <v>3505</v>
      </c>
      <c r="I2662" s="46" t="e">
        <f>VLOOKUP(H2662,'合同高级查询数据-4月返'!A:A,1,FALSE)</f>
        <v>#N/A</v>
      </c>
      <c r="J2662" s="329" t="s">
        <v>3488</v>
      </c>
      <c r="K2662" s="340" t="s">
        <v>3433</v>
      </c>
      <c r="L2662" s="340"/>
      <c r="M2662" s="312" t="s">
        <v>3519</v>
      </c>
      <c r="N2662" s="265">
        <v>43595</v>
      </c>
      <c r="O2662" s="340" t="s">
        <v>503</v>
      </c>
      <c r="P2662" s="346">
        <v>5600</v>
      </c>
      <c r="Q2662" s="346">
        <v>12</v>
      </c>
      <c r="R2662" s="351">
        <f t="shared" si="83"/>
        <v>67200</v>
      </c>
      <c r="S2662" s="319">
        <v>202304</v>
      </c>
      <c r="T2662" s="353" t="s">
        <v>3545</v>
      </c>
      <c r="U2662" s="329"/>
      <c r="V2662" s="320"/>
      <c r="W2662" s="320"/>
      <c r="X2662" s="352">
        <v>44866</v>
      </c>
      <c r="Y2662" s="352">
        <v>45230</v>
      </c>
    </row>
    <row r="2663" s="5" customFormat="1" customHeight="1" spans="1:25">
      <c r="A2663" s="327" t="s">
        <v>444</v>
      </c>
      <c r="B2663" s="307" t="s">
        <v>3037</v>
      </c>
      <c r="C2663" s="327" t="s">
        <v>144</v>
      </c>
      <c r="D2663" s="307" t="s">
        <v>3038</v>
      </c>
      <c r="E2663" s="46" t="s">
        <v>3490</v>
      </c>
      <c r="F2663" s="327" t="s">
        <v>3504</v>
      </c>
      <c r="G2663" s="340" t="s">
        <v>88</v>
      </c>
      <c r="H2663" s="329" t="s">
        <v>3505</v>
      </c>
      <c r="I2663" s="46" t="e">
        <f>VLOOKUP(H2663,'合同高级查询数据-4月返'!A:A,1,FALSE)</f>
        <v>#N/A</v>
      </c>
      <c r="J2663" s="329" t="s">
        <v>3488</v>
      </c>
      <c r="K2663" s="340" t="s">
        <v>3433</v>
      </c>
      <c r="L2663" s="340"/>
      <c r="M2663" s="312" t="s">
        <v>3519</v>
      </c>
      <c r="N2663" s="265">
        <v>43599</v>
      </c>
      <c r="O2663" s="340" t="s">
        <v>503</v>
      </c>
      <c r="P2663" s="346">
        <v>5600</v>
      </c>
      <c r="Q2663" s="346">
        <v>1</v>
      </c>
      <c r="R2663" s="351">
        <f t="shared" si="83"/>
        <v>5600</v>
      </c>
      <c r="S2663" s="319">
        <v>202304</v>
      </c>
      <c r="T2663" s="353" t="s">
        <v>3545</v>
      </c>
      <c r="U2663" s="329"/>
      <c r="V2663" s="320"/>
      <c r="W2663" s="320"/>
      <c r="X2663" s="352">
        <v>44866</v>
      </c>
      <c r="Y2663" s="352">
        <v>45230</v>
      </c>
    </row>
    <row r="2664" s="5" customFormat="1" customHeight="1" spans="1:25">
      <c r="A2664" s="327" t="s">
        <v>444</v>
      </c>
      <c r="B2664" s="307" t="s">
        <v>3037</v>
      </c>
      <c r="C2664" s="327" t="s">
        <v>144</v>
      </c>
      <c r="D2664" s="307" t="s">
        <v>3038</v>
      </c>
      <c r="E2664" s="46" t="s">
        <v>3490</v>
      </c>
      <c r="F2664" s="327" t="s">
        <v>3504</v>
      </c>
      <c r="G2664" s="340" t="s">
        <v>88</v>
      </c>
      <c r="H2664" s="329" t="s">
        <v>3505</v>
      </c>
      <c r="I2664" s="46" t="e">
        <f>VLOOKUP(H2664,'合同高级查询数据-4月返'!A:A,1,FALSE)</f>
        <v>#N/A</v>
      </c>
      <c r="J2664" s="329" t="s">
        <v>3488</v>
      </c>
      <c r="K2664" s="340" t="s">
        <v>3433</v>
      </c>
      <c r="L2664" s="340"/>
      <c r="M2664" s="312" t="s">
        <v>3519</v>
      </c>
      <c r="N2664" s="265">
        <v>43601</v>
      </c>
      <c r="O2664" s="340" t="s">
        <v>503</v>
      </c>
      <c r="P2664" s="346">
        <v>5600</v>
      </c>
      <c r="Q2664" s="346">
        <v>30</v>
      </c>
      <c r="R2664" s="351">
        <f t="shared" si="83"/>
        <v>168000</v>
      </c>
      <c r="S2664" s="319">
        <v>202304</v>
      </c>
      <c r="T2664" s="353" t="s">
        <v>3545</v>
      </c>
      <c r="U2664" s="329"/>
      <c r="V2664" s="320"/>
      <c r="W2664" s="320"/>
      <c r="X2664" s="352">
        <v>44866</v>
      </c>
      <c r="Y2664" s="352">
        <v>45230</v>
      </c>
    </row>
    <row r="2665" s="5" customFormat="1" customHeight="1" spans="1:25">
      <c r="A2665" s="327" t="s">
        <v>444</v>
      </c>
      <c r="B2665" s="307" t="s">
        <v>3037</v>
      </c>
      <c r="C2665" s="327" t="s">
        <v>144</v>
      </c>
      <c r="D2665" s="307" t="s">
        <v>3038</v>
      </c>
      <c r="E2665" s="46" t="s">
        <v>3490</v>
      </c>
      <c r="F2665" s="327" t="s">
        <v>3504</v>
      </c>
      <c r="G2665" s="340" t="s">
        <v>88</v>
      </c>
      <c r="H2665" s="329" t="s">
        <v>3505</v>
      </c>
      <c r="I2665" s="46" t="e">
        <f>VLOOKUP(H2665,'合同高级查询数据-4月返'!A:A,1,FALSE)</f>
        <v>#N/A</v>
      </c>
      <c r="J2665" s="329" t="s">
        <v>3488</v>
      </c>
      <c r="K2665" s="340" t="s">
        <v>3433</v>
      </c>
      <c r="L2665" s="340"/>
      <c r="M2665" s="312" t="s">
        <v>3519</v>
      </c>
      <c r="N2665" s="265">
        <v>43607</v>
      </c>
      <c r="O2665" s="340" t="s">
        <v>503</v>
      </c>
      <c r="P2665" s="346">
        <v>5600</v>
      </c>
      <c r="Q2665" s="346">
        <v>6</v>
      </c>
      <c r="R2665" s="351">
        <f t="shared" si="83"/>
        <v>33600</v>
      </c>
      <c r="S2665" s="319">
        <v>202304</v>
      </c>
      <c r="T2665" s="353" t="s">
        <v>3545</v>
      </c>
      <c r="U2665" s="329"/>
      <c r="V2665" s="320"/>
      <c r="W2665" s="320"/>
      <c r="X2665" s="352">
        <v>44866</v>
      </c>
      <c r="Y2665" s="352">
        <v>45230</v>
      </c>
    </row>
    <row r="2666" s="5" customFormat="1" customHeight="1" spans="1:25">
      <c r="A2666" s="327" t="s">
        <v>444</v>
      </c>
      <c r="B2666" s="307" t="s">
        <v>3037</v>
      </c>
      <c r="C2666" s="327" t="s">
        <v>144</v>
      </c>
      <c r="D2666" s="307" t="s">
        <v>3038</v>
      </c>
      <c r="E2666" s="46" t="s">
        <v>3490</v>
      </c>
      <c r="F2666" s="327" t="s">
        <v>3504</v>
      </c>
      <c r="G2666" s="340" t="s">
        <v>88</v>
      </c>
      <c r="H2666" s="329" t="s">
        <v>3505</v>
      </c>
      <c r="I2666" s="46" t="e">
        <f>VLOOKUP(H2666,'合同高级查询数据-4月返'!A:A,1,FALSE)</f>
        <v>#N/A</v>
      </c>
      <c r="J2666" s="329" t="s">
        <v>3488</v>
      </c>
      <c r="K2666" s="340" t="s">
        <v>3433</v>
      </c>
      <c r="L2666" s="340"/>
      <c r="M2666" s="312" t="s">
        <v>3519</v>
      </c>
      <c r="N2666" s="265">
        <v>43633</v>
      </c>
      <c r="O2666" s="340" t="s">
        <v>503</v>
      </c>
      <c r="P2666" s="346">
        <v>5600</v>
      </c>
      <c r="Q2666" s="346">
        <v>44</v>
      </c>
      <c r="R2666" s="351">
        <f t="shared" si="83"/>
        <v>246400</v>
      </c>
      <c r="S2666" s="319">
        <v>202304</v>
      </c>
      <c r="T2666" s="353" t="s">
        <v>3546</v>
      </c>
      <c r="U2666" s="329"/>
      <c r="V2666" s="320"/>
      <c r="W2666" s="320"/>
      <c r="X2666" s="352">
        <v>44866</v>
      </c>
      <c r="Y2666" s="352">
        <v>45230</v>
      </c>
    </row>
    <row r="2667" s="5" customFormat="1" customHeight="1" spans="1:25">
      <c r="A2667" s="327" t="s">
        <v>444</v>
      </c>
      <c r="B2667" s="307" t="s">
        <v>3037</v>
      </c>
      <c r="C2667" s="327" t="s">
        <v>144</v>
      </c>
      <c r="D2667" s="307" t="s">
        <v>3038</v>
      </c>
      <c r="E2667" s="46" t="s">
        <v>3490</v>
      </c>
      <c r="F2667" s="327" t="s">
        <v>3504</v>
      </c>
      <c r="G2667" s="340" t="s">
        <v>88</v>
      </c>
      <c r="H2667" s="329" t="s">
        <v>3505</v>
      </c>
      <c r="I2667" s="46" t="e">
        <f>VLOOKUP(H2667,'合同高级查询数据-4月返'!A:A,1,FALSE)</f>
        <v>#N/A</v>
      </c>
      <c r="J2667" s="329" t="s">
        <v>3488</v>
      </c>
      <c r="K2667" s="340" t="s">
        <v>3433</v>
      </c>
      <c r="L2667" s="340"/>
      <c r="M2667" s="312" t="s">
        <v>3519</v>
      </c>
      <c r="N2667" s="265">
        <v>43634</v>
      </c>
      <c r="O2667" s="340" t="s">
        <v>503</v>
      </c>
      <c r="P2667" s="346">
        <v>5600</v>
      </c>
      <c r="Q2667" s="346">
        <v>7</v>
      </c>
      <c r="R2667" s="351">
        <f t="shared" si="83"/>
        <v>39200</v>
      </c>
      <c r="S2667" s="319">
        <v>202304</v>
      </c>
      <c r="T2667" s="353" t="s">
        <v>3547</v>
      </c>
      <c r="U2667" s="329"/>
      <c r="V2667" s="320"/>
      <c r="W2667" s="320"/>
      <c r="X2667" s="352">
        <v>44866</v>
      </c>
      <c r="Y2667" s="352">
        <v>45230</v>
      </c>
    </row>
    <row r="2668" s="5" customFormat="1" customHeight="1" spans="1:25">
      <c r="A2668" s="327" t="s">
        <v>444</v>
      </c>
      <c r="B2668" s="307" t="s">
        <v>3037</v>
      </c>
      <c r="C2668" s="327" t="s">
        <v>144</v>
      </c>
      <c r="D2668" s="307" t="s">
        <v>3038</v>
      </c>
      <c r="E2668" s="46" t="s">
        <v>3490</v>
      </c>
      <c r="F2668" s="327" t="s">
        <v>3504</v>
      </c>
      <c r="G2668" s="340" t="s">
        <v>88</v>
      </c>
      <c r="H2668" s="329" t="s">
        <v>3505</v>
      </c>
      <c r="I2668" s="46" t="e">
        <f>VLOOKUP(H2668,'合同高级查询数据-4月返'!A:A,1,FALSE)</f>
        <v>#N/A</v>
      </c>
      <c r="J2668" s="329" t="s">
        <v>3488</v>
      </c>
      <c r="K2668" s="340" t="s">
        <v>3433</v>
      </c>
      <c r="L2668" s="340"/>
      <c r="M2668" s="312" t="s">
        <v>3519</v>
      </c>
      <c r="N2668" s="265">
        <v>43637</v>
      </c>
      <c r="O2668" s="340" t="s">
        <v>503</v>
      </c>
      <c r="P2668" s="346">
        <v>5600</v>
      </c>
      <c r="Q2668" s="346">
        <v>28</v>
      </c>
      <c r="R2668" s="351">
        <f t="shared" si="83"/>
        <v>156800</v>
      </c>
      <c r="S2668" s="319">
        <v>202304</v>
      </c>
      <c r="T2668" s="353" t="s">
        <v>3548</v>
      </c>
      <c r="U2668" s="329"/>
      <c r="V2668" s="320"/>
      <c r="W2668" s="320"/>
      <c r="X2668" s="352">
        <v>44866</v>
      </c>
      <c r="Y2668" s="352">
        <v>45230</v>
      </c>
    </row>
    <row r="2669" s="5" customFormat="1" customHeight="1" spans="1:25">
      <c r="A2669" s="327" t="s">
        <v>444</v>
      </c>
      <c r="B2669" s="307" t="s">
        <v>3037</v>
      </c>
      <c r="C2669" s="327" t="s">
        <v>144</v>
      </c>
      <c r="D2669" s="307" t="s">
        <v>3038</v>
      </c>
      <c r="E2669" s="46" t="s">
        <v>3490</v>
      </c>
      <c r="F2669" s="327" t="s">
        <v>3504</v>
      </c>
      <c r="G2669" s="340" t="s">
        <v>88</v>
      </c>
      <c r="H2669" s="329" t="s">
        <v>3505</v>
      </c>
      <c r="I2669" s="46" t="e">
        <f>VLOOKUP(H2669,'合同高级查询数据-4月返'!A:A,1,FALSE)</f>
        <v>#N/A</v>
      </c>
      <c r="J2669" s="329" t="s">
        <v>3488</v>
      </c>
      <c r="K2669" s="340" t="s">
        <v>3433</v>
      </c>
      <c r="L2669" s="340"/>
      <c r="M2669" s="312" t="s">
        <v>3519</v>
      </c>
      <c r="N2669" s="265">
        <v>43640</v>
      </c>
      <c r="O2669" s="340" t="s">
        <v>503</v>
      </c>
      <c r="P2669" s="346">
        <v>5600</v>
      </c>
      <c r="Q2669" s="346">
        <v>2</v>
      </c>
      <c r="R2669" s="351">
        <f t="shared" si="83"/>
        <v>11200</v>
      </c>
      <c r="S2669" s="319">
        <v>202304</v>
      </c>
      <c r="T2669" s="329" t="s">
        <v>3549</v>
      </c>
      <c r="U2669" s="329"/>
      <c r="V2669" s="320"/>
      <c r="W2669" s="320"/>
      <c r="X2669" s="352">
        <v>44866</v>
      </c>
      <c r="Y2669" s="352">
        <v>45230</v>
      </c>
    </row>
    <row r="2670" s="5" customFormat="1" customHeight="1" spans="1:25">
      <c r="A2670" s="327" t="s">
        <v>444</v>
      </c>
      <c r="B2670" s="307" t="s">
        <v>3037</v>
      </c>
      <c r="C2670" s="327" t="s">
        <v>144</v>
      </c>
      <c r="D2670" s="307" t="s">
        <v>3038</v>
      </c>
      <c r="E2670" s="46" t="s">
        <v>3490</v>
      </c>
      <c r="F2670" s="327" t="s">
        <v>3504</v>
      </c>
      <c r="G2670" s="340" t="s">
        <v>88</v>
      </c>
      <c r="H2670" s="329" t="s">
        <v>3505</v>
      </c>
      <c r="I2670" s="46" t="e">
        <f>VLOOKUP(H2670,'合同高级查询数据-4月返'!A:A,1,FALSE)</f>
        <v>#N/A</v>
      </c>
      <c r="J2670" s="329" t="s">
        <v>3488</v>
      </c>
      <c r="K2670" s="340" t="s">
        <v>3433</v>
      </c>
      <c r="L2670" s="340"/>
      <c r="M2670" s="312" t="s">
        <v>3519</v>
      </c>
      <c r="N2670" s="265">
        <v>43644</v>
      </c>
      <c r="O2670" s="340" t="s">
        <v>503</v>
      </c>
      <c r="P2670" s="346">
        <v>5600</v>
      </c>
      <c r="Q2670" s="346">
        <v>12</v>
      </c>
      <c r="R2670" s="351">
        <f t="shared" si="83"/>
        <v>67200</v>
      </c>
      <c r="S2670" s="319">
        <v>202304</v>
      </c>
      <c r="T2670" s="329" t="s">
        <v>3550</v>
      </c>
      <c r="U2670" s="329"/>
      <c r="V2670" s="320"/>
      <c r="W2670" s="320"/>
      <c r="X2670" s="352">
        <v>44866</v>
      </c>
      <c r="Y2670" s="352">
        <v>45230</v>
      </c>
    </row>
    <row r="2671" s="5" customFormat="1" customHeight="1" spans="1:25">
      <c r="A2671" s="327" t="s">
        <v>444</v>
      </c>
      <c r="B2671" s="307" t="s">
        <v>3037</v>
      </c>
      <c r="C2671" s="327" t="s">
        <v>144</v>
      </c>
      <c r="D2671" s="307" t="s">
        <v>3038</v>
      </c>
      <c r="E2671" s="46" t="s">
        <v>3490</v>
      </c>
      <c r="F2671" s="327" t="s">
        <v>3504</v>
      </c>
      <c r="G2671" s="340" t="s">
        <v>88</v>
      </c>
      <c r="H2671" s="329" t="s">
        <v>3505</v>
      </c>
      <c r="I2671" s="46" t="e">
        <f>VLOOKUP(H2671,'合同高级查询数据-4月返'!A:A,1,FALSE)</f>
        <v>#N/A</v>
      </c>
      <c r="J2671" s="329" t="s">
        <v>3488</v>
      </c>
      <c r="K2671" s="340" t="s">
        <v>3433</v>
      </c>
      <c r="L2671" s="340"/>
      <c r="M2671" s="312" t="s">
        <v>3519</v>
      </c>
      <c r="N2671" s="265">
        <v>43655</v>
      </c>
      <c r="O2671" s="340" t="s">
        <v>503</v>
      </c>
      <c r="P2671" s="346">
        <v>5600</v>
      </c>
      <c r="Q2671" s="346">
        <v>28</v>
      </c>
      <c r="R2671" s="351">
        <f t="shared" si="83"/>
        <v>156800</v>
      </c>
      <c r="S2671" s="319">
        <v>202304</v>
      </c>
      <c r="T2671" s="329" t="s">
        <v>3550</v>
      </c>
      <c r="U2671" s="353"/>
      <c r="V2671" s="320"/>
      <c r="W2671" s="320"/>
      <c r="X2671" s="352">
        <v>44866</v>
      </c>
      <c r="Y2671" s="352">
        <v>45230</v>
      </c>
    </row>
    <row r="2672" s="5" customFormat="1" customHeight="1" spans="1:25">
      <c r="A2672" s="327" t="s">
        <v>444</v>
      </c>
      <c r="B2672" s="307" t="s">
        <v>3037</v>
      </c>
      <c r="C2672" s="327" t="s">
        <v>144</v>
      </c>
      <c r="D2672" s="307" t="s">
        <v>3038</v>
      </c>
      <c r="E2672" s="46" t="s">
        <v>3490</v>
      </c>
      <c r="F2672" s="327" t="s">
        <v>3504</v>
      </c>
      <c r="G2672" s="340" t="s">
        <v>88</v>
      </c>
      <c r="H2672" s="329" t="s">
        <v>3505</v>
      </c>
      <c r="I2672" s="46" t="e">
        <f>VLOOKUP(H2672,'合同高级查询数据-4月返'!A:A,1,FALSE)</f>
        <v>#N/A</v>
      </c>
      <c r="J2672" s="329" t="s">
        <v>3488</v>
      </c>
      <c r="K2672" s="340" t="s">
        <v>3433</v>
      </c>
      <c r="L2672" s="340"/>
      <c r="M2672" s="312" t="s">
        <v>3519</v>
      </c>
      <c r="N2672" s="265">
        <v>43657</v>
      </c>
      <c r="O2672" s="340" t="s">
        <v>503</v>
      </c>
      <c r="P2672" s="346">
        <v>5600</v>
      </c>
      <c r="Q2672" s="346">
        <v>4</v>
      </c>
      <c r="R2672" s="351">
        <f t="shared" si="83"/>
        <v>22400</v>
      </c>
      <c r="S2672" s="319">
        <v>202304</v>
      </c>
      <c r="T2672" s="353" t="s">
        <v>3550</v>
      </c>
      <c r="U2672" s="353"/>
      <c r="V2672" s="320"/>
      <c r="W2672" s="320"/>
      <c r="X2672" s="352">
        <v>44866</v>
      </c>
      <c r="Y2672" s="352">
        <v>45230</v>
      </c>
    </row>
    <row r="2673" s="5" customFormat="1" customHeight="1" spans="1:25">
      <c r="A2673" s="327" t="s">
        <v>444</v>
      </c>
      <c r="B2673" s="307" t="s">
        <v>3037</v>
      </c>
      <c r="C2673" s="327" t="s">
        <v>144</v>
      </c>
      <c r="D2673" s="307" t="s">
        <v>3038</v>
      </c>
      <c r="E2673" s="46" t="s">
        <v>3490</v>
      </c>
      <c r="F2673" s="327" t="s">
        <v>3504</v>
      </c>
      <c r="G2673" s="329" t="s">
        <v>88</v>
      </c>
      <c r="H2673" s="329" t="s">
        <v>3505</v>
      </c>
      <c r="I2673" s="46" t="e">
        <f>VLOOKUP(H2673,'合同高级查询数据-4月返'!A:A,1,FALSE)</f>
        <v>#N/A</v>
      </c>
      <c r="J2673" s="329" t="s">
        <v>3488</v>
      </c>
      <c r="K2673" s="340" t="s">
        <v>3433</v>
      </c>
      <c r="L2673" s="340"/>
      <c r="M2673" s="312" t="s">
        <v>3519</v>
      </c>
      <c r="N2673" s="265">
        <v>43668</v>
      </c>
      <c r="O2673" s="340" t="s">
        <v>503</v>
      </c>
      <c r="P2673" s="346">
        <v>5600</v>
      </c>
      <c r="Q2673" s="346">
        <v>6</v>
      </c>
      <c r="R2673" s="351">
        <f t="shared" si="83"/>
        <v>33600</v>
      </c>
      <c r="S2673" s="319">
        <v>202304</v>
      </c>
      <c r="T2673" s="353" t="s">
        <v>3550</v>
      </c>
      <c r="U2673" s="353"/>
      <c r="V2673" s="320"/>
      <c r="W2673" s="320"/>
      <c r="X2673" s="352">
        <v>44866</v>
      </c>
      <c r="Y2673" s="352">
        <v>45230</v>
      </c>
    </row>
    <row r="2674" s="5" customFormat="1" customHeight="1" spans="1:25">
      <c r="A2674" s="327" t="s">
        <v>444</v>
      </c>
      <c r="B2674" s="307" t="s">
        <v>3037</v>
      </c>
      <c r="C2674" s="327" t="s">
        <v>144</v>
      </c>
      <c r="D2674" s="307" t="s">
        <v>3038</v>
      </c>
      <c r="E2674" s="46" t="s">
        <v>3490</v>
      </c>
      <c r="F2674" s="327" t="s">
        <v>3504</v>
      </c>
      <c r="G2674" s="329" t="s">
        <v>88</v>
      </c>
      <c r="H2674" s="329" t="s">
        <v>3505</v>
      </c>
      <c r="I2674" s="46" t="e">
        <f>VLOOKUP(H2674,'合同高级查询数据-4月返'!A:A,1,FALSE)</f>
        <v>#N/A</v>
      </c>
      <c r="J2674" s="329" t="s">
        <v>3488</v>
      </c>
      <c r="K2674" s="340" t="s">
        <v>3433</v>
      </c>
      <c r="L2674" s="340"/>
      <c r="M2674" s="312" t="s">
        <v>3519</v>
      </c>
      <c r="N2674" s="265">
        <v>43670</v>
      </c>
      <c r="O2674" s="340" t="s">
        <v>503</v>
      </c>
      <c r="P2674" s="346">
        <v>5600</v>
      </c>
      <c r="Q2674" s="346">
        <v>2</v>
      </c>
      <c r="R2674" s="351">
        <f t="shared" si="83"/>
        <v>11200</v>
      </c>
      <c r="S2674" s="319">
        <v>202304</v>
      </c>
      <c r="T2674" s="353" t="s">
        <v>3550</v>
      </c>
      <c r="U2674" s="353"/>
      <c r="V2674" s="320"/>
      <c r="W2674" s="320"/>
      <c r="X2674" s="352">
        <v>44866</v>
      </c>
      <c r="Y2674" s="352">
        <v>45230</v>
      </c>
    </row>
    <row r="2675" s="5" customFormat="1" customHeight="1" spans="1:25">
      <c r="A2675" s="327" t="s">
        <v>444</v>
      </c>
      <c r="B2675" s="307" t="s">
        <v>3037</v>
      </c>
      <c r="C2675" s="327" t="s">
        <v>144</v>
      </c>
      <c r="D2675" s="307" t="s">
        <v>3038</v>
      </c>
      <c r="E2675" s="46" t="s">
        <v>3490</v>
      </c>
      <c r="F2675" s="327" t="s">
        <v>3504</v>
      </c>
      <c r="G2675" s="329" t="s">
        <v>88</v>
      </c>
      <c r="H2675" s="329" t="s">
        <v>3505</v>
      </c>
      <c r="I2675" s="46" t="e">
        <f>VLOOKUP(H2675,'合同高级查询数据-4月返'!A:A,1,FALSE)</f>
        <v>#N/A</v>
      </c>
      <c r="J2675" s="329" t="s">
        <v>3488</v>
      </c>
      <c r="K2675" s="340" t="s">
        <v>3433</v>
      </c>
      <c r="L2675" s="340"/>
      <c r="M2675" s="312" t="s">
        <v>3519</v>
      </c>
      <c r="N2675" s="265">
        <v>43671</v>
      </c>
      <c r="O2675" s="340" t="s">
        <v>503</v>
      </c>
      <c r="P2675" s="346">
        <v>5600</v>
      </c>
      <c r="Q2675" s="346">
        <v>2</v>
      </c>
      <c r="R2675" s="351">
        <f t="shared" si="83"/>
        <v>11200</v>
      </c>
      <c r="S2675" s="319">
        <v>202304</v>
      </c>
      <c r="T2675" s="353" t="s">
        <v>3550</v>
      </c>
      <c r="U2675" s="353"/>
      <c r="V2675" s="320"/>
      <c r="W2675" s="320"/>
      <c r="X2675" s="352">
        <v>44866</v>
      </c>
      <c r="Y2675" s="352">
        <v>45230</v>
      </c>
    </row>
    <row r="2676" s="5" customFormat="1" customHeight="1" spans="1:25">
      <c r="A2676" s="327" t="s">
        <v>444</v>
      </c>
      <c r="B2676" s="307" t="s">
        <v>3037</v>
      </c>
      <c r="C2676" s="327" t="s">
        <v>144</v>
      </c>
      <c r="D2676" s="307" t="s">
        <v>3038</v>
      </c>
      <c r="E2676" s="46" t="s">
        <v>3490</v>
      </c>
      <c r="F2676" s="327" t="s">
        <v>3504</v>
      </c>
      <c r="G2676" s="329" t="s">
        <v>88</v>
      </c>
      <c r="H2676" s="329" t="s">
        <v>3505</v>
      </c>
      <c r="I2676" s="46" t="e">
        <f>VLOOKUP(H2676,'合同高级查询数据-4月返'!A:A,1,FALSE)</f>
        <v>#N/A</v>
      </c>
      <c r="J2676" s="329" t="s">
        <v>3488</v>
      </c>
      <c r="K2676" s="340" t="s">
        <v>3433</v>
      </c>
      <c r="L2676" s="340"/>
      <c r="M2676" s="312" t="s">
        <v>3519</v>
      </c>
      <c r="N2676" s="265">
        <v>43678</v>
      </c>
      <c r="O2676" s="340" t="s">
        <v>503</v>
      </c>
      <c r="P2676" s="346">
        <v>5600</v>
      </c>
      <c r="Q2676" s="346">
        <v>8</v>
      </c>
      <c r="R2676" s="351">
        <f t="shared" si="83"/>
        <v>44800</v>
      </c>
      <c r="S2676" s="319">
        <v>202304</v>
      </c>
      <c r="T2676" s="353" t="s">
        <v>3551</v>
      </c>
      <c r="U2676" s="353"/>
      <c r="V2676" s="320"/>
      <c r="W2676" s="320"/>
      <c r="X2676" s="352">
        <v>44866</v>
      </c>
      <c r="Y2676" s="352">
        <v>45230</v>
      </c>
    </row>
    <row r="2677" s="5" customFormat="1" customHeight="1" spans="1:25">
      <c r="A2677" s="327" t="s">
        <v>444</v>
      </c>
      <c r="B2677" s="307" t="s">
        <v>3037</v>
      </c>
      <c r="C2677" s="327" t="s">
        <v>144</v>
      </c>
      <c r="D2677" s="307" t="s">
        <v>3038</v>
      </c>
      <c r="E2677" s="46" t="s">
        <v>3490</v>
      </c>
      <c r="F2677" s="327" t="s">
        <v>3504</v>
      </c>
      <c r="G2677" s="329" t="s">
        <v>88</v>
      </c>
      <c r="H2677" s="329" t="s">
        <v>3505</v>
      </c>
      <c r="I2677" s="46" t="e">
        <f>VLOOKUP(H2677,'合同高级查询数据-4月返'!A:A,1,FALSE)</f>
        <v>#N/A</v>
      </c>
      <c r="J2677" s="329" t="s">
        <v>3488</v>
      </c>
      <c r="K2677" s="340" t="s">
        <v>3433</v>
      </c>
      <c r="L2677" s="340"/>
      <c r="M2677" s="312" t="s">
        <v>3519</v>
      </c>
      <c r="N2677" s="265">
        <v>43679</v>
      </c>
      <c r="O2677" s="340" t="s">
        <v>503</v>
      </c>
      <c r="P2677" s="346">
        <v>5600</v>
      </c>
      <c r="Q2677" s="346">
        <v>2</v>
      </c>
      <c r="R2677" s="351">
        <f t="shared" si="83"/>
        <v>11200</v>
      </c>
      <c r="S2677" s="319">
        <v>202304</v>
      </c>
      <c r="T2677" s="353" t="s">
        <v>3551</v>
      </c>
      <c r="U2677" s="353"/>
      <c r="V2677" s="320"/>
      <c r="W2677" s="320"/>
      <c r="X2677" s="352">
        <v>44866</v>
      </c>
      <c r="Y2677" s="352">
        <v>45230</v>
      </c>
    </row>
    <row r="2678" s="5" customFormat="1" customHeight="1" spans="1:25">
      <c r="A2678" s="327" t="s">
        <v>444</v>
      </c>
      <c r="B2678" s="307" t="s">
        <v>3037</v>
      </c>
      <c r="C2678" s="327" t="s">
        <v>144</v>
      </c>
      <c r="D2678" s="307" t="s">
        <v>3038</v>
      </c>
      <c r="E2678" s="46" t="s">
        <v>3490</v>
      </c>
      <c r="F2678" s="327" t="s">
        <v>3504</v>
      </c>
      <c r="G2678" s="329" t="s">
        <v>88</v>
      </c>
      <c r="H2678" s="329" t="s">
        <v>3505</v>
      </c>
      <c r="I2678" s="46" t="e">
        <f>VLOOKUP(H2678,'合同高级查询数据-4月返'!A:A,1,FALSE)</f>
        <v>#N/A</v>
      </c>
      <c r="J2678" s="329" t="s">
        <v>3488</v>
      </c>
      <c r="K2678" s="340" t="s">
        <v>3433</v>
      </c>
      <c r="L2678" s="340"/>
      <c r="M2678" s="312" t="s">
        <v>3519</v>
      </c>
      <c r="N2678" s="265">
        <v>43690</v>
      </c>
      <c r="O2678" s="340" t="s">
        <v>503</v>
      </c>
      <c r="P2678" s="346">
        <v>5600</v>
      </c>
      <c r="Q2678" s="346">
        <v>2</v>
      </c>
      <c r="R2678" s="351">
        <f t="shared" si="83"/>
        <v>11200</v>
      </c>
      <c r="S2678" s="319">
        <v>202304</v>
      </c>
      <c r="T2678" s="353" t="s">
        <v>3551</v>
      </c>
      <c r="U2678" s="353"/>
      <c r="V2678" s="320"/>
      <c r="W2678" s="320"/>
      <c r="X2678" s="352">
        <v>44866</v>
      </c>
      <c r="Y2678" s="352">
        <v>45230</v>
      </c>
    </row>
    <row r="2679" s="5" customFormat="1" customHeight="1" spans="1:25">
      <c r="A2679" s="327" t="s">
        <v>444</v>
      </c>
      <c r="B2679" s="307" t="s">
        <v>3037</v>
      </c>
      <c r="C2679" s="327" t="s">
        <v>144</v>
      </c>
      <c r="D2679" s="307" t="s">
        <v>3038</v>
      </c>
      <c r="E2679" s="46" t="s">
        <v>3490</v>
      </c>
      <c r="F2679" s="327" t="s">
        <v>3504</v>
      </c>
      <c r="G2679" s="329" t="s">
        <v>88</v>
      </c>
      <c r="H2679" s="329" t="s">
        <v>3505</v>
      </c>
      <c r="I2679" s="46" t="e">
        <f>VLOOKUP(H2679,'合同高级查询数据-4月返'!A:A,1,FALSE)</f>
        <v>#N/A</v>
      </c>
      <c r="J2679" s="329" t="s">
        <v>3488</v>
      </c>
      <c r="K2679" s="340" t="s">
        <v>3433</v>
      </c>
      <c r="L2679" s="340"/>
      <c r="M2679" s="312" t="s">
        <v>3519</v>
      </c>
      <c r="N2679" s="265">
        <v>43693</v>
      </c>
      <c r="O2679" s="340" t="s">
        <v>503</v>
      </c>
      <c r="P2679" s="346">
        <v>5600</v>
      </c>
      <c r="Q2679" s="346">
        <v>7</v>
      </c>
      <c r="R2679" s="351">
        <f t="shared" si="83"/>
        <v>39200</v>
      </c>
      <c r="S2679" s="319">
        <v>202304</v>
      </c>
      <c r="T2679" s="353" t="s">
        <v>3551</v>
      </c>
      <c r="U2679" s="353"/>
      <c r="V2679" s="320"/>
      <c r="W2679" s="320"/>
      <c r="X2679" s="352">
        <v>44866</v>
      </c>
      <c r="Y2679" s="352">
        <v>45230</v>
      </c>
    </row>
    <row r="2680" s="5" customFormat="1" customHeight="1" spans="1:25">
      <c r="A2680" s="327" t="s">
        <v>444</v>
      </c>
      <c r="B2680" s="307" t="s">
        <v>3037</v>
      </c>
      <c r="C2680" s="327" t="s">
        <v>144</v>
      </c>
      <c r="D2680" s="307" t="s">
        <v>3038</v>
      </c>
      <c r="E2680" s="46" t="s">
        <v>3490</v>
      </c>
      <c r="F2680" s="327" t="s">
        <v>3504</v>
      </c>
      <c r="G2680" s="329" t="s">
        <v>88</v>
      </c>
      <c r="H2680" s="329" t="s">
        <v>3505</v>
      </c>
      <c r="I2680" s="46" t="e">
        <f>VLOOKUP(H2680,'合同高级查询数据-4月返'!A:A,1,FALSE)</f>
        <v>#N/A</v>
      </c>
      <c r="J2680" s="329" t="s">
        <v>3488</v>
      </c>
      <c r="K2680" s="340" t="s">
        <v>3433</v>
      </c>
      <c r="L2680" s="340"/>
      <c r="M2680" s="312" t="s">
        <v>3519</v>
      </c>
      <c r="N2680" s="265">
        <v>43696</v>
      </c>
      <c r="O2680" s="340" t="s">
        <v>503</v>
      </c>
      <c r="P2680" s="346">
        <v>5600</v>
      </c>
      <c r="Q2680" s="346">
        <v>6</v>
      </c>
      <c r="R2680" s="351">
        <f t="shared" si="83"/>
        <v>33600</v>
      </c>
      <c r="S2680" s="319">
        <v>202304</v>
      </c>
      <c r="T2680" s="353" t="s">
        <v>3551</v>
      </c>
      <c r="U2680" s="353"/>
      <c r="V2680" s="320"/>
      <c r="W2680" s="320"/>
      <c r="X2680" s="352">
        <v>44866</v>
      </c>
      <c r="Y2680" s="352">
        <v>45230</v>
      </c>
    </row>
    <row r="2681" s="5" customFormat="1" customHeight="1" spans="1:25">
      <c r="A2681" s="327" t="s">
        <v>444</v>
      </c>
      <c r="B2681" s="307" t="s">
        <v>3037</v>
      </c>
      <c r="C2681" s="327" t="s">
        <v>144</v>
      </c>
      <c r="D2681" s="307" t="s">
        <v>3038</v>
      </c>
      <c r="E2681" s="46" t="s">
        <v>3490</v>
      </c>
      <c r="F2681" s="327" t="s">
        <v>3504</v>
      </c>
      <c r="G2681" s="329" t="s">
        <v>88</v>
      </c>
      <c r="H2681" s="329" t="s">
        <v>3505</v>
      </c>
      <c r="I2681" s="46" t="e">
        <f>VLOOKUP(H2681,'合同高级查询数据-4月返'!A:A,1,FALSE)</f>
        <v>#N/A</v>
      </c>
      <c r="J2681" s="329" t="s">
        <v>3488</v>
      </c>
      <c r="K2681" s="340" t="s">
        <v>3433</v>
      </c>
      <c r="L2681" s="340"/>
      <c r="M2681" s="312" t="s">
        <v>3519</v>
      </c>
      <c r="N2681" s="265">
        <v>43698</v>
      </c>
      <c r="O2681" s="340" t="s">
        <v>503</v>
      </c>
      <c r="P2681" s="346">
        <v>5600</v>
      </c>
      <c r="Q2681" s="346">
        <v>9</v>
      </c>
      <c r="R2681" s="351">
        <f t="shared" si="83"/>
        <v>50400</v>
      </c>
      <c r="S2681" s="319">
        <v>202304</v>
      </c>
      <c r="T2681" s="353" t="s">
        <v>3551</v>
      </c>
      <c r="U2681" s="353"/>
      <c r="V2681" s="320"/>
      <c r="W2681" s="320"/>
      <c r="X2681" s="352">
        <v>44866</v>
      </c>
      <c r="Y2681" s="352">
        <v>45230</v>
      </c>
    </row>
    <row r="2682" s="5" customFormat="1" customHeight="1" spans="1:25">
      <c r="A2682" s="327" t="s">
        <v>444</v>
      </c>
      <c r="B2682" s="307" t="s">
        <v>3037</v>
      </c>
      <c r="C2682" s="327" t="s">
        <v>144</v>
      </c>
      <c r="D2682" s="307" t="s">
        <v>3038</v>
      </c>
      <c r="E2682" s="46" t="s">
        <v>3490</v>
      </c>
      <c r="F2682" s="327" t="s">
        <v>3504</v>
      </c>
      <c r="G2682" s="329" t="s">
        <v>88</v>
      </c>
      <c r="H2682" s="329" t="s">
        <v>3505</v>
      </c>
      <c r="I2682" s="46" t="e">
        <f>VLOOKUP(H2682,'合同高级查询数据-4月返'!A:A,1,FALSE)</f>
        <v>#N/A</v>
      </c>
      <c r="J2682" s="329" t="s">
        <v>3488</v>
      </c>
      <c r="K2682" s="340" t="s">
        <v>3433</v>
      </c>
      <c r="L2682" s="340"/>
      <c r="M2682" s="312" t="s">
        <v>3519</v>
      </c>
      <c r="N2682" s="265">
        <v>43703</v>
      </c>
      <c r="O2682" s="340" t="s">
        <v>503</v>
      </c>
      <c r="P2682" s="346">
        <v>5600</v>
      </c>
      <c r="Q2682" s="346">
        <v>8</v>
      </c>
      <c r="R2682" s="351">
        <f t="shared" si="83"/>
        <v>44800</v>
      </c>
      <c r="S2682" s="319">
        <v>202304</v>
      </c>
      <c r="T2682" s="353" t="s">
        <v>3551</v>
      </c>
      <c r="U2682" s="353"/>
      <c r="V2682" s="320"/>
      <c r="W2682" s="320"/>
      <c r="X2682" s="352">
        <v>44866</v>
      </c>
      <c r="Y2682" s="352">
        <v>45230</v>
      </c>
    </row>
    <row r="2683" s="5" customFormat="1" customHeight="1" spans="1:25">
      <c r="A2683" s="327" t="s">
        <v>444</v>
      </c>
      <c r="B2683" s="307" t="s">
        <v>3037</v>
      </c>
      <c r="C2683" s="327" t="s">
        <v>144</v>
      </c>
      <c r="D2683" s="307" t="s">
        <v>3038</v>
      </c>
      <c r="E2683" s="46" t="s">
        <v>3490</v>
      </c>
      <c r="F2683" s="327" t="s">
        <v>3504</v>
      </c>
      <c r="G2683" s="329" t="s">
        <v>88</v>
      </c>
      <c r="H2683" s="329" t="s">
        <v>3505</v>
      </c>
      <c r="I2683" s="46" t="e">
        <f>VLOOKUP(H2683,'合同高级查询数据-4月返'!A:A,1,FALSE)</f>
        <v>#N/A</v>
      </c>
      <c r="J2683" s="329" t="s">
        <v>3488</v>
      </c>
      <c r="K2683" s="340" t="s">
        <v>3433</v>
      </c>
      <c r="L2683" s="312"/>
      <c r="M2683" s="312" t="s">
        <v>3519</v>
      </c>
      <c r="N2683" s="265">
        <v>43767</v>
      </c>
      <c r="O2683" s="340" t="s">
        <v>503</v>
      </c>
      <c r="P2683" s="346">
        <v>5600</v>
      </c>
      <c r="Q2683" s="346">
        <v>4</v>
      </c>
      <c r="R2683" s="351">
        <f t="shared" si="83"/>
        <v>22400</v>
      </c>
      <c r="S2683" s="319">
        <v>202304</v>
      </c>
      <c r="T2683" s="353"/>
      <c r="U2683" s="353"/>
      <c r="V2683" s="320"/>
      <c r="W2683" s="320"/>
      <c r="X2683" s="352">
        <v>44866</v>
      </c>
      <c r="Y2683" s="352">
        <v>45230</v>
      </c>
    </row>
    <row r="2684" s="5" customFormat="1" customHeight="1" spans="1:25">
      <c r="A2684" s="327" t="s">
        <v>444</v>
      </c>
      <c r="B2684" s="307" t="s">
        <v>3037</v>
      </c>
      <c r="C2684" s="327" t="s">
        <v>144</v>
      </c>
      <c r="D2684" s="307" t="s">
        <v>3038</v>
      </c>
      <c r="E2684" s="46" t="s">
        <v>3490</v>
      </c>
      <c r="F2684" s="327" t="s">
        <v>3504</v>
      </c>
      <c r="G2684" s="329" t="s">
        <v>88</v>
      </c>
      <c r="H2684" s="329" t="s">
        <v>3505</v>
      </c>
      <c r="I2684" s="46" t="e">
        <f>VLOOKUP(H2684,'合同高级查询数据-4月返'!A:A,1,FALSE)</f>
        <v>#N/A</v>
      </c>
      <c r="J2684" s="329" t="s">
        <v>3488</v>
      </c>
      <c r="K2684" s="340" t="s">
        <v>3433</v>
      </c>
      <c r="L2684" s="340"/>
      <c r="M2684" s="312" t="s">
        <v>3519</v>
      </c>
      <c r="N2684" s="265">
        <v>43402</v>
      </c>
      <c r="O2684" s="340" t="s">
        <v>503</v>
      </c>
      <c r="P2684" s="346">
        <v>5600</v>
      </c>
      <c r="Q2684" s="346">
        <v>1</v>
      </c>
      <c r="R2684" s="351">
        <f t="shared" si="83"/>
        <v>5600</v>
      </c>
      <c r="S2684" s="319">
        <v>202304</v>
      </c>
      <c r="T2684" s="353" t="s">
        <v>3552</v>
      </c>
      <c r="U2684" s="353"/>
      <c r="V2684" s="320"/>
      <c r="W2684" s="320"/>
      <c r="X2684" s="352">
        <v>44866</v>
      </c>
      <c r="Y2684" s="352">
        <v>45230</v>
      </c>
    </row>
    <row r="2685" s="5" customFormat="1" customHeight="1" spans="1:25">
      <c r="A2685" s="327" t="s">
        <v>444</v>
      </c>
      <c r="B2685" s="307" t="s">
        <v>3037</v>
      </c>
      <c r="C2685" s="327" t="s">
        <v>144</v>
      </c>
      <c r="D2685" s="307" t="s">
        <v>3038</v>
      </c>
      <c r="E2685" s="46" t="s">
        <v>3490</v>
      </c>
      <c r="F2685" s="327" t="s">
        <v>3504</v>
      </c>
      <c r="G2685" s="329" t="s">
        <v>88</v>
      </c>
      <c r="H2685" s="329" t="s">
        <v>3505</v>
      </c>
      <c r="I2685" s="46" t="e">
        <f>VLOOKUP(H2685,'合同高级查询数据-4月返'!A:A,1,FALSE)</f>
        <v>#N/A</v>
      </c>
      <c r="J2685" s="329" t="s">
        <v>3488</v>
      </c>
      <c r="K2685" s="340" t="s">
        <v>3433</v>
      </c>
      <c r="L2685" s="340"/>
      <c r="M2685" s="312" t="s">
        <v>3519</v>
      </c>
      <c r="N2685" s="265">
        <v>43850</v>
      </c>
      <c r="O2685" s="340" t="s">
        <v>503</v>
      </c>
      <c r="P2685" s="346">
        <v>5600</v>
      </c>
      <c r="Q2685" s="346">
        <v>12</v>
      </c>
      <c r="R2685" s="351">
        <f t="shared" si="83"/>
        <v>67200</v>
      </c>
      <c r="S2685" s="319">
        <v>202304</v>
      </c>
      <c r="T2685" s="353" t="s">
        <v>3122</v>
      </c>
      <c r="U2685" s="353"/>
      <c r="V2685" s="320"/>
      <c r="W2685" s="320"/>
      <c r="X2685" s="352">
        <v>44866</v>
      </c>
      <c r="Y2685" s="352">
        <v>45230</v>
      </c>
    </row>
    <row r="2686" s="5" customFormat="1" customHeight="1" spans="1:25">
      <c r="A2686" s="327" t="s">
        <v>444</v>
      </c>
      <c r="B2686" s="307" t="s">
        <v>3037</v>
      </c>
      <c r="C2686" s="327" t="s">
        <v>144</v>
      </c>
      <c r="D2686" s="307" t="s">
        <v>3038</v>
      </c>
      <c r="E2686" s="46" t="s">
        <v>3490</v>
      </c>
      <c r="F2686" s="327" t="s">
        <v>3504</v>
      </c>
      <c r="G2686" s="329" t="s">
        <v>88</v>
      </c>
      <c r="H2686" s="329" t="s">
        <v>3505</v>
      </c>
      <c r="I2686" s="46" t="e">
        <f>VLOOKUP(H2686,'合同高级查询数据-4月返'!A:A,1,FALSE)</f>
        <v>#N/A</v>
      </c>
      <c r="J2686" s="329" t="s">
        <v>3488</v>
      </c>
      <c r="K2686" s="340" t="s">
        <v>3433</v>
      </c>
      <c r="L2686" s="340"/>
      <c r="M2686" s="312" t="s">
        <v>3519</v>
      </c>
      <c r="N2686" s="265">
        <v>43886</v>
      </c>
      <c r="O2686" s="340" t="s">
        <v>503</v>
      </c>
      <c r="P2686" s="346">
        <v>5600</v>
      </c>
      <c r="Q2686" s="346">
        <v>-2</v>
      </c>
      <c r="R2686" s="351">
        <f t="shared" si="83"/>
        <v>-11200</v>
      </c>
      <c r="S2686" s="319">
        <v>202304</v>
      </c>
      <c r="T2686" s="353"/>
      <c r="U2686" s="353"/>
      <c r="V2686" s="320"/>
      <c r="W2686" s="320"/>
      <c r="X2686" s="352">
        <v>44866</v>
      </c>
      <c r="Y2686" s="352">
        <v>45230</v>
      </c>
    </row>
    <row r="2687" s="5" customFormat="1" customHeight="1" spans="1:25">
      <c r="A2687" s="327" t="s">
        <v>444</v>
      </c>
      <c r="B2687" s="307" t="s">
        <v>3037</v>
      </c>
      <c r="C2687" s="327" t="s">
        <v>144</v>
      </c>
      <c r="D2687" s="307" t="s">
        <v>3038</v>
      </c>
      <c r="E2687" s="46" t="s">
        <v>3490</v>
      </c>
      <c r="F2687" s="327" t="s">
        <v>3504</v>
      </c>
      <c r="G2687" s="329" t="s">
        <v>88</v>
      </c>
      <c r="H2687" s="329" t="s">
        <v>3505</v>
      </c>
      <c r="I2687" s="46" t="e">
        <f>VLOOKUP(H2687,'合同高级查询数据-4月返'!A:A,1,FALSE)</f>
        <v>#N/A</v>
      </c>
      <c r="J2687" s="329" t="s">
        <v>3488</v>
      </c>
      <c r="K2687" s="340" t="s">
        <v>3433</v>
      </c>
      <c r="L2687" s="340"/>
      <c r="M2687" s="312" t="s">
        <v>3519</v>
      </c>
      <c r="N2687" s="265">
        <v>43947</v>
      </c>
      <c r="O2687" s="340" t="s">
        <v>503</v>
      </c>
      <c r="P2687" s="346">
        <v>5600</v>
      </c>
      <c r="Q2687" s="346">
        <v>-2</v>
      </c>
      <c r="R2687" s="351">
        <f t="shared" si="83"/>
        <v>-11200</v>
      </c>
      <c r="S2687" s="319">
        <v>202304</v>
      </c>
      <c r="T2687" s="353"/>
      <c r="U2687" s="353"/>
      <c r="V2687" s="320"/>
      <c r="W2687" s="320"/>
      <c r="X2687" s="352">
        <v>44866</v>
      </c>
      <c r="Y2687" s="352">
        <v>45230</v>
      </c>
    </row>
    <row r="2688" s="5" customFormat="1" customHeight="1" spans="1:25">
      <c r="A2688" s="327" t="s">
        <v>444</v>
      </c>
      <c r="B2688" s="307" t="s">
        <v>3037</v>
      </c>
      <c r="C2688" s="327" t="s">
        <v>144</v>
      </c>
      <c r="D2688" s="307" t="s">
        <v>3038</v>
      </c>
      <c r="E2688" s="46" t="s">
        <v>3490</v>
      </c>
      <c r="F2688" s="327" t="s">
        <v>3504</v>
      </c>
      <c r="G2688" s="329" t="s">
        <v>88</v>
      </c>
      <c r="H2688" s="329" t="s">
        <v>3505</v>
      </c>
      <c r="I2688" s="46" t="e">
        <f>VLOOKUP(H2688,'合同高级查询数据-4月返'!A:A,1,FALSE)</f>
        <v>#N/A</v>
      </c>
      <c r="J2688" s="329" t="s">
        <v>3488</v>
      </c>
      <c r="K2688" s="340" t="s">
        <v>3433</v>
      </c>
      <c r="L2688" s="340"/>
      <c r="M2688" s="312" t="s">
        <v>3519</v>
      </c>
      <c r="N2688" s="265">
        <v>44068</v>
      </c>
      <c r="O2688" s="340" t="s">
        <v>503</v>
      </c>
      <c r="P2688" s="346">
        <v>5600</v>
      </c>
      <c r="Q2688" s="346">
        <v>2</v>
      </c>
      <c r="R2688" s="351">
        <f t="shared" si="83"/>
        <v>11200</v>
      </c>
      <c r="S2688" s="319">
        <v>202304</v>
      </c>
      <c r="T2688" s="353"/>
      <c r="U2688" s="353"/>
      <c r="V2688" s="320"/>
      <c r="W2688" s="320"/>
      <c r="X2688" s="352">
        <v>44866</v>
      </c>
      <c r="Y2688" s="352">
        <v>45230</v>
      </c>
    </row>
    <row r="2689" s="5" customFormat="1" customHeight="1" spans="1:25">
      <c r="A2689" s="327" t="s">
        <v>444</v>
      </c>
      <c r="B2689" s="307" t="s">
        <v>3037</v>
      </c>
      <c r="C2689" s="327" t="s">
        <v>144</v>
      </c>
      <c r="D2689" s="307" t="s">
        <v>3038</v>
      </c>
      <c r="E2689" s="46" t="s">
        <v>3490</v>
      </c>
      <c r="F2689" s="327" t="s">
        <v>3504</v>
      </c>
      <c r="G2689" s="329" t="s">
        <v>88</v>
      </c>
      <c r="H2689" s="329" t="s">
        <v>3505</v>
      </c>
      <c r="I2689" s="46" t="e">
        <f>VLOOKUP(H2689,'合同高级查询数据-4月返'!A:A,1,FALSE)</f>
        <v>#N/A</v>
      </c>
      <c r="J2689" s="329" t="s">
        <v>3488</v>
      </c>
      <c r="K2689" s="340" t="s">
        <v>3433</v>
      </c>
      <c r="L2689" s="340"/>
      <c r="M2689" s="312" t="s">
        <v>3519</v>
      </c>
      <c r="N2689" s="265">
        <v>44075</v>
      </c>
      <c r="O2689" s="340" t="s">
        <v>503</v>
      </c>
      <c r="P2689" s="346">
        <v>5600</v>
      </c>
      <c r="Q2689" s="346">
        <v>2</v>
      </c>
      <c r="R2689" s="351">
        <f t="shared" si="83"/>
        <v>11200</v>
      </c>
      <c r="S2689" s="319">
        <v>202304</v>
      </c>
      <c r="T2689" s="353" t="s">
        <v>3553</v>
      </c>
      <c r="U2689" s="353"/>
      <c r="V2689" s="320"/>
      <c r="W2689" s="320"/>
      <c r="X2689" s="352">
        <v>44866</v>
      </c>
      <c r="Y2689" s="352">
        <v>45230</v>
      </c>
    </row>
    <row r="2690" s="5" customFormat="1" customHeight="1" spans="1:25">
      <c r="A2690" s="327" t="s">
        <v>444</v>
      </c>
      <c r="B2690" s="307" t="s">
        <v>3037</v>
      </c>
      <c r="C2690" s="327" t="s">
        <v>144</v>
      </c>
      <c r="D2690" s="307" t="s">
        <v>3038</v>
      </c>
      <c r="E2690" s="46" t="s">
        <v>3490</v>
      </c>
      <c r="F2690" s="327" t="s">
        <v>3504</v>
      </c>
      <c r="G2690" s="329" t="s">
        <v>88</v>
      </c>
      <c r="H2690" s="329" t="s">
        <v>3505</v>
      </c>
      <c r="I2690" s="46" t="e">
        <f>VLOOKUP(H2690,'合同高级查询数据-4月返'!A:A,1,FALSE)</f>
        <v>#N/A</v>
      </c>
      <c r="J2690" s="329" t="s">
        <v>3488</v>
      </c>
      <c r="K2690" s="340" t="s">
        <v>3433</v>
      </c>
      <c r="L2690" s="340"/>
      <c r="M2690" s="312" t="s">
        <v>3519</v>
      </c>
      <c r="N2690" s="265">
        <v>44076</v>
      </c>
      <c r="O2690" s="340" t="s">
        <v>503</v>
      </c>
      <c r="P2690" s="346">
        <v>5600</v>
      </c>
      <c r="Q2690" s="346">
        <v>2</v>
      </c>
      <c r="R2690" s="351">
        <f t="shared" si="83"/>
        <v>11200</v>
      </c>
      <c r="S2690" s="319">
        <v>202304</v>
      </c>
      <c r="T2690" s="353" t="s">
        <v>3553</v>
      </c>
      <c r="U2690" s="353"/>
      <c r="V2690" s="320"/>
      <c r="W2690" s="320"/>
      <c r="X2690" s="352">
        <v>44866</v>
      </c>
      <c r="Y2690" s="352">
        <v>45230</v>
      </c>
    </row>
    <row r="2691" s="5" customFormat="1" customHeight="1" spans="1:25">
      <c r="A2691" s="327" t="s">
        <v>444</v>
      </c>
      <c r="B2691" s="307" t="s">
        <v>3037</v>
      </c>
      <c r="C2691" s="327" t="s">
        <v>144</v>
      </c>
      <c r="D2691" s="307" t="s">
        <v>3038</v>
      </c>
      <c r="E2691" s="46" t="s">
        <v>3490</v>
      </c>
      <c r="F2691" s="327" t="s">
        <v>3504</v>
      </c>
      <c r="G2691" s="329" t="s">
        <v>88</v>
      </c>
      <c r="H2691" s="329" t="s">
        <v>3505</v>
      </c>
      <c r="I2691" s="46" t="e">
        <f>VLOOKUP(H2691,'合同高级查询数据-4月返'!A:A,1,FALSE)</f>
        <v>#N/A</v>
      </c>
      <c r="J2691" s="329" t="s">
        <v>3488</v>
      </c>
      <c r="K2691" s="340" t="s">
        <v>3433</v>
      </c>
      <c r="L2691" s="340"/>
      <c r="M2691" s="312" t="s">
        <v>3519</v>
      </c>
      <c r="N2691" s="265">
        <v>44098</v>
      </c>
      <c r="O2691" s="340" t="s">
        <v>503</v>
      </c>
      <c r="P2691" s="346">
        <v>5600</v>
      </c>
      <c r="Q2691" s="346">
        <v>3</v>
      </c>
      <c r="R2691" s="351">
        <f t="shared" si="83"/>
        <v>16800</v>
      </c>
      <c r="S2691" s="319">
        <v>202304</v>
      </c>
      <c r="T2691" s="353" t="s">
        <v>3553</v>
      </c>
      <c r="U2691" s="353"/>
      <c r="V2691" s="320"/>
      <c r="W2691" s="320"/>
      <c r="X2691" s="352">
        <v>44866</v>
      </c>
      <c r="Y2691" s="352">
        <v>45230</v>
      </c>
    </row>
    <row r="2692" s="5" customFormat="1" customHeight="1" spans="1:25">
      <c r="A2692" s="327" t="s">
        <v>444</v>
      </c>
      <c r="B2692" s="307" t="s">
        <v>3037</v>
      </c>
      <c r="C2692" s="327" t="s">
        <v>144</v>
      </c>
      <c r="D2692" s="307" t="s">
        <v>3038</v>
      </c>
      <c r="E2692" s="46" t="s">
        <v>3490</v>
      </c>
      <c r="F2692" s="327" t="s">
        <v>3504</v>
      </c>
      <c r="G2692" s="329" t="s">
        <v>88</v>
      </c>
      <c r="H2692" s="329" t="s">
        <v>3505</v>
      </c>
      <c r="I2692" s="46" t="e">
        <f>VLOOKUP(H2692,'合同高级查询数据-4月返'!A:A,1,FALSE)</f>
        <v>#N/A</v>
      </c>
      <c r="J2692" s="329" t="s">
        <v>3488</v>
      </c>
      <c r="K2692" s="340" t="s">
        <v>3433</v>
      </c>
      <c r="L2692" s="340"/>
      <c r="M2692" s="312" t="s">
        <v>3519</v>
      </c>
      <c r="N2692" s="265">
        <v>44146</v>
      </c>
      <c r="O2692" s="340" t="s">
        <v>503</v>
      </c>
      <c r="P2692" s="346">
        <v>5600</v>
      </c>
      <c r="Q2692" s="346">
        <v>1</v>
      </c>
      <c r="R2692" s="351">
        <f t="shared" si="83"/>
        <v>5600</v>
      </c>
      <c r="S2692" s="319">
        <v>202304</v>
      </c>
      <c r="T2692" s="353" t="s">
        <v>3554</v>
      </c>
      <c r="U2692" s="353"/>
      <c r="V2692" s="320"/>
      <c r="W2692" s="320"/>
      <c r="X2692" s="352">
        <v>44866</v>
      </c>
      <c r="Y2692" s="352">
        <v>45230</v>
      </c>
    </row>
    <row r="2693" s="5" customFormat="1" customHeight="1" spans="1:25">
      <c r="A2693" s="327" t="s">
        <v>444</v>
      </c>
      <c r="B2693" s="307" t="s">
        <v>3037</v>
      </c>
      <c r="C2693" s="327" t="s">
        <v>144</v>
      </c>
      <c r="D2693" s="307" t="s">
        <v>3038</v>
      </c>
      <c r="E2693" s="46" t="s">
        <v>3490</v>
      </c>
      <c r="F2693" s="327" t="s">
        <v>3504</v>
      </c>
      <c r="G2693" s="329" t="s">
        <v>88</v>
      </c>
      <c r="H2693" s="329" t="s">
        <v>3505</v>
      </c>
      <c r="I2693" s="46" t="e">
        <f>VLOOKUP(H2693,'合同高级查询数据-4月返'!A:A,1,FALSE)</f>
        <v>#N/A</v>
      </c>
      <c r="J2693" s="329" t="s">
        <v>3488</v>
      </c>
      <c r="K2693" s="340" t="s">
        <v>3433</v>
      </c>
      <c r="L2693" s="340"/>
      <c r="M2693" s="312" t="s">
        <v>3519</v>
      </c>
      <c r="N2693" s="265">
        <v>44162</v>
      </c>
      <c r="O2693" s="340" t="s">
        <v>503</v>
      </c>
      <c r="P2693" s="346">
        <v>5600</v>
      </c>
      <c r="Q2693" s="346">
        <v>-2</v>
      </c>
      <c r="R2693" s="351">
        <f t="shared" si="83"/>
        <v>-11200</v>
      </c>
      <c r="S2693" s="319">
        <v>202304</v>
      </c>
      <c r="T2693" s="353" t="s">
        <v>3555</v>
      </c>
      <c r="U2693" s="353"/>
      <c r="V2693" s="320"/>
      <c r="W2693" s="320"/>
      <c r="X2693" s="352">
        <v>44866</v>
      </c>
      <c r="Y2693" s="352">
        <v>45230</v>
      </c>
    </row>
    <row r="2694" s="5" customFormat="1" customHeight="1" spans="1:25">
      <c r="A2694" s="327" t="s">
        <v>444</v>
      </c>
      <c r="B2694" s="307" t="s">
        <v>3037</v>
      </c>
      <c r="C2694" s="327" t="s">
        <v>144</v>
      </c>
      <c r="D2694" s="307" t="s">
        <v>3038</v>
      </c>
      <c r="E2694" s="46" t="s">
        <v>3490</v>
      </c>
      <c r="F2694" s="327" t="s">
        <v>3504</v>
      </c>
      <c r="G2694" s="329" t="s">
        <v>88</v>
      </c>
      <c r="H2694" s="329" t="s">
        <v>3505</v>
      </c>
      <c r="I2694" s="46" t="e">
        <f>VLOOKUP(H2694,'合同高级查询数据-4月返'!A:A,1,FALSE)</f>
        <v>#N/A</v>
      </c>
      <c r="J2694" s="329" t="s">
        <v>3488</v>
      </c>
      <c r="K2694" s="340" t="s">
        <v>3433</v>
      </c>
      <c r="L2694" s="340"/>
      <c r="M2694" s="312" t="s">
        <v>3519</v>
      </c>
      <c r="N2694" s="265">
        <v>44170</v>
      </c>
      <c r="O2694" s="340" t="s">
        <v>503</v>
      </c>
      <c r="P2694" s="346">
        <v>5600</v>
      </c>
      <c r="Q2694" s="346">
        <v>2</v>
      </c>
      <c r="R2694" s="351">
        <f t="shared" si="83"/>
        <v>11200</v>
      </c>
      <c r="S2694" s="319">
        <v>202304</v>
      </c>
      <c r="T2694" s="353" t="s">
        <v>3556</v>
      </c>
      <c r="U2694" s="353"/>
      <c r="V2694" s="320"/>
      <c r="W2694" s="320"/>
      <c r="X2694" s="352">
        <v>44866</v>
      </c>
      <c r="Y2694" s="352">
        <v>45230</v>
      </c>
    </row>
    <row r="2695" s="5" customFormat="1" customHeight="1" spans="1:25">
      <c r="A2695" s="327" t="s">
        <v>444</v>
      </c>
      <c r="B2695" s="307" t="s">
        <v>3037</v>
      </c>
      <c r="C2695" s="327" t="s">
        <v>144</v>
      </c>
      <c r="D2695" s="307" t="s">
        <v>3038</v>
      </c>
      <c r="E2695" s="46" t="s">
        <v>3490</v>
      </c>
      <c r="F2695" s="327" t="s">
        <v>3504</v>
      </c>
      <c r="G2695" s="329" t="s">
        <v>88</v>
      </c>
      <c r="H2695" s="329" t="s">
        <v>3505</v>
      </c>
      <c r="I2695" s="46" t="e">
        <f>VLOOKUP(H2695,'合同高级查询数据-4月返'!A:A,1,FALSE)</f>
        <v>#N/A</v>
      </c>
      <c r="J2695" s="329" t="s">
        <v>2021</v>
      </c>
      <c r="K2695" s="340" t="s">
        <v>3433</v>
      </c>
      <c r="L2695" s="340"/>
      <c r="M2695" s="312" t="s">
        <v>3519</v>
      </c>
      <c r="N2695" s="265">
        <v>44222</v>
      </c>
      <c r="O2695" s="340" t="s">
        <v>503</v>
      </c>
      <c r="P2695" s="346">
        <v>5600</v>
      </c>
      <c r="Q2695" s="346">
        <v>2</v>
      </c>
      <c r="R2695" s="351">
        <f t="shared" si="83"/>
        <v>11200</v>
      </c>
      <c r="S2695" s="319">
        <v>202304</v>
      </c>
      <c r="T2695" s="353" t="s">
        <v>3557</v>
      </c>
      <c r="U2695" s="353"/>
      <c r="V2695" s="320"/>
      <c r="W2695" s="320"/>
      <c r="X2695" s="352">
        <v>44866</v>
      </c>
      <c r="Y2695" s="352">
        <v>45230</v>
      </c>
    </row>
    <row r="2696" s="5" customFormat="1" customHeight="1" spans="1:25">
      <c r="A2696" s="327" t="s">
        <v>444</v>
      </c>
      <c r="B2696" s="307" t="s">
        <v>3037</v>
      </c>
      <c r="C2696" s="327" t="s">
        <v>144</v>
      </c>
      <c r="D2696" s="307" t="s">
        <v>3038</v>
      </c>
      <c r="E2696" s="46" t="s">
        <v>3490</v>
      </c>
      <c r="F2696" s="327" t="s">
        <v>3504</v>
      </c>
      <c r="G2696" s="329" t="s">
        <v>88</v>
      </c>
      <c r="H2696" s="329" t="s">
        <v>3505</v>
      </c>
      <c r="I2696" s="46" t="e">
        <f>VLOOKUP(H2696,'合同高级查询数据-4月返'!A:A,1,FALSE)</f>
        <v>#N/A</v>
      </c>
      <c r="J2696" s="329" t="s">
        <v>3488</v>
      </c>
      <c r="K2696" s="340" t="s">
        <v>3433</v>
      </c>
      <c r="L2696" s="340"/>
      <c r="M2696" s="312" t="s">
        <v>3519</v>
      </c>
      <c r="N2696" s="265">
        <v>44324</v>
      </c>
      <c r="O2696" s="340" t="s">
        <v>503</v>
      </c>
      <c r="P2696" s="346">
        <v>5600</v>
      </c>
      <c r="Q2696" s="346">
        <v>2</v>
      </c>
      <c r="R2696" s="351">
        <f t="shared" si="83"/>
        <v>11200</v>
      </c>
      <c r="S2696" s="319">
        <v>202304</v>
      </c>
      <c r="T2696" s="122" t="s">
        <v>3558</v>
      </c>
      <c r="U2696" s="353"/>
      <c r="V2696" s="320"/>
      <c r="W2696" s="320"/>
      <c r="X2696" s="352">
        <v>44866</v>
      </c>
      <c r="Y2696" s="352">
        <v>45230</v>
      </c>
    </row>
    <row r="2697" s="5" customFormat="1" customHeight="1" spans="1:25">
      <c r="A2697" s="327" t="s">
        <v>444</v>
      </c>
      <c r="B2697" s="307" t="s">
        <v>3037</v>
      </c>
      <c r="C2697" s="327" t="s">
        <v>144</v>
      </c>
      <c r="D2697" s="307" t="s">
        <v>3038</v>
      </c>
      <c r="E2697" s="46" t="s">
        <v>3490</v>
      </c>
      <c r="F2697" s="327" t="s">
        <v>3504</v>
      </c>
      <c r="G2697" s="329" t="s">
        <v>88</v>
      </c>
      <c r="H2697" s="329" t="s">
        <v>3505</v>
      </c>
      <c r="I2697" s="46" t="e">
        <f>VLOOKUP(H2697,'合同高级查询数据-4月返'!A:A,1,FALSE)</f>
        <v>#N/A</v>
      </c>
      <c r="J2697" s="329" t="s">
        <v>3488</v>
      </c>
      <c r="K2697" s="340" t="s">
        <v>3433</v>
      </c>
      <c r="L2697" s="340"/>
      <c r="M2697" s="312" t="s">
        <v>3519</v>
      </c>
      <c r="N2697" s="265">
        <v>44358</v>
      </c>
      <c r="O2697" s="340" t="s">
        <v>503</v>
      </c>
      <c r="P2697" s="346">
        <v>5600</v>
      </c>
      <c r="Q2697" s="346">
        <v>-2</v>
      </c>
      <c r="R2697" s="351">
        <f t="shared" si="83"/>
        <v>-11200</v>
      </c>
      <c r="S2697" s="319">
        <v>202304</v>
      </c>
      <c r="T2697" s="122" t="s">
        <v>3559</v>
      </c>
      <c r="U2697" s="353"/>
      <c r="V2697" s="320"/>
      <c r="W2697" s="320"/>
      <c r="X2697" s="352">
        <v>44866</v>
      </c>
      <c r="Y2697" s="352">
        <v>45230</v>
      </c>
    </row>
    <row r="2698" s="5" customFormat="1" customHeight="1" spans="1:25">
      <c r="A2698" s="327" t="s">
        <v>444</v>
      </c>
      <c r="B2698" s="307" t="s">
        <v>3037</v>
      </c>
      <c r="C2698" s="327" t="s">
        <v>144</v>
      </c>
      <c r="D2698" s="307" t="s">
        <v>3038</v>
      </c>
      <c r="E2698" s="46" t="s">
        <v>3490</v>
      </c>
      <c r="F2698" s="327" t="s">
        <v>3504</v>
      </c>
      <c r="G2698" s="329" t="s">
        <v>88</v>
      </c>
      <c r="H2698" s="329" t="s">
        <v>3505</v>
      </c>
      <c r="I2698" s="46" t="e">
        <f>VLOOKUP(H2698,'合同高级查询数据-4月返'!A:A,1,FALSE)</f>
        <v>#N/A</v>
      </c>
      <c r="J2698" s="329" t="s">
        <v>90</v>
      </c>
      <c r="K2698" s="340" t="s">
        <v>3433</v>
      </c>
      <c r="L2698" s="340"/>
      <c r="M2698" s="312" t="s">
        <v>3519</v>
      </c>
      <c r="N2698" s="265">
        <v>44613</v>
      </c>
      <c r="O2698" s="340" t="s">
        <v>503</v>
      </c>
      <c r="P2698" s="346">
        <v>5600</v>
      </c>
      <c r="Q2698" s="346">
        <v>-5</v>
      </c>
      <c r="R2698" s="351">
        <f t="shared" si="83"/>
        <v>-28000</v>
      </c>
      <c r="S2698" s="319">
        <v>202304</v>
      </c>
      <c r="T2698" s="347" t="s">
        <v>3560</v>
      </c>
      <c r="U2698" s="347"/>
      <c r="V2698" s="320"/>
      <c r="W2698" s="320"/>
      <c r="X2698" s="352">
        <v>44866</v>
      </c>
      <c r="Y2698" s="352">
        <v>45230</v>
      </c>
    </row>
    <row r="2699" s="5" customFormat="1" customHeight="1" spans="1:25">
      <c r="A2699" s="327" t="s">
        <v>444</v>
      </c>
      <c r="B2699" s="307" t="s">
        <v>3037</v>
      </c>
      <c r="C2699" s="327" t="s">
        <v>144</v>
      </c>
      <c r="D2699" s="307" t="s">
        <v>3038</v>
      </c>
      <c r="E2699" s="46" t="s">
        <v>3490</v>
      </c>
      <c r="F2699" s="327" t="s">
        <v>3504</v>
      </c>
      <c r="G2699" s="329" t="s">
        <v>88</v>
      </c>
      <c r="H2699" s="329" t="s">
        <v>3505</v>
      </c>
      <c r="I2699" s="46" t="e">
        <f>VLOOKUP(H2699,'合同高级查询数据-4月返'!A:A,1,FALSE)</f>
        <v>#N/A</v>
      </c>
      <c r="J2699" s="329" t="s">
        <v>90</v>
      </c>
      <c r="K2699" s="340" t="s">
        <v>3433</v>
      </c>
      <c r="L2699" s="340"/>
      <c r="M2699" s="312" t="s">
        <v>3519</v>
      </c>
      <c r="N2699" s="265">
        <v>44614</v>
      </c>
      <c r="O2699" s="340" t="s">
        <v>503</v>
      </c>
      <c r="P2699" s="346">
        <v>5600</v>
      </c>
      <c r="Q2699" s="346">
        <v>4</v>
      </c>
      <c r="R2699" s="351">
        <f t="shared" si="83"/>
        <v>22400</v>
      </c>
      <c r="S2699" s="319">
        <v>202304</v>
      </c>
      <c r="T2699" s="347" t="s">
        <v>3561</v>
      </c>
      <c r="U2699" s="347"/>
      <c r="V2699" s="320"/>
      <c r="W2699" s="320"/>
      <c r="X2699" s="352">
        <v>44866</v>
      </c>
      <c r="Y2699" s="352">
        <v>45230</v>
      </c>
    </row>
    <row r="2700" s="5" customFormat="1" customHeight="1" spans="1:25">
      <c r="A2700" s="327" t="s">
        <v>444</v>
      </c>
      <c r="B2700" s="307" t="s">
        <v>3037</v>
      </c>
      <c r="C2700" s="327" t="s">
        <v>144</v>
      </c>
      <c r="D2700" s="307" t="s">
        <v>3038</v>
      </c>
      <c r="E2700" s="46" t="s">
        <v>3490</v>
      </c>
      <c r="F2700" s="327" t="s">
        <v>3504</v>
      </c>
      <c r="G2700" s="329" t="s">
        <v>88</v>
      </c>
      <c r="H2700" s="329" t="s">
        <v>3505</v>
      </c>
      <c r="I2700" s="46" t="e">
        <f>VLOOKUP(H2700,'合同高级查询数据-4月返'!A:A,1,FALSE)</f>
        <v>#N/A</v>
      </c>
      <c r="J2700" s="329" t="s">
        <v>90</v>
      </c>
      <c r="K2700" s="340" t="s">
        <v>3433</v>
      </c>
      <c r="L2700" s="340"/>
      <c r="M2700" s="312" t="s">
        <v>3519</v>
      </c>
      <c r="N2700" s="265">
        <v>44616</v>
      </c>
      <c r="O2700" s="340" t="s">
        <v>503</v>
      </c>
      <c r="P2700" s="346">
        <v>5600</v>
      </c>
      <c r="Q2700" s="346">
        <v>-5</v>
      </c>
      <c r="R2700" s="351">
        <f t="shared" si="83"/>
        <v>-28000</v>
      </c>
      <c r="S2700" s="319">
        <v>202304</v>
      </c>
      <c r="T2700" s="347" t="s">
        <v>3562</v>
      </c>
      <c r="U2700" s="347"/>
      <c r="V2700" s="320"/>
      <c r="W2700" s="320"/>
      <c r="X2700" s="352">
        <v>44866</v>
      </c>
      <c r="Y2700" s="352">
        <v>45230</v>
      </c>
    </row>
    <row r="2701" s="5" customFormat="1" customHeight="1" spans="1:25">
      <c r="A2701" s="327" t="s">
        <v>444</v>
      </c>
      <c r="B2701" s="307" t="s">
        <v>3037</v>
      </c>
      <c r="C2701" s="327" t="s">
        <v>144</v>
      </c>
      <c r="D2701" s="307" t="s">
        <v>3038</v>
      </c>
      <c r="E2701" s="46" t="s">
        <v>3490</v>
      </c>
      <c r="F2701" s="327" t="s">
        <v>3504</v>
      </c>
      <c r="G2701" s="329" t="s">
        <v>88</v>
      </c>
      <c r="H2701" s="329" t="s">
        <v>3505</v>
      </c>
      <c r="I2701" s="46" t="e">
        <f>VLOOKUP(H2701,'合同高级查询数据-4月返'!A:A,1,FALSE)</f>
        <v>#N/A</v>
      </c>
      <c r="J2701" s="329" t="s">
        <v>90</v>
      </c>
      <c r="K2701" s="340" t="s">
        <v>3433</v>
      </c>
      <c r="L2701" s="340"/>
      <c r="M2701" s="312" t="s">
        <v>3519</v>
      </c>
      <c r="N2701" s="265">
        <v>44617</v>
      </c>
      <c r="O2701" s="340" t="s">
        <v>503</v>
      </c>
      <c r="P2701" s="346">
        <v>5600</v>
      </c>
      <c r="Q2701" s="346">
        <v>4</v>
      </c>
      <c r="R2701" s="351">
        <f t="shared" si="83"/>
        <v>22400</v>
      </c>
      <c r="S2701" s="319">
        <v>202304</v>
      </c>
      <c r="T2701" s="347" t="s">
        <v>3563</v>
      </c>
      <c r="U2701" s="347"/>
      <c r="V2701" s="320"/>
      <c r="W2701" s="320"/>
      <c r="X2701" s="352">
        <v>44866</v>
      </c>
      <c r="Y2701" s="352">
        <v>45230</v>
      </c>
    </row>
    <row r="2702" s="5" customFormat="1" customHeight="1" spans="1:25">
      <c r="A2702" s="327" t="s">
        <v>444</v>
      </c>
      <c r="B2702" s="307" t="s">
        <v>3037</v>
      </c>
      <c r="C2702" s="327" t="s">
        <v>144</v>
      </c>
      <c r="D2702" s="307" t="s">
        <v>3038</v>
      </c>
      <c r="E2702" s="46" t="s">
        <v>3490</v>
      </c>
      <c r="F2702" s="327" t="s">
        <v>3504</v>
      </c>
      <c r="G2702" s="329" t="s">
        <v>88</v>
      </c>
      <c r="H2702" s="329" t="s">
        <v>3505</v>
      </c>
      <c r="I2702" s="46" t="e">
        <f>VLOOKUP(H2702,'合同高级查询数据-4月返'!A:A,1,FALSE)</f>
        <v>#N/A</v>
      </c>
      <c r="J2702" s="329" t="s">
        <v>90</v>
      </c>
      <c r="K2702" s="340" t="s">
        <v>3433</v>
      </c>
      <c r="L2702" s="340"/>
      <c r="M2702" s="312" t="s">
        <v>3519</v>
      </c>
      <c r="N2702" s="265">
        <v>44694</v>
      </c>
      <c r="O2702" s="340" t="s">
        <v>503</v>
      </c>
      <c r="P2702" s="346">
        <v>5600</v>
      </c>
      <c r="Q2702" s="346">
        <v>4</v>
      </c>
      <c r="R2702" s="351">
        <f t="shared" si="83"/>
        <v>22400</v>
      </c>
      <c r="S2702" s="319">
        <v>202304</v>
      </c>
      <c r="T2702" s="347" t="s">
        <v>3564</v>
      </c>
      <c r="U2702" s="347"/>
      <c r="V2702" s="320"/>
      <c r="W2702" s="320"/>
      <c r="X2702" s="352">
        <v>44866</v>
      </c>
      <c r="Y2702" s="352">
        <v>45230</v>
      </c>
    </row>
    <row r="2703" s="5" customFormat="1" customHeight="1" spans="1:25">
      <c r="A2703" s="327" t="s">
        <v>444</v>
      </c>
      <c r="B2703" s="307" t="s">
        <v>3037</v>
      </c>
      <c r="C2703" s="327" t="s">
        <v>144</v>
      </c>
      <c r="D2703" s="307" t="s">
        <v>3038</v>
      </c>
      <c r="E2703" s="46" t="s">
        <v>3490</v>
      </c>
      <c r="F2703" s="327" t="s">
        <v>3504</v>
      </c>
      <c r="G2703" s="340" t="s">
        <v>88</v>
      </c>
      <c r="H2703" s="329" t="s">
        <v>3505</v>
      </c>
      <c r="I2703" s="46" t="e">
        <f>VLOOKUP(H2703,'合同高级查询数据-4月返'!A:A,1,FALSE)</f>
        <v>#N/A</v>
      </c>
      <c r="J2703" s="329" t="s">
        <v>3488</v>
      </c>
      <c r="K2703" s="340" t="s">
        <v>3433</v>
      </c>
      <c r="L2703" s="340"/>
      <c r="M2703" s="312" t="s">
        <v>3519</v>
      </c>
      <c r="N2703" s="265">
        <v>44911</v>
      </c>
      <c r="O2703" s="340" t="s">
        <v>1426</v>
      </c>
      <c r="P2703" s="346">
        <v>16650</v>
      </c>
      <c r="Q2703" s="346">
        <v>2</v>
      </c>
      <c r="R2703" s="351">
        <f t="shared" si="83"/>
        <v>33300</v>
      </c>
      <c r="S2703" s="319">
        <v>202304</v>
      </c>
      <c r="T2703" s="353" t="s">
        <v>3565</v>
      </c>
      <c r="U2703" s="353"/>
      <c r="V2703" s="320"/>
      <c r="W2703" s="320"/>
      <c r="X2703" s="352">
        <v>44866</v>
      </c>
      <c r="Y2703" s="352">
        <v>45230</v>
      </c>
    </row>
    <row r="2704" s="5" customFormat="1" customHeight="1" spans="1:25">
      <c r="A2704" s="327" t="s">
        <v>444</v>
      </c>
      <c r="B2704" s="307" t="s">
        <v>3037</v>
      </c>
      <c r="C2704" s="327" t="s">
        <v>144</v>
      </c>
      <c r="D2704" s="307" t="s">
        <v>3038</v>
      </c>
      <c r="E2704" s="46" t="s">
        <v>3490</v>
      </c>
      <c r="F2704" s="327" t="s">
        <v>3504</v>
      </c>
      <c r="G2704" s="329" t="s">
        <v>88</v>
      </c>
      <c r="H2704" s="329" t="s">
        <v>3505</v>
      </c>
      <c r="I2704" s="46" t="e">
        <f>VLOOKUP(H2704,'合同高级查询数据-4月返'!A:A,1,FALSE)</f>
        <v>#N/A</v>
      </c>
      <c r="J2704" s="329" t="s">
        <v>90</v>
      </c>
      <c r="K2704" s="340" t="s">
        <v>3433</v>
      </c>
      <c r="L2704" s="340"/>
      <c r="M2704" s="312" t="s">
        <v>3519</v>
      </c>
      <c r="N2704" s="265">
        <v>44924</v>
      </c>
      <c r="O2704" s="340" t="s">
        <v>503</v>
      </c>
      <c r="P2704" s="346">
        <v>5600</v>
      </c>
      <c r="Q2704" s="346">
        <v>-1</v>
      </c>
      <c r="R2704" s="351">
        <f t="shared" si="83"/>
        <v>-5600</v>
      </c>
      <c r="S2704" s="319">
        <v>202304</v>
      </c>
      <c r="T2704" s="347" t="s">
        <v>3566</v>
      </c>
      <c r="U2704" s="347"/>
      <c r="V2704" s="320"/>
      <c r="W2704" s="320"/>
      <c r="X2704" s="352">
        <v>44866</v>
      </c>
      <c r="Y2704" s="352">
        <v>45230</v>
      </c>
    </row>
    <row r="2705" s="5" customFormat="1" customHeight="1" spans="1:25">
      <c r="A2705" s="327" t="s">
        <v>444</v>
      </c>
      <c r="B2705" s="307" t="s">
        <v>3037</v>
      </c>
      <c r="C2705" s="327" t="s">
        <v>144</v>
      </c>
      <c r="D2705" s="307" t="s">
        <v>3038</v>
      </c>
      <c r="E2705" s="46" t="s">
        <v>3567</v>
      </c>
      <c r="F2705" s="327" t="s">
        <v>3504</v>
      </c>
      <c r="G2705" s="329" t="s">
        <v>67</v>
      </c>
      <c r="H2705" s="329" t="s">
        <v>3568</v>
      </c>
      <c r="I2705" s="46" t="e">
        <f>VLOOKUP(H2705,'合同高级查询数据-4月返'!A:A,1,FALSE)</f>
        <v>#N/A</v>
      </c>
      <c r="J2705" s="329" t="s">
        <v>69</v>
      </c>
      <c r="K2705" s="340" t="s">
        <v>3569</v>
      </c>
      <c r="L2705" s="340"/>
      <c r="M2705" s="312" t="s">
        <v>3519</v>
      </c>
      <c r="N2705" s="265">
        <v>43176</v>
      </c>
      <c r="O2705" s="340" t="s">
        <v>71</v>
      </c>
      <c r="P2705" s="346">
        <v>535</v>
      </c>
      <c r="Q2705" s="346">
        <v>204.18</v>
      </c>
      <c r="R2705" s="351">
        <v>0</v>
      </c>
      <c r="S2705" s="319">
        <v>202304</v>
      </c>
      <c r="T2705" s="353" t="s">
        <v>3570</v>
      </c>
      <c r="U2705" s="353"/>
      <c r="V2705" s="320"/>
      <c r="W2705" s="320"/>
      <c r="X2705" s="50">
        <v>43177</v>
      </c>
      <c r="Y2705" s="50">
        <v>45002</v>
      </c>
    </row>
    <row r="2706" s="5" customFormat="1" customHeight="1" spans="1:25">
      <c r="A2706" s="327" t="s">
        <v>444</v>
      </c>
      <c r="B2706" s="307" t="s">
        <v>3037</v>
      </c>
      <c r="C2706" s="327" t="s">
        <v>144</v>
      </c>
      <c r="D2706" s="307" t="s">
        <v>3038</v>
      </c>
      <c r="E2706" s="46" t="s">
        <v>3567</v>
      </c>
      <c r="F2706" s="327" t="s">
        <v>3504</v>
      </c>
      <c r="G2706" s="329" t="s">
        <v>67</v>
      </c>
      <c r="H2706" s="329" t="s">
        <v>3568</v>
      </c>
      <c r="I2706" s="46" t="e">
        <f>VLOOKUP(H2706,'合同高级查询数据-4月返'!A:A,1,FALSE)</f>
        <v>#N/A</v>
      </c>
      <c r="J2706" s="329" t="s">
        <v>69</v>
      </c>
      <c r="K2706" s="340" t="s">
        <v>3569</v>
      </c>
      <c r="L2706" s="340"/>
      <c r="M2706" s="312" t="s">
        <v>3519</v>
      </c>
      <c r="N2706" s="265">
        <v>43176</v>
      </c>
      <c r="O2706" s="340" t="s">
        <v>71</v>
      </c>
      <c r="P2706" s="346">
        <v>535</v>
      </c>
      <c r="Q2706" s="346">
        <v>58</v>
      </c>
      <c r="R2706" s="351">
        <v>0</v>
      </c>
      <c r="S2706" s="319">
        <v>202304</v>
      </c>
      <c r="T2706" s="353" t="s">
        <v>3571</v>
      </c>
      <c r="U2706" s="353"/>
      <c r="V2706" s="320"/>
      <c r="W2706" s="320"/>
      <c r="X2706" s="50">
        <v>43177</v>
      </c>
      <c r="Y2706" s="50">
        <v>45002</v>
      </c>
    </row>
    <row r="2707" s="5" customFormat="1" customHeight="1" spans="1:25">
      <c r="A2707" s="327" t="s">
        <v>444</v>
      </c>
      <c r="B2707" s="307" t="s">
        <v>3037</v>
      </c>
      <c r="C2707" s="327" t="s">
        <v>144</v>
      </c>
      <c r="D2707" s="307" t="s">
        <v>3038</v>
      </c>
      <c r="E2707" s="46" t="s">
        <v>3567</v>
      </c>
      <c r="F2707" s="327" t="s">
        <v>3504</v>
      </c>
      <c r="G2707" s="329" t="s">
        <v>67</v>
      </c>
      <c r="H2707" s="329" t="s">
        <v>3568</v>
      </c>
      <c r="I2707" s="46" t="e">
        <f>VLOOKUP(H2707,'合同高级查询数据-4月返'!A:A,1,FALSE)</f>
        <v>#N/A</v>
      </c>
      <c r="J2707" s="329" t="s">
        <v>69</v>
      </c>
      <c r="K2707" s="340" t="s">
        <v>3569</v>
      </c>
      <c r="L2707" s="340"/>
      <c r="M2707" s="312" t="s">
        <v>3519</v>
      </c>
      <c r="N2707" s="265">
        <v>43176</v>
      </c>
      <c r="O2707" s="340" t="s">
        <v>71</v>
      </c>
      <c r="P2707" s="346">
        <v>535</v>
      </c>
      <c r="Q2707" s="346">
        <v>225.51</v>
      </c>
      <c r="R2707" s="351">
        <v>0</v>
      </c>
      <c r="S2707" s="319">
        <v>202304</v>
      </c>
      <c r="T2707" s="353" t="s">
        <v>3572</v>
      </c>
      <c r="U2707" s="353"/>
      <c r="V2707" s="320"/>
      <c r="W2707" s="320"/>
      <c r="X2707" s="50">
        <v>43177</v>
      </c>
      <c r="Y2707" s="50">
        <v>45002</v>
      </c>
    </row>
    <row r="2708" s="5" customFormat="1" customHeight="1" spans="1:25">
      <c r="A2708" s="327" t="s">
        <v>444</v>
      </c>
      <c r="B2708" s="307" t="s">
        <v>3037</v>
      </c>
      <c r="C2708" s="327" t="s">
        <v>144</v>
      </c>
      <c r="D2708" s="307" t="s">
        <v>3038</v>
      </c>
      <c r="E2708" s="355" t="s">
        <v>3490</v>
      </c>
      <c r="F2708" s="327" t="s">
        <v>3573</v>
      </c>
      <c r="G2708" s="340" t="s">
        <v>88</v>
      </c>
      <c r="H2708" s="329" t="s">
        <v>3574</v>
      </c>
      <c r="I2708" s="46" t="e">
        <f>VLOOKUP(H2708,'合同高级查询数据-4月返'!A:A,1,FALSE)</f>
        <v>#N/A</v>
      </c>
      <c r="J2708" s="329" t="s">
        <v>162</v>
      </c>
      <c r="K2708" s="340" t="s">
        <v>3575</v>
      </c>
      <c r="L2708" s="357"/>
      <c r="M2708" s="312" t="s">
        <v>3576</v>
      </c>
      <c r="N2708" s="265">
        <v>43462</v>
      </c>
      <c r="O2708" s="340" t="s">
        <v>163</v>
      </c>
      <c r="P2708" s="346">
        <v>5000</v>
      </c>
      <c r="Q2708" s="346">
        <v>7</v>
      </c>
      <c r="R2708" s="351">
        <f t="shared" ref="R2708:R2771" si="84">ROUND(P2708*Q2708,2)</f>
        <v>35000</v>
      </c>
      <c r="S2708" s="319">
        <v>202304</v>
      </c>
      <c r="T2708" s="353"/>
      <c r="U2708" s="353"/>
      <c r="V2708" s="320"/>
      <c r="W2708" s="320"/>
      <c r="X2708" s="229"/>
      <c r="Y2708" s="229"/>
    </row>
    <row r="2709" s="5" customFormat="1" customHeight="1" spans="1:25">
      <c r="A2709" s="327" t="s">
        <v>444</v>
      </c>
      <c r="B2709" s="307" t="s">
        <v>3037</v>
      </c>
      <c r="C2709" s="327" t="s">
        <v>144</v>
      </c>
      <c r="D2709" s="307" t="s">
        <v>3038</v>
      </c>
      <c r="E2709" s="355" t="s">
        <v>3490</v>
      </c>
      <c r="F2709" s="327" t="s">
        <v>3573</v>
      </c>
      <c r="G2709" s="340" t="s">
        <v>88</v>
      </c>
      <c r="H2709" s="329" t="s">
        <v>3574</v>
      </c>
      <c r="I2709" s="46" t="e">
        <f>VLOOKUP(H2709,'合同高级查询数据-4月返'!A:A,1,FALSE)</f>
        <v>#N/A</v>
      </c>
      <c r="J2709" s="329" t="s">
        <v>162</v>
      </c>
      <c r="K2709" s="340" t="s">
        <v>3575</v>
      </c>
      <c r="L2709" s="357"/>
      <c r="M2709" s="312" t="s">
        <v>3576</v>
      </c>
      <c r="N2709" s="265">
        <v>43617</v>
      </c>
      <c r="O2709" s="340" t="s">
        <v>163</v>
      </c>
      <c r="P2709" s="346">
        <v>5000</v>
      </c>
      <c r="Q2709" s="346">
        <v>2</v>
      </c>
      <c r="R2709" s="351">
        <f t="shared" si="84"/>
        <v>10000</v>
      </c>
      <c r="S2709" s="319">
        <v>202304</v>
      </c>
      <c r="T2709" s="354"/>
      <c r="U2709" s="327"/>
      <c r="V2709" s="320"/>
      <c r="W2709" s="320"/>
      <c r="X2709" s="229"/>
      <c r="Y2709" s="229"/>
    </row>
    <row r="2710" s="5" customFormat="1" customHeight="1" spans="1:25">
      <c r="A2710" s="327" t="s">
        <v>444</v>
      </c>
      <c r="B2710" s="307" t="s">
        <v>3037</v>
      </c>
      <c r="C2710" s="327" t="s">
        <v>144</v>
      </c>
      <c r="D2710" s="307" t="s">
        <v>3038</v>
      </c>
      <c r="E2710" s="355" t="s">
        <v>3490</v>
      </c>
      <c r="F2710" s="327" t="s">
        <v>3573</v>
      </c>
      <c r="G2710" s="340" t="s">
        <v>88</v>
      </c>
      <c r="H2710" s="329" t="s">
        <v>3574</v>
      </c>
      <c r="I2710" s="46" t="e">
        <f>VLOOKUP(H2710,'合同高级查询数据-4月返'!A:A,1,FALSE)</f>
        <v>#N/A</v>
      </c>
      <c r="J2710" s="329" t="s">
        <v>162</v>
      </c>
      <c r="K2710" s="340" t="s">
        <v>3575</v>
      </c>
      <c r="L2710" s="357"/>
      <c r="M2710" s="312" t="s">
        <v>3576</v>
      </c>
      <c r="N2710" s="265">
        <v>44742</v>
      </c>
      <c r="O2710" s="340" t="s">
        <v>163</v>
      </c>
      <c r="P2710" s="346">
        <v>5000</v>
      </c>
      <c r="Q2710" s="346">
        <v>-5</v>
      </c>
      <c r="R2710" s="351">
        <f t="shared" si="84"/>
        <v>-25000</v>
      </c>
      <c r="S2710" s="319">
        <v>202304</v>
      </c>
      <c r="T2710" s="354" t="s">
        <v>3577</v>
      </c>
      <c r="U2710" s="327"/>
      <c r="V2710" s="320"/>
      <c r="W2710" s="320"/>
      <c r="X2710" s="229"/>
      <c r="Y2710" s="229"/>
    </row>
    <row r="2711" s="5" customFormat="1" customHeight="1" spans="1:25">
      <c r="A2711" s="327" t="s">
        <v>444</v>
      </c>
      <c r="B2711" s="307" t="s">
        <v>3037</v>
      </c>
      <c r="C2711" s="327" t="s">
        <v>144</v>
      </c>
      <c r="D2711" s="307" t="s">
        <v>3038</v>
      </c>
      <c r="E2711" s="355" t="s">
        <v>3490</v>
      </c>
      <c r="F2711" s="327" t="s">
        <v>3573</v>
      </c>
      <c r="G2711" s="340" t="s">
        <v>31</v>
      </c>
      <c r="H2711" s="329" t="s">
        <v>3574</v>
      </c>
      <c r="I2711" s="46" t="e">
        <f>VLOOKUP(H2711,'合同高级查询数据-4月返'!A:A,1,FALSE)</f>
        <v>#N/A</v>
      </c>
      <c r="J2711" s="309" t="s">
        <v>3189</v>
      </c>
      <c r="K2711" s="340" t="s">
        <v>3575</v>
      </c>
      <c r="L2711" s="357" t="s">
        <v>3573</v>
      </c>
      <c r="M2711" s="312"/>
      <c r="N2711" s="265">
        <v>43617</v>
      </c>
      <c r="O2711" s="340"/>
      <c r="P2711" s="346">
        <v>0</v>
      </c>
      <c r="Q2711" s="346">
        <v>288</v>
      </c>
      <c r="R2711" s="351">
        <f t="shared" si="84"/>
        <v>0</v>
      </c>
      <c r="S2711" s="319">
        <v>202304</v>
      </c>
      <c r="T2711" s="327" t="s">
        <v>3578</v>
      </c>
      <c r="U2711" s="353"/>
      <c r="V2711" s="320"/>
      <c r="W2711" s="320"/>
      <c r="X2711" s="229"/>
      <c r="Y2711" s="229"/>
    </row>
    <row r="2712" s="5" customFormat="1" customHeight="1" spans="1:25">
      <c r="A2712" s="327" t="s">
        <v>444</v>
      </c>
      <c r="B2712" s="307" t="s">
        <v>3037</v>
      </c>
      <c r="C2712" s="327" t="s">
        <v>144</v>
      </c>
      <c r="D2712" s="307" t="s">
        <v>3038</v>
      </c>
      <c r="E2712" s="355" t="s">
        <v>3490</v>
      </c>
      <c r="F2712" s="327" t="s">
        <v>3573</v>
      </c>
      <c r="G2712" s="340" t="s">
        <v>31</v>
      </c>
      <c r="H2712" s="329" t="s">
        <v>3574</v>
      </c>
      <c r="I2712" s="46" t="e">
        <f>VLOOKUP(H2712,'合同高级查询数据-4月返'!A:A,1,FALSE)</f>
        <v>#N/A</v>
      </c>
      <c r="J2712" s="309" t="s">
        <v>3189</v>
      </c>
      <c r="K2712" s="340" t="s">
        <v>3575</v>
      </c>
      <c r="L2712" s="357" t="s">
        <v>3573</v>
      </c>
      <c r="M2712" s="312"/>
      <c r="N2712" s="265">
        <v>44773</v>
      </c>
      <c r="O2712" s="340"/>
      <c r="P2712" s="346">
        <v>0</v>
      </c>
      <c r="Q2712" s="346">
        <v>-288</v>
      </c>
      <c r="R2712" s="351">
        <f t="shared" si="84"/>
        <v>0</v>
      </c>
      <c r="S2712" s="319">
        <v>202304</v>
      </c>
      <c r="T2712" s="327" t="s">
        <v>3579</v>
      </c>
      <c r="U2712" s="353"/>
      <c r="V2712" s="320"/>
      <c r="W2712" s="320"/>
      <c r="X2712" s="229"/>
      <c r="Y2712" s="229"/>
    </row>
    <row r="2713" s="5" customFormat="1" customHeight="1" spans="1:25">
      <c r="A2713" s="327" t="s">
        <v>444</v>
      </c>
      <c r="B2713" s="307" t="s">
        <v>3037</v>
      </c>
      <c r="C2713" s="327" t="s">
        <v>144</v>
      </c>
      <c r="D2713" s="307" t="s">
        <v>3038</v>
      </c>
      <c r="E2713" s="355" t="s">
        <v>3490</v>
      </c>
      <c r="F2713" s="327" t="s">
        <v>3573</v>
      </c>
      <c r="G2713" s="340" t="s">
        <v>88</v>
      </c>
      <c r="H2713" s="329" t="s">
        <v>3574</v>
      </c>
      <c r="I2713" s="46" t="e">
        <f>VLOOKUP(H2713,'合同高级查询数据-4月返'!A:A,1,FALSE)</f>
        <v>#N/A</v>
      </c>
      <c r="J2713" s="329" t="s">
        <v>162</v>
      </c>
      <c r="K2713" s="340" t="s">
        <v>3575</v>
      </c>
      <c r="L2713" s="357"/>
      <c r="M2713" s="312" t="s">
        <v>3576</v>
      </c>
      <c r="N2713" s="265">
        <v>44773</v>
      </c>
      <c r="O2713" s="340" t="s">
        <v>163</v>
      </c>
      <c r="P2713" s="346">
        <v>5000</v>
      </c>
      <c r="Q2713" s="346">
        <v>-4</v>
      </c>
      <c r="R2713" s="351">
        <f t="shared" si="84"/>
        <v>-20000</v>
      </c>
      <c r="S2713" s="319">
        <v>202304</v>
      </c>
      <c r="T2713" s="354" t="s">
        <v>3580</v>
      </c>
      <c r="U2713" s="327"/>
      <c r="V2713" s="320"/>
      <c r="W2713" s="320"/>
      <c r="X2713" s="229"/>
      <c r="Y2713" s="229"/>
    </row>
    <row r="2714" s="3" customFormat="1" customHeight="1" spans="1:25">
      <c r="A2714" s="338" t="s">
        <v>444</v>
      </c>
      <c r="B2714" s="310" t="s">
        <v>3037</v>
      </c>
      <c r="C2714" s="338" t="s">
        <v>144</v>
      </c>
      <c r="D2714" s="310" t="s">
        <v>3038</v>
      </c>
      <c r="E2714" s="356" t="s">
        <v>3581</v>
      </c>
      <c r="F2714" s="338" t="s">
        <v>3573</v>
      </c>
      <c r="G2714" s="144" t="s">
        <v>31</v>
      </c>
      <c r="H2714" s="339" t="s">
        <v>3582</v>
      </c>
      <c r="I2714" s="30" t="e">
        <f>VLOOKUP(H2714,'合同高级查询数据-4月返'!A:A,1,FALSE)</f>
        <v>#N/A</v>
      </c>
      <c r="J2714" s="140" t="s">
        <v>3189</v>
      </c>
      <c r="K2714" s="144" t="s">
        <v>3583</v>
      </c>
      <c r="L2714" s="358" t="s">
        <v>3584</v>
      </c>
      <c r="M2714" s="315" t="s">
        <v>3576</v>
      </c>
      <c r="N2714" s="143">
        <v>44935</v>
      </c>
      <c r="O2714" s="144"/>
      <c r="P2714" s="343">
        <v>0</v>
      </c>
      <c r="Q2714" s="343">
        <v>512</v>
      </c>
      <c r="R2714" s="348">
        <f t="shared" si="84"/>
        <v>0</v>
      </c>
      <c r="S2714" s="322">
        <v>202304</v>
      </c>
      <c r="T2714" s="338" t="s">
        <v>3585</v>
      </c>
      <c r="U2714" s="360"/>
      <c r="V2714" s="323"/>
      <c r="W2714" s="323"/>
      <c r="X2714" s="143">
        <v>44935</v>
      </c>
      <c r="Y2714" s="193"/>
    </row>
    <row r="2715" s="3" customFormat="1" customHeight="1" spans="1:25">
      <c r="A2715" s="338" t="s">
        <v>444</v>
      </c>
      <c r="B2715" s="310" t="s">
        <v>3037</v>
      </c>
      <c r="C2715" s="338" t="s">
        <v>144</v>
      </c>
      <c r="D2715" s="310" t="s">
        <v>3038</v>
      </c>
      <c r="E2715" s="356" t="s">
        <v>3581</v>
      </c>
      <c r="F2715" s="338" t="s">
        <v>3573</v>
      </c>
      <c r="G2715" s="144" t="s">
        <v>88</v>
      </c>
      <c r="H2715" s="339" t="s">
        <v>3582</v>
      </c>
      <c r="I2715" s="30" t="e">
        <f>VLOOKUP(H2715,'合同高级查询数据-4月返'!A:A,1,FALSE)</f>
        <v>#N/A</v>
      </c>
      <c r="J2715" s="339" t="s">
        <v>162</v>
      </c>
      <c r="K2715" s="144" t="s">
        <v>3583</v>
      </c>
      <c r="L2715" s="358" t="s">
        <v>3584</v>
      </c>
      <c r="M2715" s="315" t="s">
        <v>3576</v>
      </c>
      <c r="N2715" s="143">
        <v>44935</v>
      </c>
      <c r="O2715" s="144" t="s">
        <v>503</v>
      </c>
      <c r="P2715" s="343">
        <v>5000</v>
      </c>
      <c r="Q2715" s="343">
        <v>1</v>
      </c>
      <c r="R2715" s="348">
        <f t="shared" si="84"/>
        <v>5000</v>
      </c>
      <c r="S2715" s="322">
        <v>202304</v>
      </c>
      <c r="T2715" s="338" t="s">
        <v>3586</v>
      </c>
      <c r="U2715" s="338"/>
      <c r="V2715" s="323"/>
      <c r="W2715" s="323"/>
      <c r="X2715" s="143">
        <v>44935</v>
      </c>
      <c r="Y2715" s="193"/>
    </row>
    <row r="2716" s="5" customFormat="1" customHeight="1" spans="1:25">
      <c r="A2716" s="22" t="s">
        <v>444</v>
      </c>
      <c r="B2716" s="307" t="s">
        <v>3037</v>
      </c>
      <c r="C2716" s="327" t="s">
        <v>144</v>
      </c>
      <c r="D2716" s="307" t="s">
        <v>3038</v>
      </c>
      <c r="E2716" s="355" t="s">
        <v>3490</v>
      </c>
      <c r="F2716" s="22" t="s">
        <v>3587</v>
      </c>
      <c r="G2716" s="340" t="s">
        <v>88</v>
      </c>
      <c r="H2716" s="329" t="s">
        <v>3574</v>
      </c>
      <c r="I2716" s="46" t="e">
        <f>VLOOKUP(H2716,'合同高级查询数据-4月返'!A:A,1,FALSE)</f>
        <v>#N/A</v>
      </c>
      <c r="J2716" s="329" t="s">
        <v>162</v>
      </c>
      <c r="K2716" s="22" t="s">
        <v>3588</v>
      </c>
      <c r="L2716" s="22"/>
      <c r="M2716" s="312" t="s">
        <v>3589</v>
      </c>
      <c r="N2716" s="50">
        <v>43494</v>
      </c>
      <c r="O2716" s="22" t="s">
        <v>163</v>
      </c>
      <c r="P2716" s="359">
        <v>5000</v>
      </c>
      <c r="Q2716" s="359">
        <v>7</v>
      </c>
      <c r="R2716" s="105">
        <f t="shared" si="84"/>
        <v>35000</v>
      </c>
      <c r="S2716" s="319">
        <v>202304</v>
      </c>
      <c r="T2716" s="327"/>
      <c r="U2716" s="327"/>
      <c r="V2716" s="320"/>
      <c r="W2716" s="320"/>
      <c r="X2716" s="229"/>
      <c r="Y2716" s="229"/>
    </row>
    <row r="2717" s="5" customFormat="1" customHeight="1" spans="1:25">
      <c r="A2717" s="22" t="s">
        <v>444</v>
      </c>
      <c r="B2717" s="307" t="s">
        <v>3037</v>
      </c>
      <c r="C2717" s="327" t="s">
        <v>144</v>
      </c>
      <c r="D2717" s="307" t="s">
        <v>3038</v>
      </c>
      <c r="E2717" s="355" t="s">
        <v>3490</v>
      </c>
      <c r="F2717" s="22" t="s">
        <v>3587</v>
      </c>
      <c r="G2717" s="340" t="s">
        <v>31</v>
      </c>
      <c r="H2717" s="329" t="s">
        <v>3574</v>
      </c>
      <c r="I2717" s="46" t="e">
        <f>VLOOKUP(H2717,'合同高级查询数据-4月返'!A:A,1,FALSE)</f>
        <v>#N/A</v>
      </c>
      <c r="J2717" s="309" t="s">
        <v>3189</v>
      </c>
      <c r="K2717" s="22" t="s">
        <v>3588</v>
      </c>
      <c r="L2717" s="22"/>
      <c r="M2717" s="312"/>
      <c r="N2717" s="50">
        <v>43494</v>
      </c>
      <c r="O2717" s="22"/>
      <c r="P2717" s="346">
        <v>0</v>
      </c>
      <c r="Q2717" s="359">
        <v>288</v>
      </c>
      <c r="R2717" s="105">
        <f t="shared" si="84"/>
        <v>0</v>
      </c>
      <c r="S2717" s="319">
        <v>202304</v>
      </c>
      <c r="T2717" s="327" t="s">
        <v>3590</v>
      </c>
      <c r="U2717" s="355"/>
      <c r="V2717" s="320"/>
      <c r="W2717" s="320"/>
      <c r="X2717" s="229"/>
      <c r="Y2717" s="229"/>
    </row>
    <row r="2718" s="5" customFormat="1" customHeight="1" spans="1:25">
      <c r="A2718" s="22" t="s">
        <v>444</v>
      </c>
      <c r="B2718" s="307" t="s">
        <v>3037</v>
      </c>
      <c r="C2718" s="327" t="s">
        <v>144</v>
      </c>
      <c r="D2718" s="307" t="s">
        <v>3038</v>
      </c>
      <c r="E2718" s="355" t="s">
        <v>3490</v>
      </c>
      <c r="F2718" s="22" t="s">
        <v>3587</v>
      </c>
      <c r="G2718" s="340" t="s">
        <v>88</v>
      </c>
      <c r="H2718" s="329" t="s">
        <v>3574</v>
      </c>
      <c r="I2718" s="46" t="e">
        <f>VLOOKUP(H2718,'合同高级查询数据-4月返'!A:A,1,FALSE)</f>
        <v>#N/A</v>
      </c>
      <c r="J2718" s="329" t="s">
        <v>162</v>
      </c>
      <c r="K2718" s="22" t="s">
        <v>3588</v>
      </c>
      <c r="L2718" s="22"/>
      <c r="M2718" s="312" t="s">
        <v>3589</v>
      </c>
      <c r="N2718" s="50">
        <v>44773</v>
      </c>
      <c r="O2718" s="22" t="s">
        <v>163</v>
      </c>
      <c r="P2718" s="359">
        <v>5000</v>
      </c>
      <c r="Q2718" s="359">
        <v>-7</v>
      </c>
      <c r="R2718" s="105">
        <f t="shared" si="84"/>
        <v>-35000</v>
      </c>
      <c r="S2718" s="319">
        <v>202304</v>
      </c>
      <c r="T2718" s="327" t="s">
        <v>3591</v>
      </c>
      <c r="U2718" s="327"/>
      <c r="V2718" s="320"/>
      <c r="W2718" s="320"/>
      <c r="X2718" s="229"/>
      <c r="Y2718" s="229"/>
    </row>
    <row r="2719" s="5" customFormat="1" customHeight="1" spans="1:25">
      <c r="A2719" s="22" t="s">
        <v>444</v>
      </c>
      <c r="B2719" s="307" t="s">
        <v>3037</v>
      </c>
      <c r="C2719" s="327" t="s">
        <v>144</v>
      </c>
      <c r="D2719" s="307" t="s">
        <v>3038</v>
      </c>
      <c r="E2719" s="355" t="s">
        <v>3490</v>
      </c>
      <c r="F2719" s="22" t="s">
        <v>3587</v>
      </c>
      <c r="G2719" s="340" t="s">
        <v>31</v>
      </c>
      <c r="H2719" s="329" t="s">
        <v>3574</v>
      </c>
      <c r="I2719" s="46" t="e">
        <f>VLOOKUP(H2719,'合同高级查询数据-4月返'!A:A,1,FALSE)</f>
        <v>#N/A</v>
      </c>
      <c r="J2719" s="309" t="s">
        <v>3189</v>
      </c>
      <c r="K2719" s="22" t="s">
        <v>3588</v>
      </c>
      <c r="L2719" s="22"/>
      <c r="M2719" s="312"/>
      <c r="N2719" s="50">
        <v>44773</v>
      </c>
      <c r="O2719" s="22"/>
      <c r="P2719" s="346">
        <v>0</v>
      </c>
      <c r="Q2719" s="359">
        <v>-288</v>
      </c>
      <c r="R2719" s="105">
        <f t="shared" si="84"/>
        <v>0</v>
      </c>
      <c r="S2719" s="319">
        <v>202304</v>
      </c>
      <c r="T2719" s="327" t="s">
        <v>3592</v>
      </c>
      <c r="U2719" s="355"/>
      <c r="V2719" s="320"/>
      <c r="W2719" s="320"/>
      <c r="X2719" s="229"/>
      <c r="Y2719" s="229"/>
    </row>
    <row r="2720" s="5" customFormat="1" customHeight="1" spans="1:25">
      <c r="A2720" s="22" t="s">
        <v>444</v>
      </c>
      <c r="B2720" s="307" t="s">
        <v>3037</v>
      </c>
      <c r="C2720" s="327" t="s">
        <v>144</v>
      </c>
      <c r="D2720" s="307" t="s">
        <v>3038</v>
      </c>
      <c r="E2720" s="46" t="s">
        <v>3490</v>
      </c>
      <c r="F2720" s="22" t="s">
        <v>3593</v>
      </c>
      <c r="G2720" s="22" t="s">
        <v>88</v>
      </c>
      <c r="H2720" s="329" t="s">
        <v>3505</v>
      </c>
      <c r="I2720" s="46" t="e">
        <f>VLOOKUP(H2720,'合同高级查询数据-4月返'!A:A,1,FALSE)</f>
        <v>#N/A</v>
      </c>
      <c r="J2720" s="22" t="s">
        <v>90</v>
      </c>
      <c r="K2720" s="22" t="s">
        <v>3433</v>
      </c>
      <c r="L2720" s="22"/>
      <c r="M2720" s="312" t="s">
        <v>3519</v>
      </c>
      <c r="N2720" s="50">
        <v>43593</v>
      </c>
      <c r="O2720" s="22" t="s">
        <v>503</v>
      </c>
      <c r="P2720" s="359">
        <v>5600</v>
      </c>
      <c r="Q2720" s="359">
        <v>1</v>
      </c>
      <c r="R2720" s="105">
        <f t="shared" si="84"/>
        <v>5600</v>
      </c>
      <c r="S2720" s="319">
        <v>202304</v>
      </c>
      <c r="T2720" s="347" t="s">
        <v>3594</v>
      </c>
      <c r="U2720" s="347"/>
      <c r="V2720" s="320"/>
      <c r="W2720" s="320"/>
      <c r="X2720" s="352">
        <v>44866</v>
      </c>
      <c r="Y2720" s="352">
        <v>45230</v>
      </c>
    </row>
    <row r="2721" s="5" customFormat="1" customHeight="1" spans="1:25">
      <c r="A2721" s="22" t="s">
        <v>444</v>
      </c>
      <c r="B2721" s="307" t="s">
        <v>3037</v>
      </c>
      <c r="C2721" s="327" t="s">
        <v>144</v>
      </c>
      <c r="D2721" s="307" t="s">
        <v>3038</v>
      </c>
      <c r="E2721" s="46" t="s">
        <v>3490</v>
      </c>
      <c r="F2721" s="22" t="s">
        <v>3593</v>
      </c>
      <c r="G2721" s="22" t="s">
        <v>88</v>
      </c>
      <c r="H2721" s="329" t="s">
        <v>3505</v>
      </c>
      <c r="I2721" s="46" t="e">
        <f>VLOOKUP(H2721,'合同高级查询数据-4月返'!A:A,1,FALSE)</f>
        <v>#N/A</v>
      </c>
      <c r="J2721" s="22" t="s">
        <v>90</v>
      </c>
      <c r="K2721" s="22" t="s">
        <v>3433</v>
      </c>
      <c r="L2721" s="22"/>
      <c r="M2721" s="312" t="s">
        <v>3519</v>
      </c>
      <c r="N2721" s="50">
        <v>43598</v>
      </c>
      <c r="O2721" s="22" t="s">
        <v>503</v>
      </c>
      <c r="P2721" s="359">
        <v>5600</v>
      </c>
      <c r="Q2721" s="359">
        <v>37</v>
      </c>
      <c r="R2721" s="105">
        <f t="shared" si="84"/>
        <v>207200</v>
      </c>
      <c r="S2721" s="319">
        <v>202304</v>
      </c>
      <c r="T2721" s="347" t="s">
        <v>3595</v>
      </c>
      <c r="U2721" s="347"/>
      <c r="V2721" s="320"/>
      <c r="W2721" s="320"/>
      <c r="X2721" s="352">
        <v>44866</v>
      </c>
      <c r="Y2721" s="352">
        <v>45230</v>
      </c>
    </row>
    <row r="2722" s="5" customFormat="1" customHeight="1" spans="1:25">
      <c r="A2722" s="22" t="s">
        <v>444</v>
      </c>
      <c r="B2722" s="307" t="s">
        <v>3037</v>
      </c>
      <c r="C2722" s="327" t="s">
        <v>144</v>
      </c>
      <c r="D2722" s="307" t="s">
        <v>3038</v>
      </c>
      <c r="E2722" s="46" t="s">
        <v>3490</v>
      </c>
      <c r="F2722" s="22" t="s">
        <v>3593</v>
      </c>
      <c r="G2722" s="22" t="s">
        <v>88</v>
      </c>
      <c r="H2722" s="329" t="s">
        <v>3505</v>
      </c>
      <c r="I2722" s="46" t="e">
        <f>VLOOKUP(H2722,'合同高级查询数据-4月返'!A:A,1,FALSE)</f>
        <v>#N/A</v>
      </c>
      <c r="J2722" s="22" t="s">
        <v>90</v>
      </c>
      <c r="K2722" s="22" t="s">
        <v>3433</v>
      </c>
      <c r="L2722" s="22"/>
      <c r="M2722" s="312" t="s">
        <v>3519</v>
      </c>
      <c r="N2722" s="50">
        <v>43599</v>
      </c>
      <c r="O2722" s="22" t="s">
        <v>503</v>
      </c>
      <c r="P2722" s="359">
        <v>5600</v>
      </c>
      <c r="Q2722" s="359">
        <v>3</v>
      </c>
      <c r="R2722" s="105">
        <f t="shared" si="84"/>
        <v>16800</v>
      </c>
      <c r="S2722" s="319">
        <v>202304</v>
      </c>
      <c r="T2722" s="347" t="s">
        <v>3596</v>
      </c>
      <c r="U2722" s="347"/>
      <c r="V2722" s="320"/>
      <c r="W2722" s="320"/>
      <c r="X2722" s="352">
        <v>44866</v>
      </c>
      <c r="Y2722" s="352">
        <v>45230</v>
      </c>
    </row>
    <row r="2723" s="5" customFormat="1" customHeight="1" spans="1:25">
      <c r="A2723" s="22" t="s">
        <v>444</v>
      </c>
      <c r="B2723" s="307" t="s">
        <v>3037</v>
      </c>
      <c r="C2723" s="327" t="s">
        <v>144</v>
      </c>
      <c r="D2723" s="307" t="s">
        <v>3038</v>
      </c>
      <c r="E2723" s="46" t="s">
        <v>3490</v>
      </c>
      <c r="F2723" s="22" t="s">
        <v>3593</v>
      </c>
      <c r="G2723" s="22" t="s">
        <v>88</v>
      </c>
      <c r="H2723" s="329" t="s">
        <v>3505</v>
      </c>
      <c r="I2723" s="46" t="e">
        <f>VLOOKUP(H2723,'合同高级查询数据-4月返'!A:A,1,FALSE)</f>
        <v>#N/A</v>
      </c>
      <c r="J2723" s="22" t="s">
        <v>90</v>
      </c>
      <c r="K2723" s="22" t="s">
        <v>3433</v>
      </c>
      <c r="L2723" s="22"/>
      <c r="M2723" s="312" t="s">
        <v>3519</v>
      </c>
      <c r="N2723" s="50">
        <v>43601</v>
      </c>
      <c r="O2723" s="22" t="s">
        <v>503</v>
      </c>
      <c r="P2723" s="359">
        <v>5600</v>
      </c>
      <c r="Q2723" s="359">
        <v>24</v>
      </c>
      <c r="R2723" s="105">
        <f t="shared" si="84"/>
        <v>134400</v>
      </c>
      <c r="S2723" s="319">
        <v>202304</v>
      </c>
      <c r="T2723" s="347" t="s">
        <v>3597</v>
      </c>
      <c r="U2723" s="347"/>
      <c r="V2723" s="320"/>
      <c r="W2723" s="320"/>
      <c r="X2723" s="352">
        <v>44866</v>
      </c>
      <c r="Y2723" s="352">
        <v>45230</v>
      </c>
    </row>
    <row r="2724" s="5" customFormat="1" customHeight="1" spans="1:25">
      <c r="A2724" s="22" t="s">
        <v>444</v>
      </c>
      <c r="B2724" s="307" t="s">
        <v>3037</v>
      </c>
      <c r="C2724" s="327" t="s">
        <v>144</v>
      </c>
      <c r="D2724" s="307" t="s">
        <v>3038</v>
      </c>
      <c r="E2724" s="46" t="s">
        <v>3490</v>
      </c>
      <c r="F2724" s="22" t="s">
        <v>3593</v>
      </c>
      <c r="G2724" s="22" t="s">
        <v>88</v>
      </c>
      <c r="H2724" s="329" t="s">
        <v>3505</v>
      </c>
      <c r="I2724" s="46" t="e">
        <f>VLOOKUP(H2724,'合同高级查询数据-4月返'!A:A,1,FALSE)</f>
        <v>#N/A</v>
      </c>
      <c r="J2724" s="22" t="s">
        <v>90</v>
      </c>
      <c r="K2724" s="22" t="s">
        <v>3433</v>
      </c>
      <c r="L2724" s="22"/>
      <c r="M2724" s="312" t="s">
        <v>3519</v>
      </c>
      <c r="N2724" s="50">
        <v>43606</v>
      </c>
      <c r="O2724" s="22" t="s">
        <v>503</v>
      </c>
      <c r="P2724" s="359">
        <v>5600</v>
      </c>
      <c r="Q2724" s="359">
        <v>3</v>
      </c>
      <c r="R2724" s="105">
        <f t="shared" si="84"/>
        <v>16800</v>
      </c>
      <c r="S2724" s="319">
        <v>202304</v>
      </c>
      <c r="T2724" s="347" t="s">
        <v>3598</v>
      </c>
      <c r="U2724" s="347"/>
      <c r="V2724" s="320"/>
      <c r="W2724" s="320"/>
      <c r="X2724" s="352">
        <v>44866</v>
      </c>
      <c r="Y2724" s="352">
        <v>45230</v>
      </c>
    </row>
    <row r="2725" s="5" customFormat="1" customHeight="1" spans="1:25">
      <c r="A2725" s="22" t="s">
        <v>444</v>
      </c>
      <c r="B2725" s="307" t="s">
        <v>3037</v>
      </c>
      <c r="C2725" s="327" t="s">
        <v>144</v>
      </c>
      <c r="D2725" s="307" t="s">
        <v>3038</v>
      </c>
      <c r="E2725" s="46" t="s">
        <v>3490</v>
      </c>
      <c r="F2725" s="22" t="s">
        <v>3593</v>
      </c>
      <c r="G2725" s="22" t="s">
        <v>88</v>
      </c>
      <c r="H2725" s="329" t="s">
        <v>3505</v>
      </c>
      <c r="I2725" s="46" t="e">
        <f>VLOOKUP(H2725,'合同高级查询数据-4月返'!A:A,1,FALSE)</f>
        <v>#N/A</v>
      </c>
      <c r="J2725" s="22" t="s">
        <v>90</v>
      </c>
      <c r="K2725" s="22" t="s">
        <v>3433</v>
      </c>
      <c r="L2725" s="22"/>
      <c r="M2725" s="312" t="s">
        <v>3519</v>
      </c>
      <c r="N2725" s="50">
        <v>43616</v>
      </c>
      <c r="O2725" s="22" t="s">
        <v>503</v>
      </c>
      <c r="P2725" s="359">
        <v>5600</v>
      </c>
      <c r="Q2725" s="359">
        <v>3</v>
      </c>
      <c r="R2725" s="105">
        <f t="shared" si="84"/>
        <v>16800</v>
      </c>
      <c r="S2725" s="319">
        <v>202304</v>
      </c>
      <c r="T2725" s="347" t="s">
        <v>3599</v>
      </c>
      <c r="U2725" s="347"/>
      <c r="V2725" s="320"/>
      <c r="W2725" s="320"/>
      <c r="X2725" s="352">
        <v>44866</v>
      </c>
      <c r="Y2725" s="352">
        <v>45230</v>
      </c>
    </row>
    <row r="2726" s="5" customFormat="1" customHeight="1" spans="1:25">
      <c r="A2726" s="22" t="s">
        <v>444</v>
      </c>
      <c r="B2726" s="307" t="s">
        <v>3037</v>
      </c>
      <c r="C2726" s="327" t="s">
        <v>144</v>
      </c>
      <c r="D2726" s="307" t="s">
        <v>3038</v>
      </c>
      <c r="E2726" s="46" t="s">
        <v>3490</v>
      </c>
      <c r="F2726" s="22" t="s">
        <v>3593</v>
      </c>
      <c r="G2726" s="22" t="s">
        <v>88</v>
      </c>
      <c r="H2726" s="329" t="s">
        <v>3505</v>
      </c>
      <c r="I2726" s="46" t="e">
        <f>VLOOKUP(H2726,'合同高级查询数据-4月返'!A:A,1,FALSE)</f>
        <v>#N/A</v>
      </c>
      <c r="J2726" s="22" t="s">
        <v>90</v>
      </c>
      <c r="K2726" s="22" t="s">
        <v>3433</v>
      </c>
      <c r="L2726" s="22"/>
      <c r="M2726" s="312" t="s">
        <v>3519</v>
      </c>
      <c r="N2726" s="50">
        <v>43634</v>
      </c>
      <c r="O2726" s="22" t="s">
        <v>503</v>
      </c>
      <c r="P2726" s="359">
        <v>5600</v>
      </c>
      <c r="Q2726" s="359">
        <v>36</v>
      </c>
      <c r="R2726" s="105">
        <f t="shared" si="84"/>
        <v>201600</v>
      </c>
      <c r="S2726" s="319">
        <v>202304</v>
      </c>
      <c r="T2726" s="347" t="s">
        <v>3600</v>
      </c>
      <c r="U2726" s="347"/>
      <c r="V2726" s="320"/>
      <c r="W2726" s="320"/>
      <c r="X2726" s="352">
        <v>44866</v>
      </c>
      <c r="Y2726" s="352">
        <v>45230</v>
      </c>
    </row>
    <row r="2727" s="5" customFormat="1" customHeight="1" spans="1:25">
      <c r="A2727" s="327" t="s">
        <v>444</v>
      </c>
      <c r="B2727" s="307" t="s">
        <v>3037</v>
      </c>
      <c r="C2727" s="327" t="s">
        <v>144</v>
      </c>
      <c r="D2727" s="307" t="s">
        <v>3038</v>
      </c>
      <c r="E2727" s="46" t="s">
        <v>3490</v>
      </c>
      <c r="F2727" s="327" t="s">
        <v>3593</v>
      </c>
      <c r="G2727" s="340" t="s">
        <v>88</v>
      </c>
      <c r="H2727" s="329" t="s">
        <v>3505</v>
      </c>
      <c r="I2727" s="46" t="e">
        <f>VLOOKUP(H2727,'合同高级查询数据-4月返'!A:A,1,FALSE)</f>
        <v>#N/A</v>
      </c>
      <c r="J2727" s="329" t="s">
        <v>90</v>
      </c>
      <c r="K2727" s="340" t="s">
        <v>3433</v>
      </c>
      <c r="L2727" s="340"/>
      <c r="M2727" s="312" t="s">
        <v>3519</v>
      </c>
      <c r="N2727" s="265">
        <v>43647</v>
      </c>
      <c r="O2727" s="340" t="s">
        <v>503</v>
      </c>
      <c r="P2727" s="359">
        <v>5600</v>
      </c>
      <c r="Q2727" s="346">
        <v>14</v>
      </c>
      <c r="R2727" s="351">
        <f t="shared" si="84"/>
        <v>78400</v>
      </c>
      <c r="S2727" s="319">
        <v>202304</v>
      </c>
      <c r="T2727" s="347" t="s">
        <v>3601</v>
      </c>
      <c r="U2727" s="347"/>
      <c r="V2727" s="320"/>
      <c r="W2727" s="320"/>
      <c r="X2727" s="352">
        <v>44866</v>
      </c>
      <c r="Y2727" s="352">
        <v>45230</v>
      </c>
    </row>
    <row r="2728" s="5" customFormat="1" customHeight="1" spans="1:25">
      <c r="A2728" s="327" t="s">
        <v>444</v>
      </c>
      <c r="B2728" s="307" t="s">
        <v>3037</v>
      </c>
      <c r="C2728" s="327" t="s">
        <v>144</v>
      </c>
      <c r="D2728" s="307" t="s">
        <v>3038</v>
      </c>
      <c r="E2728" s="46" t="s">
        <v>3490</v>
      </c>
      <c r="F2728" s="327" t="s">
        <v>3593</v>
      </c>
      <c r="G2728" s="340" t="s">
        <v>88</v>
      </c>
      <c r="H2728" s="329" t="s">
        <v>3505</v>
      </c>
      <c r="I2728" s="46" t="e">
        <f>VLOOKUP(H2728,'合同高级查询数据-4月返'!A:A,1,FALSE)</f>
        <v>#N/A</v>
      </c>
      <c r="J2728" s="329" t="s">
        <v>90</v>
      </c>
      <c r="K2728" s="340" t="s">
        <v>3433</v>
      </c>
      <c r="L2728" s="340"/>
      <c r="M2728" s="312" t="s">
        <v>3519</v>
      </c>
      <c r="N2728" s="265">
        <v>43649</v>
      </c>
      <c r="O2728" s="340" t="s">
        <v>503</v>
      </c>
      <c r="P2728" s="359">
        <v>5600</v>
      </c>
      <c r="Q2728" s="346">
        <v>7</v>
      </c>
      <c r="R2728" s="351">
        <f t="shared" si="84"/>
        <v>39200</v>
      </c>
      <c r="S2728" s="319">
        <v>202304</v>
      </c>
      <c r="T2728" s="347" t="s">
        <v>3602</v>
      </c>
      <c r="U2728" s="347"/>
      <c r="V2728" s="320"/>
      <c r="W2728" s="320"/>
      <c r="X2728" s="352">
        <v>44866</v>
      </c>
      <c r="Y2728" s="352">
        <v>45230</v>
      </c>
    </row>
    <row r="2729" s="5" customFormat="1" customHeight="1" spans="1:25">
      <c r="A2729" s="327" t="s">
        <v>444</v>
      </c>
      <c r="B2729" s="307" t="s">
        <v>3037</v>
      </c>
      <c r="C2729" s="327" t="s">
        <v>144</v>
      </c>
      <c r="D2729" s="307" t="s">
        <v>3038</v>
      </c>
      <c r="E2729" s="46" t="s">
        <v>3490</v>
      </c>
      <c r="F2729" s="327" t="s">
        <v>3593</v>
      </c>
      <c r="G2729" s="340" t="s">
        <v>88</v>
      </c>
      <c r="H2729" s="329" t="s">
        <v>3505</v>
      </c>
      <c r="I2729" s="46" t="e">
        <f>VLOOKUP(H2729,'合同高级查询数据-4月返'!A:A,1,FALSE)</f>
        <v>#N/A</v>
      </c>
      <c r="J2729" s="329" t="s">
        <v>90</v>
      </c>
      <c r="K2729" s="340" t="s">
        <v>3433</v>
      </c>
      <c r="L2729" s="340"/>
      <c r="M2729" s="312" t="s">
        <v>3519</v>
      </c>
      <c r="N2729" s="265">
        <v>43677</v>
      </c>
      <c r="O2729" s="340" t="s">
        <v>503</v>
      </c>
      <c r="P2729" s="359">
        <v>5600</v>
      </c>
      <c r="Q2729" s="346">
        <v>4</v>
      </c>
      <c r="R2729" s="351">
        <f t="shared" si="84"/>
        <v>22400</v>
      </c>
      <c r="S2729" s="319">
        <v>202304</v>
      </c>
      <c r="T2729" s="347" t="s">
        <v>2107</v>
      </c>
      <c r="U2729" s="347"/>
      <c r="V2729" s="320"/>
      <c r="W2729" s="320"/>
      <c r="X2729" s="352">
        <v>44866</v>
      </c>
      <c r="Y2729" s="352">
        <v>45230</v>
      </c>
    </row>
    <row r="2730" s="5" customFormat="1" customHeight="1" spans="1:25">
      <c r="A2730" s="327" t="s">
        <v>444</v>
      </c>
      <c r="B2730" s="307" t="s">
        <v>3037</v>
      </c>
      <c r="C2730" s="327" t="s">
        <v>144</v>
      </c>
      <c r="D2730" s="307" t="s">
        <v>3038</v>
      </c>
      <c r="E2730" s="46" t="s">
        <v>3490</v>
      </c>
      <c r="F2730" s="327" t="s">
        <v>3593</v>
      </c>
      <c r="G2730" s="340" t="s">
        <v>88</v>
      </c>
      <c r="H2730" s="329" t="s">
        <v>3505</v>
      </c>
      <c r="I2730" s="46" t="e">
        <f>VLOOKUP(H2730,'合同高级查询数据-4月返'!A:A,1,FALSE)</f>
        <v>#N/A</v>
      </c>
      <c r="J2730" s="329" t="s">
        <v>90</v>
      </c>
      <c r="K2730" s="340" t="s">
        <v>3433</v>
      </c>
      <c r="L2730" s="340"/>
      <c r="M2730" s="312" t="s">
        <v>3519</v>
      </c>
      <c r="N2730" s="265">
        <v>43756</v>
      </c>
      <c r="O2730" s="340" t="s">
        <v>503</v>
      </c>
      <c r="P2730" s="359">
        <v>5600</v>
      </c>
      <c r="Q2730" s="346">
        <v>2</v>
      </c>
      <c r="R2730" s="351">
        <f t="shared" si="84"/>
        <v>11200</v>
      </c>
      <c r="S2730" s="319">
        <v>202304</v>
      </c>
      <c r="T2730" s="347" t="s">
        <v>3603</v>
      </c>
      <c r="U2730" s="347"/>
      <c r="V2730" s="320"/>
      <c r="W2730" s="320"/>
      <c r="X2730" s="352">
        <v>44866</v>
      </c>
      <c r="Y2730" s="352">
        <v>45230</v>
      </c>
    </row>
    <row r="2731" s="5" customFormat="1" customHeight="1" spans="1:25">
      <c r="A2731" s="327" t="s">
        <v>444</v>
      </c>
      <c r="B2731" s="307" t="s">
        <v>3037</v>
      </c>
      <c r="C2731" s="327" t="s">
        <v>144</v>
      </c>
      <c r="D2731" s="307" t="s">
        <v>3038</v>
      </c>
      <c r="E2731" s="46" t="s">
        <v>3490</v>
      </c>
      <c r="F2731" s="327" t="s">
        <v>3593</v>
      </c>
      <c r="G2731" s="340" t="s">
        <v>88</v>
      </c>
      <c r="H2731" s="329" t="s">
        <v>3505</v>
      </c>
      <c r="I2731" s="46" t="e">
        <f>VLOOKUP(H2731,'合同高级查询数据-4月返'!A:A,1,FALSE)</f>
        <v>#N/A</v>
      </c>
      <c r="J2731" s="329" t="s">
        <v>90</v>
      </c>
      <c r="K2731" s="340" t="s">
        <v>3433</v>
      </c>
      <c r="L2731" s="340"/>
      <c r="M2731" s="312" t="s">
        <v>3519</v>
      </c>
      <c r="N2731" s="265">
        <v>43756</v>
      </c>
      <c r="O2731" s="340" t="s">
        <v>525</v>
      </c>
      <c r="P2731" s="346">
        <v>8200</v>
      </c>
      <c r="Q2731" s="346">
        <v>14</v>
      </c>
      <c r="R2731" s="351">
        <f t="shared" si="84"/>
        <v>114800</v>
      </c>
      <c r="S2731" s="319">
        <v>202304</v>
      </c>
      <c r="T2731" s="347" t="s">
        <v>3603</v>
      </c>
      <c r="U2731" s="347"/>
      <c r="V2731" s="320"/>
      <c r="W2731" s="320"/>
      <c r="X2731" s="352">
        <v>44866</v>
      </c>
      <c r="Y2731" s="352">
        <v>45230</v>
      </c>
    </row>
    <row r="2732" s="5" customFormat="1" customHeight="1" spans="1:25">
      <c r="A2732" s="327" t="s">
        <v>444</v>
      </c>
      <c r="B2732" s="307" t="s">
        <v>3037</v>
      </c>
      <c r="C2732" s="327" t="s">
        <v>144</v>
      </c>
      <c r="D2732" s="307" t="s">
        <v>3038</v>
      </c>
      <c r="E2732" s="46" t="s">
        <v>3490</v>
      </c>
      <c r="F2732" s="327" t="s">
        <v>3593</v>
      </c>
      <c r="G2732" s="340" t="s">
        <v>88</v>
      </c>
      <c r="H2732" s="329" t="s">
        <v>3505</v>
      </c>
      <c r="I2732" s="46" t="e">
        <f>VLOOKUP(H2732,'合同高级查询数据-4月返'!A:A,1,FALSE)</f>
        <v>#N/A</v>
      </c>
      <c r="J2732" s="329" t="s">
        <v>90</v>
      </c>
      <c r="K2732" s="340" t="s">
        <v>3433</v>
      </c>
      <c r="L2732" s="340"/>
      <c r="M2732" s="312" t="s">
        <v>3519</v>
      </c>
      <c r="N2732" s="265">
        <v>43756</v>
      </c>
      <c r="O2732" s="340" t="s">
        <v>3120</v>
      </c>
      <c r="P2732" s="346">
        <v>28740</v>
      </c>
      <c r="Q2732" s="346">
        <v>8</v>
      </c>
      <c r="R2732" s="351">
        <f t="shared" si="84"/>
        <v>229920</v>
      </c>
      <c r="S2732" s="319">
        <v>202304</v>
      </c>
      <c r="T2732" s="347" t="s">
        <v>3603</v>
      </c>
      <c r="U2732" s="347"/>
      <c r="V2732" s="320"/>
      <c r="W2732" s="320"/>
      <c r="X2732" s="352">
        <v>44866</v>
      </c>
      <c r="Y2732" s="352">
        <v>45230</v>
      </c>
    </row>
    <row r="2733" s="5" customFormat="1" customHeight="1" spans="1:25">
      <c r="A2733" s="327" t="s">
        <v>444</v>
      </c>
      <c r="B2733" s="307" t="s">
        <v>3037</v>
      </c>
      <c r="C2733" s="327" t="s">
        <v>144</v>
      </c>
      <c r="D2733" s="307" t="s">
        <v>3038</v>
      </c>
      <c r="E2733" s="46" t="s">
        <v>3490</v>
      </c>
      <c r="F2733" s="327" t="s">
        <v>3593</v>
      </c>
      <c r="G2733" s="340" t="s">
        <v>88</v>
      </c>
      <c r="H2733" s="329" t="s">
        <v>3505</v>
      </c>
      <c r="I2733" s="46" t="e">
        <f>VLOOKUP(H2733,'合同高级查询数据-4月返'!A:A,1,FALSE)</f>
        <v>#N/A</v>
      </c>
      <c r="J2733" s="329" t="s">
        <v>90</v>
      </c>
      <c r="K2733" s="340" t="s">
        <v>3433</v>
      </c>
      <c r="L2733" s="340"/>
      <c r="M2733" s="312" t="s">
        <v>3604</v>
      </c>
      <c r="N2733" s="265">
        <v>43777</v>
      </c>
      <c r="O2733" s="340" t="s">
        <v>503</v>
      </c>
      <c r="P2733" s="359">
        <v>5600</v>
      </c>
      <c r="Q2733" s="346">
        <v>2</v>
      </c>
      <c r="R2733" s="351">
        <f t="shared" si="84"/>
        <v>11200</v>
      </c>
      <c r="S2733" s="319">
        <v>202304</v>
      </c>
      <c r="T2733" s="347" t="s">
        <v>3605</v>
      </c>
      <c r="U2733" s="347"/>
      <c r="V2733" s="320"/>
      <c r="W2733" s="320"/>
      <c r="X2733" s="352">
        <v>44866</v>
      </c>
      <c r="Y2733" s="352">
        <v>45230</v>
      </c>
    </row>
    <row r="2734" s="5" customFormat="1" customHeight="1" spans="1:25">
      <c r="A2734" s="327" t="s">
        <v>444</v>
      </c>
      <c r="B2734" s="307" t="s">
        <v>3037</v>
      </c>
      <c r="C2734" s="327" t="s">
        <v>144</v>
      </c>
      <c r="D2734" s="307" t="s">
        <v>3038</v>
      </c>
      <c r="E2734" s="46" t="s">
        <v>3490</v>
      </c>
      <c r="F2734" s="327" t="s">
        <v>3593</v>
      </c>
      <c r="G2734" s="340" t="s">
        <v>88</v>
      </c>
      <c r="H2734" s="329" t="s">
        <v>3505</v>
      </c>
      <c r="I2734" s="46" t="e">
        <f>VLOOKUP(H2734,'合同高级查询数据-4月返'!A:A,1,FALSE)</f>
        <v>#N/A</v>
      </c>
      <c r="J2734" s="329" t="s">
        <v>90</v>
      </c>
      <c r="K2734" s="340" t="s">
        <v>3433</v>
      </c>
      <c r="L2734" s="340"/>
      <c r="M2734" s="312" t="s">
        <v>3519</v>
      </c>
      <c r="N2734" s="265">
        <v>43789</v>
      </c>
      <c r="O2734" s="340" t="s">
        <v>503</v>
      </c>
      <c r="P2734" s="359">
        <v>5600</v>
      </c>
      <c r="Q2734" s="346">
        <v>2</v>
      </c>
      <c r="R2734" s="351">
        <f t="shared" si="84"/>
        <v>11200</v>
      </c>
      <c r="S2734" s="319">
        <v>202304</v>
      </c>
      <c r="T2734" s="347" t="s">
        <v>3606</v>
      </c>
      <c r="U2734" s="347"/>
      <c r="V2734" s="320"/>
      <c r="W2734" s="320"/>
      <c r="X2734" s="352">
        <v>44866</v>
      </c>
      <c r="Y2734" s="352">
        <v>45230</v>
      </c>
    </row>
    <row r="2735" s="5" customFormat="1" customHeight="1" spans="1:25">
      <c r="A2735" s="327" t="s">
        <v>444</v>
      </c>
      <c r="B2735" s="307" t="s">
        <v>3037</v>
      </c>
      <c r="C2735" s="327" t="s">
        <v>144</v>
      </c>
      <c r="D2735" s="307" t="s">
        <v>3038</v>
      </c>
      <c r="E2735" s="46" t="s">
        <v>3490</v>
      </c>
      <c r="F2735" s="327" t="s">
        <v>3593</v>
      </c>
      <c r="G2735" s="340" t="s">
        <v>88</v>
      </c>
      <c r="H2735" s="329" t="s">
        <v>3505</v>
      </c>
      <c r="I2735" s="46" t="e">
        <f>VLOOKUP(H2735,'合同高级查询数据-4月返'!A:A,1,FALSE)</f>
        <v>#N/A</v>
      </c>
      <c r="J2735" s="329" t="s">
        <v>90</v>
      </c>
      <c r="K2735" s="340" t="s">
        <v>3433</v>
      </c>
      <c r="L2735" s="340"/>
      <c r="M2735" s="312" t="s">
        <v>3519</v>
      </c>
      <c r="N2735" s="265">
        <v>43805</v>
      </c>
      <c r="O2735" s="340" t="s">
        <v>503</v>
      </c>
      <c r="P2735" s="359">
        <v>5600</v>
      </c>
      <c r="Q2735" s="346">
        <v>14</v>
      </c>
      <c r="R2735" s="351">
        <f t="shared" si="84"/>
        <v>78400</v>
      </c>
      <c r="S2735" s="319">
        <v>202304</v>
      </c>
      <c r="T2735" s="347" t="s">
        <v>3119</v>
      </c>
      <c r="U2735" s="347"/>
      <c r="V2735" s="320"/>
      <c r="W2735" s="320"/>
      <c r="X2735" s="352">
        <v>44866</v>
      </c>
      <c r="Y2735" s="352">
        <v>45230</v>
      </c>
    </row>
    <row r="2736" s="5" customFormat="1" customHeight="1" spans="1:25">
      <c r="A2736" s="327" t="s">
        <v>444</v>
      </c>
      <c r="B2736" s="307" t="s">
        <v>3037</v>
      </c>
      <c r="C2736" s="327" t="s">
        <v>144</v>
      </c>
      <c r="D2736" s="307" t="s">
        <v>3038</v>
      </c>
      <c r="E2736" s="46" t="s">
        <v>3490</v>
      </c>
      <c r="F2736" s="327" t="s">
        <v>3593</v>
      </c>
      <c r="G2736" s="340" t="s">
        <v>88</v>
      </c>
      <c r="H2736" s="329" t="s">
        <v>3505</v>
      </c>
      <c r="I2736" s="46" t="e">
        <f>VLOOKUP(H2736,'合同高级查询数据-4月返'!A:A,1,FALSE)</f>
        <v>#N/A</v>
      </c>
      <c r="J2736" s="329" t="s">
        <v>90</v>
      </c>
      <c r="K2736" s="340" t="s">
        <v>3433</v>
      </c>
      <c r="L2736" s="340"/>
      <c r="M2736" s="312" t="s">
        <v>3519</v>
      </c>
      <c r="N2736" s="265">
        <v>43815</v>
      </c>
      <c r="O2736" s="340" t="s">
        <v>503</v>
      </c>
      <c r="P2736" s="359">
        <v>5600</v>
      </c>
      <c r="Q2736" s="346">
        <v>2</v>
      </c>
      <c r="R2736" s="351">
        <f t="shared" si="84"/>
        <v>11200</v>
      </c>
      <c r="S2736" s="319">
        <v>202304</v>
      </c>
      <c r="T2736" s="347" t="s">
        <v>3119</v>
      </c>
      <c r="U2736" s="347"/>
      <c r="V2736" s="320"/>
      <c r="W2736" s="320"/>
      <c r="X2736" s="352">
        <v>44866</v>
      </c>
      <c r="Y2736" s="352">
        <v>45230</v>
      </c>
    </row>
    <row r="2737" s="5" customFormat="1" customHeight="1" spans="1:25">
      <c r="A2737" s="327" t="s">
        <v>444</v>
      </c>
      <c r="B2737" s="307" t="s">
        <v>3037</v>
      </c>
      <c r="C2737" s="327" t="s">
        <v>144</v>
      </c>
      <c r="D2737" s="307" t="s">
        <v>3038</v>
      </c>
      <c r="E2737" s="46" t="s">
        <v>3490</v>
      </c>
      <c r="F2737" s="327" t="s">
        <v>3593</v>
      </c>
      <c r="G2737" s="340" t="s">
        <v>88</v>
      </c>
      <c r="H2737" s="329" t="s">
        <v>3505</v>
      </c>
      <c r="I2737" s="46" t="e">
        <f>VLOOKUP(H2737,'合同高级查询数据-4月返'!A:A,1,FALSE)</f>
        <v>#N/A</v>
      </c>
      <c r="J2737" s="329" t="s">
        <v>90</v>
      </c>
      <c r="K2737" s="340" t="s">
        <v>3433</v>
      </c>
      <c r="L2737" s="340"/>
      <c r="M2737" s="312" t="s">
        <v>3519</v>
      </c>
      <c r="N2737" s="265">
        <v>43818</v>
      </c>
      <c r="O2737" s="340" t="s">
        <v>503</v>
      </c>
      <c r="P2737" s="359">
        <v>5600</v>
      </c>
      <c r="Q2737" s="346">
        <v>14</v>
      </c>
      <c r="R2737" s="351">
        <f t="shared" si="84"/>
        <v>78400</v>
      </c>
      <c r="S2737" s="319">
        <v>202304</v>
      </c>
      <c r="T2737" s="347" t="s">
        <v>3119</v>
      </c>
      <c r="U2737" s="347"/>
      <c r="V2737" s="320"/>
      <c r="W2737" s="320"/>
      <c r="X2737" s="352">
        <v>44866</v>
      </c>
      <c r="Y2737" s="352">
        <v>45230</v>
      </c>
    </row>
    <row r="2738" s="5" customFormat="1" customHeight="1" spans="1:25">
      <c r="A2738" s="327" t="s">
        <v>444</v>
      </c>
      <c r="B2738" s="307" t="s">
        <v>3037</v>
      </c>
      <c r="C2738" s="327" t="s">
        <v>144</v>
      </c>
      <c r="D2738" s="307" t="s">
        <v>3038</v>
      </c>
      <c r="E2738" s="46" t="s">
        <v>3490</v>
      </c>
      <c r="F2738" s="327" t="s">
        <v>3593</v>
      </c>
      <c r="G2738" s="340" t="s">
        <v>88</v>
      </c>
      <c r="H2738" s="329" t="s">
        <v>3505</v>
      </c>
      <c r="I2738" s="46" t="e">
        <f>VLOOKUP(H2738,'合同高级查询数据-4月返'!A:A,1,FALSE)</f>
        <v>#N/A</v>
      </c>
      <c r="J2738" s="329" t="s">
        <v>90</v>
      </c>
      <c r="K2738" s="340" t="s">
        <v>3433</v>
      </c>
      <c r="L2738" s="340"/>
      <c r="M2738" s="312" t="s">
        <v>3519</v>
      </c>
      <c r="N2738" s="265">
        <v>43820</v>
      </c>
      <c r="O2738" s="340" t="s">
        <v>503</v>
      </c>
      <c r="P2738" s="359">
        <v>5600</v>
      </c>
      <c r="Q2738" s="346">
        <v>2</v>
      </c>
      <c r="R2738" s="351">
        <f t="shared" si="84"/>
        <v>11200</v>
      </c>
      <c r="S2738" s="319">
        <v>202304</v>
      </c>
      <c r="T2738" s="347" t="s">
        <v>3119</v>
      </c>
      <c r="U2738" s="347"/>
      <c r="V2738" s="320"/>
      <c r="W2738" s="320"/>
      <c r="X2738" s="352">
        <v>44866</v>
      </c>
      <c r="Y2738" s="352">
        <v>45230</v>
      </c>
    </row>
    <row r="2739" s="5" customFormat="1" customHeight="1" spans="1:25">
      <c r="A2739" s="327" t="s">
        <v>444</v>
      </c>
      <c r="B2739" s="307" t="s">
        <v>3037</v>
      </c>
      <c r="C2739" s="327" t="s">
        <v>144</v>
      </c>
      <c r="D2739" s="307" t="s">
        <v>3038</v>
      </c>
      <c r="E2739" s="46" t="s">
        <v>3490</v>
      </c>
      <c r="F2739" s="327" t="s">
        <v>3593</v>
      </c>
      <c r="G2739" s="340" t="s">
        <v>88</v>
      </c>
      <c r="H2739" s="329" t="s">
        <v>3505</v>
      </c>
      <c r="I2739" s="46" t="e">
        <f>VLOOKUP(H2739,'合同高级查询数据-4月返'!A:A,1,FALSE)</f>
        <v>#N/A</v>
      </c>
      <c r="J2739" s="329" t="s">
        <v>90</v>
      </c>
      <c r="K2739" s="340" t="s">
        <v>3433</v>
      </c>
      <c r="L2739" s="340"/>
      <c r="M2739" s="312" t="s">
        <v>3519</v>
      </c>
      <c r="N2739" s="265">
        <v>43823</v>
      </c>
      <c r="O2739" s="340" t="s">
        <v>503</v>
      </c>
      <c r="P2739" s="359">
        <v>5600</v>
      </c>
      <c r="Q2739" s="346">
        <v>8</v>
      </c>
      <c r="R2739" s="351">
        <f t="shared" si="84"/>
        <v>44800</v>
      </c>
      <c r="S2739" s="319">
        <v>202304</v>
      </c>
      <c r="T2739" s="347" t="s">
        <v>3119</v>
      </c>
      <c r="U2739" s="347"/>
      <c r="V2739" s="320"/>
      <c r="W2739" s="320"/>
      <c r="X2739" s="352">
        <v>44866</v>
      </c>
      <c r="Y2739" s="352">
        <v>45230</v>
      </c>
    </row>
    <row r="2740" s="5" customFormat="1" customHeight="1" spans="1:25">
      <c r="A2740" s="327" t="s">
        <v>444</v>
      </c>
      <c r="B2740" s="307" t="s">
        <v>3037</v>
      </c>
      <c r="C2740" s="327" t="s">
        <v>144</v>
      </c>
      <c r="D2740" s="307" t="s">
        <v>3038</v>
      </c>
      <c r="E2740" s="46" t="s">
        <v>3490</v>
      </c>
      <c r="F2740" s="327" t="s">
        <v>3593</v>
      </c>
      <c r="G2740" s="340" t="s">
        <v>88</v>
      </c>
      <c r="H2740" s="329" t="s">
        <v>3505</v>
      </c>
      <c r="I2740" s="46" t="e">
        <f>VLOOKUP(H2740,'合同高级查询数据-4月返'!A:A,1,FALSE)</f>
        <v>#N/A</v>
      </c>
      <c r="J2740" s="329" t="s">
        <v>90</v>
      </c>
      <c r="K2740" s="340" t="s">
        <v>3433</v>
      </c>
      <c r="L2740" s="340"/>
      <c r="M2740" s="312" t="s">
        <v>3519</v>
      </c>
      <c r="N2740" s="265">
        <v>43824</v>
      </c>
      <c r="O2740" s="340" t="s">
        <v>503</v>
      </c>
      <c r="P2740" s="359">
        <v>5600</v>
      </c>
      <c r="Q2740" s="346">
        <v>2</v>
      </c>
      <c r="R2740" s="351">
        <f t="shared" si="84"/>
        <v>11200</v>
      </c>
      <c r="S2740" s="319">
        <v>202304</v>
      </c>
      <c r="T2740" s="347" t="s">
        <v>3119</v>
      </c>
      <c r="U2740" s="347"/>
      <c r="V2740" s="320"/>
      <c r="W2740" s="320"/>
      <c r="X2740" s="352">
        <v>44866</v>
      </c>
      <c r="Y2740" s="352">
        <v>45230</v>
      </c>
    </row>
    <row r="2741" s="5" customFormat="1" customHeight="1" spans="1:25">
      <c r="A2741" s="327" t="s">
        <v>444</v>
      </c>
      <c r="B2741" s="307" t="s">
        <v>3037</v>
      </c>
      <c r="C2741" s="327" t="s">
        <v>144</v>
      </c>
      <c r="D2741" s="307" t="s">
        <v>3038</v>
      </c>
      <c r="E2741" s="46" t="s">
        <v>3490</v>
      </c>
      <c r="F2741" s="327" t="s">
        <v>3593</v>
      </c>
      <c r="G2741" s="340" t="s">
        <v>88</v>
      </c>
      <c r="H2741" s="329" t="s">
        <v>3505</v>
      </c>
      <c r="I2741" s="46" t="e">
        <f>VLOOKUP(H2741,'合同高级查询数据-4月返'!A:A,1,FALSE)</f>
        <v>#N/A</v>
      </c>
      <c r="J2741" s="329" t="s">
        <v>162</v>
      </c>
      <c r="K2741" s="340" t="s">
        <v>3433</v>
      </c>
      <c r="L2741" s="340" t="s">
        <v>3510</v>
      </c>
      <c r="M2741" s="312" t="s">
        <v>3507</v>
      </c>
      <c r="N2741" s="265">
        <v>43808</v>
      </c>
      <c r="O2741" s="340" t="s">
        <v>503</v>
      </c>
      <c r="P2741" s="359">
        <v>5600</v>
      </c>
      <c r="Q2741" s="346">
        <v>2</v>
      </c>
      <c r="R2741" s="351">
        <f t="shared" si="84"/>
        <v>11200</v>
      </c>
      <c r="S2741" s="319">
        <v>202304</v>
      </c>
      <c r="T2741" s="347" t="s">
        <v>3607</v>
      </c>
      <c r="U2741" s="347"/>
      <c r="V2741" s="320"/>
      <c r="W2741" s="320"/>
      <c r="X2741" s="352">
        <v>44866</v>
      </c>
      <c r="Y2741" s="352">
        <v>45230</v>
      </c>
    </row>
    <row r="2742" s="5" customFormat="1" customHeight="1" spans="1:25">
      <c r="A2742" s="327" t="s">
        <v>444</v>
      </c>
      <c r="B2742" s="307" t="s">
        <v>3037</v>
      </c>
      <c r="C2742" s="327" t="s">
        <v>144</v>
      </c>
      <c r="D2742" s="307" t="s">
        <v>3038</v>
      </c>
      <c r="E2742" s="46" t="s">
        <v>3490</v>
      </c>
      <c r="F2742" s="327" t="s">
        <v>3593</v>
      </c>
      <c r="G2742" s="340" t="s">
        <v>88</v>
      </c>
      <c r="H2742" s="329" t="s">
        <v>3505</v>
      </c>
      <c r="I2742" s="46" t="e">
        <f>VLOOKUP(H2742,'合同高级查询数据-4月返'!A:A,1,FALSE)</f>
        <v>#N/A</v>
      </c>
      <c r="J2742" s="329" t="s">
        <v>90</v>
      </c>
      <c r="K2742" s="340" t="s">
        <v>3433</v>
      </c>
      <c r="L2742" s="340"/>
      <c r="M2742" s="312" t="s">
        <v>3519</v>
      </c>
      <c r="N2742" s="265">
        <v>43839</v>
      </c>
      <c r="O2742" s="340" t="s">
        <v>503</v>
      </c>
      <c r="P2742" s="359">
        <v>5600</v>
      </c>
      <c r="Q2742" s="346">
        <v>2</v>
      </c>
      <c r="R2742" s="351">
        <f t="shared" si="84"/>
        <v>11200</v>
      </c>
      <c r="S2742" s="319">
        <v>202304</v>
      </c>
      <c r="T2742" s="347" t="s">
        <v>3608</v>
      </c>
      <c r="U2742" s="347"/>
      <c r="V2742" s="320"/>
      <c r="W2742" s="320"/>
      <c r="X2742" s="352">
        <v>44866</v>
      </c>
      <c r="Y2742" s="352">
        <v>45230</v>
      </c>
    </row>
    <row r="2743" s="5" customFormat="1" customHeight="1" spans="1:25">
      <c r="A2743" s="327" t="s">
        <v>444</v>
      </c>
      <c r="B2743" s="307" t="s">
        <v>3037</v>
      </c>
      <c r="C2743" s="327" t="s">
        <v>144</v>
      </c>
      <c r="D2743" s="307" t="s">
        <v>3038</v>
      </c>
      <c r="E2743" s="46" t="s">
        <v>3490</v>
      </c>
      <c r="F2743" s="327" t="s">
        <v>3593</v>
      </c>
      <c r="G2743" s="340" t="s">
        <v>88</v>
      </c>
      <c r="H2743" s="329" t="s">
        <v>3505</v>
      </c>
      <c r="I2743" s="46" t="e">
        <f>VLOOKUP(H2743,'合同高级查询数据-4月返'!A:A,1,FALSE)</f>
        <v>#N/A</v>
      </c>
      <c r="J2743" s="329" t="s">
        <v>90</v>
      </c>
      <c r="K2743" s="340" t="s">
        <v>3433</v>
      </c>
      <c r="L2743" s="340"/>
      <c r="M2743" s="312" t="s">
        <v>3604</v>
      </c>
      <c r="N2743" s="265">
        <v>43839</v>
      </c>
      <c r="O2743" s="340" t="s">
        <v>503</v>
      </c>
      <c r="P2743" s="359">
        <v>5600</v>
      </c>
      <c r="Q2743" s="346">
        <v>1</v>
      </c>
      <c r="R2743" s="351">
        <f t="shared" si="84"/>
        <v>5600</v>
      </c>
      <c r="S2743" s="319">
        <v>202304</v>
      </c>
      <c r="T2743" s="347" t="s">
        <v>3609</v>
      </c>
      <c r="U2743" s="347"/>
      <c r="V2743" s="320"/>
      <c r="W2743" s="320"/>
      <c r="X2743" s="352">
        <v>44866</v>
      </c>
      <c r="Y2743" s="352">
        <v>45230</v>
      </c>
    </row>
    <row r="2744" s="5" customFormat="1" customHeight="1" spans="1:25">
      <c r="A2744" s="327" t="s">
        <v>444</v>
      </c>
      <c r="B2744" s="307" t="s">
        <v>3037</v>
      </c>
      <c r="C2744" s="327" t="s">
        <v>144</v>
      </c>
      <c r="D2744" s="307" t="s">
        <v>3038</v>
      </c>
      <c r="E2744" s="46" t="s">
        <v>3490</v>
      </c>
      <c r="F2744" s="327" t="s">
        <v>3593</v>
      </c>
      <c r="G2744" s="340" t="s">
        <v>88</v>
      </c>
      <c r="H2744" s="329" t="s">
        <v>3505</v>
      </c>
      <c r="I2744" s="46" t="e">
        <f>VLOOKUP(H2744,'合同高级查询数据-4月返'!A:A,1,FALSE)</f>
        <v>#N/A</v>
      </c>
      <c r="J2744" s="329" t="s">
        <v>90</v>
      </c>
      <c r="K2744" s="340" t="s">
        <v>3433</v>
      </c>
      <c r="L2744" s="340"/>
      <c r="M2744" s="312" t="s">
        <v>3519</v>
      </c>
      <c r="N2744" s="265">
        <v>43840</v>
      </c>
      <c r="O2744" s="340" t="s">
        <v>503</v>
      </c>
      <c r="P2744" s="359">
        <v>5600</v>
      </c>
      <c r="Q2744" s="346">
        <v>2</v>
      </c>
      <c r="R2744" s="351">
        <f t="shared" si="84"/>
        <v>11200</v>
      </c>
      <c r="S2744" s="319">
        <v>202304</v>
      </c>
      <c r="T2744" s="347" t="s">
        <v>3610</v>
      </c>
      <c r="U2744" s="347"/>
      <c r="V2744" s="320"/>
      <c r="W2744" s="320"/>
      <c r="X2744" s="352">
        <v>44866</v>
      </c>
      <c r="Y2744" s="352">
        <v>45230</v>
      </c>
    </row>
    <row r="2745" s="5" customFormat="1" customHeight="1" spans="1:25">
      <c r="A2745" s="327" t="s">
        <v>444</v>
      </c>
      <c r="B2745" s="307" t="s">
        <v>3037</v>
      </c>
      <c r="C2745" s="327" t="s">
        <v>144</v>
      </c>
      <c r="D2745" s="307" t="s">
        <v>3038</v>
      </c>
      <c r="E2745" s="46" t="s">
        <v>3490</v>
      </c>
      <c r="F2745" s="327" t="s">
        <v>3593</v>
      </c>
      <c r="G2745" s="340" t="s">
        <v>88</v>
      </c>
      <c r="H2745" s="329" t="s">
        <v>3505</v>
      </c>
      <c r="I2745" s="46" t="e">
        <f>VLOOKUP(H2745,'合同高级查询数据-4月返'!A:A,1,FALSE)</f>
        <v>#N/A</v>
      </c>
      <c r="J2745" s="329" t="s">
        <v>90</v>
      </c>
      <c r="K2745" s="340" t="s">
        <v>3433</v>
      </c>
      <c r="L2745" s="340"/>
      <c r="M2745" s="312" t="s">
        <v>3519</v>
      </c>
      <c r="N2745" s="265">
        <v>43847</v>
      </c>
      <c r="O2745" s="340" t="s">
        <v>503</v>
      </c>
      <c r="P2745" s="359">
        <v>5600</v>
      </c>
      <c r="Q2745" s="346">
        <v>8</v>
      </c>
      <c r="R2745" s="351">
        <f t="shared" si="84"/>
        <v>44800</v>
      </c>
      <c r="S2745" s="319">
        <v>202304</v>
      </c>
      <c r="T2745" s="347" t="s">
        <v>3610</v>
      </c>
      <c r="U2745" s="347"/>
      <c r="V2745" s="320"/>
      <c r="W2745" s="320"/>
      <c r="X2745" s="352">
        <v>44866</v>
      </c>
      <c r="Y2745" s="352">
        <v>45230</v>
      </c>
    </row>
    <row r="2746" s="5" customFormat="1" customHeight="1" spans="1:25">
      <c r="A2746" s="327" t="s">
        <v>444</v>
      </c>
      <c r="B2746" s="307" t="s">
        <v>3037</v>
      </c>
      <c r="C2746" s="327" t="s">
        <v>144</v>
      </c>
      <c r="D2746" s="307" t="s">
        <v>3038</v>
      </c>
      <c r="E2746" s="46" t="s">
        <v>3490</v>
      </c>
      <c r="F2746" s="327" t="s">
        <v>3593</v>
      </c>
      <c r="G2746" s="340" t="s">
        <v>88</v>
      </c>
      <c r="H2746" s="329" t="s">
        <v>3505</v>
      </c>
      <c r="I2746" s="46" t="e">
        <f>VLOOKUP(H2746,'合同高级查询数据-4月返'!A:A,1,FALSE)</f>
        <v>#N/A</v>
      </c>
      <c r="J2746" s="329" t="s">
        <v>90</v>
      </c>
      <c r="K2746" s="340" t="s">
        <v>3433</v>
      </c>
      <c r="L2746" s="340"/>
      <c r="M2746" s="312" t="s">
        <v>3519</v>
      </c>
      <c r="N2746" s="265">
        <v>43850</v>
      </c>
      <c r="O2746" s="340" t="s">
        <v>503</v>
      </c>
      <c r="P2746" s="359">
        <v>5600</v>
      </c>
      <c r="Q2746" s="346">
        <v>24</v>
      </c>
      <c r="R2746" s="351">
        <f t="shared" si="84"/>
        <v>134400</v>
      </c>
      <c r="S2746" s="319">
        <v>202304</v>
      </c>
      <c r="T2746" s="347" t="s">
        <v>3610</v>
      </c>
      <c r="U2746" s="347"/>
      <c r="V2746" s="320"/>
      <c r="W2746" s="320"/>
      <c r="X2746" s="352">
        <v>44866</v>
      </c>
      <c r="Y2746" s="352">
        <v>45230</v>
      </c>
    </row>
    <row r="2747" s="5" customFormat="1" customHeight="1" spans="1:25">
      <c r="A2747" s="327" t="s">
        <v>444</v>
      </c>
      <c r="B2747" s="307" t="s">
        <v>3037</v>
      </c>
      <c r="C2747" s="327" t="s">
        <v>144</v>
      </c>
      <c r="D2747" s="307" t="s">
        <v>3038</v>
      </c>
      <c r="E2747" s="46" t="s">
        <v>3490</v>
      </c>
      <c r="F2747" s="327" t="s">
        <v>3593</v>
      </c>
      <c r="G2747" s="340" t="s">
        <v>88</v>
      </c>
      <c r="H2747" s="329" t="s">
        <v>3505</v>
      </c>
      <c r="I2747" s="46" t="e">
        <f>VLOOKUP(H2747,'合同高级查询数据-4月返'!A:A,1,FALSE)</f>
        <v>#N/A</v>
      </c>
      <c r="J2747" s="329" t="s">
        <v>90</v>
      </c>
      <c r="K2747" s="340" t="s">
        <v>3433</v>
      </c>
      <c r="L2747" s="340"/>
      <c r="M2747" s="312" t="s">
        <v>3519</v>
      </c>
      <c r="N2747" s="265">
        <v>43868</v>
      </c>
      <c r="O2747" s="340" t="s">
        <v>525</v>
      </c>
      <c r="P2747" s="346">
        <v>8200</v>
      </c>
      <c r="Q2747" s="346">
        <v>2</v>
      </c>
      <c r="R2747" s="351">
        <f t="shared" si="84"/>
        <v>16400</v>
      </c>
      <c r="S2747" s="319">
        <v>202304</v>
      </c>
      <c r="T2747" s="347" t="s">
        <v>3611</v>
      </c>
      <c r="U2747" s="347"/>
      <c r="V2747" s="320"/>
      <c r="W2747" s="320"/>
      <c r="X2747" s="352">
        <v>44866</v>
      </c>
      <c r="Y2747" s="352">
        <v>45230</v>
      </c>
    </row>
    <row r="2748" s="5" customFormat="1" customHeight="1" spans="1:25">
      <c r="A2748" s="327" t="s">
        <v>444</v>
      </c>
      <c r="B2748" s="307" t="s">
        <v>3037</v>
      </c>
      <c r="C2748" s="327" t="s">
        <v>144</v>
      </c>
      <c r="D2748" s="307" t="s">
        <v>3038</v>
      </c>
      <c r="E2748" s="46" t="s">
        <v>3490</v>
      </c>
      <c r="F2748" s="327" t="s">
        <v>3593</v>
      </c>
      <c r="G2748" s="340" t="s">
        <v>88</v>
      </c>
      <c r="H2748" s="329" t="s">
        <v>3505</v>
      </c>
      <c r="I2748" s="46" t="e">
        <f>VLOOKUP(H2748,'合同高级查询数据-4月返'!A:A,1,FALSE)</f>
        <v>#N/A</v>
      </c>
      <c r="J2748" s="329" t="s">
        <v>90</v>
      </c>
      <c r="K2748" s="340" t="s">
        <v>3433</v>
      </c>
      <c r="L2748" s="340"/>
      <c r="M2748" s="312" t="s">
        <v>3519</v>
      </c>
      <c r="N2748" s="265">
        <v>43881</v>
      </c>
      <c r="O2748" s="340" t="s">
        <v>503</v>
      </c>
      <c r="P2748" s="359">
        <v>5600</v>
      </c>
      <c r="Q2748" s="346">
        <v>14</v>
      </c>
      <c r="R2748" s="351">
        <f t="shared" si="84"/>
        <v>78400</v>
      </c>
      <c r="S2748" s="319">
        <v>202304</v>
      </c>
      <c r="T2748" s="347" t="s">
        <v>3611</v>
      </c>
      <c r="U2748" s="347"/>
      <c r="V2748" s="320"/>
      <c r="W2748" s="320"/>
      <c r="X2748" s="352">
        <v>44866</v>
      </c>
      <c r="Y2748" s="352">
        <v>45230</v>
      </c>
    </row>
    <row r="2749" s="5" customFormat="1" customHeight="1" spans="1:25">
      <c r="A2749" s="327" t="s">
        <v>444</v>
      </c>
      <c r="B2749" s="307" t="s">
        <v>3037</v>
      </c>
      <c r="C2749" s="327" t="s">
        <v>144</v>
      </c>
      <c r="D2749" s="307" t="s">
        <v>3038</v>
      </c>
      <c r="E2749" s="46" t="s">
        <v>3490</v>
      </c>
      <c r="F2749" s="327" t="s">
        <v>3593</v>
      </c>
      <c r="G2749" s="340" t="s">
        <v>88</v>
      </c>
      <c r="H2749" s="329" t="s">
        <v>3505</v>
      </c>
      <c r="I2749" s="46" t="e">
        <f>VLOOKUP(H2749,'合同高级查询数据-4月返'!A:A,1,FALSE)</f>
        <v>#N/A</v>
      </c>
      <c r="J2749" s="329" t="s">
        <v>90</v>
      </c>
      <c r="K2749" s="340" t="s">
        <v>3433</v>
      </c>
      <c r="L2749" s="340"/>
      <c r="M2749" s="312" t="s">
        <v>3519</v>
      </c>
      <c r="N2749" s="265">
        <v>43886</v>
      </c>
      <c r="O2749" s="340" t="s">
        <v>503</v>
      </c>
      <c r="P2749" s="359">
        <v>5600</v>
      </c>
      <c r="Q2749" s="346">
        <v>2</v>
      </c>
      <c r="R2749" s="351">
        <f t="shared" si="84"/>
        <v>11200</v>
      </c>
      <c r="S2749" s="319">
        <v>202304</v>
      </c>
      <c r="T2749" s="347" t="s">
        <v>3611</v>
      </c>
      <c r="U2749" s="347"/>
      <c r="V2749" s="320"/>
      <c r="W2749" s="320"/>
      <c r="X2749" s="352">
        <v>44866</v>
      </c>
      <c r="Y2749" s="352">
        <v>45230</v>
      </c>
    </row>
    <row r="2750" s="5" customFormat="1" customHeight="1" spans="1:25">
      <c r="A2750" s="327" t="s">
        <v>444</v>
      </c>
      <c r="B2750" s="307" t="s">
        <v>3037</v>
      </c>
      <c r="C2750" s="327" t="s">
        <v>144</v>
      </c>
      <c r="D2750" s="307" t="s">
        <v>3038</v>
      </c>
      <c r="E2750" s="46" t="s">
        <v>3490</v>
      </c>
      <c r="F2750" s="327" t="s">
        <v>3593</v>
      </c>
      <c r="G2750" s="340" t="s">
        <v>88</v>
      </c>
      <c r="H2750" s="329" t="s">
        <v>3505</v>
      </c>
      <c r="I2750" s="46" t="e">
        <f>VLOOKUP(H2750,'合同高级查询数据-4月返'!A:A,1,FALSE)</f>
        <v>#N/A</v>
      </c>
      <c r="J2750" s="329" t="s">
        <v>90</v>
      </c>
      <c r="K2750" s="340" t="s">
        <v>3433</v>
      </c>
      <c r="L2750" s="340"/>
      <c r="M2750" s="312" t="s">
        <v>3519</v>
      </c>
      <c r="N2750" s="265">
        <v>43888</v>
      </c>
      <c r="O2750" s="340" t="s">
        <v>503</v>
      </c>
      <c r="P2750" s="359">
        <v>5600</v>
      </c>
      <c r="Q2750" s="346">
        <v>4</v>
      </c>
      <c r="R2750" s="351">
        <f t="shared" si="84"/>
        <v>22400</v>
      </c>
      <c r="S2750" s="319">
        <v>202304</v>
      </c>
      <c r="T2750" s="347" t="s">
        <v>3612</v>
      </c>
      <c r="U2750" s="347"/>
      <c r="V2750" s="320"/>
      <c r="W2750" s="320"/>
      <c r="X2750" s="352">
        <v>44866</v>
      </c>
      <c r="Y2750" s="352">
        <v>45230</v>
      </c>
    </row>
    <row r="2751" s="5" customFormat="1" customHeight="1" spans="1:25">
      <c r="A2751" s="327" t="s">
        <v>444</v>
      </c>
      <c r="B2751" s="307" t="s">
        <v>3037</v>
      </c>
      <c r="C2751" s="327" t="s">
        <v>144</v>
      </c>
      <c r="D2751" s="307" t="s">
        <v>3038</v>
      </c>
      <c r="E2751" s="46" t="s">
        <v>3490</v>
      </c>
      <c r="F2751" s="327" t="s">
        <v>3593</v>
      </c>
      <c r="G2751" s="340" t="s">
        <v>88</v>
      </c>
      <c r="H2751" s="329" t="s">
        <v>3505</v>
      </c>
      <c r="I2751" s="46" t="e">
        <f>VLOOKUP(H2751,'合同高级查询数据-4月返'!A:A,1,FALSE)</f>
        <v>#N/A</v>
      </c>
      <c r="J2751" s="329" t="s">
        <v>90</v>
      </c>
      <c r="K2751" s="340" t="s">
        <v>3433</v>
      </c>
      <c r="L2751" s="340"/>
      <c r="M2751" s="312" t="s">
        <v>3519</v>
      </c>
      <c r="N2751" s="265">
        <v>43936</v>
      </c>
      <c r="O2751" s="340" t="s">
        <v>503</v>
      </c>
      <c r="P2751" s="359">
        <v>5600</v>
      </c>
      <c r="Q2751" s="346">
        <v>8</v>
      </c>
      <c r="R2751" s="351">
        <f t="shared" si="84"/>
        <v>44800</v>
      </c>
      <c r="S2751" s="319">
        <v>202304</v>
      </c>
      <c r="T2751" s="347"/>
      <c r="U2751" s="347"/>
      <c r="V2751" s="320"/>
      <c r="W2751" s="320"/>
      <c r="X2751" s="352">
        <v>44866</v>
      </c>
      <c r="Y2751" s="352">
        <v>45230</v>
      </c>
    </row>
    <row r="2752" s="5" customFormat="1" customHeight="1" spans="1:25">
      <c r="A2752" s="327" t="s">
        <v>444</v>
      </c>
      <c r="B2752" s="307" t="s">
        <v>3037</v>
      </c>
      <c r="C2752" s="327" t="s">
        <v>144</v>
      </c>
      <c r="D2752" s="307" t="s">
        <v>3038</v>
      </c>
      <c r="E2752" s="46" t="s">
        <v>3490</v>
      </c>
      <c r="F2752" s="327" t="s">
        <v>3593</v>
      </c>
      <c r="G2752" s="340" t="s">
        <v>88</v>
      </c>
      <c r="H2752" s="329" t="s">
        <v>3505</v>
      </c>
      <c r="I2752" s="46" t="e">
        <f>VLOOKUP(H2752,'合同高级查询数据-4月返'!A:A,1,FALSE)</f>
        <v>#N/A</v>
      </c>
      <c r="J2752" s="329" t="s">
        <v>90</v>
      </c>
      <c r="K2752" s="340" t="s">
        <v>3433</v>
      </c>
      <c r="L2752" s="340"/>
      <c r="M2752" s="312" t="s">
        <v>3519</v>
      </c>
      <c r="N2752" s="265">
        <v>43951</v>
      </c>
      <c r="O2752" s="340" t="s">
        <v>503</v>
      </c>
      <c r="P2752" s="359">
        <v>5600</v>
      </c>
      <c r="Q2752" s="346">
        <v>2</v>
      </c>
      <c r="R2752" s="351">
        <f t="shared" si="84"/>
        <v>11200</v>
      </c>
      <c r="S2752" s="319">
        <v>202304</v>
      </c>
      <c r="T2752" s="347"/>
      <c r="U2752" s="347"/>
      <c r="V2752" s="320"/>
      <c r="W2752" s="320"/>
      <c r="X2752" s="352">
        <v>44866</v>
      </c>
      <c r="Y2752" s="352">
        <v>45230</v>
      </c>
    </row>
    <row r="2753" s="5" customFormat="1" customHeight="1" spans="1:25">
      <c r="A2753" s="327" t="s">
        <v>444</v>
      </c>
      <c r="B2753" s="307" t="s">
        <v>3037</v>
      </c>
      <c r="C2753" s="327" t="s">
        <v>144</v>
      </c>
      <c r="D2753" s="307" t="s">
        <v>3038</v>
      </c>
      <c r="E2753" s="46" t="s">
        <v>3490</v>
      </c>
      <c r="F2753" s="327" t="s">
        <v>3593</v>
      </c>
      <c r="G2753" s="340" t="s">
        <v>88</v>
      </c>
      <c r="H2753" s="329" t="s">
        <v>3505</v>
      </c>
      <c r="I2753" s="46" t="e">
        <f>VLOOKUP(H2753,'合同高级查询数据-4月返'!A:A,1,FALSE)</f>
        <v>#N/A</v>
      </c>
      <c r="J2753" s="329" t="s">
        <v>90</v>
      </c>
      <c r="K2753" s="340" t="s">
        <v>3433</v>
      </c>
      <c r="L2753" s="340"/>
      <c r="M2753" s="312" t="s">
        <v>3519</v>
      </c>
      <c r="N2753" s="265">
        <v>43963</v>
      </c>
      <c r="O2753" s="340" t="s">
        <v>503</v>
      </c>
      <c r="P2753" s="359">
        <v>5600</v>
      </c>
      <c r="Q2753" s="346">
        <v>2</v>
      </c>
      <c r="R2753" s="351">
        <f t="shared" si="84"/>
        <v>11200</v>
      </c>
      <c r="S2753" s="319">
        <v>202304</v>
      </c>
      <c r="T2753" s="347"/>
      <c r="U2753" s="347"/>
      <c r="V2753" s="320"/>
      <c r="W2753" s="320"/>
      <c r="X2753" s="352">
        <v>44866</v>
      </c>
      <c r="Y2753" s="352">
        <v>45230</v>
      </c>
    </row>
    <row r="2754" s="5" customFormat="1" customHeight="1" spans="1:25">
      <c r="A2754" s="327" t="s">
        <v>444</v>
      </c>
      <c r="B2754" s="307" t="s">
        <v>3037</v>
      </c>
      <c r="C2754" s="327" t="s">
        <v>144</v>
      </c>
      <c r="D2754" s="307" t="s">
        <v>3038</v>
      </c>
      <c r="E2754" s="46" t="s">
        <v>3490</v>
      </c>
      <c r="F2754" s="327" t="s">
        <v>3593</v>
      </c>
      <c r="G2754" s="340" t="s">
        <v>88</v>
      </c>
      <c r="H2754" s="329" t="s">
        <v>3505</v>
      </c>
      <c r="I2754" s="46" t="e">
        <f>VLOOKUP(H2754,'合同高级查询数据-4月返'!A:A,1,FALSE)</f>
        <v>#N/A</v>
      </c>
      <c r="J2754" s="329" t="s">
        <v>90</v>
      </c>
      <c r="K2754" s="340" t="s">
        <v>3433</v>
      </c>
      <c r="L2754" s="340"/>
      <c r="M2754" s="312" t="s">
        <v>3519</v>
      </c>
      <c r="N2754" s="265">
        <v>43987</v>
      </c>
      <c r="O2754" s="340" t="s">
        <v>503</v>
      </c>
      <c r="P2754" s="359">
        <v>5600</v>
      </c>
      <c r="Q2754" s="346">
        <v>4</v>
      </c>
      <c r="R2754" s="351">
        <f t="shared" si="84"/>
        <v>22400</v>
      </c>
      <c r="S2754" s="319">
        <v>202304</v>
      </c>
      <c r="T2754" s="347" t="s">
        <v>3613</v>
      </c>
      <c r="U2754" s="347"/>
      <c r="V2754" s="320"/>
      <c r="W2754" s="320"/>
      <c r="X2754" s="352">
        <v>44866</v>
      </c>
      <c r="Y2754" s="352">
        <v>45230</v>
      </c>
    </row>
    <row r="2755" s="5" customFormat="1" customHeight="1" spans="1:25">
      <c r="A2755" s="327" t="s">
        <v>444</v>
      </c>
      <c r="B2755" s="307" t="s">
        <v>3037</v>
      </c>
      <c r="C2755" s="327" t="s">
        <v>144</v>
      </c>
      <c r="D2755" s="307" t="s">
        <v>3038</v>
      </c>
      <c r="E2755" s="46" t="s">
        <v>3490</v>
      </c>
      <c r="F2755" s="327" t="s">
        <v>3593</v>
      </c>
      <c r="G2755" s="340" t="s">
        <v>88</v>
      </c>
      <c r="H2755" s="329" t="s">
        <v>3505</v>
      </c>
      <c r="I2755" s="46" t="e">
        <f>VLOOKUP(H2755,'合同高级查询数据-4月返'!A:A,1,FALSE)</f>
        <v>#N/A</v>
      </c>
      <c r="J2755" s="329" t="s">
        <v>90</v>
      </c>
      <c r="K2755" s="340" t="s">
        <v>3433</v>
      </c>
      <c r="L2755" s="340"/>
      <c r="M2755" s="312" t="s">
        <v>3519</v>
      </c>
      <c r="N2755" s="265">
        <v>44006</v>
      </c>
      <c r="O2755" s="340" t="s">
        <v>503</v>
      </c>
      <c r="P2755" s="359">
        <v>5600</v>
      </c>
      <c r="Q2755" s="346">
        <v>12</v>
      </c>
      <c r="R2755" s="351">
        <f t="shared" si="84"/>
        <v>67200</v>
      </c>
      <c r="S2755" s="319">
        <v>202304</v>
      </c>
      <c r="T2755" s="347" t="s">
        <v>3613</v>
      </c>
      <c r="U2755" s="347"/>
      <c r="V2755" s="320"/>
      <c r="W2755" s="320"/>
      <c r="X2755" s="352">
        <v>44866</v>
      </c>
      <c r="Y2755" s="352">
        <v>45230</v>
      </c>
    </row>
    <row r="2756" s="5" customFormat="1" customHeight="1" spans="1:25">
      <c r="A2756" s="327" t="s">
        <v>444</v>
      </c>
      <c r="B2756" s="307" t="s">
        <v>3037</v>
      </c>
      <c r="C2756" s="327" t="s">
        <v>144</v>
      </c>
      <c r="D2756" s="307" t="s">
        <v>3038</v>
      </c>
      <c r="E2756" s="46" t="s">
        <v>3490</v>
      </c>
      <c r="F2756" s="327" t="s">
        <v>3593</v>
      </c>
      <c r="G2756" s="340" t="s">
        <v>88</v>
      </c>
      <c r="H2756" s="329" t="s">
        <v>3505</v>
      </c>
      <c r="I2756" s="46" t="e">
        <f>VLOOKUP(H2756,'合同高级查询数据-4月返'!A:A,1,FALSE)</f>
        <v>#N/A</v>
      </c>
      <c r="J2756" s="329" t="s">
        <v>90</v>
      </c>
      <c r="K2756" s="340" t="s">
        <v>3433</v>
      </c>
      <c r="L2756" s="340"/>
      <c r="M2756" s="312" t="s">
        <v>3519</v>
      </c>
      <c r="N2756" s="265">
        <v>43986</v>
      </c>
      <c r="O2756" s="340" t="s">
        <v>503</v>
      </c>
      <c r="P2756" s="359">
        <v>5600</v>
      </c>
      <c r="Q2756" s="346">
        <v>19</v>
      </c>
      <c r="R2756" s="351">
        <f t="shared" si="84"/>
        <v>106400</v>
      </c>
      <c r="S2756" s="319">
        <v>202304</v>
      </c>
      <c r="T2756" s="347" t="s">
        <v>3614</v>
      </c>
      <c r="U2756" s="347"/>
      <c r="V2756" s="320"/>
      <c r="W2756" s="320"/>
      <c r="X2756" s="352">
        <v>44866</v>
      </c>
      <c r="Y2756" s="352">
        <v>45230</v>
      </c>
    </row>
    <row r="2757" s="5" customFormat="1" customHeight="1" spans="1:25">
      <c r="A2757" s="327" t="s">
        <v>444</v>
      </c>
      <c r="B2757" s="307" t="s">
        <v>3037</v>
      </c>
      <c r="C2757" s="327" t="s">
        <v>144</v>
      </c>
      <c r="D2757" s="307" t="s">
        <v>3038</v>
      </c>
      <c r="E2757" s="46" t="s">
        <v>3490</v>
      </c>
      <c r="F2757" s="327" t="s">
        <v>3593</v>
      </c>
      <c r="G2757" s="340" t="s">
        <v>88</v>
      </c>
      <c r="H2757" s="329" t="s">
        <v>3505</v>
      </c>
      <c r="I2757" s="46" t="e">
        <f>VLOOKUP(H2757,'合同高级查询数据-4月返'!A:A,1,FALSE)</f>
        <v>#N/A</v>
      </c>
      <c r="J2757" s="329" t="s">
        <v>90</v>
      </c>
      <c r="K2757" s="340" t="s">
        <v>3433</v>
      </c>
      <c r="L2757" s="340"/>
      <c r="M2757" s="312" t="s">
        <v>3519</v>
      </c>
      <c r="N2757" s="265">
        <v>44011</v>
      </c>
      <c r="O2757" s="340" t="s">
        <v>503</v>
      </c>
      <c r="P2757" s="359">
        <v>5600</v>
      </c>
      <c r="Q2757" s="346">
        <v>2</v>
      </c>
      <c r="R2757" s="351">
        <f t="shared" si="84"/>
        <v>11200</v>
      </c>
      <c r="S2757" s="319">
        <v>202304</v>
      </c>
      <c r="T2757" s="347" t="s">
        <v>3614</v>
      </c>
      <c r="U2757" s="347"/>
      <c r="V2757" s="320"/>
      <c r="W2757" s="320"/>
      <c r="X2757" s="352">
        <v>44866</v>
      </c>
      <c r="Y2757" s="352">
        <v>45230</v>
      </c>
    </row>
    <row r="2758" s="5" customFormat="1" customHeight="1" spans="1:25">
      <c r="A2758" s="327" t="s">
        <v>444</v>
      </c>
      <c r="B2758" s="307" t="s">
        <v>3037</v>
      </c>
      <c r="C2758" s="327" t="s">
        <v>144</v>
      </c>
      <c r="D2758" s="307" t="s">
        <v>3038</v>
      </c>
      <c r="E2758" s="46" t="s">
        <v>3490</v>
      </c>
      <c r="F2758" s="327" t="s">
        <v>3593</v>
      </c>
      <c r="G2758" s="340" t="s">
        <v>88</v>
      </c>
      <c r="H2758" s="329" t="s">
        <v>3505</v>
      </c>
      <c r="I2758" s="46" t="e">
        <f>VLOOKUP(H2758,'合同高级查询数据-4月返'!A:A,1,FALSE)</f>
        <v>#N/A</v>
      </c>
      <c r="J2758" s="329" t="s">
        <v>90</v>
      </c>
      <c r="K2758" s="340" t="s">
        <v>3433</v>
      </c>
      <c r="L2758" s="340"/>
      <c r="M2758" s="312" t="s">
        <v>3519</v>
      </c>
      <c r="N2758" s="265">
        <v>44020</v>
      </c>
      <c r="O2758" s="340" t="s">
        <v>503</v>
      </c>
      <c r="P2758" s="359">
        <v>5600</v>
      </c>
      <c r="Q2758" s="346">
        <v>2</v>
      </c>
      <c r="R2758" s="351">
        <f t="shared" si="84"/>
        <v>11200</v>
      </c>
      <c r="S2758" s="319">
        <v>202304</v>
      </c>
      <c r="T2758" s="347" t="s">
        <v>3615</v>
      </c>
      <c r="U2758" s="347"/>
      <c r="V2758" s="320"/>
      <c r="W2758" s="320"/>
      <c r="X2758" s="352">
        <v>44866</v>
      </c>
      <c r="Y2758" s="352">
        <v>45230</v>
      </c>
    </row>
    <row r="2759" s="5" customFormat="1" customHeight="1" spans="1:25">
      <c r="A2759" s="327" t="s">
        <v>444</v>
      </c>
      <c r="B2759" s="307" t="s">
        <v>3037</v>
      </c>
      <c r="C2759" s="327" t="s">
        <v>144</v>
      </c>
      <c r="D2759" s="307" t="s">
        <v>3038</v>
      </c>
      <c r="E2759" s="46" t="s">
        <v>3490</v>
      </c>
      <c r="F2759" s="327" t="s">
        <v>3593</v>
      </c>
      <c r="G2759" s="340" t="s">
        <v>88</v>
      </c>
      <c r="H2759" s="329" t="s">
        <v>3505</v>
      </c>
      <c r="I2759" s="46" t="e">
        <f>VLOOKUP(H2759,'合同高级查询数据-4月返'!A:A,1,FALSE)</f>
        <v>#N/A</v>
      </c>
      <c r="J2759" s="329" t="s">
        <v>90</v>
      </c>
      <c r="K2759" s="340" t="s">
        <v>3433</v>
      </c>
      <c r="L2759" s="340"/>
      <c r="M2759" s="312" t="s">
        <v>3519</v>
      </c>
      <c r="N2759" s="265">
        <v>44025</v>
      </c>
      <c r="O2759" s="340" t="s">
        <v>503</v>
      </c>
      <c r="P2759" s="359">
        <v>5600</v>
      </c>
      <c r="Q2759" s="346">
        <v>6</v>
      </c>
      <c r="R2759" s="351">
        <f t="shared" si="84"/>
        <v>33600</v>
      </c>
      <c r="S2759" s="319">
        <v>202304</v>
      </c>
      <c r="T2759" s="347" t="s">
        <v>3615</v>
      </c>
      <c r="U2759" s="347"/>
      <c r="V2759" s="320"/>
      <c r="W2759" s="320"/>
      <c r="X2759" s="352">
        <v>44866</v>
      </c>
      <c r="Y2759" s="352">
        <v>45230</v>
      </c>
    </row>
    <row r="2760" s="5" customFormat="1" customHeight="1" spans="1:25">
      <c r="A2760" s="327" t="s">
        <v>444</v>
      </c>
      <c r="B2760" s="307" t="s">
        <v>3037</v>
      </c>
      <c r="C2760" s="327" t="s">
        <v>144</v>
      </c>
      <c r="D2760" s="307" t="s">
        <v>3038</v>
      </c>
      <c r="E2760" s="46" t="s">
        <v>3490</v>
      </c>
      <c r="F2760" s="327" t="s">
        <v>3593</v>
      </c>
      <c r="G2760" s="340" t="s">
        <v>88</v>
      </c>
      <c r="H2760" s="329" t="s">
        <v>3505</v>
      </c>
      <c r="I2760" s="46" t="e">
        <f>VLOOKUP(H2760,'合同高级查询数据-4月返'!A:A,1,FALSE)</f>
        <v>#N/A</v>
      </c>
      <c r="J2760" s="329" t="s">
        <v>90</v>
      </c>
      <c r="K2760" s="340" t="s">
        <v>3433</v>
      </c>
      <c r="L2760" s="340"/>
      <c r="M2760" s="312" t="s">
        <v>3519</v>
      </c>
      <c r="N2760" s="265">
        <v>44073</v>
      </c>
      <c r="O2760" s="340" t="s">
        <v>503</v>
      </c>
      <c r="P2760" s="359">
        <v>5600</v>
      </c>
      <c r="Q2760" s="346">
        <v>-4</v>
      </c>
      <c r="R2760" s="351">
        <f t="shared" si="84"/>
        <v>-22400</v>
      </c>
      <c r="S2760" s="319">
        <v>202304</v>
      </c>
      <c r="T2760" s="347" t="s">
        <v>3616</v>
      </c>
      <c r="U2760" s="347"/>
      <c r="V2760" s="320"/>
      <c r="W2760" s="320"/>
      <c r="X2760" s="352">
        <v>44866</v>
      </c>
      <c r="Y2760" s="352">
        <v>45230</v>
      </c>
    </row>
    <row r="2761" s="5" customFormat="1" customHeight="1" spans="1:25">
      <c r="A2761" s="327" t="s">
        <v>444</v>
      </c>
      <c r="B2761" s="307" t="s">
        <v>3037</v>
      </c>
      <c r="C2761" s="327" t="s">
        <v>144</v>
      </c>
      <c r="D2761" s="307" t="s">
        <v>3038</v>
      </c>
      <c r="E2761" s="46" t="s">
        <v>3490</v>
      </c>
      <c r="F2761" s="327" t="s">
        <v>3593</v>
      </c>
      <c r="G2761" s="340" t="s">
        <v>88</v>
      </c>
      <c r="H2761" s="329" t="s">
        <v>3505</v>
      </c>
      <c r="I2761" s="46" t="e">
        <f>VLOOKUP(H2761,'合同高级查询数据-4月返'!A:A,1,FALSE)</f>
        <v>#N/A</v>
      </c>
      <c r="J2761" s="329" t="s">
        <v>90</v>
      </c>
      <c r="K2761" s="340" t="s">
        <v>3433</v>
      </c>
      <c r="L2761" s="340"/>
      <c r="M2761" s="312" t="s">
        <v>3519</v>
      </c>
      <c r="N2761" s="265">
        <v>44090</v>
      </c>
      <c r="O2761" s="340" t="s">
        <v>503</v>
      </c>
      <c r="P2761" s="359">
        <v>5600</v>
      </c>
      <c r="Q2761" s="346">
        <v>4</v>
      </c>
      <c r="R2761" s="351">
        <f t="shared" si="84"/>
        <v>22400</v>
      </c>
      <c r="S2761" s="319">
        <v>202304</v>
      </c>
      <c r="T2761" s="347" t="s">
        <v>3617</v>
      </c>
      <c r="U2761" s="347"/>
      <c r="V2761" s="320"/>
      <c r="W2761" s="320"/>
      <c r="X2761" s="352">
        <v>44866</v>
      </c>
      <c r="Y2761" s="352">
        <v>45230</v>
      </c>
    </row>
    <row r="2762" s="5" customFormat="1" customHeight="1" spans="1:25">
      <c r="A2762" s="327" t="s">
        <v>444</v>
      </c>
      <c r="B2762" s="307" t="s">
        <v>3037</v>
      </c>
      <c r="C2762" s="327" t="s">
        <v>144</v>
      </c>
      <c r="D2762" s="307" t="s">
        <v>3038</v>
      </c>
      <c r="E2762" s="46" t="s">
        <v>3490</v>
      </c>
      <c r="F2762" s="327" t="s">
        <v>3593</v>
      </c>
      <c r="G2762" s="340" t="s">
        <v>88</v>
      </c>
      <c r="H2762" s="329" t="s">
        <v>3505</v>
      </c>
      <c r="I2762" s="46" t="e">
        <f>VLOOKUP(H2762,'合同高级查询数据-4月返'!A:A,1,FALSE)</f>
        <v>#N/A</v>
      </c>
      <c r="J2762" s="329" t="s">
        <v>90</v>
      </c>
      <c r="K2762" s="340" t="s">
        <v>3433</v>
      </c>
      <c r="L2762" s="340"/>
      <c r="M2762" s="312" t="s">
        <v>3519</v>
      </c>
      <c r="N2762" s="265">
        <v>44098</v>
      </c>
      <c r="O2762" s="340" t="s">
        <v>503</v>
      </c>
      <c r="P2762" s="359">
        <v>5600</v>
      </c>
      <c r="Q2762" s="346">
        <v>4</v>
      </c>
      <c r="R2762" s="351">
        <f t="shared" si="84"/>
        <v>22400</v>
      </c>
      <c r="S2762" s="319">
        <v>202304</v>
      </c>
      <c r="T2762" s="347" t="s">
        <v>3617</v>
      </c>
      <c r="U2762" s="347"/>
      <c r="V2762" s="320"/>
      <c r="W2762" s="320"/>
      <c r="X2762" s="352">
        <v>44866</v>
      </c>
      <c r="Y2762" s="352">
        <v>45230</v>
      </c>
    </row>
    <row r="2763" s="5" customFormat="1" customHeight="1" spans="1:25">
      <c r="A2763" s="327" t="s">
        <v>444</v>
      </c>
      <c r="B2763" s="307" t="s">
        <v>3037</v>
      </c>
      <c r="C2763" s="327" t="s">
        <v>144</v>
      </c>
      <c r="D2763" s="307" t="s">
        <v>3038</v>
      </c>
      <c r="E2763" s="46" t="s">
        <v>3490</v>
      </c>
      <c r="F2763" s="327" t="s">
        <v>3593</v>
      </c>
      <c r="G2763" s="340" t="s">
        <v>88</v>
      </c>
      <c r="H2763" s="329" t="s">
        <v>3505</v>
      </c>
      <c r="I2763" s="46" t="e">
        <f>VLOOKUP(H2763,'合同高级查询数据-4月返'!A:A,1,FALSE)</f>
        <v>#N/A</v>
      </c>
      <c r="J2763" s="329" t="s">
        <v>90</v>
      </c>
      <c r="K2763" s="340" t="s">
        <v>3433</v>
      </c>
      <c r="L2763" s="340"/>
      <c r="M2763" s="312" t="s">
        <v>3519</v>
      </c>
      <c r="N2763" s="265">
        <v>44116</v>
      </c>
      <c r="O2763" s="340" t="s">
        <v>503</v>
      </c>
      <c r="P2763" s="359">
        <v>5600</v>
      </c>
      <c r="Q2763" s="346">
        <v>2</v>
      </c>
      <c r="R2763" s="351">
        <f t="shared" si="84"/>
        <v>11200</v>
      </c>
      <c r="S2763" s="319">
        <v>202304</v>
      </c>
      <c r="T2763" s="347" t="s">
        <v>3618</v>
      </c>
      <c r="U2763" s="347"/>
      <c r="V2763" s="320"/>
      <c r="W2763" s="320"/>
      <c r="X2763" s="352">
        <v>44866</v>
      </c>
      <c r="Y2763" s="352">
        <v>45230</v>
      </c>
    </row>
    <row r="2764" s="5" customFormat="1" customHeight="1" spans="1:25">
      <c r="A2764" s="327" t="s">
        <v>444</v>
      </c>
      <c r="B2764" s="307" t="s">
        <v>3037</v>
      </c>
      <c r="C2764" s="327" t="s">
        <v>144</v>
      </c>
      <c r="D2764" s="307" t="s">
        <v>3038</v>
      </c>
      <c r="E2764" s="46" t="s">
        <v>3490</v>
      </c>
      <c r="F2764" s="327" t="s">
        <v>3593</v>
      </c>
      <c r="G2764" s="340" t="s">
        <v>88</v>
      </c>
      <c r="H2764" s="329" t="s">
        <v>3505</v>
      </c>
      <c r="I2764" s="46" t="e">
        <f>VLOOKUP(H2764,'合同高级查询数据-4月返'!A:A,1,FALSE)</f>
        <v>#N/A</v>
      </c>
      <c r="J2764" s="329" t="s">
        <v>90</v>
      </c>
      <c r="K2764" s="340" t="s">
        <v>3433</v>
      </c>
      <c r="L2764" s="340"/>
      <c r="M2764" s="312" t="s">
        <v>3519</v>
      </c>
      <c r="N2764" s="265">
        <v>44135</v>
      </c>
      <c r="O2764" s="340" t="s">
        <v>503</v>
      </c>
      <c r="P2764" s="359">
        <v>5600</v>
      </c>
      <c r="Q2764" s="346">
        <v>2</v>
      </c>
      <c r="R2764" s="351">
        <f t="shared" si="84"/>
        <v>11200</v>
      </c>
      <c r="S2764" s="319">
        <v>202304</v>
      </c>
      <c r="T2764" s="347" t="s">
        <v>3619</v>
      </c>
      <c r="U2764" s="347"/>
      <c r="V2764" s="320"/>
      <c r="W2764" s="320"/>
      <c r="X2764" s="352">
        <v>44866</v>
      </c>
      <c r="Y2764" s="352">
        <v>45230</v>
      </c>
    </row>
    <row r="2765" s="5" customFormat="1" customHeight="1" spans="1:25">
      <c r="A2765" s="327" t="s">
        <v>444</v>
      </c>
      <c r="B2765" s="307" t="s">
        <v>3037</v>
      </c>
      <c r="C2765" s="327" t="s">
        <v>144</v>
      </c>
      <c r="D2765" s="307" t="s">
        <v>3038</v>
      </c>
      <c r="E2765" s="46" t="s">
        <v>3490</v>
      </c>
      <c r="F2765" s="327" t="s">
        <v>3593</v>
      </c>
      <c r="G2765" s="340" t="s">
        <v>88</v>
      </c>
      <c r="H2765" s="329" t="s">
        <v>3505</v>
      </c>
      <c r="I2765" s="46" t="e">
        <f>VLOOKUP(H2765,'合同高级查询数据-4月返'!A:A,1,FALSE)</f>
        <v>#N/A</v>
      </c>
      <c r="J2765" s="329" t="s">
        <v>90</v>
      </c>
      <c r="K2765" s="340" t="s">
        <v>3433</v>
      </c>
      <c r="L2765" s="340"/>
      <c r="M2765" s="312" t="s">
        <v>3519</v>
      </c>
      <c r="N2765" s="265">
        <v>44169</v>
      </c>
      <c r="O2765" s="340" t="s">
        <v>503</v>
      </c>
      <c r="P2765" s="359">
        <v>5600</v>
      </c>
      <c r="Q2765" s="346">
        <v>-2</v>
      </c>
      <c r="R2765" s="351">
        <f t="shared" si="84"/>
        <v>-11200</v>
      </c>
      <c r="S2765" s="319">
        <v>202304</v>
      </c>
      <c r="T2765" s="347" t="s">
        <v>3620</v>
      </c>
      <c r="U2765" s="347"/>
      <c r="V2765" s="320"/>
      <c r="W2765" s="320"/>
      <c r="X2765" s="352">
        <v>44866</v>
      </c>
      <c r="Y2765" s="352">
        <v>45230</v>
      </c>
    </row>
    <row r="2766" s="5" customFormat="1" customHeight="1" spans="1:25">
      <c r="A2766" s="327" t="s">
        <v>444</v>
      </c>
      <c r="B2766" s="307" t="s">
        <v>3037</v>
      </c>
      <c r="C2766" s="327" t="s">
        <v>144</v>
      </c>
      <c r="D2766" s="307" t="s">
        <v>3038</v>
      </c>
      <c r="E2766" s="46" t="s">
        <v>3490</v>
      </c>
      <c r="F2766" s="327" t="s">
        <v>3593</v>
      </c>
      <c r="G2766" s="340" t="s">
        <v>88</v>
      </c>
      <c r="H2766" s="329" t="s">
        <v>3505</v>
      </c>
      <c r="I2766" s="46" t="e">
        <f>VLOOKUP(H2766,'合同高级查询数据-4月返'!A:A,1,FALSE)</f>
        <v>#N/A</v>
      </c>
      <c r="J2766" s="329" t="s">
        <v>90</v>
      </c>
      <c r="K2766" s="340" t="s">
        <v>3433</v>
      </c>
      <c r="L2766" s="340"/>
      <c r="M2766" s="312" t="s">
        <v>3519</v>
      </c>
      <c r="N2766" s="265">
        <v>44225</v>
      </c>
      <c r="O2766" s="340" t="s">
        <v>503</v>
      </c>
      <c r="P2766" s="359">
        <v>5600</v>
      </c>
      <c r="Q2766" s="346">
        <v>2</v>
      </c>
      <c r="R2766" s="351">
        <f t="shared" si="84"/>
        <v>11200</v>
      </c>
      <c r="S2766" s="319">
        <v>202304</v>
      </c>
      <c r="T2766" s="347" t="s">
        <v>3621</v>
      </c>
      <c r="U2766" s="347"/>
      <c r="V2766" s="320"/>
      <c r="W2766" s="320"/>
      <c r="X2766" s="352">
        <v>44866</v>
      </c>
      <c r="Y2766" s="352">
        <v>45230</v>
      </c>
    </row>
    <row r="2767" s="5" customFormat="1" customHeight="1" spans="1:25">
      <c r="A2767" s="327" t="s">
        <v>444</v>
      </c>
      <c r="B2767" s="307" t="s">
        <v>3037</v>
      </c>
      <c r="C2767" s="327" t="s">
        <v>144</v>
      </c>
      <c r="D2767" s="307" t="s">
        <v>3038</v>
      </c>
      <c r="E2767" s="46" t="s">
        <v>3490</v>
      </c>
      <c r="F2767" s="327" t="s">
        <v>3593</v>
      </c>
      <c r="G2767" s="340" t="s">
        <v>88</v>
      </c>
      <c r="H2767" s="329" t="s">
        <v>3505</v>
      </c>
      <c r="I2767" s="46" t="e">
        <f>VLOOKUP(H2767,'合同高级查询数据-4月返'!A:A,1,FALSE)</f>
        <v>#N/A</v>
      </c>
      <c r="J2767" s="329" t="s">
        <v>90</v>
      </c>
      <c r="K2767" s="340" t="s">
        <v>3433</v>
      </c>
      <c r="L2767" s="340"/>
      <c r="M2767" s="312" t="s">
        <v>3519</v>
      </c>
      <c r="N2767" s="265">
        <v>44230</v>
      </c>
      <c r="O2767" s="340" t="s">
        <v>503</v>
      </c>
      <c r="P2767" s="359">
        <v>5600</v>
      </c>
      <c r="Q2767" s="346">
        <v>12</v>
      </c>
      <c r="R2767" s="351">
        <f t="shared" si="84"/>
        <v>67200</v>
      </c>
      <c r="S2767" s="319">
        <v>202304</v>
      </c>
      <c r="T2767" s="347" t="s">
        <v>3622</v>
      </c>
      <c r="U2767" s="347"/>
      <c r="V2767" s="320"/>
      <c r="W2767" s="320"/>
      <c r="X2767" s="352">
        <v>44866</v>
      </c>
      <c r="Y2767" s="352">
        <v>45230</v>
      </c>
    </row>
    <row r="2768" s="5" customFormat="1" customHeight="1" spans="1:25">
      <c r="A2768" s="327" t="s">
        <v>444</v>
      </c>
      <c r="B2768" s="307" t="s">
        <v>3037</v>
      </c>
      <c r="C2768" s="327" t="s">
        <v>144</v>
      </c>
      <c r="D2768" s="307" t="s">
        <v>3038</v>
      </c>
      <c r="E2768" s="46" t="s">
        <v>3490</v>
      </c>
      <c r="F2768" s="327" t="s">
        <v>3593</v>
      </c>
      <c r="G2768" s="340" t="s">
        <v>88</v>
      </c>
      <c r="H2768" s="329" t="s">
        <v>3505</v>
      </c>
      <c r="I2768" s="46" t="e">
        <f>VLOOKUP(H2768,'合同高级查询数据-4月返'!A:A,1,FALSE)</f>
        <v>#N/A</v>
      </c>
      <c r="J2768" s="329" t="s">
        <v>90</v>
      </c>
      <c r="K2768" s="340" t="s">
        <v>3433</v>
      </c>
      <c r="L2768" s="340"/>
      <c r="M2768" s="312" t="s">
        <v>3519</v>
      </c>
      <c r="N2768" s="265">
        <v>44255</v>
      </c>
      <c r="O2768" s="340" t="s">
        <v>503</v>
      </c>
      <c r="P2768" s="359">
        <v>5600</v>
      </c>
      <c r="Q2768" s="346">
        <v>2</v>
      </c>
      <c r="R2768" s="351">
        <f t="shared" si="84"/>
        <v>11200</v>
      </c>
      <c r="S2768" s="319">
        <v>202304</v>
      </c>
      <c r="T2768" s="347" t="s">
        <v>3623</v>
      </c>
      <c r="U2768" s="347"/>
      <c r="V2768" s="320"/>
      <c r="W2768" s="320"/>
      <c r="X2768" s="352">
        <v>44866</v>
      </c>
      <c r="Y2768" s="352">
        <v>45230</v>
      </c>
    </row>
    <row r="2769" s="5" customFormat="1" customHeight="1" spans="1:25">
      <c r="A2769" s="327" t="s">
        <v>444</v>
      </c>
      <c r="B2769" s="307" t="s">
        <v>3037</v>
      </c>
      <c r="C2769" s="327" t="s">
        <v>144</v>
      </c>
      <c r="D2769" s="307" t="s">
        <v>3038</v>
      </c>
      <c r="E2769" s="46" t="s">
        <v>3490</v>
      </c>
      <c r="F2769" s="327" t="s">
        <v>3593</v>
      </c>
      <c r="G2769" s="340" t="s">
        <v>88</v>
      </c>
      <c r="H2769" s="329" t="s">
        <v>3505</v>
      </c>
      <c r="I2769" s="46" t="e">
        <f>VLOOKUP(H2769,'合同高级查询数据-4月返'!A:A,1,FALSE)</f>
        <v>#N/A</v>
      </c>
      <c r="J2769" s="329" t="s">
        <v>90</v>
      </c>
      <c r="K2769" s="340" t="s">
        <v>3433</v>
      </c>
      <c r="L2769" s="340"/>
      <c r="M2769" s="312" t="s">
        <v>3519</v>
      </c>
      <c r="N2769" s="265">
        <v>44257</v>
      </c>
      <c r="O2769" s="340" t="s">
        <v>503</v>
      </c>
      <c r="P2769" s="359">
        <v>5600</v>
      </c>
      <c r="Q2769" s="346">
        <v>10</v>
      </c>
      <c r="R2769" s="351">
        <f t="shared" si="84"/>
        <v>56000</v>
      </c>
      <c r="S2769" s="319">
        <v>202304</v>
      </c>
      <c r="T2769" s="347" t="s">
        <v>3624</v>
      </c>
      <c r="U2769" s="347"/>
      <c r="V2769" s="320"/>
      <c r="W2769" s="320"/>
      <c r="X2769" s="352">
        <v>44866</v>
      </c>
      <c r="Y2769" s="352">
        <v>45230</v>
      </c>
    </row>
    <row r="2770" s="5" customFormat="1" customHeight="1" spans="1:25">
      <c r="A2770" s="327" t="s">
        <v>444</v>
      </c>
      <c r="B2770" s="307" t="s">
        <v>3037</v>
      </c>
      <c r="C2770" s="327" t="s">
        <v>144</v>
      </c>
      <c r="D2770" s="307" t="s">
        <v>3038</v>
      </c>
      <c r="E2770" s="46" t="s">
        <v>3490</v>
      </c>
      <c r="F2770" s="327" t="s">
        <v>3593</v>
      </c>
      <c r="G2770" s="340" t="s">
        <v>88</v>
      </c>
      <c r="H2770" s="329" t="s">
        <v>3505</v>
      </c>
      <c r="I2770" s="46" t="e">
        <f>VLOOKUP(H2770,'合同高级查询数据-4月返'!A:A,1,FALSE)</f>
        <v>#N/A</v>
      </c>
      <c r="J2770" s="329" t="s">
        <v>90</v>
      </c>
      <c r="K2770" s="340" t="s">
        <v>3433</v>
      </c>
      <c r="L2770" s="340"/>
      <c r="M2770" s="312" t="s">
        <v>3519</v>
      </c>
      <c r="N2770" s="265">
        <v>44316</v>
      </c>
      <c r="O2770" s="340" t="s">
        <v>503</v>
      </c>
      <c r="P2770" s="359">
        <v>5600</v>
      </c>
      <c r="Q2770" s="346">
        <v>4</v>
      </c>
      <c r="R2770" s="351">
        <f t="shared" si="84"/>
        <v>22400</v>
      </c>
      <c r="S2770" s="319">
        <v>202304</v>
      </c>
      <c r="T2770" s="347" t="s">
        <v>3625</v>
      </c>
      <c r="U2770" s="347"/>
      <c r="V2770" s="320"/>
      <c r="W2770" s="320"/>
      <c r="X2770" s="352">
        <v>44866</v>
      </c>
      <c r="Y2770" s="352">
        <v>45230</v>
      </c>
    </row>
    <row r="2771" s="5" customFormat="1" customHeight="1" spans="1:25">
      <c r="A2771" s="327" t="s">
        <v>444</v>
      </c>
      <c r="B2771" s="307" t="s">
        <v>3037</v>
      </c>
      <c r="C2771" s="327" t="s">
        <v>144</v>
      </c>
      <c r="D2771" s="307" t="s">
        <v>3038</v>
      </c>
      <c r="E2771" s="46" t="s">
        <v>3490</v>
      </c>
      <c r="F2771" s="327" t="s">
        <v>3593</v>
      </c>
      <c r="G2771" s="340" t="s">
        <v>88</v>
      </c>
      <c r="H2771" s="329" t="s">
        <v>3505</v>
      </c>
      <c r="I2771" s="46" t="e">
        <f>VLOOKUP(H2771,'合同高级查询数据-4月返'!A:A,1,FALSE)</f>
        <v>#N/A</v>
      </c>
      <c r="J2771" s="329" t="s">
        <v>90</v>
      </c>
      <c r="K2771" s="340" t="s">
        <v>3433</v>
      </c>
      <c r="L2771" s="340"/>
      <c r="M2771" s="312" t="s">
        <v>3519</v>
      </c>
      <c r="N2771" s="265">
        <v>44317</v>
      </c>
      <c r="O2771" s="340" t="s">
        <v>503</v>
      </c>
      <c r="P2771" s="359">
        <v>5600</v>
      </c>
      <c r="Q2771" s="346">
        <v>25</v>
      </c>
      <c r="R2771" s="351">
        <f t="shared" si="84"/>
        <v>140000</v>
      </c>
      <c r="S2771" s="319">
        <v>202304</v>
      </c>
      <c r="T2771" s="347" t="s">
        <v>3626</v>
      </c>
      <c r="U2771" s="347"/>
      <c r="V2771" s="320"/>
      <c r="W2771" s="320"/>
      <c r="X2771" s="352">
        <v>44866</v>
      </c>
      <c r="Y2771" s="352">
        <v>45230</v>
      </c>
    </row>
    <row r="2772" s="5" customFormat="1" customHeight="1" spans="1:25">
      <c r="A2772" s="327" t="s">
        <v>444</v>
      </c>
      <c r="B2772" s="307" t="s">
        <v>3037</v>
      </c>
      <c r="C2772" s="327" t="s">
        <v>144</v>
      </c>
      <c r="D2772" s="307" t="s">
        <v>3038</v>
      </c>
      <c r="E2772" s="46" t="s">
        <v>3490</v>
      </c>
      <c r="F2772" s="327" t="s">
        <v>3593</v>
      </c>
      <c r="G2772" s="340" t="s">
        <v>88</v>
      </c>
      <c r="H2772" s="329" t="s">
        <v>3505</v>
      </c>
      <c r="I2772" s="46" t="e">
        <f>VLOOKUP(H2772,'合同高级查询数据-4月返'!A:A,1,FALSE)</f>
        <v>#N/A</v>
      </c>
      <c r="J2772" s="329" t="s">
        <v>90</v>
      </c>
      <c r="K2772" s="340" t="s">
        <v>3433</v>
      </c>
      <c r="L2772" s="340"/>
      <c r="M2772" s="312" t="s">
        <v>3519</v>
      </c>
      <c r="N2772" s="265">
        <v>44340</v>
      </c>
      <c r="O2772" s="340" t="s">
        <v>503</v>
      </c>
      <c r="P2772" s="359">
        <v>5600</v>
      </c>
      <c r="Q2772" s="346">
        <v>2</v>
      </c>
      <c r="R2772" s="351">
        <f t="shared" ref="R2772:R2791" si="85">ROUND(P2772*Q2772,2)</f>
        <v>11200</v>
      </c>
      <c r="S2772" s="319">
        <v>202304</v>
      </c>
      <c r="T2772" s="347" t="s">
        <v>3627</v>
      </c>
      <c r="U2772" s="347"/>
      <c r="V2772" s="320"/>
      <c r="W2772" s="320"/>
      <c r="X2772" s="352">
        <v>44866</v>
      </c>
      <c r="Y2772" s="352">
        <v>45230</v>
      </c>
    </row>
    <row r="2773" s="5" customFormat="1" customHeight="1" spans="1:25">
      <c r="A2773" s="327" t="s">
        <v>444</v>
      </c>
      <c r="B2773" s="307" t="s">
        <v>3037</v>
      </c>
      <c r="C2773" s="327" t="s">
        <v>144</v>
      </c>
      <c r="D2773" s="307" t="s">
        <v>3038</v>
      </c>
      <c r="E2773" s="46" t="s">
        <v>3490</v>
      </c>
      <c r="F2773" s="327" t="s">
        <v>3593</v>
      </c>
      <c r="G2773" s="340" t="s">
        <v>88</v>
      </c>
      <c r="H2773" s="329" t="s">
        <v>3505</v>
      </c>
      <c r="I2773" s="46" t="e">
        <f>VLOOKUP(H2773,'合同高级查询数据-4月返'!A:A,1,FALSE)</f>
        <v>#N/A</v>
      </c>
      <c r="J2773" s="329" t="s">
        <v>90</v>
      </c>
      <c r="K2773" s="340" t="s">
        <v>3433</v>
      </c>
      <c r="L2773" s="340"/>
      <c r="M2773" s="312" t="s">
        <v>3519</v>
      </c>
      <c r="N2773" s="265">
        <v>44342</v>
      </c>
      <c r="O2773" s="340" t="s">
        <v>503</v>
      </c>
      <c r="P2773" s="359">
        <v>5600</v>
      </c>
      <c r="Q2773" s="346">
        <v>2</v>
      </c>
      <c r="R2773" s="351">
        <f t="shared" si="85"/>
        <v>11200</v>
      </c>
      <c r="S2773" s="319">
        <v>202304</v>
      </c>
      <c r="T2773" s="347" t="s">
        <v>3628</v>
      </c>
      <c r="U2773" s="347"/>
      <c r="V2773" s="320"/>
      <c r="W2773" s="320"/>
      <c r="X2773" s="352">
        <v>44866</v>
      </c>
      <c r="Y2773" s="352">
        <v>45230</v>
      </c>
    </row>
    <row r="2774" s="5" customFormat="1" customHeight="1" spans="1:25">
      <c r="A2774" s="327" t="s">
        <v>444</v>
      </c>
      <c r="B2774" s="307" t="s">
        <v>3037</v>
      </c>
      <c r="C2774" s="327" t="s">
        <v>144</v>
      </c>
      <c r="D2774" s="307" t="s">
        <v>3038</v>
      </c>
      <c r="E2774" s="46" t="s">
        <v>3490</v>
      </c>
      <c r="F2774" s="327" t="s">
        <v>3593</v>
      </c>
      <c r="G2774" s="340" t="s">
        <v>88</v>
      </c>
      <c r="H2774" s="329" t="s">
        <v>3505</v>
      </c>
      <c r="I2774" s="46" t="e">
        <f>VLOOKUP(H2774,'合同高级查询数据-4月返'!A:A,1,FALSE)</f>
        <v>#N/A</v>
      </c>
      <c r="J2774" s="329" t="s">
        <v>90</v>
      </c>
      <c r="K2774" s="340" t="s">
        <v>3433</v>
      </c>
      <c r="L2774" s="340"/>
      <c r="M2774" s="312" t="s">
        <v>3519</v>
      </c>
      <c r="N2774" s="265">
        <v>44344</v>
      </c>
      <c r="O2774" s="340" t="s">
        <v>503</v>
      </c>
      <c r="P2774" s="359">
        <v>5600</v>
      </c>
      <c r="Q2774" s="346">
        <v>2</v>
      </c>
      <c r="R2774" s="351">
        <f t="shared" si="85"/>
        <v>11200</v>
      </c>
      <c r="S2774" s="319">
        <v>202304</v>
      </c>
      <c r="T2774" s="347" t="s">
        <v>3629</v>
      </c>
      <c r="U2774" s="347"/>
      <c r="V2774" s="320"/>
      <c r="W2774" s="320"/>
      <c r="X2774" s="352">
        <v>44866</v>
      </c>
      <c r="Y2774" s="352">
        <v>45230</v>
      </c>
    </row>
    <row r="2775" s="5" customFormat="1" customHeight="1" spans="1:25">
      <c r="A2775" s="327" t="s">
        <v>444</v>
      </c>
      <c r="B2775" s="307" t="s">
        <v>3037</v>
      </c>
      <c r="C2775" s="327" t="s">
        <v>144</v>
      </c>
      <c r="D2775" s="307" t="s">
        <v>3038</v>
      </c>
      <c r="E2775" s="46" t="s">
        <v>3490</v>
      </c>
      <c r="F2775" s="327" t="s">
        <v>3593</v>
      </c>
      <c r="G2775" s="340" t="s">
        <v>88</v>
      </c>
      <c r="H2775" s="329" t="s">
        <v>3505</v>
      </c>
      <c r="I2775" s="46" t="e">
        <f>VLOOKUP(H2775,'合同高级查询数据-4月返'!A:A,1,FALSE)</f>
        <v>#N/A</v>
      </c>
      <c r="J2775" s="329" t="s">
        <v>90</v>
      </c>
      <c r="K2775" s="340" t="s">
        <v>3433</v>
      </c>
      <c r="L2775" s="340"/>
      <c r="M2775" s="312" t="s">
        <v>3519</v>
      </c>
      <c r="N2775" s="265">
        <v>44351</v>
      </c>
      <c r="O2775" s="340" t="s">
        <v>503</v>
      </c>
      <c r="P2775" s="359">
        <v>5600</v>
      </c>
      <c r="Q2775" s="346">
        <v>2</v>
      </c>
      <c r="R2775" s="351">
        <f t="shared" si="85"/>
        <v>11200</v>
      </c>
      <c r="S2775" s="319">
        <v>202304</v>
      </c>
      <c r="T2775" s="347" t="s">
        <v>3630</v>
      </c>
      <c r="U2775" s="347"/>
      <c r="V2775" s="320"/>
      <c r="W2775" s="320"/>
      <c r="X2775" s="352">
        <v>44866</v>
      </c>
      <c r="Y2775" s="352">
        <v>45230</v>
      </c>
    </row>
    <row r="2776" s="5" customFormat="1" customHeight="1" spans="1:25">
      <c r="A2776" s="327" t="s">
        <v>444</v>
      </c>
      <c r="B2776" s="307" t="s">
        <v>3037</v>
      </c>
      <c r="C2776" s="327" t="s">
        <v>144</v>
      </c>
      <c r="D2776" s="307" t="s">
        <v>3038</v>
      </c>
      <c r="E2776" s="46" t="s">
        <v>3490</v>
      </c>
      <c r="F2776" s="327" t="s">
        <v>3593</v>
      </c>
      <c r="G2776" s="340" t="s">
        <v>88</v>
      </c>
      <c r="H2776" s="329" t="s">
        <v>3505</v>
      </c>
      <c r="I2776" s="46" t="e">
        <f>VLOOKUP(H2776,'合同高级查询数据-4月返'!A:A,1,FALSE)</f>
        <v>#N/A</v>
      </c>
      <c r="J2776" s="329" t="s">
        <v>90</v>
      </c>
      <c r="K2776" s="340" t="s">
        <v>3433</v>
      </c>
      <c r="L2776" s="340"/>
      <c r="M2776" s="312" t="s">
        <v>3519</v>
      </c>
      <c r="N2776" s="265">
        <v>44356</v>
      </c>
      <c r="O2776" s="340" t="s">
        <v>503</v>
      </c>
      <c r="P2776" s="359">
        <v>5600</v>
      </c>
      <c r="Q2776" s="346">
        <v>2</v>
      </c>
      <c r="R2776" s="351">
        <f t="shared" si="85"/>
        <v>11200</v>
      </c>
      <c r="S2776" s="319">
        <v>202304</v>
      </c>
      <c r="T2776" s="347" t="s">
        <v>3631</v>
      </c>
      <c r="U2776" s="347"/>
      <c r="V2776" s="320"/>
      <c r="W2776" s="320"/>
      <c r="X2776" s="352">
        <v>44866</v>
      </c>
      <c r="Y2776" s="352">
        <v>45230</v>
      </c>
    </row>
    <row r="2777" s="5" customFormat="1" customHeight="1" spans="1:25">
      <c r="A2777" s="327" t="s">
        <v>444</v>
      </c>
      <c r="B2777" s="307" t="s">
        <v>3037</v>
      </c>
      <c r="C2777" s="327" t="s">
        <v>144</v>
      </c>
      <c r="D2777" s="307" t="s">
        <v>3038</v>
      </c>
      <c r="E2777" s="46" t="s">
        <v>3490</v>
      </c>
      <c r="F2777" s="327" t="s">
        <v>3593</v>
      </c>
      <c r="G2777" s="340" t="s">
        <v>88</v>
      </c>
      <c r="H2777" s="329" t="s">
        <v>3505</v>
      </c>
      <c r="I2777" s="46" t="e">
        <f>VLOOKUP(H2777,'合同高级查询数据-4月返'!A:A,1,FALSE)</f>
        <v>#N/A</v>
      </c>
      <c r="J2777" s="329" t="s">
        <v>90</v>
      </c>
      <c r="K2777" s="340" t="s">
        <v>3433</v>
      </c>
      <c r="L2777" s="340"/>
      <c r="M2777" s="312" t="s">
        <v>3519</v>
      </c>
      <c r="N2777" s="265">
        <v>44365</v>
      </c>
      <c r="O2777" s="340" t="s">
        <v>503</v>
      </c>
      <c r="P2777" s="359">
        <v>5600</v>
      </c>
      <c r="Q2777" s="346">
        <v>2</v>
      </c>
      <c r="R2777" s="351">
        <f t="shared" si="85"/>
        <v>11200</v>
      </c>
      <c r="S2777" s="319">
        <v>202304</v>
      </c>
      <c r="T2777" s="347" t="s">
        <v>3632</v>
      </c>
      <c r="U2777" s="347"/>
      <c r="V2777" s="320"/>
      <c r="W2777" s="320"/>
      <c r="X2777" s="352">
        <v>44866</v>
      </c>
      <c r="Y2777" s="352">
        <v>45230</v>
      </c>
    </row>
    <row r="2778" s="5" customFormat="1" customHeight="1" spans="1:25">
      <c r="A2778" s="327" t="s">
        <v>444</v>
      </c>
      <c r="B2778" s="307" t="s">
        <v>3037</v>
      </c>
      <c r="C2778" s="327" t="s">
        <v>144</v>
      </c>
      <c r="D2778" s="307" t="s">
        <v>3038</v>
      </c>
      <c r="E2778" s="46" t="s">
        <v>3490</v>
      </c>
      <c r="F2778" s="327" t="s">
        <v>3593</v>
      </c>
      <c r="G2778" s="340" t="s">
        <v>88</v>
      </c>
      <c r="H2778" s="329" t="s">
        <v>3505</v>
      </c>
      <c r="I2778" s="46" t="e">
        <f>VLOOKUP(H2778,'合同高级查询数据-4月返'!A:A,1,FALSE)</f>
        <v>#N/A</v>
      </c>
      <c r="J2778" s="329" t="s">
        <v>90</v>
      </c>
      <c r="K2778" s="340" t="s">
        <v>3433</v>
      </c>
      <c r="L2778" s="340"/>
      <c r="M2778" s="312" t="s">
        <v>3519</v>
      </c>
      <c r="N2778" s="265">
        <v>44379</v>
      </c>
      <c r="O2778" s="340" t="s">
        <v>503</v>
      </c>
      <c r="P2778" s="359">
        <v>5600</v>
      </c>
      <c r="Q2778" s="346">
        <v>2</v>
      </c>
      <c r="R2778" s="351">
        <f t="shared" si="85"/>
        <v>11200</v>
      </c>
      <c r="S2778" s="319">
        <v>202304</v>
      </c>
      <c r="T2778" s="347" t="s">
        <v>3633</v>
      </c>
      <c r="U2778" s="347"/>
      <c r="V2778" s="320"/>
      <c r="W2778" s="320"/>
      <c r="X2778" s="352">
        <v>44866</v>
      </c>
      <c r="Y2778" s="352">
        <v>45230</v>
      </c>
    </row>
    <row r="2779" s="5" customFormat="1" customHeight="1" spans="1:25">
      <c r="A2779" s="327" t="s">
        <v>444</v>
      </c>
      <c r="B2779" s="307" t="s">
        <v>3037</v>
      </c>
      <c r="C2779" s="327" t="s">
        <v>144</v>
      </c>
      <c r="D2779" s="307" t="s">
        <v>3038</v>
      </c>
      <c r="E2779" s="46" t="s">
        <v>3490</v>
      </c>
      <c r="F2779" s="327" t="s">
        <v>3593</v>
      </c>
      <c r="G2779" s="340" t="s">
        <v>88</v>
      </c>
      <c r="H2779" s="329" t="s">
        <v>3505</v>
      </c>
      <c r="I2779" s="46" t="e">
        <f>VLOOKUP(H2779,'合同高级查询数据-4月返'!A:A,1,FALSE)</f>
        <v>#N/A</v>
      </c>
      <c r="J2779" s="329" t="s">
        <v>90</v>
      </c>
      <c r="K2779" s="340" t="s">
        <v>3433</v>
      </c>
      <c r="L2779" s="340"/>
      <c r="M2779" s="312" t="s">
        <v>3519</v>
      </c>
      <c r="N2779" s="265">
        <v>44422</v>
      </c>
      <c r="O2779" s="340" t="s">
        <v>503</v>
      </c>
      <c r="P2779" s="359">
        <v>5600</v>
      </c>
      <c r="Q2779" s="346">
        <v>4</v>
      </c>
      <c r="R2779" s="351">
        <f t="shared" si="85"/>
        <v>22400</v>
      </c>
      <c r="S2779" s="319">
        <v>202304</v>
      </c>
      <c r="T2779" s="347" t="s">
        <v>3634</v>
      </c>
      <c r="U2779" s="347"/>
      <c r="V2779" s="320"/>
      <c r="W2779" s="320"/>
      <c r="X2779" s="352">
        <v>44866</v>
      </c>
      <c r="Y2779" s="352">
        <v>45230</v>
      </c>
    </row>
    <row r="2780" s="5" customFormat="1" customHeight="1" spans="1:25">
      <c r="A2780" s="327" t="s">
        <v>444</v>
      </c>
      <c r="B2780" s="307" t="s">
        <v>3037</v>
      </c>
      <c r="C2780" s="327" t="s">
        <v>144</v>
      </c>
      <c r="D2780" s="307" t="s">
        <v>3038</v>
      </c>
      <c r="E2780" s="46" t="s">
        <v>3490</v>
      </c>
      <c r="F2780" s="327" t="s">
        <v>3593</v>
      </c>
      <c r="G2780" s="340" t="s">
        <v>88</v>
      </c>
      <c r="H2780" s="329" t="s">
        <v>3505</v>
      </c>
      <c r="I2780" s="46" t="e">
        <f>VLOOKUP(H2780,'合同高级查询数据-4月返'!A:A,1,FALSE)</f>
        <v>#N/A</v>
      </c>
      <c r="J2780" s="329" t="s">
        <v>90</v>
      </c>
      <c r="K2780" s="340" t="s">
        <v>3433</v>
      </c>
      <c r="L2780" s="340"/>
      <c r="M2780" s="312" t="s">
        <v>3519</v>
      </c>
      <c r="N2780" s="265">
        <v>44442</v>
      </c>
      <c r="O2780" s="340" t="s">
        <v>503</v>
      </c>
      <c r="P2780" s="359">
        <v>5600</v>
      </c>
      <c r="Q2780" s="346">
        <v>8</v>
      </c>
      <c r="R2780" s="351">
        <f t="shared" si="85"/>
        <v>44800</v>
      </c>
      <c r="S2780" s="319">
        <v>202304</v>
      </c>
      <c r="T2780" s="347" t="s">
        <v>3635</v>
      </c>
      <c r="U2780" s="347"/>
      <c r="V2780" s="320"/>
      <c r="W2780" s="320"/>
      <c r="X2780" s="352">
        <v>44866</v>
      </c>
      <c r="Y2780" s="352">
        <v>45230</v>
      </c>
    </row>
    <row r="2781" s="5" customFormat="1" customHeight="1" spans="1:25">
      <c r="A2781" s="327" t="s">
        <v>444</v>
      </c>
      <c r="B2781" s="307" t="s">
        <v>3037</v>
      </c>
      <c r="C2781" s="327" t="s">
        <v>144</v>
      </c>
      <c r="D2781" s="307" t="s">
        <v>3038</v>
      </c>
      <c r="E2781" s="46" t="s">
        <v>3490</v>
      </c>
      <c r="F2781" s="327" t="s">
        <v>3593</v>
      </c>
      <c r="G2781" s="340" t="s">
        <v>88</v>
      </c>
      <c r="H2781" s="329" t="s">
        <v>3505</v>
      </c>
      <c r="I2781" s="46" t="e">
        <f>VLOOKUP(H2781,'合同高级查询数据-4月返'!A:A,1,FALSE)</f>
        <v>#N/A</v>
      </c>
      <c r="J2781" s="329" t="s">
        <v>90</v>
      </c>
      <c r="K2781" s="340" t="s">
        <v>3433</v>
      </c>
      <c r="L2781" s="340"/>
      <c r="M2781" s="312" t="s">
        <v>3519</v>
      </c>
      <c r="N2781" s="265">
        <v>44444</v>
      </c>
      <c r="O2781" s="340" t="s">
        <v>503</v>
      </c>
      <c r="P2781" s="359">
        <v>5600</v>
      </c>
      <c r="Q2781" s="346">
        <v>2</v>
      </c>
      <c r="R2781" s="351">
        <f t="shared" si="85"/>
        <v>11200</v>
      </c>
      <c r="S2781" s="319">
        <v>202304</v>
      </c>
      <c r="T2781" s="347" t="s">
        <v>3636</v>
      </c>
      <c r="U2781" s="347"/>
      <c r="V2781" s="320"/>
      <c r="W2781" s="320"/>
      <c r="X2781" s="352">
        <v>44866</v>
      </c>
      <c r="Y2781" s="352">
        <v>45230</v>
      </c>
    </row>
    <row r="2782" s="5" customFormat="1" customHeight="1" spans="1:25">
      <c r="A2782" s="327" t="s">
        <v>444</v>
      </c>
      <c r="B2782" s="307" t="s">
        <v>3037</v>
      </c>
      <c r="C2782" s="327" t="s">
        <v>144</v>
      </c>
      <c r="D2782" s="307" t="s">
        <v>3038</v>
      </c>
      <c r="E2782" s="46" t="s">
        <v>3490</v>
      </c>
      <c r="F2782" s="327" t="s">
        <v>3593</v>
      </c>
      <c r="G2782" s="340" t="s">
        <v>88</v>
      </c>
      <c r="H2782" s="329" t="s">
        <v>3505</v>
      </c>
      <c r="I2782" s="46" t="e">
        <f>VLOOKUP(H2782,'合同高级查询数据-4月返'!A:A,1,FALSE)</f>
        <v>#N/A</v>
      </c>
      <c r="J2782" s="329" t="s">
        <v>90</v>
      </c>
      <c r="K2782" s="340" t="s">
        <v>3433</v>
      </c>
      <c r="L2782" s="340"/>
      <c r="M2782" s="312" t="s">
        <v>3604</v>
      </c>
      <c r="N2782" s="265">
        <v>44494</v>
      </c>
      <c r="O2782" s="340" t="s">
        <v>503</v>
      </c>
      <c r="P2782" s="359">
        <v>5600</v>
      </c>
      <c r="Q2782" s="346">
        <v>4</v>
      </c>
      <c r="R2782" s="351">
        <f t="shared" si="85"/>
        <v>22400</v>
      </c>
      <c r="S2782" s="319">
        <v>202304</v>
      </c>
      <c r="T2782" s="347" t="s">
        <v>3637</v>
      </c>
      <c r="U2782" s="347"/>
      <c r="V2782" s="320"/>
      <c r="W2782" s="320"/>
      <c r="X2782" s="352">
        <v>44866</v>
      </c>
      <c r="Y2782" s="352">
        <v>45230</v>
      </c>
    </row>
    <row r="2783" s="5" customFormat="1" customHeight="1" spans="1:25">
      <c r="A2783" s="327" t="s">
        <v>444</v>
      </c>
      <c r="B2783" s="307" t="s">
        <v>3037</v>
      </c>
      <c r="C2783" s="327" t="s">
        <v>144</v>
      </c>
      <c r="D2783" s="307" t="s">
        <v>3038</v>
      </c>
      <c r="E2783" s="46" t="s">
        <v>3490</v>
      </c>
      <c r="F2783" s="327" t="s">
        <v>3593</v>
      </c>
      <c r="G2783" s="340" t="s">
        <v>88</v>
      </c>
      <c r="H2783" s="329" t="s">
        <v>3505</v>
      </c>
      <c r="I2783" s="46" t="e">
        <f>VLOOKUP(H2783,'合同高级查询数据-4月返'!A:A,1,FALSE)</f>
        <v>#N/A</v>
      </c>
      <c r="J2783" s="329" t="s">
        <v>90</v>
      </c>
      <c r="K2783" s="340" t="s">
        <v>3433</v>
      </c>
      <c r="L2783" s="340"/>
      <c r="M2783" s="312" t="s">
        <v>3519</v>
      </c>
      <c r="N2783" s="265">
        <v>44497</v>
      </c>
      <c r="O2783" s="340" t="s">
        <v>503</v>
      </c>
      <c r="P2783" s="359">
        <v>5600</v>
      </c>
      <c r="Q2783" s="346">
        <v>8</v>
      </c>
      <c r="R2783" s="351">
        <f t="shared" si="85"/>
        <v>44800</v>
      </c>
      <c r="S2783" s="319">
        <v>202304</v>
      </c>
      <c r="T2783" s="347" t="s">
        <v>3638</v>
      </c>
      <c r="U2783" s="347"/>
      <c r="V2783" s="320"/>
      <c r="W2783" s="320"/>
      <c r="X2783" s="352">
        <v>44866</v>
      </c>
      <c r="Y2783" s="352">
        <v>45230</v>
      </c>
    </row>
    <row r="2784" s="5" customFormat="1" customHeight="1" spans="1:25">
      <c r="A2784" s="327" t="s">
        <v>444</v>
      </c>
      <c r="B2784" s="307" t="s">
        <v>3037</v>
      </c>
      <c r="C2784" s="327" t="s">
        <v>144</v>
      </c>
      <c r="D2784" s="307" t="s">
        <v>3038</v>
      </c>
      <c r="E2784" s="46" t="s">
        <v>3490</v>
      </c>
      <c r="F2784" s="327" t="s">
        <v>3593</v>
      </c>
      <c r="G2784" s="340" t="s">
        <v>88</v>
      </c>
      <c r="H2784" s="329" t="s">
        <v>3505</v>
      </c>
      <c r="I2784" s="46" t="e">
        <f>VLOOKUP(H2784,'合同高级查询数据-4月返'!A:A,1,FALSE)</f>
        <v>#N/A</v>
      </c>
      <c r="J2784" s="329" t="s">
        <v>90</v>
      </c>
      <c r="K2784" s="340" t="s">
        <v>3433</v>
      </c>
      <c r="L2784" s="340"/>
      <c r="M2784" s="312" t="s">
        <v>3519</v>
      </c>
      <c r="N2784" s="265">
        <v>44517</v>
      </c>
      <c r="O2784" s="340" t="s">
        <v>503</v>
      </c>
      <c r="P2784" s="359">
        <v>5600</v>
      </c>
      <c r="Q2784" s="346">
        <v>4</v>
      </c>
      <c r="R2784" s="351">
        <f t="shared" si="85"/>
        <v>22400</v>
      </c>
      <c r="S2784" s="319">
        <v>202304</v>
      </c>
      <c r="T2784" s="347" t="s">
        <v>3639</v>
      </c>
      <c r="U2784" s="347"/>
      <c r="V2784" s="320"/>
      <c r="W2784" s="320"/>
      <c r="X2784" s="352">
        <v>44866</v>
      </c>
      <c r="Y2784" s="352">
        <v>45230</v>
      </c>
    </row>
    <row r="2785" s="5" customFormat="1" customHeight="1" spans="1:25">
      <c r="A2785" s="327" t="s">
        <v>444</v>
      </c>
      <c r="B2785" s="307" t="s">
        <v>3037</v>
      </c>
      <c r="C2785" s="327" t="s">
        <v>144</v>
      </c>
      <c r="D2785" s="307" t="s">
        <v>3038</v>
      </c>
      <c r="E2785" s="46" t="s">
        <v>3490</v>
      </c>
      <c r="F2785" s="327" t="s">
        <v>3593</v>
      </c>
      <c r="G2785" s="340" t="s">
        <v>88</v>
      </c>
      <c r="H2785" s="329" t="s">
        <v>3505</v>
      </c>
      <c r="I2785" s="46" t="e">
        <f>VLOOKUP(H2785,'合同高级查询数据-4月返'!A:A,1,FALSE)</f>
        <v>#N/A</v>
      </c>
      <c r="J2785" s="329" t="s">
        <v>90</v>
      </c>
      <c r="K2785" s="340" t="s">
        <v>3433</v>
      </c>
      <c r="L2785" s="340"/>
      <c r="M2785" s="312" t="s">
        <v>3519</v>
      </c>
      <c r="N2785" s="265">
        <v>44523</v>
      </c>
      <c r="O2785" s="340" t="s">
        <v>503</v>
      </c>
      <c r="P2785" s="359">
        <v>5600</v>
      </c>
      <c r="Q2785" s="346">
        <v>6</v>
      </c>
      <c r="R2785" s="351">
        <f t="shared" si="85"/>
        <v>33600</v>
      </c>
      <c r="S2785" s="319">
        <v>202304</v>
      </c>
      <c r="T2785" s="347" t="s">
        <v>3640</v>
      </c>
      <c r="U2785" s="347"/>
      <c r="V2785" s="320"/>
      <c r="W2785" s="320"/>
      <c r="X2785" s="352">
        <v>44866</v>
      </c>
      <c r="Y2785" s="352">
        <v>45230</v>
      </c>
    </row>
    <row r="2786" s="5" customFormat="1" customHeight="1" spans="1:25">
      <c r="A2786" s="327" t="s">
        <v>444</v>
      </c>
      <c r="B2786" s="307" t="s">
        <v>3037</v>
      </c>
      <c r="C2786" s="327" t="s">
        <v>144</v>
      </c>
      <c r="D2786" s="307" t="s">
        <v>3038</v>
      </c>
      <c r="E2786" s="46" t="s">
        <v>3490</v>
      </c>
      <c r="F2786" s="327" t="s">
        <v>3593</v>
      </c>
      <c r="G2786" s="340" t="s">
        <v>88</v>
      </c>
      <c r="H2786" s="329" t="s">
        <v>3505</v>
      </c>
      <c r="I2786" s="46" t="e">
        <f>VLOOKUP(H2786,'合同高级查询数据-4月返'!A:A,1,FALSE)</f>
        <v>#N/A</v>
      </c>
      <c r="J2786" s="329" t="s">
        <v>90</v>
      </c>
      <c r="K2786" s="340" t="s">
        <v>3433</v>
      </c>
      <c r="L2786" s="340"/>
      <c r="M2786" s="312" t="s">
        <v>3519</v>
      </c>
      <c r="N2786" s="265">
        <v>44566</v>
      </c>
      <c r="O2786" s="340" t="s">
        <v>503</v>
      </c>
      <c r="P2786" s="359">
        <v>5600</v>
      </c>
      <c r="Q2786" s="346">
        <v>4</v>
      </c>
      <c r="R2786" s="351">
        <f t="shared" si="85"/>
        <v>22400</v>
      </c>
      <c r="S2786" s="319">
        <v>202304</v>
      </c>
      <c r="T2786" s="347" t="s">
        <v>3641</v>
      </c>
      <c r="U2786" s="347"/>
      <c r="V2786" s="320"/>
      <c r="W2786" s="320"/>
      <c r="X2786" s="352">
        <v>44866</v>
      </c>
      <c r="Y2786" s="352">
        <v>45230</v>
      </c>
    </row>
    <row r="2787" s="5" customFormat="1" customHeight="1" spans="1:25">
      <c r="A2787" s="327" t="s">
        <v>444</v>
      </c>
      <c r="B2787" s="307" t="s">
        <v>3037</v>
      </c>
      <c r="C2787" s="327" t="s">
        <v>144</v>
      </c>
      <c r="D2787" s="307" t="s">
        <v>3038</v>
      </c>
      <c r="E2787" s="46" t="s">
        <v>3490</v>
      </c>
      <c r="F2787" s="327" t="s">
        <v>3593</v>
      </c>
      <c r="G2787" s="340" t="s">
        <v>88</v>
      </c>
      <c r="H2787" s="329" t="s">
        <v>3505</v>
      </c>
      <c r="I2787" s="46" t="e">
        <f>VLOOKUP(H2787,'合同高级查询数据-4月返'!A:A,1,FALSE)</f>
        <v>#N/A</v>
      </c>
      <c r="J2787" s="329" t="s">
        <v>90</v>
      </c>
      <c r="K2787" s="340" t="s">
        <v>3433</v>
      </c>
      <c r="L2787" s="340"/>
      <c r="M2787" s="312" t="s">
        <v>3519</v>
      </c>
      <c r="N2787" s="265">
        <v>44643</v>
      </c>
      <c r="O2787" s="340" t="s">
        <v>503</v>
      </c>
      <c r="P2787" s="359">
        <v>5600</v>
      </c>
      <c r="Q2787" s="346">
        <v>6</v>
      </c>
      <c r="R2787" s="351">
        <f t="shared" si="85"/>
        <v>33600</v>
      </c>
      <c r="S2787" s="319">
        <v>202304</v>
      </c>
      <c r="T2787" s="347" t="s">
        <v>3642</v>
      </c>
      <c r="U2787" s="347"/>
      <c r="V2787" s="320"/>
      <c r="W2787" s="320"/>
      <c r="X2787" s="352">
        <v>44866</v>
      </c>
      <c r="Y2787" s="352">
        <v>45230</v>
      </c>
    </row>
    <row r="2788" s="5" customFormat="1" customHeight="1" spans="1:25">
      <c r="A2788" s="327" t="s">
        <v>444</v>
      </c>
      <c r="B2788" s="307" t="s">
        <v>3037</v>
      </c>
      <c r="C2788" s="327" t="s">
        <v>144</v>
      </c>
      <c r="D2788" s="307" t="s">
        <v>3038</v>
      </c>
      <c r="E2788" s="46" t="s">
        <v>3490</v>
      </c>
      <c r="F2788" s="327" t="s">
        <v>3593</v>
      </c>
      <c r="G2788" s="340" t="s">
        <v>88</v>
      </c>
      <c r="H2788" s="329" t="s">
        <v>3505</v>
      </c>
      <c r="I2788" s="46" t="e">
        <f>VLOOKUP(H2788,'合同高级查询数据-4月返'!A:A,1,FALSE)</f>
        <v>#N/A</v>
      </c>
      <c r="J2788" s="329" t="s">
        <v>90</v>
      </c>
      <c r="K2788" s="340" t="s">
        <v>3433</v>
      </c>
      <c r="L2788" s="340"/>
      <c r="M2788" s="312" t="s">
        <v>3519</v>
      </c>
      <c r="N2788" s="265">
        <v>44666</v>
      </c>
      <c r="O2788" s="340" t="s">
        <v>503</v>
      </c>
      <c r="P2788" s="359">
        <v>5600</v>
      </c>
      <c r="Q2788" s="346">
        <v>2</v>
      </c>
      <c r="R2788" s="351">
        <f t="shared" si="85"/>
        <v>11200</v>
      </c>
      <c r="S2788" s="319">
        <v>202304</v>
      </c>
      <c r="T2788" s="347" t="s">
        <v>3643</v>
      </c>
      <c r="U2788" s="347"/>
      <c r="V2788" s="320"/>
      <c r="W2788" s="320"/>
      <c r="X2788" s="352">
        <v>44866</v>
      </c>
      <c r="Y2788" s="352">
        <v>45230</v>
      </c>
    </row>
    <row r="2789" s="5" customFormat="1" customHeight="1" spans="1:25">
      <c r="A2789" s="327" t="s">
        <v>444</v>
      </c>
      <c r="B2789" s="307" t="s">
        <v>3037</v>
      </c>
      <c r="C2789" s="327" t="s">
        <v>144</v>
      </c>
      <c r="D2789" s="307" t="s">
        <v>3038</v>
      </c>
      <c r="E2789" s="46" t="s">
        <v>3490</v>
      </c>
      <c r="F2789" s="327" t="s">
        <v>3593</v>
      </c>
      <c r="G2789" s="340" t="s">
        <v>88</v>
      </c>
      <c r="H2789" s="329" t="s">
        <v>3505</v>
      </c>
      <c r="I2789" s="46" t="e">
        <f>VLOOKUP(H2789,'合同高级查询数据-4月返'!A:A,1,FALSE)</f>
        <v>#N/A</v>
      </c>
      <c r="J2789" s="329" t="s">
        <v>90</v>
      </c>
      <c r="K2789" s="340" t="s">
        <v>3433</v>
      </c>
      <c r="L2789" s="340"/>
      <c r="M2789" s="312" t="s">
        <v>3519</v>
      </c>
      <c r="N2789" s="265">
        <v>44732</v>
      </c>
      <c r="O2789" s="340" t="s">
        <v>503</v>
      </c>
      <c r="P2789" s="359">
        <v>5600</v>
      </c>
      <c r="Q2789" s="346">
        <v>1</v>
      </c>
      <c r="R2789" s="351">
        <f t="shared" si="85"/>
        <v>5600</v>
      </c>
      <c r="S2789" s="319">
        <v>202304</v>
      </c>
      <c r="T2789" s="347" t="s">
        <v>3644</v>
      </c>
      <c r="U2789" s="347"/>
      <c r="V2789" s="320"/>
      <c r="W2789" s="320"/>
      <c r="X2789" s="352">
        <v>44866</v>
      </c>
      <c r="Y2789" s="352">
        <v>45230</v>
      </c>
    </row>
    <row r="2790" s="5" customFormat="1" customHeight="1" spans="1:25">
      <c r="A2790" s="327" t="s">
        <v>444</v>
      </c>
      <c r="B2790" s="307" t="s">
        <v>3037</v>
      </c>
      <c r="C2790" s="327" t="s">
        <v>144</v>
      </c>
      <c r="D2790" s="307" t="s">
        <v>3038</v>
      </c>
      <c r="E2790" s="46" t="s">
        <v>3490</v>
      </c>
      <c r="F2790" s="327" t="s">
        <v>3593</v>
      </c>
      <c r="G2790" s="340" t="s">
        <v>88</v>
      </c>
      <c r="H2790" s="329" t="s">
        <v>3505</v>
      </c>
      <c r="I2790" s="46" t="e">
        <f>VLOOKUP(H2790,'合同高级查询数据-4月返'!A:A,1,FALSE)</f>
        <v>#N/A</v>
      </c>
      <c r="J2790" s="329" t="s">
        <v>90</v>
      </c>
      <c r="K2790" s="340" t="s">
        <v>3433</v>
      </c>
      <c r="L2790" s="340"/>
      <c r="M2790" s="312" t="s">
        <v>3519</v>
      </c>
      <c r="N2790" s="265">
        <v>44924</v>
      </c>
      <c r="O2790" s="340" t="s">
        <v>503</v>
      </c>
      <c r="P2790" s="359">
        <v>5600</v>
      </c>
      <c r="Q2790" s="346">
        <v>-2</v>
      </c>
      <c r="R2790" s="351">
        <f t="shared" si="85"/>
        <v>-11200</v>
      </c>
      <c r="S2790" s="319">
        <v>202304</v>
      </c>
      <c r="T2790" s="347" t="s">
        <v>3645</v>
      </c>
      <c r="U2790" s="347"/>
      <c r="V2790" s="320"/>
      <c r="W2790" s="320"/>
      <c r="X2790" s="352">
        <v>44866</v>
      </c>
      <c r="Y2790" s="352">
        <v>45230</v>
      </c>
    </row>
    <row r="2791" s="5" customFormat="1" customHeight="1" spans="1:25">
      <c r="A2791" s="327" t="s">
        <v>444</v>
      </c>
      <c r="B2791" s="307" t="s">
        <v>3037</v>
      </c>
      <c r="C2791" s="327" t="s">
        <v>144</v>
      </c>
      <c r="D2791" s="307" t="s">
        <v>3038</v>
      </c>
      <c r="E2791" s="46" t="s">
        <v>3490</v>
      </c>
      <c r="F2791" s="327" t="s">
        <v>3593</v>
      </c>
      <c r="G2791" s="340" t="s">
        <v>88</v>
      </c>
      <c r="H2791" s="329" t="s">
        <v>3505</v>
      </c>
      <c r="I2791" s="46" t="e">
        <f>VLOOKUP(H2791,'合同高级查询数据-4月返'!A:A,1,FALSE)</f>
        <v>#N/A</v>
      </c>
      <c r="J2791" s="329" t="s">
        <v>90</v>
      </c>
      <c r="K2791" s="340" t="s">
        <v>3433</v>
      </c>
      <c r="L2791" s="340"/>
      <c r="M2791" s="312" t="s">
        <v>3519</v>
      </c>
      <c r="N2791" s="265">
        <v>45015</v>
      </c>
      <c r="O2791" s="340" t="s">
        <v>503</v>
      </c>
      <c r="P2791" s="359">
        <v>5600</v>
      </c>
      <c r="Q2791" s="346">
        <v>-21</v>
      </c>
      <c r="R2791" s="351">
        <f t="shared" si="85"/>
        <v>-117600</v>
      </c>
      <c r="S2791" s="319">
        <v>202304</v>
      </c>
      <c r="T2791" s="347" t="s">
        <v>3646</v>
      </c>
      <c r="U2791" s="347"/>
      <c r="V2791" s="320"/>
      <c r="W2791" s="320"/>
      <c r="X2791" s="352">
        <v>44866</v>
      </c>
      <c r="Y2791" s="352">
        <v>45230</v>
      </c>
    </row>
    <row r="2792" s="3" customFormat="1" customHeight="1" spans="1:25">
      <c r="A2792" s="338" t="s">
        <v>444</v>
      </c>
      <c r="B2792" s="310" t="s">
        <v>3037</v>
      </c>
      <c r="C2792" s="338" t="s">
        <v>144</v>
      </c>
      <c r="D2792" s="310" t="s">
        <v>3038</v>
      </c>
      <c r="E2792" s="30" t="s">
        <v>3647</v>
      </c>
      <c r="F2792" s="338" t="s">
        <v>3593</v>
      </c>
      <c r="G2792" s="144" t="s">
        <v>31</v>
      </c>
      <c r="H2792" s="339" t="s">
        <v>3648</v>
      </c>
      <c r="I2792" s="30" t="e">
        <f>VLOOKUP(H2792,'合同高级查询数据-4月返'!A:A,1,FALSE)</f>
        <v>#N/A</v>
      </c>
      <c r="J2792" s="339" t="s">
        <v>3186</v>
      </c>
      <c r="K2792" s="144" t="s">
        <v>3433</v>
      </c>
      <c r="L2792" s="144"/>
      <c r="M2792" s="315" t="s">
        <v>3519</v>
      </c>
      <c r="N2792" s="143">
        <v>43891</v>
      </c>
      <c r="O2792" s="144"/>
      <c r="P2792" s="343">
        <v>5000</v>
      </c>
      <c r="Q2792" s="343">
        <v>2</v>
      </c>
      <c r="R2792" s="348">
        <f t="shared" ref="R2792:R2845" si="86">ROUND(P2792*Q2792,2)</f>
        <v>10000</v>
      </c>
      <c r="S2792" s="322">
        <v>202304</v>
      </c>
      <c r="T2792" s="349" t="s">
        <v>3649</v>
      </c>
      <c r="U2792" s="349"/>
      <c r="V2792" s="323"/>
      <c r="W2792" s="323"/>
      <c r="X2792" s="326">
        <v>43891</v>
      </c>
      <c r="Y2792" s="326"/>
    </row>
    <row r="2793" s="3" customFormat="1" customHeight="1" spans="1:25">
      <c r="A2793" s="338" t="s">
        <v>444</v>
      </c>
      <c r="B2793" s="310" t="s">
        <v>3037</v>
      </c>
      <c r="C2793" s="338" t="s">
        <v>144</v>
      </c>
      <c r="D2793" s="310" t="s">
        <v>3038</v>
      </c>
      <c r="E2793" s="30" t="s">
        <v>3490</v>
      </c>
      <c r="F2793" s="338" t="s">
        <v>3593</v>
      </c>
      <c r="G2793" s="144" t="s">
        <v>31</v>
      </c>
      <c r="H2793" s="339" t="s">
        <v>3650</v>
      </c>
      <c r="I2793" s="30" t="e">
        <f>VLOOKUP(H2793,'合同高级查询数据-4月返'!A:A,1,FALSE)</f>
        <v>#N/A</v>
      </c>
      <c r="J2793" s="140" t="s">
        <v>3189</v>
      </c>
      <c r="K2793" s="144" t="s">
        <v>3651</v>
      </c>
      <c r="L2793" s="144"/>
      <c r="M2793" s="315" t="s">
        <v>3519</v>
      </c>
      <c r="N2793" s="143" t="s">
        <v>3652</v>
      </c>
      <c r="O2793" s="144"/>
      <c r="P2793" s="343">
        <v>0</v>
      </c>
      <c r="Q2793" s="343">
        <v>1152</v>
      </c>
      <c r="R2793" s="348">
        <f t="shared" si="86"/>
        <v>0</v>
      </c>
      <c r="S2793" s="322">
        <v>202304</v>
      </c>
      <c r="T2793" s="350" t="s">
        <v>3653</v>
      </c>
      <c r="U2793" s="349"/>
      <c r="V2793" s="323"/>
      <c r="W2793" s="323"/>
      <c r="X2793" s="193">
        <v>44927</v>
      </c>
      <c r="Y2793" s="193"/>
    </row>
    <row r="2794" s="3" customFormat="1" customHeight="1" spans="1:25">
      <c r="A2794" s="338" t="s">
        <v>444</v>
      </c>
      <c r="B2794" s="310" t="s">
        <v>3037</v>
      </c>
      <c r="C2794" s="338" t="s">
        <v>144</v>
      </c>
      <c r="D2794" s="310" t="s">
        <v>3038</v>
      </c>
      <c r="E2794" s="30" t="s">
        <v>3490</v>
      </c>
      <c r="F2794" s="338" t="s">
        <v>3593</v>
      </c>
      <c r="G2794" s="144" t="s">
        <v>31</v>
      </c>
      <c r="H2794" s="339" t="s">
        <v>3650</v>
      </c>
      <c r="I2794" s="30" t="e">
        <f>VLOOKUP(H2794,'合同高级查询数据-4月返'!A:A,1,FALSE)</f>
        <v>#N/A</v>
      </c>
      <c r="J2794" s="140" t="s">
        <v>3092</v>
      </c>
      <c r="K2794" s="144" t="s">
        <v>3654</v>
      </c>
      <c r="L2794" s="144"/>
      <c r="M2794" s="315" t="s">
        <v>3519</v>
      </c>
      <c r="N2794" s="143" t="s">
        <v>3652</v>
      </c>
      <c r="O2794" s="144"/>
      <c r="P2794" s="343">
        <v>0</v>
      </c>
      <c r="Q2794" s="343">
        <v>128</v>
      </c>
      <c r="R2794" s="348">
        <f t="shared" si="86"/>
        <v>0</v>
      </c>
      <c r="S2794" s="322">
        <v>202304</v>
      </c>
      <c r="T2794" s="350" t="s">
        <v>3655</v>
      </c>
      <c r="U2794" s="349"/>
      <c r="V2794" s="323"/>
      <c r="W2794" s="323"/>
      <c r="X2794" s="193">
        <v>44927</v>
      </c>
      <c r="Y2794" s="193"/>
    </row>
    <row r="2795" s="3" customFormat="1" customHeight="1" spans="1:25">
      <c r="A2795" s="338" t="s">
        <v>444</v>
      </c>
      <c r="B2795" s="310" t="s">
        <v>3037</v>
      </c>
      <c r="C2795" s="338" t="s">
        <v>144</v>
      </c>
      <c r="D2795" s="310" t="s">
        <v>3038</v>
      </c>
      <c r="E2795" s="30" t="s">
        <v>3490</v>
      </c>
      <c r="F2795" s="338" t="s">
        <v>3593</v>
      </c>
      <c r="G2795" s="144" t="s">
        <v>31</v>
      </c>
      <c r="H2795" s="339" t="s">
        <v>3650</v>
      </c>
      <c r="I2795" s="30" t="e">
        <f>VLOOKUP(H2795,'合同高级查询数据-4月返'!A:A,1,FALSE)</f>
        <v>#N/A</v>
      </c>
      <c r="J2795" s="140" t="s">
        <v>3092</v>
      </c>
      <c r="K2795" s="144" t="s">
        <v>3433</v>
      </c>
      <c r="L2795" s="144"/>
      <c r="M2795" s="315" t="s">
        <v>3519</v>
      </c>
      <c r="N2795" s="143" t="s">
        <v>1329</v>
      </c>
      <c r="O2795" s="144"/>
      <c r="P2795" s="343">
        <v>0</v>
      </c>
      <c r="Q2795" s="343">
        <v>512</v>
      </c>
      <c r="R2795" s="348">
        <f t="shared" si="86"/>
        <v>0</v>
      </c>
      <c r="S2795" s="322">
        <v>202304</v>
      </c>
      <c r="T2795" s="349" t="s">
        <v>3656</v>
      </c>
      <c r="U2795" s="349"/>
      <c r="V2795" s="323"/>
      <c r="W2795" s="323"/>
      <c r="X2795" s="193">
        <v>44927</v>
      </c>
      <c r="Y2795" s="193"/>
    </row>
    <row r="2796" s="3" customFormat="1" customHeight="1" spans="1:25">
      <c r="A2796" s="338" t="s">
        <v>444</v>
      </c>
      <c r="B2796" s="310" t="s">
        <v>3037</v>
      </c>
      <c r="C2796" s="338" t="s">
        <v>144</v>
      </c>
      <c r="D2796" s="310" t="s">
        <v>3038</v>
      </c>
      <c r="E2796" s="30" t="s">
        <v>3490</v>
      </c>
      <c r="F2796" s="338" t="s">
        <v>3593</v>
      </c>
      <c r="G2796" s="144" t="s">
        <v>31</v>
      </c>
      <c r="H2796" s="339" t="s">
        <v>3650</v>
      </c>
      <c r="I2796" s="30" t="e">
        <f>VLOOKUP(H2796,'合同高级查询数据-4月返'!A:A,1,FALSE)</f>
        <v>#N/A</v>
      </c>
      <c r="J2796" s="140" t="s">
        <v>959</v>
      </c>
      <c r="K2796" s="144" t="s">
        <v>3433</v>
      </c>
      <c r="L2796" s="144"/>
      <c r="M2796" s="315" t="s">
        <v>3519</v>
      </c>
      <c r="N2796" s="143">
        <v>44215</v>
      </c>
      <c r="O2796" s="144"/>
      <c r="P2796" s="343">
        <v>0</v>
      </c>
      <c r="Q2796" s="343">
        <v>512</v>
      </c>
      <c r="R2796" s="348">
        <f t="shared" si="86"/>
        <v>0</v>
      </c>
      <c r="S2796" s="322">
        <v>202304</v>
      </c>
      <c r="T2796" s="349" t="s">
        <v>3657</v>
      </c>
      <c r="U2796" s="349"/>
      <c r="V2796" s="323"/>
      <c r="W2796" s="323"/>
      <c r="X2796" s="193">
        <v>44927</v>
      </c>
      <c r="Y2796" s="193"/>
    </row>
    <row r="2797" s="3" customFormat="1" customHeight="1" spans="1:25">
      <c r="A2797" s="338" t="s">
        <v>444</v>
      </c>
      <c r="B2797" s="310" t="s">
        <v>3037</v>
      </c>
      <c r="C2797" s="338" t="s">
        <v>144</v>
      </c>
      <c r="D2797" s="310" t="s">
        <v>3038</v>
      </c>
      <c r="E2797" s="30" t="s">
        <v>3490</v>
      </c>
      <c r="F2797" s="338" t="s">
        <v>3593</v>
      </c>
      <c r="G2797" s="144" t="s">
        <v>31</v>
      </c>
      <c r="H2797" s="339" t="s">
        <v>3650</v>
      </c>
      <c r="I2797" s="30" t="e">
        <f>VLOOKUP(H2797,'合同高级查询数据-4月返'!A:A,1,FALSE)</f>
        <v>#N/A</v>
      </c>
      <c r="J2797" s="140" t="s">
        <v>3424</v>
      </c>
      <c r="K2797" s="144" t="s">
        <v>3433</v>
      </c>
      <c r="L2797" s="144"/>
      <c r="M2797" s="315" t="s">
        <v>3519</v>
      </c>
      <c r="N2797" s="143">
        <v>44215</v>
      </c>
      <c r="O2797" s="144"/>
      <c r="P2797" s="343">
        <v>0</v>
      </c>
      <c r="Q2797" s="343">
        <v>512</v>
      </c>
      <c r="R2797" s="348">
        <f t="shared" si="86"/>
        <v>0</v>
      </c>
      <c r="S2797" s="322">
        <v>202304</v>
      </c>
      <c r="T2797" s="349" t="s">
        <v>3658</v>
      </c>
      <c r="U2797" s="349"/>
      <c r="V2797" s="323"/>
      <c r="W2797" s="323"/>
      <c r="X2797" s="193">
        <v>44927</v>
      </c>
      <c r="Y2797" s="193"/>
    </row>
    <row r="2798" s="3" customFormat="1" customHeight="1" spans="1:25">
      <c r="A2798" s="338" t="s">
        <v>444</v>
      </c>
      <c r="B2798" s="310" t="s">
        <v>3037</v>
      </c>
      <c r="C2798" s="338" t="s">
        <v>144</v>
      </c>
      <c r="D2798" s="310" t="s">
        <v>3038</v>
      </c>
      <c r="E2798" s="356" t="s">
        <v>3490</v>
      </c>
      <c r="F2798" s="35" t="s">
        <v>3593</v>
      </c>
      <c r="G2798" s="144" t="s">
        <v>31</v>
      </c>
      <c r="H2798" s="339" t="s">
        <v>3650</v>
      </c>
      <c r="I2798" s="30" t="e">
        <f>VLOOKUP(H2798,'合同高级查询数据-4月返'!A:A,1,FALSE)</f>
        <v>#N/A</v>
      </c>
      <c r="J2798" s="35" t="s">
        <v>3189</v>
      </c>
      <c r="K2798" s="144" t="s">
        <v>3659</v>
      </c>
      <c r="L2798" s="144" t="s">
        <v>3510</v>
      </c>
      <c r="M2798" s="315"/>
      <c r="N2798" s="326">
        <v>44295</v>
      </c>
      <c r="O2798" s="144" t="s">
        <v>37</v>
      </c>
      <c r="P2798" s="343">
        <v>0</v>
      </c>
      <c r="Q2798" s="343">
        <v>128</v>
      </c>
      <c r="R2798" s="348">
        <f t="shared" si="86"/>
        <v>0</v>
      </c>
      <c r="S2798" s="322">
        <v>202304</v>
      </c>
      <c r="T2798" s="360" t="s">
        <v>3660</v>
      </c>
      <c r="U2798" s="360"/>
      <c r="V2798" s="361"/>
      <c r="W2798" s="361"/>
      <c r="X2798" s="193">
        <v>44927</v>
      </c>
      <c r="Y2798" s="193"/>
    </row>
    <row r="2799" s="3" customFormat="1" customHeight="1" spans="1:25">
      <c r="A2799" s="338" t="s">
        <v>444</v>
      </c>
      <c r="B2799" s="310" t="s">
        <v>3037</v>
      </c>
      <c r="C2799" s="338" t="s">
        <v>144</v>
      </c>
      <c r="D2799" s="310" t="s">
        <v>3038</v>
      </c>
      <c r="E2799" s="356" t="s">
        <v>3490</v>
      </c>
      <c r="F2799" s="35" t="s">
        <v>3593</v>
      </c>
      <c r="G2799" s="144" t="s">
        <v>88</v>
      </c>
      <c r="H2799" s="339" t="s">
        <v>3650</v>
      </c>
      <c r="I2799" s="30" t="e">
        <f>VLOOKUP(H2799,'合同高级查询数据-4月返'!A:A,1,FALSE)</f>
        <v>#N/A</v>
      </c>
      <c r="J2799" s="35" t="s">
        <v>162</v>
      </c>
      <c r="K2799" s="144"/>
      <c r="L2799" s="144" t="s">
        <v>3510</v>
      </c>
      <c r="M2799" s="315" t="s">
        <v>3507</v>
      </c>
      <c r="N2799" s="326">
        <v>44478</v>
      </c>
      <c r="O2799" s="144" t="s">
        <v>503</v>
      </c>
      <c r="P2799" s="343">
        <v>5500</v>
      </c>
      <c r="Q2799" s="343">
        <v>1</v>
      </c>
      <c r="R2799" s="348">
        <f t="shared" si="86"/>
        <v>5500</v>
      </c>
      <c r="S2799" s="322">
        <v>202304</v>
      </c>
      <c r="T2799" s="360" t="s">
        <v>3661</v>
      </c>
      <c r="U2799" s="360"/>
      <c r="V2799" s="361"/>
      <c r="W2799" s="361"/>
      <c r="X2799" s="193">
        <v>44927</v>
      </c>
      <c r="Y2799" s="193"/>
    </row>
    <row r="2800" s="3" customFormat="1" customHeight="1" spans="1:25">
      <c r="A2800" s="338" t="s">
        <v>444</v>
      </c>
      <c r="B2800" s="310" t="s">
        <v>3037</v>
      </c>
      <c r="C2800" s="338" t="s">
        <v>144</v>
      </c>
      <c r="D2800" s="310" t="s">
        <v>3038</v>
      </c>
      <c r="E2800" s="356" t="s">
        <v>3490</v>
      </c>
      <c r="F2800" s="35" t="s">
        <v>3593</v>
      </c>
      <c r="G2800" s="144" t="s">
        <v>31</v>
      </c>
      <c r="H2800" s="339" t="s">
        <v>3662</v>
      </c>
      <c r="I2800" s="30" t="e">
        <f>VLOOKUP(H2800,'合同高级查询数据-4月返'!A:A,1,FALSE)</f>
        <v>#N/A</v>
      </c>
      <c r="J2800" s="35" t="s">
        <v>3189</v>
      </c>
      <c r="K2800" s="144" t="s">
        <v>3659</v>
      </c>
      <c r="L2800" s="144" t="s">
        <v>3510</v>
      </c>
      <c r="M2800" s="315"/>
      <c r="N2800" s="326">
        <v>44694</v>
      </c>
      <c r="O2800" s="144" t="s">
        <v>37</v>
      </c>
      <c r="P2800" s="343">
        <v>0</v>
      </c>
      <c r="Q2800" s="343">
        <v>128</v>
      </c>
      <c r="R2800" s="348">
        <f t="shared" si="86"/>
        <v>0</v>
      </c>
      <c r="S2800" s="322">
        <v>202304</v>
      </c>
      <c r="T2800" s="360" t="s">
        <v>3663</v>
      </c>
      <c r="U2800" s="360"/>
      <c r="V2800" s="361"/>
      <c r="W2800" s="361"/>
      <c r="X2800" s="193">
        <v>44694</v>
      </c>
      <c r="Y2800" s="193"/>
    </row>
    <row r="2801" s="3" customFormat="1" customHeight="1" spans="1:25">
      <c r="A2801" s="338" t="s">
        <v>444</v>
      </c>
      <c r="B2801" s="310" t="s">
        <v>3037</v>
      </c>
      <c r="C2801" s="338" t="s">
        <v>144</v>
      </c>
      <c r="D2801" s="310" t="s">
        <v>3038</v>
      </c>
      <c r="E2801" s="356" t="s">
        <v>3490</v>
      </c>
      <c r="F2801" s="35" t="s">
        <v>3593</v>
      </c>
      <c r="G2801" s="144" t="s">
        <v>88</v>
      </c>
      <c r="H2801" s="339" t="s">
        <v>3662</v>
      </c>
      <c r="I2801" s="30" t="e">
        <f>VLOOKUP(H2801,'合同高级查询数据-4月返'!A:A,1,FALSE)</f>
        <v>#N/A</v>
      </c>
      <c r="J2801" s="35" t="s">
        <v>162</v>
      </c>
      <c r="K2801" s="144"/>
      <c r="L2801" s="144" t="s">
        <v>3510</v>
      </c>
      <c r="M2801" s="315" t="s">
        <v>3507</v>
      </c>
      <c r="N2801" s="326">
        <v>44694</v>
      </c>
      <c r="O2801" s="144" t="s">
        <v>503</v>
      </c>
      <c r="P2801" s="343">
        <v>5500</v>
      </c>
      <c r="Q2801" s="343">
        <v>4</v>
      </c>
      <c r="R2801" s="348">
        <f t="shared" si="86"/>
        <v>22000</v>
      </c>
      <c r="S2801" s="322">
        <v>202304</v>
      </c>
      <c r="T2801" s="360" t="s">
        <v>3664</v>
      </c>
      <c r="U2801" s="360"/>
      <c r="V2801" s="361"/>
      <c r="W2801" s="361"/>
      <c r="X2801" s="193">
        <v>44694</v>
      </c>
      <c r="Y2801" s="193"/>
    </row>
    <row r="2802" s="3" customFormat="1" customHeight="1" spans="1:25">
      <c r="A2802" s="338" t="s">
        <v>444</v>
      </c>
      <c r="B2802" s="310" t="s">
        <v>3037</v>
      </c>
      <c r="C2802" s="338" t="s">
        <v>144</v>
      </c>
      <c r="D2802" s="310" t="s">
        <v>3038</v>
      </c>
      <c r="E2802" s="356" t="s">
        <v>3490</v>
      </c>
      <c r="F2802" s="35" t="s">
        <v>3593</v>
      </c>
      <c r="G2802" s="144" t="s">
        <v>31</v>
      </c>
      <c r="H2802" s="339" t="s">
        <v>3650</v>
      </c>
      <c r="I2802" s="30" t="e">
        <f>VLOOKUP(H2802,'合同高级查询数据-4月返'!A:A,1,FALSE)</f>
        <v>#N/A</v>
      </c>
      <c r="J2802" s="35" t="s">
        <v>3092</v>
      </c>
      <c r="K2802" s="144" t="s">
        <v>3654</v>
      </c>
      <c r="L2802" s="144" t="s">
        <v>3665</v>
      </c>
      <c r="M2802" s="315"/>
      <c r="N2802" s="326">
        <v>44470</v>
      </c>
      <c r="O2802" s="144" t="s">
        <v>37</v>
      </c>
      <c r="P2802" s="343">
        <v>0</v>
      </c>
      <c r="Q2802" s="343">
        <v>1024</v>
      </c>
      <c r="R2802" s="348">
        <f t="shared" si="86"/>
        <v>0</v>
      </c>
      <c r="S2802" s="322">
        <v>202304</v>
      </c>
      <c r="T2802" s="360" t="s">
        <v>3666</v>
      </c>
      <c r="U2802" s="360"/>
      <c r="V2802" s="361"/>
      <c r="W2802" s="361"/>
      <c r="X2802" s="193">
        <v>44927</v>
      </c>
      <c r="Y2802" s="193"/>
    </row>
    <row r="2803" s="3" customFormat="1" customHeight="1" spans="1:25">
      <c r="A2803" s="338" t="s">
        <v>444</v>
      </c>
      <c r="B2803" s="310" t="s">
        <v>3037</v>
      </c>
      <c r="C2803" s="338" t="s">
        <v>144</v>
      </c>
      <c r="D2803" s="310" t="s">
        <v>3038</v>
      </c>
      <c r="E2803" s="30" t="s">
        <v>3647</v>
      </c>
      <c r="F2803" s="338" t="s">
        <v>3593</v>
      </c>
      <c r="G2803" s="144" t="s">
        <v>31</v>
      </c>
      <c r="H2803" s="35" t="s">
        <v>3667</v>
      </c>
      <c r="I2803" s="30" t="e">
        <f>VLOOKUP(H2803,'合同高级查询数据-4月返'!A:A,1,FALSE)</f>
        <v>#N/A</v>
      </c>
      <c r="J2803" s="339" t="s">
        <v>3186</v>
      </c>
      <c r="K2803" s="144" t="s">
        <v>3433</v>
      </c>
      <c r="L2803" s="144"/>
      <c r="M2803" s="315" t="s">
        <v>3519</v>
      </c>
      <c r="N2803" s="143">
        <v>44013</v>
      </c>
      <c r="O2803" s="144"/>
      <c r="P2803" s="343">
        <v>10</v>
      </c>
      <c r="Q2803" s="343">
        <v>1024</v>
      </c>
      <c r="R2803" s="348">
        <f t="shared" si="86"/>
        <v>10240</v>
      </c>
      <c r="S2803" s="322">
        <v>202304</v>
      </c>
      <c r="T2803" s="349" t="s">
        <v>3668</v>
      </c>
      <c r="U2803" s="349"/>
      <c r="V2803" s="323"/>
      <c r="W2803" s="323"/>
      <c r="X2803" s="34">
        <v>44013</v>
      </c>
      <c r="Y2803" s="34"/>
    </row>
    <row r="2804" s="5" customFormat="1" customHeight="1" spans="1:25">
      <c r="A2804" s="327" t="s">
        <v>446</v>
      </c>
      <c r="B2804" s="307" t="s">
        <v>3037</v>
      </c>
      <c r="C2804" s="327" t="s">
        <v>144</v>
      </c>
      <c r="D2804" s="307" t="s">
        <v>3038</v>
      </c>
      <c r="E2804" s="355" t="s">
        <v>3415</v>
      </c>
      <c r="F2804" s="22" t="s">
        <v>3416</v>
      </c>
      <c r="G2804" s="340" t="s">
        <v>88</v>
      </c>
      <c r="H2804" s="329" t="s">
        <v>3669</v>
      </c>
      <c r="I2804" s="46" t="e">
        <f>VLOOKUP(H2804,'合同高级查询数据-4月返'!A:A,1,FALSE)</f>
        <v>#N/A</v>
      </c>
      <c r="J2804" s="329" t="s">
        <v>90</v>
      </c>
      <c r="K2804" s="340"/>
      <c r="L2804" s="340"/>
      <c r="M2804" s="312" t="s">
        <v>3670</v>
      </c>
      <c r="N2804" s="265">
        <v>44136</v>
      </c>
      <c r="O2804" s="340" t="s">
        <v>507</v>
      </c>
      <c r="P2804" s="346">
        <v>5150</v>
      </c>
      <c r="Q2804" s="346">
        <v>246</v>
      </c>
      <c r="R2804" s="351">
        <f t="shared" si="86"/>
        <v>1266900</v>
      </c>
      <c r="S2804" s="319">
        <v>202304</v>
      </c>
      <c r="T2804" s="347" t="s">
        <v>3671</v>
      </c>
      <c r="U2804" s="347"/>
      <c r="V2804" s="320"/>
      <c r="W2804" s="320"/>
      <c r="X2804" s="50">
        <v>44136</v>
      </c>
      <c r="Y2804" s="50">
        <v>45230</v>
      </c>
    </row>
    <row r="2805" s="5" customFormat="1" customHeight="1" spans="1:25">
      <c r="A2805" s="327" t="s">
        <v>446</v>
      </c>
      <c r="B2805" s="307" t="s">
        <v>3037</v>
      </c>
      <c r="C2805" s="327" t="s">
        <v>144</v>
      </c>
      <c r="D2805" s="307" t="s">
        <v>3038</v>
      </c>
      <c r="E2805" s="355" t="s">
        <v>3415</v>
      </c>
      <c r="F2805" s="22" t="s">
        <v>3416</v>
      </c>
      <c r="G2805" s="340" t="s">
        <v>88</v>
      </c>
      <c r="H2805" s="329" t="s">
        <v>3669</v>
      </c>
      <c r="I2805" s="46" t="e">
        <f>VLOOKUP(H2805,'合同高级查询数据-4月返'!A:A,1,FALSE)</f>
        <v>#N/A</v>
      </c>
      <c r="J2805" s="329" t="s">
        <v>90</v>
      </c>
      <c r="K2805" s="340"/>
      <c r="L2805" s="340"/>
      <c r="M2805" s="312" t="s">
        <v>3670</v>
      </c>
      <c r="N2805" s="265">
        <v>44348</v>
      </c>
      <c r="O2805" s="340" t="s">
        <v>507</v>
      </c>
      <c r="P2805" s="346">
        <v>5150</v>
      </c>
      <c r="Q2805" s="346">
        <v>6</v>
      </c>
      <c r="R2805" s="351">
        <f t="shared" si="86"/>
        <v>30900</v>
      </c>
      <c r="S2805" s="319">
        <v>202304</v>
      </c>
      <c r="T2805" s="347" t="s">
        <v>3672</v>
      </c>
      <c r="U2805" s="347"/>
      <c r="V2805" s="320"/>
      <c r="W2805" s="320"/>
      <c r="X2805" s="50">
        <v>44136</v>
      </c>
      <c r="Y2805" s="50">
        <v>45230</v>
      </c>
    </row>
    <row r="2806" s="5" customFormat="1" customHeight="1" spans="1:25">
      <c r="A2806" s="327" t="s">
        <v>446</v>
      </c>
      <c r="B2806" s="307" t="s">
        <v>3037</v>
      </c>
      <c r="C2806" s="327" t="s">
        <v>144</v>
      </c>
      <c r="D2806" s="307" t="s">
        <v>3038</v>
      </c>
      <c r="E2806" s="355" t="s">
        <v>3415</v>
      </c>
      <c r="F2806" s="22" t="s">
        <v>3416</v>
      </c>
      <c r="G2806" s="340" t="s">
        <v>88</v>
      </c>
      <c r="H2806" s="329" t="s">
        <v>3669</v>
      </c>
      <c r="I2806" s="46" t="e">
        <f>VLOOKUP(H2806,'合同高级查询数据-4月返'!A:A,1,FALSE)</f>
        <v>#N/A</v>
      </c>
      <c r="J2806" s="329" t="s">
        <v>90</v>
      </c>
      <c r="K2806" s="340"/>
      <c r="L2806" s="340"/>
      <c r="M2806" s="312" t="s">
        <v>3670</v>
      </c>
      <c r="N2806" s="265">
        <v>44348</v>
      </c>
      <c r="O2806" s="340" t="s">
        <v>507</v>
      </c>
      <c r="P2806" s="346">
        <v>5150</v>
      </c>
      <c r="Q2806" s="346">
        <v>16</v>
      </c>
      <c r="R2806" s="351">
        <f t="shared" si="86"/>
        <v>82400</v>
      </c>
      <c r="S2806" s="319">
        <v>202304</v>
      </c>
      <c r="T2806" s="347" t="s">
        <v>3673</v>
      </c>
      <c r="U2806" s="347"/>
      <c r="V2806" s="320"/>
      <c r="W2806" s="320"/>
      <c r="X2806" s="50">
        <v>44136</v>
      </c>
      <c r="Y2806" s="50">
        <v>45230</v>
      </c>
    </row>
    <row r="2807" s="5" customFormat="1" customHeight="1" spans="1:25">
      <c r="A2807" s="327" t="s">
        <v>446</v>
      </c>
      <c r="B2807" s="307" t="s">
        <v>3037</v>
      </c>
      <c r="C2807" s="327" t="s">
        <v>144</v>
      </c>
      <c r="D2807" s="307" t="s">
        <v>3038</v>
      </c>
      <c r="E2807" s="355" t="s">
        <v>3415</v>
      </c>
      <c r="F2807" s="22" t="s">
        <v>3416</v>
      </c>
      <c r="G2807" s="340" t="s">
        <v>88</v>
      </c>
      <c r="H2807" s="329" t="s">
        <v>3669</v>
      </c>
      <c r="I2807" s="46" t="e">
        <f>VLOOKUP(H2807,'合同高级查询数据-4月返'!A:A,1,FALSE)</f>
        <v>#N/A</v>
      </c>
      <c r="J2807" s="329" t="s">
        <v>90</v>
      </c>
      <c r="K2807" s="340"/>
      <c r="L2807" s="340"/>
      <c r="M2807" s="312" t="s">
        <v>3670</v>
      </c>
      <c r="N2807" s="265">
        <v>44348</v>
      </c>
      <c r="O2807" s="340" t="s">
        <v>507</v>
      </c>
      <c r="P2807" s="346">
        <v>5150</v>
      </c>
      <c r="Q2807" s="346">
        <v>7</v>
      </c>
      <c r="R2807" s="351">
        <f t="shared" si="86"/>
        <v>36050</v>
      </c>
      <c r="S2807" s="319">
        <v>202304</v>
      </c>
      <c r="T2807" s="347" t="s">
        <v>3674</v>
      </c>
      <c r="U2807" s="347"/>
      <c r="V2807" s="320"/>
      <c r="W2807" s="320"/>
      <c r="X2807" s="50">
        <v>44136</v>
      </c>
      <c r="Y2807" s="50">
        <v>45230</v>
      </c>
    </row>
    <row r="2808" s="5" customFormat="1" customHeight="1" spans="1:25">
      <c r="A2808" s="327" t="s">
        <v>446</v>
      </c>
      <c r="B2808" s="307" t="s">
        <v>3037</v>
      </c>
      <c r="C2808" s="327" t="s">
        <v>144</v>
      </c>
      <c r="D2808" s="307" t="s">
        <v>3038</v>
      </c>
      <c r="E2808" s="355" t="s">
        <v>3415</v>
      </c>
      <c r="F2808" s="22" t="s">
        <v>3416</v>
      </c>
      <c r="G2808" s="340" t="s">
        <v>88</v>
      </c>
      <c r="H2808" s="329" t="s">
        <v>3669</v>
      </c>
      <c r="I2808" s="46" t="e">
        <f>VLOOKUP(H2808,'合同高级查询数据-4月返'!A:A,1,FALSE)</f>
        <v>#N/A</v>
      </c>
      <c r="J2808" s="329" t="s">
        <v>90</v>
      </c>
      <c r="K2808" s="340"/>
      <c r="L2808" s="340"/>
      <c r="M2808" s="312" t="s">
        <v>3670</v>
      </c>
      <c r="N2808" s="265">
        <v>44334</v>
      </c>
      <c r="O2808" s="340" t="s">
        <v>507</v>
      </c>
      <c r="P2808" s="346">
        <v>5150</v>
      </c>
      <c r="Q2808" s="346">
        <v>5</v>
      </c>
      <c r="R2808" s="351">
        <f t="shared" si="86"/>
        <v>25750</v>
      </c>
      <c r="S2808" s="319">
        <v>202304</v>
      </c>
      <c r="T2808" s="347" t="s">
        <v>3675</v>
      </c>
      <c r="U2808" s="347"/>
      <c r="V2808" s="320"/>
      <c r="W2808" s="320"/>
      <c r="X2808" s="50">
        <v>44136</v>
      </c>
      <c r="Y2808" s="50">
        <v>45230</v>
      </c>
    </row>
    <row r="2809" s="5" customFormat="1" customHeight="1" spans="1:25">
      <c r="A2809" s="327" t="s">
        <v>446</v>
      </c>
      <c r="B2809" s="307" t="s">
        <v>3037</v>
      </c>
      <c r="C2809" s="327" t="s">
        <v>144</v>
      </c>
      <c r="D2809" s="307" t="s">
        <v>3038</v>
      </c>
      <c r="E2809" s="355" t="s">
        <v>3415</v>
      </c>
      <c r="F2809" s="22" t="s">
        <v>3416</v>
      </c>
      <c r="G2809" s="340" t="s">
        <v>88</v>
      </c>
      <c r="H2809" s="329" t="s">
        <v>3669</v>
      </c>
      <c r="I2809" s="46" t="e">
        <f>VLOOKUP(H2809,'合同高级查询数据-4月返'!A:A,1,FALSE)</f>
        <v>#N/A</v>
      </c>
      <c r="J2809" s="329" t="s">
        <v>90</v>
      </c>
      <c r="K2809" s="340"/>
      <c r="L2809" s="340"/>
      <c r="M2809" s="312" t="s">
        <v>3670</v>
      </c>
      <c r="N2809" s="265">
        <v>44338</v>
      </c>
      <c r="O2809" s="340" t="s">
        <v>507</v>
      </c>
      <c r="P2809" s="346">
        <v>5150</v>
      </c>
      <c r="Q2809" s="346">
        <v>1</v>
      </c>
      <c r="R2809" s="351">
        <f t="shared" si="86"/>
        <v>5150</v>
      </c>
      <c r="S2809" s="319">
        <v>202304</v>
      </c>
      <c r="T2809" s="347" t="s">
        <v>3676</v>
      </c>
      <c r="U2809" s="347"/>
      <c r="V2809" s="320"/>
      <c r="W2809" s="320"/>
      <c r="X2809" s="50">
        <v>44136</v>
      </c>
      <c r="Y2809" s="50">
        <v>45230</v>
      </c>
    </row>
    <row r="2810" s="5" customFormat="1" customHeight="1" spans="1:25">
      <c r="A2810" s="327" t="s">
        <v>446</v>
      </c>
      <c r="B2810" s="307" t="s">
        <v>3037</v>
      </c>
      <c r="C2810" s="327" t="s">
        <v>144</v>
      </c>
      <c r="D2810" s="307" t="s">
        <v>3038</v>
      </c>
      <c r="E2810" s="355" t="s">
        <v>3415</v>
      </c>
      <c r="F2810" s="22" t="s">
        <v>3416</v>
      </c>
      <c r="G2810" s="340" t="s">
        <v>88</v>
      </c>
      <c r="H2810" s="329" t="s">
        <v>3669</v>
      </c>
      <c r="I2810" s="46" t="e">
        <f>VLOOKUP(H2810,'合同高级查询数据-4月返'!A:A,1,FALSE)</f>
        <v>#N/A</v>
      </c>
      <c r="J2810" s="329" t="s">
        <v>90</v>
      </c>
      <c r="K2810" s="340"/>
      <c r="L2810" s="340"/>
      <c r="M2810" s="312" t="s">
        <v>3670</v>
      </c>
      <c r="N2810" s="265">
        <v>44348</v>
      </c>
      <c r="O2810" s="340" t="s">
        <v>507</v>
      </c>
      <c r="P2810" s="346">
        <v>5150</v>
      </c>
      <c r="Q2810" s="346">
        <v>78</v>
      </c>
      <c r="R2810" s="351">
        <f t="shared" si="86"/>
        <v>401700</v>
      </c>
      <c r="S2810" s="319">
        <v>202304</v>
      </c>
      <c r="T2810" s="347" t="s">
        <v>3677</v>
      </c>
      <c r="U2810" s="347"/>
      <c r="V2810" s="320"/>
      <c r="W2810" s="320"/>
      <c r="X2810" s="50">
        <v>44136</v>
      </c>
      <c r="Y2810" s="50">
        <v>45230</v>
      </c>
    </row>
    <row r="2811" s="5" customFormat="1" customHeight="1" spans="1:25">
      <c r="A2811" s="327" t="s">
        <v>446</v>
      </c>
      <c r="B2811" s="307" t="s">
        <v>3037</v>
      </c>
      <c r="C2811" s="327" t="s">
        <v>144</v>
      </c>
      <c r="D2811" s="307" t="s">
        <v>3038</v>
      </c>
      <c r="E2811" s="355" t="s">
        <v>3415</v>
      </c>
      <c r="F2811" s="22" t="s">
        <v>3416</v>
      </c>
      <c r="G2811" s="340" t="s">
        <v>88</v>
      </c>
      <c r="H2811" s="329" t="s">
        <v>3669</v>
      </c>
      <c r="I2811" s="46" t="e">
        <f>VLOOKUP(H2811,'合同高级查询数据-4月返'!A:A,1,FALSE)</f>
        <v>#N/A</v>
      </c>
      <c r="J2811" s="329" t="s">
        <v>90</v>
      </c>
      <c r="K2811" s="340"/>
      <c r="L2811" s="340"/>
      <c r="M2811" s="312" t="s">
        <v>3670</v>
      </c>
      <c r="N2811" s="265">
        <v>44348</v>
      </c>
      <c r="O2811" s="340" t="s">
        <v>507</v>
      </c>
      <c r="P2811" s="346">
        <v>5150</v>
      </c>
      <c r="Q2811" s="346">
        <v>4</v>
      </c>
      <c r="R2811" s="351">
        <f t="shared" si="86"/>
        <v>20600</v>
      </c>
      <c r="S2811" s="319">
        <v>202304</v>
      </c>
      <c r="T2811" s="347" t="s">
        <v>3678</v>
      </c>
      <c r="U2811" s="347"/>
      <c r="V2811" s="320"/>
      <c r="W2811" s="320"/>
      <c r="X2811" s="50">
        <v>44136</v>
      </c>
      <c r="Y2811" s="50">
        <v>45230</v>
      </c>
    </row>
    <row r="2812" s="5" customFormat="1" customHeight="1" spans="1:25">
      <c r="A2812" s="327" t="s">
        <v>446</v>
      </c>
      <c r="B2812" s="307" t="s">
        <v>3037</v>
      </c>
      <c r="C2812" s="327" t="s">
        <v>144</v>
      </c>
      <c r="D2812" s="307" t="s">
        <v>3038</v>
      </c>
      <c r="E2812" s="355" t="s">
        <v>3415</v>
      </c>
      <c r="F2812" s="22" t="s">
        <v>3416</v>
      </c>
      <c r="G2812" s="340" t="s">
        <v>88</v>
      </c>
      <c r="H2812" s="329" t="s">
        <v>3669</v>
      </c>
      <c r="I2812" s="46" t="e">
        <f>VLOOKUP(H2812,'合同高级查询数据-4月返'!A:A,1,FALSE)</f>
        <v>#N/A</v>
      </c>
      <c r="J2812" s="329" t="s">
        <v>90</v>
      </c>
      <c r="K2812" s="340"/>
      <c r="L2812" s="340"/>
      <c r="M2812" s="312" t="s">
        <v>3670</v>
      </c>
      <c r="N2812" s="265">
        <v>44362</v>
      </c>
      <c r="O2812" s="340" t="s">
        <v>507</v>
      </c>
      <c r="P2812" s="346">
        <v>5150</v>
      </c>
      <c r="Q2812" s="346">
        <v>1</v>
      </c>
      <c r="R2812" s="351">
        <f t="shared" si="86"/>
        <v>5150</v>
      </c>
      <c r="S2812" s="319">
        <v>202304</v>
      </c>
      <c r="T2812" s="347" t="s">
        <v>3679</v>
      </c>
      <c r="U2812" s="347"/>
      <c r="V2812" s="320"/>
      <c r="W2812" s="320"/>
      <c r="X2812" s="50">
        <v>44136</v>
      </c>
      <c r="Y2812" s="50">
        <v>45230</v>
      </c>
    </row>
    <row r="2813" s="5" customFormat="1" customHeight="1" spans="1:25">
      <c r="A2813" s="327" t="s">
        <v>446</v>
      </c>
      <c r="B2813" s="307" t="s">
        <v>3037</v>
      </c>
      <c r="C2813" s="327" t="s">
        <v>144</v>
      </c>
      <c r="D2813" s="307" t="s">
        <v>3038</v>
      </c>
      <c r="E2813" s="355" t="s">
        <v>3415</v>
      </c>
      <c r="F2813" s="22" t="s">
        <v>3416</v>
      </c>
      <c r="G2813" s="340" t="s">
        <v>88</v>
      </c>
      <c r="H2813" s="329" t="s">
        <v>3669</v>
      </c>
      <c r="I2813" s="46" t="e">
        <f>VLOOKUP(H2813,'合同高级查询数据-4月返'!A:A,1,FALSE)</f>
        <v>#N/A</v>
      </c>
      <c r="J2813" s="329" t="s">
        <v>90</v>
      </c>
      <c r="K2813" s="340"/>
      <c r="L2813" s="340"/>
      <c r="M2813" s="312" t="s">
        <v>3670</v>
      </c>
      <c r="N2813" s="265">
        <v>44440</v>
      </c>
      <c r="O2813" s="340" t="s">
        <v>507</v>
      </c>
      <c r="P2813" s="346">
        <v>5150</v>
      </c>
      <c r="Q2813" s="346">
        <v>3</v>
      </c>
      <c r="R2813" s="351">
        <f t="shared" si="86"/>
        <v>15450</v>
      </c>
      <c r="S2813" s="319">
        <v>202304</v>
      </c>
      <c r="T2813" s="347" t="s">
        <v>3680</v>
      </c>
      <c r="U2813" s="347"/>
      <c r="V2813" s="320"/>
      <c r="W2813" s="320"/>
      <c r="X2813" s="50">
        <v>44136</v>
      </c>
      <c r="Y2813" s="50">
        <v>45230</v>
      </c>
    </row>
    <row r="2814" s="5" customFormat="1" customHeight="1" spans="1:25">
      <c r="A2814" s="327" t="s">
        <v>446</v>
      </c>
      <c r="B2814" s="307" t="s">
        <v>3037</v>
      </c>
      <c r="C2814" s="327" t="s">
        <v>144</v>
      </c>
      <c r="D2814" s="307" t="s">
        <v>3038</v>
      </c>
      <c r="E2814" s="355" t="s">
        <v>3415</v>
      </c>
      <c r="F2814" s="22" t="s">
        <v>3416</v>
      </c>
      <c r="G2814" s="340" t="s">
        <v>88</v>
      </c>
      <c r="H2814" s="329" t="s">
        <v>3669</v>
      </c>
      <c r="I2814" s="46" t="e">
        <f>VLOOKUP(H2814,'合同高级查询数据-4月返'!A:A,1,FALSE)</f>
        <v>#N/A</v>
      </c>
      <c r="J2814" s="329" t="s">
        <v>90</v>
      </c>
      <c r="K2814" s="340"/>
      <c r="L2814" s="340"/>
      <c r="M2814" s="312" t="s">
        <v>3670</v>
      </c>
      <c r="N2814" s="265">
        <v>44465</v>
      </c>
      <c r="O2814" s="340" t="s">
        <v>507</v>
      </c>
      <c r="P2814" s="346">
        <v>5150</v>
      </c>
      <c r="Q2814" s="346">
        <v>3</v>
      </c>
      <c r="R2814" s="351">
        <f t="shared" si="86"/>
        <v>15450</v>
      </c>
      <c r="S2814" s="319">
        <v>202304</v>
      </c>
      <c r="T2814" s="347" t="s">
        <v>3681</v>
      </c>
      <c r="U2814" s="347"/>
      <c r="V2814" s="320"/>
      <c r="W2814" s="320"/>
      <c r="X2814" s="50">
        <v>44136</v>
      </c>
      <c r="Y2814" s="50">
        <v>45230</v>
      </c>
    </row>
    <row r="2815" s="5" customFormat="1" customHeight="1" spans="1:25">
      <c r="A2815" s="327" t="s">
        <v>446</v>
      </c>
      <c r="B2815" s="307" t="s">
        <v>3037</v>
      </c>
      <c r="C2815" s="327" t="s">
        <v>144</v>
      </c>
      <c r="D2815" s="307" t="s">
        <v>3038</v>
      </c>
      <c r="E2815" s="355" t="s">
        <v>3415</v>
      </c>
      <c r="F2815" s="22" t="s">
        <v>3416</v>
      </c>
      <c r="G2815" s="340" t="s">
        <v>88</v>
      </c>
      <c r="H2815" s="329" t="s">
        <v>3669</v>
      </c>
      <c r="I2815" s="46" t="e">
        <f>VLOOKUP(H2815,'合同高级查询数据-4月返'!A:A,1,FALSE)</f>
        <v>#N/A</v>
      </c>
      <c r="J2815" s="329" t="s">
        <v>90</v>
      </c>
      <c r="K2815" s="340"/>
      <c r="L2815" s="340"/>
      <c r="M2815" s="312" t="s">
        <v>3670</v>
      </c>
      <c r="N2815" s="265">
        <v>44895</v>
      </c>
      <c r="O2815" s="340" t="s">
        <v>507</v>
      </c>
      <c r="P2815" s="346">
        <v>5150</v>
      </c>
      <c r="Q2815" s="346">
        <v>-2</v>
      </c>
      <c r="R2815" s="351">
        <f t="shared" si="86"/>
        <v>-10300</v>
      </c>
      <c r="S2815" s="319">
        <v>202304</v>
      </c>
      <c r="T2815" s="347" t="s">
        <v>3682</v>
      </c>
      <c r="U2815" s="347"/>
      <c r="V2815" s="320"/>
      <c r="W2815" s="320"/>
      <c r="X2815" s="50">
        <v>44136</v>
      </c>
      <c r="Y2815" s="50">
        <v>45230</v>
      </c>
    </row>
    <row r="2816" s="5" customFormat="1" customHeight="1" spans="1:25">
      <c r="A2816" s="327" t="s">
        <v>446</v>
      </c>
      <c r="B2816" s="307" t="s">
        <v>3037</v>
      </c>
      <c r="C2816" s="327" t="s">
        <v>144</v>
      </c>
      <c r="D2816" s="307" t="s">
        <v>3038</v>
      </c>
      <c r="E2816" s="355" t="s">
        <v>3415</v>
      </c>
      <c r="F2816" s="22" t="s">
        <v>3416</v>
      </c>
      <c r="G2816" s="340" t="s">
        <v>88</v>
      </c>
      <c r="H2816" s="329" t="s">
        <v>3669</v>
      </c>
      <c r="I2816" s="46" t="e">
        <f>VLOOKUP(H2816,'合同高级查询数据-4月返'!A:A,1,FALSE)</f>
        <v>#N/A</v>
      </c>
      <c r="J2816" s="329" t="s">
        <v>90</v>
      </c>
      <c r="K2816" s="340"/>
      <c r="L2816" s="340"/>
      <c r="M2816" s="312" t="s">
        <v>3670</v>
      </c>
      <c r="N2816" s="265">
        <v>45014</v>
      </c>
      <c r="O2816" s="340" t="s">
        <v>507</v>
      </c>
      <c r="P2816" s="346">
        <v>5150</v>
      </c>
      <c r="Q2816" s="346">
        <v>2</v>
      </c>
      <c r="R2816" s="351">
        <f t="shared" si="86"/>
        <v>10300</v>
      </c>
      <c r="S2816" s="319">
        <v>202304</v>
      </c>
      <c r="T2816" s="347" t="s">
        <v>3683</v>
      </c>
      <c r="U2816" s="347"/>
      <c r="V2816" s="320"/>
      <c r="W2816" s="320"/>
      <c r="X2816" s="50">
        <v>44136</v>
      </c>
      <c r="Y2816" s="50">
        <v>45230</v>
      </c>
    </row>
    <row r="2817" s="5" customFormat="1" customHeight="1" spans="1:25">
      <c r="A2817" s="327" t="s">
        <v>446</v>
      </c>
      <c r="B2817" s="307" t="s">
        <v>3037</v>
      </c>
      <c r="C2817" s="327" t="s">
        <v>144</v>
      </c>
      <c r="D2817" s="307" t="s">
        <v>3038</v>
      </c>
      <c r="E2817" s="355" t="s">
        <v>3415</v>
      </c>
      <c r="F2817" s="22" t="s">
        <v>3416</v>
      </c>
      <c r="G2817" s="340" t="s">
        <v>31</v>
      </c>
      <c r="H2817" s="329" t="s">
        <v>3669</v>
      </c>
      <c r="I2817" s="46" t="e">
        <f>VLOOKUP(H2817,'合同高级查询数据-4月返'!A:A,1,FALSE)</f>
        <v>#N/A</v>
      </c>
      <c r="J2817" s="329" t="s">
        <v>3186</v>
      </c>
      <c r="K2817" s="340" t="s">
        <v>3684</v>
      </c>
      <c r="L2817" s="340"/>
      <c r="M2817" s="312" t="s">
        <v>3670</v>
      </c>
      <c r="N2817" s="265">
        <v>44236</v>
      </c>
      <c r="O2817" s="340"/>
      <c r="P2817" s="346">
        <v>5000</v>
      </c>
      <c r="Q2817" s="346">
        <v>16</v>
      </c>
      <c r="R2817" s="351">
        <f t="shared" si="86"/>
        <v>80000</v>
      </c>
      <c r="S2817" s="319">
        <v>202304</v>
      </c>
      <c r="T2817" s="347" t="s">
        <v>3685</v>
      </c>
      <c r="U2817" s="347"/>
      <c r="V2817" s="320"/>
      <c r="W2817" s="320"/>
      <c r="X2817" s="50">
        <v>44136</v>
      </c>
      <c r="Y2817" s="50">
        <v>45230</v>
      </c>
    </row>
    <row r="2818" s="5" customFormat="1" customHeight="1" spans="1:25">
      <c r="A2818" s="327" t="s">
        <v>446</v>
      </c>
      <c r="B2818" s="307" t="s">
        <v>3037</v>
      </c>
      <c r="C2818" s="327" t="s">
        <v>144</v>
      </c>
      <c r="D2818" s="307" t="s">
        <v>3038</v>
      </c>
      <c r="E2818" s="355" t="s">
        <v>3415</v>
      </c>
      <c r="F2818" s="22" t="s">
        <v>3416</v>
      </c>
      <c r="G2818" s="340" t="s">
        <v>31</v>
      </c>
      <c r="H2818" s="329" t="s">
        <v>3669</v>
      </c>
      <c r="I2818" s="46" t="e">
        <f>VLOOKUP(H2818,'合同高级查询数据-4月返'!A:A,1,FALSE)</f>
        <v>#N/A</v>
      </c>
      <c r="J2818" s="329" t="s">
        <v>3092</v>
      </c>
      <c r="K2818" s="340" t="s">
        <v>3433</v>
      </c>
      <c r="L2818" s="327" t="s">
        <v>3686</v>
      </c>
      <c r="M2818" s="312" t="s">
        <v>3670</v>
      </c>
      <c r="N2818" s="265">
        <v>44130</v>
      </c>
      <c r="O2818" s="340" t="s">
        <v>37</v>
      </c>
      <c r="P2818" s="346">
        <v>0</v>
      </c>
      <c r="Q2818" s="346">
        <v>2432</v>
      </c>
      <c r="R2818" s="351">
        <f t="shared" si="86"/>
        <v>0</v>
      </c>
      <c r="S2818" s="319">
        <v>202304</v>
      </c>
      <c r="T2818" s="347" t="s">
        <v>3687</v>
      </c>
      <c r="U2818" s="347"/>
      <c r="V2818" s="320"/>
      <c r="W2818" s="320"/>
      <c r="X2818" s="50">
        <v>44136</v>
      </c>
      <c r="Y2818" s="50">
        <v>45230</v>
      </c>
    </row>
    <row r="2819" s="5" customFormat="1" customHeight="1" spans="1:25">
      <c r="A2819" s="327" t="s">
        <v>446</v>
      </c>
      <c r="B2819" s="307" t="s">
        <v>3037</v>
      </c>
      <c r="C2819" s="327" t="s">
        <v>144</v>
      </c>
      <c r="D2819" s="307" t="s">
        <v>3038</v>
      </c>
      <c r="E2819" s="355" t="s">
        <v>3415</v>
      </c>
      <c r="F2819" s="22" t="s">
        <v>3416</v>
      </c>
      <c r="G2819" s="340" t="s">
        <v>31</v>
      </c>
      <c r="H2819" s="329" t="s">
        <v>3669</v>
      </c>
      <c r="I2819" s="46" t="e">
        <f>VLOOKUP(H2819,'合同高级查询数据-4月返'!A:A,1,FALSE)</f>
        <v>#N/A</v>
      </c>
      <c r="J2819" s="329" t="s">
        <v>3092</v>
      </c>
      <c r="K2819" s="340" t="s">
        <v>3433</v>
      </c>
      <c r="L2819" s="327" t="s">
        <v>3686</v>
      </c>
      <c r="M2819" s="312" t="s">
        <v>3670</v>
      </c>
      <c r="N2819" s="265">
        <v>45017</v>
      </c>
      <c r="O2819" s="340" t="s">
        <v>37</v>
      </c>
      <c r="P2819" s="346">
        <v>0</v>
      </c>
      <c r="Q2819" s="346">
        <v>1024</v>
      </c>
      <c r="R2819" s="351">
        <f t="shared" si="86"/>
        <v>0</v>
      </c>
      <c r="S2819" s="319">
        <v>202304</v>
      </c>
      <c r="T2819" s="347" t="s">
        <v>3688</v>
      </c>
      <c r="U2819" s="347"/>
      <c r="V2819" s="320"/>
      <c r="W2819" s="320"/>
      <c r="X2819" s="50">
        <v>44136</v>
      </c>
      <c r="Y2819" s="50">
        <v>45230</v>
      </c>
    </row>
    <row r="2820" s="5" customFormat="1" customHeight="1" spans="1:25">
      <c r="A2820" s="327" t="s">
        <v>446</v>
      </c>
      <c r="B2820" s="307" t="s">
        <v>3037</v>
      </c>
      <c r="C2820" s="327" t="s">
        <v>144</v>
      </c>
      <c r="D2820" s="307" t="s">
        <v>3038</v>
      </c>
      <c r="E2820" s="355" t="s">
        <v>3415</v>
      </c>
      <c r="F2820" s="22" t="s">
        <v>3416</v>
      </c>
      <c r="G2820" s="340" t="s">
        <v>31</v>
      </c>
      <c r="H2820" s="329" t="s">
        <v>3669</v>
      </c>
      <c r="I2820" s="46" t="e">
        <f>VLOOKUP(H2820,'合同高级查询数据-4月返'!A:A,1,FALSE)</f>
        <v>#N/A</v>
      </c>
      <c r="J2820" s="329" t="s">
        <v>3189</v>
      </c>
      <c r="K2820" s="340" t="s">
        <v>3689</v>
      </c>
      <c r="L2820" s="327" t="s">
        <v>3686</v>
      </c>
      <c r="M2820" s="312" t="s">
        <v>3670</v>
      </c>
      <c r="N2820" s="265">
        <v>44130</v>
      </c>
      <c r="O2820" s="340" t="s">
        <v>37</v>
      </c>
      <c r="P2820" s="346">
        <v>0</v>
      </c>
      <c r="Q2820" s="346">
        <v>512</v>
      </c>
      <c r="R2820" s="351">
        <f t="shared" si="86"/>
        <v>0</v>
      </c>
      <c r="S2820" s="319">
        <v>202304</v>
      </c>
      <c r="T2820" s="347" t="s">
        <v>3690</v>
      </c>
      <c r="U2820" s="347"/>
      <c r="V2820" s="320"/>
      <c r="W2820" s="320"/>
      <c r="X2820" s="50">
        <v>44136</v>
      </c>
      <c r="Y2820" s="50">
        <v>45230</v>
      </c>
    </row>
    <row r="2821" s="3" customFormat="1" customHeight="1" spans="1:25">
      <c r="A2821" s="338" t="s">
        <v>446</v>
      </c>
      <c r="B2821" s="310" t="s">
        <v>3037</v>
      </c>
      <c r="C2821" s="338" t="s">
        <v>144</v>
      </c>
      <c r="D2821" s="310" t="s">
        <v>3038</v>
      </c>
      <c r="E2821" s="356" t="s">
        <v>3415</v>
      </c>
      <c r="F2821" s="35" t="s">
        <v>3416</v>
      </c>
      <c r="G2821" s="144" t="s">
        <v>31</v>
      </c>
      <c r="H2821" s="339" t="s">
        <v>3417</v>
      </c>
      <c r="I2821" s="30" t="e">
        <f>VLOOKUP(H2821,'合同高级查询数据-4月返'!A:A,1,FALSE)</f>
        <v>#N/A</v>
      </c>
      <c r="J2821" s="339" t="s">
        <v>3092</v>
      </c>
      <c r="K2821" s="144" t="s">
        <v>3689</v>
      </c>
      <c r="L2821" s="338" t="s">
        <v>3691</v>
      </c>
      <c r="M2821" s="315" t="s">
        <v>3670</v>
      </c>
      <c r="N2821" s="143">
        <v>44470</v>
      </c>
      <c r="O2821" s="144" t="s">
        <v>37</v>
      </c>
      <c r="P2821" s="343">
        <v>0</v>
      </c>
      <c r="Q2821" s="343">
        <v>256</v>
      </c>
      <c r="R2821" s="348">
        <f t="shared" si="86"/>
        <v>0</v>
      </c>
      <c r="S2821" s="322">
        <v>202304</v>
      </c>
      <c r="T2821" s="349" t="s">
        <v>3692</v>
      </c>
      <c r="U2821" s="349"/>
      <c r="V2821" s="323"/>
      <c r="W2821" s="323"/>
      <c r="X2821" s="193">
        <v>44927</v>
      </c>
      <c r="Y2821" s="193"/>
    </row>
    <row r="2822" s="5" customFormat="1" customHeight="1" spans="1:25">
      <c r="A2822" s="327" t="s">
        <v>446</v>
      </c>
      <c r="B2822" s="307" t="s">
        <v>3037</v>
      </c>
      <c r="C2822" s="327" t="s">
        <v>144</v>
      </c>
      <c r="D2822" s="307" t="s">
        <v>3038</v>
      </c>
      <c r="E2822" s="355" t="s">
        <v>3693</v>
      </c>
      <c r="F2822" s="22" t="s">
        <v>3694</v>
      </c>
      <c r="G2822" s="340" t="s">
        <v>67</v>
      </c>
      <c r="H2822" s="22" t="s">
        <v>3695</v>
      </c>
      <c r="I2822" s="46" t="e">
        <f>VLOOKUP(H2822,'合同高级查询数据-4月返'!A:A,1,FALSE)</f>
        <v>#N/A</v>
      </c>
      <c r="J2822" s="329" t="s">
        <v>69</v>
      </c>
      <c r="K2822" s="340" t="s">
        <v>3696</v>
      </c>
      <c r="L2822" s="340"/>
      <c r="M2822" s="312"/>
      <c r="N2822" s="265">
        <v>44470</v>
      </c>
      <c r="O2822" s="340" t="s">
        <v>71</v>
      </c>
      <c r="P2822" s="346">
        <v>450</v>
      </c>
      <c r="Q2822" s="346">
        <v>30</v>
      </c>
      <c r="R2822" s="351">
        <f t="shared" si="86"/>
        <v>13500</v>
      </c>
      <c r="S2822" s="319">
        <v>202304</v>
      </c>
      <c r="T2822" s="347" t="s">
        <v>3697</v>
      </c>
      <c r="U2822" s="347"/>
      <c r="V2822" s="320"/>
      <c r="W2822" s="320"/>
      <c r="X2822" s="50">
        <v>44470</v>
      </c>
      <c r="Y2822" s="50">
        <v>45199</v>
      </c>
    </row>
    <row r="2823" s="5" customFormat="1" customHeight="1" spans="1:25">
      <c r="A2823" s="327" t="s">
        <v>446</v>
      </c>
      <c r="B2823" s="307" t="s">
        <v>3037</v>
      </c>
      <c r="C2823" s="327" t="s">
        <v>144</v>
      </c>
      <c r="D2823" s="307" t="s">
        <v>3038</v>
      </c>
      <c r="E2823" s="355" t="s">
        <v>3693</v>
      </c>
      <c r="F2823" s="22" t="s">
        <v>3694</v>
      </c>
      <c r="G2823" s="340" t="s">
        <v>67</v>
      </c>
      <c r="H2823" s="22" t="s">
        <v>3695</v>
      </c>
      <c r="I2823" s="46" t="e">
        <f>VLOOKUP(H2823,'合同高级查询数据-4月返'!A:A,1,FALSE)</f>
        <v>#N/A</v>
      </c>
      <c r="J2823" s="329" t="s">
        <v>69</v>
      </c>
      <c r="K2823" s="340" t="s">
        <v>3696</v>
      </c>
      <c r="L2823" s="340"/>
      <c r="M2823" s="312"/>
      <c r="N2823" s="265">
        <v>44470</v>
      </c>
      <c r="O2823" s="340" t="s">
        <v>71</v>
      </c>
      <c r="P2823" s="346">
        <v>450</v>
      </c>
      <c r="Q2823" s="346">
        <v>30</v>
      </c>
      <c r="R2823" s="351">
        <f t="shared" si="86"/>
        <v>13500</v>
      </c>
      <c r="S2823" s="319">
        <v>202304</v>
      </c>
      <c r="T2823" s="347" t="s">
        <v>3697</v>
      </c>
      <c r="U2823" s="347"/>
      <c r="V2823" s="320"/>
      <c r="W2823" s="320"/>
      <c r="X2823" s="50">
        <v>44470</v>
      </c>
      <c r="Y2823" s="50">
        <v>45199</v>
      </c>
    </row>
    <row r="2824" s="5" customFormat="1" customHeight="1" spans="1:25">
      <c r="A2824" s="327" t="s">
        <v>448</v>
      </c>
      <c r="B2824" s="307" t="s">
        <v>3037</v>
      </c>
      <c r="C2824" s="327" t="s">
        <v>144</v>
      </c>
      <c r="D2824" s="307" t="s">
        <v>3038</v>
      </c>
      <c r="E2824" s="355" t="s">
        <v>3404</v>
      </c>
      <c r="F2824" s="22" t="s">
        <v>3405</v>
      </c>
      <c r="G2824" s="340" t="s">
        <v>88</v>
      </c>
      <c r="H2824" s="307" t="s">
        <v>3698</v>
      </c>
      <c r="I2824" s="46" t="e">
        <f>VLOOKUP(H2824,'合同高级查询数据-4月返'!A:A,1,FALSE)</f>
        <v>#N/A</v>
      </c>
      <c r="J2824" s="329" t="s">
        <v>90</v>
      </c>
      <c r="K2824" s="340" t="s">
        <v>3699</v>
      </c>
      <c r="L2824" s="340"/>
      <c r="M2824" s="312" t="s">
        <v>3670</v>
      </c>
      <c r="N2824" s="265">
        <v>44131</v>
      </c>
      <c r="O2824" s="340" t="s">
        <v>507</v>
      </c>
      <c r="P2824" s="346">
        <v>5250</v>
      </c>
      <c r="Q2824" s="346">
        <v>53</v>
      </c>
      <c r="R2824" s="351">
        <f t="shared" si="86"/>
        <v>278250</v>
      </c>
      <c r="S2824" s="319">
        <v>202304</v>
      </c>
      <c r="T2824" s="347" t="s">
        <v>3700</v>
      </c>
      <c r="U2824" s="347"/>
      <c r="V2824" s="320"/>
      <c r="W2824" s="320"/>
      <c r="X2824" s="229">
        <v>44531</v>
      </c>
      <c r="Y2824" s="229">
        <v>45260</v>
      </c>
    </row>
    <row r="2825" s="5" customFormat="1" customHeight="1" spans="1:25">
      <c r="A2825" s="327" t="s">
        <v>448</v>
      </c>
      <c r="B2825" s="307" t="s">
        <v>3037</v>
      </c>
      <c r="C2825" s="327" t="s">
        <v>144</v>
      </c>
      <c r="D2825" s="307" t="s">
        <v>3038</v>
      </c>
      <c r="E2825" s="355" t="s">
        <v>3404</v>
      </c>
      <c r="F2825" s="22" t="s">
        <v>3405</v>
      </c>
      <c r="G2825" s="340" t="s">
        <v>88</v>
      </c>
      <c r="H2825" s="307" t="s">
        <v>3698</v>
      </c>
      <c r="I2825" s="46" t="e">
        <f>VLOOKUP(H2825,'合同高级查询数据-4月返'!A:A,1,FALSE)</f>
        <v>#N/A</v>
      </c>
      <c r="J2825" s="329" t="s">
        <v>90</v>
      </c>
      <c r="K2825" s="340" t="s">
        <v>3699</v>
      </c>
      <c r="L2825" s="340"/>
      <c r="M2825" s="312" t="s">
        <v>3670</v>
      </c>
      <c r="N2825" s="265">
        <v>44348</v>
      </c>
      <c r="O2825" s="340" t="s">
        <v>507</v>
      </c>
      <c r="P2825" s="346">
        <v>5250</v>
      </c>
      <c r="Q2825" s="346">
        <v>4</v>
      </c>
      <c r="R2825" s="351">
        <f t="shared" si="86"/>
        <v>21000</v>
      </c>
      <c r="S2825" s="319">
        <v>202304</v>
      </c>
      <c r="T2825" s="347" t="s">
        <v>3701</v>
      </c>
      <c r="U2825" s="347"/>
      <c r="V2825" s="320"/>
      <c r="W2825" s="320"/>
      <c r="X2825" s="229">
        <v>44531</v>
      </c>
      <c r="Y2825" s="229">
        <v>45260</v>
      </c>
    </row>
    <row r="2826" s="5" customFormat="1" customHeight="1" spans="1:25">
      <c r="A2826" s="327" t="s">
        <v>448</v>
      </c>
      <c r="B2826" s="307" t="s">
        <v>3037</v>
      </c>
      <c r="C2826" s="327" t="s">
        <v>144</v>
      </c>
      <c r="D2826" s="307" t="s">
        <v>3038</v>
      </c>
      <c r="E2826" s="355" t="s">
        <v>3404</v>
      </c>
      <c r="F2826" s="22" t="s">
        <v>3405</v>
      </c>
      <c r="G2826" s="340" t="s">
        <v>88</v>
      </c>
      <c r="H2826" s="307" t="s">
        <v>3698</v>
      </c>
      <c r="I2826" s="46" t="e">
        <f>VLOOKUP(H2826,'合同高级查询数据-4月返'!A:A,1,FALSE)</f>
        <v>#N/A</v>
      </c>
      <c r="J2826" s="329" t="s">
        <v>90</v>
      </c>
      <c r="K2826" s="340" t="s">
        <v>3699</v>
      </c>
      <c r="L2826" s="340"/>
      <c r="M2826" s="312" t="s">
        <v>3670</v>
      </c>
      <c r="N2826" s="265">
        <v>44348</v>
      </c>
      <c r="O2826" s="340" t="s">
        <v>507</v>
      </c>
      <c r="P2826" s="346">
        <v>5250</v>
      </c>
      <c r="Q2826" s="346">
        <v>2</v>
      </c>
      <c r="R2826" s="351">
        <f t="shared" si="86"/>
        <v>10500</v>
      </c>
      <c r="S2826" s="319">
        <v>202304</v>
      </c>
      <c r="T2826" s="347" t="s">
        <v>3702</v>
      </c>
      <c r="U2826" s="347"/>
      <c r="V2826" s="320"/>
      <c r="W2826" s="320"/>
      <c r="X2826" s="229">
        <v>44531</v>
      </c>
      <c r="Y2826" s="229">
        <v>45260</v>
      </c>
    </row>
    <row r="2827" s="5" customFormat="1" customHeight="1" spans="1:25">
      <c r="A2827" s="327" t="s">
        <v>448</v>
      </c>
      <c r="B2827" s="307" t="s">
        <v>3037</v>
      </c>
      <c r="C2827" s="327" t="s">
        <v>144</v>
      </c>
      <c r="D2827" s="307" t="s">
        <v>3038</v>
      </c>
      <c r="E2827" s="355" t="s">
        <v>3404</v>
      </c>
      <c r="F2827" s="22" t="s">
        <v>3405</v>
      </c>
      <c r="G2827" s="340" t="s">
        <v>88</v>
      </c>
      <c r="H2827" s="307" t="s">
        <v>3698</v>
      </c>
      <c r="I2827" s="46" t="e">
        <f>VLOOKUP(H2827,'合同高级查询数据-4月返'!A:A,1,FALSE)</f>
        <v>#N/A</v>
      </c>
      <c r="J2827" s="329" t="s">
        <v>90</v>
      </c>
      <c r="K2827" s="340" t="s">
        <v>3699</v>
      </c>
      <c r="L2827" s="340"/>
      <c r="M2827" s="312" t="s">
        <v>3670</v>
      </c>
      <c r="N2827" s="265">
        <v>44348</v>
      </c>
      <c r="O2827" s="340" t="s">
        <v>507</v>
      </c>
      <c r="P2827" s="346">
        <v>5250</v>
      </c>
      <c r="Q2827" s="346">
        <v>60</v>
      </c>
      <c r="R2827" s="351">
        <f t="shared" si="86"/>
        <v>315000</v>
      </c>
      <c r="S2827" s="319">
        <v>202304</v>
      </c>
      <c r="T2827" s="347" t="s">
        <v>3703</v>
      </c>
      <c r="U2827" s="347"/>
      <c r="V2827" s="320"/>
      <c r="W2827" s="320"/>
      <c r="X2827" s="229">
        <v>44531</v>
      </c>
      <c r="Y2827" s="229">
        <v>45260</v>
      </c>
    </row>
    <row r="2828" s="5" customFormat="1" customHeight="1" spans="1:25">
      <c r="A2828" s="327" t="s">
        <v>448</v>
      </c>
      <c r="B2828" s="307" t="s">
        <v>3037</v>
      </c>
      <c r="C2828" s="327" t="s">
        <v>144</v>
      </c>
      <c r="D2828" s="307" t="s">
        <v>3038</v>
      </c>
      <c r="E2828" s="355" t="s">
        <v>3404</v>
      </c>
      <c r="F2828" s="22" t="s">
        <v>3405</v>
      </c>
      <c r="G2828" s="340" t="s">
        <v>88</v>
      </c>
      <c r="H2828" s="307" t="s">
        <v>3698</v>
      </c>
      <c r="I2828" s="46" t="e">
        <f>VLOOKUP(H2828,'合同高级查询数据-4月返'!A:A,1,FALSE)</f>
        <v>#N/A</v>
      </c>
      <c r="J2828" s="329" t="s">
        <v>90</v>
      </c>
      <c r="K2828" s="340" t="s">
        <v>3699</v>
      </c>
      <c r="L2828" s="340"/>
      <c r="M2828" s="312" t="s">
        <v>3670</v>
      </c>
      <c r="N2828" s="265">
        <v>44348</v>
      </c>
      <c r="O2828" s="340" t="s">
        <v>507</v>
      </c>
      <c r="P2828" s="346">
        <v>5250</v>
      </c>
      <c r="Q2828" s="346">
        <v>22</v>
      </c>
      <c r="R2828" s="351">
        <f t="shared" si="86"/>
        <v>115500</v>
      </c>
      <c r="S2828" s="319">
        <v>202304</v>
      </c>
      <c r="T2828" s="347" t="s">
        <v>3704</v>
      </c>
      <c r="U2828" s="347"/>
      <c r="V2828" s="320"/>
      <c r="W2828" s="320"/>
      <c r="X2828" s="229">
        <v>44531</v>
      </c>
      <c r="Y2828" s="229">
        <v>45260</v>
      </c>
    </row>
    <row r="2829" s="5" customFormat="1" customHeight="1" spans="1:25">
      <c r="A2829" s="327" t="s">
        <v>448</v>
      </c>
      <c r="B2829" s="307" t="s">
        <v>3037</v>
      </c>
      <c r="C2829" s="327" t="s">
        <v>144</v>
      </c>
      <c r="D2829" s="307" t="s">
        <v>3038</v>
      </c>
      <c r="E2829" s="355" t="s">
        <v>3404</v>
      </c>
      <c r="F2829" s="22" t="s">
        <v>3405</v>
      </c>
      <c r="G2829" s="340" t="s">
        <v>88</v>
      </c>
      <c r="H2829" s="307" t="s">
        <v>3698</v>
      </c>
      <c r="I2829" s="46" t="e">
        <f>VLOOKUP(H2829,'合同高级查询数据-4月返'!A:A,1,FALSE)</f>
        <v>#N/A</v>
      </c>
      <c r="J2829" s="329" t="s">
        <v>90</v>
      </c>
      <c r="K2829" s="340" t="s">
        <v>3699</v>
      </c>
      <c r="L2829" s="340"/>
      <c r="M2829" s="312" t="s">
        <v>3670</v>
      </c>
      <c r="N2829" s="265">
        <v>44348</v>
      </c>
      <c r="O2829" s="340" t="s">
        <v>507</v>
      </c>
      <c r="P2829" s="346">
        <v>5250</v>
      </c>
      <c r="Q2829" s="346">
        <v>43</v>
      </c>
      <c r="R2829" s="351">
        <f t="shared" si="86"/>
        <v>225750</v>
      </c>
      <c r="S2829" s="319">
        <v>202304</v>
      </c>
      <c r="T2829" s="347" t="s">
        <v>3705</v>
      </c>
      <c r="U2829" s="347"/>
      <c r="V2829" s="320"/>
      <c r="W2829" s="320"/>
      <c r="X2829" s="229">
        <v>44531</v>
      </c>
      <c r="Y2829" s="229">
        <v>45260</v>
      </c>
    </row>
    <row r="2830" s="5" customFormat="1" customHeight="1" spans="1:25">
      <c r="A2830" s="327" t="s">
        <v>448</v>
      </c>
      <c r="B2830" s="307" t="s">
        <v>3037</v>
      </c>
      <c r="C2830" s="327" t="s">
        <v>144</v>
      </c>
      <c r="D2830" s="307" t="s">
        <v>3038</v>
      </c>
      <c r="E2830" s="355" t="s">
        <v>3404</v>
      </c>
      <c r="F2830" s="22" t="s">
        <v>3405</v>
      </c>
      <c r="G2830" s="340" t="s">
        <v>88</v>
      </c>
      <c r="H2830" s="307" t="s">
        <v>3698</v>
      </c>
      <c r="I2830" s="46" t="e">
        <f>VLOOKUP(H2830,'合同高级查询数据-4月返'!A:A,1,FALSE)</f>
        <v>#N/A</v>
      </c>
      <c r="J2830" s="329" t="s">
        <v>90</v>
      </c>
      <c r="K2830" s="340" t="s">
        <v>3699</v>
      </c>
      <c r="L2830" s="340"/>
      <c r="M2830" s="312" t="s">
        <v>3670</v>
      </c>
      <c r="N2830" s="265">
        <v>44348</v>
      </c>
      <c r="O2830" s="340" t="s">
        <v>507</v>
      </c>
      <c r="P2830" s="346">
        <v>5250</v>
      </c>
      <c r="Q2830" s="346">
        <v>10</v>
      </c>
      <c r="R2830" s="351">
        <f t="shared" si="86"/>
        <v>52500</v>
      </c>
      <c r="S2830" s="319">
        <v>202304</v>
      </c>
      <c r="T2830" s="347" t="s">
        <v>3706</v>
      </c>
      <c r="U2830" s="347"/>
      <c r="V2830" s="320"/>
      <c r="W2830" s="320"/>
      <c r="X2830" s="229">
        <v>44531</v>
      </c>
      <c r="Y2830" s="229">
        <v>45260</v>
      </c>
    </row>
    <row r="2831" s="5" customFormat="1" customHeight="1" spans="1:25">
      <c r="A2831" s="327" t="s">
        <v>448</v>
      </c>
      <c r="B2831" s="307" t="s">
        <v>3037</v>
      </c>
      <c r="C2831" s="327" t="s">
        <v>144</v>
      </c>
      <c r="D2831" s="307" t="s">
        <v>3038</v>
      </c>
      <c r="E2831" s="355" t="s">
        <v>3404</v>
      </c>
      <c r="F2831" s="22" t="s">
        <v>3405</v>
      </c>
      <c r="G2831" s="340" t="s">
        <v>88</v>
      </c>
      <c r="H2831" s="307" t="s">
        <v>3698</v>
      </c>
      <c r="I2831" s="46" t="e">
        <f>VLOOKUP(H2831,'合同高级查询数据-4月返'!A:A,1,FALSE)</f>
        <v>#N/A</v>
      </c>
      <c r="J2831" s="329" t="s">
        <v>90</v>
      </c>
      <c r="K2831" s="340" t="s">
        <v>3699</v>
      </c>
      <c r="L2831" s="340"/>
      <c r="M2831" s="312" t="s">
        <v>3670</v>
      </c>
      <c r="N2831" s="265">
        <v>44348</v>
      </c>
      <c r="O2831" s="340" t="s">
        <v>507</v>
      </c>
      <c r="P2831" s="346">
        <v>5250</v>
      </c>
      <c r="Q2831" s="346">
        <v>3</v>
      </c>
      <c r="R2831" s="351">
        <f t="shared" si="86"/>
        <v>15750</v>
      </c>
      <c r="S2831" s="319">
        <v>202304</v>
      </c>
      <c r="T2831" s="347" t="s">
        <v>3707</v>
      </c>
      <c r="U2831" s="347"/>
      <c r="V2831" s="320"/>
      <c r="W2831" s="320"/>
      <c r="X2831" s="229">
        <v>44531</v>
      </c>
      <c r="Y2831" s="229">
        <v>45260</v>
      </c>
    </row>
    <row r="2832" s="5" customFormat="1" customHeight="1" spans="1:25">
      <c r="A2832" s="327" t="s">
        <v>448</v>
      </c>
      <c r="B2832" s="307" t="s">
        <v>3037</v>
      </c>
      <c r="C2832" s="327" t="s">
        <v>144</v>
      </c>
      <c r="D2832" s="307" t="s">
        <v>3038</v>
      </c>
      <c r="E2832" s="355" t="s">
        <v>3404</v>
      </c>
      <c r="F2832" s="22" t="s">
        <v>3405</v>
      </c>
      <c r="G2832" s="340" t="s">
        <v>88</v>
      </c>
      <c r="H2832" s="307" t="s">
        <v>3698</v>
      </c>
      <c r="I2832" s="46" t="e">
        <f>VLOOKUP(H2832,'合同高级查询数据-4月返'!A:A,1,FALSE)</f>
        <v>#N/A</v>
      </c>
      <c r="J2832" s="329" t="s">
        <v>90</v>
      </c>
      <c r="K2832" s="340" t="s">
        <v>3699</v>
      </c>
      <c r="L2832" s="340"/>
      <c r="M2832" s="312" t="s">
        <v>3670</v>
      </c>
      <c r="N2832" s="265">
        <v>44348</v>
      </c>
      <c r="O2832" s="340" t="s">
        <v>507</v>
      </c>
      <c r="P2832" s="346">
        <v>5250</v>
      </c>
      <c r="Q2832" s="346">
        <v>2</v>
      </c>
      <c r="R2832" s="351">
        <f t="shared" si="86"/>
        <v>10500</v>
      </c>
      <c r="S2832" s="319">
        <v>202304</v>
      </c>
      <c r="T2832" s="347" t="s">
        <v>3708</v>
      </c>
      <c r="U2832" s="347"/>
      <c r="V2832" s="320"/>
      <c r="W2832" s="320"/>
      <c r="X2832" s="229">
        <v>44531</v>
      </c>
      <c r="Y2832" s="229">
        <v>45260</v>
      </c>
    </row>
    <row r="2833" s="5" customFormat="1" customHeight="1" spans="1:25">
      <c r="A2833" s="327" t="s">
        <v>448</v>
      </c>
      <c r="B2833" s="307" t="s">
        <v>3037</v>
      </c>
      <c r="C2833" s="327" t="s">
        <v>144</v>
      </c>
      <c r="D2833" s="307" t="s">
        <v>3038</v>
      </c>
      <c r="E2833" s="355" t="s">
        <v>3404</v>
      </c>
      <c r="F2833" s="22" t="s">
        <v>3405</v>
      </c>
      <c r="G2833" s="340" t="s">
        <v>88</v>
      </c>
      <c r="H2833" s="307" t="s">
        <v>3698</v>
      </c>
      <c r="I2833" s="46" t="e">
        <f>VLOOKUP(H2833,'合同高级查询数据-4月返'!A:A,1,FALSE)</f>
        <v>#N/A</v>
      </c>
      <c r="J2833" s="329" t="s">
        <v>90</v>
      </c>
      <c r="K2833" s="340" t="s">
        <v>3699</v>
      </c>
      <c r="L2833" s="340"/>
      <c r="M2833" s="312" t="s">
        <v>3670</v>
      </c>
      <c r="N2833" s="265">
        <v>44348</v>
      </c>
      <c r="O2833" s="340" t="s">
        <v>507</v>
      </c>
      <c r="P2833" s="346">
        <v>5250</v>
      </c>
      <c r="Q2833" s="346">
        <v>9</v>
      </c>
      <c r="R2833" s="351">
        <f t="shared" si="86"/>
        <v>47250</v>
      </c>
      <c r="S2833" s="319">
        <v>202304</v>
      </c>
      <c r="T2833" s="347" t="s">
        <v>3709</v>
      </c>
      <c r="U2833" s="347"/>
      <c r="V2833" s="320"/>
      <c r="W2833" s="320"/>
      <c r="X2833" s="229">
        <v>44531</v>
      </c>
      <c r="Y2833" s="229">
        <v>45260</v>
      </c>
    </row>
    <row r="2834" s="5" customFormat="1" customHeight="1" spans="1:25">
      <c r="A2834" s="327" t="s">
        <v>448</v>
      </c>
      <c r="B2834" s="307" t="s">
        <v>3037</v>
      </c>
      <c r="C2834" s="327" t="s">
        <v>144</v>
      </c>
      <c r="D2834" s="307" t="s">
        <v>3038</v>
      </c>
      <c r="E2834" s="355" t="s">
        <v>3404</v>
      </c>
      <c r="F2834" s="22" t="s">
        <v>3405</v>
      </c>
      <c r="G2834" s="340" t="s">
        <v>88</v>
      </c>
      <c r="H2834" s="307" t="s">
        <v>3698</v>
      </c>
      <c r="I2834" s="46" t="e">
        <f>VLOOKUP(H2834,'合同高级查询数据-4月返'!A:A,1,FALSE)</f>
        <v>#N/A</v>
      </c>
      <c r="J2834" s="329" t="s">
        <v>90</v>
      </c>
      <c r="K2834" s="340" t="s">
        <v>3699</v>
      </c>
      <c r="L2834" s="340"/>
      <c r="M2834" s="312" t="s">
        <v>3670</v>
      </c>
      <c r="N2834" s="265">
        <v>44348</v>
      </c>
      <c r="O2834" s="340" t="s">
        <v>507</v>
      </c>
      <c r="P2834" s="346">
        <v>5250</v>
      </c>
      <c r="Q2834" s="346">
        <v>6</v>
      </c>
      <c r="R2834" s="351">
        <f t="shared" si="86"/>
        <v>31500</v>
      </c>
      <c r="S2834" s="319">
        <v>202304</v>
      </c>
      <c r="T2834" s="347" t="s">
        <v>3710</v>
      </c>
      <c r="U2834" s="347"/>
      <c r="V2834" s="320"/>
      <c r="W2834" s="320"/>
      <c r="X2834" s="229">
        <v>44531</v>
      </c>
      <c r="Y2834" s="229">
        <v>45260</v>
      </c>
    </row>
    <row r="2835" s="5" customFormat="1" customHeight="1" spans="1:25">
      <c r="A2835" s="327" t="s">
        <v>448</v>
      </c>
      <c r="B2835" s="307" t="s">
        <v>3037</v>
      </c>
      <c r="C2835" s="327" t="s">
        <v>144</v>
      </c>
      <c r="D2835" s="307" t="s">
        <v>3038</v>
      </c>
      <c r="E2835" s="355" t="s">
        <v>3404</v>
      </c>
      <c r="F2835" s="22" t="s">
        <v>3405</v>
      </c>
      <c r="G2835" s="340" t="s">
        <v>88</v>
      </c>
      <c r="H2835" s="307" t="s">
        <v>3698</v>
      </c>
      <c r="I2835" s="46" t="e">
        <f>VLOOKUP(H2835,'合同高级查询数据-4月返'!A:A,1,FALSE)</f>
        <v>#N/A</v>
      </c>
      <c r="J2835" s="329" t="s">
        <v>90</v>
      </c>
      <c r="K2835" s="340" t="s">
        <v>3699</v>
      </c>
      <c r="L2835" s="340"/>
      <c r="M2835" s="312" t="s">
        <v>3670</v>
      </c>
      <c r="N2835" s="265">
        <v>44327</v>
      </c>
      <c r="O2835" s="340" t="s">
        <v>507</v>
      </c>
      <c r="P2835" s="346">
        <v>5250</v>
      </c>
      <c r="Q2835" s="346">
        <v>6</v>
      </c>
      <c r="R2835" s="351">
        <f t="shared" si="86"/>
        <v>31500</v>
      </c>
      <c r="S2835" s="319">
        <v>202304</v>
      </c>
      <c r="T2835" s="347" t="s">
        <v>3711</v>
      </c>
      <c r="U2835" s="347"/>
      <c r="V2835" s="320"/>
      <c r="W2835" s="320"/>
      <c r="X2835" s="229">
        <v>44531</v>
      </c>
      <c r="Y2835" s="229">
        <v>45260</v>
      </c>
    </row>
    <row r="2836" s="5" customFormat="1" customHeight="1" spans="1:25">
      <c r="A2836" s="327" t="s">
        <v>448</v>
      </c>
      <c r="B2836" s="307" t="s">
        <v>3037</v>
      </c>
      <c r="C2836" s="327" t="s">
        <v>144</v>
      </c>
      <c r="D2836" s="307" t="s">
        <v>3038</v>
      </c>
      <c r="E2836" s="355" t="s">
        <v>3404</v>
      </c>
      <c r="F2836" s="22" t="s">
        <v>3405</v>
      </c>
      <c r="G2836" s="340" t="s">
        <v>88</v>
      </c>
      <c r="H2836" s="307" t="s">
        <v>3698</v>
      </c>
      <c r="I2836" s="46" t="e">
        <f>VLOOKUP(H2836,'合同高级查询数据-4月返'!A:A,1,FALSE)</f>
        <v>#N/A</v>
      </c>
      <c r="J2836" s="329" t="s">
        <v>90</v>
      </c>
      <c r="K2836" s="340" t="s">
        <v>3699</v>
      </c>
      <c r="L2836" s="340"/>
      <c r="M2836" s="312" t="s">
        <v>3670</v>
      </c>
      <c r="N2836" s="265">
        <v>44348</v>
      </c>
      <c r="O2836" s="340" t="s">
        <v>507</v>
      </c>
      <c r="P2836" s="346">
        <v>5250</v>
      </c>
      <c r="Q2836" s="346">
        <v>40</v>
      </c>
      <c r="R2836" s="351">
        <f t="shared" si="86"/>
        <v>210000</v>
      </c>
      <c r="S2836" s="319">
        <v>202304</v>
      </c>
      <c r="T2836" s="347" t="s">
        <v>3712</v>
      </c>
      <c r="U2836" s="347"/>
      <c r="V2836" s="320"/>
      <c r="W2836" s="320"/>
      <c r="X2836" s="229">
        <v>44531</v>
      </c>
      <c r="Y2836" s="229">
        <v>45260</v>
      </c>
    </row>
    <row r="2837" s="5" customFormat="1" customHeight="1" spans="1:25">
      <c r="A2837" s="327" t="s">
        <v>448</v>
      </c>
      <c r="B2837" s="307" t="s">
        <v>3037</v>
      </c>
      <c r="C2837" s="327" t="s">
        <v>144</v>
      </c>
      <c r="D2837" s="307" t="s">
        <v>3038</v>
      </c>
      <c r="E2837" s="355" t="s">
        <v>3404</v>
      </c>
      <c r="F2837" s="22" t="s">
        <v>3405</v>
      </c>
      <c r="G2837" s="340" t="s">
        <v>31</v>
      </c>
      <c r="H2837" s="307" t="s">
        <v>3698</v>
      </c>
      <c r="I2837" s="46" t="e">
        <f>VLOOKUP(H2837,'合同高级查询数据-4月返'!A:A,1,FALSE)</f>
        <v>#N/A</v>
      </c>
      <c r="J2837" s="329" t="s">
        <v>3092</v>
      </c>
      <c r="K2837" s="340" t="s">
        <v>3699</v>
      </c>
      <c r="L2837" s="340"/>
      <c r="M2837" s="312" t="s">
        <v>3670</v>
      </c>
      <c r="N2837" s="265">
        <v>44166</v>
      </c>
      <c r="O2837" s="340"/>
      <c r="P2837" s="346">
        <v>0</v>
      </c>
      <c r="Q2837" s="346">
        <v>2048</v>
      </c>
      <c r="R2837" s="351">
        <f t="shared" si="86"/>
        <v>0</v>
      </c>
      <c r="S2837" s="319">
        <v>202304</v>
      </c>
      <c r="T2837" s="347" t="s">
        <v>3713</v>
      </c>
      <c r="U2837" s="347"/>
      <c r="V2837" s="320"/>
      <c r="W2837" s="320"/>
      <c r="X2837" s="229">
        <v>44531</v>
      </c>
      <c r="Y2837" s="229">
        <v>45260</v>
      </c>
    </row>
    <row r="2838" s="5" customFormat="1" customHeight="1" spans="1:25">
      <c r="A2838" s="327" t="s">
        <v>448</v>
      </c>
      <c r="B2838" s="307" t="s">
        <v>3037</v>
      </c>
      <c r="C2838" s="327" t="s">
        <v>144</v>
      </c>
      <c r="D2838" s="307" t="s">
        <v>3038</v>
      </c>
      <c r="E2838" s="355" t="s">
        <v>3404</v>
      </c>
      <c r="F2838" s="22" t="s">
        <v>3405</v>
      </c>
      <c r="G2838" s="340" t="s">
        <v>31</v>
      </c>
      <c r="H2838" s="307" t="s">
        <v>3698</v>
      </c>
      <c r="I2838" s="46" t="e">
        <f>VLOOKUP(H2838,'合同高级查询数据-4月返'!A:A,1,FALSE)</f>
        <v>#N/A</v>
      </c>
      <c r="J2838" s="329" t="s">
        <v>800</v>
      </c>
      <c r="K2838" s="340" t="s">
        <v>3699</v>
      </c>
      <c r="L2838" s="340"/>
      <c r="M2838" s="312" t="s">
        <v>3670</v>
      </c>
      <c r="N2838" s="265">
        <v>44217</v>
      </c>
      <c r="O2838" s="340" t="s">
        <v>3714</v>
      </c>
      <c r="P2838" s="346">
        <v>2500</v>
      </c>
      <c r="Q2838" s="346">
        <v>4</v>
      </c>
      <c r="R2838" s="351">
        <f t="shared" si="86"/>
        <v>10000</v>
      </c>
      <c r="S2838" s="319">
        <v>202304</v>
      </c>
      <c r="T2838" s="347" t="s">
        <v>3715</v>
      </c>
      <c r="U2838" s="347"/>
      <c r="V2838" s="320"/>
      <c r="W2838" s="320"/>
      <c r="X2838" s="229">
        <v>44531</v>
      </c>
      <c r="Y2838" s="229">
        <v>45260</v>
      </c>
    </row>
    <row r="2839" s="5" customFormat="1" customHeight="1" spans="1:25">
      <c r="A2839" s="327" t="s">
        <v>448</v>
      </c>
      <c r="B2839" s="307" t="s">
        <v>3037</v>
      </c>
      <c r="C2839" s="327" t="s">
        <v>144</v>
      </c>
      <c r="D2839" s="307" t="s">
        <v>3038</v>
      </c>
      <c r="E2839" s="355" t="s">
        <v>3404</v>
      </c>
      <c r="F2839" s="22" t="s">
        <v>3405</v>
      </c>
      <c r="G2839" s="340" t="s">
        <v>31</v>
      </c>
      <c r="H2839" s="307" t="s">
        <v>3698</v>
      </c>
      <c r="I2839" s="46" t="e">
        <f>VLOOKUP(H2839,'合同高级查询数据-4月返'!A:A,1,FALSE)</f>
        <v>#N/A</v>
      </c>
      <c r="J2839" s="329" t="s">
        <v>800</v>
      </c>
      <c r="K2839" s="340" t="s">
        <v>3699</v>
      </c>
      <c r="L2839" s="340"/>
      <c r="M2839" s="312" t="s">
        <v>3670</v>
      </c>
      <c r="N2839" s="265">
        <v>44217</v>
      </c>
      <c r="O2839" s="340" t="s">
        <v>3714</v>
      </c>
      <c r="P2839" s="346">
        <v>2500</v>
      </c>
      <c r="Q2839" s="346">
        <v>16</v>
      </c>
      <c r="R2839" s="351">
        <f t="shared" si="86"/>
        <v>40000</v>
      </c>
      <c r="S2839" s="319">
        <v>202304</v>
      </c>
      <c r="T2839" s="347" t="s">
        <v>3716</v>
      </c>
      <c r="U2839" s="347"/>
      <c r="V2839" s="320"/>
      <c r="W2839" s="320"/>
      <c r="X2839" s="229">
        <v>44531</v>
      </c>
      <c r="Y2839" s="229">
        <v>45260</v>
      </c>
    </row>
    <row r="2840" s="3" customFormat="1" customHeight="1" spans="1:25">
      <c r="A2840" s="11" t="s">
        <v>448</v>
      </c>
      <c r="B2840" s="310" t="s">
        <v>3037</v>
      </c>
      <c r="C2840" s="11" t="s">
        <v>144</v>
      </c>
      <c r="D2840" s="310" t="s">
        <v>3038</v>
      </c>
      <c r="E2840" s="13" t="s">
        <v>3717</v>
      </c>
      <c r="F2840" s="11" t="s">
        <v>3405</v>
      </c>
      <c r="G2840" s="11" t="s">
        <v>31</v>
      </c>
      <c r="H2840" s="310" t="s">
        <v>3718</v>
      </c>
      <c r="I2840" s="30" t="e">
        <f>VLOOKUP(H2840,'合同高级查询数据-4月返'!A:A,1,FALSE)</f>
        <v>#N/A</v>
      </c>
      <c r="J2840" s="140" t="s">
        <v>3092</v>
      </c>
      <c r="K2840" s="310" t="s">
        <v>3719</v>
      </c>
      <c r="L2840" s="11" t="s">
        <v>3720</v>
      </c>
      <c r="M2840" s="315" t="s">
        <v>3720</v>
      </c>
      <c r="N2840" s="261">
        <v>44197</v>
      </c>
      <c r="O2840" s="263" t="s">
        <v>37</v>
      </c>
      <c r="P2840" s="363">
        <v>0</v>
      </c>
      <c r="Q2840" s="363">
        <v>1280</v>
      </c>
      <c r="R2840" s="348">
        <f t="shared" si="86"/>
        <v>0</v>
      </c>
      <c r="S2840" s="322">
        <v>202304</v>
      </c>
      <c r="T2840" s="349" t="s">
        <v>3721</v>
      </c>
      <c r="U2840" s="349"/>
      <c r="V2840" s="323"/>
      <c r="W2840" s="323"/>
      <c r="X2840" s="193">
        <v>44774</v>
      </c>
      <c r="Y2840" s="193"/>
    </row>
    <row r="2841" s="5" customFormat="1" customHeight="1" spans="1:25">
      <c r="A2841" s="24" t="s">
        <v>448</v>
      </c>
      <c r="B2841" s="307" t="s">
        <v>3037</v>
      </c>
      <c r="C2841" s="24" t="s">
        <v>144</v>
      </c>
      <c r="D2841" s="307" t="s">
        <v>3038</v>
      </c>
      <c r="E2841" s="23" t="s">
        <v>945</v>
      </c>
      <c r="F2841" s="24" t="s">
        <v>3405</v>
      </c>
      <c r="G2841" s="24" t="s">
        <v>31</v>
      </c>
      <c r="H2841" s="309" t="s">
        <v>3362</v>
      </c>
      <c r="I2841" s="46" t="e">
        <f>VLOOKUP(H2841,'合同高级查询数据-4月返'!A:A,1,FALSE)</f>
        <v>#N/A</v>
      </c>
      <c r="J2841" s="309" t="s">
        <v>3189</v>
      </c>
      <c r="K2841" s="307" t="s">
        <v>3719</v>
      </c>
      <c r="L2841" s="24" t="s">
        <v>3720</v>
      </c>
      <c r="M2841" s="312" t="s">
        <v>3720</v>
      </c>
      <c r="N2841" s="260">
        <v>44197</v>
      </c>
      <c r="O2841" s="341" t="s">
        <v>37</v>
      </c>
      <c r="P2841" s="342">
        <v>0</v>
      </c>
      <c r="Q2841" s="342">
        <v>768</v>
      </c>
      <c r="R2841" s="351">
        <f t="shared" si="86"/>
        <v>0</v>
      </c>
      <c r="S2841" s="319">
        <v>202304</v>
      </c>
      <c r="T2841" s="347" t="s">
        <v>3722</v>
      </c>
      <c r="U2841" s="347"/>
      <c r="V2841" s="320"/>
      <c r="W2841" s="320"/>
      <c r="X2841" s="229">
        <v>44774</v>
      </c>
      <c r="Y2841" s="184">
        <v>45138</v>
      </c>
    </row>
    <row r="2842" s="3" customFormat="1" customHeight="1" spans="1:25">
      <c r="A2842" s="11" t="s">
        <v>448</v>
      </c>
      <c r="B2842" s="310" t="s">
        <v>3037</v>
      </c>
      <c r="C2842" s="11" t="s">
        <v>144</v>
      </c>
      <c r="D2842" s="310" t="s">
        <v>3038</v>
      </c>
      <c r="E2842" s="13" t="s">
        <v>3717</v>
      </c>
      <c r="F2842" s="11" t="s">
        <v>3405</v>
      </c>
      <c r="G2842" s="11" t="s">
        <v>31</v>
      </c>
      <c r="H2842" s="310" t="s">
        <v>3718</v>
      </c>
      <c r="I2842" s="30" t="e">
        <f>VLOOKUP(H2842,'合同高级查询数据-4月返'!A:A,1,FALSE)</f>
        <v>#N/A</v>
      </c>
      <c r="J2842" s="140" t="s">
        <v>3092</v>
      </c>
      <c r="K2842" s="310" t="s">
        <v>3719</v>
      </c>
      <c r="L2842" s="11" t="s">
        <v>3720</v>
      </c>
      <c r="M2842" s="315" t="s">
        <v>3720</v>
      </c>
      <c r="N2842" s="261">
        <v>44501</v>
      </c>
      <c r="O2842" s="263" t="s">
        <v>37</v>
      </c>
      <c r="P2842" s="363">
        <v>0</v>
      </c>
      <c r="Q2842" s="363">
        <v>768</v>
      </c>
      <c r="R2842" s="348">
        <f t="shared" si="86"/>
        <v>0</v>
      </c>
      <c r="S2842" s="322">
        <v>202304</v>
      </c>
      <c r="T2842" s="349" t="s">
        <v>3723</v>
      </c>
      <c r="U2842" s="349"/>
      <c r="V2842" s="323"/>
      <c r="W2842" s="323"/>
      <c r="X2842" s="193">
        <v>44774</v>
      </c>
      <c r="Y2842" s="193"/>
    </row>
    <row r="2843" s="5" customFormat="1" customHeight="1" spans="1:25">
      <c r="A2843" s="327" t="s">
        <v>448</v>
      </c>
      <c r="B2843" s="307" t="s">
        <v>3037</v>
      </c>
      <c r="C2843" s="327" t="s">
        <v>144</v>
      </c>
      <c r="D2843" s="307" t="s">
        <v>3038</v>
      </c>
      <c r="E2843" s="23" t="s">
        <v>945</v>
      </c>
      <c r="F2843" s="22" t="s">
        <v>3405</v>
      </c>
      <c r="G2843" s="340" t="s">
        <v>88</v>
      </c>
      <c r="H2843" s="309" t="s">
        <v>3362</v>
      </c>
      <c r="I2843" s="46" t="e">
        <f>VLOOKUP(H2843,'合同高级查询数据-4月返'!A:A,1,FALSE)</f>
        <v>#N/A</v>
      </c>
      <c r="J2843" s="329" t="s">
        <v>162</v>
      </c>
      <c r="K2843" s="340" t="s">
        <v>3496</v>
      </c>
      <c r="L2843" s="340" t="s">
        <v>3720</v>
      </c>
      <c r="M2843" s="340" t="s">
        <v>3720</v>
      </c>
      <c r="N2843" s="265">
        <v>44186</v>
      </c>
      <c r="O2843" s="340" t="s">
        <v>1535</v>
      </c>
      <c r="P2843" s="346">
        <v>0</v>
      </c>
      <c r="Q2843" s="346">
        <v>12</v>
      </c>
      <c r="R2843" s="351">
        <f t="shared" si="86"/>
        <v>0</v>
      </c>
      <c r="S2843" s="319">
        <v>202304</v>
      </c>
      <c r="T2843" s="347" t="s">
        <v>3724</v>
      </c>
      <c r="U2843" s="347"/>
      <c r="V2843" s="320"/>
      <c r="W2843" s="320"/>
      <c r="X2843" s="229">
        <v>44774</v>
      </c>
      <c r="Y2843" s="184">
        <v>45138</v>
      </c>
    </row>
    <row r="2844" s="5" customFormat="1" customHeight="1" spans="1:25">
      <c r="A2844" s="327" t="s">
        <v>448</v>
      </c>
      <c r="B2844" s="307" t="s">
        <v>3037</v>
      </c>
      <c r="C2844" s="327" t="s">
        <v>144</v>
      </c>
      <c r="D2844" s="307" t="s">
        <v>3038</v>
      </c>
      <c r="E2844" s="23" t="s">
        <v>945</v>
      </c>
      <c r="F2844" s="22" t="s">
        <v>3405</v>
      </c>
      <c r="G2844" s="340" t="s">
        <v>88</v>
      </c>
      <c r="H2844" s="309" t="s">
        <v>3362</v>
      </c>
      <c r="I2844" s="46" t="e">
        <f>VLOOKUP(H2844,'合同高级查询数据-4月返'!A:A,1,FALSE)</f>
        <v>#N/A</v>
      </c>
      <c r="J2844" s="329" t="s">
        <v>162</v>
      </c>
      <c r="K2844" s="340" t="s">
        <v>3496</v>
      </c>
      <c r="L2844" s="340" t="s">
        <v>3720</v>
      </c>
      <c r="M2844" s="340" t="s">
        <v>3720</v>
      </c>
      <c r="N2844" s="265">
        <v>44216</v>
      </c>
      <c r="O2844" s="340" t="s">
        <v>1535</v>
      </c>
      <c r="P2844" s="346">
        <v>0</v>
      </c>
      <c r="Q2844" s="346">
        <v>2</v>
      </c>
      <c r="R2844" s="351">
        <f t="shared" si="86"/>
        <v>0</v>
      </c>
      <c r="S2844" s="319">
        <v>202304</v>
      </c>
      <c r="T2844" s="347" t="s">
        <v>3725</v>
      </c>
      <c r="U2844" s="347"/>
      <c r="V2844" s="320"/>
      <c r="W2844" s="320"/>
      <c r="X2844" s="229">
        <v>44774</v>
      </c>
      <c r="Y2844" s="184">
        <v>45138</v>
      </c>
    </row>
    <row r="2845" s="3" customFormat="1" customHeight="1" spans="1:25">
      <c r="A2845" s="310" t="s">
        <v>448</v>
      </c>
      <c r="B2845" s="310" t="s">
        <v>3726</v>
      </c>
      <c r="C2845" s="11" t="s">
        <v>39</v>
      </c>
      <c r="D2845" s="310" t="s">
        <v>951</v>
      </c>
      <c r="E2845" s="13" t="s">
        <v>3727</v>
      </c>
      <c r="F2845" s="11" t="s">
        <v>3728</v>
      </c>
      <c r="G2845" s="11" t="s">
        <v>346</v>
      </c>
      <c r="H2845" s="338" t="s">
        <v>3729</v>
      </c>
      <c r="I2845" s="30" t="e">
        <f>VLOOKUP(H2845,'合同高级查询数据-4月返'!A:A,1,FALSE)</f>
        <v>#N/A</v>
      </c>
      <c r="J2845" s="140" t="s">
        <v>346</v>
      </c>
      <c r="K2845" s="11" t="s">
        <v>3730</v>
      </c>
      <c r="L2845" s="174"/>
      <c r="M2845" s="315"/>
      <c r="N2845" s="316">
        <v>43756</v>
      </c>
      <c r="O2845" s="11" t="s">
        <v>1470</v>
      </c>
      <c r="P2845" s="324">
        <v>450000</v>
      </c>
      <c r="Q2845" s="324">
        <v>1</v>
      </c>
      <c r="R2845" s="126">
        <f t="shared" si="86"/>
        <v>450000</v>
      </c>
      <c r="S2845" s="322">
        <v>202304</v>
      </c>
      <c r="T2845" s="232" t="s">
        <v>3731</v>
      </c>
      <c r="U2845" s="232"/>
      <c r="V2845" s="323"/>
      <c r="W2845" s="323"/>
      <c r="X2845" s="193">
        <v>44927</v>
      </c>
      <c r="Y2845" s="193"/>
    </row>
    <row r="2846" s="3" customFormat="1" customHeight="1" spans="1:25">
      <c r="A2846" s="11" t="s">
        <v>448</v>
      </c>
      <c r="B2846" s="310" t="s">
        <v>3726</v>
      </c>
      <c r="C2846" s="11" t="s">
        <v>39</v>
      </c>
      <c r="D2846" s="35" t="s">
        <v>951</v>
      </c>
      <c r="E2846" s="13" t="s">
        <v>3727</v>
      </c>
      <c r="F2846" s="11" t="s">
        <v>3732</v>
      </c>
      <c r="G2846" s="11" t="s">
        <v>88</v>
      </c>
      <c r="H2846" s="310" t="s">
        <v>3733</v>
      </c>
      <c r="I2846" s="30" t="e">
        <f>VLOOKUP(H2846,'合同高级查询数据-4月返'!A:A,1,FALSE)</f>
        <v>#N/A</v>
      </c>
      <c r="J2846" s="364" t="s">
        <v>90</v>
      </c>
      <c r="K2846" s="35" t="s">
        <v>3734</v>
      </c>
      <c r="L2846" s="35"/>
      <c r="M2846" s="315" t="s">
        <v>3735</v>
      </c>
      <c r="N2846" s="261">
        <v>43424</v>
      </c>
      <c r="O2846" s="261" t="s">
        <v>503</v>
      </c>
      <c r="P2846" s="365">
        <v>6000</v>
      </c>
      <c r="Q2846" s="321">
        <v>2</v>
      </c>
      <c r="R2846" s="321">
        <f t="shared" ref="R2846:R2878" si="87">ROUND(P2846*Q2846,2)</f>
        <v>12000</v>
      </c>
      <c r="S2846" s="322">
        <v>202304</v>
      </c>
      <c r="T2846" s="349" t="s">
        <v>3736</v>
      </c>
      <c r="U2846" s="349"/>
      <c r="V2846" s="323"/>
      <c r="W2846" s="323"/>
      <c r="X2846" s="326">
        <v>44866</v>
      </c>
      <c r="Y2846" s="193"/>
    </row>
    <row r="2847" s="3" customFormat="1" customHeight="1" spans="1:25">
      <c r="A2847" s="11" t="s">
        <v>448</v>
      </c>
      <c r="B2847" s="310" t="s">
        <v>3726</v>
      </c>
      <c r="C2847" s="11" t="s">
        <v>39</v>
      </c>
      <c r="D2847" s="35" t="s">
        <v>951</v>
      </c>
      <c r="E2847" s="13" t="s">
        <v>3727</v>
      </c>
      <c r="F2847" s="11" t="s">
        <v>3732</v>
      </c>
      <c r="G2847" s="11" t="s">
        <v>88</v>
      </c>
      <c r="H2847" s="310" t="s">
        <v>3733</v>
      </c>
      <c r="I2847" s="30" t="e">
        <f>VLOOKUP(H2847,'合同高级查询数据-4月返'!A:A,1,FALSE)</f>
        <v>#N/A</v>
      </c>
      <c r="J2847" s="364" t="s">
        <v>3488</v>
      </c>
      <c r="K2847" s="35" t="s">
        <v>3734</v>
      </c>
      <c r="L2847" s="35"/>
      <c r="M2847" s="315" t="s">
        <v>3735</v>
      </c>
      <c r="N2847" s="261">
        <v>43426</v>
      </c>
      <c r="O2847" s="261" t="s">
        <v>503</v>
      </c>
      <c r="P2847" s="365">
        <v>6000</v>
      </c>
      <c r="Q2847" s="321">
        <v>15</v>
      </c>
      <c r="R2847" s="321">
        <f t="shared" si="87"/>
        <v>90000</v>
      </c>
      <c r="S2847" s="322">
        <v>202304</v>
      </c>
      <c r="T2847" s="349" t="s">
        <v>3737</v>
      </c>
      <c r="U2847" s="349"/>
      <c r="V2847" s="323"/>
      <c r="W2847" s="323"/>
      <c r="X2847" s="326">
        <v>44866</v>
      </c>
      <c r="Y2847" s="193"/>
    </row>
    <row r="2848" s="3" customFormat="1" customHeight="1" spans="1:25">
      <c r="A2848" s="11" t="s">
        <v>448</v>
      </c>
      <c r="B2848" s="310" t="s">
        <v>3726</v>
      </c>
      <c r="C2848" s="11" t="s">
        <v>39</v>
      </c>
      <c r="D2848" s="35" t="s">
        <v>951</v>
      </c>
      <c r="E2848" s="13" t="s">
        <v>3727</v>
      </c>
      <c r="F2848" s="11" t="s">
        <v>3732</v>
      </c>
      <c r="G2848" s="11" t="s">
        <v>88</v>
      </c>
      <c r="H2848" s="310" t="s">
        <v>3733</v>
      </c>
      <c r="I2848" s="30" t="e">
        <f>VLOOKUP(H2848,'合同高级查询数据-4月返'!A:A,1,FALSE)</f>
        <v>#N/A</v>
      </c>
      <c r="J2848" s="364" t="s">
        <v>3488</v>
      </c>
      <c r="K2848" s="35" t="s">
        <v>3734</v>
      </c>
      <c r="L2848" s="35"/>
      <c r="M2848" s="315" t="s">
        <v>3735</v>
      </c>
      <c r="N2848" s="261">
        <v>43430</v>
      </c>
      <c r="O2848" s="261" t="s">
        <v>503</v>
      </c>
      <c r="P2848" s="365">
        <v>6000</v>
      </c>
      <c r="Q2848" s="321">
        <v>15</v>
      </c>
      <c r="R2848" s="321">
        <f t="shared" si="87"/>
        <v>90000</v>
      </c>
      <c r="S2848" s="322">
        <v>202304</v>
      </c>
      <c r="T2848" s="349" t="s">
        <v>3738</v>
      </c>
      <c r="U2848" s="349"/>
      <c r="V2848" s="323"/>
      <c r="W2848" s="323"/>
      <c r="X2848" s="326">
        <v>44866</v>
      </c>
      <c r="Y2848" s="193"/>
    </row>
    <row r="2849" s="3" customFormat="1" customHeight="1" spans="1:25">
      <c r="A2849" s="11" t="s">
        <v>448</v>
      </c>
      <c r="B2849" s="310" t="s">
        <v>3726</v>
      </c>
      <c r="C2849" s="11" t="s">
        <v>39</v>
      </c>
      <c r="D2849" s="35" t="s">
        <v>951</v>
      </c>
      <c r="E2849" s="13" t="s">
        <v>3727</v>
      </c>
      <c r="F2849" s="11" t="s">
        <v>3732</v>
      </c>
      <c r="G2849" s="11" t="s">
        <v>88</v>
      </c>
      <c r="H2849" s="310" t="s">
        <v>3733</v>
      </c>
      <c r="I2849" s="30" t="e">
        <f>VLOOKUP(H2849,'合同高级查询数据-4月返'!A:A,1,FALSE)</f>
        <v>#N/A</v>
      </c>
      <c r="J2849" s="364" t="s">
        <v>3488</v>
      </c>
      <c r="K2849" s="35" t="s">
        <v>3734</v>
      </c>
      <c r="L2849" s="35"/>
      <c r="M2849" s="315" t="s">
        <v>3735</v>
      </c>
      <c r="N2849" s="261">
        <v>43431</v>
      </c>
      <c r="O2849" s="261" t="s">
        <v>503</v>
      </c>
      <c r="P2849" s="365">
        <v>6000</v>
      </c>
      <c r="Q2849" s="321">
        <v>23</v>
      </c>
      <c r="R2849" s="321">
        <f t="shared" si="87"/>
        <v>138000</v>
      </c>
      <c r="S2849" s="322">
        <v>202304</v>
      </c>
      <c r="T2849" s="349" t="s">
        <v>3739</v>
      </c>
      <c r="U2849" s="349"/>
      <c r="V2849" s="323"/>
      <c r="W2849" s="323"/>
      <c r="X2849" s="326">
        <v>44866</v>
      </c>
      <c r="Y2849" s="193"/>
    </row>
    <row r="2850" s="3" customFormat="1" customHeight="1" spans="1:25">
      <c r="A2850" s="11" t="s">
        <v>448</v>
      </c>
      <c r="B2850" s="310" t="s">
        <v>3726</v>
      </c>
      <c r="C2850" s="11" t="s">
        <v>39</v>
      </c>
      <c r="D2850" s="35" t="s">
        <v>951</v>
      </c>
      <c r="E2850" s="13" t="s">
        <v>3727</v>
      </c>
      <c r="F2850" s="11" t="s">
        <v>3732</v>
      </c>
      <c r="G2850" s="11" t="s">
        <v>88</v>
      </c>
      <c r="H2850" s="310" t="s">
        <v>3733</v>
      </c>
      <c r="I2850" s="30" t="e">
        <f>VLOOKUP(H2850,'合同高级查询数据-4月返'!A:A,1,FALSE)</f>
        <v>#N/A</v>
      </c>
      <c r="J2850" s="364" t="s">
        <v>3488</v>
      </c>
      <c r="K2850" s="35" t="s">
        <v>3734</v>
      </c>
      <c r="L2850" s="35"/>
      <c r="M2850" s="315" t="s">
        <v>3735</v>
      </c>
      <c r="N2850" s="261">
        <v>43432</v>
      </c>
      <c r="O2850" s="261" t="s">
        <v>503</v>
      </c>
      <c r="P2850" s="365">
        <v>6000</v>
      </c>
      <c r="Q2850" s="321">
        <v>27</v>
      </c>
      <c r="R2850" s="321">
        <f t="shared" si="87"/>
        <v>162000</v>
      </c>
      <c r="S2850" s="322">
        <v>202304</v>
      </c>
      <c r="T2850" s="349" t="s">
        <v>3740</v>
      </c>
      <c r="U2850" s="349"/>
      <c r="V2850" s="323"/>
      <c r="W2850" s="323"/>
      <c r="X2850" s="326">
        <v>44866</v>
      </c>
      <c r="Y2850" s="193"/>
    </row>
    <row r="2851" s="3" customFormat="1" customHeight="1" spans="1:25">
      <c r="A2851" s="11" t="s">
        <v>448</v>
      </c>
      <c r="B2851" s="310" t="s">
        <v>3726</v>
      </c>
      <c r="C2851" s="11" t="s">
        <v>39</v>
      </c>
      <c r="D2851" s="35" t="s">
        <v>951</v>
      </c>
      <c r="E2851" s="13" t="s">
        <v>3727</v>
      </c>
      <c r="F2851" s="11" t="s">
        <v>3732</v>
      </c>
      <c r="G2851" s="11" t="s">
        <v>88</v>
      </c>
      <c r="H2851" s="310" t="s">
        <v>3733</v>
      </c>
      <c r="I2851" s="30" t="e">
        <f>VLOOKUP(H2851,'合同高级查询数据-4月返'!A:A,1,FALSE)</f>
        <v>#N/A</v>
      </c>
      <c r="J2851" s="11" t="s">
        <v>3488</v>
      </c>
      <c r="K2851" s="35" t="s">
        <v>3734</v>
      </c>
      <c r="L2851" s="11"/>
      <c r="M2851" s="315" t="s">
        <v>3735</v>
      </c>
      <c r="N2851" s="261">
        <v>43433</v>
      </c>
      <c r="O2851" s="263" t="s">
        <v>503</v>
      </c>
      <c r="P2851" s="363">
        <v>6000</v>
      </c>
      <c r="Q2851" s="321">
        <v>12</v>
      </c>
      <c r="R2851" s="321">
        <f t="shared" si="87"/>
        <v>72000</v>
      </c>
      <c r="S2851" s="322">
        <v>202304</v>
      </c>
      <c r="T2851" s="349" t="s">
        <v>3741</v>
      </c>
      <c r="U2851" s="349"/>
      <c r="V2851" s="323"/>
      <c r="W2851" s="323"/>
      <c r="X2851" s="326">
        <v>44866</v>
      </c>
      <c r="Y2851" s="193"/>
    </row>
    <row r="2852" s="3" customFormat="1" customHeight="1" spans="1:25">
      <c r="A2852" s="11" t="s">
        <v>448</v>
      </c>
      <c r="B2852" s="310" t="s">
        <v>3726</v>
      </c>
      <c r="C2852" s="11" t="s">
        <v>39</v>
      </c>
      <c r="D2852" s="35" t="s">
        <v>951</v>
      </c>
      <c r="E2852" s="13" t="s">
        <v>3727</v>
      </c>
      <c r="F2852" s="11" t="s">
        <v>3732</v>
      </c>
      <c r="G2852" s="11" t="s">
        <v>88</v>
      </c>
      <c r="H2852" s="310" t="s">
        <v>3733</v>
      </c>
      <c r="I2852" s="30" t="e">
        <f>VLOOKUP(H2852,'合同高级查询数据-4月返'!A:A,1,FALSE)</f>
        <v>#N/A</v>
      </c>
      <c r="J2852" s="11" t="s">
        <v>3488</v>
      </c>
      <c r="K2852" s="35" t="s">
        <v>3734</v>
      </c>
      <c r="L2852" s="11"/>
      <c r="M2852" s="315" t="s">
        <v>3735</v>
      </c>
      <c r="N2852" s="261">
        <v>43440</v>
      </c>
      <c r="O2852" s="263" t="s">
        <v>503</v>
      </c>
      <c r="P2852" s="363">
        <v>6000</v>
      </c>
      <c r="Q2852" s="321">
        <v>1</v>
      </c>
      <c r="R2852" s="321">
        <f t="shared" si="87"/>
        <v>6000</v>
      </c>
      <c r="S2852" s="322">
        <v>202304</v>
      </c>
      <c r="T2852" s="349" t="s">
        <v>3742</v>
      </c>
      <c r="U2852" s="349"/>
      <c r="V2852" s="323"/>
      <c r="W2852" s="323"/>
      <c r="X2852" s="326">
        <v>44866</v>
      </c>
      <c r="Y2852" s="193"/>
    </row>
    <row r="2853" s="3" customFormat="1" customHeight="1" spans="1:25">
      <c r="A2853" s="11" t="s">
        <v>448</v>
      </c>
      <c r="B2853" s="310" t="s">
        <v>3726</v>
      </c>
      <c r="C2853" s="11" t="s">
        <v>39</v>
      </c>
      <c r="D2853" s="35" t="s">
        <v>951</v>
      </c>
      <c r="E2853" s="13" t="s">
        <v>3727</v>
      </c>
      <c r="F2853" s="11" t="s">
        <v>3732</v>
      </c>
      <c r="G2853" s="11" t="s">
        <v>88</v>
      </c>
      <c r="H2853" s="310" t="s">
        <v>3733</v>
      </c>
      <c r="I2853" s="30" t="e">
        <f>VLOOKUP(H2853,'合同高级查询数据-4月返'!A:A,1,FALSE)</f>
        <v>#N/A</v>
      </c>
      <c r="J2853" s="11" t="s">
        <v>3488</v>
      </c>
      <c r="K2853" s="35" t="s">
        <v>3734</v>
      </c>
      <c r="L2853" s="11"/>
      <c r="M2853" s="315" t="s">
        <v>3735</v>
      </c>
      <c r="N2853" s="261">
        <v>43447</v>
      </c>
      <c r="O2853" s="263" t="s">
        <v>503</v>
      </c>
      <c r="P2853" s="363">
        <v>6000</v>
      </c>
      <c r="Q2853" s="321">
        <v>3</v>
      </c>
      <c r="R2853" s="321">
        <f t="shared" si="87"/>
        <v>18000</v>
      </c>
      <c r="S2853" s="322">
        <v>202304</v>
      </c>
      <c r="T2853" s="349" t="s">
        <v>3743</v>
      </c>
      <c r="U2853" s="349"/>
      <c r="V2853" s="323"/>
      <c r="W2853" s="323"/>
      <c r="X2853" s="326">
        <v>44866</v>
      </c>
      <c r="Y2853" s="193"/>
    </row>
    <row r="2854" s="3" customFormat="1" customHeight="1" spans="1:25">
      <c r="A2854" s="11" t="s">
        <v>448</v>
      </c>
      <c r="B2854" s="310" t="s">
        <v>3726</v>
      </c>
      <c r="C2854" s="11" t="s">
        <v>39</v>
      </c>
      <c r="D2854" s="35" t="s">
        <v>951</v>
      </c>
      <c r="E2854" s="13" t="s">
        <v>3727</v>
      </c>
      <c r="F2854" s="11" t="s">
        <v>3732</v>
      </c>
      <c r="G2854" s="11" t="s">
        <v>88</v>
      </c>
      <c r="H2854" s="310" t="s">
        <v>3733</v>
      </c>
      <c r="I2854" s="30" t="e">
        <f>VLOOKUP(H2854,'合同高级查询数据-4月返'!A:A,1,FALSE)</f>
        <v>#N/A</v>
      </c>
      <c r="J2854" s="11" t="s">
        <v>90</v>
      </c>
      <c r="K2854" s="35" t="s">
        <v>3734</v>
      </c>
      <c r="L2854" s="11"/>
      <c r="M2854" s="315" t="s">
        <v>3735</v>
      </c>
      <c r="N2854" s="261">
        <v>43426</v>
      </c>
      <c r="O2854" s="261" t="s">
        <v>1746</v>
      </c>
      <c r="P2854" s="363">
        <v>10000</v>
      </c>
      <c r="Q2854" s="321">
        <v>27</v>
      </c>
      <c r="R2854" s="321">
        <f t="shared" si="87"/>
        <v>270000</v>
      </c>
      <c r="S2854" s="322">
        <v>202304</v>
      </c>
      <c r="T2854" s="349" t="s">
        <v>3744</v>
      </c>
      <c r="U2854" s="349"/>
      <c r="V2854" s="323"/>
      <c r="W2854" s="323"/>
      <c r="X2854" s="326">
        <v>44866</v>
      </c>
      <c r="Y2854" s="193"/>
    </row>
    <row r="2855" s="3" customFormat="1" customHeight="1" spans="1:25">
      <c r="A2855" s="11" t="s">
        <v>448</v>
      </c>
      <c r="B2855" s="310" t="s">
        <v>3726</v>
      </c>
      <c r="C2855" s="11" t="s">
        <v>39</v>
      </c>
      <c r="D2855" s="35" t="s">
        <v>951</v>
      </c>
      <c r="E2855" s="13" t="s">
        <v>3727</v>
      </c>
      <c r="F2855" s="11" t="s">
        <v>3732</v>
      </c>
      <c r="G2855" s="11" t="s">
        <v>88</v>
      </c>
      <c r="H2855" s="310" t="s">
        <v>3733</v>
      </c>
      <c r="I2855" s="30" t="e">
        <f>VLOOKUP(H2855,'合同高级查询数据-4月返'!A:A,1,FALSE)</f>
        <v>#N/A</v>
      </c>
      <c r="J2855" s="11" t="s">
        <v>90</v>
      </c>
      <c r="K2855" s="35" t="s">
        <v>3734</v>
      </c>
      <c r="L2855" s="11"/>
      <c r="M2855" s="315" t="s">
        <v>3735</v>
      </c>
      <c r="N2855" s="261">
        <v>43525</v>
      </c>
      <c r="O2855" s="261" t="s">
        <v>503</v>
      </c>
      <c r="P2855" s="363">
        <v>6000</v>
      </c>
      <c r="Q2855" s="321">
        <v>39</v>
      </c>
      <c r="R2855" s="321">
        <f t="shared" si="87"/>
        <v>234000</v>
      </c>
      <c r="S2855" s="322">
        <v>202304</v>
      </c>
      <c r="T2855" s="349"/>
      <c r="U2855" s="349"/>
      <c r="V2855" s="323"/>
      <c r="W2855" s="323"/>
      <c r="X2855" s="326">
        <v>44866</v>
      </c>
      <c r="Y2855" s="193"/>
    </row>
    <row r="2856" s="3" customFormat="1" customHeight="1" spans="1:25">
      <c r="A2856" s="11" t="s">
        <v>448</v>
      </c>
      <c r="B2856" s="310" t="s">
        <v>3726</v>
      </c>
      <c r="C2856" s="11" t="s">
        <v>39</v>
      </c>
      <c r="D2856" s="35" t="s">
        <v>951</v>
      </c>
      <c r="E2856" s="13" t="s">
        <v>3727</v>
      </c>
      <c r="F2856" s="11" t="s">
        <v>3732</v>
      </c>
      <c r="G2856" s="11" t="s">
        <v>88</v>
      </c>
      <c r="H2856" s="310" t="s">
        <v>3733</v>
      </c>
      <c r="I2856" s="30" t="e">
        <f>VLOOKUP(H2856,'合同高级查询数据-4月返'!A:A,1,FALSE)</f>
        <v>#N/A</v>
      </c>
      <c r="J2856" s="11" t="s">
        <v>90</v>
      </c>
      <c r="K2856" s="35" t="s">
        <v>3734</v>
      </c>
      <c r="L2856" s="11"/>
      <c r="M2856" s="315" t="s">
        <v>3735</v>
      </c>
      <c r="N2856" s="261">
        <v>43544</v>
      </c>
      <c r="O2856" s="261" t="s">
        <v>503</v>
      </c>
      <c r="P2856" s="363">
        <v>6000</v>
      </c>
      <c r="Q2856" s="321">
        <v>20</v>
      </c>
      <c r="R2856" s="321">
        <f t="shared" si="87"/>
        <v>120000</v>
      </c>
      <c r="S2856" s="322">
        <v>202304</v>
      </c>
      <c r="T2856" s="349" t="s">
        <v>3745</v>
      </c>
      <c r="U2856" s="349"/>
      <c r="V2856" s="323"/>
      <c r="W2856" s="323"/>
      <c r="X2856" s="326">
        <v>44866</v>
      </c>
      <c r="Y2856" s="193"/>
    </row>
    <row r="2857" s="3" customFormat="1" customHeight="1" spans="1:25">
      <c r="A2857" s="11" t="s">
        <v>448</v>
      </c>
      <c r="B2857" s="310" t="s">
        <v>3726</v>
      </c>
      <c r="C2857" s="11" t="s">
        <v>39</v>
      </c>
      <c r="D2857" s="35" t="s">
        <v>951</v>
      </c>
      <c r="E2857" s="13" t="s">
        <v>3727</v>
      </c>
      <c r="F2857" s="11" t="s">
        <v>3732</v>
      </c>
      <c r="G2857" s="11" t="s">
        <v>88</v>
      </c>
      <c r="H2857" s="310" t="s">
        <v>3733</v>
      </c>
      <c r="I2857" s="30" t="e">
        <f>VLOOKUP(H2857,'合同高级查询数据-4月返'!A:A,1,FALSE)</f>
        <v>#N/A</v>
      </c>
      <c r="J2857" s="11" t="s">
        <v>90</v>
      </c>
      <c r="K2857" s="35" t="s">
        <v>3734</v>
      </c>
      <c r="L2857" s="11"/>
      <c r="M2857" s="315" t="s">
        <v>3735</v>
      </c>
      <c r="N2857" s="261">
        <v>43546</v>
      </c>
      <c r="O2857" s="261" t="s">
        <v>503</v>
      </c>
      <c r="P2857" s="363">
        <v>6000</v>
      </c>
      <c r="Q2857" s="321">
        <v>3</v>
      </c>
      <c r="R2857" s="321">
        <f t="shared" si="87"/>
        <v>18000</v>
      </c>
      <c r="S2857" s="322">
        <v>202304</v>
      </c>
      <c r="T2857" s="349" t="s">
        <v>3746</v>
      </c>
      <c r="U2857" s="349"/>
      <c r="V2857" s="323"/>
      <c r="W2857" s="323"/>
      <c r="X2857" s="326">
        <v>44866</v>
      </c>
      <c r="Y2857" s="193"/>
    </row>
    <row r="2858" s="3" customFormat="1" customHeight="1" spans="1:25">
      <c r="A2858" s="11" t="s">
        <v>448</v>
      </c>
      <c r="B2858" s="310" t="s">
        <v>3726</v>
      </c>
      <c r="C2858" s="11" t="s">
        <v>39</v>
      </c>
      <c r="D2858" s="35" t="s">
        <v>951</v>
      </c>
      <c r="E2858" s="13" t="s">
        <v>3727</v>
      </c>
      <c r="F2858" s="11" t="s">
        <v>3732</v>
      </c>
      <c r="G2858" s="11" t="s">
        <v>88</v>
      </c>
      <c r="H2858" s="310" t="s">
        <v>3733</v>
      </c>
      <c r="I2858" s="30" t="e">
        <f>VLOOKUP(H2858,'合同高级查询数据-4月返'!A:A,1,FALSE)</f>
        <v>#N/A</v>
      </c>
      <c r="J2858" s="11" t="s">
        <v>90</v>
      </c>
      <c r="K2858" s="35" t="s">
        <v>3734</v>
      </c>
      <c r="L2858" s="11"/>
      <c r="M2858" s="315" t="s">
        <v>3735</v>
      </c>
      <c r="N2858" s="261">
        <v>43615</v>
      </c>
      <c r="O2858" s="263" t="s">
        <v>503</v>
      </c>
      <c r="P2858" s="363">
        <v>6000</v>
      </c>
      <c r="Q2858" s="321">
        <v>9</v>
      </c>
      <c r="R2858" s="321">
        <f t="shared" si="87"/>
        <v>54000</v>
      </c>
      <c r="S2858" s="322">
        <v>202304</v>
      </c>
      <c r="T2858" s="349" t="s">
        <v>3747</v>
      </c>
      <c r="U2858" s="349"/>
      <c r="V2858" s="323"/>
      <c r="W2858" s="323"/>
      <c r="X2858" s="326">
        <v>44866</v>
      </c>
      <c r="Y2858" s="193"/>
    </row>
    <row r="2859" s="3" customFormat="1" customHeight="1" spans="1:25">
      <c r="A2859" s="11" t="s">
        <v>448</v>
      </c>
      <c r="B2859" s="310" t="s">
        <v>3726</v>
      </c>
      <c r="C2859" s="11" t="s">
        <v>39</v>
      </c>
      <c r="D2859" s="35" t="s">
        <v>951</v>
      </c>
      <c r="E2859" s="13" t="s">
        <v>3727</v>
      </c>
      <c r="F2859" s="11" t="s">
        <v>3732</v>
      </c>
      <c r="G2859" s="11" t="s">
        <v>88</v>
      </c>
      <c r="H2859" s="310" t="s">
        <v>3733</v>
      </c>
      <c r="I2859" s="30" t="e">
        <f>VLOOKUP(H2859,'合同高级查询数据-4月返'!A:A,1,FALSE)</f>
        <v>#N/A</v>
      </c>
      <c r="J2859" s="11" t="s">
        <v>90</v>
      </c>
      <c r="K2859" s="35" t="s">
        <v>3734</v>
      </c>
      <c r="L2859" s="11"/>
      <c r="M2859" s="315" t="s">
        <v>3735</v>
      </c>
      <c r="N2859" s="261">
        <v>43640</v>
      </c>
      <c r="O2859" s="263" t="s">
        <v>503</v>
      </c>
      <c r="P2859" s="363">
        <v>6000</v>
      </c>
      <c r="Q2859" s="321">
        <v>30</v>
      </c>
      <c r="R2859" s="321">
        <f t="shared" si="87"/>
        <v>180000</v>
      </c>
      <c r="S2859" s="322">
        <v>202304</v>
      </c>
      <c r="T2859" s="349" t="s">
        <v>3748</v>
      </c>
      <c r="U2859" s="349"/>
      <c r="V2859" s="323"/>
      <c r="W2859" s="323"/>
      <c r="X2859" s="326">
        <v>44866</v>
      </c>
      <c r="Y2859" s="193"/>
    </row>
    <row r="2860" s="3" customFormat="1" customHeight="1" spans="1:25">
      <c r="A2860" s="11" t="s">
        <v>448</v>
      </c>
      <c r="B2860" s="310" t="s">
        <v>3726</v>
      </c>
      <c r="C2860" s="11" t="s">
        <v>39</v>
      </c>
      <c r="D2860" s="35" t="s">
        <v>951</v>
      </c>
      <c r="E2860" s="13" t="s">
        <v>3727</v>
      </c>
      <c r="F2860" s="11" t="s">
        <v>3732</v>
      </c>
      <c r="G2860" s="11" t="s">
        <v>88</v>
      </c>
      <c r="H2860" s="310" t="s">
        <v>3733</v>
      </c>
      <c r="I2860" s="30" t="e">
        <f>VLOOKUP(H2860,'合同高级查询数据-4月返'!A:A,1,FALSE)</f>
        <v>#N/A</v>
      </c>
      <c r="J2860" s="11" t="s">
        <v>90</v>
      </c>
      <c r="K2860" s="35" t="s">
        <v>3734</v>
      </c>
      <c r="L2860" s="11"/>
      <c r="M2860" s="315" t="s">
        <v>3735</v>
      </c>
      <c r="N2860" s="261">
        <v>43650</v>
      </c>
      <c r="O2860" s="263" t="s">
        <v>503</v>
      </c>
      <c r="P2860" s="363">
        <v>6000</v>
      </c>
      <c r="Q2860" s="321">
        <v>30</v>
      </c>
      <c r="R2860" s="321">
        <f t="shared" si="87"/>
        <v>180000</v>
      </c>
      <c r="S2860" s="322">
        <v>202304</v>
      </c>
      <c r="T2860" s="349"/>
      <c r="U2860" s="349"/>
      <c r="V2860" s="323"/>
      <c r="W2860" s="323"/>
      <c r="X2860" s="326">
        <v>44866</v>
      </c>
      <c r="Y2860" s="193"/>
    </row>
    <row r="2861" s="3" customFormat="1" customHeight="1" spans="1:25">
      <c r="A2861" s="11" t="s">
        <v>448</v>
      </c>
      <c r="B2861" s="310" t="s">
        <v>3726</v>
      </c>
      <c r="C2861" s="11" t="s">
        <v>39</v>
      </c>
      <c r="D2861" s="35" t="s">
        <v>951</v>
      </c>
      <c r="E2861" s="13" t="s">
        <v>3727</v>
      </c>
      <c r="F2861" s="11" t="s">
        <v>3732</v>
      </c>
      <c r="G2861" s="11" t="s">
        <v>88</v>
      </c>
      <c r="H2861" s="310" t="s">
        <v>3733</v>
      </c>
      <c r="I2861" s="30" t="e">
        <f>VLOOKUP(H2861,'合同高级查询数据-4月返'!A:A,1,FALSE)</f>
        <v>#N/A</v>
      </c>
      <c r="J2861" s="11" t="s">
        <v>90</v>
      </c>
      <c r="K2861" s="35" t="s">
        <v>3734</v>
      </c>
      <c r="L2861" s="11"/>
      <c r="M2861" s="315" t="s">
        <v>3735</v>
      </c>
      <c r="N2861" s="261">
        <v>43656</v>
      </c>
      <c r="O2861" s="263" t="s">
        <v>503</v>
      </c>
      <c r="P2861" s="363">
        <v>6000</v>
      </c>
      <c r="Q2861" s="321">
        <v>36</v>
      </c>
      <c r="R2861" s="321">
        <f t="shared" si="87"/>
        <v>216000</v>
      </c>
      <c r="S2861" s="322">
        <v>202304</v>
      </c>
      <c r="T2861" s="349"/>
      <c r="U2861" s="349"/>
      <c r="V2861" s="323"/>
      <c r="W2861" s="323"/>
      <c r="X2861" s="326">
        <v>44866</v>
      </c>
      <c r="Y2861" s="193"/>
    </row>
    <row r="2862" s="3" customFormat="1" customHeight="1" spans="1:25">
      <c r="A2862" s="11" t="s">
        <v>448</v>
      </c>
      <c r="B2862" s="310" t="s">
        <v>3726</v>
      </c>
      <c r="C2862" s="11" t="s">
        <v>39</v>
      </c>
      <c r="D2862" s="35" t="s">
        <v>951</v>
      </c>
      <c r="E2862" s="13" t="s">
        <v>3727</v>
      </c>
      <c r="F2862" s="11" t="s">
        <v>3732</v>
      </c>
      <c r="G2862" s="11" t="s">
        <v>88</v>
      </c>
      <c r="H2862" s="310" t="s">
        <v>3733</v>
      </c>
      <c r="I2862" s="30" t="e">
        <f>VLOOKUP(H2862,'合同高级查询数据-4月返'!A:A,1,FALSE)</f>
        <v>#N/A</v>
      </c>
      <c r="J2862" s="11" t="s">
        <v>90</v>
      </c>
      <c r="K2862" s="35" t="s">
        <v>3734</v>
      </c>
      <c r="L2862" s="11"/>
      <c r="M2862" s="315" t="s">
        <v>3735</v>
      </c>
      <c r="N2862" s="261">
        <v>43669</v>
      </c>
      <c r="O2862" s="263" t="s">
        <v>503</v>
      </c>
      <c r="P2862" s="363">
        <v>6000</v>
      </c>
      <c r="Q2862" s="321">
        <v>10</v>
      </c>
      <c r="R2862" s="321">
        <f t="shared" si="87"/>
        <v>60000</v>
      </c>
      <c r="S2862" s="322">
        <v>202304</v>
      </c>
      <c r="T2862" s="349"/>
      <c r="U2862" s="349"/>
      <c r="V2862" s="323"/>
      <c r="W2862" s="323"/>
      <c r="X2862" s="326">
        <v>44866</v>
      </c>
      <c r="Y2862" s="193"/>
    </row>
    <row r="2863" s="3" customFormat="1" customHeight="1" spans="1:25">
      <c r="A2863" s="11" t="s">
        <v>448</v>
      </c>
      <c r="B2863" s="310" t="s">
        <v>3726</v>
      </c>
      <c r="C2863" s="11" t="s">
        <v>39</v>
      </c>
      <c r="D2863" s="35" t="s">
        <v>951</v>
      </c>
      <c r="E2863" s="13" t="s">
        <v>3727</v>
      </c>
      <c r="F2863" s="11" t="s">
        <v>3732</v>
      </c>
      <c r="G2863" s="11" t="s">
        <v>88</v>
      </c>
      <c r="H2863" s="310" t="s">
        <v>3733</v>
      </c>
      <c r="I2863" s="30" t="e">
        <f>VLOOKUP(H2863,'合同高级查询数据-4月返'!A:A,1,FALSE)</f>
        <v>#N/A</v>
      </c>
      <c r="J2863" s="11" t="s">
        <v>90</v>
      </c>
      <c r="K2863" s="35" t="s">
        <v>3734</v>
      </c>
      <c r="L2863" s="11"/>
      <c r="M2863" s="315" t="s">
        <v>3735</v>
      </c>
      <c r="N2863" s="261">
        <v>43713</v>
      </c>
      <c r="O2863" s="263" t="s">
        <v>503</v>
      </c>
      <c r="P2863" s="363">
        <v>6000</v>
      </c>
      <c r="Q2863" s="321">
        <v>3</v>
      </c>
      <c r="R2863" s="130">
        <f t="shared" si="87"/>
        <v>18000</v>
      </c>
      <c r="S2863" s="322">
        <v>202304</v>
      </c>
      <c r="T2863" s="349" t="s">
        <v>3749</v>
      </c>
      <c r="U2863" s="232"/>
      <c r="V2863" s="323"/>
      <c r="W2863" s="323"/>
      <c r="X2863" s="326">
        <v>44866</v>
      </c>
      <c r="Y2863" s="193"/>
    </row>
    <row r="2864" s="3" customFormat="1" customHeight="1" spans="1:25">
      <c r="A2864" s="11" t="s">
        <v>448</v>
      </c>
      <c r="B2864" s="310" t="s">
        <v>3726</v>
      </c>
      <c r="C2864" s="11" t="s">
        <v>39</v>
      </c>
      <c r="D2864" s="35" t="s">
        <v>951</v>
      </c>
      <c r="E2864" s="13" t="s">
        <v>3727</v>
      </c>
      <c r="F2864" s="11" t="s">
        <v>3732</v>
      </c>
      <c r="G2864" s="11" t="s">
        <v>88</v>
      </c>
      <c r="H2864" s="310" t="s">
        <v>3733</v>
      </c>
      <c r="I2864" s="30" t="e">
        <f>VLOOKUP(H2864,'合同高级查询数据-4月返'!A:A,1,FALSE)</f>
        <v>#N/A</v>
      </c>
      <c r="J2864" s="11" t="s">
        <v>90</v>
      </c>
      <c r="K2864" s="35" t="s">
        <v>3734</v>
      </c>
      <c r="L2864" s="11"/>
      <c r="M2864" s="315" t="s">
        <v>3735</v>
      </c>
      <c r="N2864" s="261">
        <v>43923</v>
      </c>
      <c r="O2864" s="263" t="s">
        <v>503</v>
      </c>
      <c r="P2864" s="363">
        <v>6000</v>
      </c>
      <c r="Q2864" s="321">
        <v>3</v>
      </c>
      <c r="R2864" s="126">
        <f t="shared" si="87"/>
        <v>18000</v>
      </c>
      <c r="S2864" s="322">
        <v>202304</v>
      </c>
      <c r="T2864" s="349" t="s">
        <v>3750</v>
      </c>
      <c r="U2864" s="232"/>
      <c r="V2864" s="323"/>
      <c r="W2864" s="323"/>
      <c r="X2864" s="326">
        <v>44866</v>
      </c>
      <c r="Y2864" s="193"/>
    </row>
    <row r="2865" s="3" customFormat="1" customHeight="1" spans="1:25">
      <c r="A2865" s="11" t="s">
        <v>448</v>
      </c>
      <c r="B2865" s="310" t="s">
        <v>3726</v>
      </c>
      <c r="C2865" s="11" t="s">
        <v>39</v>
      </c>
      <c r="D2865" s="35" t="s">
        <v>951</v>
      </c>
      <c r="E2865" s="13" t="s">
        <v>3727</v>
      </c>
      <c r="F2865" s="11" t="s">
        <v>3732</v>
      </c>
      <c r="G2865" s="11" t="s">
        <v>88</v>
      </c>
      <c r="H2865" s="310" t="s">
        <v>3733</v>
      </c>
      <c r="I2865" s="30" t="e">
        <f>VLOOKUP(H2865,'合同高级查询数据-4月返'!A:A,1,FALSE)</f>
        <v>#N/A</v>
      </c>
      <c r="J2865" s="11" t="s">
        <v>90</v>
      </c>
      <c r="K2865" s="35" t="s">
        <v>3734</v>
      </c>
      <c r="L2865" s="11"/>
      <c r="M2865" s="315" t="s">
        <v>3735</v>
      </c>
      <c r="N2865" s="261">
        <v>43990</v>
      </c>
      <c r="O2865" s="263" t="s">
        <v>1746</v>
      </c>
      <c r="P2865" s="363">
        <v>10000</v>
      </c>
      <c r="Q2865" s="321">
        <v>4</v>
      </c>
      <c r="R2865" s="126">
        <f t="shared" si="87"/>
        <v>40000</v>
      </c>
      <c r="S2865" s="322">
        <v>202304</v>
      </c>
      <c r="T2865" s="367" t="s">
        <v>3751</v>
      </c>
      <c r="U2865" s="232"/>
      <c r="V2865" s="323"/>
      <c r="W2865" s="323"/>
      <c r="X2865" s="326">
        <v>44866</v>
      </c>
      <c r="Y2865" s="193"/>
    </row>
    <row r="2866" s="3" customFormat="1" customHeight="1" spans="1:25">
      <c r="A2866" s="11" t="s">
        <v>448</v>
      </c>
      <c r="B2866" s="310" t="s">
        <v>3726</v>
      </c>
      <c r="C2866" s="11" t="s">
        <v>39</v>
      </c>
      <c r="D2866" s="35" t="s">
        <v>951</v>
      </c>
      <c r="E2866" s="13" t="s">
        <v>3727</v>
      </c>
      <c r="F2866" s="11" t="s">
        <v>3732</v>
      </c>
      <c r="G2866" s="11" t="s">
        <v>88</v>
      </c>
      <c r="H2866" s="310" t="s">
        <v>3733</v>
      </c>
      <c r="I2866" s="30" t="e">
        <f>VLOOKUP(H2866,'合同高级查询数据-4月返'!A:A,1,FALSE)</f>
        <v>#N/A</v>
      </c>
      <c r="J2866" s="11" t="s">
        <v>90</v>
      </c>
      <c r="K2866" s="35" t="s">
        <v>3734</v>
      </c>
      <c r="L2866" s="11"/>
      <c r="M2866" s="315" t="s">
        <v>3735</v>
      </c>
      <c r="N2866" s="261">
        <v>44211</v>
      </c>
      <c r="O2866" s="263" t="s">
        <v>503</v>
      </c>
      <c r="P2866" s="363">
        <v>6000</v>
      </c>
      <c r="Q2866" s="321">
        <v>6</v>
      </c>
      <c r="R2866" s="126">
        <f t="shared" si="87"/>
        <v>36000</v>
      </c>
      <c r="S2866" s="322">
        <v>202304</v>
      </c>
      <c r="T2866" s="367" t="s">
        <v>3752</v>
      </c>
      <c r="U2866" s="232"/>
      <c r="V2866" s="323"/>
      <c r="W2866" s="323"/>
      <c r="X2866" s="326">
        <v>44866</v>
      </c>
      <c r="Y2866" s="193"/>
    </row>
    <row r="2867" s="3" customFormat="1" customHeight="1" spans="1:25">
      <c r="A2867" s="11" t="s">
        <v>448</v>
      </c>
      <c r="B2867" s="310" t="s">
        <v>3726</v>
      </c>
      <c r="C2867" s="11" t="s">
        <v>39</v>
      </c>
      <c r="D2867" s="35" t="s">
        <v>951</v>
      </c>
      <c r="E2867" s="13" t="s">
        <v>3727</v>
      </c>
      <c r="F2867" s="11" t="s">
        <v>3732</v>
      </c>
      <c r="G2867" s="11" t="s">
        <v>88</v>
      </c>
      <c r="H2867" s="310" t="s">
        <v>3733</v>
      </c>
      <c r="I2867" s="30" t="e">
        <f>VLOOKUP(H2867,'合同高级查询数据-4月返'!A:A,1,FALSE)</f>
        <v>#N/A</v>
      </c>
      <c r="J2867" s="11" t="s">
        <v>90</v>
      </c>
      <c r="K2867" s="35" t="s">
        <v>3734</v>
      </c>
      <c r="L2867" s="11"/>
      <c r="M2867" s="315" t="s">
        <v>3735</v>
      </c>
      <c r="N2867" s="261">
        <v>44226</v>
      </c>
      <c r="O2867" s="263" t="s">
        <v>503</v>
      </c>
      <c r="P2867" s="363">
        <v>6000</v>
      </c>
      <c r="Q2867" s="321">
        <v>6</v>
      </c>
      <c r="R2867" s="126">
        <f t="shared" si="87"/>
        <v>36000</v>
      </c>
      <c r="S2867" s="322">
        <v>202304</v>
      </c>
      <c r="T2867" s="367" t="s">
        <v>3753</v>
      </c>
      <c r="U2867" s="232"/>
      <c r="V2867" s="323"/>
      <c r="W2867" s="323"/>
      <c r="X2867" s="326">
        <v>44866</v>
      </c>
      <c r="Y2867" s="193"/>
    </row>
    <row r="2868" s="3" customFormat="1" customHeight="1" spans="1:25">
      <c r="A2868" s="11" t="s">
        <v>448</v>
      </c>
      <c r="B2868" s="310" t="s">
        <v>3726</v>
      </c>
      <c r="C2868" s="11" t="s">
        <v>39</v>
      </c>
      <c r="D2868" s="35" t="s">
        <v>951</v>
      </c>
      <c r="E2868" s="13" t="s">
        <v>3727</v>
      </c>
      <c r="F2868" s="11" t="s">
        <v>3732</v>
      </c>
      <c r="G2868" s="11" t="s">
        <v>88</v>
      </c>
      <c r="H2868" s="310" t="s">
        <v>3733</v>
      </c>
      <c r="I2868" s="30" t="e">
        <f>VLOOKUP(H2868,'合同高级查询数据-4月返'!A:A,1,FALSE)</f>
        <v>#N/A</v>
      </c>
      <c r="J2868" s="11" t="s">
        <v>90</v>
      </c>
      <c r="K2868" s="35" t="s">
        <v>3734</v>
      </c>
      <c r="L2868" s="11"/>
      <c r="M2868" s="315" t="s">
        <v>3735</v>
      </c>
      <c r="N2868" s="261">
        <v>44351</v>
      </c>
      <c r="O2868" s="263" t="s">
        <v>503</v>
      </c>
      <c r="P2868" s="363">
        <v>6000</v>
      </c>
      <c r="Q2868" s="321">
        <v>14</v>
      </c>
      <c r="R2868" s="126">
        <f t="shared" si="87"/>
        <v>84000</v>
      </c>
      <c r="S2868" s="322">
        <v>202304</v>
      </c>
      <c r="T2868" s="367" t="s">
        <v>3754</v>
      </c>
      <c r="U2868" s="232"/>
      <c r="V2868" s="323"/>
      <c r="W2868" s="323"/>
      <c r="X2868" s="326">
        <v>44866</v>
      </c>
      <c r="Y2868" s="193"/>
    </row>
    <row r="2869" s="3" customFormat="1" customHeight="1" spans="1:25">
      <c r="A2869" s="11" t="s">
        <v>448</v>
      </c>
      <c r="B2869" s="310" t="s">
        <v>3726</v>
      </c>
      <c r="C2869" s="11" t="s">
        <v>39</v>
      </c>
      <c r="D2869" s="35" t="s">
        <v>951</v>
      </c>
      <c r="E2869" s="13" t="s">
        <v>3727</v>
      </c>
      <c r="F2869" s="11" t="s">
        <v>3732</v>
      </c>
      <c r="G2869" s="11" t="s">
        <v>88</v>
      </c>
      <c r="H2869" s="310" t="s">
        <v>3733</v>
      </c>
      <c r="I2869" s="30" t="e">
        <f>VLOOKUP(H2869,'合同高级查询数据-4月返'!A:A,1,FALSE)</f>
        <v>#N/A</v>
      </c>
      <c r="J2869" s="11" t="s">
        <v>90</v>
      </c>
      <c r="K2869" s="35" t="s">
        <v>3734</v>
      </c>
      <c r="L2869" s="11"/>
      <c r="M2869" s="315" t="s">
        <v>3735</v>
      </c>
      <c r="N2869" s="261">
        <v>44418</v>
      </c>
      <c r="O2869" s="263" t="s">
        <v>503</v>
      </c>
      <c r="P2869" s="363">
        <v>6000</v>
      </c>
      <c r="Q2869" s="321">
        <v>6</v>
      </c>
      <c r="R2869" s="126">
        <f t="shared" si="87"/>
        <v>36000</v>
      </c>
      <c r="S2869" s="322">
        <v>202304</v>
      </c>
      <c r="T2869" s="367" t="s">
        <v>3755</v>
      </c>
      <c r="U2869" s="232"/>
      <c r="V2869" s="323"/>
      <c r="W2869" s="323"/>
      <c r="X2869" s="326">
        <v>44866</v>
      </c>
      <c r="Y2869" s="193"/>
    </row>
    <row r="2870" s="3" customFormat="1" customHeight="1" spans="1:25">
      <c r="A2870" s="11" t="s">
        <v>448</v>
      </c>
      <c r="B2870" s="310" t="s">
        <v>3726</v>
      </c>
      <c r="C2870" s="11" t="s">
        <v>39</v>
      </c>
      <c r="D2870" s="35" t="s">
        <v>951</v>
      </c>
      <c r="E2870" s="13" t="s">
        <v>3727</v>
      </c>
      <c r="F2870" s="11" t="s">
        <v>3732</v>
      </c>
      <c r="G2870" s="11" t="s">
        <v>88</v>
      </c>
      <c r="H2870" s="310" t="s">
        <v>3733</v>
      </c>
      <c r="I2870" s="30" t="e">
        <f>VLOOKUP(H2870,'合同高级查询数据-4月返'!A:A,1,FALSE)</f>
        <v>#N/A</v>
      </c>
      <c r="J2870" s="11" t="s">
        <v>90</v>
      </c>
      <c r="K2870" s="35" t="s">
        <v>3734</v>
      </c>
      <c r="L2870" s="11"/>
      <c r="M2870" s="315" t="s">
        <v>3735</v>
      </c>
      <c r="N2870" s="261">
        <v>44425</v>
      </c>
      <c r="O2870" s="263" t="s">
        <v>503</v>
      </c>
      <c r="P2870" s="363">
        <v>6000</v>
      </c>
      <c r="Q2870" s="321">
        <v>1</v>
      </c>
      <c r="R2870" s="126">
        <f t="shared" si="87"/>
        <v>6000</v>
      </c>
      <c r="S2870" s="322">
        <v>202304</v>
      </c>
      <c r="T2870" s="367" t="s">
        <v>3756</v>
      </c>
      <c r="U2870" s="232"/>
      <c r="V2870" s="323"/>
      <c r="W2870" s="323"/>
      <c r="X2870" s="326">
        <v>44866</v>
      </c>
      <c r="Y2870" s="193"/>
    </row>
    <row r="2871" s="3" customFormat="1" customHeight="1" spans="1:25">
      <c r="A2871" s="11" t="s">
        <v>448</v>
      </c>
      <c r="B2871" s="310" t="s">
        <v>3726</v>
      </c>
      <c r="C2871" s="11" t="s">
        <v>39</v>
      </c>
      <c r="D2871" s="35" t="s">
        <v>951</v>
      </c>
      <c r="E2871" s="13" t="s">
        <v>3727</v>
      </c>
      <c r="F2871" s="11" t="s">
        <v>3732</v>
      </c>
      <c r="G2871" s="11" t="s">
        <v>88</v>
      </c>
      <c r="H2871" s="310" t="s">
        <v>3733</v>
      </c>
      <c r="I2871" s="30" t="e">
        <f>VLOOKUP(H2871,'合同高级查询数据-4月返'!A:A,1,FALSE)</f>
        <v>#N/A</v>
      </c>
      <c r="J2871" s="11" t="s">
        <v>90</v>
      </c>
      <c r="K2871" s="35" t="s">
        <v>3734</v>
      </c>
      <c r="L2871" s="11"/>
      <c r="M2871" s="315" t="s">
        <v>3735</v>
      </c>
      <c r="N2871" s="261">
        <v>44491</v>
      </c>
      <c r="O2871" s="263" t="s">
        <v>503</v>
      </c>
      <c r="P2871" s="363">
        <v>6000</v>
      </c>
      <c r="Q2871" s="321">
        <v>20</v>
      </c>
      <c r="R2871" s="126">
        <f t="shared" si="87"/>
        <v>120000</v>
      </c>
      <c r="S2871" s="322">
        <v>202304</v>
      </c>
      <c r="T2871" s="367" t="s">
        <v>3757</v>
      </c>
      <c r="U2871" s="232"/>
      <c r="V2871" s="323"/>
      <c r="W2871" s="323"/>
      <c r="X2871" s="326">
        <v>44866</v>
      </c>
      <c r="Y2871" s="193"/>
    </row>
    <row r="2872" s="3" customFormat="1" customHeight="1" spans="1:25">
      <c r="A2872" s="11" t="s">
        <v>448</v>
      </c>
      <c r="B2872" s="310" t="s">
        <v>3726</v>
      </c>
      <c r="C2872" s="11" t="s">
        <v>39</v>
      </c>
      <c r="D2872" s="35" t="s">
        <v>951</v>
      </c>
      <c r="E2872" s="13" t="s">
        <v>3727</v>
      </c>
      <c r="F2872" s="11" t="s">
        <v>3732</v>
      </c>
      <c r="G2872" s="11" t="s">
        <v>88</v>
      </c>
      <c r="H2872" s="310" t="s">
        <v>3733</v>
      </c>
      <c r="I2872" s="30" t="e">
        <f>VLOOKUP(H2872,'合同高级查询数据-4月返'!A:A,1,FALSE)</f>
        <v>#N/A</v>
      </c>
      <c r="J2872" s="11" t="s">
        <v>90</v>
      </c>
      <c r="K2872" s="35" t="s">
        <v>3734</v>
      </c>
      <c r="L2872" s="11"/>
      <c r="M2872" s="315" t="s">
        <v>3735</v>
      </c>
      <c r="N2872" s="261">
        <v>44491</v>
      </c>
      <c r="O2872" s="263" t="s">
        <v>503</v>
      </c>
      <c r="P2872" s="363">
        <v>6000</v>
      </c>
      <c r="Q2872" s="321">
        <v>22</v>
      </c>
      <c r="R2872" s="126">
        <f t="shared" si="87"/>
        <v>132000</v>
      </c>
      <c r="S2872" s="322">
        <v>202304</v>
      </c>
      <c r="T2872" s="367" t="s">
        <v>3758</v>
      </c>
      <c r="U2872" s="232"/>
      <c r="V2872" s="323"/>
      <c r="W2872" s="323"/>
      <c r="X2872" s="326">
        <v>44866</v>
      </c>
      <c r="Y2872" s="193"/>
    </row>
    <row r="2873" s="3" customFormat="1" customHeight="1" spans="1:25">
      <c r="A2873" s="11" t="s">
        <v>448</v>
      </c>
      <c r="B2873" s="310" t="s">
        <v>3726</v>
      </c>
      <c r="C2873" s="11" t="s">
        <v>39</v>
      </c>
      <c r="D2873" s="35" t="s">
        <v>951</v>
      </c>
      <c r="E2873" s="13" t="s">
        <v>3727</v>
      </c>
      <c r="F2873" s="11" t="s">
        <v>3732</v>
      </c>
      <c r="G2873" s="11" t="s">
        <v>88</v>
      </c>
      <c r="H2873" s="310" t="s">
        <v>3733</v>
      </c>
      <c r="I2873" s="30" t="e">
        <f>VLOOKUP(H2873,'合同高级查询数据-4月返'!A:A,1,FALSE)</f>
        <v>#N/A</v>
      </c>
      <c r="J2873" s="11" t="s">
        <v>90</v>
      </c>
      <c r="K2873" s="35" t="s">
        <v>3734</v>
      </c>
      <c r="L2873" s="11"/>
      <c r="M2873" s="315" t="s">
        <v>3735</v>
      </c>
      <c r="N2873" s="261">
        <v>44500</v>
      </c>
      <c r="O2873" s="263" t="s">
        <v>503</v>
      </c>
      <c r="P2873" s="363">
        <v>6000</v>
      </c>
      <c r="Q2873" s="321">
        <v>1</v>
      </c>
      <c r="R2873" s="126">
        <f t="shared" si="87"/>
        <v>6000</v>
      </c>
      <c r="S2873" s="322">
        <v>202304</v>
      </c>
      <c r="T2873" s="367" t="s">
        <v>3759</v>
      </c>
      <c r="U2873" s="232"/>
      <c r="V2873" s="323"/>
      <c r="W2873" s="323"/>
      <c r="X2873" s="326">
        <v>44866</v>
      </c>
      <c r="Y2873" s="193"/>
    </row>
    <row r="2874" s="3" customFormat="1" customHeight="1" spans="1:25">
      <c r="A2874" s="11" t="s">
        <v>448</v>
      </c>
      <c r="B2874" s="310" t="s">
        <v>3726</v>
      </c>
      <c r="C2874" s="11" t="s">
        <v>39</v>
      </c>
      <c r="D2874" s="35" t="s">
        <v>951</v>
      </c>
      <c r="E2874" s="13" t="s">
        <v>3727</v>
      </c>
      <c r="F2874" s="11" t="s">
        <v>3732</v>
      </c>
      <c r="G2874" s="11" t="s">
        <v>88</v>
      </c>
      <c r="H2874" s="310" t="s">
        <v>3733</v>
      </c>
      <c r="I2874" s="30" t="e">
        <f>VLOOKUP(H2874,'合同高级查询数据-4月返'!A:A,1,FALSE)</f>
        <v>#N/A</v>
      </c>
      <c r="J2874" s="11" t="s">
        <v>90</v>
      </c>
      <c r="K2874" s="35" t="s">
        <v>3734</v>
      </c>
      <c r="L2874" s="11"/>
      <c r="M2874" s="315" t="s">
        <v>3735</v>
      </c>
      <c r="N2874" s="261">
        <v>44515</v>
      </c>
      <c r="O2874" s="263" t="s">
        <v>503</v>
      </c>
      <c r="P2874" s="363">
        <v>6000</v>
      </c>
      <c r="Q2874" s="321">
        <v>1</v>
      </c>
      <c r="R2874" s="126">
        <f t="shared" si="87"/>
        <v>6000</v>
      </c>
      <c r="S2874" s="322">
        <v>202304</v>
      </c>
      <c r="T2874" s="367" t="s">
        <v>3760</v>
      </c>
      <c r="U2874" s="232"/>
      <c r="V2874" s="323"/>
      <c r="W2874" s="323"/>
      <c r="X2874" s="326">
        <v>44866</v>
      </c>
      <c r="Y2874" s="193"/>
    </row>
    <row r="2875" s="3" customFormat="1" customHeight="1" spans="1:25">
      <c r="A2875" s="11" t="s">
        <v>448</v>
      </c>
      <c r="B2875" s="310" t="s">
        <v>3726</v>
      </c>
      <c r="C2875" s="11" t="s">
        <v>39</v>
      </c>
      <c r="D2875" s="35" t="s">
        <v>951</v>
      </c>
      <c r="E2875" s="13" t="s">
        <v>3727</v>
      </c>
      <c r="F2875" s="11" t="s">
        <v>3732</v>
      </c>
      <c r="G2875" s="11" t="s">
        <v>88</v>
      </c>
      <c r="H2875" s="310" t="s">
        <v>3733</v>
      </c>
      <c r="I2875" s="30" t="e">
        <f>VLOOKUP(H2875,'合同高级查询数据-4月返'!A:A,1,FALSE)</f>
        <v>#N/A</v>
      </c>
      <c r="J2875" s="11" t="s">
        <v>90</v>
      </c>
      <c r="K2875" s="35" t="s">
        <v>3734</v>
      </c>
      <c r="L2875" s="11"/>
      <c r="M2875" s="315" t="s">
        <v>3735</v>
      </c>
      <c r="N2875" s="261">
        <v>44515</v>
      </c>
      <c r="O2875" s="263" t="s">
        <v>1746</v>
      </c>
      <c r="P2875" s="363">
        <v>10000</v>
      </c>
      <c r="Q2875" s="321">
        <v>37</v>
      </c>
      <c r="R2875" s="126">
        <f t="shared" si="87"/>
        <v>370000</v>
      </c>
      <c r="S2875" s="322">
        <v>202304</v>
      </c>
      <c r="T2875" s="367" t="s">
        <v>3761</v>
      </c>
      <c r="U2875" s="232"/>
      <c r="V2875" s="323"/>
      <c r="W2875" s="323"/>
      <c r="X2875" s="326">
        <v>44866</v>
      </c>
      <c r="Y2875" s="193"/>
    </row>
    <row r="2876" s="3" customFormat="1" customHeight="1" spans="1:25">
      <c r="A2876" s="11" t="s">
        <v>448</v>
      </c>
      <c r="B2876" s="310" t="s">
        <v>3726</v>
      </c>
      <c r="C2876" s="11" t="s">
        <v>39</v>
      </c>
      <c r="D2876" s="35" t="s">
        <v>951</v>
      </c>
      <c r="E2876" s="13" t="s">
        <v>3727</v>
      </c>
      <c r="F2876" s="11" t="s">
        <v>3732</v>
      </c>
      <c r="G2876" s="11" t="s">
        <v>88</v>
      </c>
      <c r="H2876" s="310" t="s">
        <v>3733</v>
      </c>
      <c r="I2876" s="30" t="e">
        <f>VLOOKUP(H2876,'合同高级查询数据-4月返'!A:A,1,FALSE)</f>
        <v>#N/A</v>
      </c>
      <c r="J2876" s="11" t="s">
        <v>90</v>
      </c>
      <c r="K2876" s="35" t="s">
        <v>3734</v>
      </c>
      <c r="L2876" s="11"/>
      <c r="M2876" s="315" t="s">
        <v>3735</v>
      </c>
      <c r="N2876" s="261">
        <v>44516</v>
      </c>
      <c r="O2876" s="263" t="s">
        <v>503</v>
      </c>
      <c r="P2876" s="363">
        <v>6000</v>
      </c>
      <c r="Q2876" s="321">
        <v>1</v>
      </c>
      <c r="R2876" s="126">
        <f t="shared" si="87"/>
        <v>6000</v>
      </c>
      <c r="S2876" s="322">
        <v>202304</v>
      </c>
      <c r="T2876" s="367" t="s">
        <v>3762</v>
      </c>
      <c r="U2876" s="232"/>
      <c r="V2876" s="323"/>
      <c r="W2876" s="323"/>
      <c r="X2876" s="326">
        <v>44866</v>
      </c>
      <c r="Y2876" s="193"/>
    </row>
    <row r="2877" s="3" customFormat="1" customHeight="1" spans="1:25">
      <c r="A2877" s="11" t="s">
        <v>448</v>
      </c>
      <c r="B2877" s="310" t="s">
        <v>3726</v>
      </c>
      <c r="C2877" s="11" t="s">
        <v>39</v>
      </c>
      <c r="D2877" s="35" t="s">
        <v>951</v>
      </c>
      <c r="E2877" s="13" t="s">
        <v>3727</v>
      </c>
      <c r="F2877" s="11" t="s">
        <v>3732</v>
      </c>
      <c r="G2877" s="11" t="s">
        <v>88</v>
      </c>
      <c r="H2877" s="310" t="s">
        <v>3733</v>
      </c>
      <c r="I2877" s="30" t="e">
        <f>VLOOKUP(H2877,'合同高级查询数据-4月返'!A:A,1,FALSE)</f>
        <v>#N/A</v>
      </c>
      <c r="J2877" s="11" t="s">
        <v>90</v>
      </c>
      <c r="K2877" s="35" t="s">
        <v>3734</v>
      </c>
      <c r="L2877" s="11"/>
      <c r="M2877" s="315" t="s">
        <v>3735</v>
      </c>
      <c r="N2877" s="261">
        <v>44538</v>
      </c>
      <c r="O2877" s="263" t="s">
        <v>503</v>
      </c>
      <c r="P2877" s="363">
        <v>6000</v>
      </c>
      <c r="Q2877" s="321">
        <v>-22</v>
      </c>
      <c r="R2877" s="126">
        <f t="shared" si="87"/>
        <v>-132000</v>
      </c>
      <c r="S2877" s="322">
        <v>202304</v>
      </c>
      <c r="T2877" s="367" t="s">
        <v>3763</v>
      </c>
      <c r="U2877" s="232"/>
      <c r="V2877" s="323"/>
      <c r="W2877" s="323"/>
      <c r="X2877" s="326">
        <v>44866</v>
      </c>
      <c r="Y2877" s="193"/>
    </row>
    <row r="2878" s="3" customFormat="1" customHeight="1" spans="1:25">
      <c r="A2878" s="11" t="s">
        <v>448</v>
      </c>
      <c r="B2878" s="310" t="s">
        <v>3726</v>
      </c>
      <c r="C2878" s="11" t="s">
        <v>39</v>
      </c>
      <c r="D2878" s="35" t="s">
        <v>951</v>
      </c>
      <c r="E2878" s="13" t="s">
        <v>3727</v>
      </c>
      <c r="F2878" s="11" t="s">
        <v>3732</v>
      </c>
      <c r="G2878" s="11" t="s">
        <v>88</v>
      </c>
      <c r="H2878" s="310" t="s">
        <v>3733</v>
      </c>
      <c r="I2878" s="30" t="e">
        <f>VLOOKUP(H2878,'合同高级查询数据-4月返'!A:A,1,FALSE)</f>
        <v>#N/A</v>
      </c>
      <c r="J2878" s="11" t="s">
        <v>90</v>
      </c>
      <c r="K2878" s="35" t="s">
        <v>3734</v>
      </c>
      <c r="L2878" s="11"/>
      <c r="M2878" s="315" t="s">
        <v>3735</v>
      </c>
      <c r="N2878" s="261">
        <v>44538</v>
      </c>
      <c r="O2878" s="263" t="s">
        <v>1746</v>
      </c>
      <c r="P2878" s="363">
        <v>10000</v>
      </c>
      <c r="Q2878" s="321">
        <v>-17</v>
      </c>
      <c r="R2878" s="126">
        <f t="shared" si="87"/>
        <v>-170000</v>
      </c>
      <c r="S2878" s="322">
        <v>202304</v>
      </c>
      <c r="T2878" s="367" t="s">
        <v>3764</v>
      </c>
      <c r="U2878" s="232"/>
      <c r="V2878" s="323"/>
      <c r="W2878" s="323"/>
      <c r="X2878" s="326">
        <v>44866</v>
      </c>
      <c r="Y2878" s="193"/>
    </row>
    <row r="2879" s="3" customFormat="1" customHeight="1" spans="1:25">
      <c r="A2879" s="11" t="s">
        <v>448</v>
      </c>
      <c r="B2879" s="310" t="s">
        <v>3726</v>
      </c>
      <c r="C2879" s="11" t="s">
        <v>39</v>
      </c>
      <c r="D2879" s="35" t="s">
        <v>951</v>
      </c>
      <c r="E2879" s="13" t="s">
        <v>3727</v>
      </c>
      <c r="F2879" s="11" t="s">
        <v>3732</v>
      </c>
      <c r="G2879" s="11" t="s">
        <v>88</v>
      </c>
      <c r="H2879" s="310" t="s">
        <v>3733</v>
      </c>
      <c r="I2879" s="30" t="e">
        <f>VLOOKUP(H2879,'合同高级查询数据-4月返'!A:A,1,FALSE)</f>
        <v>#N/A</v>
      </c>
      <c r="J2879" s="11" t="s">
        <v>90</v>
      </c>
      <c r="K2879" s="35" t="s">
        <v>3734</v>
      </c>
      <c r="L2879" s="11"/>
      <c r="M2879" s="315" t="s">
        <v>3735</v>
      </c>
      <c r="N2879" s="143">
        <v>45038</v>
      </c>
      <c r="O2879" s="263" t="s">
        <v>503</v>
      </c>
      <c r="P2879" s="363">
        <v>6000</v>
      </c>
      <c r="Q2879" s="321">
        <v>-2</v>
      </c>
      <c r="R2879" s="126">
        <f>ROUND(P2879*Q2879*8/30,2)</f>
        <v>-3200</v>
      </c>
      <c r="S2879" s="322">
        <v>202304</v>
      </c>
      <c r="T2879" s="368" t="s">
        <v>3765</v>
      </c>
      <c r="U2879" s="232"/>
      <c r="V2879" s="323"/>
      <c r="W2879" s="323"/>
      <c r="X2879" s="326">
        <v>44866</v>
      </c>
      <c r="Y2879" s="193"/>
    </row>
    <row r="2880" s="3" customFormat="1" customHeight="1" spans="1:25">
      <c r="A2880" s="135" t="s">
        <v>448</v>
      </c>
      <c r="B2880" s="310" t="s">
        <v>3726</v>
      </c>
      <c r="C2880" s="134" t="s">
        <v>39</v>
      </c>
      <c r="D2880" s="11" t="s">
        <v>951</v>
      </c>
      <c r="E2880" s="362" t="s">
        <v>3727</v>
      </c>
      <c r="F2880" s="135" t="s">
        <v>3728</v>
      </c>
      <c r="G2880" s="140" t="s">
        <v>88</v>
      </c>
      <c r="H2880" s="140" t="s">
        <v>3766</v>
      </c>
      <c r="I2880" s="30" t="e">
        <f>VLOOKUP(H2880,'合同高级查询数据-4月返'!A:A,1,FALSE)</f>
        <v>#N/A</v>
      </c>
      <c r="J2880" s="140" t="s">
        <v>90</v>
      </c>
      <c r="K2880" s="366" t="s">
        <v>3767</v>
      </c>
      <c r="L2880" s="366"/>
      <c r="M2880" s="315" t="s">
        <v>3768</v>
      </c>
      <c r="N2880" s="143">
        <v>45039</v>
      </c>
      <c r="O2880" s="143" t="s">
        <v>503</v>
      </c>
      <c r="P2880" s="343">
        <v>6000</v>
      </c>
      <c r="Q2880" s="145">
        <v>2</v>
      </c>
      <c r="R2880" s="126">
        <f>ROUND(P2880*Q2880*8/30,2)</f>
        <v>3200</v>
      </c>
      <c r="S2880" s="322">
        <v>202304</v>
      </c>
      <c r="T2880" s="369" t="s">
        <v>3769</v>
      </c>
      <c r="U2880" s="349"/>
      <c r="V2880" s="323"/>
      <c r="W2880" s="323"/>
      <c r="X2880" s="193">
        <v>45039</v>
      </c>
      <c r="Y2880" s="193"/>
    </row>
    <row r="2881" s="3" customFormat="1" customHeight="1" spans="1:25">
      <c r="A2881" s="135" t="s">
        <v>448</v>
      </c>
      <c r="B2881" s="310" t="s">
        <v>3726</v>
      </c>
      <c r="C2881" s="134" t="s">
        <v>39</v>
      </c>
      <c r="D2881" s="11" t="s">
        <v>951</v>
      </c>
      <c r="E2881" s="362" t="s">
        <v>3727</v>
      </c>
      <c r="F2881" s="135" t="s">
        <v>3728</v>
      </c>
      <c r="G2881" s="140" t="s">
        <v>31</v>
      </c>
      <c r="H2881" s="140" t="s">
        <v>3766</v>
      </c>
      <c r="I2881" s="30" t="e">
        <f>VLOOKUP(H2881,'合同高级查询数据-4月返'!A:A,1,FALSE)</f>
        <v>#N/A</v>
      </c>
      <c r="J2881" s="140" t="s">
        <v>3092</v>
      </c>
      <c r="K2881" s="366" t="s">
        <v>3767</v>
      </c>
      <c r="L2881" s="366"/>
      <c r="M2881" s="315" t="s">
        <v>3768</v>
      </c>
      <c r="N2881" s="143">
        <v>45039</v>
      </c>
      <c r="O2881" s="143" t="s">
        <v>37</v>
      </c>
      <c r="P2881" s="343">
        <v>0</v>
      </c>
      <c r="Q2881" s="145">
        <v>96</v>
      </c>
      <c r="R2881" s="126">
        <f t="shared" ref="R2881" si="88">ROUND(P2881*Q2881,2)</f>
        <v>0</v>
      </c>
      <c r="S2881" s="322">
        <v>202304</v>
      </c>
      <c r="T2881" s="375" t="s">
        <v>3770</v>
      </c>
      <c r="U2881" s="349"/>
      <c r="V2881" s="323"/>
      <c r="W2881" s="323"/>
      <c r="X2881" s="193">
        <v>45039</v>
      </c>
      <c r="Y2881" s="193"/>
    </row>
    <row r="2882" s="3" customFormat="1" customHeight="1" spans="1:25">
      <c r="A2882" s="135" t="s">
        <v>448</v>
      </c>
      <c r="B2882" s="310" t="s">
        <v>3726</v>
      </c>
      <c r="C2882" s="134" t="s">
        <v>39</v>
      </c>
      <c r="D2882" s="11" t="s">
        <v>951</v>
      </c>
      <c r="E2882" s="362" t="s">
        <v>3727</v>
      </c>
      <c r="F2882" s="135" t="s">
        <v>3728</v>
      </c>
      <c r="G2882" s="140" t="s">
        <v>31</v>
      </c>
      <c r="H2882" s="140" t="s">
        <v>3766</v>
      </c>
      <c r="I2882" s="30" t="e">
        <f>VLOOKUP(H2882,'合同高级查询数据-4月返'!A:A,1,FALSE)</f>
        <v>#N/A</v>
      </c>
      <c r="J2882" s="140" t="s">
        <v>3092</v>
      </c>
      <c r="K2882" s="366" t="s">
        <v>3767</v>
      </c>
      <c r="L2882" s="366"/>
      <c r="M2882" s="315" t="s">
        <v>3768</v>
      </c>
      <c r="N2882" s="143">
        <v>45039</v>
      </c>
      <c r="O2882" s="143" t="s">
        <v>37</v>
      </c>
      <c r="P2882" s="343">
        <v>30</v>
      </c>
      <c r="Q2882" s="145">
        <v>416</v>
      </c>
      <c r="R2882" s="126">
        <f>ROUND(P2882*Q2882*8/30,2)</f>
        <v>3328</v>
      </c>
      <c r="S2882" s="322">
        <v>202304</v>
      </c>
      <c r="T2882" s="375" t="s">
        <v>3770</v>
      </c>
      <c r="U2882" s="349"/>
      <c r="V2882" s="323"/>
      <c r="W2882" s="323"/>
      <c r="X2882" s="193">
        <v>45039</v>
      </c>
      <c r="Y2882" s="193"/>
    </row>
    <row r="2883" s="3" customFormat="1" customHeight="1" spans="1:25">
      <c r="A2883" s="135" t="s">
        <v>448</v>
      </c>
      <c r="B2883" s="310" t="s">
        <v>3726</v>
      </c>
      <c r="C2883" s="134" t="s">
        <v>39</v>
      </c>
      <c r="D2883" s="35" t="s">
        <v>951</v>
      </c>
      <c r="E2883" s="170" t="s">
        <v>3771</v>
      </c>
      <c r="F2883" s="135" t="s">
        <v>3772</v>
      </c>
      <c r="G2883" s="140" t="s">
        <v>88</v>
      </c>
      <c r="H2883" s="140" t="s">
        <v>3773</v>
      </c>
      <c r="I2883" s="30" t="e">
        <f>VLOOKUP(H2883,'合同高级查询数据-4月返'!A:A,1,FALSE)</f>
        <v>#N/A</v>
      </c>
      <c r="J2883" s="140" t="s">
        <v>162</v>
      </c>
      <c r="K2883" s="370" t="s">
        <v>3774</v>
      </c>
      <c r="L2883" s="366"/>
      <c r="M2883" s="315" t="s">
        <v>3775</v>
      </c>
      <c r="N2883" s="143" t="s">
        <v>1329</v>
      </c>
      <c r="O2883" s="143" t="s">
        <v>163</v>
      </c>
      <c r="P2883" s="371">
        <v>3333.33</v>
      </c>
      <c r="Q2883" s="145">
        <v>19</v>
      </c>
      <c r="R2883" s="126">
        <f t="shared" ref="R2883:R2946" si="89">ROUND(P2883*Q2883,2)</f>
        <v>63333.27</v>
      </c>
      <c r="S2883" s="322">
        <v>202304</v>
      </c>
      <c r="T2883" s="375" t="s">
        <v>3776</v>
      </c>
      <c r="U2883" s="349"/>
      <c r="V2883" s="376"/>
      <c r="W2883" s="376"/>
      <c r="X2883" s="326">
        <v>45017</v>
      </c>
      <c r="Y2883" s="193"/>
    </row>
    <row r="2884" s="3" customFormat="1" customHeight="1" spans="1:25">
      <c r="A2884" s="135" t="s">
        <v>448</v>
      </c>
      <c r="B2884" s="310" t="s">
        <v>3726</v>
      </c>
      <c r="C2884" s="134" t="s">
        <v>39</v>
      </c>
      <c r="D2884" s="35" t="s">
        <v>951</v>
      </c>
      <c r="E2884" s="170" t="s">
        <v>3771</v>
      </c>
      <c r="F2884" s="135" t="s">
        <v>3772</v>
      </c>
      <c r="G2884" s="140" t="s">
        <v>88</v>
      </c>
      <c r="H2884" s="140" t="s">
        <v>3773</v>
      </c>
      <c r="I2884" s="30" t="e">
        <f>VLOOKUP(H2884,'合同高级查询数据-4月返'!A:A,1,FALSE)</f>
        <v>#N/A</v>
      </c>
      <c r="J2884" s="140" t="s">
        <v>1287</v>
      </c>
      <c r="K2884" s="370" t="s">
        <v>3772</v>
      </c>
      <c r="L2884" s="366"/>
      <c r="M2884" s="315" t="s">
        <v>3775</v>
      </c>
      <c r="N2884" s="143" t="s">
        <v>1329</v>
      </c>
      <c r="O2884" s="143" t="s">
        <v>163</v>
      </c>
      <c r="P2884" s="371">
        <v>3333.33</v>
      </c>
      <c r="Q2884" s="145">
        <v>5</v>
      </c>
      <c r="R2884" s="126">
        <f t="shared" si="89"/>
        <v>16666.65</v>
      </c>
      <c r="S2884" s="322">
        <v>202304</v>
      </c>
      <c r="T2884" s="375" t="s">
        <v>3777</v>
      </c>
      <c r="U2884" s="349"/>
      <c r="V2884" s="376"/>
      <c r="W2884" s="376"/>
      <c r="X2884" s="326">
        <v>45017</v>
      </c>
      <c r="Y2884" s="193"/>
    </row>
    <row r="2885" s="3" customFormat="1" customHeight="1" spans="1:25">
      <c r="A2885" s="135" t="s">
        <v>448</v>
      </c>
      <c r="B2885" s="310" t="s">
        <v>3726</v>
      </c>
      <c r="C2885" s="134" t="s">
        <v>39</v>
      </c>
      <c r="D2885" s="35" t="s">
        <v>951</v>
      </c>
      <c r="E2885" s="170" t="s">
        <v>3771</v>
      </c>
      <c r="F2885" s="135" t="s">
        <v>3772</v>
      </c>
      <c r="G2885" s="140" t="s">
        <v>88</v>
      </c>
      <c r="H2885" s="140" t="s">
        <v>3773</v>
      </c>
      <c r="I2885" s="30" t="e">
        <f>VLOOKUP(H2885,'合同高级查询数据-4月返'!A:A,1,FALSE)</f>
        <v>#N/A</v>
      </c>
      <c r="J2885" s="140" t="s">
        <v>1287</v>
      </c>
      <c r="K2885" s="370" t="s">
        <v>3772</v>
      </c>
      <c r="L2885" s="366"/>
      <c r="M2885" s="315" t="s">
        <v>3775</v>
      </c>
      <c r="N2885" s="143">
        <v>44761</v>
      </c>
      <c r="O2885" s="143" t="s">
        <v>163</v>
      </c>
      <c r="P2885" s="371">
        <v>3333.33</v>
      </c>
      <c r="Q2885" s="145">
        <v>-2</v>
      </c>
      <c r="R2885" s="126">
        <f t="shared" si="89"/>
        <v>-6666.66</v>
      </c>
      <c r="S2885" s="322">
        <v>202304</v>
      </c>
      <c r="T2885" s="375" t="s">
        <v>3778</v>
      </c>
      <c r="U2885" s="349"/>
      <c r="V2885" s="376"/>
      <c r="W2885" s="376"/>
      <c r="X2885" s="326">
        <v>45017</v>
      </c>
      <c r="Y2885" s="193"/>
    </row>
    <row r="2886" s="3" customFormat="1" customHeight="1" spans="1:25">
      <c r="A2886" s="135" t="s">
        <v>448</v>
      </c>
      <c r="B2886" s="310" t="s">
        <v>3726</v>
      </c>
      <c r="C2886" s="134" t="s">
        <v>39</v>
      </c>
      <c r="D2886" s="35" t="s">
        <v>951</v>
      </c>
      <c r="E2886" s="170" t="s">
        <v>3771</v>
      </c>
      <c r="F2886" s="135" t="s">
        <v>3772</v>
      </c>
      <c r="G2886" s="140" t="s">
        <v>88</v>
      </c>
      <c r="H2886" s="140" t="s">
        <v>3773</v>
      </c>
      <c r="I2886" s="30" t="e">
        <f>VLOOKUP(H2886,'合同高级查询数据-4月返'!A:A,1,FALSE)</f>
        <v>#N/A</v>
      </c>
      <c r="J2886" s="140" t="s">
        <v>162</v>
      </c>
      <c r="K2886" s="370" t="s">
        <v>3779</v>
      </c>
      <c r="L2886" s="366"/>
      <c r="M2886" s="315" t="s">
        <v>3775</v>
      </c>
      <c r="N2886" s="143">
        <v>44221</v>
      </c>
      <c r="O2886" s="143" t="s">
        <v>163</v>
      </c>
      <c r="P2886" s="371">
        <v>3333.33</v>
      </c>
      <c r="Q2886" s="145">
        <v>3</v>
      </c>
      <c r="R2886" s="126">
        <f t="shared" si="89"/>
        <v>9999.99</v>
      </c>
      <c r="S2886" s="322">
        <v>202304</v>
      </c>
      <c r="T2886" s="375" t="s">
        <v>3780</v>
      </c>
      <c r="U2886" s="349"/>
      <c r="V2886" s="376"/>
      <c r="W2886" s="376"/>
      <c r="X2886" s="326">
        <v>45017</v>
      </c>
      <c r="Y2886" s="193"/>
    </row>
    <row r="2887" s="3" customFormat="1" customHeight="1" spans="1:25">
      <c r="A2887" s="135" t="s">
        <v>448</v>
      </c>
      <c r="B2887" s="310" t="s">
        <v>3726</v>
      </c>
      <c r="C2887" s="134" t="s">
        <v>39</v>
      </c>
      <c r="D2887" s="35" t="s">
        <v>951</v>
      </c>
      <c r="E2887" s="170" t="s">
        <v>3771</v>
      </c>
      <c r="F2887" s="135" t="s">
        <v>3772</v>
      </c>
      <c r="G2887" s="140" t="s">
        <v>88</v>
      </c>
      <c r="H2887" s="140" t="s">
        <v>3773</v>
      </c>
      <c r="I2887" s="30" t="e">
        <f>VLOOKUP(H2887,'合同高级查询数据-4月返'!A:A,1,FALSE)</f>
        <v>#N/A</v>
      </c>
      <c r="J2887" s="140" t="s">
        <v>162</v>
      </c>
      <c r="K2887" s="370" t="s">
        <v>3781</v>
      </c>
      <c r="L2887" s="366"/>
      <c r="M2887" s="315" t="s">
        <v>3775</v>
      </c>
      <c r="N2887" s="143">
        <v>44490</v>
      </c>
      <c r="O2887" s="143" t="s">
        <v>163</v>
      </c>
      <c r="P2887" s="371">
        <v>3333.33</v>
      </c>
      <c r="Q2887" s="145">
        <v>-4</v>
      </c>
      <c r="R2887" s="126">
        <f t="shared" si="89"/>
        <v>-13333.32</v>
      </c>
      <c r="S2887" s="322">
        <v>202304</v>
      </c>
      <c r="T2887" s="375" t="s">
        <v>3782</v>
      </c>
      <c r="U2887" s="349"/>
      <c r="V2887" s="376"/>
      <c r="W2887" s="376"/>
      <c r="X2887" s="326">
        <v>45017</v>
      </c>
      <c r="Y2887" s="193"/>
    </row>
    <row r="2888" s="3" customFormat="1" customHeight="1" spans="1:25">
      <c r="A2888" s="135" t="s">
        <v>448</v>
      </c>
      <c r="B2888" s="310" t="s">
        <v>3726</v>
      </c>
      <c r="C2888" s="134" t="s">
        <v>39</v>
      </c>
      <c r="D2888" s="35" t="s">
        <v>951</v>
      </c>
      <c r="E2888" s="170" t="s">
        <v>3771</v>
      </c>
      <c r="F2888" s="135" t="s">
        <v>3772</v>
      </c>
      <c r="G2888" s="140" t="s">
        <v>88</v>
      </c>
      <c r="H2888" s="140" t="s">
        <v>3773</v>
      </c>
      <c r="I2888" s="30" t="e">
        <f>VLOOKUP(H2888,'合同高级查询数据-4月返'!A:A,1,FALSE)</f>
        <v>#N/A</v>
      </c>
      <c r="J2888" s="140" t="s">
        <v>162</v>
      </c>
      <c r="K2888" s="370" t="s">
        <v>3781</v>
      </c>
      <c r="L2888" s="366"/>
      <c r="M2888" s="315" t="s">
        <v>3775</v>
      </c>
      <c r="N2888" s="143">
        <v>44804</v>
      </c>
      <c r="O2888" s="143" t="s">
        <v>163</v>
      </c>
      <c r="P2888" s="371">
        <v>3333.33</v>
      </c>
      <c r="Q2888" s="145">
        <v>-3</v>
      </c>
      <c r="R2888" s="126">
        <f t="shared" si="89"/>
        <v>-9999.99</v>
      </c>
      <c r="S2888" s="322">
        <v>202304</v>
      </c>
      <c r="T2888" s="375" t="s">
        <v>3783</v>
      </c>
      <c r="U2888" s="349"/>
      <c r="V2888" s="376"/>
      <c r="W2888" s="376"/>
      <c r="X2888" s="326">
        <v>45017</v>
      </c>
      <c r="Y2888" s="193"/>
    </row>
    <row r="2889" s="3" customFormat="1" customHeight="1" spans="1:25">
      <c r="A2889" s="135" t="s">
        <v>448</v>
      </c>
      <c r="B2889" s="310" t="s">
        <v>3726</v>
      </c>
      <c r="C2889" s="134" t="s">
        <v>39</v>
      </c>
      <c r="D2889" s="11" t="s">
        <v>951</v>
      </c>
      <c r="E2889" s="170" t="s">
        <v>3771</v>
      </c>
      <c r="F2889" s="135" t="s">
        <v>3772</v>
      </c>
      <c r="G2889" s="140" t="s">
        <v>31</v>
      </c>
      <c r="H2889" s="140" t="s">
        <v>3773</v>
      </c>
      <c r="I2889" s="30" t="e">
        <f>VLOOKUP(H2889,'合同高级查询数据-4月返'!A:A,1,FALSE)</f>
        <v>#N/A</v>
      </c>
      <c r="J2889" s="140" t="s">
        <v>3189</v>
      </c>
      <c r="K2889" s="370" t="s">
        <v>3784</v>
      </c>
      <c r="L2889" s="366"/>
      <c r="M2889" s="315" t="s">
        <v>3775</v>
      </c>
      <c r="N2889" s="143" t="s">
        <v>1329</v>
      </c>
      <c r="O2889" s="143"/>
      <c r="P2889" s="343">
        <v>0</v>
      </c>
      <c r="Q2889" s="145">
        <v>288</v>
      </c>
      <c r="R2889" s="157">
        <f t="shared" si="89"/>
        <v>0</v>
      </c>
      <c r="S2889" s="322">
        <v>202304</v>
      </c>
      <c r="T2889" s="375" t="s">
        <v>3785</v>
      </c>
      <c r="U2889" s="349"/>
      <c r="V2889" s="323"/>
      <c r="W2889" s="323"/>
      <c r="X2889" s="326">
        <v>45017</v>
      </c>
      <c r="Y2889" s="193"/>
    </row>
    <row r="2890" s="3" customFormat="1" customHeight="1" spans="1:25">
      <c r="A2890" s="135" t="s">
        <v>448</v>
      </c>
      <c r="B2890" s="310" t="s">
        <v>3726</v>
      </c>
      <c r="C2890" s="134" t="s">
        <v>39</v>
      </c>
      <c r="D2890" s="11" t="s">
        <v>951</v>
      </c>
      <c r="E2890" s="170" t="s">
        <v>3771</v>
      </c>
      <c r="F2890" s="135" t="s">
        <v>3772</v>
      </c>
      <c r="G2890" s="140" t="s">
        <v>31</v>
      </c>
      <c r="H2890" s="140" t="s">
        <v>3773</v>
      </c>
      <c r="I2890" s="30" t="e">
        <f>VLOOKUP(H2890,'合同高级查询数据-4月返'!A:A,1,FALSE)</f>
        <v>#N/A</v>
      </c>
      <c r="J2890" s="140" t="s">
        <v>3189</v>
      </c>
      <c r="K2890" s="370" t="s">
        <v>3786</v>
      </c>
      <c r="L2890" s="366"/>
      <c r="M2890" s="315" t="s">
        <v>3775</v>
      </c>
      <c r="N2890" s="143" t="s">
        <v>1329</v>
      </c>
      <c r="O2890" s="143"/>
      <c r="P2890" s="343">
        <v>0</v>
      </c>
      <c r="Q2890" s="145">
        <v>288</v>
      </c>
      <c r="R2890" s="157">
        <f t="shared" si="89"/>
        <v>0</v>
      </c>
      <c r="S2890" s="322">
        <v>202304</v>
      </c>
      <c r="T2890" s="375" t="s">
        <v>3787</v>
      </c>
      <c r="U2890" s="349"/>
      <c r="V2890" s="323"/>
      <c r="W2890" s="323"/>
      <c r="X2890" s="326">
        <v>45017</v>
      </c>
      <c r="Y2890" s="193"/>
    </row>
    <row r="2891" s="3" customFormat="1" customHeight="1" spans="1:25">
      <c r="A2891" s="135" t="s">
        <v>448</v>
      </c>
      <c r="B2891" s="310" t="s">
        <v>3726</v>
      </c>
      <c r="C2891" s="134" t="s">
        <v>39</v>
      </c>
      <c r="D2891" s="11" t="s">
        <v>951</v>
      </c>
      <c r="E2891" s="170" t="s">
        <v>3771</v>
      </c>
      <c r="F2891" s="135" t="s">
        <v>3772</v>
      </c>
      <c r="G2891" s="140" t="s">
        <v>31</v>
      </c>
      <c r="H2891" s="140" t="s">
        <v>3773</v>
      </c>
      <c r="I2891" s="30" t="e">
        <f>VLOOKUP(H2891,'合同高级查询数据-4月返'!A:A,1,FALSE)</f>
        <v>#N/A</v>
      </c>
      <c r="J2891" s="140" t="s">
        <v>3189</v>
      </c>
      <c r="K2891" s="370" t="s">
        <v>3781</v>
      </c>
      <c r="L2891" s="366"/>
      <c r="M2891" s="315" t="s">
        <v>3775</v>
      </c>
      <c r="N2891" s="143" t="s">
        <v>1329</v>
      </c>
      <c r="O2891" s="143"/>
      <c r="P2891" s="343">
        <v>0</v>
      </c>
      <c r="Q2891" s="145">
        <v>512</v>
      </c>
      <c r="R2891" s="157">
        <f t="shared" si="89"/>
        <v>0</v>
      </c>
      <c r="S2891" s="322">
        <v>202304</v>
      </c>
      <c r="T2891" s="375" t="s">
        <v>3788</v>
      </c>
      <c r="U2891" s="349"/>
      <c r="V2891" s="323"/>
      <c r="W2891" s="323"/>
      <c r="X2891" s="326">
        <v>45017</v>
      </c>
      <c r="Y2891" s="193"/>
    </row>
    <row r="2892" s="3" customFormat="1" customHeight="1" spans="1:25">
      <c r="A2892" s="135" t="s">
        <v>448</v>
      </c>
      <c r="B2892" s="310" t="s">
        <v>3726</v>
      </c>
      <c r="C2892" s="134" t="s">
        <v>39</v>
      </c>
      <c r="D2892" s="11" t="s">
        <v>951</v>
      </c>
      <c r="E2892" s="170" t="s">
        <v>3771</v>
      </c>
      <c r="F2892" s="135" t="s">
        <v>3772</v>
      </c>
      <c r="G2892" s="140" t="s">
        <v>31</v>
      </c>
      <c r="H2892" s="140" t="s">
        <v>3773</v>
      </c>
      <c r="I2892" s="30" t="e">
        <f>VLOOKUP(H2892,'合同高级查询数据-4月返'!A:A,1,FALSE)</f>
        <v>#N/A</v>
      </c>
      <c r="J2892" s="140" t="s">
        <v>3189</v>
      </c>
      <c r="K2892" s="370" t="s">
        <v>3781</v>
      </c>
      <c r="L2892" s="366"/>
      <c r="M2892" s="315" t="s">
        <v>3775</v>
      </c>
      <c r="N2892" s="143">
        <v>44804</v>
      </c>
      <c r="O2892" s="143"/>
      <c r="P2892" s="343">
        <v>0</v>
      </c>
      <c r="Q2892" s="145">
        <v>-256</v>
      </c>
      <c r="R2892" s="157">
        <f t="shared" si="89"/>
        <v>0</v>
      </c>
      <c r="S2892" s="322">
        <v>202304</v>
      </c>
      <c r="T2892" s="375" t="s">
        <v>3789</v>
      </c>
      <c r="U2892" s="349"/>
      <c r="V2892" s="323"/>
      <c r="W2892" s="323"/>
      <c r="X2892" s="326">
        <v>45017</v>
      </c>
      <c r="Y2892" s="193"/>
    </row>
    <row r="2893" s="3" customFormat="1" customHeight="1" spans="1:25">
      <c r="A2893" s="135" t="s">
        <v>448</v>
      </c>
      <c r="B2893" s="310" t="s">
        <v>3726</v>
      </c>
      <c r="C2893" s="134" t="s">
        <v>39</v>
      </c>
      <c r="D2893" s="11" t="s">
        <v>951</v>
      </c>
      <c r="E2893" s="170" t="s">
        <v>3771</v>
      </c>
      <c r="F2893" s="135" t="s">
        <v>3772</v>
      </c>
      <c r="G2893" s="140" t="s">
        <v>31</v>
      </c>
      <c r="H2893" s="140" t="s">
        <v>3773</v>
      </c>
      <c r="I2893" s="30" t="e">
        <f>VLOOKUP(H2893,'合同高级查询数据-4月返'!A:A,1,FALSE)</f>
        <v>#N/A</v>
      </c>
      <c r="J2893" s="140" t="s">
        <v>3424</v>
      </c>
      <c r="K2893" s="370" t="s">
        <v>3790</v>
      </c>
      <c r="L2893" s="366"/>
      <c r="M2893" s="315"/>
      <c r="N2893" s="143" t="s">
        <v>1329</v>
      </c>
      <c r="O2893" s="143"/>
      <c r="P2893" s="343">
        <v>0</v>
      </c>
      <c r="Q2893" s="145">
        <v>512</v>
      </c>
      <c r="R2893" s="157">
        <f t="shared" si="89"/>
        <v>0</v>
      </c>
      <c r="S2893" s="322">
        <v>202304</v>
      </c>
      <c r="T2893" s="375" t="s">
        <v>3791</v>
      </c>
      <c r="U2893" s="349"/>
      <c r="V2893" s="323"/>
      <c r="W2893" s="323"/>
      <c r="X2893" s="326">
        <v>45017</v>
      </c>
      <c r="Y2893" s="193"/>
    </row>
    <row r="2894" s="3" customFormat="1" customHeight="1" spans="1:25">
      <c r="A2894" s="135" t="s">
        <v>448</v>
      </c>
      <c r="B2894" s="310" t="s">
        <v>3726</v>
      </c>
      <c r="C2894" s="134" t="s">
        <v>39</v>
      </c>
      <c r="D2894" s="11" t="s">
        <v>951</v>
      </c>
      <c r="E2894" s="170" t="s">
        <v>3771</v>
      </c>
      <c r="F2894" s="135" t="s">
        <v>3772</v>
      </c>
      <c r="G2894" s="140" t="s">
        <v>31</v>
      </c>
      <c r="H2894" s="140" t="s">
        <v>3773</v>
      </c>
      <c r="I2894" s="30" t="e">
        <f>VLOOKUP(H2894,'合同高级查询数据-4月返'!A:A,1,FALSE)</f>
        <v>#N/A</v>
      </c>
      <c r="J2894" s="140" t="s">
        <v>3189</v>
      </c>
      <c r="K2894" s="370" t="s">
        <v>3786</v>
      </c>
      <c r="L2894" s="366"/>
      <c r="M2894" s="315" t="s">
        <v>3775</v>
      </c>
      <c r="N2894" s="143">
        <v>44221</v>
      </c>
      <c r="O2894" s="143"/>
      <c r="P2894" s="343">
        <v>0</v>
      </c>
      <c r="Q2894" s="145">
        <v>128</v>
      </c>
      <c r="R2894" s="157">
        <f t="shared" si="89"/>
        <v>0</v>
      </c>
      <c r="S2894" s="322">
        <v>202304</v>
      </c>
      <c r="T2894" s="375" t="s">
        <v>3792</v>
      </c>
      <c r="U2894" s="349"/>
      <c r="V2894" s="323"/>
      <c r="W2894" s="323"/>
      <c r="X2894" s="326">
        <v>45017</v>
      </c>
      <c r="Y2894" s="193"/>
    </row>
    <row r="2895" s="3" customFormat="1" customHeight="1" spans="1:25">
      <c r="A2895" s="135" t="s">
        <v>448</v>
      </c>
      <c r="B2895" s="310" t="s">
        <v>3726</v>
      </c>
      <c r="C2895" s="134" t="s">
        <v>39</v>
      </c>
      <c r="D2895" s="11" t="s">
        <v>951</v>
      </c>
      <c r="E2895" s="170" t="s">
        <v>3771</v>
      </c>
      <c r="F2895" s="135" t="s">
        <v>3772</v>
      </c>
      <c r="G2895" s="140" t="s">
        <v>88</v>
      </c>
      <c r="H2895" s="140" t="s">
        <v>3773</v>
      </c>
      <c r="I2895" s="30" t="e">
        <f>VLOOKUP(H2895,'合同高级查询数据-4月返'!A:A,1,FALSE)</f>
        <v>#N/A</v>
      </c>
      <c r="J2895" s="140" t="s">
        <v>162</v>
      </c>
      <c r="K2895" s="370" t="s">
        <v>3786</v>
      </c>
      <c r="L2895" s="366"/>
      <c r="M2895" s="315" t="s">
        <v>3775</v>
      </c>
      <c r="N2895" s="143">
        <v>44774</v>
      </c>
      <c r="O2895" s="143"/>
      <c r="P2895" s="371">
        <v>3333.33</v>
      </c>
      <c r="Q2895" s="145">
        <v>6</v>
      </c>
      <c r="R2895" s="157">
        <f t="shared" si="89"/>
        <v>19999.98</v>
      </c>
      <c r="S2895" s="322">
        <v>202304</v>
      </c>
      <c r="T2895" s="375" t="s">
        <v>3793</v>
      </c>
      <c r="U2895" s="349"/>
      <c r="V2895" s="323"/>
      <c r="W2895" s="323"/>
      <c r="X2895" s="326">
        <v>45017</v>
      </c>
      <c r="Y2895" s="193"/>
    </row>
    <row r="2896" s="3" customFormat="1" customHeight="1" spans="1:25">
      <c r="A2896" s="135" t="s">
        <v>448</v>
      </c>
      <c r="B2896" s="310" t="s">
        <v>3726</v>
      </c>
      <c r="C2896" s="134" t="s">
        <v>39</v>
      </c>
      <c r="D2896" s="11" t="s">
        <v>951</v>
      </c>
      <c r="E2896" s="170" t="s">
        <v>3771</v>
      </c>
      <c r="F2896" s="135" t="s">
        <v>3772</v>
      </c>
      <c r="G2896" s="140" t="s">
        <v>31</v>
      </c>
      <c r="H2896" s="140" t="s">
        <v>3773</v>
      </c>
      <c r="I2896" s="30" t="e">
        <f>VLOOKUP(H2896,'合同高级查询数据-4月返'!A:A,1,FALSE)</f>
        <v>#N/A</v>
      </c>
      <c r="J2896" s="140" t="s">
        <v>3189</v>
      </c>
      <c r="K2896" s="370" t="s">
        <v>3786</v>
      </c>
      <c r="L2896" s="366"/>
      <c r="M2896" s="315" t="s">
        <v>3775</v>
      </c>
      <c r="N2896" s="143">
        <v>44774</v>
      </c>
      <c r="O2896" s="143"/>
      <c r="P2896" s="343">
        <v>0</v>
      </c>
      <c r="Q2896" s="145">
        <v>256</v>
      </c>
      <c r="R2896" s="157">
        <f t="shared" si="89"/>
        <v>0</v>
      </c>
      <c r="S2896" s="322">
        <v>202304</v>
      </c>
      <c r="T2896" s="375" t="s">
        <v>3794</v>
      </c>
      <c r="U2896" s="349"/>
      <c r="V2896" s="323"/>
      <c r="W2896" s="323"/>
      <c r="X2896" s="326">
        <v>45017</v>
      </c>
      <c r="Y2896" s="193"/>
    </row>
    <row r="2897" s="3" customFormat="1" customHeight="1" spans="1:25">
      <c r="A2897" s="135" t="s">
        <v>448</v>
      </c>
      <c r="B2897" s="310" t="s">
        <v>3726</v>
      </c>
      <c r="C2897" s="134" t="s">
        <v>39</v>
      </c>
      <c r="D2897" s="11" t="s">
        <v>951</v>
      </c>
      <c r="E2897" s="170" t="s">
        <v>3771</v>
      </c>
      <c r="F2897" s="135" t="s">
        <v>3772</v>
      </c>
      <c r="G2897" s="140" t="s">
        <v>31</v>
      </c>
      <c r="H2897" s="140" t="s">
        <v>3773</v>
      </c>
      <c r="I2897" s="30" t="e">
        <f>VLOOKUP(H2897,'合同高级查询数据-4月返'!A:A,1,FALSE)</f>
        <v>#N/A</v>
      </c>
      <c r="J2897" s="140" t="s">
        <v>3189</v>
      </c>
      <c r="K2897" s="370" t="s">
        <v>3786</v>
      </c>
      <c r="L2897" s="366"/>
      <c r="M2897" s="315" t="s">
        <v>3775</v>
      </c>
      <c r="N2897" s="143">
        <v>44774</v>
      </c>
      <c r="O2897" s="143"/>
      <c r="P2897" s="343">
        <v>0</v>
      </c>
      <c r="Q2897" s="145">
        <v>1</v>
      </c>
      <c r="R2897" s="157">
        <f t="shared" si="89"/>
        <v>0</v>
      </c>
      <c r="S2897" s="322">
        <v>202304</v>
      </c>
      <c r="T2897" s="375" t="s">
        <v>3795</v>
      </c>
      <c r="U2897" s="349"/>
      <c r="V2897" s="323"/>
      <c r="W2897" s="323"/>
      <c r="X2897" s="326">
        <v>45017</v>
      </c>
      <c r="Y2897" s="193"/>
    </row>
    <row r="2898" s="3" customFormat="1" customHeight="1" spans="1:25">
      <c r="A2898" s="135" t="s">
        <v>448</v>
      </c>
      <c r="B2898" s="310" t="s">
        <v>3726</v>
      </c>
      <c r="C2898" s="134" t="s">
        <v>39</v>
      </c>
      <c r="D2898" s="11" t="s">
        <v>951</v>
      </c>
      <c r="E2898" s="170" t="s">
        <v>3771</v>
      </c>
      <c r="F2898" s="135" t="s">
        <v>3772</v>
      </c>
      <c r="G2898" s="140" t="s">
        <v>31</v>
      </c>
      <c r="H2898" s="140" t="s">
        <v>3773</v>
      </c>
      <c r="I2898" s="30" t="e">
        <f>VLOOKUP(H2898,'合同高级查询数据-4月返'!A:A,1,FALSE)</f>
        <v>#N/A</v>
      </c>
      <c r="J2898" s="140" t="s">
        <v>3189</v>
      </c>
      <c r="K2898" s="370" t="s">
        <v>3786</v>
      </c>
      <c r="L2898" s="366"/>
      <c r="M2898" s="315" t="s">
        <v>3775</v>
      </c>
      <c r="N2898" s="143">
        <v>44872</v>
      </c>
      <c r="O2898" s="143"/>
      <c r="P2898" s="343">
        <v>0</v>
      </c>
      <c r="Q2898" s="145">
        <v>-128</v>
      </c>
      <c r="R2898" s="157">
        <f t="shared" si="89"/>
        <v>0</v>
      </c>
      <c r="S2898" s="322">
        <v>202304</v>
      </c>
      <c r="T2898" s="375" t="s">
        <v>3796</v>
      </c>
      <c r="U2898" s="349"/>
      <c r="V2898" s="323"/>
      <c r="W2898" s="323"/>
      <c r="X2898" s="326">
        <v>45017</v>
      </c>
      <c r="Y2898" s="193"/>
    </row>
    <row r="2899" s="3" customFormat="1" customHeight="1" spans="1:25">
      <c r="A2899" s="135" t="s">
        <v>448</v>
      </c>
      <c r="B2899" s="310" t="s">
        <v>3726</v>
      </c>
      <c r="C2899" s="134" t="s">
        <v>39</v>
      </c>
      <c r="D2899" s="35" t="s">
        <v>951</v>
      </c>
      <c r="E2899" s="170" t="s">
        <v>3771</v>
      </c>
      <c r="F2899" s="135" t="s">
        <v>3797</v>
      </c>
      <c r="G2899" s="140" t="s">
        <v>88</v>
      </c>
      <c r="H2899" s="140" t="s">
        <v>3773</v>
      </c>
      <c r="I2899" s="30" t="e">
        <f>VLOOKUP(H2899,'合同高级查询数据-4月返'!A:A,1,FALSE)</f>
        <v>#N/A</v>
      </c>
      <c r="J2899" s="140" t="s">
        <v>162</v>
      </c>
      <c r="K2899" s="370" t="s">
        <v>3798</v>
      </c>
      <c r="L2899" s="366"/>
      <c r="M2899" s="315" t="s">
        <v>3799</v>
      </c>
      <c r="N2899" s="143">
        <v>43018</v>
      </c>
      <c r="O2899" s="143" t="s">
        <v>163</v>
      </c>
      <c r="P2899" s="371">
        <v>3333.33</v>
      </c>
      <c r="Q2899" s="145">
        <v>11</v>
      </c>
      <c r="R2899" s="126">
        <f t="shared" si="89"/>
        <v>36666.63</v>
      </c>
      <c r="S2899" s="322">
        <v>202304</v>
      </c>
      <c r="T2899" s="375" t="s">
        <v>3800</v>
      </c>
      <c r="U2899" s="349"/>
      <c r="V2899" s="376"/>
      <c r="W2899" s="376"/>
      <c r="X2899" s="326">
        <v>45017</v>
      </c>
      <c r="Y2899" s="193"/>
    </row>
    <row r="2900" s="3" customFormat="1" customHeight="1" spans="1:25">
      <c r="A2900" s="135" t="s">
        <v>448</v>
      </c>
      <c r="B2900" s="310" t="s">
        <v>3726</v>
      </c>
      <c r="C2900" s="134" t="s">
        <v>39</v>
      </c>
      <c r="D2900" s="35" t="s">
        <v>951</v>
      </c>
      <c r="E2900" s="170" t="s">
        <v>3771</v>
      </c>
      <c r="F2900" s="135" t="s">
        <v>3797</v>
      </c>
      <c r="G2900" s="140" t="s">
        <v>88</v>
      </c>
      <c r="H2900" s="140" t="s">
        <v>3773</v>
      </c>
      <c r="I2900" s="30" t="e">
        <f>VLOOKUP(H2900,'合同高级查询数据-4月返'!A:A,1,FALSE)</f>
        <v>#N/A</v>
      </c>
      <c r="J2900" s="140" t="s">
        <v>162</v>
      </c>
      <c r="K2900" s="370" t="s">
        <v>3798</v>
      </c>
      <c r="L2900" s="366"/>
      <c r="M2900" s="315" t="s">
        <v>3799</v>
      </c>
      <c r="N2900" s="143">
        <v>44421</v>
      </c>
      <c r="O2900" s="143" t="s">
        <v>163</v>
      </c>
      <c r="P2900" s="371">
        <v>3333.33</v>
      </c>
      <c r="Q2900" s="145">
        <v>-6</v>
      </c>
      <c r="R2900" s="126">
        <f t="shared" si="89"/>
        <v>-19999.98</v>
      </c>
      <c r="S2900" s="322">
        <v>202304</v>
      </c>
      <c r="T2900" s="375" t="s">
        <v>3801</v>
      </c>
      <c r="U2900" s="349"/>
      <c r="V2900" s="376"/>
      <c r="W2900" s="376"/>
      <c r="X2900" s="326">
        <v>45017</v>
      </c>
      <c r="Y2900" s="193"/>
    </row>
    <row r="2901" s="3" customFormat="1" customHeight="1" spans="1:25">
      <c r="A2901" s="135" t="s">
        <v>448</v>
      </c>
      <c r="B2901" s="310" t="s">
        <v>3726</v>
      </c>
      <c r="C2901" s="134" t="s">
        <v>39</v>
      </c>
      <c r="D2901" s="35" t="s">
        <v>951</v>
      </c>
      <c r="E2901" s="170" t="s">
        <v>3771</v>
      </c>
      <c r="F2901" s="135" t="s">
        <v>3797</v>
      </c>
      <c r="G2901" s="140" t="s">
        <v>88</v>
      </c>
      <c r="H2901" s="140" t="s">
        <v>3773</v>
      </c>
      <c r="I2901" s="30" t="e">
        <f>VLOOKUP(H2901,'合同高级查询数据-4月返'!A:A,1,FALSE)</f>
        <v>#N/A</v>
      </c>
      <c r="J2901" s="140" t="s">
        <v>162</v>
      </c>
      <c r="K2901" s="370" t="s">
        <v>3802</v>
      </c>
      <c r="L2901" s="366"/>
      <c r="M2901" s="315" t="s">
        <v>3799</v>
      </c>
      <c r="N2901" s="143">
        <v>43245</v>
      </c>
      <c r="O2901" s="143" t="s">
        <v>163</v>
      </c>
      <c r="P2901" s="371">
        <v>3333.33</v>
      </c>
      <c r="Q2901" s="145">
        <v>7</v>
      </c>
      <c r="R2901" s="126">
        <f t="shared" si="89"/>
        <v>23333.31</v>
      </c>
      <c r="S2901" s="322">
        <v>202304</v>
      </c>
      <c r="T2901" s="375" t="s">
        <v>3803</v>
      </c>
      <c r="U2901" s="349"/>
      <c r="V2901" s="376"/>
      <c r="W2901" s="376"/>
      <c r="X2901" s="326">
        <v>45017</v>
      </c>
      <c r="Y2901" s="193"/>
    </row>
    <row r="2902" s="3" customFormat="1" customHeight="1" spans="1:25">
      <c r="A2902" s="135" t="s">
        <v>448</v>
      </c>
      <c r="B2902" s="310" t="s">
        <v>3726</v>
      </c>
      <c r="C2902" s="134" t="s">
        <v>39</v>
      </c>
      <c r="D2902" s="35" t="s">
        <v>951</v>
      </c>
      <c r="E2902" s="170" t="s">
        <v>3771</v>
      </c>
      <c r="F2902" s="135" t="s">
        <v>3797</v>
      </c>
      <c r="G2902" s="140" t="s">
        <v>88</v>
      </c>
      <c r="H2902" s="140" t="s">
        <v>3773</v>
      </c>
      <c r="I2902" s="30" t="e">
        <f>VLOOKUP(H2902,'合同高级查询数据-4月返'!A:A,1,FALSE)</f>
        <v>#N/A</v>
      </c>
      <c r="J2902" s="140" t="s">
        <v>162</v>
      </c>
      <c r="K2902" s="370" t="s">
        <v>3802</v>
      </c>
      <c r="L2902" s="366"/>
      <c r="M2902" s="315" t="s">
        <v>3799</v>
      </c>
      <c r="N2902" s="143">
        <v>44905</v>
      </c>
      <c r="O2902" s="143" t="s">
        <v>163</v>
      </c>
      <c r="P2902" s="371">
        <v>3333.33</v>
      </c>
      <c r="Q2902" s="145">
        <v>-3</v>
      </c>
      <c r="R2902" s="126">
        <f t="shared" si="89"/>
        <v>-9999.99</v>
      </c>
      <c r="S2902" s="322">
        <v>202304</v>
      </c>
      <c r="T2902" s="375" t="s">
        <v>3804</v>
      </c>
      <c r="U2902" s="349"/>
      <c r="V2902" s="376"/>
      <c r="W2902" s="376"/>
      <c r="X2902" s="326">
        <v>45017</v>
      </c>
      <c r="Y2902" s="193"/>
    </row>
    <row r="2903" s="3" customFormat="1" customHeight="1" spans="1:25">
      <c r="A2903" s="135" t="s">
        <v>448</v>
      </c>
      <c r="B2903" s="310" t="s">
        <v>3726</v>
      </c>
      <c r="C2903" s="134" t="s">
        <v>39</v>
      </c>
      <c r="D2903" s="35" t="s">
        <v>951</v>
      </c>
      <c r="E2903" s="170" t="s">
        <v>3771</v>
      </c>
      <c r="F2903" s="135" t="s">
        <v>3797</v>
      </c>
      <c r="G2903" s="140" t="s">
        <v>88</v>
      </c>
      <c r="H2903" s="140" t="s">
        <v>3773</v>
      </c>
      <c r="I2903" s="30" t="e">
        <f>VLOOKUP(H2903,'合同高级查询数据-4月返'!A:A,1,FALSE)</f>
        <v>#N/A</v>
      </c>
      <c r="J2903" s="140" t="s">
        <v>162</v>
      </c>
      <c r="K2903" s="370" t="s">
        <v>3805</v>
      </c>
      <c r="L2903" s="366"/>
      <c r="M2903" s="315" t="s">
        <v>3806</v>
      </c>
      <c r="N2903" s="143">
        <v>43671</v>
      </c>
      <c r="O2903" s="143" t="s">
        <v>163</v>
      </c>
      <c r="P2903" s="371">
        <v>3333.33</v>
      </c>
      <c r="Q2903" s="145">
        <v>22</v>
      </c>
      <c r="R2903" s="126">
        <f t="shared" si="89"/>
        <v>73333.26</v>
      </c>
      <c r="S2903" s="322">
        <v>202304</v>
      </c>
      <c r="T2903" s="375" t="s">
        <v>3807</v>
      </c>
      <c r="U2903" s="349"/>
      <c r="V2903" s="376"/>
      <c r="W2903" s="376"/>
      <c r="X2903" s="326">
        <v>45017</v>
      </c>
      <c r="Y2903" s="193"/>
    </row>
    <row r="2904" s="3" customFormat="1" customHeight="1" spans="1:25">
      <c r="A2904" s="135" t="s">
        <v>448</v>
      </c>
      <c r="B2904" s="310" t="s">
        <v>3726</v>
      </c>
      <c r="C2904" s="134" t="s">
        <v>39</v>
      </c>
      <c r="D2904" s="35" t="s">
        <v>951</v>
      </c>
      <c r="E2904" s="170" t="s">
        <v>3771</v>
      </c>
      <c r="F2904" s="135" t="s">
        <v>3797</v>
      </c>
      <c r="G2904" s="140" t="s">
        <v>88</v>
      </c>
      <c r="H2904" s="140" t="s">
        <v>3773</v>
      </c>
      <c r="I2904" s="30" t="e">
        <f>VLOOKUP(H2904,'合同高级查询数据-4月返'!A:A,1,FALSE)</f>
        <v>#N/A</v>
      </c>
      <c r="J2904" s="140" t="s">
        <v>162</v>
      </c>
      <c r="K2904" s="370" t="s">
        <v>3805</v>
      </c>
      <c r="L2904" s="366"/>
      <c r="M2904" s="315" t="s">
        <v>3806</v>
      </c>
      <c r="N2904" s="143">
        <v>44214</v>
      </c>
      <c r="O2904" s="143" t="s">
        <v>163</v>
      </c>
      <c r="P2904" s="371">
        <v>3333.33</v>
      </c>
      <c r="Q2904" s="145">
        <v>-9</v>
      </c>
      <c r="R2904" s="126">
        <f t="shared" si="89"/>
        <v>-29999.97</v>
      </c>
      <c r="S2904" s="322">
        <v>202304</v>
      </c>
      <c r="T2904" s="375" t="s">
        <v>3808</v>
      </c>
      <c r="U2904" s="349"/>
      <c r="V2904" s="376"/>
      <c r="W2904" s="376"/>
      <c r="X2904" s="326">
        <v>45017</v>
      </c>
      <c r="Y2904" s="193"/>
    </row>
    <row r="2905" s="3" customFormat="1" customHeight="1" spans="1:25">
      <c r="A2905" s="135" t="s">
        <v>448</v>
      </c>
      <c r="B2905" s="310" t="s">
        <v>3726</v>
      </c>
      <c r="C2905" s="134" t="s">
        <v>39</v>
      </c>
      <c r="D2905" s="35" t="s">
        <v>951</v>
      </c>
      <c r="E2905" s="170" t="s">
        <v>3771</v>
      </c>
      <c r="F2905" s="135" t="s">
        <v>3797</v>
      </c>
      <c r="G2905" s="140" t="s">
        <v>88</v>
      </c>
      <c r="H2905" s="140" t="s">
        <v>3773</v>
      </c>
      <c r="I2905" s="30" t="e">
        <f>VLOOKUP(H2905,'合同高级查询数据-4月返'!A:A,1,FALSE)</f>
        <v>#N/A</v>
      </c>
      <c r="J2905" s="140" t="s">
        <v>162</v>
      </c>
      <c r="K2905" s="370" t="s">
        <v>3798</v>
      </c>
      <c r="L2905" s="366"/>
      <c r="M2905" s="315" t="s">
        <v>3799</v>
      </c>
      <c r="N2905" s="143">
        <v>44805</v>
      </c>
      <c r="O2905" s="143" t="s">
        <v>163</v>
      </c>
      <c r="P2905" s="371">
        <v>3333.33</v>
      </c>
      <c r="Q2905" s="145">
        <v>3</v>
      </c>
      <c r="R2905" s="126">
        <f t="shared" si="89"/>
        <v>9999.99</v>
      </c>
      <c r="S2905" s="322">
        <v>202304</v>
      </c>
      <c r="T2905" s="375" t="s">
        <v>3809</v>
      </c>
      <c r="U2905" s="349"/>
      <c r="V2905" s="376"/>
      <c r="W2905" s="376"/>
      <c r="X2905" s="326">
        <v>45017</v>
      </c>
      <c r="Y2905" s="193"/>
    </row>
    <row r="2906" s="3" customFormat="1" customHeight="1" spans="1:25">
      <c r="A2906" s="135" t="s">
        <v>448</v>
      </c>
      <c r="B2906" s="310" t="s">
        <v>3726</v>
      </c>
      <c r="C2906" s="134" t="s">
        <v>39</v>
      </c>
      <c r="D2906" s="11" t="s">
        <v>951</v>
      </c>
      <c r="E2906" s="170" t="s">
        <v>3771</v>
      </c>
      <c r="F2906" s="135" t="s">
        <v>3797</v>
      </c>
      <c r="G2906" s="140" t="s">
        <v>31</v>
      </c>
      <c r="H2906" s="140" t="s">
        <v>3773</v>
      </c>
      <c r="I2906" s="30" t="e">
        <f>VLOOKUP(H2906,'合同高级查询数据-4月返'!A:A,1,FALSE)</f>
        <v>#N/A</v>
      </c>
      <c r="J2906" s="140" t="s">
        <v>3189</v>
      </c>
      <c r="K2906" s="370" t="s">
        <v>3798</v>
      </c>
      <c r="L2906" s="366"/>
      <c r="M2906" s="315" t="s">
        <v>3799</v>
      </c>
      <c r="N2906" s="143">
        <v>43245</v>
      </c>
      <c r="O2906" s="143"/>
      <c r="P2906" s="343">
        <v>0</v>
      </c>
      <c r="Q2906" s="145">
        <v>544</v>
      </c>
      <c r="R2906" s="126">
        <f t="shared" si="89"/>
        <v>0</v>
      </c>
      <c r="S2906" s="322">
        <v>202304</v>
      </c>
      <c r="T2906" s="375" t="s">
        <v>3810</v>
      </c>
      <c r="U2906" s="349"/>
      <c r="V2906" s="323"/>
      <c r="W2906" s="323"/>
      <c r="X2906" s="326">
        <v>45017</v>
      </c>
      <c r="Y2906" s="193"/>
    </row>
    <row r="2907" s="3" customFormat="1" customHeight="1" spans="1:25">
      <c r="A2907" s="135" t="s">
        <v>448</v>
      </c>
      <c r="B2907" s="310" t="s">
        <v>3726</v>
      </c>
      <c r="C2907" s="134" t="s">
        <v>39</v>
      </c>
      <c r="D2907" s="11" t="s">
        <v>951</v>
      </c>
      <c r="E2907" s="170" t="s">
        <v>3771</v>
      </c>
      <c r="F2907" s="135" t="s">
        <v>3797</v>
      </c>
      <c r="G2907" s="140" t="s">
        <v>31</v>
      </c>
      <c r="H2907" s="140" t="s">
        <v>3773</v>
      </c>
      <c r="I2907" s="30" t="e">
        <f>VLOOKUP(H2907,'合同高级查询数据-4月返'!A:A,1,FALSE)</f>
        <v>#N/A</v>
      </c>
      <c r="J2907" s="140" t="s">
        <v>3189</v>
      </c>
      <c r="K2907" s="370" t="s">
        <v>3802</v>
      </c>
      <c r="L2907" s="366"/>
      <c r="M2907" s="315" t="s">
        <v>3799</v>
      </c>
      <c r="N2907" s="143">
        <v>43245</v>
      </c>
      <c r="O2907" s="143"/>
      <c r="P2907" s="343">
        <v>0</v>
      </c>
      <c r="Q2907" s="145">
        <v>288</v>
      </c>
      <c r="R2907" s="126">
        <f t="shared" si="89"/>
        <v>0</v>
      </c>
      <c r="S2907" s="322">
        <v>202304</v>
      </c>
      <c r="T2907" s="375" t="s">
        <v>3811</v>
      </c>
      <c r="U2907" s="349"/>
      <c r="V2907" s="323"/>
      <c r="W2907" s="323"/>
      <c r="X2907" s="326">
        <v>45017</v>
      </c>
      <c r="Y2907" s="193"/>
    </row>
    <row r="2908" s="3" customFormat="1" customHeight="1" spans="1:25">
      <c r="A2908" s="135" t="s">
        <v>448</v>
      </c>
      <c r="B2908" s="310" t="s">
        <v>3726</v>
      </c>
      <c r="C2908" s="134" t="s">
        <v>39</v>
      </c>
      <c r="D2908" s="11" t="s">
        <v>951</v>
      </c>
      <c r="E2908" s="170" t="s">
        <v>3771</v>
      </c>
      <c r="F2908" s="135" t="s">
        <v>3797</v>
      </c>
      <c r="G2908" s="140" t="s">
        <v>31</v>
      </c>
      <c r="H2908" s="140" t="s">
        <v>3773</v>
      </c>
      <c r="I2908" s="30" t="e">
        <f>VLOOKUP(H2908,'合同高级查询数据-4月返'!A:A,1,FALSE)</f>
        <v>#N/A</v>
      </c>
      <c r="J2908" s="140" t="s">
        <v>3189</v>
      </c>
      <c r="K2908" s="370" t="s">
        <v>3805</v>
      </c>
      <c r="L2908" s="366"/>
      <c r="M2908" s="315" t="s">
        <v>3806</v>
      </c>
      <c r="N2908" s="143">
        <v>43671</v>
      </c>
      <c r="O2908" s="143"/>
      <c r="P2908" s="343">
        <v>0</v>
      </c>
      <c r="Q2908" s="145">
        <v>544</v>
      </c>
      <c r="R2908" s="126">
        <f t="shared" si="89"/>
        <v>0</v>
      </c>
      <c r="S2908" s="322">
        <v>202304</v>
      </c>
      <c r="T2908" s="375" t="s">
        <v>3812</v>
      </c>
      <c r="U2908" s="349"/>
      <c r="V2908" s="323"/>
      <c r="W2908" s="323"/>
      <c r="X2908" s="326">
        <v>45017</v>
      </c>
      <c r="Y2908" s="193"/>
    </row>
    <row r="2909" s="3" customFormat="1" customHeight="1" spans="1:25">
      <c r="A2909" s="135" t="s">
        <v>448</v>
      </c>
      <c r="B2909" s="310" t="s">
        <v>3726</v>
      </c>
      <c r="C2909" s="134" t="s">
        <v>39</v>
      </c>
      <c r="D2909" s="35" t="s">
        <v>951</v>
      </c>
      <c r="E2909" s="170" t="s">
        <v>3771</v>
      </c>
      <c r="F2909" s="135" t="s">
        <v>3797</v>
      </c>
      <c r="G2909" s="140" t="s">
        <v>88</v>
      </c>
      <c r="H2909" s="140" t="s">
        <v>3773</v>
      </c>
      <c r="I2909" s="30" t="e">
        <f>VLOOKUP(H2909,'合同高级查询数据-4月返'!A:A,1,FALSE)</f>
        <v>#N/A</v>
      </c>
      <c r="J2909" s="140" t="s">
        <v>162</v>
      </c>
      <c r="K2909" s="370" t="s">
        <v>3805</v>
      </c>
      <c r="L2909" s="366"/>
      <c r="M2909" s="315" t="s">
        <v>3806</v>
      </c>
      <c r="N2909" s="143">
        <v>44835</v>
      </c>
      <c r="O2909" s="143" t="s">
        <v>163</v>
      </c>
      <c r="P2909" s="371">
        <v>3333.33</v>
      </c>
      <c r="Q2909" s="145">
        <v>11</v>
      </c>
      <c r="R2909" s="126">
        <f t="shared" si="89"/>
        <v>36666.63</v>
      </c>
      <c r="S2909" s="322">
        <v>202304</v>
      </c>
      <c r="T2909" s="375" t="s">
        <v>3813</v>
      </c>
      <c r="U2909" s="349"/>
      <c r="V2909" s="376"/>
      <c r="W2909" s="376"/>
      <c r="X2909" s="326">
        <v>45017</v>
      </c>
      <c r="Y2909" s="193"/>
    </row>
    <row r="2910" s="5" customFormat="1" customHeight="1" spans="1:25">
      <c r="A2910" s="98" t="s">
        <v>448</v>
      </c>
      <c r="B2910" s="307" t="s">
        <v>3726</v>
      </c>
      <c r="C2910" s="160" t="s">
        <v>39</v>
      </c>
      <c r="D2910" s="24" t="s">
        <v>951</v>
      </c>
      <c r="E2910" s="161" t="s">
        <v>3771</v>
      </c>
      <c r="F2910" s="98" t="s">
        <v>3797</v>
      </c>
      <c r="G2910" s="309" t="s">
        <v>346</v>
      </c>
      <c r="H2910" s="309" t="s">
        <v>3814</v>
      </c>
      <c r="I2910" s="46" t="e">
        <f>VLOOKUP(H2910,'合同高级查询数据-4月返'!A:A,1,FALSE)</f>
        <v>#N/A</v>
      </c>
      <c r="J2910" s="309" t="s">
        <v>346</v>
      </c>
      <c r="K2910" s="372" t="s">
        <v>3815</v>
      </c>
      <c r="L2910" s="373"/>
      <c r="M2910" s="312"/>
      <c r="N2910" s="265">
        <v>44743</v>
      </c>
      <c r="O2910" s="265" t="s">
        <v>2500</v>
      </c>
      <c r="P2910" s="346">
        <v>250000</v>
      </c>
      <c r="Q2910" s="164">
        <v>1</v>
      </c>
      <c r="R2910" s="117">
        <f t="shared" si="89"/>
        <v>250000</v>
      </c>
      <c r="S2910" s="319">
        <v>202304</v>
      </c>
      <c r="T2910" s="377" t="s">
        <v>3816</v>
      </c>
      <c r="U2910" s="347"/>
      <c r="V2910" s="320"/>
      <c r="W2910" s="320"/>
      <c r="X2910" s="352">
        <v>44713</v>
      </c>
      <c r="Y2910" s="229">
        <v>45808</v>
      </c>
    </row>
    <row r="2911" s="5" customFormat="1" customHeight="1" spans="1:25">
      <c r="A2911" s="98" t="s">
        <v>446</v>
      </c>
      <c r="B2911" s="307" t="s">
        <v>3726</v>
      </c>
      <c r="C2911" s="160" t="s">
        <v>39</v>
      </c>
      <c r="D2911" s="22" t="s">
        <v>951</v>
      </c>
      <c r="E2911" s="161" t="s">
        <v>3817</v>
      </c>
      <c r="F2911" s="98" t="s">
        <v>3818</v>
      </c>
      <c r="G2911" s="309" t="s">
        <v>88</v>
      </c>
      <c r="H2911" s="309" t="s">
        <v>3819</v>
      </c>
      <c r="I2911" s="46" t="e">
        <f>VLOOKUP(H2911,'合同高级查询数据-4月返'!A:A,1,FALSE)</f>
        <v>#N/A</v>
      </c>
      <c r="J2911" s="309" t="s">
        <v>162</v>
      </c>
      <c r="K2911" s="372" t="s">
        <v>3820</v>
      </c>
      <c r="L2911" s="373" t="s">
        <v>3821</v>
      </c>
      <c r="M2911" s="312" t="s">
        <v>3822</v>
      </c>
      <c r="N2911" s="265">
        <v>44835</v>
      </c>
      <c r="O2911" s="265" t="s">
        <v>163</v>
      </c>
      <c r="P2911" s="374">
        <v>2916.6</v>
      </c>
      <c r="Q2911" s="164">
        <v>1</v>
      </c>
      <c r="R2911" s="117">
        <f t="shared" si="89"/>
        <v>2916.6</v>
      </c>
      <c r="S2911" s="319">
        <v>202304</v>
      </c>
      <c r="T2911" s="377" t="s">
        <v>3823</v>
      </c>
      <c r="U2911" s="347"/>
      <c r="V2911" s="378"/>
      <c r="W2911" s="378"/>
      <c r="X2911" s="265">
        <v>44835</v>
      </c>
      <c r="Y2911" s="229">
        <v>45199</v>
      </c>
    </row>
    <row r="2912" s="5" customFormat="1" customHeight="1" spans="1:25">
      <c r="A2912" s="98" t="s">
        <v>446</v>
      </c>
      <c r="B2912" s="307" t="s">
        <v>3726</v>
      </c>
      <c r="C2912" s="160" t="s">
        <v>39</v>
      </c>
      <c r="D2912" s="24" t="s">
        <v>951</v>
      </c>
      <c r="E2912" s="161" t="s">
        <v>3817</v>
      </c>
      <c r="F2912" s="98" t="s">
        <v>3818</v>
      </c>
      <c r="G2912" s="309" t="s">
        <v>31</v>
      </c>
      <c r="H2912" s="309" t="s">
        <v>3819</v>
      </c>
      <c r="I2912" s="46" t="e">
        <f>VLOOKUP(H2912,'合同高级查询数据-4月返'!A:A,1,FALSE)</f>
        <v>#N/A</v>
      </c>
      <c r="J2912" s="309" t="s">
        <v>3189</v>
      </c>
      <c r="K2912" s="372" t="s">
        <v>3820</v>
      </c>
      <c r="L2912" s="373" t="s">
        <v>3821</v>
      </c>
      <c r="M2912" s="312" t="s">
        <v>3822</v>
      </c>
      <c r="N2912" s="265">
        <v>44835</v>
      </c>
      <c r="O2912" s="265"/>
      <c r="P2912" s="346">
        <v>0</v>
      </c>
      <c r="Q2912" s="164">
        <v>256</v>
      </c>
      <c r="R2912" s="207">
        <f t="shared" si="89"/>
        <v>0</v>
      </c>
      <c r="S2912" s="319">
        <v>202304</v>
      </c>
      <c r="T2912" s="377" t="s">
        <v>3824</v>
      </c>
      <c r="U2912" s="347"/>
      <c r="V2912" s="320"/>
      <c r="W2912" s="320"/>
      <c r="X2912" s="265">
        <v>44835</v>
      </c>
      <c r="Y2912" s="229">
        <v>45199</v>
      </c>
    </row>
    <row r="2913" s="3" customFormat="1" customHeight="1" spans="1:25">
      <c r="A2913" s="135" t="s">
        <v>446</v>
      </c>
      <c r="B2913" s="310" t="s">
        <v>3726</v>
      </c>
      <c r="C2913" s="134" t="s">
        <v>39</v>
      </c>
      <c r="D2913" s="35" t="s">
        <v>951</v>
      </c>
      <c r="E2913" s="170" t="s">
        <v>3825</v>
      </c>
      <c r="F2913" s="135" t="s">
        <v>3826</v>
      </c>
      <c r="G2913" s="140" t="s">
        <v>88</v>
      </c>
      <c r="H2913" s="140" t="s">
        <v>3827</v>
      </c>
      <c r="I2913" s="30" t="e">
        <f>VLOOKUP(H2913,'合同高级查询数据-4月返'!A:A,1,FALSE)</f>
        <v>#N/A</v>
      </c>
      <c r="J2913" s="140" t="s">
        <v>162</v>
      </c>
      <c r="K2913" s="370" t="s">
        <v>3828</v>
      </c>
      <c r="L2913" s="366"/>
      <c r="M2913" s="315" t="s">
        <v>3829</v>
      </c>
      <c r="N2913" s="143">
        <v>42736</v>
      </c>
      <c r="O2913" s="143" t="s">
        <v>503</v>
      </c>
      <c r="P2913" s="371">
        <v>5000</v>
      </c>
      <c r="Q2913" s="145">
        <v>2</v>
      </c>
      <c r="R2913" s="126">
        <f t="shared" si="89"/>
        <v>10000</v>
      </c>
      <c r="S2913" s="322">
        <v>202304</v>
      </c>
      <c r="T2913" s="375"/>
      <c r="U2913" s="349"/>
      <c r="V2913" s="376"/>
      <c r="W2913" s="376"/>
      <c r="X2913" s="193">
        <v>44927</v>
      </c>
      <c r="Y2913" s="193"/>
    </row>
    <row r="2914" s="3" customFormat="1" customHeight="1" spans="1:25">
      <c r="A2914" s="135" t="s">
        <v>446</v>
      </c>
      <c r="B2914" s="310" t="s">
        <v>3726</v>
      </c>
      <c r="C2914" s="134" t="s">
        <v>39</v>
      </c>
      <c r="D2914" s="35" t="s">
        <v>951</v>
      </c>
      <c r="E2914" s="170" t="s">
        <v>3825</v>
      </c>
      <c r="F2914" s="135" t="s">
        <v>3826</v>
      </c>
      <c r="G2914" s="140" t="s">
        <v>88</v>
      </c>
      <c r="H2914" s="140" t="s">
        <v>3827</v>
      </c>
      <c r="I2914" s="30" t="e">
        <f>VLOOKUP(H2914,'合同高级查询数据-4月返'!A:A,1,FALSE)</f>
        <v>#N/A</v>
      </c>
      <c r="J2914" s="140" t="s">
        <v>162</v>
      </c>
      <c r="K2914" s="370" t="s">
        <v>3828</v>
      </c>
      <c r="L2914" s="366"/>
      <c r="M2914" s="315" t="s">
        <v>3829</v>
      </c>
      <c r="N2914" s="143">
        <v>43701</v>
      </c>
      <c r="O2914" s="143" t="s">
        <v>503</v>
      </c>
      <c r="P2914" s="371">
        <v>5000</v>
      </c>
      <c r="Q2914" s="145">
        <v>-2</v>
      </c>
      <c r="R2914" s="126">
        <f t="shared" si="89"/>
        <v>-10000</v>
      </c>
      <c r="S2914" s="322">
        <v>202304</v>
      </c>
      <c r="T2914" s="375" t="s">
        <v>3830</v>
      </c>
      <c r="U2914" s="349"/>
      <c r="V2914" s="376"/>
      <c r="W2914" s="376"/>
      <c r="X2914" s="193">
        <v>44927</v>
      </c>
      <c r="Y2914" s="193"/>
    </row>
    <row r="2915" s="3" customFormat="1" customHeight="1" spans="1:25">
      <c r="A2915" s="135" t="s">
        <v>446</v>
      </c>
      <c r="B2915" s="310" t="s">
        <v>3726</v>
      </c>
      <c r="C2915" s="134" t="s">
        <v>39</v>
      </c>
      <c r="D2915" s="35" t="s">
        <v>951</v>
      </c>
      <c r="E2915" s="170" t="s">
        <v>3825</v>
      </c>
      <c r="F2915" s="135" t="s">
        <v>3826</v>
      </c>
      <c r="G2915" s="140" t="s">
        <v>88</v>
      </c>
      <c r="H2915" s="140" t="s">
        <v>3827</v>
      </c>
      <c r="I2915" s="30" t="e">
        <f>VLOOKUP(H2915,'合同高级查询数据-4月返'!A:A,1,FALSE)</f>
        <v>#N/A</v>
      </c>
      <c r="J2915" s="140" t="s">
        <v>1287</v>
      </c>
      <c r="K2915" s="370" t="s">
        <v>3831</v>
      </c>
      <c r="L2915" s="366"/>
      <c r="M2915" s="315" t="s">
        <v>3832</v>
      </c>
      <c r="N2915" s="143">
        <v>42503</v>
      </c>
      <c r="O2915" s="143" t="s">
        <v>503</v>
      </c>
      <c r="P2915" s="371">
        <v>5000</v>
      </c>
      <c r="Q2915" s="145">
        <v>4</v>
      </c>
      <c r="R2915" s="126">
        <f t="shared" si="89"/>
        <v>20000</v>
      </c>
      <c r="S2915" s="322">
        <v>202304</v>
      </c>
      <c r="T2915" s="375" t="s">
        <v>3833</v>
      </c>
      <c r="U2915" s="349"/>
      <c r="V2915" s="376"/>
      <c r="W2915" s="376"/>
      <c r="X2915" s="193">
        <v>44927</v>
      </c>
      <c r="Y2915" s="193"/>
    </row>
    <row r="2916" s="3" customFormat="1" customHeight="1" spans="1:25">
      <c r="A2916" s="135" t="s">
        <v>446</v>
      </c>
      <c r="B2916" s="310" t="s">
        <v>3726</v>
      </c>
      <c r="C2916" s="134" t="s">
        <v>39</v>
      </c>
      <c r="D2916" s="35" t="s">
        <v>951</v>
      </c>
      <c r="E2916" s="170" t="s">
        <v>3825</v>
      </c>
      <c r="F2916" s="135" t="s">
        <v>3826</v>
      </c>
      <c r="G2916" s="140" t="s">
        <v>88</v>
      </c>
      <c r="H2916" s="140" t="s">
        <v>3827</v>
      </c>
      <c r="I2916" s="30" t="e">
        <f>VLOOKUP(H2916,'合同高级查询数据-4月返'!A:A,1,FALSE)</f>
        <v>#N/A</v>
      </c>
      <c r="J2916" s="140" t="s">
        <v>1287</v>
      </c>
      <c r="K2916" s="370" t="s">
        <v>3831</v>
      </c>
      <c r="L2916" s="366"/>
      <c r="M2916" s="315" t="s">
        <v>3832</v>
      </c>
      <c r="N2916" s="143">
        <v>44895</v>
      </c>
      <c r="O2916" s="143" t="s">
        <v>503</v>
      </c>
      <c r="P2916" s="371">
        <v>5000</v>
      </c>
      <c r="Q2916" s="145">
        <v>-4</v>
      </c>
      <c r="R2916" s="126">
        <f t="shared" si="89"/>
        <v>-20000</v>
      </c>
      <c r="S2916" s="322">
        <v>202304</v>
      </c>
      <c r="T2916" s="375" t="s">
        <v>3834</v>
      </c>
      <c r="U2916" s="349"/>
      <c r="V2916" s="376"/>
      <c r="W2916" s="376"/>
      <c r="X2916" s="193">
        <v>44927</v>
      </c>
      <c r="Y2916" s="193"/>
    </row>
    <row r="2917" s="3" customFormat="1" customHeight="1" spans="1:25">
      <c r="A2917" s="135" t="s">
        <v>446</v>
      </c>
      <c r="B2917" s="310" t="s">
        <v>3726</v>
      </c>
      <c r="C2917" s="134" t="s">
        <v>39</v>
      </c>
      <c r="D2917" s="11" t="s">
        <v>951</v>
      </c>
      <c r="E2917" s="170" t="s">
        <v>3825</v>
      </c>
      <c r="F2917" s="135" t="s">
        <v>3826</v>
      </c>
      <c r="G2917" s="140" t="s">
        <v>31</v>
      </c>
      <c r="H2917" s="140" t="s">
        <v>3827</v>
      </c>
      <c r="I2917" s="30" t="e">
        <f>VLOOKUP(H2917,'合同高级查询数据-4月返'!A:A,1,FALSE)</f>
        <v>#N/A</v>
      </c>
      <c r="J2917" s="140" t="s">
        <v>3424</v>
      </c>
      <c r="K2917" s="370" t="s">
        <v>40</v>
      </c>
      <c r="L2917" s="366"/>
      <c r="M2917" s="315"/>
      <c r="N2917" s="143">
        <v>42503</v>
      </c>
      <c r="O2917" s="143"/>
      <c r="P2917" s="343">
        <v>0</v>
      </c>
      <c r="Q2917" s="145">
        <v>256</v>
      </c>
      <c r="R2917" s="157">
        <f t="shared" si="89"/>
        <v>0</v>
      </c>
      <c r="S2917" s="322">
        <v>202304</v>
      </c>
      <c r="T2917" s="375" t="s">
        <v>3835</v>
      </c>
      <c r="U2917" s="349"/>
      <c r="V2917" s="323"/>
      <c r="W2917" s="323"/>
      <c r="X2917" s="193">
        <v>44927</v>
      </c>
      <c r="Y2917" s="193"/>
    </row>
    <row r="2918" s="3" customFormat="1" customHeight="1" spans="1:25">
      <c r="A2918" s="135" t="s">
        <v>446</v>
      </c>
      <c r="B2918" s="310" t="s">
        <v>3726</v>
      </c>
      <c r="C2918" s="134" t="s">
        <v>39</v>
      </c>
      <c r="D2918" s="11" t="s">
        <v>951</v>
      </c>
      <c r="E2918" s="170" t="s">
        <v>3825</v>
      </c>
      <c r="F2918" s="135" t="s">
        <v>3826</v>
      </c>
      <c r="G2918" s="140" t="s">
        <v>31</v>
      </c>
      <c r="H2918" s="140" t="s">
        <v>3827</v>
      </c>
      <c r="I2918" s="30" t="e">
        <f>VLOOKUP(H2918,'合同高级查询数据-4月返'!A:A,1,FALSE)</f>
        <v>#N/A</v>
      </c>
      <c r="J2918" s="140" t="s">
        <v>3424</v>
      </c>
      <c r="K2918" s="370" t="s">
        <v>40</v>
      </c>
      <c r="L2918" s="366"/>
      <c r="M2918" s="315"/>
      <c r="N2918" s="143">
        <v>44895</v>
      </c>
      <c r="O2918" s="143"/>
      <c r="P2918" s="343">
        <v>0</v>
      </c>
      <c r="Q2918" s="145">
        <v>-256</v>
      </c>
      <c r="R2918" s="157">
        <f t="shared" si="89"/>
        <v>0</v>
      </c>
      <c r="S2918" s="322">
        <v>202304</v>
      </c>
      <c r="T2918" s="375" t="s">
        <v>3836</v>
      </c>
      <c r="U2918" s="349"/>
      <c r="V2918" s="323"/>
      <c r="W2918" s="323"/>
      <c r="X2918" s="193">
        <v>44927</v>
      </c>
      <c r="Y2918" s="193"/>
    </row>
    <row r="2919" s="3" customFormat="1" customHeight="1" spans="1:25">
      <c r="A2919" s="135" t="s">
        <v>446</v>
      </c>
      <c r="B2919" s="310" t="s">
        <v>3726</v>
      </c>
      <c r="C2919" s="134" t="s">
        <v>39</v>
      </c>
      <c r="D2919" s="11" t="s">
        <v>951</v>
      </c>
      <c r="E2919" s="170" t="s">
        <v>3825</v>
      </c>
      <c r="F2919" s="135" t="s">
        <v>3826</v>
      </c>
      <c r="G2919" s="140" t="s">
        <v>31</v>
      </c>
      <c r="H2919" s="140" t="s">
        <v>3827</v>
      </c>
      <c r="I2919" s="30" t="e">
        <f>VLOOKUP(H2919,'合同高级查询数据-4月返'!A:A,1,FALSE)</f>
        <v>#N/A</v>
      </c>
      <c r="J2919" s="140" t="s">
        <v>3424</v>
      </c>
      <c r="K2919" s="370" t="s">
        <v>40</v>
      </c>
      <c r="L2919" s="366"/>
      <c r="M2919" s="315"/>
      <c r="N2919" s="143">
        <v>42503</v>
      </c>
      <c r="O2919" s="143"/>
      <c r="P2919" s="343">
        <v>20</v>
      </c>
      <c r="Q2919" s="145">
        <v>512</v>
      </c>
      <c r="R2919" s="157">
        <f t="shared" si="89"/>
        <v>10240</v>
      </c>
      <c r="S2919" s="322">
        <v>202304</v>
      </c>
      <c r="T2919" s="375" t="s">
        <v>3835</v>
      </c>
      <c r="U2919" s="349"/>
      <c r="V2919" s="323"/>
      <c r="W2919" s="323"/>
      <c r="X2919" s="193">
        <v>44927</v>
      </c>
      <c r="Y2919" s="193"/>
    </row>
    <row r="2920" s="3" customFormat="1" customHeight="1" spans="1:25">
      <c r="A2920" s="135" t="s">
        <v>446</v>
      </c>
      <c r="B2920" s="310" t="s">
        <v>3726</v>
      </c>
      <c r="C2920" s="134" t="s">
        <v>39</v>
      </c>
      <c r="D2920" s="11" t="s">
        <v>951</v>
      </c>
      <c r="E2920" s="170" t="s">
        <v>3825</v>
      </c>
      <c r="F2920" s="135" t="s">
        <v>3826</v>
      </c>
      <c r="G2920" s="140" t="s">
        <v>31</v>
      </c>
      <c r="H2920" s="140" t="s">
        <v>3827</v>
      </c>
      <c r="I2920" s="30" t="e">
        <f>VLOOKUP(H2920,'合同高级查询数据-4月返'!A:A,1,FALSE)</f>
        <v>#N/A</v>
      </c>
      <c r="J2920" s="140" t="s">
        <v>3424</v>
      </c>
      <c r="K2920" s="370" t="s">
        <v>40</v>
      </c>
      <c r="L2920" s="366"/>
      <c r="M2920" s="315"/>
      <c r="N2920" s="143">
        <v>44895</v>
      </c>
      <c r="O2920" s="143"/>
      <c r="P2920" s="343">
        <v>20</v>
      </c>
      <c r="Q2920" s="145">
        <v>-512</v>
      </c>
      <c r="R2920" s="157">
        <f t="shared" si="89"/>
        <v>-10240</v>
      </c>
      <c r="S2920" s="322">
        <v>202304</v>
      </c>
      <c r="T2920" s="375" t="s">
        <v>3836</v>
      </c>
      <c r="U2920" s="349"/>
      <c r="V2920" s="323"/>
      <c r="W2920" s="323"/>
      <c r="X2920" s="193">
        <v>44927</v>
      </c>
      <c r="Y2920" s="193"/>
    </row>
    <row r="2921" s="3" customFormat="1" customHeight="1" spans="1:25">
      <c r="A2921" s="135" t="s">
        <v>446</v>
      </c>
      <c r="B2921" s="310" t="s">
        <v>3726</v>
      </c>
      <c r="C2921" s="134" t="s">
        <v>39</v>
      </c>
      <c r="D2921" s="35" t="s">
        <v>951</v>
      </c>
      <c r="E2921" s="170" t="s">
        <v>3825</v>
      </c>
      <c r="F2921" s="135" t="s">
        <v>3826</v>
      </c>
      <c r="G2921" s="140" t="s">
        <v>88</v>
      </c>
      <c r="H2921" s="140" t="s">
        <v>3827</v>
      </c>
      <c r="I2921" s="30" t="e">
        <f>VLOOKUP(H2921,'合同高级查询数据-4月返'!A:A,1,FALSE)</f>
        <v>#N/A</v>
      </c>
      <c r="J2921" s="140" t="s">
        <v>162</v>
      </c>
      <c r="K2921" s="370" t="s">
        <v>3837</v>
      </c>
      <c r="L2921" s="366" t="s">
        <v>3838</v>
      </c>
      <c r="M2921" s="315" t="s">
        <v>3839</v>
      </c>
      <c r="N2921" s="143">
        <v>44795</v>
      </c>
      <c r="O2921" s="143" t="s">
        <v>503</v>
      </c>
      <c r="P2921" s="371">
        <v>4000</v>
      </c>
      <c r="Q2921" s="145">
        <v>5</v>
      </c>
      <c r="R2921" s="126">
        <f t="shared" ref="R2921:R2931" si="90">ROUND(P2921*Q2921,2)</f>
        <v>20000</v>
      </c>
      <c r="S2921" s="322">
        <v>202304</v>
      </c>
      <c r="T2921" s="375" t="s">
        <v>3840</v>
      </c>
      <c r="U2921" s="349"/>
      <c r="V2921" s="376"/>
      <c r="W2921" s="376"/>
      <c r="X2921" s="193">
        <v>44927</v>
      </c>
      <c r="Y2921" s="193"/>
    </row>
    <row r="2922" s="3" customFormat="1" customHeight="1" spans="1:25">
      <c r="A2922" s="135" t="s">
        <v>446</v>
      </c>
      <c r="B2922" s="310" t="s">
        <v>3726</v>
      </c>
      <c r="C2922" s="134" t="s">
        <v>39</v>
      </c>
      <c r="D2922" s="11" t="s">
        <v>951</v>
      </c>
      <c r="E2922" s="170" t="s">
        <v>3825</v>
      </c>
      <c r="F2922" s="135" t="s">
        <v>3826</v>
      </c>
      <c r="G2922" s="140" t="s">
        <v>31</v>
      </c>
      <c r="H2922" s="140" t="s">
        <v>3827</v>
      </c>
      <c r="I2922" s="30" t="e">
        <f>VLOOKUP(H2922,'合同高级查询数据-4月返'!A:A,1,FALSE)</f>
        <v>#N/A</v>
      </c>
      <c r="J2922" s="140" t="s">
        <v>3189</v>
      </c>
      <c r="K2922" s="370" t="s">
        <v>3837</v>
      </c>
      <c r="L2922" s="366" t="s">
        <v>3838</v>
      </c>
      <c r="M2922" s="315" t="s">
        <v>3839</v>
      </c>
      <c r="N2922" s="143">
        <v>44805</v>
      </c>
      <c r="O2922" s="143"/>
      <c r="P2922" s="343">
        <v>0</v>
      </c>
      <c r="Q2922" s="145">
        <v>128</v>
      </c>
      <c r="R2922" s="157">
        <f t="shared" si="90"/>
        <v>0</v>
      </c>
      <c r="S2922" s="322">
        <v>202304</v>
      </c>
      <c r="T2922" s="375" t="s">
        <v>3841</v>
      </c>
      <c r="U2922" s="349"/>
      <c r="V2922" s="323"/>
      <c r="W2922" s="323"/>
      <c r="X2922" s="193">
        <v>44927</v>
      </c>
      <c r="Y2922" s="193"/>
    </row>
    <row r="2923" s="3" customFormat="1" customHeight="1" spans="1:25">
      <c r="A2923" s="135" t="s">
        <v>446</v>
      </c>
      <c r="B2923" s="310" t="s">
        <v>3726</v>
      </c>
      <c r="C2923" s="134" t="s">
        <v>39</v>
      </c>
      <c r="D2923" s="11" t="s">
        <v>951</v>
      </c>
      <c r="E2923" s="170" t="s">
        <v>3825</v>
      </c>
      <c r="F2923" s="135" t="s">
        <v>3826</v>
      </c>
      <c r="G2923" s="140" t="s">
        <v>31</v>
      </c>
      <c r="H2923" s="140" t="s">
        <v>3827</v>
      </c>
      <c r="I2923" s="30" t="e">
        <f>VLOOKUP(H2923,'合同高级查询数据-4月返'!A:A,1,FALSE)</f>
        <v>#N/A</v>
      </c>
      <c r="J2923" s="140" t="s">
        <v>3189</v>
      </c>
      <c r="K2923" s="370" t="s">
        <v>3837</v>
      </c>
      <c r="L2923" s="366" t="s">
        <v>3838</v>
      </c>
      <c r="M2923" s="315" t="s">
        <v>3839</v>
      </c>
      <c r="N2923" s="143">
        <v>44805</v>
      </c>
      <c r="O2923" s="143"/>
      <c r="P2923" s="343">
        <v>35</v>
      </c>
      <c r="Q2923" s="145">
        <v>128</v>
      </c>
      <c r="R2923" s="157">
        <f t="shared" si="90"/>
        <v>4480</v>
      </c>
      <c r="S2923" s="322">
        <v>202304</v>
      </c>
      <c r="T2923" s="375" t="s">
        <v>3841</v>
      </c>
      <c r="U2923" s="349"/>
      <c r="V2923" s="323"/>
      <c r="W2923" s="323"/>
      <c r="X2923" s="193">
        <v>44927</v>
      </c>
      <c r="Y2923" s="193"/>
    </row>
    <row r="2924" s="3" customFormat="1" customHeight="1" spans="1:25">
      <c r="A2924" s="135" t="s">
        <v>446</v>
      </c>
      <c r="B2924" s="310" t="s">
        <v>3726</v>
      </c>
      <c r="C2924" s="134" t="s">
        <v>39</v>
      </c>
      <c r="D2924" s="11" t="s">
        <v>951</v>
      </c>
      <c r="E2924" s="170" t="s">
        <v>3825</v>
      </c>
      <c r="F2924" s="135" t="s">
        <v>3826</v>
      </c>
      <c r="G2924" s="140" t="s">
        <v>31</v>
      </c>
      <c r="H2924" s="140" t="s">
        <v>3827</v>
      </c>
      <c r="I2924" s="30" t="e">
        <f>VLOOKUP(H2924,'合同高级查询数据-4月返'!A:A,1,FALSE)</f>
        <v>#N/A</v>
      </c>
      <c r="J2924" s="140" t="s">
        <v>3189</v>
      </c>
      <c r="K2924" s="370" t="s">
        <v>3837</v>
      </c>
      <c r="L2924" s="366" t="s">
        <v>3838</v>
      </c>
      <c r="M2924" s="315" t="s">
        <v>3839</v>
      </c>
      <c r="N2924" s="143">
        <v>44805</v>
      </c>
      <c r="O2924" s="143"/>
      <c r="P2924" s="343">
        <v>0</v>
      </c>
      <c r="Q2924" s="145">
        <v>1</v>
      </c>
      <c r="R2924" s="157">
        <f t="shared" si="90"/>
        <v>0</v>
      </c>
      <c r="S2924" s="322">
        <v>202304</v>
      </c>
      <c r="T2924" s="375" t="s">
        <v>3842</v>
      </c>
      <c r="U2924" s="349"/>
      <c r="V2924" s="323"/>
      <c r="W2924" s="323"/>
      <c r="X2924" s="193">
        <v>44927</v>
      </c>
      <c r="Y2924" s="193"/>
    </row>
    <row r="2925" s="3" customFormat="1" customHeight="1" spans="1:25">
      <c r="A2925" s="135" t="s">
        <v>446</v>
      </c>
      <c r="B2925" s="310" t="s">
        <v>3726</v>
      </c>
      <c r="C2925" s="134" t="s">
        <v>39</v>
      </c>
      <c r="D2925" s="35" t="s">
        <v>951</v>
      </c>
      <c r="E2925" s="170" t="s">
        <v>3825</v>
      </c>
      <c r="F2925" s="135" t="s">
        <v>3826</v>
      </c>
      <c r="G2925" s="140" t="s">
        <v>88</v>
      </c>
      <c r="H2925" s="140" t="s">
        <v>3827</v>
      </c>
      <c r="I2925" s="30" t="e">
        <f>VLOOKUP(H2925,'合同高级查询数据-4月返'!A:A,1,FALSE)</f>
        <v>#N/A</v>
      </c>
      <c r="J2925" s="140" t="s">
        <v>162</v>
      </c>
      <c r="K2925" s="370" t="s">
        <v>3828</v>
      </c>
      <c r="L2925" s="366" t="s">
        <v>3843</v>
      </c>
      <c r="M2925" s="315" t="s">
        <v>3844</v>
      </c>
      <c r="N2925" s="143">
        <v>44835</v>
      </c>
      <c r="O2925" s="143" t="s">
        <v>503</v>
      </c>
      <c r="P2925" s="371">
        <v>4000</v>
      </c>
      <c r="Q2925" s="145">
        <v>2</v>
      </c>
      <c r="R2925" s="126">
        <f t="shared" si="90"/>
        <v>8000</v>
      </c>
      <c r="S2925" s="322">
        <v>202304</v>
      </c>
      <c r="T2925" s="375" t="s">
        <v>3845</v>
      </c>
      <c r="U2925" s="349"/>
      <c r="V2925" s="376"/>
      <c r="W2925" s="376"/>
      <c r="X2925" s="193">
        <v>44927</v>
      </c>
      <c r="Y2925" s="193"/>
    </row>
    <row r="2926" s="3" customFormat="1" customHeight="1" spans="1:25">
      <c r="A2926" s="135" t="s">
        <v>446</v>
      </c>
      <c r="B2926" s="310" t="s">
        <v>3726</v>
      </c>
      <c r="C2926" s="134" t="s">
        <v>39</v>
      </c>
      <c r="D2926" s="35" t="s">
        <v>951</v>
      </c>
      <c r="E2926" s="170" t="s">
        <v>3825</v>
      </c>
      <c r="F2926" s="135" t="s">
        <v>3826</v>
      </c>
      <c r="G2926" s="140" t="s">
        <v>88</v>
      </c>
      <c r="H2926" s="140" t="s">
        <v>3827</v>
      </c>
      <c r="I2926" s="30" t="e">
        <f>VLOOKUP(H2926,'合同高级查询数据-4月返'!A:A,1,FALSE)</f>
        <v>#N/A</v>
      </c>
      <c r="J2926" s="140" t="s">
        <v>162</v>
      </c>
      <c r="K2926" s="370" t="s">
        <v>3828</v>
      </c>
      <c r="L2926" s="366" t="s">
        <v>3843</v>
      </c>
      <c r="M2926" s="315" t="s">
        <v>3844</v>
      </c>
      <c r="N2926" s="143">
        <v>45014</v>
      </c>
      <c r="O2926" s="143" t="s">
        <v>503</v>
      </c>
      <c r="P2926" s="371">
        <v>4000</v>
      </c>
      <c r="Q2926" s="145">
        <v>2</v>
      </c>
      <c r="R2926" s="126">
        <f t="shared" si="90"/>
        <v>8000</v>
      </c>
      <c r="S2926" s="322">
        <v>202304</v>
      </c>
      <c r="T2926" s="375" t="s">
        <v>3846</v>
      </c>
      <c r="U2926" s="349"/>
      <c r="V2926" s="376"/>
      <c r="W2926" s="376"/>
      <c r="X2926" s="193">
        <v>44927</v>
      </c>
      <c r="Y2926" s="193"/>
    </row>
    <row r="2927" s="3" customFormat="1" customHeight="1" spans="1:25">
      <c r="A2927" s="135" t="s">
        <v>446</v>
      </c>
      <c r="B2927" s="310" t="s">
        <v>3726</v>
      </c>
      <c r="C2927" s="134" t="s">
        <v>39</v>
      </c>
      <c r="D2927" s="35" t="s">
        <v>951</v>
      </c>
      <c r="E2927" s="170" t="s">
        <v>3825</v>
      </c>
      <c r="F2927" s="135" t="s">
        <v>3826</v>
      </c>
      <c r="G2927" s="140" t="s">
        <v>88</v>
      </c>
      <c r="H2927" s="140" t="s">
        <v>3827</v>
      </c>
      <c r="I2927" s="30" t="e">
        <f>VLOOKUP(H2927,'合同高级查询数据-4月返'!A:A,1,FALSE)</f>
        <v>#N/A</v>
      </c>
      <c r="J2927" s="140" t="s">
        <v>162</v>
      </c>
      <c r="K2927" s="370" t="s">
        <v>3828</v>
      </c>
      <c r="L2927" s="366" t="s">
        <v>3843</v>
      </c>
      <c r="M2927" s="315" t="s">
        <v>3844</v>
      </c>
      <c r="N2927" s="143">
        <v>45014</v>
      </c>
      <c r="O2927" s="143" t="s">
        <v>503</v>
      </c>
      <c r="P2927" s="371">
        <v>4000</v>
      </c>
      <c r="Q2927" s="145">
        <v>2</v>
      </c>
      <c r="R2927" s="126">
        <f>ROUND(P2927*Q2927*3/31,2)</f>
        <v>774.19</v>
      </c>
      <c r="S2927" s="322">
        <v>202303</v>
      </c>
      <c r="T2927" s="375" t="s">
        <v>3847</v>
      </c>
      <c r="U2927" s="349"/>
      <c r="V2927" s="376"/>
      <c r="W2927" s="376"/>
      <c r="X2927" s="193">
        <v>44927</v>
      </c>
      <c r="Y2927" s="193"/>
    </row>
    <row r="2928" s="3" customFormat="1" customHeight="1" spans="1:25">
      <c r="A2928" s="135" t="s">
        <v>446</v>
      </c>
      <c r="B2928" s="310" t="s">
        <v>3726</v>
      </c>
      <c r="C2928" s="134" t="s">
        <v>39</v>
      </c>
      <c r="D2928" s="11" t="s">
        <v>951</v>
      </c>
      <c r="E2928" s="170" t="s">
        <v>3825</v>
      </c>
      <c r="F2928" s="135" t="s">
        <v>3826</v>
      </c>
      <c r="G2928" s="140" t="s">
        <v>31</v>
      </c>
      <c r="H2928" s="140" t="s">
        <v>3827</v>
      </c>
      <c r="I2928" s="30" t="e">
        <f>VLOOKUP(H2928,'合同高级查询数据-4月返'!A:A,1,FALSE)</f>
        <v>#N/A</v>
      </c>
      <c r="J2928" s="140" t="s">
        <v>3189</v>
      </c>
      <c r="K2928" s="370" t="s">
        <v>3828</v>
      </c>
      <c r="L2928" s="366" t="s">
        <v>3843</v>
      </c>
      <c r="M2928" s="315" t="s">
        <v>3844</v>
      </c>
      <c r="N2928" s="143">
        <v>44835</v>
      </c>
      <c r="O2928" s="143"/>
      <c r="P2928" s="343">
        <v>0</v>
      </c>
      <c r="Q2928" s="145">
        <v>160</v>
      </c>
      <c r="R2928" s="157">
        <f t="shared" si="90"/>
        <v>0</v>
      </c>
      <c r="S2928" s="322">
        <v>202304</v>
      </c>
      <c r="T2928" s="375" t="s">
        <v>3848</v>
      </c>
      <c r="U2928" s="349"/>
      <c r="V2928" s="323"/>
      <c r="W2928" s="323"/>
      <c r="X2928" s="193">
        <v>44927</v>
      </c>
      <c r="Y2928" s="193"/>
    </row>
    <row r="2929" s="5" customFormat="1" customHeight="1" spans="1:25">
      <c r="A2929" s="98" t="s">
        <v>446</v>
      </c>
      <c r="B2929" s="307" t="s">
        <v>3726</v>
      </c>
      <c r="C2929" s="160" t="s">
        <v>39</v>
      </c>
      <c r="D2929" s="24" t="s">
        <v>951</v>
      </c>
      <c r="E2929" s="161" t="s">
        <v>3849</v>
      </c>
      <c r="F2929" s="98" t="s">
        <v>3850</v>
      </c>
      <c r="G2929" s="309" t="s">
        <v>31</v>
      </c>
      <c r="H2929" s="309" t="s">
        <v>3851</v>
      </c>
      <c r="I2929" s="46" t="e">
        <f>VLOOKUP(H2929,'合同高级查询数据-4月返'!A:A,1,FALSE)</f>
        <v>#N/A</v>
      </c>
      <c r="J2929" s="309" t="s">
        <v>3189</v>
      </c>
      <c r="K2929" s="372" t="s">
        <v>3852</v>
      </c>
      <c r="L2929" s="373"/>
      <c r="M2929" s="312"/>
      <c r="N2929" s="265">
        <v>43622</v>
      </c>
      <c r="O2929" s="265"/>
      <c r="P2929" s="346">
        <v>0</v>
      </c>
      <c r="Q2929" s="164">
        <v>288</v>
      </c>
      <c r="R2929" s="207">
        <f t="shared" si="90"/>
        <v>0</v>
      </c>
      <c r="S2929" s="319">
        <v>202304</v>
      </c>
      <c r="T2929" s="377" t="s">
        <v>3853</v>
      </c>
      <c r="U2929" s="347"/>
      <c r="V2929" s="320"/>
      <c r="W2929" s="320"/>
      <c r="X2929" s="229">
        <v>44682</v>
      </c>
      <c r="Y2929" s="229">
        <v>45046</v>
      </c>
    </row>
    <row r="2930" s="5" customFormat="1" customHeight="1" spans="1:25">
      <c r="A2930" s="98" t="s">
        <v>446</v>
      </c>
      <c r="B2930" s="307" t="s">
        <v>3726</v>
      </c>
      <c r="C2930" s="160" t="s">
        <v>39</v>
      </c>
      <c r="D2930" s="24" t="s">
        <v>951</v>
      </c>
      <c r="E2930" s="161" t="s">
        <v>3849</v>
      </c>
      <c r="F2930" s="98" t="s">
        <v>3850</v>
      </c>
      <c r="G2930" s="309" t="s">
        <v>31</v>
      </c>
      <c r="H2930" s="309" t="s">
        <v>3851</v>
      </c>
      <c r="I2930" s="46" t="e">
        <f>VLOOKUP(H2930,'合同高级查询数据-4月返'!A:A,1,FALSE)</f>
        <v>#N/A</v>
      </c>
      <c r="J2930" s="309" t="s">
        <v>3189</v>
      </c>
      <c r="K2930" s="372" t="s">
        <v>3852</v>
      </c>
      <c r="L2930" s="373"/>
      <c r="M2930" s="312"/>
      <c r="N2930" s="265">
        <v>44681</v>
      </c>
      <c r="O2930" s="265"/>
      <c r="P2930" s="346">
        <v>0</v>
      </c>
      <c r="Q2930" s="164">
        <v>-173</v>
      </c>
      <c r="R2930" s="207">
        <f t="shared" si="90"/>
        <v>0</v>
      </c>
      <c r="S2930" s="319">
        <v>202304</v>
      </c>
      <c r="T2930" s="377" t="s">
        <v>3854</v>
      </c>
      <c r="U2930" s="347"/>
      <c r="V2930" s="320"/>
      <c r="W2930" s="320"/>
      <c r="X2930" s="229">
        <v>44682</v>
      </c>
      <c r="Y2930" s="229">
        <v>45046</v>
      </c>
    </row>
    <row r="2931" s="5" customFormat="1" customHeight="1" spans="1:25">
      <c r="A2931" s="98" t="s">
        <v>3855</v>
      </c>
      <c r="B2931" s="307" t="s">
        <v>3726</v>
      </c>
      <c r="C2931" s="160" t="s">
        <v>39</v>
      </c>
      <c r="D2931" s="24" t="s">
        <v>951</v>
      </c>
      <c r="E2931" s="161" t="s">
        <v>3856</v>
      </c>
      <c r="F2931" s="98" t="s">
        <v>3857</v>
      </c>
      <c r="G2931" s="309" t="s">
        <v>31</v>
      </c>
      <c r="H2931" s="309" t="s">
        <v>3858</v>
      </c>
      <c r="I2931" s="46" t="e">
        <f>VLOOKUP(H2931,'合同高级查询数据-4月返'!A:A,1,FALSE)</f>
        <v>#N/A</v>
      </c>
      <c r="J2931" s="309" t="s">
        <v>3189</v>
      </c>
      <c r="K2931" s="372" t="s">
        <v>3859</v>
      </c>
      <c r="L2931" s="373"/>
      <c r="M2931" s="312"/>
      <c r="N2931" s="265">
        <v>44682</v>
      </c>
      <c r="O2931" s="265"/>
      <c r="P2931" s="346">
        <v>0</v>
      </c>
      <c r="Q2931" s="164">
        <v>173</v>
      </c>
      <c r="R2931" s="207">
        <f t="shared" si="90"/>
        <v>0</v>
      </c>
      <c r="S2931" s="319">
        <v>202304</v>
      </c>
      <c r="T2931" s="377" t="s">
        <v>3860</v>
      </c>
      <c r="U2931" s="347"/>
      <c r="V2931" s="320"/>
      <c r="W2931" s="320"/>
      <c r="X2931" s="229">
        <v>44682</v>
      </c>
      <c r="Y2931" s="229">
        <v>45046</v>
      </c>
    </row>
    <row r="2932" s="3" customFormat="1" customHeight="1" spans="1:25">
      <c r="A2932" s="135" t="s">
        <v>444</v>
      </c>
      <c r="B2932" s="310" t="s">
        <v>3726</v>
      </c>
      <c r="C2932" s="134" t="s">
        <v>39</v>
      </c>
      <c r="D2932" s="35" t="s">
        <v>951</v>
      </c>
      <c r="E2932" s="170" t="s">
        <v>3861</v>
      </c>
      <c r="F2932" s="135" t="s">
        <v>3862</v>
      </c>
      <c r="G2932" s="140" t="s">
        <v>88</v>
      </c>
      <c r="H2932" s="140" t="s">
        <v>3863</v>
      </c>
      <c r="I2932" s="30" t="e">
        <f>VLOOKUP(H2932,'合同高级查询数据-4月返'!A:A,1,FALSE)</f>
        <v>#N/A</v>
      </c>
      <c r="J2932" s="140" t="s">
        <v>162</v>
      </c>
      <c r="K2932" s="370" t="s">
        <v>3864</v>
      </c>
      <c r="L2932" s="366"/>
      <c r="M2932" s="315" t="s">
        <v>3865</v>
      </c>
      <c r="N2932" s="143">
        <v>43596</v>
      </c>
      <c r="O2932" s="143" t="s">
        <v>92</v>
      </c>
      <c r="P2932" s="371">
        <v>4300</v>
      </c>
      <c r="Q2932" s="145">
        <v>8</v>
      </c>
      <c r="R2932" s="126">
        <f t="shared" si="89"/>
        <v>34400</v>
      </c>
      <c r="S2932" s="322">
        <v>202304</v>
      </c>
      <c r="T2932" s="375" t="s">
        <v>3866</v>
      </c>
      <c r="U2932" s="349"/>
      <c r="V2932" s="376"/>
      <c r="W2932" s="376"/>
      <c r="X2932" s="193">
        <v>44927</v>
      </c>
      <c r="Y2932" s="193"/>
    </row>
    <row r="2933" s="3" customFormat="1" customHeight="1" spans="1:25">
      <c r="A2933" s="135" t="s">
        <v>444</v>
      </c>
      <c r="B2933" s="310" t="s">
        <v>3726</v>
      </c>
      <c r="C2933" s="134" t="s">
        <v>39</v>
      </c>
      <c r="D2933" s="35" t="s">
        <v>951</v>
      </c>
      <c r="E2933" s="170" t="s">
        <v>3861</v>
      </c>
      <c r="F2933" s="135" t="s">
        <v>3862</v>
      </c>
      <c r="G2933" s="140" t="s">
        <v>88</v>
      </c>
      <c r="H2933" s="140" t="s">
        <v>3863</v>
      </c>
      <c r="I2933" s="30" t="e">
        <f>VLOOKUP(H2933,'合同高级查询数据-4月返'!A:A,1,FALSE)</f>
        <v>#N/A</v>
      </c>
      <c r="J2933" s="140" t="s">
        <v>162</v>
      </c>
      <c r="K2933" s="370" t="s">
        <v>3867</v>
      </c>
      <c r="L2933" s="366"/>
      <c r="M2933" s="315" t="s">
        <v>3865</v>
      </c>
      <c r="N2933" s="143">
        <v>43984</v>
      </c>
      <c r="O2933" s="143" t="s">
        <v>92</v>
      </c>
      <c r="P2933" s="371">
        <v>4300</v>
      </c>
      <c r="Q2933" s="145">
        <v>2</v>
      </c>
      <c r="R2933" s="126">
        <f t="shared" si="89"/>
        <v>8600</v>
      </c>
      <c r="S2933" s="322">
        <v>202304</v>
      </c>
      <c r="T2933" s="375" t="s">
        <v>3868</v>
      </c>
      <c r="U2933" s="349"/>
      <c r="V2933" s="376"/>
      <c r="W2933" s="376"/>
      <c r="X2933" s="193">
        <v>44927</v>
      </c>
      <c r="Y2933" s="193"/>
    </row>
    <row r="2934" s="3" customFormat="1" customHeight="1" spans="1:25">
      <c r="A2934" s="135" t="s">
        <v>444</v>
      </c>
      <c r="B2934" s="310" t="s">
        <v>3726</v>
      </c>
      <c r="C2934" s="134" t="s">
        <v>39</v>
      </c>
      <c r="D2934" s="35" t="s">
        <v>951</v>
      </c>
      <c r="E2934" s="170" t="s">
        <v>3861</v>
      </c>
      <c r="F2934" s="135" t="s">
        <v>3862</v>
      </c>
      <c r="G2934" s="140" t="s">
        <v>88</v>
      </c>
      <c r="H2934" s="140" t="s">
        <v>3863</v>
      </c>
      <c r="I2934" s="30" t="e">
        <f>VLOOKUP(H2934,'合同高级查询数据-4月返'!A:A,1,FALSE)</f>
        <v>#N/A</v>
      </c>
      <c r="J2934" s="140" t="s">
        <v>162</v>
      </c>
      <c r="K2934" s="370" t="s">
        <v>3867</v>
      </c>
      <c r="L2934" s="366"/>
      <c r="M2934" s="315" t="s">
        <v>3865</v>
      </c>
      <c r="N2934" s="143">
        <v>44256</v>
      </c>
      <c r="O2934" s="143" t="s">
        <v>92</v>
      </c>
      <c r="P2934" s="371">
        <v>4300</v>
      </c>
      <c r="Q2934" s="145">
        <v>5</v>
      </c>
      <c r="R2934" s="126">
        <f t="shared" si="89"/>
        <v>21500</v>
      </c>
      <c r="S2934" s="322">
        <v>202304</v>
      </c>
      <c r="T2934" s="375" t="s">
        <v>3869</v>
      </c>
      <c r="U2934" s="349"/>
      <c r="V2934" s="376"/>
      <c r="W2934" s="376"/>
      <c r="X2934" s="193">
        <v>44927</v>
      </c>
      <c r="Y2934" s="193"/>
    </row>
    <row r="2935" s="3" customFormat="1" customHeight="1" spans="1:25">
      <c r="A2935" s="135" t="s">
        <v>444</v>
      </c>
      <c r="B2935" s="310" t="s">
        <v>3726</v>
      </c>
      <c r="C2935" s="134" t="s">
        <v>39</v>
      </c>
      <c r="D2935" s="35" t="s">
        <v>951</v>
      </c>
      <c r="E2935" s="170" t="s">
        <v>3861</v>
      </c>
      <c r="F2935" s="135" t="s">
        <v>3862</v>
      </c>
      <c r="G2935" s="140" t="s">
        <v>88</v>
      </c>
      <c r="H2935" s="140" t="s">
        <v>3863</v>
      </c>
      <c r="I2935" s="30" t="e">
        <f>VLOOKUP(H2935,'合同高级查询数据-4月返'!A:A,1,FALSE)</f>
        <v>#N/A</v>
      </c>
      <c r="J2935" s="140" t="s">
        <v>162</v>
      </c>
      <c r="K2935" s="370" t="s">
        <v>3867</v>
      </c>
      <c r="L2935" s="366"/>
      <c r="M2935" s="315" t="s">
        <v>3870</v>
      </c>
      <c r="N2935" s="143">
        <v>44317</v>
      </c>
      <c r="O2935" s="143" t="s">
        <v>92</v>
      </c>
      <c r="P2935" s="371">
        <v>4300</v>
      </c>
      <c r="Q2935" s="145">
        <v>1</v>
      </c>
      <c r="R2935" s="126">
        <f t="shared" si="89"/>
        <v>4300</v>
      </c>
      <c r="S2935" s="322">
        <v>202304</v>
      </c>
      <c r="T2935" s="375" t="s">
        <v>3871</v>
      </c>
      <c r="U2935" s="349"/>
      <c r="V2935" s="376"/>
      <c r="W2935" s="376"/>
      <c r="X2935" s="193">
        <v>44927</v>
      </c>
      <c r="Y2935" s="193"/>
    </row>
    <row r="2936" s="3" customFormat="1" customHeight="1" spans="1:25">
      <c r="A2936" s="135" t="s">
        <v>444</v>
      </c>
      <c r="B2936" s="310" t="s">
        <v>3726</v>
      </c>
      <c r="C2936" s="134" t="s">
        <v>39</v>
      </c>
      <c r="D2936" s="11" t="s">
        <v>951</v>
      </c>
      <c r="E2936" s="170" t="s">
        <v>3861</v>
      </c>
      <c r="F2936" s="135" t="s">
        <v>3862</v>
      </c>
      <c r="G2936" s="140" t="s">
        <v>31</v>
      </c>
      <c r="H2936" s="140" t="s">
        <v>3863</v>
      </c>
      <c r="I2936" s="30" t="e">
        <f>VLOOKUP(H2936,'合同高级查询数据-4月返'!A:A,1,FALSE)</f>
        <v>#N/A</v>
      </c>
      <c r="J2936" s="140" t="s">
        <v>3189</v>
      </c>
      <c r="K2936" s="370" t="s">
        <v>3872</v>
      </c>
      <c r="L2936" s="366" t="s">
        <v>3864</v>
      </c>
      <c r="M2936" s="315"/>
      <c r="N2936" s="143">
        <v>43596</v>
      </c>
      <c r="O2936" s="143"/>
      <c r="P2936" s="343">
        <v>0</v>
      </c>
      <c r="Q2936" s="145">
        <v>544</v>
      </c>
      <c r="R2936" s="126">
        <f t="shared" si="89"/>
        <v>0</v>
      </c>
      <c r="S2936" s="322">
        <v>202304</v>
      </c>
      <c r="T2936" s="375" t="s">
        <v>3873</v>
      </c>
      <c r="U2936" s="349"/>
      <c r="V2936" s="323"/>
      <c r="W2936" s="323"/>
      <c r="X2936" s="193">
        <v>44927</v>
      </c>
      <c r="Y2936" s="193"/>
    </row>
    <row r="2937" s="3" customFormat="1" customHeight="1" spans="1:25">
      <c r="A2937" s="135" t="s">
        <v>444</v>
      </c>
      <c r="B2937" s="310" t="s">
        <v>3726</v>
      </c>
      <c r="C2937" s="134" t="s">
        <v>39</v>
      </c>
      <c r="D2937" s="11" t="s">
        <v>951</v>
      </c>
      <c r="E2937" s="170" t="s">
        <v>3861</v>
      </c>
      <c r="F2937" s="135" t="s">
        <v>3862</v>
      </c>
      <c r="G2937" s="140" t="s">
        <v>31</v>
      </c>
      <c r="H2937" s="140" t="s">
        <v>3863</v>
      </c>
      <c r="I2937" s="30" t="e">
        <f>VLOOKUP(H2937,'合同高级查询数据-4月返'!A:A,1,FALSE)</f>
        <v>#N/A</v>
      </c>
      <c r="J2937" s="140" t="s">
        <v>3189</v>
      </c>
      <c r="K2937" s="370" t="s">
        <v>3874</v>
      </c>
      <c r="L2937" s="366" t="s">
        <v>3875</v>
      </c>
      <c r="M2937" s="315"/>
      <c r="N2937" s="143">
        <v>43617</v>
      </c>
      <c r="O2937" s="143"/>
      <c r="P2937" s="343">
        <v>0</v>
      </c>
      <c r="Q2937" s="145">
        <v>288</v>
      </c>
      <c r="R2937" s="126">
        <f t="shared" si="89"/>
        <v>0</v>
      </c>
      <c r="S2937" s="322">
        <v>202304</v>
      </c>
      <c r="T2937" s="375" t="s">
        <v>3876</v>
      </c>
      <c r="U2937" s="349"/>
      <c r="V2937" s="323"/>
      <c r="W2937" s="323"/>
      <c r="X2937" s="193">
        <v>44927</v>
      </c>
      <c r="Y2937" s="193"/>
    </row>
    <row r="2938" s="3" customFormat="1" customHeight="1" spans="1:25">
      <c r="A2938" s="135" t="s">
        <v>444</v>
      </c>
      <c r="B2938" s="310" t="s">
        <v>3726</v>
      </c>
      <c r="C2938" s="134" t="s">
        <v>39</v>
      </c>
      <c r="D2938" s="11" t="s">
        <v>951</v>
      </c>
      <c r="E2938" s="170" t="s">
        <v>3861</v>
      </c>
      <c r="F2938" s="135" t="s">
        <v>3862</v>
      </c>
      <c r="G2938" s="140" t="s">
        <v>31</v>
      </c>
      <c r="H2938" s="140" t="s">
        <v>3863</v>
      </c>
      <c r="I2938" s="30" t="e">
        <f>VLOOKUP(H2938,'合同高级查询数据-4月返'!A:A,1,FALSE)</f>
        <v>#N/A</v>
      </c>
      <c r="J2938" s="140" t="s">
        <v>3189</v>
      </c>
      <c r="K2938" s="370" t="s">
        <v>3864</v>
      </c>
      <c r="L2938" s="366"/>
      <c r="M2938" s="315"/>
      <c r="N2938" s="143">
        <v>43984</v>
      </c>
      <c r="O2938" s="143"/>
      <c r="P2938" s="343">
        <v>0</v>
      </c>
      <c r="Q2938" s="145">
        <v>128</v>
      </c>
      <c r="R2938" s="126">
        <f t="shared" si="89"/>
        <v>0</v>
      </c>
      <c r="S2938" s="322">
        <v>202304</v>
      </c>
      <c r="T2938" s="375" t="s">
        <v>3877</v>
      </c>
      <c r="U2938" s="349"/>
      <c r="V2938" s="323"/>
      <c r="W2938" s="323"/>
      <c r="X2938" s="193">
        <v>44927</v>
      </c>
      <c r="Y2938" s="193"/>
    </row>
    <row r="2939" s="3" customFormat="1" customHeight="1" spans="1:25">
      <c r="A2939" s="135" t="s">
        <v>444</v>
      </c>
      <c r="B2939" s="310" t="s">
        <v>3726</v>
      </c>
      <c r="C2939" s="134" t="s">
        <v>39</v>
      </c>
      <c r="D2939" s="11" t="s">
        <v>951</v>
      </c>
      <c r="E2939" s="170" t="s">
        <v>3861</v>
      </c>
      <c r="F2939" s="135" t="s">
        <v>3862</v>
      </c>
      <c r="G2939" s="140" t="s">
        <v>31</v>
      </c>
      <c r="H2939" s="140" t="s">
        <v>3863</v>
      </c>
      <c r="I2939" s="30" t="e">
        <f>VLOOKUP(H2939,'合同高级查询数据-4月返'!A:A,1,FALSE)</f>
        <v>#N/A</v>
      </c>
      <c r="J2939" s="140" t="s">
        <v>3189</v>
      </c>
      <c r="K2939" s="370" t="s">
        <v>3864</v>
      </c>
      <c r="L2939" s="366"/>
      <c r="M2939" s="315" t="s">
        <v>3865</v>
      </c>
      <c r="N2939" s="143">
        <v>44256</v>
      </c>
      <c r="O2939" s="143"/>
      <c r="P2939" s="343">
        <v>0</v>
      </c>
      <c r="Q2939" s="145">
        <v>256</v>
      </c>
      <c r="R2939" s="126">
        <f t="shared" si="89"/>
        <v>0</v>
      </c>
      <c r="S2939" s="322">
        <v>202304</v>
      </c>
      <c r="T2939" s="375" t="s">
        <v>3878</v>
      </c>
      <c r="U2939" s="349"/>
      <c r="V2939" s="323"/>
      <c r="W2939" s="323"/>
      <c r="X2939" s="193">
        <v>44927</v>
      </c>
      <c r="Y2939" s="193"/>
    </row>
    <row r="2940" s="3" customFormat="1" customHeight="1" spans="1:25">
      <c r="A2940" s="135" t="s">
        <v>444</v>
      </c>
      <c r="B2940" s="310" t="s">
        <v>3726</v>
      </c>
      <c r="C2940" s="134" t="s">
        <v>39</v>
      </c>
      <c r="D2940" s="11" t="s">
        <v>951</v>
      </c>
      <c r="E2940" s="170" t="s">
        <v>3861</v>
      </c>
      <c r="F2940" s="135" t="s">
        <v>3862</v>
      </c>
      <c r="G2940" s="140" t="s">
        <v>88</v>
      </c>
      <c r="H2940" s="140" t="s">
        <v>3863</v>
      </c>
      <c r="I2940" s="30" t="e">
        <f>VLOOKUP(H2940,'合同高级查询数据-4月返'!A:A,1,FALSE)</f>
        <v>#N/A</v>
      </c>
      <c r="J2940" s="140" t="s">
        <v>162</v>
      </c>
      <c r="K2940" s="370" t="s">
        <v>3879</v>
      </c>
      <c r="L2940" s="366"/>
      <c r="M2940" s="315" t="s">
        <v>3865</v>
      </c>
      <c r="N2940" s="143">
        <v>44470</v>
      </c>
      <c r="O2940" s="143" t="s">
        <v>92</v>
      </c>
      <c r="P2940" s="343">
        <v>4300</v>
      </c>
      <c r="Q2940" s="145">
        <v>2</v>
      </c>
      <c r="R2940" s="157">
        <f t="shared" si="89"/>
        <v>8600</v>
      </c>
      <c r="S2940" s="322">
        <v>202304</v>
      </c>
      <c r="T2940" s="375" t="s">
        <v>3880</v>
      </c>
      <c r="U2940" s="349"/>
      <c r="V2940" s="323"/>
      <c r="W2940" s="323"/>
      <c r="X2940" s="193">
        <v>44927</v>
      </c>
      <c r="Y2940" s="193"/>
    </row>
    <row r="2941" s="3" customFormat="1" customHeight="1" spans="1:25">
      <c r="A2941" s="135" t="s">
        <v>444</v>
      </c>
      <c r="B2941" s="310" t="s">
        <v>3726</v>
      </c>
      <c r="C2941" s="134" t="s">
        <v>39</v>
      </c>
      <c r="D2941" s="11" t="s">
        <v>951</v>
      </c>
      <c r="E2941" s="170" t="s">
        <v>3861</v>
      </c>
      <c r="F2941" s="135" t="s">
        <v>3862</v>
      </c>
      <c r="G2941" s="140" t="s">
        <v>88</v>
      </c>
      <c r="H2941" s="140" t="s">
        <v>3863</v>
      </c>
      <c r="I2941" s="30" t="e">
        <f>VLOOKUP(H2941,'合同高级查询数据-4月返'!A:A,1,FALSE)</f>
        <v>#N/A</v>
      </c>
      <c r="J2941" s="140" t="s">
        <v>162</v>
      </c>
      <c r="K2941" s="370" t="s">
        <v>3879</v>
      </c>
      <c r="L2941" s="366"/>
      <c r="M2941" s="315" t="s">
        <v>3865</v>
      </c>
      <c r="N2941" s="143">
        <v>44926</v>
      </c>
      <c r="O2941" s="143" t="s">
        <v>92</v>
      </c>
      <c r="P2941" s="343">
        <v>4300</v>
      </c>
      <c r="Q2941" s="145">
        <v>-2</v>
      </c>
      <c r="R2941" s="157">
        <f t="shared" si="89"/>
        <v>-8600</v>
      </c>
      <c r="S2941" s="322">
        <v>202304</v>
      </c>
      <c r="T2941" s="375" t="s">
        <v>3881</v>
      </c>
      <c r="U2941" s="349"/>
      <c r="V2941" s="323"/>
      <c r="W2941" s="323"/>
      <c r="X2941" s="193">
        <v>44927</v>
      </c>
      <c r="Y2941" s="193"/>
    </row>
    <row r="2942" s="3" customFormat="1" customHeight="1" spans="1:25">
      <c r="A2942" s="135" t="s">
        <v>444</v>
      </c>
      <c r="B2942" s="310" t="s">
        <v>3726</v>
      </c>
      <c r="C2942" s="134" t="s">
        <v>39</v>
      </c>
      <c r="D2942" s="11" t="s">
        <v>951</v>
      </c>
      <c r="E2942" s="170" t="s">
        <v>3861</v>
      </c>
      <c r="F2942" s="135" t="s">
        <v>3862</v>
      </c>
      <c r="G2942" s="140" t="s">
        <v>31</v>
      </c>
      <c r="H2942" s="140" t="s">
        <v>3863</v>
      </c>
      <c r="I2942" s="30" t="e">
        <f>VLOOKUP(H2942,'合同高级查询数据-4月返'!A:A,1,FALSE)</f>
        <v>#N/A</v>
      </c>
      <c r="J2942" s="140" t="s">
        <v>3189</v>
      </c>
      <c r="K2942" s="370" t="s">
        <v>3879</v>
      </c>
      <c r="L2942" s="366"/>
      <c r="M2942" s="315" t="s">
        <v>3865</v>
      </c>
      <c r="N2942" s="143">
        <v>44470</v>
      </c>
      <c r="O2942" s="143" t="s">
        <v>37</v>
      </c>
      <c r="P2942" s="343">
        <v>0</v>
      </c>
      <c r="Q2942" s="145">
        <v>128</v>
      </c>
      <c r="R2942" s="126">
        <f t="shared" si="89"/>
        <v>0</v>
      </c>
      <c r="S2942" s="322">
        <v>202304</v>
      </c>
      <c r="T2942" s="375" t="s">
        <v>3882</v>
      </c>
      <c r="U2942" s="349"/>
      <c r="V2942" s="323"/>
      <c r="W2942" s="323"/>
      <c r="X2942" s="193">
        <v>44927</v>
      </c>
      <c r="Y2942" s="193"/>
    </row>
    <row r="2943" s="3" customFormat="1" customHeight="1" spans="1:25">
      <c r="A2943" s="135" t="s">
        <v>444</v>
      </c>
      <c r="B2943" s="310" t="s">
        <v>3726</v>
      </c>
      <c r="C2943" s="134" t="s">
        <v>39</v>
      </c>
      <c r="D2943" s="11" t="s">
        <v>951</v>
      </c>
      <c r="E2943" s="170" t="s">
        <v>3861</v>
      </c>
      <c r="F2943" s="135" t="s">
        <v>3862</v>
      </c>
      <c r="G2943" s="140" t="s">
        <v>31</v>
      </c>
      <c r="H2943" s="140" t="s">
        <v>3863</v>
      </c>
      <c r="I2943" s="30" t="e">
        <f>VLOOKUP(H2943,'合同高级查询数据-4月返'!A:A,1,FALSE)</f>
        <v>#N/A</v>
      </c>
      <c r="J2943" s="140" t="s">
        <v>3189</v>
      </c>
      <c r="K2943" s="370" t="s">
        <v>3879</v>
      </c>
      <c r="L2943" s="366"/>
      <c r="M2943" s="315" t="s">
        <v>3865</v>
      </c>
      <c r="N2943" s="143">
        <v>44926</v>
      </c>
      <c r="O2943" s="143" t="s">
        <v>37</v>
      </c>
      <c r="P2943" s="343">
        <v>0</v>
      </c>
      <c r="Q2943" s="145">
        <v>-128</v>
      </c>
      <c r="R2943" s="126">
        <f t="shared" si="89"/>
        <v>0</v>
      </c>
      <c r="S2943" s="322">
        <v>202304</v>
      </c>
      <c r="T2943" s="375" t="s">
        <v>3883</v>
      </c>
      <c r="U2943" s="349"/>
      <c r="V2943" s="323"/>
      <c r="W2943" s="323"/>
      <c r="X2943" s="193">
        <v>44927</v>
      </c>
      <c r="Y2943" s="193"/>
    </row>
    <row r="2944" s="3" customFormat="1" customHeight="1" spans="1:25">
      <c r="A2944" s="135" t="s">
        <v>444</v>
      </c>
      <c r="B2944" s="310" t="s">
        <v>3726</v>
      </c>
      <c r="C2944" s="134" t="s">
        <v>39</v>
      </c>
      <c r="D2944" s="11" t="s">
        <v>951</v>
      </c>
      <c r="E2944" s="170" t="s">
        <v>3861</v>
      </c>
      <c r="F2944" s="135" t="s">
        <v>3862</v>
      </c>
      <c r="G2944" s="140" t="s">
        <v>31</v>
      </c>
      <c r="H2944" s="140" t="s">
        <v>3863</v>
      </c>
      <c r="I2944" s="30" t="e">
        <f>VLOOKUP(H2944,'合同高级查询数据-4月返'!A:A,1,FALSE)</f>
        <v>#N/A</v>
      </c>
      <c r="J2944" s="140" t="s">
        <v>3189</v>
      </c>
      <c r="K2944" s="370" t="s">
        <v>3864</v>
      </c>
      <c r="L2944" s="366"/>
      <c r="M2944" s="315" t="s">
        <v>3865</v>
      </c>
      <c r="N2944" s="143" t="s">
        <v>1329</v>
      </c>
      <c r="O2944" s="143" t="s">
        <v>179</v>
      </c>
      <c r="P2944" s="343">
        <v>0</v>
      </c>
      <c r="Q2944" s="145">
        <v>2</v>
      </c>
      <c r="R2944" s="126">
        <f t="shared" si="89"/>
        <v>0</v>
      </c>
      <c r="S2944" s="322">
        <v>202304</v>
      </c>
      <c r="T2944" s="375" t="s">
        <v>3884</v>
      </c>
      <c r="U2944" s="349"/>
      <c r="V2944" s="323"/>
      <c r="W2944" s="323"/>
      <c r="X2944" s="193">
        <v>44927</v>
      </c>
      <c r="Y2944" s="193"/>
    </row>
    <row r="2945" s="3" customFormat="1" customHeight="1" spans="1:25">
      <c r="A2945" s="135" t="s">
        <v>444</v>
      </c>
      <c r="B2945" s="310" t="s">
        <v>3726</v>
      </c>
      <c r="C2945" s="134" t="s">
        <v>39</v>
      </c>
      <c r="D2945" s="11" t="s">
        <v>951</v>
      </c>
      <c r="E2945" s="170" t="s">
        <v>3861</v>
      </c>
      <c r="F2945" s="135" t="s">
        <v>3862</v>
      </c>
      <c r="G2945" s="140" t="s">
        <v>88</v>
      </c>
      <c r="H2945" s="140" t="s">
        <v>3863</v>
      </c>
      <c r="I2945" s="30" t="e">
        <f>VLOOKUP(H2945,'合同高级查询数据-4月返'!A:A,1,FALSE)</f>
        <v>#N/A</v>
      </c>
      <c r="J2945" s="140" t="s">
        <v>162</v>
      </c>
      <c r="K2945" s="370" t="s">
        <v>3867</v>
      </c>
      <c r="L2945" s="366"/>
      <c r="M2945" s="315" t="s">
        <v>3865</v>
      </c>
      <c r="N2945" s="143">
        <v>44540</v>
      </c>
      <c r="O2945" s="143" t="s">
        <v>92</v>
      </c>
      <c r="P2945" s="343">
        <v>4300</v>
      </c>
      <c r="Q2945" s="145">
        <v>1</v>
      </c>
      <c r="R2945" s="126">
        <f t="shared" si="89"/>
        <v>4300</v>
      </c>
      <c r="S2945" s="322">
        <v>202304</v>
      </c>
      <c r="T2945" s="375" t="s">
        <v>3885</v>
      </c>
      <c r="U2945" s="349"/>
      <c r="V2945" s="323"/>
      <c r="W2945" s="323"/>
      <c r="X2945" s="193">
        <v>44927</v>
      </c>
      <c r="Y2945" s="193"/>
    </row>
    <row r="2946" s="3" customFormat="1" customHeight="1" spans="1:25">
      <c r="A2946" s="135" t="s">
        <v>444</v>
      </c>
      <c r="B2946" s="310" t="s">
        <v>3726</v>
      </c>
      <c r="C2946" s="134" t="s">
        <v>39</v>
      </c>
      <c r="D2946" s="11" t="s">
        <v>951</v>
      </c>
      <c r="E2946" s="170" t="s">
        <v>3861</v>
      </c>
      <c r="F2946" s="135" t="s">
        <v>3862</v>
      </c>
      <c r="G2946" s="140" t="s">
        <v>31</v>
      </c>
      <c r="H2946" s="140" t="s">
        <v>3863</v>
      </c>
      <c r="I2946" s="30" t="e">
        <f>VLOOKUP(H2946,'合同高级查询数据-4月返'!A:A,1,FALSE)</f>
        <v>#N/A</v>
      </c>
      <c r="J2946" s="140" t="s">
        <v>3189</v>
      </c>
      <c r="K2946" s="370" t="s">
        <v>3867</v>
      </c>
      <c r="L2946" s="366"/>
      <c r="M2946" s="315" t="s">
        <v>3865</v>
      </c>
      <c r="N2946" s="143">
        <v>44540</v>
      </c>
      <c r="O2946" s="143" t="s">
        <v>37</v>
      </c>
      <c r="P2946" s="343">
        <v>0</v>
      </c>
      <c r="Q2946" s="145">
        <v>128</v>
      </c>
      <c r="R2946" s="126">
        <f t="shared" si="89"/>
        <v>0</v>
      </c>
      <c r="S2946" s="322">
        <v>202304</v>
      </c>
      <c r="T2946" s="375" t="s">
        <v>3886</v>
      </c>
      <c r="U2946" s="349"/>
      <c r="V2946" s="323"/>
      <c r="W2946" s="323"/>
      <c r="X2946" s="193"/>
      <c r="Y2946" s="193"/>
    </row>
    <row r="2947" s="3" customFormat="1" customHeight="1" spans="1:25">
      <c r="A2947" s="135" t="s">
        <v>444</v>
      </c>
      <c r="B2947" s="310" t="s">
        <v>3726</v>
      </c>
      <c r="C2947" s="134" t="s">
        <v>39</v>
      </c>
      <c r="D2947" s="11" t="s">
        <v>951</v>
      </c>
      <c r="E2947" s="170" t="s">
        <v>3861</v>
      </c>
      <c r="F2947" s="135" t="s">
        <v>3862</v>
      </c>
      <c r="G2947" s="140" t="s">
        <v>31</v>
      </c>
      <c r="H2947" s="140" t="s">
        <v>3863</v>
      </c>
      <c r="I2947" s="30" t="e">
        <f>VLOOKUP(H2947,'合同高级查询数据-4月返'!A:A,1,FALSE)</f>
        <v>#N/A</v>
      </c>
      <c r="J2947" s="140" t="s">
        <v>3189</v>
      </c>
      <c r="K2947" s="370" t="s">
        <v>3879</v>
      </c>
      <c r="L2947" s="366"/>
      <c r="M2947" s="315" t="s">
        <v>3865</v>
      </c>
      <c r="N2947" s="143">
        <v>44531</v>
      </c>
      <c r="O2947" s="143" t="s">
        <v>179</v>
      </c>
      <c r="P2947" s="343">
        <v>0</v>
      </c>
      <c r="Q2947" s="145">
        <v>1</v>
      </c>
      <c r="R2947" s="126">
        <f t="shared" ref="R2947:R2949" si="91">ROUND(P2947*Q2947,2)</f>
        <v>0</v>
      </c>
      <c r="S2947" s="322">
        <v>202304</v>
      </c>
      <c r="T2947" s="375" t="s">
        <v>3887</v>
      </c>
      <c r="U2947" s="349"/>
      <c r="V2947" s="323"/>
      <c r="W2947" s="323"/>
      <c r="X2947" s="193">
        <v>44927</v>
      </c>
      <c r="Y2947" s="193"/>
    </row>
    <row r="2948" s="3" customFormat="1" customHeight="1" spans="1:25">
      <c r="A2948" s="135" t="s">
        <v>444</v>
      </c>
      <c r="B2948" s="310" t="s">
        <v>3726</v>
      </c>
      <c r="C2948" s="134" t="s">
        <v>39</v>
      </c>
      <c r="D2948" s="11" t="s">
        <v>951</v>
      </c>
      <c r="E2948" s="170" t="s">
        <v>3861</v>
      </c>
      <c r="F2948" s="135" t="s">
        <v>3862</v>
      </c>
      <c r="G2948" s="140" t="s">
        <v>31</v>
      </c>
      <c r="H2948" s="140" t="s">
        <v>3863</v>
      </c>
      <c r="I2948" s="30" t="e">
        <f>VLOOKUP(H2948,'合同高级查询数据-4月返'!A:A,1,FALSE)</f>
        <v>#N/A</v>
      </c>
      <c r="J2948" s="140" t="s">
        <v>3189</v>
      </c>
      <c r="K2948" s="370" t="s">
        <v>3879</v>
      </c>
      <c r="L2948" s="366"/>
      <c r="M2948" s="315" t="s">
        <v>3865</v>
      </c>
      <c r="N2948" s="143">
        <v>44926</v>
      </c>
      <c r="O2948" s="143" t="s">
        <v>179</v>
      </c>
      <c r="P2948" s="343">
        <v>0</v>
      </c>
      <c r="Q2948" s="145">
        <v>-1</v>
      </c>
      <c r="R2948" s="126">
        <f t="shared" si="91"/>
        <v>0</v>
      </c>
      <c r="S2948" s="322">
        <v>202304</v>
      </c>
      <c r="T2948" s="375" t="s">
        <v>3888</v>
      </c>
      <c r="U2948" s="349"/>
      <c r="V2948" s="323"/>
      <c r="W2948" s="323"/>
      <c r="X2948" s="193">
        <v>44927</v>
      </c>
      <c r="Y2948" s="193"/>
    </row>
    <row r="2949" s="3" customFormat="1" customHeight="1" spans="1:25">
      <c r="A2949" s="135" t="s">
        <v>444</v>
      </c>
      <c r="B2949" s="310" t="s">
        <v>3726</v>
      </c>
      <c r="C2949" s="134" t="s">
        <v>39</v>
      </c>
      <c r="D2949" s="11" t="s">
        <v>951</v>
      </c>
      <c r="E2949" s="170" t="s">
        <v>3861</v>
      </c>
      <c r="F2949" s="135" t="s">
        <v>3862</v>
      </c>
      <c r="G2949" s="140" t="s">
        <v>88</v>
      </c>
      <c r="H2949" s="140" t="s">
        <v>3863</v>
      </c>
      <c r="I2949" s="30" t="e">
        <f>VLOOKUP(H2949,'合同高级查询数据-4月返'!A:A,1,FALSE)</f>
        <v>#N/A</v>
      </c>
      <c r="J2949" s="140" t="s">
        <v>162</v>
      </c>
      <c r="K2949" s="370" t="s">
        <v>3864</v>
      </c>
      <c r="L2949" s="366"/>
      <c r="M2949" s="315" t="s">
        <v>3865</v>
      </c>
      <c r="N2949" s="143">
        <v>44768</v>
      </c>
      <c r="O2949" s="143" t="s">
        <v>92</v>
      </c>
      <c r="P2949" s="343">
        <v>4300</v>
      </c>
      <c r="Q2949" s="145">
        <v>-4</v>
      </c>
      <c r="R2949" s="126">
        <f t="shared" si="91"/>
        <v>-17200</v>
      </c>
      <c r="S2949" s="322">
        <v>202304</v>
      </c>
      <c r="T2949" s="375" t="s">
        <v>3889</v>
      </c>
      <c r="U2949" s="349"/>
      <c r="V2949" s="323"/>
      <c r="W2949" s="323"/>
      <c r="X2949" s="193">
        <v>44927</v>
      </c>
      <c r="Y2949" s="193"/>
    </row>
    <row r="2950" s="3" customFormat="1" customHeight="1" spans="1:25">
      <c r="A2950" s="135" t="s">
        <v>444</v>
      </c>
      <c r="B2950" s="310" t="s">
        <v>3726</v>
      </c>
      <c r="C2950" s="134" t="s">
        <v>39</v>
      </c>
      <c r="D2950" s="11" t="s">
        <v>951</v>
      </c>
      <c r="E2950" s="170" t="s">
        <v>3861</v>
      </c>
      <c r="F2950" s="135" t="s">
        <v>3862</v>
      </c>
      <c r="G2950" s="140" t="s">
        <v>31</v>
      </c>
      <c r="H2950" s="140" t="s">
        <v>3863</v>
      </c>
      <c r="I2950" s="30" t="e">
        <f>VLOOKUP(H2950,'合同高级查询数据-4月返'!A:A,1,FALSE)</f>
        <v>#N/A</v>
      </c>
      <c r="J2950" s="140" t="s">
        <v>3189</v>
      </c>
      <c r="K2950" s="370" t="s">
        <v>3864</v>
      </c>
      <c r="L2950" s="366"/>
      <c r="M2950" s="315" t="s">
        <v>3865</v>
      </c>
      <c r="N2950" s="143">
        <v>44768</v>
      </c>
      <c r="O2950" s="143" t="s">
        <v>37</v>
      </c>
      <c r="P2950" s="343">
        <v>0</v>
      </c>
      <c r="Q2950" s="145">
        <v>-384</v>
      </c>
      <c r="R2950" s="126">
        <f t="shared" ref="R2950:R2952" si="92">ROUND(P2950*Q2950,2)</f>
        <v>0</v>
      </c>
      <c r="S2950" s="322">
        <v>202304</v>
      </c>
      <c r="T2950" s="375" t="s">
        <v>3890</v>
      </c>
      <c r="U2950" s="349"/>
      <c r="V2950" s="323"/>
      <c r="W2950" s="323"/>
      <c r="X2950" s="193"/>
      <c r="Y2950" s="193"/>
    </row>
    <row r="2951" s="3" customFormat="1" customHeight="1" spans="1:25">
      <c r="A2951" s="135" t="s">
        <v>444</v>
      </c>
      <c r="B2951" s="310" t="s">
        <v>3726</v>
      </c>
      <c r="C2951" s="134" t="s">
        <v>39</v>
      </c>
      <c r="D2951" s="11" t="s">
        <v>951</v>
      </c>
      <c r="E2951" s="170" t="s">
        <v>3861</v>
      </c>
      <c r="F2951" s="135" t="s">
        <v>3862</v>
      </c>
      <c r="G2951" s="140" t="s">
        <v>88</v>
      </c>
      <c r="H2951" s="140" t="s">
        <v>3863</v>
      </c>
      <c r="I2951" s="30" t="e">
        <f>VLOOKUP(H2951,'合同高级查询数据-4月返'!A:A,1,FALSE)</f>
        <v>#N/A</v>
      </c>
      <c r="J2951" s="140" t="s">
        <v>162</v>
      </c>
      <c r="K2951" s="370" t="s">
        <v>3864</v>
      </c>
      <c r="L2951" s="366"/>
      <c r="M2951" s="315" t="s">
        <v>3865</v>
      </c>
      <c r="N2951" s="143">
        <v>44927</v>
      </c>
      <c r="O2951" s="143" t="s">
        <v>92</v>
      </c>
      <c r="P2951" s="343">
        <v>4300</v>
      </c>
      <c r="Q2951" s="145">
        <v>1</v>
      </c>
      <c r="R2951" s="126">
        <f t="shared" si="92"/>
        <v>4300</v>
      </c>
      <c r="S2951" s="322">
        <v>202304</v>
      </c>
      <c r="T2951" s="375" t="s">
        <v>3891</v>
      </c>
      <c r="U2951" s="349"/>
      <c r="V2951" s="323"/>
      <c r="W2951" s="323"/>
      <c r="X2951" s="193">
        <v>44927</v>
      </c>
      <c r="Y2951" s="193"/>
    </row>
    <row r="2952" s="3" customFormat="1" customHeight="1" spans="1:25">
      <c r="A2952" s="135" t="s">
        <v>444</v>
      </c>
      <c r="B2952" s="310" t="s">
        <v>3726</v>
      </c>
      <c r="C2952" s="134" t="s">
        <v>39</v>
      </c>
      <c r="D2952" s="11" t="s">
        <v>951</v>
      </c>
      <c r="E2952" s="170" t="s">
        <v>3861</v>
      </c>
      <c r="F2952" s="135" t="s">
        <v>3862</v>
      </c>
      <c r="G2952" s="140" t="s">
        <v>88</v>
      </c>
      <c r="H2952" s="140" t="s">
        <v>3863</v>
      </c>
      <c r="I2952" s="30" t="e">
        <f>VLOOKUP(H2952,'合同高级查询数据-4月返'!A:A,1,FALSE)</f>
        <v>#N/A</v>
      </c>
      <c r="J2952" s="140" t="s">
        <v>162</v>
      </c>
      <c r="K2952" s="370" t="s">
        <v>3864</v>
      </c>
      <c r="L2952" s="366"/>
      <c r="M2952" s="315" t="s">
        <v>3865</v>
      </c>
      <c r="N2952" s="143">
        <v>44983</v>
      </c>
      <c r="O2952" s="143" t="s">
        <v>92</v>
      </c>
      <c r="P2952" s="343">
        <v>4300</v>
      </c>
      <c r="Q2952" s="145">
        <v>2</v>
      </c>
      <c r="R2952" s="126">
        <f t="shared" si="92"/>
        <v>8600</v>
      </c>
      <c r="S2952" s="322">
        <v>202304</v>
      </c>
      <c r="T2952" s="375" t="s">
        <v>3892</v>
      </c>
      <c r="U2952" s="349"/>
      <c r="V2952" s="323"/>
      <c r="W2952" s="323"/>
      <c r="X2952" s="193">
        <v>44927</v>
      </c>
      <c r="Y2952" s="193"/>
    </row>
    <row r="2953" s="3" customFormat="1" customHeight="1" spans="1:25">
      <c r="A2953" s="135" t="s">
        <v>444</v>
      </c>
      <c r="B2953" s="310" t="s">
        <v>3726</v>
      </c>
      <c r="C2953" s="134" t="s">
        <v>39</v>
      </c>
      <c r="D2953" s="11" t="s">
        <v>951</v>
      </c>
      <c r="E2953" s="170" t="s">
        <v>3861</v>
      </c>
      <c r="F2953" s="135" t="s">
        <v>3862</v>
      </c>
      <c r="G2953" s="140" t="s">
        <v>31</v>
      </c>
      <c r="H2953" s="140" t="s">
        <v>3863</v>
      </c>
      <c r="I2953" s="30" t="e">
        <f>VLOOKUP(H2953,'合同高级查询数据-4月返'!A:A,1,FALSE)</f>
        <v>#N/A</v>
      </c>
      <c r="J2953" s="140" t="s">
        <v>3189</v>
      </c>
      <c r="K2953" s="370" t="s">
        <v>3864</v>
      </c>
      <c r="L2953" s="366"/>
      <c r="M2953" s="315" t="s">
        <v>3865</v>
      </c>
      <c r="N2953" s="143">
        <v>44983</v>
      </c>
      <c r="O2953" s="143" t="s">
        <v>37</v>
      </c>
      <c r="P2953" s="343">
        <v>0</v>
      </c>
      <c r="Q2953" s="145">
        <v>128</v>
      </c>
      <c r="R2953" s="126">
        <f t="shared" ref="R2953:R2954" si="93">ROUND(P2953*Q2953,2)</f>
        <v>0</v>
      </c>
      <c r="S2953" s="322">
        <v>202304</v>
      </c>
      <c r="T2953" s="375" t="s">
        <v>3893</v>
      </c>
      <c r="U2953" s="349"/>
      <c r="V2953" s="323"/>
      <c r="W2953" s="323"/>
      <c r="X2953" s="193">
        <v>44927</v>
      </c>
      <c r="Y2953" s="193"/>
    </row>
    <row r="2954" s="3" customFormat="1" customHeight="1" spans="1:25">
      <c r="A2954" s="135" t="s">
        <v>446</v>
      </c>
      <c r="B2954" s="310" t="s">
        <v>3726</v>
      </c>
      <c r="C2954" s="134" t="s">
        <v>39</v>
      </c>
      <c r="D2954" s="11" t="s">
        <v>951</v>
      </c>
      <c r="E2954" s="362" t="s">
        <v>3894</v>
      </c>
      <c r="F2954" s="135" t="s">
        <v>3895</v>
      </c>
      <c r="G2954" s="140" t="s">
        <v>88</v>
      </c>
      <c r="H2954" s="140" t="s">
        <v>3896</v>
      </c>
      <c r="I2954" s="30" t="e">
        <f>VLOOKUP(H2954,'合同高级查询数据-4月返'!A:A,1,FALSE)</f>
        <v>#N/A</v>
      </c>
      <c r="J2954" s="140" t="s">
        <v>162</v>
      </c>
      <c r="K2954" s="370" t="s">
        <v>3895</v>
      </c>
      <c r="L2954" s="366"/>
      <c r="M2954" s="315" t="s">
        <v>3897</v>
      </c>
      <c r="N2954" s="143">
        <v>45017</v>
      </c>
      <c r="O2954" s="143" t="s">
        <v>92</v>
      </c>
      <c r="P2954" s="343">
        <v>2916.66</v>
      </c>
      <c r="Q2954" s="145">
        <v>3</v>
      </c>
      <c r="R2954" s="379">
        <f t="shared" si="93"/>
        <v>8749.98</v>
      </c>
      <c r="S2954" s="322">
        <v>202304</v>
      </c>
      <c r="T2954" s="369" t="s">
        <v>3898</v>
      </c>
      <c r="U2954" s="349"/>
      <c r="V2954" s="323"/>
      <c r="W2954" s="323"/>
      <c r="X2954" s="193">
        <v>44986</v>
      </c>
      <c r="Y2954" s="193"/>
    </row>
    <row r="2955" s="3" customFormat="1" customHeight="1" spans="1:25">
      <c r="A2955" s="135" t="s">
        <v>446</v>
      </c>
      <c r="B2955" s="310" t="s">
        <v>3726</v>
      </c>
      <c r="C2955" s="134" t="s">
        <v>39</v>
      </c>
      <c r="D2955" s="11" t="s">
        <v>951</v>
      </c>
      <c r="E2955" s="362" t="s">
        <v>3894</v>
      </c>
      <c r="F2955" s="135" t="s">
        <v>3895</v>
      </c>
      <c r="G2955" s="140" t="s">
        <v>31</v>
      </c>
      <c r="H2955" s="140" t="s">
        <v>3896</v>
      </c>
      <c r="I2955" s="30" t="e">
        <f>VLOOKUP(H2955,'合同高级查询数据-4月返'!A:A,1,FALSE)</f>
        <v>#N/A</v>
      </c>
      <c r="J2955" s="140" t="s">
        <v>3189</v>
      </c>
      <c r="K2955" s="370" t="s">
        <v>3895</v>
      </c>
      <c r="L2955" s="366"/>
      <c r="M2955" s="315" t="s">
        <v>3897</v>
      </c>
      <c r="N2955" s="143">
        <v>45017</v>
      </c>
      <c r="O2955" s="143" t="s">
        <v>37</v>
      </c>
      <c r="P2955" s="343">
        <v>0</v>
      </c>
      <c r="Q2955" s="145">
        <v>512</v>
      </c>
      <c r="R2955" s="126">
        <f t="shared" ref="R2955:R3018" si="94">ROUND(P2955*Q2955,2)</f>
        <v>0</v>
      </c>
      <c r="S2955" s="322">
        <v>202304</v>
      </c>
      <c r="T2955" s="375" t="s">
        <v>3899</v>
      </c>
      <c r="U2955" s="349"/>
      <c r="V2955" s="323"/>
      <c r="W2955" s="323"/>
      <c r="X2955" s="193">
        <v>44986</v>
      </c>
      <c r="Y2955" s="193"/>
    </row>
    <row r="2956" s="3" customFormat="1" customHeight="1" spans="1:25">
      <c r="A2956" s="135" t="s">
        <v>446</v>
      </c>
      <c r="B2956" s="310" t="s">
        <v>3726</v>
      </c>
      <c r="C2956" s="134" t="s">
        <v>39</v>
      </c>
      <c r="D2956" s="11" t="s">
        <v>951</v>
      </c>
      <c r="E2956" s="362" t="s">
        <v>3894</v>
      </c>
      <c r="F2956" s="135" t="s">
        <v>3895</v>
      </c>
      <c r="G2956" s="140" t="s">
        <v>31</v>
      </c>
      <c r="H2956" s="140" t="s">
        <v>3896</v>
      </c>
      <c r="I2956" s="30" t="e">
        <f>VLOOKUP(H2956,'合同高级查询数据-4月返'!A:A,1,FALSE)</f>
        <v>#N/A</v>
      </c>
      <c r="J2956" s="140" t="s">
        <v>3189</v>
      </c>
      <c r="K2956" s="370" t="s">
        <v>3895</v>
      </c>
      <c r="L2956" s="366"/>
      <c r="M2956" s="315" t="s">
        <v>3897</v>
      </c>
      <c r="N2956" s="143">
        <v>45017</v>
      </c>
      <c r="O2956" s="143" t="s">
        <v>179</v>
      </c>
      <c r="P2956" s="343">
        <v>0</v>
      </c>
      <c r="Q2956" s="145">
        <v>2</v>
      </c>
      <c r="R2956" s="126">
        <f t="shared" si="94"/>
        <v>0</v>
      </c>
      <c r="S2956" s="322">
        <v>202304</v>
      </c>
      <c r="T2956" s="375" t="s">
        <v>3900</v>
      </c>
      <c r="U2956" s="349"/>
      <c r="V2956" s="323"/>
      <c r="W2956" s="323"/>
      <c r="X2956" s="193">
        <v>44986</v>
      </c>
      <c r="Y2956" s="193"/>
    </row>
    <row r="2957" s="5" customFormat="1" customHeight="1" spans="1:25">
      <c r="A2957" s="307" t="s">
        <v>448</v>
      </c>
      <c r="B2957" s="307" t="s">
        <v>3037</v>
      </c>
      <c r="C2957" s="22" t="s">
        <v>188</v>
      </c>
      <c r="D2957" s="307" t="s">
        <v>3038</v>
      </c>
      <c r="E2957" s="161" t="s">
        <v>3901</v>
      </c>
      <c r="F2957" s="98" t="s">
        <v>3902</v>
      </c>
      <c r="G2957" s="309" t="s">
        <v>31</v>
      </c>
      <c r="H2957" s="309" t="s">
        <v>3903</v>
      </c>
      <c r="I2957" s="46" t="e">
        <f>VLOOKUP(H2957,'合同高级查询数据-4月返'!A:A,1,FALSE)</f>
        <v>#N/A</v>
      </c>
      <c r="J2957" s="309" t="s">
        <v>3189</v>
      </c>
      <c r="K2957" s="372" t="s">
        <v>3902</v>
      </c>
      <c r="L2957" s="373"/>
      <c r="M2957" s="312"/>
      <c r="N2957" s="265">
        <v>43688</v>
      </c>
      <c r="O2957" s="265" t="s">
        <v>37</v>
      </c>
      <c r="P2957" s="374">
        <v>0</v>
      </c>
      <c r="Q2957" s="164">
        <v>160</v>
      </c>
      <c r="R2957" s="117">
        <f t="shared" si="94"/>
        <v>0</v>
      </c>
      <c r="S2957" s="319">
        <v>202304</v>
      </c>
      <c r="T2957" s="377" t="s">
        <v>3904</v>
      </c>
      <c r="U2957" s="347"/>
      <c r="V2957" s="378"/>
      <c r="W2957" s="378"/>
      <c r="X2957" s="229">
        <v>43678</v>
      </c>
      <c r="Y2957" s="229">
        <v>45138</v>
      </c>
    </row>
    <row r="2958" s="5" customFormat="1" customHeight="1" spans="1:25">
      <c r="A2958" s="307" t="s">
        <v>448</v>
      </c>
      <c r="B2958" s="307" t="s">
        <v>3037</v>
      </c>
      <c r="C2958" s="22" t="s">
        <v>188</v>
      </c>
      <c r="D2958" s="307" t="s">
        <v>3038</v>
      </c>
      <c r="E2958" s="161" t="s">
        <v>3901</v>
      </c>
      <c r="F2958" s="98" t="s">
        <v>3902</v>
      </c>
      <c r="G2958" s="309" t="s">
        <v>88</v>
      </c>
      <c r="H2958" s="309" t="s">
        <v>3903</v>
      </c>
      <c r="I2958" s="46" t="e">
        <f>VLOOKUP(H2958,'合同高级查询数据-4月返'!A:A,1,FALSE)</f>
        <v>#N/A</v>
      </c>
      <c r="J2958" s="309" t="s">
        <v>162</v>
      </c>
      <c r="K2958" s="372" t="s">
        <v>3902</v>
      </c>
      <c r="L2958" s="373" t="s">
        <v>3905</v>
      </c>
      <c r="M2958" s="312" t="s">
        <v>3906</v>
      </c>
      <c r="N2958" s="265">
        <v>43688</v>
      </c>
      <c r="O2958" s="265" t="s">
        <v>702</v>
      </c>
      <c r="P2958" s="374">
        <v>0</v>
      </c>
      <c r="Q2958" s="164">
        <v>2</v>
      </c>
      <c r="R2958" s="117">
        <f t="shared" si="94"/>
        <v>0</v>
      </c>
      <c r="S2958" s="319">
        <v>202304</v>
      </c>
      <c r="T2958" s="377" t="s">
        <v>3907</v>
      </c>
      <c r="U2958" s="347"/>
      <c r="V2958" s="378"/>
      <c r="W2958" s="378"/>
      <c r="X2958" s="229">
        <v>43678</v>
      </c>
      <c r="Y2958" s="229">
        <v>45138</v>
      </c>
    </row>
    <row r="2959" s="3" customFormat="1" customHeight="1" spans="1:25">
      <c r="A2959" s="310" t="s">
        <v>448</v>
      </c>
      <c r="B2959" s="310" t="s">
        <v>3037</v>
      </c>
      <c r="C2959" s="35" t="s">
        <v>188</v>
      </c>
      <c r="D2959" s="310" t="s">
        <v>3038</v>
      </c>
      <c r="E2959" s="170" t="s">
        <v>3908</v>
      </c>
      <c r="F2959" s="135" t="s">
        <v>3909</v>
      </c>
      <c r="G2959" s="140" t="s">
        <v>88</v>
      </c>
      <c r="H2959" s="140" t="s">
        <v>3910</v>
      </c>
      <c r="I2959" s="30" t="e">
        <f>VLOOKUP(H2959,'合同高级查询数据-4月返'!A:A,1,FALSE)</f>
        <v>#N/A</v>
      </c>
      <c r="J2959" s="140" t="s">
        <v>162</v>
      </c>
      <c r="K2959" s="370" t="s">
        <v>3909</v>
      </c>
      <c r="L2959" s="366"/>
      <c r="M2959" s="315" t="s">
        <v>3911</v>
      </c>
      <c r="N2959" s="143" t="s">
        <v>1329</v>
      </c>
      <c r="O2959" s="143" t="s">
        <v>92</v>
      </c>
      <c r="P2959" s="371">
        <v>0</v>
      </c>
      <c r="Q2959" s="145">
        <v>4</v>
      </c>
      <c r="R2959" s="126">
        <f t="shared" si="94"/>
        <v>0</v>
      </c>
      <c r="S2959" s="322">
        <v>202304</v>
      </c>
      <c r="T2959" s="375" t="s">
        <v>3912</v>
      </c>
      <c r="U2959" s="349"/>
      <c r="V2959" s="376"/>
      <c r="W2959" s="376"/>
      <c r="X2959" s="326">
        <v>45017</v>
      </c>
      <c r="Y2959" s="193"/>
    </row>
    <row r="2960" s="3" customFormat="1" customHeight="1" spans="1:25">
      <c r="A2960" s="310" t="s">
        <v>448</v>
      </c>
      <c r="B2960" s="310" t="s">
        <v>3037</v>
      </c>
      <c r="C2960" s="35" t="s">
        <v>188</v>
      </c>
      <c r="D2960" s="310" t="s">
        <v>3038</v>
      </c>
      <c r="E2960" s="170" t="s">
        <v>3908</v>
      </c>
      <c r="F2960" s="135" t="s">
        <v>3909</v>
      </c>
      <c r="G2960" s="140" t="s">
        <v>31</v>
      </c>
      <c r="H2960" s="140" t="s">
        <v>3910</v>
      </c>
      <c r="I2960" s="30" t="e">
        <f>VLOOKUP(H2960,'合同高级查询数据-4月返'!A:A,1,FALSE)</f>
        <v>#N/A</v>
      </c>
      <c r="J2960" s="140" t="s">
        <v>3189</v>
      </c>
      <c r="K2960" s="370" t="s">
        <v>3909</v>
      </c>
      <c r="L2960" s="366"/>
      <c r="M2960" s="315"/>
      <c r="N2960" s="143" t="s">
        <v>1329</v>
      </c>
      <c r="O2960" s="143" t="s">
        <v>37</v>
      </c>
      <c r="P2960" s="371">
        <v>0</v>
      </c>
      <c r="Q2960" s="145">
        <v>288</v>
      </c>
      <c r="R2960" s="126">
        <f t="shared" si="94"/>
        <v>0</v>
      </c>
      <c r="S2960" s="322">
        <v>202304</v>
      </c>
      <c r="T2960" s="375" t="s">
        <v>3913</v>
      </c>
      <c r="U2960" s="349"/>
      <c r="V2960" s="376"/>
      <c r="W2960" s="376"/>
      <c r="X2960" s="326">
        <v>45017</v>
      </c>
      <c r="Y2960" s="193"/>
    </row>
    <row r="2961" s="3" customFormat="1" customHeight="1" spans="1:25">
      <c r="A2961" s="310" t="s">
        <v>448</v>
      </c>
      <c r="B2961" s="310" t="s">
        <v>3037</v>
      </c>
      <c r="C2961" s="35" t="s">
        <v>188</v>
      </c>
      <c r="D2961" s="310" t="s">
        <v>3038</v>
      </c>
      <c r="E2961" s="170" t="s">
        <v>3908</v>
      </c>
      <c r="F2961" s="135" t="s">
        <v>3909</v>
      </c>
      <c r="G2961" s="140" t="s">
        <v>31</v>
      </c>
      <c r="H2961" s="140" t="s">
        <v>3910</v>
      </c>
      <c r="I2961" s="30" t="e">
        <f>VLOOKUP(H2961,'合同高级查询数据-4月返'!A:A,1,FALSE)</f>
        <v>#N/A</v>
      </c>
      <c r="J2961" s="140" t="s">
        <v>3189</v>
      </c>
      <c r="K2961" s="370" t="s">
        <v>3909</v>
      </c>
      <c r="L2961" s="366"/>
      <c r="M2961" s="315"/>
      <c r="N2961" s="143" t="s">
        <v>1329</v>
      </c>
      <c r="O2961" s="143" t="s">
        <v>37</v>
      </c>
      <c r="P2961" s="371">
        <v>0</v>
      </c>
      <c r="Q2961" s="145">
        <v>128</v>
      </c>
      <c r="R2961" s="126">
        <f t="shared" si="94"/>
        <v>0</v>
      </c>
      <c r="S2961" s="322">
        <v>202304</v>
      </c>
      <c r="T2961" s="375" t="s">
        <v>3914</v>
      </c>
      <c r="U2961" s="349"/>
      <c r="V2961" s="376"/>
      <c r="W2961" s="376"/>
      <c r="X2961" s="326">
        <v>45017</v>
      </c>
      <c r="Y2961" s="193"/>
    </row>
    <row r="2962" s="3" customFormat="1" customHeight="1" spans="1:25">
      <c r="A2962" s="310" t="s">
        <v>448</v>
      </c>
      <c r="B2962" s="310" t="s">
        <v>3037</v>
      </c>
      <c r="C2962" s="35" t="s">
        <v>188</v>
      </c>
      <c r="D2962" s="310" t="s">
        <v>3038</v>
      </c>
      <c r="E2962" s="170" t="s">
        <v>3908</v>
      </c>
      <c r="F2962" s="135" t="s">
        <v>3909</v>
      </c>
      <c r="G2962" s="140" t="s">
        <v>31</v>
      </c>
      <c r="H2962" s="140" t="s">
        <v>3910</v>
      </c>
      <c r="I2962" s="30" t="e">
        <f>VLOOKUP(H2962,'合同高级查询数据-4月返'!A:A,1,FALSE)</f>
        <v>#N/A</v>
      </c>
      <c r="J2962" s="140" t="s">
        <v>3189</v>
      </c>
      <c r="K2962" s="370" t="s">
        <v>3909</v>
      </c>
      <c r="L2962" s="366"/>
      <c r="M2962" s="315"/>
      <c r="N2962" s="143">
        <v>45016</v>
      </c>
      <c r="O2962" s="143" t="s">
        <v>37</v>
      </c>
      <c r="P2962" s="371">
        <v>0</v>
      </c>
      <c r="Q2962" s="145">
        <v>-128</v>
      </c>
      <c r="R2962" s="126">
        <f t="shared" si="94"/>
        <v>0</v>
      </c>
      <c r="S2962" s="322">
        <v>202304</v>
      </c>
      <c r="T2962" s="375" t="s">
        <v>3915</v>
      </c>
      <c r="U2962" s="349"/>
      <c r="V2962" s="376"/>
      <c r="W2962" s="376"/>
      <c r="X2962" s="326">
        <v>45017</v>
      </c>
      <c r="Y2962" s="193"/>
    </row>
    <row r="2963" s="3" customFormat="1" customHeight="1" spans="1:25">
      <c r="A2963" s="310" t="s">
        <v>448</v>
      </c>
      <c r="B2963" s="310" t="s">
        <v>3037</v>
      </c>
      <c r="C2963" s="35" t="s">
        <v>188</v>
      </c>
      <c r="D2963" s="310" t="s">
        <v>3038</v>
      </c>
      <c r="E2963" s="170" t="s">
        <v>3908</v>
      </c>
      <c r="F2963" s="135" t="s">
        <v>3909</v>
      </c>
      <c r="G2963" s="140" t="s">
        <v>88</v>
      </c>
      <c r="H2963" s="140" t="s">
        <v>3910</v>
      </c>
      <c r="I2963" s="30" t="e">
        <f>VLOOKUP(H2963,'合同高级查询数据-4月返'!A:A,1,FALSE)</f>
        <v>#N/A</v>
      </c>
      <c r="J2963" s="140" t="s">
        <v>162</v>
      </c>
      <c r="K2963" s="370" t="s">
        <v>3909</v>
      </c>
      <c r="L2963" s="366"/>
      <c r="M2963" s="315" t="s">
        <v>3916</v>
      </c>
      <c r="N2963" s="143" t="s">
        <v>1329</v>
      </c>
      <c r="O2963" s="143" t="s">
        <v>92</v>
      </c>
      <c r="P2963" s="371">
        <v>0</v>
      </c>
      <c r="Q2963" s="145">
        <v>2</v>
      </c>
      <c r="R2963" s="126">
        <f t="shared" si="94"/>
        <v>0</v>
      </c>
      <c r="S2963" s="322">
        <v>202304</v>
      </c>
      <c r="T2963" s="375" t="s">
        <v>3917</v>
      </c>
      <c r="U2963" s="349"/>
      <c r="V2963" s="376"/>
      <c r="W2963" s="376"/>
      <c r="X2963" s="326">
        <v>45017</v>
      </c>
      <c r="Y2963" s="193"/>
    </row>
    <row r="2964" s="3" customFormat="1" customHeight="1" spans="1:25">
      <c r="A2964" s="310" t="s">
        <v>448</v>
      </c>
      <c r="B2964" s="310" t="s">
        <v>3037</v>
      </c>
      <c r="C2964" s="35" t="s">
        <v>188</v>
      </c>
      <c r="D2964" s="310" t="s">
        <v>3038</v>
      </c>
      <c r="E2964" s="170" t="s">
        <v>3908</v>
      </c>
      <c r="F2964" s="135" t="s">
        <v>3909</v>
      </c>
      <c r="G2964" s="140" t="s">
        <v>88</v>
      </c>
      <c r="H2964" s="140" t="s">
        <v>3910</v>
      </c>
      <c r="I2964" s="30" t="e">
        <f>VLOOKUP(H2964,'合同高级查询数据-4月返'!A:A,1,FALSE)</f>
        <v>#N/A</v>
      </c>
      <c r="J2964" s="140" t="s">
        <v>162</v>
      </c>
      <c r="K2964" s="370" t="s">
        <v>3909</v>
      </c>
      <c r="L2964" s="366"/>
      <c r="M2964" s="315" t="s">
        <v>3916</v>
      </c>
      <c r="N2964" s="143">
        <v>45016</v>
      </c>
      <c r="O2964" s="143" t="s">
        <v>92</v>
      </c>
      <c r="P2964" s="371">
        <v>0</v>
      </c>
      <c r="Q2964" s="145">
        <v>-2</v>
      </c>
      <c r="R2964" s="126">
        <f t="shared" si="94"/>
        <v>0</v>
      </c>
      <c r="S2964" s="322">
        <v>202304</v>
      </c>
      <c r="T2964" s="375" t="s">
        <v>3918</v>
      </c>
      <c r="U2964" s="349"/>
      <c r="V2964" s="376"/>
      <c r="W2964" s="376"/>
      <c r="X2964" s="326">
        <v>45017</v>
      </c>
      <c r="Y2964" s="193"/>
    </row>
    <row r="2965" s="3" customFormat="1" customHeight="1" spans="1:25">
      <c r="A2965" s="310" t="s">
        <v>448</v>
      </c>
      <c r="B2965" s="310" t="s">
        <v>3037</v>
      </c>
      <c r="C2965" s="35" t="s">
        <v>188</v>
      </c>
      <c r="D2965" s="310" t="s">
        <v>3038</v>
      </c>
      <c r="E2965" s="170" t="s">
        <v>3908</v>
      </c>
      <c r="F2965" s="135" t="s">
        <v>3909</v>
      </c>
      <c r="G2965" s="140" t="s">
        <v>88</v>
      </c>
      <c r="H2965" s="140" t="s">
        <v>3919</v>
      </c>
      <c r="I2965" s="30" t="e">
        <f>VLOOKUP(H2965,'合同高级查询数据-4月返'!A:A,1,FALSE)</f>
        <v>#N/A</v>
      </c>
      <c r="J2965" s="140" t="s">
        <v>162</v>
      </c>
      <c r="K2965" s="370" t="s">
        <v>3920</v>
      </c>
      <c r="L2965" s="366"/>
      <c r="M2965" s="315" t="s">
        <v>3916</v>
      </c>
      <c r="N2965" s="143">
        <v>44682</v>
      </c>
      <c r="O2965" s="143" t="s">
        <v>163</v>
      </c>
      <c r="P2965" s="371">
        <v>0</v>
      </c>
      <c r="Q2965" s="145">
        <v>1</v>
      </c>
      <c r="R2965" s="126">
        <f t="shared" si="94"/>
        <v>0</v>
      </c>
      <c r="S2965" s="322">
        <v>202304</v>
      </c>
      <c r="T2965" s="380" t="s">
        <v>3921</v>
      </c>
      <c r="U2965" s="349"/>
      <c r="V2965" s="376"/>
      <c r="W2965" s="376"/>
      <c r="X2965" s="326">
        <v>44652</v>
      </c>
      <c r="Y2965" s="193"/>
    </row>
    <row r="2966" s="3" customFormat="1" customHeight="1" spans="1:25">
      <c r="A2966" s="310" t="s">
        <v>448</v>
      </c>
      <c r="B2966" s="310" t="s">
        <v>3037</v>
      </c>
      <c r="C2966" s="35" t="s">
        <v>188</v>
      </c>
      <c r="D2966" s="310" t="s">
        <v>3038</v>
      </c>
      <c r="E2966" s="170" t="s">
        <v>3908</v>
      </c>
      <c r="F2966" s="135" t="s">
        <v>3909</v>
      </c>
      <c r="G2966" s="140" t="s">
        <v>88</v>
      </c>
      <c r="H2966" s="140" t="s">
        <v>3919</v>
      </c>
      <c r="I2966" s="30" t="e">
        <f>VLOOKUP(H2966,'合同高级查询数据-4月返'!A:A,1,FALSE)</f>
        <v>#N/A</v>
      </c>
      <c r="J2966" s="140" t="s">
        <v>162</v>
      </c>
      <c r="K2966" s="370" t="s">
        <v>3920</v>
      </c>
      <c r="L2966" s="366"/>
      <c r="M2966" s="315" t="s">
        <v>3916</v>
      </c>
      <c r="N2966" s="143">
        <v>44712</v>
      </c>
      <c r="O2966" s="143" t="s">
        <v>163</v>
      </c>
      <c r="P2966" s="371">
        <v>0</v>
      </c>
      <c r="Q2966" s="145">
        <v>-1</v>
      </c>
      <c r="R2966" s="126">
        <f t="shared" si="94"/>
        <v>0</v>
      </c>
      <c r="S2966" s="322">
        <v>202304</v>
      </c>
      <c r="T2966" s="380" t="s">
        <v>3922</v>
      </c>
      <c r="U2966" s="349"/>
      <c r="V2966" s="376"/>
      <c r="W2966" s="376"/>
      <c r="X2966" s="326">
        <v>44652</v>
      </c>
      <c r="Y2966" s="193"/>
    </row>
    <row r="2967" s="3" customFormat="1" customHeight="1" spans="1:25">
      <c r="A2967" s="310" t="s">
        <v>448</v>
      </c>
      <c r="B2967" s="310" t="s">
        <v>3037</v>
      </c>
      <c r="C2967" s="35" t="s">
        <v>188</v>
      </c>
      <c r="D2967" s="310" t="s">
        <v>3038</v>
      </c>
      <c r="E2967" s="170" t="s">
        <v>3908</v>
      </c>
      <c r="F2967" s="135" t="s">
        <v>3909</v>
      </c>
      <c r="G2967" s="140" t="s">
        <v>88</v>
      </c>
      <c r="H2967" s="140" t="s">
        <v>3910</v>
      </c>
      <c r="I2967" s="30" t="e">
        <f>VLOOKUP(H2967,'合同高级查询数据-4月返'!A:A,1,FALSE)</f>
        <v>#N/A</v>
      </c>
      <c r="J2967" s="140" t="s">
        <v>162</v>
      </c>
      <c r="K2967" s="370" t="s">
        <v>3909</v>
      </c>
      <c r="L2967" s="366"/>
      <c r="M2967" s="315" t="s">
        <v>3916</v>
      </c>
      <c r="N2967" s="143">
        <v>44732</v>
      </c>
      <c r="O2967" s="143" t="s">
        <v>163</v>
      </c>
      <c r="P2967" s="371">
        <v>0</v>
      </c>
      <c r="Q2967" s="145">
        <v>-3</v>
      </c>
      <c r="R2967" s="126">
        <f t="shared" si="94"/>
        <v>0</v>
      </c>
      <c r="S2967" s="322">
        <v>202304</v>
      </c>
      <c r="T2967" s="380" t="s">
        <v>3923</v>
      </c>
      <c r="U2967" s="349"/>
      <c r="V2967" s="376"/>
      <c r="W2967" s="376"/>
      <c r="X2967" s="326">
        <v>45017</v>
      </c>
      <c r="Y2967" s="193"/>
    </row>
    <row r="2968" s="3" customFormat="1" customHeight="1" spans="1:25">
      <c r="A2968" s="310" t="s">
        <v>448</v>
      </c>
      <c r="B2968" s="310" t="s">
        <v>3037</v>
      </c>
      <c r="C2968" s="35" t="s">
        <v>188</v>
      </c>
      <c r="D2968" s="310" t="s">
        <v>3038</v>
      </c>
      <c r="E2968" s="170" t="s">
        <v>3908</v>
      </c>
      <c r="F2968" s="135" t="s">
        <v>3909</v>
      </c>
      <c r="G2968" s="140" t="s">
        <v>31</v>
      </c>
      <c r="H2968" s="140" t="s">
        <v>3919</v>
      </c>
      <c r="I2968" s="30" t="e">
        <f>VLOOKUP(H2968,'合同高级查询数据-4月返'!A:A,1,FALSE)</f>
        <v>#N/A</v>
      </c>
      <c r="J2968" s="140" t="s">
        <v>3189</v>
      </c>
      <c r="K2968" s="370" t="s">
        <v>3920</v>
      </c>
      <c r="L2968" s="366"/>
      <c r="M2968" s="315" t="s">
        <v>3916</v>
      </c>
      <c r="N2968" s="143">
        <v>44682</v>
      </c>
      <c r="O2968" s="143" t="s">
        <v>37</v>
      </c>
      <c r="P2968" s="371">
        <v>0</v>
      </c>
      <c r="Q2968" s="145">
        <v>128</v>
      </c>
      <c r="R2968" s="126">
        <f t="shared" si="94"/>
        <v>0</v>
      </c>
      <c r="S2968" s="322">
        <v>202304</v>
      </c>
      <c r="T2968" s="380" t="s">
        <v>3924</v>
      </c>
      <c r="U2968" s="349"/>
      <c r="V2968" s="376"/>
      <c r="W2968" s="376"/>
      <c r="X2968" s="326">
        <v>44652</v>
      </c>
      <c r="Y2968" s="193"/>
    </row>
    <row r="2969" s="3" customFormat="1" customHeight="1" spans="1:25">
      <c r="A2969" s="310" t="s">
        <v>448</v>
      </c>
      <c r="B2969" s="310" t="s">
        <v>3037</v>
      </c>
      <c r="C2969" s="35" t="s">
        <v>188</v>
      </c>
      <c r="D2969" s="310" t="s">
        <v>3038</v>
      </c>
      <c r="E2969" s="170" t="s">
        <v>3908</v>
      </c>
      <c r="F2969" s="135" t="s">
        <v>3909</v>
      </c>
      <c r="G2969" s="140" t="s">
        <v>31</v>
      </c>
      <c r="H2969" s="140" t="s">
        <v>3919</v>
      </c>
      <c r="I2969" s="30" t="e">
        <f>VLOOKUP(H2969,'合同高级查询数据-4月返'!A:A,1,FALSE)</f>
        <v>#N/A</v>
      </c>
      <c r="J2969" s="140" t="s">
        <v>3189</v>
      </c>
      <c r="K2969" s="370" t="s">
        <v>3920</v>
      </c>
      <c r="L2969" s="366"/>
      <c r="M2969" s="315" t="s">
        <v>3916</v>
      </c>
      <c r="N2969" s="143">
        <v>44712</v>
      </c>
      <c r="O2969" s="143" t="s">
        <v>37</v>
      </c>
      <c r="P2969" s="371">
        <v>0</v>
      </c>
      <c r="Q2969" s="145">
        <v>-128</v>
      </c>
      <c r="R2969" s="126">
        <f t="shared" si="94"/>
        <v>0</v>
      </c>
      <c r="S2969" s="322">
        <v>202304</v>
      </c>
      <c r="T2969" s="380" t="s">
        <v>3925</v>
      </c>
      <c r="U2969" s="349"/>
      <c r="V2969" s="376"/>
      <c r="W2969" s="376"/>
      <c r="X2969" s="326">
        <v>44652</v>
      </c>
      <c r="Y2969" s="193"/>
    </row>
    <row r="2970" s="3" customFormat="1" customHeight="1" spans="1:25">
      <c r="A2970" s="310" t="s">
        <v>448</v>
      </c>
      <c r="B2970" s="310" t="s">
        <v>3037</v>
      </c>
      <c r="C2970" s="35" t="s">
        <v>188</v>
      </c>
      <c r="D2970" s="310" t="s">
        <v>3038</v>
      </c>
      <c r="E2970" s="170" t="s">
        <v>3926</v>
      </c>
      <c r="F2970" s="135" t="s">
        <v>3927</v>
      </c>
      <c r="G2970" s="140" t="s">
        <v>88</v>
      </c>
      <c r="H2970" s="140" t="s">
        <v>3928</v>
      </c>
      <c r="I2970" s="30" t="e">
        <f>VLOOKUP(H2970,'合同高级查询数据-4月返'!A:A,1,FALSE)</f>
        <v>#N/A</v>
      </c>
      <c r="J2970" s="140" t="s">
        <v>162</v>
      </c>
      <c r="K2970" s="370" t="s">
        <v>3929</v>
      </c>
      <c r="L2970" s="366"/>
      <c r="M2970" s="315" t="s">
        <v>3930</v>
      </c>
      <c r="N2970" s="143"/>
      <c r="O2970" s="143" t="s">
        <v>92</v>
      </c>
      <c r="P2970" s="371">
        <v>0</v>
      </c>
      <c r="Q2970" s="145">
        <v>2</v>
      </c>
      <c r="R2970" s="126">
        <f t="shared" si="94"/>
        <v>0</v>
      </c>
      <c r="S2970" s="322">
        <v>202304</v>
      </c>
      <c r="T2970" s="375" t="s">
        <v>3931</v>
      </c>
      <c r="U2970" s="349"/>
      <c r="V2970" s="376"/>
      <c r="W2970" s="376"/>
      <c r="X2970" s="193">
        <v>44927</v>
      </c>
      <c r="Y2970" s="193"/>
    </row>
    <row r="2971" s="3" customFormat="1" customHeight="1" spans="1:25">
      <c r="A2971" s="310" t="s">
        <v>448</v>
      </c>
      <c r="B2971" s="310" t="s">
        <v>3037</v>
      </c>
      <c r="C2971" s="35" t="s">
        <v>188</v>
      </c>
      <c r="D2971" s="310" t="s">
        <v>3038</v>
      </c>
      <c r="E2971" s="170" t="s">
        <v>3926</v>
      </c>
      <c r="F2971" s="135" t="s">
        <v>3927</v>
      </c>
      <c r="G2971" s="140" t="s">
        <v>88</v>
      </c>
      <c r="H2971" s="140" t="s">
        <v>3928</v>
      </c>
      <c r="I2971" s="30" t="e">
        <f>VLOOKUP(H2971,'合同高级查询数据-4月返'!A:A,1,FALSE)</f>
        <v>#N/A</v>
      </c>
      <c r="J2971" s="140" t="s">
        <v>162</v>
      </c>
      <c r="K2971" s="370" t="s">
        <v>3929</v>
      </c>
      <c r="L2971" s="366" t="s">
        <v>3932</v>
      </c>
      <c r="M2971" s="315" t="s">
        <v>3930</v>
      </c>
      <c r="N2971" s="143">
        <v>44287</v>
      </c>
      <c r="O2971" s="143" t="s">
        <v>92</v>
      </c>
      <c r="P2971" s="371">
        <v>0</v>
      </c>
      <c r="Q2971" s="145">
        <v>2</v>
      </c>
      <c r="R2971" s="126">
        <f t="shared" si="94"/>
        <v>0</v>
      </c>
      <c r="S2971" s="322">
        <v>202304</v>
      </c>
      <c r="T2971" s="375" t="s">
        <v>3933</v>
      </c>
      <c r="U2971" s="349"/>
      <c r="V2971" s="376"/>
      <c r="W2971" s="376"/>
      <c r="X2971" s="193">
        <v>44927</v>
      </c>
      <c r="Y2971" s="193"/>
    </row>
    <row r="2972" s="3" customFormat="1" customHeight="1" spans="1:25">
      <c r="A2972" s="310" t="s">
        <v>448</v>
      </c>
      <c r="B2972" s="310" t="s">
        <v>3037</v>
      </c>
      <c r="C2972" s="35" t="s">
        <v>188</v>
      </c>
      <c r="D2972" s="310" t="s">
        <v>3038</v>
      </c>
      <c r="E2972" s="170" t="s">
        <v>3926</v>
      </c>
      <c r="F2972" s="135" t="s">
        <v>3927</v>
      </c>
      <c r="G2972" s="140" t="s">
        <v>31</v>
      </c>
      <c r="H2972" s="140" t="s">
        <v>3928</v>
      </c>
      <c r="I2972" s="30" t="e">
        <f>VLOOKUP(H2972,'合同高级查询数据-4月返'!A:A,1,FALSE)</f>
        <v>#N/A</v>
      </c>
      <c r="J2972" s="140" t="s">
        <v>3189</v>
      </c>
      <c r="K2972" s="370" t="s">
        <v>3929</v>
      </c>
      <c r="L2972" s="366"/>
      <c r="M2972" s="315"/>
      <c r="N2972" s="143" t="s">
        <v>1329</v>
      </c>
      <c r="O2972" s="143" t="s">
        <v>37</v>
      </c>
      <c r="P2972" s="371">
        <v>0</v>
      </c>
      <c r="Q2972" s="145">
        <v>256</v>
      </c>
      <c r="R2972" s="126">
        <f t="shared" si="94"/>
        <v>0</v>
      </c>
      <c r="S2972" s="322">
        <v>202304</v>
      </c>
      <c r="T2972" s="375" t="s">
        <v>3934</v>
      </c>
      <c r="U2972" s="349"/>
      <c r="V2972" s="376"/>
      <c r="W2972" s="376"/>
      <c r="X2972" s="193">
        <v>44927</v>
      </c>
      <c r="Y2972" s="193"/>
    </row>
    <row r="2973" s="5" customFormat="1" customHeight="1" spans="1:25">
      <c r="A2973" s="307" t="s">
        <v>448</v>
      </c>
      <c r="B2973" s="307" t="s">
        <v>3037</v>
      </c>
      <c r="C2973" s="22" t="s">
        <v>188</v>
      </c>
      <c r="D2973" s="307" t="s">
        <v>3038</v>
      </c>
      <c r="E2973" s="161" t="s">
        <v>3926</v>
      </c>
      <c r="F2973" s="98" t="s">
        <v>3927</v>
      </c>
      <c r="G2973" s="309" t="s">
        <v>31</v>
      </c>
      <c r="H2973" s="309" t="s">
        <v>3935</v>
      </c>
      <c r="I2973" s="46" t="e">
        <f>VLOOKUP(H2973,'合同高级查询数据-4月返'!A:A,1,FALSE)</f>
        <v>#N/A</v>
      </c>
      <c r="J2973" s="309" t="s">
        <v>3189</v>
      </c>
      <c r="K2973" s="372" t="s">
        <v>3936</v>
      </c>
      <c r="L2973" s="373"/>
      <c r="M2973" s="312"/>
      <c r="N2973" s="265">
        <v>44287</v>
      </c>
      <c r="O2973" s="265" t="s">
        <v>37</v>
      </c>
      <c r="P2973" s="374">
        <v>0</v>
      </c>
      <c r="Q2973" s="164">
        <v>288</v>
      </c>
      <c r="R2973" s="117">
        <f t="shared" si="94"/>
        <v>0</v>
      </c>
      <c r="S2973" s="319">
        <v>202304</v>
      </c>
      <c r="T2973" s="377" t="s">
        <v>3937</v>
      </c>
      <c r="U2973" s="347"/>
      <c r="V2973" s="378"/>
      <c r="W2973" s="378"/>
      <c r="X2973" s="229">
        <v>44562</v>
      </c>
      <c r="Y2973" s="229"/>
    </row>
    <row r="2974" s="3" customFormat="1" customHeight="1" spans="1:25">
      <c r="A2974" s="310" t="s">
        <v>448</v>
      </c>
      <c r="B2974" s="310" t="s">
        <v>3037</v>
      </c>
      <c r="C2974" s="35" t="s">
        <v>3938</v>
      </c>
      <c r="D2974" s="35" t="s">
        <v>3939</v>
      </c>
      <c r="E2974" s="170" t="s">
        <v>3940</v>
      </c>
      <c r="F2974" s="135" t="s">
        <v>3941</v>
      </c>
      <c r="G2974" s="140" t="s">
        <v>31</v>
      </c>
      <c r="H2974" s="339" t="s">
        <v>3942</v>
      </c>
      <c r="I2974" s="30" t="e">
        <f>VLOOKUP(H2974,'合同高级查询数据-4月返'!A:A,1,FALSE)</f>
        <v>#N/A</v>
      </c>
      <c r="J2974" s="140" t="s">
        <v>3189</v>
      </c>
      <c r="K2974" s="370" t="s">
        <v>3943</v>
      </c>
      <c r="L2974" s="366"/>
      <c r="M2974" s="315"/>
      <c r="N2974" s="143">
        <v>43398</v>
      </c>
      <c r="O2974" s="143" t="s">
        <v>37</v>
      </c>
      <c r="P2974" s="371">
        <v>0</v>
      </c>
      <c r="Q2974" s="145">
        <v>160</v>
      </c>
      <c r="R2974" s="126">
        <f t="shared" si="94"/>
        <v>0</v>
      </c>
      <c r="S2974" s="322">
        <v>202304</v>
      </c>
      <c r="T2974" s="375" t="s">
        <v>3944</v>
      </c>
      <c r="U2974" s="349"/>
      <c r="V2974" s="376"/>
      <c r="W2974" s="376"/>
      <c r="X2974" s="193">
        <v>44805</v>
      </c>
      <c r="Y2974" s="193"/>
    </row>
    <row r="2975" s="3" customFormat="1" customHeight="1" spans="1:25">
      <c r="A2975" s="310" t="s">
        <v>448</v>
      </c>
      <c r="B2975" s="310" t="s">
        <v>3037</v>
      </c>
      <c r="C2975" s="35" t="s">
        <v>3938</v>
      </c>
      <c r="D2975" s="35" t="s">
        <v>3939</v>
      </c>
      <c r="E2975" s="170" t="s">
        <v>3940</v>
      </c>
      <c r="F2975" s="135" t="s">
        <v>3941</v>
      </c>
      <c r="G2975" s="140" t="s">
        <v>31</v>
      </c>
      <c r="H2975" s="339" t="s">
        <v>3942</v>
      </c>
      <c r="I2975" s="30" t="e">
        <f>VLOOKUP(H2975,'合同高级查询数据-4月返'!A:A,1,FALSE)</f>
        <v>#N/A</v>
      </c>
      <c r="J2975" s="140" t="s">
        <v>3189</v>
      </c>
      <c r="K2975" s="370" t="s">
        <v>3945</v>
      </c>
      <c r="L2975" s="366"/>
      <c r="M2975" s="315"/>
      <c r="N2975" s="143">
        <v>43709</v>
      </c>
      <c r="O2975" s="143" t="s">
        <v>37</v>
      </c>
      <c r="P2975" s="371">
        <v>0</v>
      </c>
      <c r="Q2975" s="145">
        <v>160</v>
      </c>
      <c r="R2975" s="126">
        <f t="shared" si="94"/>
        <v>0</v>
      </c>
      <c r="S2975" s="322">
        <v>202304</v>
      </c>
      <c r="T2975" s="375" t="s">
        <v>3946</v>
      </c>
      <c r="U2975" s="349"/>
      <c r="V2975" s="376"/>
      <c r="W2975" s="376"/>
      <c r="X2975" s="193">
        <v>44805</v>
      </c>
      <c r="Y2975" s="193"/>
    </row>
    <row r="2976" s="3" customFormat="1" customHeight="1" spans="1:25">
      <c r="A2976" s="310" t="s">
        <v>448</v>
      </c>
      <c r="B2976" s="310" t="s">
        <v>3037</v>
      </c>
      <c r="C2976" s="35" t="s">
        <v>3938</v>
      </c>
      <c r="D2976" s="35" t="s">
        <v>3939</v>
      </c>
      <c r="E2976" s="170" t="s">
        <v>3940</v>
      </c>
      <c r="F2976" s="135" t="s">
        <v>3941</v>
      </c>
      <c r="G2976" s="140" t="s">
        <v>31</v>
      </c>
      <c r="H2976" s="339" t="s">
        <v>3942</v>
      </c>
      <c r="I2976" s="30" t="e">
        <f>VLOOKUP(H2976,'合同高级查询数据-4月返'!A:A,1,FALSE)</f>
        <v>#N/A</v>
      </c>
      <c r="J2976" s="140" t="s">
        <v>3189</v>
      </c>
      <c r="K2976" s="370" t="s">
        <v>3945</v>
      </c>
      <c r="L2976" s="366"/>
      <c r="M2976" s="315"/>
      <c r="N2976" s="143">
        <v>44681</v>
      </c>
      <c r="O2976" s="143" t="s">
        <v>37</v>
      </c>
      <c r="P2976" s="371">
        <v>0</v>
      </c>
      <c r="Q2976" s="145">
        <v>-160</v>
      </c>
      <c r="R2976" s="126">
        <f t="shared" si="94"/>
        <v>0</v>
      </c>
      <c r="S2976" s="322">
        <v>202304</v>
      </c>
      <c r="T2976" s="375" t="s">
        <v>3947</v>
      </c>
      <c r="U2976" s="349"/>
      <c r="V2976" s="376"/>
      <c r="W2976" s="376"/>
      <c r="X2976" s="193">
        <v>44805</v>
      </c>
      <c r="Y2976" s="193"/>
    </row>
    <row r="2977" s="3" customFormat="1" customHeight="1" spans="1:25">
      <c r="A2977" s="310" t="s">
        <v>448</v>
      </c>
      <c r="B2977" s="310" t="s">
        <v>3037</v>
      </c>
      <c r="C2977" s="35" t="s">
        <v>3938</v>
      </c>
      <c r="D2977" s="35" t="s">
        <v>3939</v>
      </c>
      <c r="E2977" s="170" t="s">
        <v>3940</v>
      </c>
      <c r="F2977" s="135" t="s">
        <v>3941</v>
      </c>
      <c r="G2977" s="140" t="s">
        <v>88</v>
      </c>
      <c r="H2977" s="339" t="s">
        <v>3942</v>
      </c>
      <c r="I2977" s="30" t="e">
        <f>VLOOKUP(H2977,'合同高级查询数据-4月返'!A:A,1,FALSE)</f>
        <v>#N/A</v>
      </c>
      <c r="J2977" s="140" t="s">
        <v>162</v>
      </c>
      <c r="K2977" s="370" t="s">
        <v>3943</v>
      </c>
      <c r="L2977" s="366"/>
      <c r="M2977" s="315" t="s">
        <v>3948</v>
      </c>
      <c r="N2977" s="143">
        <v>43398</v>
      </c>
      <c r="O2977" s="143" t="s">
        <v>702</v>
      </c>
      <c r="P2977" s="371">
        <v>3500</v>
      </c>
      <c r="Q2977" s="145">
        <v>2</v>
      </c>
      <c r="R2977" s="126">
        <f t="shared" si="94"/>
        <v>7000</v>
      </c>
      <c r="S2977" s="322">
        <v>202304</v>
      </c>
      <c r="T2977" s="375"/>
      <c r="U2977" s="349"/>
      <c r="V2977" s="376"/>
      <c r="W2977" s="376"/>
      <c r="X2977" s="193">
        <v>44805</v>
      </c>
      <c r="Y2977" s="193"/>
    </row>
    <row r="2978" s="3" customFormat="1" customHeight="1" spans="1:25">
      <c r="A2978" s="310" t="s">
        <v>448</v>
      </c>
      <c r="B2978" s="310" t="s">
        <v>3037</v>
      </c>
      <c r="C2978" s="35" t="s">
        <v>3938</v>
      </c>
      <c r="D2978" s="35" t="s">
        <v>3939</v>
      </c>
      <c r="E2978" s="170" t="s">
        <v>3940</v>
      </c>
      <c r="F2978" s="135" t="s">
        <v>3941</v>
      </c>
      <c r="G2978" s="140" t="s">
        <v>88</v>
      </c>
      <c r="H2978" s="339" t="s">
        <v>3942</v>
      </c>
      <c r="I2978" s="30" t="e">
        <f>VLOOKUP(H2978,'合同高级查询数据-4月返'!A:A,1,FALSE)</f>
        <v>#N/A</v>
      </c>
      <c r="J2978" s="140" t="s">
        <v>162</v>
      </c>
      <c r="K2978" s="370" t="s">
        <v>3945</v>
      </c>
      <c r="L2978" s="366"/>
      <c r="M2978" s="315" t="s">
        <v>3949</v>
      </c>
      <c r="N2978" s="143">
        <v>43709</v>
      </c>
      <c r="O2978" s="143" t="s">
        <v>702</v>
      </c>
      <c r="P2978" s="371">
        <v>3500</v>
      </c>
      <c r="Q2978" s="145">
        <v>3</v>
      </c>
      <c r="R2978" s="126">
        <f t="shared" si="94"/>
        <v>10500</v>
      </c>
      <c r="S2978" s="322">
        <v>202304</v>
      </c>
      <c r="T2978" s="375"/>
      <c r="U2978" s="349"/>
      <c r="V2978" s="376"/>
      <c r="W2978" s="376"/>
      <c r="X2978" s="193">
        <v>44805</v>
      </c>
      <c r="Y2978" s="193"/>
    </row>
    <row r="2979" s="3" customFormat="1" customHeight="1" spans="1:25">
      <c r="A2979" s="310" t="s">
        <v>448</v>
      </c>
      <c r="B2979" s="310" t="s">
        <v>3037</v>
      </c>
      <c r="C2979" s="35" t="s">
        <v>3938</v>
      </c>
      <c r="D2979" s="35" t="s">
        <v>3939</v>
      </c>
      <c r="E2979" s="170" t="s">
        <v>3940</v>
      </c>
      <c r="F2979" s="135" t="s">
        <v>3941</v>
      </c>
      <c r="G2979" s="140" t="s">
        <v>88</v>
      </c>
      <c r="H2979" s="339" t="s">
        <v>3942</v>
      </c>
      <c r="I2979" s="30" t="e">
        <f>VLOOKUP(H2979,'合同高级查询数据-4月返'!A:A,1,FALSE)</f>
        <v>#N/A</v>
      </c>
      <c r="J2979" s="140" t="s">
        <v>162</v>
      </c>
      <c r="K2979" s="370" t="s">
        <v>3945</v>
      </c>
      <c r="L2979" s="366"/>
      <c r="M2979" s="315" t="s">
        <v>3949</v>
      </c>
      <c r="N2979" s="143">
        <v>44681</v>
      </c>
      <c r="O2979" s="143" t="s">
        <v>702</v>
      </c>
      <c r="P2979" s="371">
        <v>3500</v>
      </c>
      <c r="Q2979" s="145">
        <v>-3</v>
      </c>
      <c r="R2979" s="126">
        <f t="shared" si="94"/>
        <v>-10500</v>
      </c>
      <c r="S2979" s="322">
        <v>202304</v>
      </c>
      <c r="T2979" s="375" t="s">
        <v>3950</v>
      </c>
      <c r="U2979" s="349"/>
      <c r="V2979" s="376"/>
      <c r="W2979" s="376"/>
      <c r="X2979" s="193">
        <v>44805</v>
      </c>
      <c r="Y2979" s="193"/>
    </row>
    <row r="2980" s="5" customFormat="1" customHeight="1" spans="1:25">
      <c r="A2980" s="307" t="s">
        <v>448</v>
      </c>
      <c r="B2980" s="307" t="s">
        <v>3037</v>
      </c>
      <c r="C2980" s="22" t="s">
        <v>3951</v>
      </c>
      <c r="D2980" s="307" t="s">
        <v>3038</v>
      </c>
      <c r="E2980" s="161" t="s">
        <v>3952</v>
      </c>
      <c r="F2980" s="98" t="s">
        <v>3953</v>
      </c>
      <c r="G2980" s="309" t="s">
        <v>88</v>
      </c>
      <c r="H2980" s="309" t="s">
        <v>3954</v>
      </c>
      <c r="I2980" s="46" t="e">
        <f>VLOOKUP(H2980,'合同高级查询数据-4月返'!A:A,1,FALSE)</f>
        <v>#N/A</v>
      </c>
      <c r="J2980" s="309" t="s">
        <v>162</v>
      </c>
      <c r="K2980" s="372" t="s">
        <v>3955</v>
      </c>
      <c r="L2980" s="373" t="s">
        <v>3956</v>
      </c>
      <c r="M2980" s="312" t="s">
        <v>3957</v>
      </c>
      <c r="N2980" s="265">
        <v>42370</v>
      </c>
      <c r="O2980" s="265" t="s">
        <v>92</v>
      </c>
      <c r="P2980" s="374">
        <v>0</v>
      </c>
      <c r="Q2980" s="164">
        <v>9</v>
      </c>
      <c r="R2980" s="117">
        <f t="shared" si="94"/>
        <v>0</v>
      </c>
      <c r="S2980" s="319">
        <v>202304</v>
      </c>
      <c r="T2980" s="377" t="s">
        <v>3958</v>
      </c>
      <c r="U2980" s="347"/>
      <c r="V2980" s="378"/>
      <c r="W2980" s="378"/>
      <c r="X2980" s="229">
        <v>44440</v>
      </c>
      <c r="Y2980" s="229">
        <v>45169</v>
      </c>
    </row>
    <row r="2981" s="5" customFormat="1" customHeight="1" spans="1:25">
      <c r="A2981" s="307" t="s">
        <v>448</v>
      </c>
      <c r="B2981" s="307" t="s">
        <v>3037</v>
      </c>
      <c r="C2981" s="22" t="s">
        <v>3951</v>
      </c>
      <c r="D2981" s="307" t="s">
        <v>3038</v>
      </c>
      <c r="E2981" s="161" t="s">
        <v>3952</v>
      </c>
      <c r="F2981" s="98" t="s">
        <v>3953</v>
      </c>
      <c r="G2981" s="309" t="s">
        <v>88</v>
      </c>
      <c r="H2981" s="309" t="s">
        <v>3954</v>
      </c>
      <c r="I2981" s="46" t="e">
        <f>VLOOKUP(H2981,'合同高级查询数据-4月返'!A:A,1,FALSE)</f>
        <v>#N/A</v>
      </c>
      <c r="J2981" s="309" t="s">
        <v>162</v>
      </c>
      <c r="K2981" s="372" t="s">
        <v>3959</v>
      </c>
      <c r="L2981" s="373"/>
      <c r="M2981" s="312" t="s">
        <v>3960</v>
      </c>
      <c r="N2981" s="265">
        <v>43483</v>
      </c>
      <c r="O2981" s="265" t="s">
        <v>92</v>
      </c>
      <c r="P2981" s="374">
        <v>0</v>
      </c>
      <c r="Q2981" s="164">
        <v>2</v>
      </c>
      <c r="R2981" s="117">
        <f t="shared" si="94"/>
        <v>0</v>
      </c>
      <c r="S2981" s="319">
        <v>202304</v>
      </c>
      <c r="T2981" s="377" t="s">
        <v>3961</v>
      </c>
      <c r="U2981" s="347"/>
      <c r="V2981" s="378"/>
      <c r="W2981" s="378"/>
      <c r="X2981" s="229">
        <v>44440</v>
      </c>
      <c r="Y2981" s="229">
        <v>45169</v>
      </c>
    </row>
    <row r="2982" s="5" customFormat="1" customHeight="1" spans="1:25">
      <c r="A2982" s="307" t="s">
        <v>448</v>
      </c>
      <c r="B2982" s="307" t="s">
        <v>3037</v>
      </c>
      <c r="C2982" s="22" t="s">
        <v>3951</v>
      </c>
      <c r="D2982" s="307" t="s">
        <v>3038</v>
      </c>
      <c r="E2982" s="161" t="s">
        <v>3952</v>
      </c>
      <c r="F2982" s="98" t="s">
        <v>3953</v>
      </c>
      <c r="G2982" s="309" t="s">
        <v>88</v>
      </c>
      <c r="H2982" s="309" t="s">
        <v>3954</v>
      </c>
      <c r="I2982" s="46" t="e">
        <f>VLOOKUP(H2982,'合同高级查询数据-4月返'!A:A,1,FALSE)</f>
        <v>#N/A</v>
      </c>
      <c r="J2982" s="309" t="s">
        <v>162</v>
      </c>
      <c r="K2982" s="372" t="s">
        <v>3959</v>
      </c>
      <c r="L2982" s="373"/>
      <c r="M2982" s="312" t="s">
        <v>3960</v>
      </c>
      <c r="N2982" s="265">
        <v>43483</v>
      </c>
      <c r="O2982" s="265" t="s">
        <v>92</v>
      </c>
      <c r="P2982" s="374">
        <v>0</v>
      </c>
      <c r="Q2982" s="164">
        <v>2</v>
      </c>
      <c r="R2982" s="117">
        <f t="shared" si="94"/>
        <v>0</v>
      </c>
      <c r="S2982" s="319">
        <v>202304</v>
      </c>
      <c r="T2982" s="377" t="s">
        <v>3961</v>
      </c>
      <c r="U2982" s="347"/>
      <c r="V2982" s="378"/>
      <c r="W2982" s="378"/>
      <c r="X2982" s="229">
        <v>44440</v>
      </c>
      <c r="Y2982" s="229">
        <v>45169</v>
      </c>
    </row>
    <row r="2983" s="5" customFormat="1" customHeight="1" spans="1:25">
      <c r="A2983" s="307" t="s">
        <v>448</v>
      </c>
      <c r="B2983" s="307" t="s">
        <v>3037</v>
      </c>
      <c r="C2983" s="22" t="s">
        <v>3951</v>
      </c>
      <c r="D2983" s="307" t="s">
        <v>3038</v>
      </c>
      <c r="E2983" s="161" t="s">
        <v>3952</v>
      </c>
      <c r="F2983" s="98" t="s">
        <v>3953</v>
      </c>
      <c r="G2983" s="309" t="s">
        <v>88</v>
      </c>
      <c r="H2983" s="309" t="s">
        <v>3954</v>
      </c>
      <c r="I2983" s="46" t="e">
        <f>VLOOKUP(H2983,'合同高级查询数据-4月返'!A:A,1,FALSE)</f>
        <v>#N/A</v>
      </c>
      <c r="J2983" s="309" t="s">
        <v>162</v>
      </c>
      <c r="K2983" s="372" t="s">
        <v>3959</v>
      </c>
      <c r="L2983" s="373"/>
      <c r="M2983" s="312" t="s">
        <v>3960</v>
      </c>
      <c r="N2983" s="265">
        <v>44712</v>
      </c>
      <c r="O2983" s="265" t="s">
        <v>92</v>
      </c>
      <c r="P2983" s="374">
        <v>0</v>
      </c>
      <c r="Q2983" s="164">
        <v>-4</v>
      </c>
      <c r="R2983" s="117">
        <f t="shared" si="94"/>
        <v>0</v>
      </c>
      <c r="S2983" s="319">
        <v>202304</v>
      </c>
      <c r="T2983" s="377" t="s">
        <v>3962</v>
      </c>
      <c r="U2983" s="347"/>
      <c r="V2983" s="378"/>
      <c r="W2983" s="378"/>
      <c r="X2983" s="229">
        <v>44440</v>
      </c>
      <c r="Y2983" s="229">
        <v>45169</v>
      </c>
    </row>
    <row r="2984" s="5" customFormat="1" customHeight="1" spans="1:25">
      <c r="A2984" s="307" t="s">
        <v>448</v>
      </c>
      <c r="B2984" s="307" t="s">
        <v>3037</v>
      </c>
      <c r="C2984" s="22" t="s">
        <v>3951</v>
      </c>
      <c r="D2984" s="307" t="s">
        <v>3038</v>
      </c>
      <c r="E2984" s="161" t="s">
        <v>3952</v>
      </c>
      <c r="F2984" s="98" t="s">
        <v>3953</v>
      </c>
      <c r="G2984" s="309" t="s">
        <v>88</v>
      </c>
      <c r="H2984" s="309" t="s">
        <v>3954</v>
      </c>
      <c r="I2984" s="46" t="e">
        <f>VLOOKUP(H2984,'合同高级查询数据-4月返'!A:A,1,FALSE)</f>
        <v>#N/A</v>
      </c>
      <c r="J2984" s="309" t="s">
        <v>162</v>
      </c>
      <c r="K2984" s="372"/>
      <c r="L2984" s="373" t="s">
        <v>3963</v>
      </c>
      <c r="M2984" s="312" t="s">
        <v>3957</v>
      </c>
      <c r="N2984" s="265">
        <v>43753</v>
      </c>
      <c r="O2984" s="265" t="s">
        <v>92</v>
      </c>
      <c r="P2984" s="374">
        <v>0</v>
      </c>
      <c r="Q2984" s="164">
        <v>5</v>
      </c>
      <c r="R2984" s="117">
        <f t="shared" si="94"/>
        <v>0</v>
      </c>
      <c r="S2984" s="319">
        <v>202304</v>
      </c>
      <c r="T2984" s="377" t="s">
        <v>3964</v>
      </c>
      <c r="U2984" s="347"/>
      <c r="V2984" s="378"/>
      <c r="W2984" s="378"/>
      <c r="X2984" s="229">
        <v>44440</v>
      </c>
      <c r="Y2984" s="229">
        <v>45169</v>
      </c>
    </row>
    <row r="2985" s="5" customFormat="1" customHeight="1" spans="1:25">
      <c r="A2985" s="307" t="s">
        <v>448</v>
      </c>
      <c r="B2985" s="307" t="s">
        <v>3037</v>
      </c>
      <c r="C2985" s="22" t="s">
        <v>3951</v>
      </c>
      <c r="D2985" s="307" t="s">
        <v>3038</v>
      </c>
      <c r="E2985" s="161" t="s">
        <v>3952</v>
      </c>
      <c r="F2985" s="98" t="s">
        <v>3953</v>
      </c>
      <c r="G2985" s="309" t="s">
        <v>88</v>
      </c>
      <c r="H2985" s="309" t="s">
        <v>3954</v>
      </c>
      <c r="I2985" s="46" t="e">
        <f>VLOOKUP(H2985,'合同高级查询数据-4月返'!A:A,1,FALSE)</f>
        <v>#N/A</v>
      </c>
      <c r="J2985" s="309" t="s">
        <v>162</v>
      </c>
      <c r="K2985" s="372"/>
      <c r="L2985" s="373" t="s">
        <v>3963</v>
      </c>
      <c r="M2985" s="312" t="s">
        <v>3957</v>
      </c>
      <c r="N2985" s="265">
        <v>44712</v>
      </c>
      <c r="O2985" s="265" t="s">
        <v>92</v>
      </c>
      <c r="P2985" s="374">
        <v>0</v>
      </c>
      <c r="Q2985" s="164">
        <v>-5</v>
      </c>
      <c r="R2985" s="117">
        <f t="shared" si="94"/>
        <v>0</v>
      </c>
      <c r="S2985" s="319">
        <v>202304</v>
      </c>
      <c r="T2985" s="377" t="s">
        <v>3965</v>
      </c>
      <c r="U2985" s="347"/>
      <c r="V2985" s="378"/>
      <c r="W2985" s="378"/>
      <c r="X2985" s="229">
        <v>44440</v>
      </c>
      <c r="Y2985" s="229">
        <v>45169</v>
      </c>
    </row>
    <row r="2986" s="5" customFormat="1" customHeight="1" spans="1:25">
      <c r="A2986" s="307" t="s">
        <v>448</v>
      </c>
      <c r="B2986" s="307" t="s">
        <v>3037</v>
      </c>
      <c r="C2986" s="22" t="s">
        <v>3951</v>
      </c>
      <c r="D2986" s="307" t="s">
        <v>3038</v>
      </c>
      <c r="E2986" s="161" t="s">
        <v>3952</v>
      </c>
      <c r="F2986" s="98" t="s">
        <v>3953</v>
      </c>
      <c r="G2986" s="309" t="s">
        <v>88</v>
      </c>
      <c r="H2986" s="309" t="s">
        <v>3954</v>
      </c>
      <c r="I2986" s="46" t="e">
        <f>VLOOKUP(H2986,'合同高级查询数据-4月返'!A:A,1,FALSE)</f>
        <v>#N/A</v>
      </c>
      <c r="J2986" s="309" t="s">
        <v>162</v>
      </c>
      <c r="K2986" s="372"/>
      <c r="L2986" s="373" t="s">
        <v>3956</v>
      </c>
      <c r="M2986" s="312" t="s">
        <v>3957</v>
      </c>
      <c r="N2986" s="265">
        <v>44620</v>
      </c>
      <c r="O2986" s="265" t="s">
        <v>92</v>
      </c>
      <c r="P2986" s="374">
        <v>0</v>
      </c>
      <c r="Q2986" s="164">
        <v>-6</v>
      </c>
      <c r="R2986" s="117">
        <f t="shared" si="94"/>
        <v>0</v>
      </c>
      <c r="S2986" s="319">
        <v>202304</v>
      </c>
      <c r="T2986" s="377" t="s">
        <v>3966</v>
      </c>
      <c r="U2986" s="347"/>
      <c r="V2986" s="378"/>
      <c r="W2986" s="378"/>
      <c r="X2986" s="229">
        <v>44440</v>
      </c>
      <c r="Y2986" s="229">
        <v>45169</v>
      </c>
    </row>
    <row r="2987" s="5" customFormat="1" customHeight="1" spans="1:25">
      <c r="A2987" s="307" t="s">
        <v>448</v>
      </c>
      <c r="B2987" s="307" t="s">
        <v>3037</v>
      </c>
      <c r="C2987" s="22" t="s">
        <v>3951</v>
      </c>
      <c r="D2987" s="307" t="s">
        <v>3038</v>
      </c>
      <c r="E2987" s="161" t="s">
        <v>3952</v>
      </c>
      <c r="F2987" s="98" t="s">
        <v>3953</v>
      </c>
      <c r="G2987" s="309" t="s">
        <v>88</v>
      </c>
      <c r="H2987" s="309" t="s">
        <v>3954</v>
      </c>
      <c r="I2987" s="46" t="e">
        <f>VLOOKUP(H2987,'合同高级查询数据-4月返'!A:A,1,FALSE)</f>
        <v>#N/A</v>
      </c>
      <c r="J2987" s="309" t="s">
        <v>1287</v>
      </c>
      <c r="K2987" s="372" t="s">
        <v>3951</v>
      </c>
      <c r="L2987" s="373"/>
      <c r="M2987" s="312" t="s">
        <v>3967</v>
      </c>
      <c r="N2987" s="265">
        <v>43753</v>
      </c>
      <c r="O2987" s="265" t="s">
        <v>92</v>
      </c>
      <c r="P2987" s="374">
        <v>0</v>
      </c>
      <c r="Q2987" s="164">
        <v>2</v>
      </c>
      <c r="R2987" s="117">
        <f t="shared" si="94"/>
        <v>0</v>
      </c>
      <c r="S2987" s="319">
        <v>202304</v>
      </c>
      <c r="T2987" s="377" t="s">
        <v>3968</v>
      </c>
      <c r="U2987" s="347"/>
      <c r="V2987" s="378"/>
      <c r="W2987" s="378"/>
      <c r="X2987" s="229">
        <v>44440</v>
      </c>
      <c r="Y2987" s="229">
        <v>45169</v>
      </c>
    </row>
    <row r="2988" s="5" customFormat="1" customHeight="1" spans="1:25">
      <c r="A2988" s="307" t="s">
        <v>448</v>
      </c>
      <c r="B2988" s="307" t="s">
        <v>3037</v>
      </c>
      <c r="C2988" s="22" t="s">
        <v>3951</v>
      </c>
      <c r="D2988" s="307" t="s">
        <v>3038</v>
      </c>
      <c r="E2988" s="161" t="s">
        <v>3952</v>
      </c>
      <c r="F2988" s="98" t="s">
        <v>3953</v>
      </c>
      <c r="G2988" s="309" t="s">
        <v>88</v>
      </c>
      <c r="H2988" s="309" t="s">
        <v>3954</v>
      </c>
      <c r="I2988" s="46" t="e">
        <f>VLOOKUP(H2988,'合同高级查询数据-4月返'!A:A,1,FALSE)</f>
        <v>#N/A</v>
      </c>
      <c r="J2988" s="309" t="s">
        <v>1287</v>
      </c>
      <c r="K2988" s="372" t="s">
        <v>3951</v>
      </c>
      <c r="L2988" s="373"/>
      <c r="M2988" s="312" t="s">
        <v>3967</v>
      </c>
      <c r="N2988" s="265">
        <v>43753</v>
      </c>
      <c r="O2988" s="265" t="s">
        <v>92</v>
      </c>
      <c r="P2988" s="374">
        <v>0</v>
      </c>
      <c r="Q2988" s="164">
        <v>2</v>
      </c>
      <c r="R2988" s="117">
        <f t="shared" si="94"/>
        <v>0</v>
      </c>
      <c r="S2988" s="319">
        <v>202304</v>
      </c>
      <c r="T2988" s="377" t="s">
        <v>3969</v>
      </c>
      <c r="U2988" s="347"/>
      <c r="V2988" s="378"/>
      <c r="W2988" s="378"/>
      <c r="X2988" s="229">
        <v>44440</v>
      </c>
      <c r="Y2988" s="229">
        <v>45169</v>
      </c>
    </row>
    <row r="2989" s="5" customFormat="1" customHeight="1" spans="1:25">
      <c r="A2989" s="307" t="s">
        <v>448</v>
      </c>
      <c r="B2989" s="307" t="s">
        <v>3037</v>
      </c>
      <c r="C2989" s="22" t="s">
        <v>3951</v>
      </c>
      <c r="D2989" s="307" t="s">
        <v>3038</v>
      </c>
      <c r="E2989" s="161" t="s">
        <v>3952</v>
      </c>
      <c r="F2989" s="98" t="s">
        <v>3953</v>
      </c>
      <c r="G2989" s="309" t="s">
        <v>31</v>
      </c>
      <c r="H2989" s="309" t="s">
        <v>3954</v>
      </c>
      <c r="I2989" s="46" t="e">
        <f>VLOOKUP(H2989,'合同高级查询数据-4月返'!A:A,1,FALSE)</f>
        <v>#N/A</v>
      </c>
      <c r="J2989" s="309" t="s">
        <v>3424</v>
      </c>
      <c r="K2989" s="372"/>
      <c r="L2989" s="373"/>
      <c r="M2989" s="312"/>
      <c r="N2989" s="265"/>
      <c r="O2989" s="265" t="s">
        <v>37</v>
      </c>
      <c r="P2989" s="374">
        <v>0</v>
      </c>
      <c r="Q2989" s="164">
        <v>480</v>
      </c>
      <c r="R2989" s="117">
        <f t="shared" si="94"/>
        <v>0</v>
      </c>
      <c r="S2989" s="319">
        <v>202304</v>
      </c>
      <c r="T2989" s="377" t="s">
        <v>3970</v>
      </c>
      <c r="U2989" s="347"/>
      <c r="V2989" s="378"/>
      <c r="W2989" s="378"/>
      <c r="X2989" s="229">
        <v>44440</v>
      </c>
      <c r="Y2989" s="229">
        <v>45169</v>
      </c>
    </row>
    <row r="2990" s="5" customFormat="1" customHeight="1" spans="1:25">
      <c r="A2990" s="307" t="s">
        <v>448</v>
      </c>
      <c r="B2990" s="307" t="s">
        <v>3037</v>
      </c>
      <c r="C2990" s="22" t="s">
        <v>3951</v>
      </c>
      <c r="D2990" s="307" t="s">
        <v>3038</v>
      </c>
      <c r="E2990" s="161" t="s">
        <v>3952</v>
      </c>
      <c r="F2990" s="98" t="s">
        <v>3953</v>
      </c>
      <c r="G2990" s="309" t="s">
        <v>31</v>
      </c>
      <c r="H2990" s="309" t="s">
        <v>3954</v>
      </c>
      <c r="I2990" s="46" t="e">
        <f>VLOOKUP(H2990,'合同高级查询数据-4月返'!A:A,1,FALSE)</f>
        <v>#N/A</v>
      </c>
      <c r="J2990" s="309" t="s">
        <v>3424</v>
      </c>
      <c r="K2990" s="372"/>
      <c r="L2990" s="373"/>
      <c r="M2990" s="312"/>
      <c r="N2990" s="265"/>
      <c r="O2990" s="265" t="s">
        <v>37</v>
      </c>
      <c r="P2990" s="374">
        <v>0</v>
      </c>
      <c r="Q2990" s="164">
        <v>32</v>
      </c>
      <c r="R2990" s="117">
        <f t="shared" si="94"/>
        <v>0</v>
      </c>
      <c r="S2990" s="319">
        <v>202304</v>
      </c>
      <c r="T2990" s="377" t="s">
        <v>3971</v>
      </c>
      <c r="U2990" s="347"/>
      <c r="V2990" s="378"/>
      <c r="W2990" s="378"/>
      <c r="X2990" s="229">
        <v>44440</v>
      </c>
      <c r="Y2990" s="229">
        <v>45169</v>
      </c>
    </row>
    <row r="2991" s="5" customFormat="1" customHeight="1" spans="1:25">
      <c r="A2991" s="307" t="s">
        <v>448</v>
      </c>
      <c r="B2991" s="307" t="s">
        <v>3037</v>
      </c>
      <c r="C2991" s="22" t="s">
        <v>3951</v>
      </c>
      <c r="D2991" s="307" t="s">
        <v>3038</v>
      </c>
      <c r="E2991" s="161" t="s">
        <v>3952</v>
      </c>
      <c r="F2991" s="98" t="s">
        <v>3953</v>
      </c>
      <c r="G2991" s="309" t="s">
        <v>31</v>
      </c>
      <c r="H2991" s="309" t="s">
        <v>3954</v>
      </c>
      <c r="I2991" s="46" t="e">
        <f>VLOOKUP(H2991,'合同高级查询数据-4月返'!A:A,1,FALSE)</f>
        <v>#N/A</v>
      </c>
      <c r="J2991" s="309" t="s">
        <v>3189</v>
      </c>
      <c r="K2991" s="372"/>
      <c r="L2991" s="373"/>
      <c r="M2991" s="312"/>
      <c r="N2991" s="265"/>
      <c r="O2991" s="265" t="s">
        <v>37</v>
      </c>
      <c r="P2991" s="374">
        <v>0</v>
      </c>
      <c r="Q2991" s="164">
        <v>800</v>
      </c>
      <c r="R2991" s="117">
        <f t="shared" si="94"/>
        <v>0</v>
      </c>
      <c r="S2991" s="319">
        <v>202304</v>
      </c>
      <c r="T2991" s="377" t="s">
        <v>3972</v>
      </c>
      <c r="U2991" s="347"/>
      <c r="V2991" s="378"/>
      <c r="W2991" s="378"/>
      <c r="X2991" s="229">
        <v>44440</v>
      </c>
      <c r="Y2991" s="229">
        <v>45169</v>
      </c>
    </row>
    <row r="2992" s="5" customFormat="1" customHeight="1" spans="1:25">
      <c r="A2992" s="307" t="s">
        <v>448</v>
      </c>
      <c r="B2992" s="307" t="s">
        <v>3037</v>
      </c>
      <c r="C2992" s="22" t="s">
        <v>3951</v>
      </c>
      <c r="D2992" s="307" t="s">
        <v>3038</v>
      </c>
      <c r="E2992" s="161" t="s">
        <v>3952</v>
      </c>
      <c r="F2992" s="98" t="s">
        <v>3953</v>
      </c>
      <c r="G2992" s="309" t="s">
        <v>31</v>
      </c>
      <c r="H2992" s="309" t="s">
        <v>3954</v>
      </c>
      <c r="I2992" s="46" t="e">
        <f>VLOOKUP(H2992,'合同高级查询数据-4月返'!A:A,1,FALSE)</f>
        <v>#N/A</v>
      </c>
      <c r="J2992" s="309" t="s">
        <v>3189</v>
      </c>
      <c r="K2992" s="372" t="s">
        <v>3959</v>
      </c>
      <c r="L2992" s="373"/>
      <c r="M2992" s="312"/>
      <c r="N2992" s="265">
        <v>44712</v>
      </c>
      <c r="O2992" s="265" t="s">
        <v>37</v>
      </c>
      <c r="P2992" s="374">
        <v>0</v>
      </c>
      <c r="Q2992" s="164">
        <v>-288</v>
      </c>
      <c r="R2992" s="117">
        <f t="shared" si="94"/>
        <v>0</v>
      </c>
      <c r="S2992" s="319">
        <v>202304</v>
      </c>
      <c r="T2992" s="377" t="s">
        <v>3973</v>
      </c>
      <c r="U2992" s="347"/>
      <c r="V2992" s="378"/>
      <c r="W2992" s="378"/>
      <c r="X2992" s="229">
        <v>44440</v>
      </c>
      <c r="Y2992" s="229">
        <v>45169</v>
      </c>
    </row>
    <row r="2993" s="5" customFormat="1" customHeight="1" spans="1:25">
      <c r="A2993" s="307" t="s">
        <v>448</v>
      </c>
      <c r="B2993" s="307" t="s">
        <v>3037</v>
      </c>
      <c r="C2993" s="22" t="s">
        <v>3951</v>
      </c>
      <c r="D2993" s="307" t="s">
        <v>3038</v>
      </c>
      <c r="E2993" s="161" t="s">
        <v>3952</v>
      </c>
      <c r="F2993" s="98" t="s">
        <v>3953</v>
      </c>
      <c r="G2993" s="309" t="s">
        <v>31</v>
      </c>
      <c r="H2993" s="309" t="s">
        <v>3954</v>
      </c>
      <c r="I2993" s="46" t="e">
        <f>VLOOKUP(H2993,'合同高级查询数据-4月返'!A:A,1,FALSE)</f>
        <v>#N/A</v>
      </c>
      <c r="J2993" s="309" t="s">
        <v>3189</v>
      </c>
      <c r="K2993" s="372"/>
      <c r="L2993" s="373" t="s">
        <v>3963</v>
      </c>
      <c r="M2993" s="312"/>
      <c r="N2993" s="265">
        <v>44712</v>
      </c>
      <c r="O2993" s="265" t="s">
        <v>37</v>
      </c>
      <c r="P2993" s="374">
        <v>0</v>
      </c>
      <c r="Q2993" s="164">
        <v>-256</v>
      </c>
      <c r="R2993" s="117">
        <f t="shared" si="94"/>
        <v>0</v>
      </c>
      <c r="S2993" s="319">
        <v>202304</v>
      </c>
      <c r="T2993" s="377" t="s">
        <v>3974</v>
      </c>
      <c r="U2993" s="347"/>
      <c r="V2993" s="378"/>
      <c r="W2993" s="378"/>
      <c r="X2993" s="229">
        <v>44440</v>
      </c>
      <c r="Y2993" s="229">
        <v>45169</v>
      </c>
    </row>
    <row r="2994" s="3" customFormat="1" customHeight="1" spans="1:25">
      <c r="A2994" s="310" t="s">
        <v>448</v>
      </c>
      <c r="B2994" s="310" t="s">
        <v>3037</v>
      </c>
      <c r="C2994" s="35" t="s">
        <v>227</v>
      </c>
      <c r="D2994" s="310" t="s">
        <v>3038</v>
      </c>
      <c r="E2994" s="356" t="s">
        <v>3975</v>
      </c>
      <c r="F2994" s="35" t="s">
        <v>3976</v>
      </c>
      <c r="G2994" s="140" t="s">
        <v>88</v>
      </c>
      <c r="H2994" s="140" t="s">
        <v>3977</v>
      </c>
      <c r="I2994" s="30" t="e">
        <f>VLOOKUP(H2994,'合同高级查询数据-4月返'!A:A,1,FALSE)</f>
        <v>#N/A</v>
      </c>
      <c r="J2994" s="140" t="s">
        <v>162</v>
      </c>
      <c r="K2994" s="370" t="s">
        <v>3978</v>
      </c>
      <c r="L2994" s="366"/>
      <c r="M2994" s="315" t="s">
        <v>3979</v>
      </c>
      <c r="N2994" s="143">
        <v>43101</v>
      </c>
      <c r="O2994" s="143" t="s">
        <v>702</v>
      </c>
      <c r="P2994" s="371">
        <v>0</v>
      </c>
      <c r="Q2994" s="145">
        <v>2</v>
      </c>
      <c r="R2994" s="126">
        <f t="shared" si="94"/>
        <v>0</v>
      </c>
      <c r="S2994" s="322">
        <v>202304</v>
      </c>
      <c r="T2994" s="375"/>
      <c r="U2994" s="349"/>
      <c r="V2994" s="376"/>
      <c r="W2994" s="376"/>
      <c r="X2994" s="193">
        <v>44774</v>
      </c>
      <c r="Y2994" s="193"/>
    </row>
    <row r="2995" s="3" customFormat="1" customHeight="1" spans="1:25">
      <c r="A2995" s="310" t="s">
        <v>448</v>
      </c>
      <c r="B2995" s="310" t="s">
        <v>3037</v>
      </c>
      <c r="C2995" s="35" t="s">
        <v>227</v>
      </c>
      <c r="D2995" s="310" t="s">
        <v>3038</v>
      </c>
      <c r="E2995" s="356" t="s">
        <v>3975</v>
      </c>
      <c r="F2995" s="35" t="s">
        <v>3976</v>
      </c>
      <c r="G2995" s="140" t="s">
        <v>88</v>
      </c>
      <c r="H2995" s="140" t="s">
        <v>3977</v>
      </c>
      <c r="I2995" s="30" t="e">
        <f>VLOOKUP(H2995,'合同高级查询数据-4月返'!A:A,1,FALSE)</f>
        <v>#N/A</v>
      </c>
      <c r="J2995" s="140" t="s">
        <v>162</v>
      </c>
      <c r="K2995" s="370" t="s">
        <v>3980</v>
      </c>
      <c r="L2995" s="366"/>
      <c r="M2995" s="315" t="s">
        <v>3979</v>
      </c>
      <c r="N2995" s="143">
        <v>43703</v>
      </c>
      <c r="O2995" s="143" t="s">
        <v>702</v>
      </c>
      <c r="P2995" s="371">
        <v>0</v>
      </c>
      <c r="Q2995" s="145">
        <v>2</v>
      </c>
      <c r="R2995" s="126">
        <f t="shared" si="94"/>
        <v>0</v>
      </c>
      <c r="S2995" s="322">
        <v>202304</v>
      </c>
      <c r="T2995" s="375" t="s">
        <v>3981</v>
      </c>
      <c r="U2995" s="349"/>
      <c r="V2995" s="376"/>
      <c r="W2995" s="376"/>
      <c r="X2995" s="193">
        <v>44774</v>
      </c>
      <c r="Y2995" s="193"/>
    </row>
    <row r="2996" s="3" customFormat="1" customHeight="1" spans="1:25">
      <c r="A2996" s="310" t="s">
        <v>448</v>
      </c>
      <c r="B2996" s="310" t="s">
        <v>3037</v>
      </c>
      <c r="C2996" s="35" t="s">
        <v>227</v>
      </c>
      <c r="D2996" s="310" t="s">
        <v>3038</v>
      </c>
      <c r="E2996" s="356" t="s">
        <v>3975</v>
      </c>
      <c r="F2996" s="35" t="s">
        <v>3976</v>
      </c>
      <c r="G2996" s="140" t="s">
        <v>88</v>
      </c>
      <c r="H2996" s="140" t="s">
        <v>3977</v>
      </c>
      <c r="I2996" s="30" t="e">
        <f>VLOOKUP(H2996,'合同高级查询数据-4月返'!A:A,1,FALSE)</f>
        <v>#N/A</v>
      </c>
      <c r="J2996" s="140" t="s">
        <v>162</v>
      </c>
      <c r="K2996" s="370" t="s">
        <v>3978</v>
      </c>
      <c r="L2996" s="366" t="s">
        <v>3978</v>
      </c>
      <c r="M2996" s="315" t="s">
        <v>3979</v>
      </c>
      <c r="N2996" s="143">
        <v>44097</v>
      </c>
      <c r="O2996" s="143" t="s">
        <v>702</v>
      </c>
      <c r="P2996" s="371">
        <v>0</v>
      </c>
      <c r="Q2996" s="145">
        <v>-1</v>
      </c>
      <c r="R2996" s="126">
        <f t="shared" si="94"/>
        <v>0</v>
      </c>
      <c r="S2996" s="322">
        <v>202304</v>
      </c>
      <c r="T2996" s="375" t="s">
        <v>3982</v>
      </c>
      <c r="U2996" s="349"/>
      <c r="V2996" s="376"/>
      <c r="W2996" s="376"/>
      <c r="X2996" s="193">
        <v>44774</v>
      </c>
      <c r="Y2996" s="193"/>
    </row>
    <row r="2997" s="3" customFormat="1" customHeight="1" spans="1:25">
      <c r="A2997" s="310" t="s">
        <v>448</v>
      </c>
      <c r="B2997" s="310" t="s">
        <v>3037</v>
      </c>
      <c r="C2997" s="35" t="s">
        <v>227</v>
      </c>
      <c r="D2997" s="310" t="s">
        <v>3038</v>
      </c>
      <c r="E2997" s="356" t="s">
        <v>3975</v>
      </c>
      <c r="F2997" s="35" t="s">
        <v>3976</v>
      </c>
      <c r="G2997" s="140" t="s">
        <v>88</v>
      </c>
      <c r="H2997" s="140" t="s">
        <v>3977</v>
      </c>
      <c r="I2997" s="30" t="e">
        <f>VLOOKUP(H2997,'合同高级查询数据-4月返'!A:A,1,FALSE)</f>
        <v>#N/A</v>
      </c>
      <c r="J2997" s="140" t="s">
        <v>162</v>
      </c>
      <c r="K2997" s="370" t="s">
        <v>3980</v>
      </c>
      <c r="L2997" s="366" t="s">
        <v>3980</v>
      </c>
      <c r="M2997" s="315" t="s">
        <v>3979</v>
      </c>
      <c r="N2997" s="143">
        <v>44098</v>
      </c>
      <c r="O2997" s="143" t="s">
        <v>702</v>
      </c>
      <c r="P2997" s="371">
        <v>0</v>
      </c>
      <c r="Q2997" s="145">
        <v>1</v>
      </c>
      <c r="R2997" s="126">
        <f t="shared" si="94"/>
        <v>0</v>
      </c>
      <c r="S2997" s="322">
        <v>202304</v>
      </c>
      <c r="T2997" s="375" t="s">
        <v>3983</v>
      </c>
      <c r="U2997" s="349"/>
      <c r="V2997" s="376"/>
      <c r="W2997" s="376"/>
      <c r="X2997" s="193">
        <v>44774</v>
      </c>
      <c r="Y2997" s="193"/>
    </row>
    <row r="2998" s="3" customFormat="1" customHeight="1" spans="1:25">
      <c r="A2998" s="310" t="s">
        <v>448</v>
      </c>
      <c r="B2998" s="310" t="s">
        <v>3037</v>
      </c>
      <c r="C2998" s="35" t="s">
        <v>227</v>
      </c>
      <c r="D2998" s="310" t="s">
        <v>3038</v>
      </c>
      <c r="E2998" s="356" t="s">
        <v>3975</v>
      </c>
      <c r="F2998" s="35" t="s">
        <v>3976</v>
      </c>
      <c r="G2998" s="140" t="s">
        <v>88</v>
      </c>
      <c r="H2998" s="140" t="s">
        <v>3977</v>
      </c>
      <c r="I2998" s="30" t="e">
        <f>VLOOKUP(H2998,'合同高级查询数据-4月返'!A:A,1,FALSE)</f>
        <v>#N/A</v>
      </c>
      <c r="J2998" s="140" t="s">
        <v>162</v>
      </c>
      <c r="K2998" s="370" t="s">
        <v>3978</v>
      </c>
      <c r="L2998" s="366" t="s">
        <v>3978</v>
      </c>
      <c r="M2998" s="315" t="s">
        <v>3979</v>
      </c>
      <c r="N2998" s="143">
        <v>44097</v>
      </c>
      <c r="O2998" s="143" t="s">
        <v>702</v>
      </c>
      <c r="P2998" s="371">
        <v>0</v>
      </c>
      <c r="Q2998" s="145">
        <v>-1</v>
      </c>
      <c r="R2998" s="126">
        <f t="shared" si="94"/>
        <v>0</v>
      </c>
      <c r="S2998" s="322">
        <v>202304</v>
      </c>
      <c r="T2998" s="375" t="s">
        <v>3984</v>
      </c>
      <c r="U2998" s="349"/>
      <c r="V2998" s="376"/>
      <c r="W2998" s="376"/>
      <c r="X2998" s="193">
        <v>44774</v>
      </c>
      <c r="Y2998" s="193"/>
    </row>
    <row r="2999" s="3" customFormat="1" customHeight="1" spans="1:25">
      <c r="A2999" s="310" t="s">
        <v>448</v>
      </c>
      <c r="B2999" s="310" t="s">
        <v>3037</v>
      </c>
      <c r="C2999" s="35" t="s">
        <v>227</v>
      </c>
      <c r="D2999" s="310" t="s">
        <v>3038</v>
      </c>
      <c r="E2999" s="356" t="s">
        <v>3975</v>
      </c>
      <c r="F2999" s="35" t="s">
        <v>3976</v>
      </c>
      <c r="G2999" s="140" t="s">
        <v>31</v>
      </c>
      <c r="H2999" s="140" t="s">
        <v>3977</v>
      </c>
      <c r="I2999" s="30" t="e">
        <f>VLOOKUP(H2999,'合同高级查询数据-4月返'!A:A,1,FALSE)</f>
        <v>#N/A</v>
      </c>
      <c r="J2999" s="140" t="s">
        <v>3189</v>
      </c>
      <c r="K2999" s="370"/>
      <c r="L2999" s="366"/>
      <c r="M2999" s="315"/>
      <c r="N2999" s="143" t="s">
        <v>1329</v>
      </c>
      <c r="O2999" s="143" t="s">
        <v>37</v>
      </c>
      <c r="P2999" s="371">
        <v>0</v>
      </c>
      <c r="Q2999" s="145">
        <v>512</v>
      </c>
      <c r="R2999" s="126">
        <f t="shared" si="94"/>
        <v>0</v>
      </c>
      <c r="S2999" s="322">
        <v>202304</v>
      </c>
      <c r="T2999" s="375" t="s">
        <v>3985</v>
      </c>
      <c r="U2999" s="349"/>
      <c r="V2999" s="376"/>
      <c r="W2999" s="376"/>
      <c r="X2999" s="193">
        <v>44774</v>
      </c>
      <c r="Y2999" s="193"/>
    </row>
    <row r="3000" s="3" customFormat="1" customHeight="1" spans="1:25">
      <c r="A3000" s="310" t="s">
        <v>448</v>
      </c>
      <c r="B3000" s="310" t="s">
        <v>3037</v>
      </c>
      <c r="C3000" s="35" t="s">
        <v>227</v>
      </c>
      <c r="D3000" s="310" t="s">
        <v>3038</v>
      </c>
      <c r="E3000" s="356" t="s">
        <v>3975</v>
      </c>
      <c r="F3000" s="35" t="s">
        <v>3976</v>
      </c>
      <c r="G3000" s="140" t="s">
        <v>31</v>
      </c>
      <c r="H3000" s="140" t="s">
        <v>3977</v>
      </c>
      <c r="I3000" s="30" t="e">
        <f>VLOOKUP(H3000,'合同高级查询数据-4月返'!A:A,1,FALSE)</f>
        <v>#N/A</v>
      </c>
      <c r="J3000" s="140" t="s">
        <v>3189</v>
      </c>
      <c r="K3000" s="370"/>
      <c r="L3000" s="366"/>
      <c r="M3000" s="315"/>
      <c r="N3000" s="143">
        <v>44097</v>
      </c>
      <c r="O3000" s="143" t="s">
        <v>37</v>
      </c>
      <c r="P3000" s="371">
        <v>0</v>
      </c>
      <c r="Q3000" s="145">
        <v>-256</v>
      </c>
      <c r="R3000" s="126">
        <f t="shared" si="94"/>
        <v>0</v>
      </c>
      <c r="S3000" s="322">
        <v>202304</v>
      </c>
      <c r="T3000" s="375" t="s">
        <v>3986</v>
      </c>
      <c r="U3000" s="349"/>
      <c r="V3000" s="376"/>
      <c r="W3000" s="376"/>
      <c r="X3000" s="193">
        <v>44774</v>
      </c>
      <c r="Y3000" s="193"/>
    </row>
    <row r="3001" s="3" customFormat="1" customHeight="1" spans="1:25">
      <c r="A3001" s="310" t="s">
        <v>448</v>
      </c>
      <c r="B3001" s="310" t="s">
        <v>3037</v>
      </c>
      <c r="C3001" s="35" t="s">
        <v>227</v>
      </c>
      <c r="D3001" s="310" t="s">
        <v>3038</v>
      </c>
      <c r="E3001" s="356" t="s">
        <v>3975</v>
      </c>
      <c r="F3001" s="35" t="s">
        <v>3976</v>
      </c>
      <c r="G3001" s="140" t="s">
        <v>31</v>
      </c>
      <c r="H3001" s="140" t="s">
        <v>3977</v>
      </c>
      <c r="I3001" s="30" t="e">
        <f>VLOOKUP(H3001,'合同高级查询数据-4月返'!A:A,1,FALSE)</f>
        <v>#N/A</v>
      </c>
      <c r="J3001" s="140" t="s">
        <v>3189</v>
      </c>
      <c r="K3001" s="370"/>
      <c r="L3001" s="366" t="s">
        <v>3980</v>
      </c>
      <c r="M3001" s="315"/>
      <c r="N3001" s="143">
        <v>44097</v>
      </c>
      <c r="O3001" s="143" t="s">
        <v>179</v>
      </c>
      <c r="P3001" s="371">
        <v>0</v>
      </c>
      <c r="Q3001" s="145">
        <v>-1</v>
      </c>
      <c r="R3001" s="126">
        <f t="shared" si="94"/>
        <v>0</v>
      </c>
      <c r="S3001" s="322">
        <v>202304</v>
      </c>
      <c r="T3001" s="375" t="s">
        <v>3987</v>
      </c>
      <c r="U3001" s="349"/>
      <c r="V3001" s="376"/>
      <c r="W3001" s="376"/>
      <c r="X3001" s="193">
        <v>44774</v>
      </c>
      <c r="Y3001" s="193"/>
    </row>
    <row r="3002" s="3" customFormat="1" customHeight="1" spans="1:25">
      <c r="A3002" s="310" t="s">
        <v>448</v>
      </c>
      <c r="B3002" s="310" t="s">
        <v>3037</v>
      </c>
      <c r="C3002" s="35" t="s">
        <v>227</v>
      </c>
      <c r="D3002" s="310" t="s">
        <v>3038</v>
      </c>
      <c r="E3002" s="356" t="s">
        <v>3975</v>
      </c>
      <c r="F3002" s="35" t="s">
        <v>3976</v>
      </c>
      <c r="G3002" s="140" t="s">
        <v>88</v>
      </c>
      <c r="H3002" s="140" t="s">
        <v>3977</v>
      </c>
      <c r="I3002" s="30" t="e">
        <f>VLOOKUP(H3002,'合同高级查询数据-4月返'!A:A,1,FALSE)</f>
        <v>#N/A</v>
      </c>
      <c r="J3002" s="140" t="s">
        <v>162</v>
      </c>
      <c r="K3002" s="370" t="s">
        <v>3988</v>
      </c>
      <c r="L3002" s="370" t="s">
        <v>3988</v>
      </c>
      <c r="M3002" s="315" t="s">
        <v>3979</v>
      </c>
      <c r="N3002" s="143">
        <v>44411</v>
      </c>
      <c r="O3002" s="143" t="s">
        <v>702</v>
      </c>
      <c r="P3002" s="371">
        <v>0</v>
      </c>
      <c r="Q3002" s="145">
        <v>2</v>
      </c>
      <c r="R3002" s="126">
        <f t="shared" si="94"/>
        <v>0</v>
      </c>
      <c r="S3002" s="322">
        <v>202304</v>
      </c>
      <c r="T3002" s="375" t="s">
        <v>3989</v>
      </c>
      <c r="U3002" s="349"/>
      <c r="V3002" s="376"/>
      <c r="W3002" s="376"/>
      <c r="X3002" s="193">
        <v>44774</v>
      </c>
      <c r="Y3002" s="193"/>
    </row>
    <row r="3003" s="3" customFormat="1" customHeight="1" spans="1:25">
      <c r="A3003" s="310" t="s">
        <v>448</v>
      </c>
      <c r="B3003" s="310" t="s">
        <v>3037</v>
      </c>
      <c r="C3003" s="35" t="s">
        <v>227</v>
      </c>
      <c r="D3003" s="310" t="s">
        <v>3038</v>
      </c>
      <c r="E3003" s="356" t="s">
        <v>3975</v>
      </c>
      <c r="F3003" s="35" t="s">
        <v>3976</v>
      </c>
      <c r="G3003" s="140" t="s">
        <v>88</v>
      </c>
      <c r="H3003" s="140" t="s">
        <v>3977</v>
      </c>
      <c r="I3003" s="30" t="e">
        <f>VLOOKUP(H3003,'合同高级查询数据-4月返'!A:A,1,FALSE)</f>
        <v>#N/A</v>
      </c>
      <c r="J3003" s="140" t="s">
        <v>162</v>
      </c>
      <c r="K3003" s="370" t="s">
        <v>3988</v>
      </c>
      <c r="L3003" s="370" t="s">
        <v>3988</v>
      </c>
      <c r="M3003" s="315" t="s">
        <v>3979</v>
      </c>
      <c r="N3003" s="143">
        <v>44469</v>
      </c>
      <c r="O3003" s="143" t="s">
        <v>702</v>
      </c>
      <c r="P3003" s="371">
        <v>0</v>
      </c>
      <c r="Q3003" s="145">
        <v>-2</v>
      </c>
      <c r="R3003" s="126">
        <f t="shared" si="94"/>
        <v>0</v>
      </c>
      <c r="S3003" s="322">
        <v>202304</v>
      </c>
      <c r="T3003" s="375" t="s">
        <v>3990</v>
      </c>
      <c r="U3003" s="349"/>
      <c r="V3003" s="376"/>
      <c r="W3003" s="376"/>
      <c r="X3003" s="193">
        <v>44774</v>
      </c>
      <c r="Y3003" s="193"/>
    </row>
    <row r="3004" s="3" customFormat="1" customHeight="1" spans="1:25">
      <c r="A3004" s="310" t="s">
        <v>448</v>
      </c>
      <c r="B3004" s="310" t="s">
        <v>3037</v>
      </c>
      <c r="C3004" s="35" t="s">
        <v>227</v>
      </c>
      <c r="D3004" s="310" t="s">
        <v>3038</v>
      </c>
      <c r="E3004" s="356" t="s">
        <v>3975</v>
      </c>
      <c r="F3004" s="35" t="s">
        <v>3976</v>
      </c>
      <c r="G3004" s="140" t="s">
        <v>31</v>
      </c>
      <c r="H3004" s="140" t="s">
        <v>3977</v>
      </c>
      <c r="I3004" s="30" t="e">
        <f>VLOOKUP(H3004,'合同高级查询数据-4月返'!A:A,1,FALSE)</f>
        <v>#N/A</v>
      </c>
      <c r="J3004" s="140" t="s">
        <v>3189</v>
      </c>
      <c r="K3004" s="370" t="s">
        <v>3988</v>
      </c>
      <c r="L3004" s="370" t="s">
        <v>3988</v>
      </c>
      <c r="M3004" s="315" t="s">
        <v>3979</v>
      </c>
      <c r="N3004" s="143">
        <v>44411</v>
      </c>
      <c r="O3004" s="143" t="s">
        <v>37</v>
      </c>
      <c r="P3004" s="371">
        <v>0</v>
      </c>
      <c r="Q3004" s="145">
        <v>160</v>
      </c>
      <c r="R3004" s="126">
        <f t="shared" si="94"/>
        <v>0</v>
      </c>
      <c r="S3004" s="322">
        <v>202304</v>
      </c>
      <c r="T3004" s="375" t="s">
        <v>3991</v>
      </c>
      <c r="U3004" s="349"/>
      <c r="V3004" s="376"/>
      <c r="W3004" s="376"/>
      <c r="X3004" s="193">
        <v>44774</v>
      </c>
      <c r="Y3004" s="193"/>
    </row>
    <row r="3005" s="3" customFormat="1" customHeight="1" spans="1:25">
      <c r="A3005" s="310" t="s">
        <v>448</v>
      </c>
      <c r="B3005" s="310" t="s">
        <v>3037</v>
      </c>
      <c r="C3005" s="35" t="s">
        <v>227</v>
      </c>
      <c r="D3005" s="310" t="s">
        <v>3038</v>
      </c>
      <c r="E3005" s="356" t="s">
        <v>3975</v>
      </c>
      <c r="F3005" s="35" t="s">
        <v>3976</v>
      </c>
      <c r="G3005" s="140" t="s">
        <v>31</v>
      </c>
      <c r="H3005" s="140" t="s">
        <v>3977</v>
      </c>
      <c r="I3005" s="30" t="e">
        <f>VLOOKUP(H3005,'合同高级查询数据-4月返'!A:A,1,FALSE)</f>
        <v>#N/A</v>
      </c>
      <c r="J3005" s="140" t="s">
        <v>3189</v>
      </c>
      <c r="K3005" s="370" t="s">
        <v>3988</v>
      </c>
      <c r="L3005" s="370" t="s">
        <v>3988</v>
      </c>
      <c r="M3005" s="315" t="s">
        <v>3979</v>
      </c>
      <c r="N3005" s="143">
        <v>44469</v>
      </c>
      <c r="O3005" s="143" t="s">
        <v>37</v>
      </c>
      <c r="P3005" s="371">
        <v>0</v>
      </c>
      <c r="Q3005" s="145">
        <v>-160</v>
      </c>
      <c r="R3005" s="126">
        <f t="shared" si="94"/>
        <v>0</v>
      </c>
      <c r="S3005" s="322">
        <v>202304</v>
      </c>
      <c r="T3005" s="375" t="s">
        <v>3990</v>
      </c>
      <c r="U3005" s="349"/>
      <c r="V3005" s="376"/>
      <c r="W3005" s="376"/>
      <c r="X3005" s="193">
        <v>44774</v>
      </c>
      <c r="Y3005" s="193"/>
    </row>
    <row r="3006" s="3" customFormat="1" customHeight="1" spans="1:25">
      <c r="A3006" s="310" t="s">
        <v>446</v>
      </c>
      <c r="B3006" s="310" t="s">
        <v>3037</v>
      </c>
      <c r="C3006" s="35" t="s">
        <v>3992</v>
      </c>
      <c r="D3006" s="35" t="s">
        <v>3939</v>
      </c>
      <c r="E3006" s="170" t="s">
        <v>3993</v>
      </c>
      <c r="F3006" s="135" t="s">
        <v>3994</v>
      </c>
      <c r="G3006" s="140" t="s">
        <v>88</v>
      </c>
      <c r="H3006" s="140" t="s">
        <v>3995</v>
      </c>
      <c r="I3006" s="30" t="e">
        <f>VLOOKUP(H3006,'合同高级查询数据-4月返'!A:A,1,FALSE)</f>
        <v>#N/A</v>
      </c>
      <c r="J3006" s="140" t="s">
        <v>162</v>
      </c>
      <c r="K3006" s="370" t="s">
        <v>3996</v>
      </c>
      <c r="L3006" s="366" t="s">
        <v>3997</v>
      </c>
      <c r="M3006" s="315" t="s">
        <v>3998</v>
      </c>
      <c r="N3006" s="143">
        <v>43459</v>
      </c>
      <c r="O3006" s="143" t="s">
        <v>3999</v>
      </c>
      <c r="P3006" s="371">
        <v>1640</v>
      </c>
      <c r="Q3006" s="145">
        <v>5</v>
      </c>
      <c r="R3006" s="126">
        <f t="shared" si="94"/>
        <v>8200</v>
      </c>
      <c r="S3006" s="322">
        <v>202304</v>
      </c>
      <c r="T3006" s="375" t="s">
        <v>4000</v>
      </c>
      <c r="U3006" s="349"/>
      <c r="V3006" s="376"/>
      <c r="W3006" s="376"/>
      <c r="X3006" s="34">
        <v>44986</v>
      </c>
      <c r="Y3006" s="34"/>
    </row>
    <row r="3007" s="3" customFormat="1" customHeight="1" spans="1:25">
      <c r="A3007" s="310" t="s">
        <v>446</v>
      </c>
      <c r="B3007" s="310" t="s">
        <v>3037</v>
      </c>
      <c r="C3007" s="35" t="s">
        <v>3992</v>
      </c>
      <c r="D3007" s="35" t="s">
        <v>3939</v>
      </c>
      <c r="E3007" s="170" t="s">
        <v>3993</v>
      </c>
      <c r="F3007" s="135" t="s">
        <v>3994</v>
      </c>
      <c r="G3007" s="140" t="s">
        <v>88</v>
      </c>
      <c r="H3007" s="140" t="s">
        <v>3995</v>
      </c>
      <c r="I3007" s="30" t="e">
        <f>VLOOKUP(H3007,'合同高级查询数据-4月返'!A:A,1,FALSE)</f>
        <v>#N/A</v>
      </c>
      <c r="J3007" s="140" t="s">
        <v>162</v>
      </c>
      <c r="K3007" s="370" t="s">
        <v>4001</v>
      </c>
      <c r="L3007" s="366"/>
      <c r="M3007" s="315" t="s">
        <v>3998</v>
      </c>
      <c r="N3007" s="143">
        <v>43003</v>
      </c>
      <c r="O3007" s="143" t="s">
        <v>3999</v>
      </c>
      <c r="P3007" s="371">
        <v>2050</v>
      </c>
      <c r="Q3007" s="145">
        <v>2</v>
      </c>
      <c r="R3007" s="126">
        <f t="shared" si="94"/>
        <v>4100</v>
      </c>
      <c r="S3007" s="322">
        <v>202304</v>
      </c>
      <c r="T3007" s="375" t="s">
        <v>4002</v>
      </c>
      <c r="U3007" s="349"/>
      <c r="V3007" s="376"/>
      <c r="W3007" s="376"/>
      <c r="X3007" s="34">
        <v>44986</v>
      </c>
      <c r="Y3007" s="34"/>
    </row>
    <row r="3008" s="3" customFormat="1" customHeight="1" spans="1:25">
      <c r="A3008" s="310" t="s">
        <v>446</v>
      </c>
      <c r="B3008" s="310" t="s">
        <v>3037</v>
      </c>
      <c r="C3008" s="35" t="s">
        <v>3992</v>
      </c>
      <c r="D3008" s="35" t="s">
        <v>3939</v>
      </c>
      <c r="E3008" s="170" t="s">
        <v>3993</v>
      </c>
      <c r="F3008" s="135" t="s">
        <v>3994</v>
      </c>
      <c r="G3008" s="140" t="s">
        <v>88</v>
      </c>
      <c r="H3008" s="140" t="s">
        <v>3995</v>
      </c>
      <c r="I3008" s="30" t="e">
        <f>VLOOKUP(H3008,'合同高级查询数据-4月返'!A:A,1,FALSE)</f>
        <v>#N/A</v>
      </c>
      <c r="J3008" s="140" t="s">
        <v>162</v>
      </c>
      <c r="K3008" s="370" t="s">
        <v>4003</v>
      </c>
      <c r="L3008" s="366"/>
      <c r="M3008" s="315" t="s">
        <v>3998</v>
      </c>
      <c r="N3008" s="143">
        <v>43047</v>
      </c>
      <c r="O3008" s="143" t="s">
        <v>3999</v>
      </c>
      <c r="P3008" s="371">
        <v>2050</v>
      </c>
      <c r="Q3008" s="145">
        <v>2</v>
      </c>
      <c r="R3008" s="126">
        <f t="shared" si="94"/>
        <v>4100</v>
      </c>
      <c r="S3008" s="322">
        <v>202304</v>
      </c>
      <c r="T3008" s="375" t="s">
        <v>4004</v>
      </c>
      <c r="U3008" s="349"/>
      <c r="V3008" s="376"/>
      <c r="W3008" s="376"/>
      <c r="X3008" s="34">
        <v>44986</v>
      </c>
      <c r="Y3008" s="34"/>
    </row>
    <row r="3009" s="3" customFormat="1" customHeight="1" spans="1:25">
      <c r="A3009" s="310" t="s">
        <v>446</v>
      </c>
      <c r="B3009" s="310" t="s">
        <v>3037</v>
      </c>
      <c r="C3009" s="35" t="s">
        <v>3992</v>
      </c>
      <c r="D3009" s="35" t="s">
        <v>3939</v>
      </c>
      <c r="E3009" s="170" t="s">
        <v>3993</v>
      </c>
      <c r="F3009" s="135" t="s">
        <v>3994</v>
      </c>
      <c r="G3009" s="140" t="s">
        <v>88</v>
      </c>
      <c r="H3009" s="140" t="s">
        <v>3995</v>
      </c>
      <c r="I3009" s="30" t="e">
        <f>VLOOKUP(H3009,'合同高级查询数据-4月返'!A:A,1,FALSE)</f>
        <v>#N/A</v>
      </c>
      <c r="J3009" s="140" t="s">
        <v>162</v>
      </c>
      <c r="K3009" s="370" t="s">
        <v>4003</v>
      </c>
      <c r="L3009" s="366"/>
      <c r="M3009" s="315" t="s">
        <v>3998</v>
      </c>
      <c r="N3009" s="143">
        <v>44104</v>
      </c>
      <c r="O3009" s="143" t="s">
        <v>3999</v>
      </c>
      <c r="P3009" s="371">
        <v>2050</v>
      </c>
      <c r="Q3009" s="145">
        <v>-2</v>
      </c>
      <c r="R3009" s="126">
        <f t="shared" si="94"/>
        <v>-4100</v>
      </c>
      <c r="S3009" s="322">
        <v>202304</v>
      </c>
      <c r="T3009" s="375" t="s">
        <v>4004</v>
      </c>
      <c r="U3009" s="349"/>
      <c r="V3009" s="376"/>
      <c r="W3009" s="376"/>
      <c r="X3009" s="34">
        <v>44986</v>
      </c>
      <c r="Y3009" s="34"/>
    </row>
    <row r="3010" s="3" customFormat="1" customHeight="1" spans="1:25">
      <c r="A3010" s="310" t="s">
        <v>446</v>
      </c>
      <c r="B3010" s="310" t="s">
        <v>3037</v>
      </c>
      <c r="C3010" s="35" t="s">
        <v>3992</v>
      </c>
      <c r="D3010" s="35" t="s">
        <v>3939</v>
      </c>
      <c r="E3010" s="170" t="s">
        <v>3993</v>
      </c>
      <c r="F3010" s="135" t="s">
        <v>3994</v>
      </c>
      <c r="G3010" s="140" t="s">
        <v>31</v>
      </c>
      <c r="H3010" s="140" t="s">
        <v>3995</v>
      </c>
      <c r="I3010" s="30" t="e">
        <f>VLOOKUP(H3010,'合同高级查询数据-4月返'!A:A,1,FALSE)</f>
        <v>#N/A</v>
      </c>
      <c r="J3010" s="140" t="s">
        <v>3189</v>
      </c>
      <c r="K3010" s="370" t="s">
        <v>4003</v>
      </c>
      <c r="L3010" s="366" t="s">
        <v>3994</v>
      </c>
      <c r="M3010" s="315"/>
      <c r="N3010" s="143">
        <v>43047</v>
      </c>
      <c r="O3010" s="143" t="s">
        <v>37</v>
      </c>
      <c r="P3010" s="371">
        <v>0</v>
      </c>
      <c r="Q3010" s="145">
        <v>256</v>
      </c>
      <c r="R3010" s="126">
        <f t="shared" si="94"/>
        <v>0</v>
      </c>
      <c r="S3010" s="322">
        <v>202304</v>
      </c>
      <c r="T3010" s="375" t="s">
        <v>4005</v>
      </c>
      <c r="U3010" s="349"/>
      <c r="V3010" s="376"/>
      <c r="W3010" s="376"/>
      <c r="X3010" s="34">
        <v>44986</v>
      </c>
      <c r="Y3010" s="34"/>
    </row>
    <row r="3011" s="3" customFormat="1" customHeight="1" spans="1:25">
      <c r="A3011" s="310" t="s">
        <v>446</v>
      </c>
      <c r="B3011" s="310" t="s">
        <v>3037</v>
      </c>
      <c r="C3011" s="35" t="s">
        <v>3992</v>
      </c>
      <c r="D3011" s="35" t="s">
        <v>3939</v>
      </c>
      <c r="E3011" s="170" t="s">
        <v>3993</v>
      </c>
      <c r="F3011" s="135" t="s">
        <v>3994</v>
      </c>
      <c r="G3011" s="140" t="s">
        <v>31</v>
      </c>
      <c r="H3011" s="140" t="s">
        <v>3995</v>
      </c>
      <c r="I3011" s="30" t="e">
        <f>VLOOKUP(H3011,'合同高级查询数据-4月返'!A:A,1,FALSE)</f>
        <v>#N/A</v>
      </c>
      <c r="J3011" s="140" t="s">
        <v>3189</v>
      </c>
      <c r="K3011" s="370" t="s">
        <v>4003</v>
      </c>
      <c r="L3011" s="366" t="s">
        <v>3994</v>
      </c>
      <c r="M3011" s="315"/>
      <c r="N3011" s="143">
        <v>44104</v>
      </c>
      <c r="O3011" s="143" t="s">
        <v>37</v>
      </c>
      <c r="P3011" s="371">
        <v>0</v>
      </c>
      <c r="Q3011" s="145">
        <v>-256</v>
      </c>
      <c r="R3011" s="126">
        <f t="shared" si="94"/>
        <v>0</v>
      </c>
      <c r="S3011" s="322">
        <v>202304</v>
      </c>
      <c r="T3011" s="375" t="s">
        <v>4006</v>
      </c>
      <c r="U3011" s="349"/>
      <c r="V3011" s="376"/>
      <c r="W3011" s="376"/>
      <c r="X3011" s="34">
        <v>44986</v>
      </c>
      <c r="Y3011" s="34"/>
    </row>
    <row r="3012" s="3" customFormat="1" customHeight="1" spans="1:25">
      <c r="A3012" s="310" t="s">
        <v>446</v>
      </c>
      <c r="B3012" s="310" t="s">
        <v>3037</v>
      </c>
      <c r="C3012" s="35" t="s">
        <v>3992</v>
      </c>
      <c r="D3012" s="35" t="s">
        <v>3939</v>
      </c>
      <c r="E3012" s="170" t="s">
        <v>3993</v>
      </c>
      <c r="F3012" s="135" t="s">
        <v>3994</v>
      </c>
      <c r="G3012" s="140" t="s">
        <v>31</v>
      </c>
      <c r="H3012" s="140" t="s">
        <v>3995</v>
      </c>
      <c r="I3012" s="30" t="e">
        <f>VLOOKUP(H3012,'合同高级查询数据-4月返'!A:A,1,FALSE)</f>
        <v>#N/A</v>
      </c>
      <c r="J3012" s="140" t="s">
        <v>3189</v>
      </c>
      <c r="K3012" s="370" t="s">
        <v>3996</v>
      </c>
      <c r="L3012" s="366" t="s">
        <v>4007</v>
      </c>
      <c r="M3012" s="315" t="s">
        <v>3998</v>
      </c>
      <c r="N3012" s="143">
        <v>43459</v>
      </c>
      <c r="O3012" s="143" t="s">
        <v>37</v>
      </c>
      <c r="P3012" s="371">
        <v>0</v>
      </c>
      <c r="Q3012" s="145">
        <v>288</v>
      </c>
      <c r="R3012" s="126">
        <f t="shared" si="94"/>
        <v>0</v>
      </c>
      <c r="S3012" s="322">
        <v>202304</v>
      </c>
      <c r="T3012" s="375" t="s">
        <v>4008</v>
      </c>
      <c r="U3012" s="349"/>
      <c r="V3012" s="376"/>
      <c r="W3012" s="376"/>
      <c r="X3012" s="34">
        <v>44986</v>
      </c>
      <c r="Y3012" s="34"/>
    </row>
    <row r="3013" s="3" customFormat="1" customHeight="1" spans="1:25">
      <c r="A3013" s="310" t="s">
        <v>446</v>
      </c>
      <c r="B3013" s="310" t="s">
        <v>3037</v>
      </c>
      <c r="C3013" s="35" t="s">
        <v>3992</v>
      </c>
      <c r="D3013" s="35" t="s">
        <v>3939</v>
      </c>
      <c r="E3013" s="170" t="s">
        <v>3993</v>
      </c>
      <c r="F3013" s="135" t="s">
        <v>3994</v>
      </c>
      <c r="G3013" s="140" t="s">
        <v>31</v>
      </c>
      <c r="H3013" s="140" t="s">
        <v>4009</v>
      </c>
      <c r="I3013" s="30" t="e">
        <f>VLOOKUP(H3013,'合同高级查询数据-4月返'!A:A,1,FALSE)</f>
        <v>#N/A</v>
      </c>
      <c r="J3013" s="140" t="s">
        <v>3189</v>
      </c>
      <c r="K3013" s="370" t="s">
        <v>4010</v>
      </c>
      <c r="L3013" s="366" t="s">
        <v>4011</v>
      </c>
      <c r="M3013" s="315" t="s">
        <v>3998</v>
      </c>
      <c r="N3013" s="143">
        <v>44378</v>
      </c>
      <c r="O3013" s="143" t="s">
        <v>37</v>
      </c>
      <c r="P3013" s="371">
        <v>0</v>
      </c>
      <c r="Q3013" s="145">
        <v>256</v>
      </c>
      <c r="R3013" s="126">
        <f t="shared" si="94"/>
        <v>0</v>
      </c>
      <c r="S3013" s="322">
        <v>202304</v>
      </c>
      <c r="T3013" s="375" t="s">
        <v>4012</v>
      </c>
      <c r="U3013" s="349"/>
      <c r="V3013" s="376"/>
      <c r="W3013" s="376"/>
      <c r="X3013" s="34">
        <v>44378</v>
      </c>
      <c r="Y3013" s="34"/>
    </row>
    <row r="3014" s="3" customFormat="1" customHeight="1" spans="1:25">
      <c r="A3014" s="310" t="s">
        <v>446</v>
      </c>
      <c r="B3014" s="310" t="s">
        <v>3037</v>
      </c>
      <c r="C3014" s="35" t="s">
        <v>3992</v>
      </c>
      <c r="D3014" s="35" t="s">
        <v>3939</v>
      </c>
      <c r="E3014" s="170" t="s">
        <v>3993</v>
      </c>
      <c r="F3014" s="135" t="s">
        <v>3994</v>
      </c>
      <c r="G3014" s="140" t="s">
        <v>31</v>
      </c>
      <c r="H3014" s="140" t="s">
        <v>3995</v>
      </c>
      <c r="I3014" s="30" t="e">
        <f>VLOOKUP(H3014,'合同高级查询数据-4月返'!A:A,1,FALSE)</f>
        <v>#N/A</v>
      </c>
      <c r="J3014" s="140" t="s">
        <v>3189</v>
      </c>
      <c r="K3014" s="370" t="s">
        <v>4001</v>
      </c>
      <c r="L3014" s="366" t="s">
        <v>4013</v>
      </c>
      <c r="M3014" s="315" t="s">
        <v>4014</v>
      </c>
      <c r="N3014" s="143">
        <v>43003</v>
      </c>
      <c r="O3014" s="143" t="s">
        <v>37</v>
      </c>
      <c r="P3014" s="371">
        <v>0</v>
      </c>
      <c r="Q3014" s="145">
        <v>256</v>
      </c>
      <c r="R3014" s="126">
        <f t="shared" si="94"/>
        <v>0</v>
      </c>
      <c r="S3014" s="322">
        <v>202304</v>
      </c>
      <c r="T3014" s="375" t="s">
        <v>4015</v>
      </c>
      <c r="U3014" s="349"/>
      <c r="V3014" s="376"/>
      <c r="W3014" s="376"/>
      <c r="X3014" s="34">
        <v>44986</v>
      </c>
      <c r="Y3014" s="34"/>
    </row>
    <row r="3015" s="5" customFormat="1" customHeight="1" spans="1:25">
      <c r="A3015" s="307" t="s">
        <v>446</v>
      </c>
      <c r="B3015" s="307" t="s">
        <v>3037</v>
      </c>
      <c r="C3015" s="22" t="s">
        <v>3992</v>
      </c>
      <c r="D3015" s="22" t="s">
        <v>3939</v>
      </c>
      <c r="E3015" s="161" t="s">
        <v>3993</v>
      </c>
      <c r="F3015" s="98" t="s">
        <v>3994</v>
      </c>
      <c r="G3015" s="309" t="s">
        <v>88</v>
      </c>
      <c r="H3015" s="309" t="s">
        <v>4016</v>
      </c>
      <c r="I3015" s="46" t="e">
        <f>VLOOKUP(H3015,'合同高级查询数据-4月返'!A:A,1,FALSE)</f>
        <v>#N/A</v>
      </c>
      <c r="J3015" s="309" t="s">
        <v>162</v>
      </c>
      <c r="K3015" s="372" t="s">
        <v>4001</v>
      </c>
      <c r="L3015" s="373" t="s">
        <v>4013</v>
      </c>
      <c r="M3015" s="312" t="s">
        <v>4014</v>
      </c>
      <c r="N3015" s="265">
        <v>44774</v>
      </c>
      <c r="O3015" s="265" t="s">
        <v>3999</v>
      </c>
      <c r="P3015" s="374">
        <v>2050</v>
      </c>
      <c r="Q3015" s="164">
        <v>2</v>
      </c>
      <c r="R3015" s="117">
        <f t="shared" si="94"/>
        <v>4100</v>
      </c>
      <c r="S3015" s="319">
        <v>202304</v>
      </c>
      <c r="T3015" s="377" t="s">
        <v>4017</v>
      </c>
      <c r="U3015" s="347"/>
      <c r="V3015" s="378"/>
      <c r="W3015" s="378"/>
      <c r="X3015" s="265">
        <v>44774</v>
      </c>
      <c r="Y3015" s="50"/>
    </row>
    <row r="3016" s="3" customFormat="1" customHeight="1" spans="1:25">
      <c r="A3016" s="310" t="s">
        <v>446</v>
      </c>
      <c r="B3016" s="310" t="s">
        <v>3037</v>
      </c>
      <c r="C3016" s="35" t="s">
        <v>3992</v>
      </c>
      <c r="D3016" s="35" t="s">
        <v>3939</v>
      </c>
      <c r="E3016" s="170" t="s">
        <v>3993</v>
      </c>
      <c r="F3016" s="135" t="s">
        <v>3994</v>
      </c>
      <c r="G3016" s="140" t="s">
        <v>31</v>
      </c>
      <c r="H3016" s="140" t="s">
        <v>3995</v>
      </c>
      <c r="I3016" s="30" t="e">
        <f>VLOOKUP(H3016,'合同高级查询数据-4月返'!A:A,1,FALSE)</f>
        <v>#N/A</v>
      </c>
      <c r="J3016" s="140" t="s">
        <v>3189</v>
      </c>
      <c r="K3016" s="370" t="s">
        <v>4018</v>
      </c>
      <c r="L3016" s="366"/>
      <c r="M3016" s="315"/>
      <c r="N3016" s="143"/>
      <c r="O3016" s="143" t="s">
        <v>179</v>
      </c>
      <c r="P3016" s="371">
        <v>0</v>
      </c>
      <c r="Q3016" s="145">
        <v>1</v>
      </c>
      <c r="R3016" s="126">
        <f t="shared" si="94"/>
        <v>0</v>
      </c>
      <c r="S3016" s="322">
        <v>202304</v>
      </c>
      <c r="T3016" s="375" t="s">
        <v>4019</v>
      </c>
      <c r="U3016" s="349"/>
      <c r="V3016" s="376"/>
      <c r="W3016" s="376"/>
      <c r="X3016" s="34">
        <v>44986</v>
      </c>
      <c r="Y3016" s="34"/>
    </row>
    <row r="3017" s="3" customFormat="1" customHeight="1" spans="1:25">
      <c r="A3017" s="310" t="s">
        <v>446</v>
      </c>
      <c r="B3017" s="310" t="s">
        <v>3037</v>
      </c>
      <c r="C3017" s="35" t="s">
        <v>3992</v>
      </c>
      <c r="D3017" s="35" t="s">
        <v>3939</v>
      </c>
      <c r="E3017" s="170" t="s">
        <v>3993</v>
      </c>
      <c r="F3017" s="135" t="s">
        <v>3994</v>
      </c>
      <c r="G3017" s="140" t="s">
        <v>31</v>
      </c>
      <c r="H3017" s="140" t="s">
        <v>3995</v>
      </c>
      <c r="I3017" s="30" t="e">
        <f>VLOOKUP(H3017,'合同高级查询数据-4月返'!A:A,1,FALSE)</f>
        <v>#N/A</v>
      </c>
      <c r="J3017" s="140" t="s">
        <v>3189</v>
      </c>
      <c r="K3017" s="370" t="s">
        <v>4001</v>
      </c>
      <c r="L3017" s="366"/>
      <c r="M3017" s="315"/>
      <c r="N3017" s="143"/>
      <c r="O3017" s="143" t="s">
        <v>179</v>
      </c>
      <c r="P3017" s="371">
        <v>0</v>
      </c>
      <c r="Q3017" s="145">
        <v>1</v>
      </c>
      <c r="R3017" s="126">
        <f t="shared" si="94"/>
        <v>0</v>
      </c>
      <c r="S3017" s="322">
        <v>202304</v>
      </c>
      <c r="T3017" s="375" t="s">
        <v>4020</v>
      </c>
      <c r="U3017" s="349"/>
      <c r="V3017" s="376"/>
      <c r="W3017" s="376"/>
      <c r="X3017" s="34">
        <v>44986</v>
      </c>
      <c r="Y3017" s="34"/>
    </row>
    <row r="3018" s="3" customFormat="1" customHeight="1" spans="1:25">
      <c r="A3018" s="310" t="s">
        <v>446</v>
      </c>
      <c r="B3018" s="310" t="s">
        <v>3037</v>
      </c>
      <c r="C3018" s="35" t="s">
        <v>275</v>
      </c>
      <c r="D3018" s="310" t="s">
        <v>3038</v>
      </c>
      <c r="E3018" s="170" t="s">
        <v>4021</v>
      </c>
      <c r="F3018" s="135" t="s">
        <v>4022</v>
      </c>
      <c r="G3018" s="140" t="s">
        <v>88</v>
      </c>
      <c r="H3018" s="140" t="s">
        <v>4023</v>
      </c>
      <c r="I3018" s="30" t="e">
        <f>VLOOKUP(H3018,'合同高级查询数据-4月返'!A:A,1,FALSE)</f>
        <v>#N/A</v>
      </c>
      <c r="J3018" s="140" t="s">
        <v>162</v>
      </c>
      <c r="K3018" s="370" t="s">
        <v>277</v>
      </c>
      <c r="L3018" s="366"/>
      <c r="M3018" s="315" t="s">
        <v>4024</v>
      </c>
      <c r="N3018" s="143" t="s">
        <v>4025</v>
      </c>
      <c r="O3018" s="143" t="s">
        <v>163</v>
      </c>
      <c r="P3018" s="371">
        <v>4167</v>
      </c>
      <c r="Q3018" s="145">
        <v>4</v>
      </c>
      <c r="R3018" s="126">
        <f t="shared" si="94"/>
        <v>16668</v>
      </c>
      <c r="S3018" s="322">
        <v>202304</v>
      </c>
      <c r="T3018" s="375" t="s">
        <v>4026</v>
      </c>
      <c r="U3018" s="349"/>
      <c r="V3018" s="376"/>
      <c r="W3018" s="376"/>
      <c r="X3018" s="34">
        <v>44986</v>
      </c>
      <c r="Y3018" s="34"/>
    </row>
    <row r="3019" s="3" customFormat="1" customHeight="1" spans="1:25">
      <c r="A3019" s="310" t="s">
        <v>446</v>
      </c>
      <c r="B3019" s="310" t="s">
        <v>3037</v>
      </c>
      <c r="C3019" s="35" t="s">
        <v>275</v>
      </c>
      <c r="D3019" s="310" t="s">
        <v>3038</v>
      </c>
      <c r="E3019" s="170" t="s">
        <v>4021</v>
      </c>
      <c r="F3019" s="135" t="s">
        <v>4022</v>
      </c>
      <c r="G3019" s="140" t="s">
        <v>31</v>
      </c>
      <c r="H3019" s="140" t="s">
        <v>4023</v>
      </c>
      <c r="I3019" s="30" t="e">
        <f>VLOOKUP(H3019,'合同高级查询数据-4月返'!A:A,1,FALSE)</f>
        <v>#N/A</v>
      </c>
      <c r="J3019" s="140" t="s">
        <v>3189</v>
      </c>
      <c r="K3019" s="370" t="s">
        <v>277</v>
      </c>
      <c r="L3019" s="366"/>
      <c r="M3019" s="315"/>
      <c r="N3019" s="143"/>
      <c r="O3019" s="143" t="s">
        <v>37</v>
      </c>
      <c r="P3019" s="371">
        <v>0</v>
      </c>
      <c r="Q3019" s="145">
        <v>288</v>
      </c>
      <c r="R3019" s="126">
        <f t="shared" ref="R3019:R3068" si="95">ROUND(P3019*Q3019,2)</f>
        <v>0</v>
      </c>
      <c r="S3019" s="322">
        <v>202304</v>
      </c>
      <c r="T3019" s="375" t="s">
        <v>4027</v>
      </c>
      <c r="U3019" s="349"/>
      <c r="V3019" s="376"/>
      <c r="W3019" s="376"/>
      <c r="X3019" s="34">
        <v>44986</v>
      </c>
      <c r="Y3019" s="34"/>
    </row>
    <row r="3020" s="3" customFormat="1" customHeight="1" spans="1:25">
      <c r="A3020" s="310" t="s">
        <v>446</v>
      </c>
      <c r="B3020" s="310" t="s">
        <v>3037</v>
      </c>
      <c r="C3020" s="35" t="s">
        <v>275</v>
      </c>
      <c r="D3020" s="310" t="s">
        <v>3038</v>
      </c>
      <c r="E3020" s="170" t="s">
        <v>4021</v>
      </c>
      <c r="F3020" s="135" t="s">
        <v>4022</v>
      </c>
      <c r="G3020" s="140" t="s">
        <v>31</v>
      </c>
      <c r="H3020" s="140" t="s">
        <v>4023</v>
      </c>
      <c r="I3020" s="30" t="e">
        <f>VLOOKUP(H3020,'合同高级查询数据-4月返'!A:A,1,FALSE)</f>
        <v>#N/A</v>
      </c>
      <c r="J3020" s="140" t="s">
        <v>3189</v>
      </c>
      <c r="K3020" s="370" t="s">
        <v>277</v>
      </c>
      <c r="L3020" s="366"/>
      <c r="M3020" s="315"/>
      <c r="N3020" s="143"/>
      <c r="O3020" s="143" t="s">
        <v>179</v>
      </c>
      <c r="P3020" s="371">
        <v>0</v>
      </c>
      <c r="Q3020" s="145">
        <v>2</v>
      </c>
      <c r="R3020" s="126">
        <f t="shared" si="95"/>
        <v>0</v>
      </c>
      <c r="S3020" s="322">
        <v>202304</v>
      </c>
      <c r="T3020" s="375" t="s">
        <v>4028</v>
      </c>
      <c r="U3020" s="349"/>
      <c r="V3020" s="376"/>
      <c r="W3020" s="376"/>
      <c r="X3020" s="34">
        <v>44986</v>
      </c>
      <c r="Y3020" s="34"/>
    </row>
    <row r="3021" s="3" customFormat="1" customHeight="1" spans="1:25">
      <c r="A3021" s="310" t="s">
        <v>446</v>
      </c>
      <c r="B3021" s="310" t="s">
        <v>3037</v>
      </c>
      <c r="C3021" s="35" t="s">
        <v>275</v>
      </c>
      <c r="D3021" s="310" t="s">
        <v>3038</v>
      </c>
      <c r="E3021" s="170" t="s">
        <v>4021</v>
      </c>
      <c r="F3021" s="135" t="s">
        <v>4022</v>
      </c>
      <c r="G3021" s="140" t="s">
        <v>88</v>
      </c>
      <c r="H3021" s="140" t="s">
        <v>4029</v>
      </c>
      <c r="I3021" s="30" t="e">
        <f>VLOOKUP(H3021,'合同高级查询数据-4月返'!A:A,1,FALSE)</f>
        <v>#N/A</v>
      </c>
      <c r="J3021" s="140" t="s">
        <v>162</v>
      </c>
      <c r="K3021" s="370" t="s">
        <v>277</v>
      </c>
      <c r="L3021" s="366" t="s">
        <v>4030</v>
      </c>
      <c r="M3021" s="315" t="s">
        <v>4024</v>
      </c>
      <c r="N3021" s="143">
        <v>44593</v>
      </c>
      <c r="O3021" s="143" t="s">
        <v>163</v>
      </c>
      <c r="P3021" s="371">
        <v>0</v>
      </c>
      <c r="Q3021" s="145">
        <v>3</v>
      </c>
      <c r="R3021" s="126">
        <f t="shared" si="95"/>
        <v>0</v>
      </c>
      <c r="S3021" s="322">
        <v>202304</v>
      </c>
      <c r="T3021" s="380" t="s">
        <v>4031</v>
      </c>
      <c r="U3021" s="349"/>
      <c r="V3021" s="376"/>
      <c r="W3021" s="376"/>
      <c r="X3021" s="193">
        <v>44593</v>
      </c>
      <c r="Y3021" s="34"/>
    </row>
    <row r="3022" s="3" customFormat="1" customHeight="1" spans="1:25">
      <c r="A3022" s="310" t="s">
        <v>446</v>
      </c>
      <c r="B3022" s="310" t="s">
        <v>3037</v>
      </c>
      <c r="C3022" s="35" t="s">
        <v>275</v>
      </c>
      <c r="D3022" s="310" t="s">
        <v>3038</v>
      </c>
      <c r="E3022" s="170" t="s">
        <v>4021</v>
      </c>
      <c r="F3022" s="135" t="s">
        <v>4022</v>
      </c>
      <c r="G3022" s="140" t="s">
        <v>88</v>
      </c>
      <c r="H3022" s="140" t="s">
        <v>4029</v>
      </c>
      <c r="I3022" s="30" t="e">
        <f>VLOOKUP(H3022,'合同高级查询数据-4月返'!A:A,1,FALSE)</f>
        <v>#N/A</v>
      </c>
      <c r="J3022" s="140" t="s">
        <v>162</v>
      </c>
      <c r="K3022" s="370" t="s">
        <v>277</v>
      </c>
      <c r="L3022" s="366" t="s">
        <v>4030</v>
      </c>
      <c r="M3022" s="315" t="s">
        <v>4024</v>
      </c>
      <c r="N3022" s="143">
        <v>44681</v>
      </c>
      <c r="O3022" s="143" t="s">
        <v>163</v>
      </c>
      <c r="P3022" s="371">
        <v>0</v>
      </c>
      <c r="Q3022" s="145">
        <v>-3</v>
      </c>
      <c r="R3022" s="126">
        <f t="shared" si="95"/>
        <v>0</v>
      </c>
      <c r="S3022" s="322">
        <v>202304</v>
      </c>
      <c r="T3022" s="380" t="s">
        <v>4032</v>
      </c>
      <c r="U3022" s="349"/>
      <c r="V3022" s="376"/>
      <c r="W3022" s="376"/>
      <c r="X3022" s="193">
        <v>44593</v>
      </c>
      <c r="Y3022" s="34"/>
    </row>
    <row r="3023" s="3" customFormat="1" customHeight="1" spans="1:25">
      <c r="A3023" s="310" t="s">
        <v>446</v>
      </c>
      <c r="B3023" s="310" t="s">
        <v>3037</v>
      </c>
      <c r="C3023" s="35" t="s">
        <v>275</v>
      </c>
      <c r="D3023" s="310" t="s">
        <v>3038</v>
      </c>
      <c r="E3023" s="170" t="s">
        <v>4021</v>
      </c>
      <c r="F3023" s="135" t="s">
        <v>4022</v>
      </c>
      <c r="G3023" s="140" t="s">
        <v>31</v>
      </c>
      <c r="H3023" s="140" t="s">
        <v>4029</v>
      </c>
      <c r="I3023" s="30" t="e">
        <f>VLOOKUP(H3023,'合同高级查询数据-4月返'!A:A,1,FALSE)</f>
        <v>#N/A</v>
      </c>
      <c r="J3023" s="140" t="s">
        <v>3189</v>
      </c>
      <c r="K3023" s="370" t="s">
        <v>277</v>
      </c>
      <c r="L3023" s="366" t="s">
        <v>4030</v>
      </c>
      <c r="M3023" s="315"/>
      <c r="N3023" s="143">
        <v>44593</v>
      </c>
      <c r="O3023" s="143" t="s">
        <v>37</v>
      </c>
      <c r="P3023" s="371">
        <v>0</v>
      </c>
      <c r="Q3023" s="145">
        <v>288</v>
      </c>
      <c r="R3023" s="126">
        <f t="shared" si="95"/>
        <v>0</v>
      </c>
      <c r="S3023" s="322">
        <v>202304</v>
      </c>
      <c r="T3023" s="380" t="s">
        <v>4033</v>
      </c>
      <c r="U3023" s="349"/>
      <c r="V3023" s="376"/>
      <c r="W3023" s="376"/>
      <c r="X3023" s="193">
        <v>44593</v>
      </c>
      <c r="Y3023" s="34"/>
    </row>
    <row r="3024" s="3" customFormat="1" customHeight="1" spans="1:25">
      <c r="A3024" s="310" t="s">
        <v>446</v>
      </c>
      <c r="B3024" s="310" t="s">
        <v>3037</v>
      </c>
      <c r="C3024" s="35" t="s">
        <v>275</v>
      </c>
      <c r="D3024" s="310" t="s">
        <v>3038</v>
      </c>
      <c r="E3024" s="170" t="s">
        <v>4021</v>
      </c>
      <c r="F3024" s="135" t="s">
        <v>4022</v>
      </c>
      <c r="G3024" s="140" t="s">
        <v>31</v>
      </c>
      <c r="H3024" s="140" t="s">
        <v>4029</v>
      </c>
      <c r="I3024" s="30" t="e">
        <f>VLOOKUP(H3024,'合同高级查询数据-4月返'!A:A,1,FALSE)</f>
        <v>#N/A</v>
      </c>
      <c r="J3024" s="140" t="s">
        <v>3189</v>
      </c>
      <c r="K3024" s="370" t="s">
        <v>277</v>
      </c>
      <c r="L3024" s="366" t="s">
        <v>4030</v>
      </c>
      <c r="M3024" s="315"/>
      <c r="N3024" s="143">
        <v>44681</v>
      </c>
      <c r="O3024" s="143" t="s">
        <v>37</v>
      </c>
      <c r="P3024" s="371">
        <v>0</v>
      </c>
      <c r="Q3024" s="145">
        <v>-288</v>
      </c>
      <c r="R3024" s="126">
        <f t="shared" si="95"/>
        <v>0</v>
      </c>
      <c r="S3024" s="322">
        <v>202304</v>
      </c>
      <c r="T3024" s="380" t="s">
        <v>4034</v>
      </c>
      <c r="U3024" s="349"/>
      <c r="V3024" s="376"/>
      <c r="W3024" s="376"/>
      <c r="X3024" s="193">
        <v>44593</v>
      </c>
      <c r="Y3024" s="34"/>
    </row>
    <row r="3025" s="5" customFormat="1" customHeight="1" spans="1:25">
      <c r="A3025" s="307" t="s">
        <v>446</v>
      </c>
      <c r="B3025" s="307" t="s">
        <v>3037</v>
      </c>
      <c r="C3025" s="22" t="s">
        <v>3992</v>
      </c>
      <c r="D3025" s="22" t="s">
        <v>3939</v>
      </c>
      <c r="E3025" s="161" t="s">
        <v>4035</v>
      </c>
      <c r="F3025" s="98" t="s">
        <v>4036</v>
      </c>
      <c r="G3025" s="309" t="s">
        <v>31</v>
      </c>
      <c r="H3025" s="309" t="s">
        <v>4037</v>
      </c>
      <c r="I3025" s="46" t="e">
        <f>VLOOKUP(H3025,'合同高级查询数据-4月返'!A:A,1,FALSE)</f>
        <v>#N/A</v>
      </c>
      <c r="J3025" s="309" t="s">
        <v>3189</v>
      </c>
      <c r="K3025" s="372" t="s">
        <v>339</v>
      </c>
      <c r="L3025" s="373"/>
      <c r="M3025" s="312"/>
      <c r="N3025" s="265">
        <v>43344</v>
      </c>
      <c r="O3025" s="265" t="s">
        <v>37</v>
      </c>
      <c r="P3025" s="374">
        <v>0</v>
      </c>
      <c r="Q3025" s="164">
        <v>416</v>
      </c>
      <c r="R3025" s="117">
        <f t="shared" si="95"/>
        <v>0</v>
      </c>
      <c r="S3025" s="319">
        <v>202304</v>
      </c>
      <c r="T3025" s="377" t="s">
        <v>4038</v>
      </c>
      <c r="U3025" s="347"/>
      <c r="V3025" s="378"/>
      <c r="W3025" s="378"/>
      <c r="X3025" s="229"/>
      <c r="Y3025" s="50"/>
    </row>
    <row r="3026" s="5" customFormat="1" customHeight="1" spans="1:25">
      <c r="A3026" s="307" t="s">
        <v>446</v>
      </c>
      <c r="B3026" s="307" t="s">
        <v>3037</v>
      </c>
      <c r="C3026" s="22" t="s">
        <v>3992</v>
      </c>
      <c r="D3026" s="22" t="s">
        <v>3939</v>
      </c>
      <c r="E3026" s="161" t="s">
        <v>4035</v>
      </c>
      <c r="F3026" s="98" t="s">
        <v>4036</v>
      </c>
      <c r="G3026" s="309" t="s">
        <v>31</v>
      </c>
      <c r="H3026" s="309" t="s">
        <v>4037</v>
      </c>
      <c r="I3026" s="46" t="e">
        <f>VLOOKUP(H3026,'合同高级查询数据-4月返'!A:A,1,FALSE)</f>
        <v>#N/A</v>
      </c>
      <c r="J3026" s="309" t="s">
        <v>3189</v>
      </c>
      <c r="K3026" s="372" t="s">
        <v>339</v>
      </c>
      <c r="L3026" s="373"/>
      <c r="M3026" s="312"/>
      <c r="N3026" s="265"/>
      <c r="O3026" s="265" t="s">
        <v>179</v>
      </c>
      <c r="P3026" s="374">
        <v>0</v>
      </c>
      <c r="Q3026" s="164">
        <v>1</v>
      </c>
      <c r="R3026" s="117">
        <f t="shared" si="95"/>
        <v>0</v>
      </c>
      <c r="S3026" s="319">
        <v>202304</v>
      </c>
      <c r="T3026" s="377" t="s">
        <v>4039</v>
      </c>
      <c r="U3026" s="347"/>
      <c r="V3026" s="378"/>
      <c r="W3026" s="378"/>
      <c r="X3026" s="229"/>
      <c r="Y3026" s="50"/>
    </row>
    <row r="3027" s="5" customFormat="1" customHeight="1" spans="1:25">
      <c r="A3027" s="307" t="s">
        <v>446</v>
      </c>
      <c r="B3027" s="307" t="s">
        <v>3037</v>
      </c>
      <c r="C3027" s="22" t="s">
        <v>3992</v>
      </c>
      <c r="D3027" s="22" t="s">
        <v>3939</v>
      </c>
      <c r="E3027" s="161" t="s">
        <v>4035</v>
      </c>
      <c r="F3027" s="98" t="s">
        <v>4036</v>
      </c>
      <c r="G3027" s="309" t="s">
        <v>88</v>
      </c>
      <c r="H3027" s="309" t="s">
        <v>4037</v>
      </c>
      <c r="I3027" s="46" t="e">
        <f>VLOOKUP(H3027,'合同高级查询数据-4月返'!A:A,1,FALSE)</f>
        <v>#N/A</v>
      </c>
      <c r="J3027" s="309" t="s">
        <v>162</v>
      </c>
      <c r="K3027" s="372" t="s">
        <v>339</v>
      </c>
      <c r="L3027" s="373"/>
      <c r="M3027" s="312" t="s">
        <v>4014</v>
      </c>
      <c r="N3027" s="265">
        <v>43344</v>
      </c>
      <c r="O3027" s="265" t="s">
        <v>3999</v>
      </c>
      <c r="P3027" s="374">
        <v>0</v>
      </c>
      <c r="Q3027" s="164">
        <v>4</v>
      </c>
      <c r="R3027" s="117">
        <f t="shared" si="95"/>
        <v>0</v>
      </c>
      <c r="S3027" s="319">
        <v>202304</v>
      </c>
      <c r="T3027" s="377" t="s">
        <v>4040</v>
      </c>
      <c r="U3027" s="347"/>
      <c r="V3027" s="378"/>
      <c r="W3027" s="378"/>
      <c r="X3027" s="229"/>
      <c r="Y3027" s="50"/>
    </row>
    <row r="3028" s="5" customFormat="1" customHeight="1" spans="1:25">
      <c r="A3028" s="307" t="s">
        <v>446</v>
      </c>
      <c r="B3028" s="307" t="s">
        <v>3037</v>
      </c>
      <c r="C3028" s="22" t="s">
        <v>3992</v>
      </c>
      <c r="D3028" s="22" t="s">
        <v>3939</v>
      </c>
      <c r="E3028" s="161" t="s">
        <v>4035</v>
      </c>
      <c r="F3028" s="98" t="s">
        <v>4036</v>
      </c>
      <c r="G3028" s="309" t="s">
        <v>88</v>
      </c>
      <c r="H3028" s="309" t="s">
        <v>4037</v>
      </c>
      <c r="I3028" s="46" t="e">
        <f>VLOOKUP(H3028,'合同高级查询数据-4月返'!A:A,1,FALSE)</f>
        <v>#N/A</v>
      </c>
      <c r="J3028" s="309" t="s">
        <v>162</v>
      </c>
      <c r="K3028" s="372" t="s">
        <v>339</v>
      </c>
      <c r="L3028" s="373"/>
      <c r="M3028" s="312" t="s">
        <v>4014</v>
      </c>
      <c r="N3028" s="265">
        <v>44681</v>
      </c>
      <c r="O3028" s="265" t="s">
        <v>3999</v>
      </c>
      <c r="P3028" s="374">
        <v>0</v>
      </c>
      <c r="Q3028" s="164">
        <v>-1</v>
      </c>
      <c r="R3028" s="117">
        <f t="shared" si="95"/>
        <v>0</v>
      </c>
      <c r="S3028" s="319">
        <v>202304</v>
      </c>
      <c r="T3028" s="377" t="s">
        <v>4041</v>
      </c>
      <c r="U3028" s="347"/>
      <c r="V3028" s="378"/>
      <c r="W3028" s="378"/>
      <c r="X3028" s="229"/>
      <c r="Y3028" s="50"/>
    </row>
    <row r="3029" s="5" customFormat="1" customHeight="1" spans="1:25">
      <c r="A3029" s="307" t="s">
        <v>446</v>
      </c>
      <c r="B3029" s="307" t="s">
        <v>3037</v>
      </c>
      <c r="C3029" s="22" t="s">
        <v>3992</v>
      </c>
      <c r="D3029" s="22" t="s">
        <v>3939</v>
      </c>
      <c r="E3029" s="161" t="s">
        <v>4035</v>
      </c>
      <c r="F3029" s="98" t="s">
        <v>4036</v>
      </c>
      <c r="G3029" s="309" t="s">
        <v>88</v>
      </c>
      <c r="H3029" s="309" t="s">
        <v>4037</v>
      </c>
      <c r="I3029" s="46" t="e">
        <f>VLOOKUP(H3029,'合同高级查询数据-4月返'!A:A,1,FALSE)</f>
        <v>#N/A</v>
      </c>
      <c r="J3029" s="309" t="s">
        <v>162</v>
      </c>
      <c r="K3029" s="372" t="s">
        <v>339</v>
      </c>
      <c r="L3029" s="373"/>
      <c r="M3029" s="312" t="s">
        <v>4014</v>
      </c>
      <c r="N3029" s="265">
        <v>43947</v>
      </c>
      <c r="O3029" s="265" t="s">
        <v>3999</v>
      </c>
      <c r="P3029" s="374">
        <v>0</v>
      </c>
      <c r="Q3029" s="164">
        <v>2</v>
      </c>
      <c r="R3029" s="117">
        <f t="shared" si="95"/>
        <v>0</v>
      </c>
      <c r="S3029" s="319">
        <v>202304</v>
      </c>
      <c r="T3029" s="377" t="s">
        <v>4042</v>
      </c>
      <c r="U3029" s="347"/>
      <c r="V3029" s="378"/>
      <c r="W3029" s="378"/>
      <c r="X3029" s="229"/>
      <c r="Y3029" s="50"/>
    </row>
    <row r="3030" s="3" customFormat="1" customHeight="1" spans="1:25">
      <c r="A3030" s="310" t="s">
        <v>446</v>
      </c>
      <c r="B3030" s="310" t="s">
        <v>3037</v>
      </c>
      <c r="C3030" s="35" t="s">
        <v>3992</v>
      </c>
      <c r="D3030" s="35" t="s">
        <v>3939</v>
      </c>
      <c r="E3030" s="170" t="s">
        <v>4035</v>
      </c>
      <c r="F3030" s="135" t="s">
        <v>4036</v>
      </c>
      <c r="G3030" s="140" t="s">
        <v>88</v>
      </c>
      <c r="H3030" s="140" t="s">
        <v>4043</v>
      </c>
      <c r="I3030" s="30" t="e">
        <f>VLOOKUP(H3030,'合同高级查询数据-4月返'!A:A,1,FALSE)</f>
        <v>#N/A</v>
      </c>
      <c r="J3030" s="140" t="s">
        <v>162</v>
      </c>
      <c r="K3030" s="370" t="s">
        <v>339</v>
      </c>
      <c r="L3030" s="366" t="s">
        <v>4044</v>
      </c>
      <c r="M3030" s="315" t="s">
        <v>4014</v>
      </c>
      <c r="N3030" s="143">
        <v>44682</v>
      </c>
      <c r="O3030" s="143" t="s">
        <v>3999</v>
      </c>
      <c r="P3030" s="371">
        <v>0</v>
      </c>
      <c r="Q3030" s="145">
        <v>1</v>
      </c>
      <c r="R3030" s="126">
        <f t="shared" si="95"/>
        <v>0</v>
      </c>
      <c r="S3030" s="322">
        <v>202304</v>
      </c>
      <c r="T3030" s="375" t="s">
        <v>4045</v>
      </c>
      <c r="U3030" s="349"/>
      <c r="V3030" s="376"/>
      <c r="W3030" s="376"/>
      <c r="X3030" s="193"/>
      <c r="Y3030" s="34"/>
    </row>
    <row r="3031" s="3" customFormat="1" customHeight="1" spans="1:25">
      <c r="A3031" s="310" t="s">
        <v>446</v>
      </c>
      <c r="B3031" s="310" t="s">
        <v>3037</v>
      </c>
      <c r="C3031" s="35" t="s">
        <v>3992</v>
      </c>
      <c r="D3031" s="35" t="s">
        <v>3939</v>
      </c>
      <c r="E3031" s="170" t="s">
        <v>4035</v>
      </c>
      <c r="F3031" s="135" t="s">
        <v>4036</v>
      </c>
      <c r="G3031" s="140" t="s">
        <v>88</v>
      </c>
      <c r="H3031" s="140" t="s">
        <v>4043</v>
      </c>
      <c r="I3031" s="30" t="e">
        <f>VLOOKUP(H3031,'合同高级查询数据-4月返'!A:A,1,FALSE)</f>
        <v>#N/A</v>
      </c>
      <c r="J3031" s="140" t="s">
        <v>162</v>
      </c>
      <c r="K3031" s="370" t="s">
        <v>339</v>
      </c>
      <c r="L3031" s="366" t="s">
        <v>4044</v>
      </c>
      <c r="M3031" s="315" t="s">
        <v>4014</v>
      </c>
      <c r="N3031" s="143">
        <v>44773</v>
      </c>
      <c r="O3031" s="143" t="s">
        <v>3999</v>
      </c>
      <c r="P3031" s="371">
        <v>0</v>
      </c>
      <c r="Q3031" s="145">
        <v>-1</v>
      </c>
      <c r="R3031" s="126">
        <f t="shared" si="95"/>
        <v>0</v>
      </c>
      <c r="S3031" s="322">
        <v>202304</v>
      </c>
      <c r="T3031" s="375" t="s">
        <v>4046</v>
      </c>
      <c r="U3031" s="349"/>
      <c r="V3031" s="376"/>
      <c r="W3031" s="376"/>
      <c r="X3031" s="193"/>
      <c r="Y3031" s="34"/>
    </row>
    <row r="3032" s="5" customFormat="1" customHeight="1" spans="1:25">
      <c r="A3032" s="307" t="s">
        <v>446</v>
      </c>
      <c r="B3032" s="307" t="s">
        <v>3037</v>
      </c>
      <c r="C3032" s="22" t="s">
        <v>3992</v>
      </c>
      <c r="D3032" s="22" t="s">
        <v>3939</v>
      </c>
      <c r="E3032" s="161" t="s">
        <v>4035</v>
      </c>
      <c r="F3032" s="98" t="s">
        <v>4036</v>
      </c>
      <c r="G3032" s="309" t="s">
        <v>88</v>
      </c>
      <c r="H3032" s="309" t="s">
        <v>4037</v>
      </c>
      <c r="I3032" s="46" t="e">
        <f>VLOOKUP(H3032,'合同高级查询数据-4月返'!A:A,1,FALSE)</f>
        <v>#N/A</v>
      </c>
      <c r="J3032" s="309" t="s">
        <v>162</v>
      </c>
      <c r="K3032" s="372" t="s">
        <v>339</v>
      </c>
      <c r="L3032" s="373"/>
      <c r="M3032" s="312" t="s">
        <v>4014</v>
      </c>
      <c r="N3032" s="265">
        <v>44739</v>
      </c>
      <c r="O3032" s="265" t="s">
        <v>3999</v>
      </c>
      <c r="P3032" s="374">
        <v>0</v>
      </c>
      <c r="Q3032" s="164">
        <v>-2</v>
      </c>
      <c r="R3032" s="117">
        <f t="shared" si="95"/>
        <v>0</v>
      </c>
      <c r="S3032" s="319">
        <v>202304</v>
      </c>
      <c r="T3032" s="377" t="s">
        <v>4047</v>
      </c>
      <c r="U3032" s="347"/>
      <c r="V3032" s="378"/>
      <c r="W3032" s="378"/>
      <c r="X3032" s="229"/>
      <c r="Y3032" s="50"/>
    </row>
    <row r="3033" s="5" customFormat="1" customHeight="1" spans="1:25">
      <c r="A3033" s="307" t="s">
        <v>446</v>
      </c>
      <c r="B3033" s="307" t="s">
        <v>3037</v>
      </c>
      <c r="C3033" s="22" t="s">
        <v>3992</v>
      </c>
      <c r="D3033" s="22" t="s">
        <v>3939</v>
      </c>
      <c r="E3033" s="161" t="s">
        <v>4035</v>
      </c>
      <c r="F3033" s="98" t="s">
        <v>4036</v>
      </c>
      <c r="G3033" s="309" t="s">
        <v>88</v>
      </c>
      <c r="H3033" s="309" t="s">
        <v>4037</v>
      </c>
      <c r="I3033" s="46" t="e">
        <f>VLOOKUP(H3033,'合同高级查询数据-4月返'!A:A,1,FALSE)</f>
        <v>#N/A</v>
      </c>
      <c r="J3033" s="309" t="s">
        <v>162</v>
      </c>
      <c r="K3033" s="372" t="s">
        <v>339</v>
      </c>
      <c r="L3033" s="373"/>
      <c r="M3033" s="312" t="s">
        <v>4014</v>
      </c>
      <c r="N3033" s="265">
        <v>44773</v>
      </c>
      <c r="O3033" s="265" t="s">
        <v>3999</v>
      </c>
      <c r="P3033" s="374">
        <v>0</v>
      </c>
      <c r="Q3033" s="164">
        <v>-3</v>
      </c>
      <c r="R3033" s="117">
        <f t="shared" si="95"/>
        <v>0</v>
      </c>
      <c r="S3033" s="319">
        <v>202304</v>
      </c>
      <c r="T3033" s="377" t="s">
        <v>4048</v>
      </c>
      <c r="U3033" s="347"/>
      <c r="V3033" s="378"/>
      <c r="W3033" s="378"/>
      <c r="X3033" s="229"/>
      <c r="Y3033" s="50"/>
    </row>
    <row r="3034" s="5" customFormat="1" customHeight="1" spans="1:25">
      <c r="A3034" s="307" t="s">
        <v>446</v>
      </c>
      <c r="B3034" s="307" t="s">
        <v>3037</v>
      </c>
      <c r="C3034" s="22" t="s">
        <v>3992</v>
      </c>
      <c r="D3034" s="22" t="s">
        <v>3939</v>
      </c>
      <c r="E3034" s="161" t="s">
        <v>4035</v>
      </c>
      <c r="F3034" s="98" t="s">
        <v>4036</v>
      </c>
      <c r="G3034" s="309" t="s">
        <v>31</v>
      </c>
      <c r="H3034" s="309" t="s">
        <v>4037</v>
      </c>
      <c r="I3034" s="46" t="e">
        <f>VLOOKUP(H3034,'合同高级查询数据-4月返'!A:A,1,FALSE)</f>
        <v>#N/A</v>
      </c>
      <c r="J3034" s="309" t="s">
        <v>3189</v>
      </c>
      <c r="K3034" s="372" t="s">
        <v>339</v>
      </c>
      <c r="L3034" s="373"/>
      <c r="M3034" s="312"/>
      <c r="N3034" s="265">
        <v>44773</v>
      </c>
      <c r="O3034" s="265" t="s">
        <v>37</v>
      </c>
      <c r="P3034" s="374">
        <v>0</v>
      </c>
      <c r="Q3034" s="164">
        <v>-416</v>
      </c>
      <c r="R3034" s="117">
        <f t="shared" si="95"/>
        <v>0</v>
      </c>
      <c r="S3034" s="319">
        <v>202304</v>
      </c>
      <c r="T3034" s="377" t="s">
        <v>4049</v>
      </c>
      <c r="U3034" s="347"/>
      <c r="V3034" s="378"/>
      <c r="W3034" s="378"/>
      <c r="X3034" s="229"/>
      <c r="Y3034" s="50"/>
    </row>
    <row r="3035" s="3" customFormat="1" customHeight="1" spans="1:25">
      <c r="A3035" s="310" t="s">
        <v>446</v>
      </c>
      <c r="B3035" s="310" t="s">
        <v>3037</v>
      </c>
      <c r="C3035" s="35" t="s">
        <v>3992</v>
      </c>
      <c r="D3035" s="35" t="s">
        <v>3939</v>
      </c>
      <c r="E3035" s="170" t="s">
        <v>4035</v>
      </c>
      <c r="F3035" s="135" t="s">
        <v>4036</v>
      </c>
      <c r="G3035" s="140" t="s">
        <v>31</v>
      </c>
      <c r="H3035" s="140" t="s">
        <v>4043</v>
      </c>
      <c r="I3035" s="30" t="e">
        <f>VLOOKUP(H3035,'合同高级查询数据-4月返'!A:A,1,FALSE)</f>
        <v>#N/A</v>
      </c>
      <c r="J3035" s="140" t="s">
        <v>3189</v>
      </c>
      <c r="K3035" s="370" t="s">
        <v>339</v>
      </c>
      <c r="L3035" s="366" t="s">
        <v>4044</v>
      </c>
      <c r="M3035" s="315" t="s">
        <v>4014</v>
      </c>
      <c r="N3035" s="143">
        <v>44682</v>
      </c>
      <c r="O3035" s="143" t="s">
        <v>37</v>
      </c>
      <c r="P3035" s="371">
        <v>0</v>
      </c>
      <c r="Q3035" s="145">
        <v>128</v>
      </c>
      <c r="R3035" s="126">
        <f t="shared" ref="R3035" si="96">ROUND(P3035*Q3035,2)</f>
        <v>0</v>
      </c>
      <c r="S3035" s="322">
        <v>202304</v>
      </c>
      <c r="T3035" s="375" t="s">
        <v>4050</v>
      </c>
      <c r="U3035" s="349"/>
      <c r="V3035" s="376"/>
      <c r="W3035" s="376"/>
      <c r="X3035" s="193"/>
      <c r="Y3035" s="34"/>
    </row>
    <row r="3036" s="3" customFormat="1" customHeight="1" spans="1:25">
      <c r="A3036" s="310" t="s">
        <v>446</v>
      </c>
      <c r="B3036" s="310" t="s">
        <v>3037</v>
      </c>
      <c r="C3036" s="35" t="s">
        <v>3992</v>
      </c>
      <c r="D3036" s="35" t="s">
        <v>3939</v>
      </c>
      <c r="E3036" s="170" t="s">
        <v>4035</v>
      </c>
      <c r="F3036" s="135" t="s">
        <v>4036</v>
      </c>
      <c r="G3036" s="140" t="s">
        <v>31</v>
      </c>
      <c r="H3036" s="140" t="s">
        <v>4043</v>
      </c>
      <c r="I3036" s="30" t="e">
        <f>VLOOKUP(H3036,'合同高级查询数据-4月返'!A:A,1,FALSE)</f>
        <v>#N/A</v>
      </c>
      <c r="J3036" s="140" t="s">
        <v>3189</v>
      </c>
      <c r="K3036" s="370" t="s">
        <v>339</v>
      </c>
      <c r="L3036" s="366" t="s">
        <v>4044</v>
      </c>
      <c r="M3036" s="315" t="s">
        <v>4014</v>
      </c>
      <c r="N3036" s="143">
        <v>44773</v>
      </c>
      <c r="O3036" s="143" t="s">
        <v>37</v>
      </c>
      <c r="P3036" s="371">
        <v>0</v>
      </c>
      <c r="Q3036" s="145">
        <v>-128</v>
      </c>
      <c r="R3036" s="126">
        <f t="shared" si="95"/>
        <v>0</v>
      </c>
      <c r="S3036" s="322">
        <v>202304</v>
      </c>
      <c r="T3036" s="375" t="s">
        <v>4051</v>
      </c>
      <c r="U3036" s="349"/>
      <c r="V3036" s="376"/>
      <c r="W3036" s="376"/>
      <c r="X3036" s="193"/>
      <c r="Y3036" s="34"/>
    </row>
    <row r="3037" s="3" customFormat="1" customHeight="1" spans="1:25">
      <c r="A3037" s="310" t="s">
        <v>446</v>
      </c>
      <c r="B3037" s="310" t="s">
        <v>3037</v>
      </c>
      <c r="C3037" s="35" t="s">
        <v>275</v>
      </c>
      <c r="D3037" s="310" t="s">
        <v>3038</v>
      </c>
      <c r="E3037" s="170" t="s">
        <v>4052</v>
      </c>
      <c r="F3037" s="135" t="s">
        <v>4053</v>
      </c>
      <c r="G3037" s="140" t="s">
        <v>88</v>
      </c>
      <c r="H3037" s="140" t="s">
        <v>4054</v>
      </c>
      <c r="I3037" s="30" t="e">
        <f>VLOOKUP(H3037,'合同高级查询数据-4月返'!A:A,1,FALSE)</f>
        <v>#N/A</v>
      </c>
      <c r="J3037" s="140" t="s">
        <v>162</v>
      </c>
      <c r="K3037" s="370" t="s">
        <v>4055</v>
      </c>
      <c r="L3037" s="366"/>
      <c r="M3037" s="315" t="s">
        <v>4056</v>
      </c>
      <c r="N3037" s="143">
        <v>43276</v>
      </c>
      <c r="O3037" s="143" t="s">
        <v>163</v>
      </c>
      <c r="P3037" s="371">
        <v>4167</v>
      </c>
      <c r="Q3037" s="145">
        <v>4</v>
      </c>
      <c r="R3037" s="126">
        <f t="shared" si="95"/>
        <v>16668</v>
      </c>
      <c r="S3037" s="322">
        <v>202304</v>
      </c>
      <c r="T3037" s="375" t="s">
        <v>4057</v>
      </c>
      <c r="U3037" s="349"/>
      <c r="V3037" s="376"/>
      <c r="W3037" s="376"/>
      <c r="X3037" s="34">
        <v>44986</v>
      </c>
      <c r="Y3037" s="34"/>
    </row>
    <row r="3038" s="3" customFormat="1" customHeight="1" spans="1:25">
      <c r="A3038" s="310" t="s">
        <v>446</v>
      </c>
      <c r="B3038" s="310" t="s">
        <v>3037</v>
      </c>
      <c r="C3038" s="35" t="s">
        <v>275</v>
      </c>
      <c r="D3038" s="310" t="s">
        <v>3038</v>
      </c>
      <c r="E3038" s="170" t="s">
        <v>4052</v>
      </c>
      <c r="F3038" s="135" t="s">
        <v>4053</v>
      </c>
      <c r="G3038" s="140" t="s">
        <v>31</v>
      </c>
      <c r="H3038" s="140" t="s">
        <v>4054</v>
      </c>
      <c r="I3038" s="30" t="e">
        <f>VLOOKUP(H3038,'合同高级查询数据-4月返'!A:A,1,FALSE)</f>
        <v>#N/A</v>
      </c>
      <c r="J3038" s="140" t="s">
        <v>3189</v>
      </c>
      <c r="K3038" s="370" t="s">
        <v>4055</v>
      </c>
      <c r="L3038" s="366"/>
      <c r="M3038" s="315" t="s">
        <v>4053</v>
      </c>
      <c r="N3038" s="143" t="s">
        <v>1329</v>
      </c>
      <c r="O3038" s="143" t="s">
        <v>37</v>
      </c>
      <c r="P3038" s="371">
        <v>0</v>
      </c>
      <c r="Q3038" s="145">
        <v>288</v>
      </c>
      <c r="R3038" s="126">
        <f t="shared" si="95"/>
        <v>0</v>
      </c>
      <c r="S3038" s="322">
        <v>202304</v>
      </c>
      <c r="T3038" s="375" t="s">
        <v>4058</v>
      </c>
      <c r="U3038" s="349"/>
      <c r="V3038" s="376"/>
      <c r="W3038" s="376"/>
      <c r="X3038" s="34">
        <v>44986</v>
      </c>
      <c r="Y3038" s="34"/>
    </row>
    <row r="3039" s="3" customFormat="1" customHeight="1" spans="1:25">
      <c r="A3039" s="310" t="s">
        <v>446</v>
      </c>
      <c r="B3039" s="310" t="s">
        <v>3037</v>
      </c>
      <c r="C3039" s="35" t="s">
        <v>275</v>
      </c>
      <c r="D3039" s="310" t="s">
        <v>3038</v>
      </c>
      <c r="E3039" s="170" t="s">
        <v>4052</v>
      </c>
      <c r="F3039" s="135" t="s">
        <v>4053</v>
      </c>
      <c r="G3039" s="140" t="s">
        <v>88</v>
      </c>
      <c r="H3039" s="339" t="s">
        <v>4059</v>
      </c>
      <c r="I3039" s="30" t="e">
        <f>VLOOKUP(H3039,'合同高级查询数据-4月返'!A:A,1,FALSE)</f>
        <v>#N/A</v>
      </c>
      <c r="J3039" s="140" t="s">
        <v>162</v>
      </c>
      <c r="K3039" s="370" t="s">
        <v>4060</v>
      </c>
      <c r="L3039" s="366"/>
      <c r="M3039" s="315" t="s">
        <v>4061</v>
      </c>
      <c r="N3039" s="143">
        <v>44562</v>
      </c>
      <c r="O3039" s="143" t="s">
        <v>702</v>
      </c>
      <c r="P3039" s="371">
        <v>0</v>
      </c>
      <c r="Q3039" s="145">
        <v>2</v>
      </c>
      <c r="R3039" s="126">
        <f t="shared" si="95"/>
        <v>0</v>
      </c>
      <c r="S3039" s="322">
        <v>202304</v>
      </c>
      <c r="T3039" s="380" t="s">
        <v>4062</v>
      </c>
      <c r="U3039" s="349"/>
      <c r="V3039" s="376"/>
      <c r="W3039" s="376"/>
      <c r="X3039" s="326">
        <v>44562</v>
      </c>
      <c r="Y3039" s="34"/>
    </row>
    <row r="3040" s="3" customFormat="1" customHeight="1" spans="1:25">
      <c r="A3040" s="310" t="s">
        <v>446</v>
      </c>
      <c r="B3040" s="310" t="s">
        <v>3037</v>
      </c>
      <c r="C3040" s="35" t="s">
        <v>275</v>
      </c>
      <c r="D3040" s="310" t="s">
        <v>3038</v>
      </c>
      <c r="E3040" s="170" t="s">
        <v>4052</v>
      </c>
      <c r="F3040" s="135" t="s">
        <v>4053</v>
      </c>
      <c r="G3040" s="140" t="s">
        <v>88</v>
      </c>
      <c r="H3040" s="339" t="s">
        <v>4059</v>
      </c>
      <c r="I3040" s="30" t="e">
        <f>VLOOKUP(H3040,'合同高级查询数据-4月返'!A:A,1,FALSE)</f>
        <v>#N/A</v>
      </c>
      <c r="J3040" s="140" t="s">
        <v>162</v>
      </c>
      <c r="K3040" s="370" t="s">
        <v>4060</v>
      </c>
      <c r="L3040" s="366"/>
      <c r="M3040" s="315" t="s">
        <v>4061</v>
      </c>
      <c r="N3040" s="143">
        <v>44651</v>
      </c>
      <c r="O3040" s="143" t="s">
        <v>702</v>
      </c>
      <c r="P3040" s="371">
        <v>0</v>
      </c>
      <c r="Q3040" s="145">
        <v>-2</v>
      </c>
      <c r="R3040" s="126">
        <f t="shared" si="95"/>
        <v>0</v>
      </c>
      <c r="S3040" s="322">
        <v>202304</v>
      </c>
      <c r="T3040" s="147" t="s">
        <v>4063</v>
      </c>
      <c r="U3040" s="349"/>
      <c r="V3040" s="376"/>
      <c r="W3040" s="376"/>
      <c r="X3040" s="326">
        <v>44562</v>
      </c>
      <c r="Y3040" s="34"/>
    </row>
    <row r="3041" s="3" customFormat="1" customHeight="1" spans="1:25">
      <c r="A3041" s="310" t="s">
        <v>446</v>
      </c>
      <c r="B3041" s="310" t="s">
        <v>3037</v>
      </c>
      <c r="C3041" s="35" t="s">
        <v>275</v>
      </c>
      <c r="D3041" s="310" t="s">
        <v>3038</v>
      </c>
      <c r="E3041" s="170" t="s">
        <v>4052</v>
      </c>
      <c r="F3041" s="135" t="s">
        <v>4053</v>
      </c>
      <c r="G3041" s="140" t="s">
        <v>31</v>
      </c>
      <c r="H3041" s="339" t="s">
        <v>4059</v>
      </c>
      <c r="I3041" s="30" t="e">
        <f>VLOOKUP(H3041,'合同高级查询数据-4月返'!A:A,1,FALSE)</f>
        <v>#N/A</v>
      </c>
      <c r="J3041" s="140" t="s">
        <v>3189</v>
      </c>
      <c r="K3041" s="370" t="s">
        <v>4060</v>
      </c>
      <c r="L3041" s="366"/>
      <c r="M3041" s="315" t="s">
        <v>4061</v>
      </c>
      <c r="N3041" s="143">
        <v>44562</v>
      </c>
      <c r="O3041" s="143" t="s">
        <v>37</v>
      </c>
      <c r="P3041" s="371">
        <v>0</v>
      </c>
      <c r="Q3041" s="145">
        <v>288</v>
      </c>
      <c r="R3041" s="126">
        <f t="shared" si="95"/>
        <v>0</v>
      </c>
      <c r="S3041" s="322">
        <v>202304</v>
      </c>
      <c r="T3041" s="380" t="s">
        <v>4064</v>
      </c>
      <c r="U3041" s="349"/>
      <c r="V3041" s="376"/>
      <c r="W3041" s="376"/>
      <c r="X3041" s="326">
        <v>44562</v>
      </c>
      <c r="Y3041" s="34"/>
    </row>
    <row r="3042" s="3" customFormat="1" customHeight="1" spans="1:25">
      <c r="A3042" s="310" t="s">
        <v>446</v>
      </c>
      <c r="B3042" s="310" t="s">
        <v>3037</v>
      </c>
      <c r="C3042" s="35" t="s">
        <v>275</v>
      </c>
      <c r="D3042" s="310" t="s">
        <v>3038</v>
      </c>
      <c r="E3042" s="170" t="s">
        <v>4052</v>
      </c>
      <c r="F3042" s="135" t="s">
        <v>4053</v>
      </c>
      <c r="G3042" s="140" t="s">
        <v>31</v>
      </c>
      <c r="H3042" s="339" t="s">
        <v>4059</v>
      </c>
      <c r="I3042" s="30" t="e">
        <f>VLOOKUP(H3042,'合同高级查询数据-4月返'!A:A,1,FALSE)</f>
        <v>#N/A</v>
      </c>
      <c r="J3042" s="140" t="s">
        <v>3189</v>
      </c>
      <c r="K3042" s="370" t="s">
        <v>4060</v>
      </c>
      <c r="L3042" s="366"/>
      <c r="M3042" s="315" t="s">
        <v>4061</v>
      </c>
      <c r="N3042" s="143">
        <v>44651</v>
      </c>
      <c r="O3042" s="143" t="s">
        <v>37</v>
      </c>
      <c r="P3042" s="371">
        <v>0</v>
      </c>
      <c r="Q3042" s="145">
        <v>-288</v>
      </c>
      <c r="R3042" s="126">
        <f t="shared" si="95"/>
        <v>0</v>
      </c>
      <c r="S3042" s="322">
        <v>202304</v>
      </c>
      <c r="T3042" s="147" t="s">
        <v>4063</v>
      </c>
      <c r="U3042" s="349"/>
      <c r="V3042" s="376"/>
      <c r="W3042" s="376"/>
      <c r="X3042" s="326">
        <v>44562</v>
      </c>
      <c r="Y3042" s="34"/>
    </row>
    <row r="3043" s="3" customFormat="1" customHeight="1" spans="1:25">
      <c r="A3043" s="310" t="s">
        <v>446</v>
      </c>
      <c r="B3043" s="310" t="s">
        <v>3037</v>
      </c>
      <c r="C3043" s="35" t="s">
        <v>275</v>
      </c>
      <c r="D3043" s="310" t="s">
        <v>3038</v>
      </c>
      <c r="E3043" s="170" t="s">
        <v>4052</v>
      </c>
      <c r="F3043" s="135" t="s">
        <v>4053</v>
      </c>
      <c r="G3043" s="140" t="s">
        <v>31</v>
      </c>
      <c r="H3043" s="140" t="s">
        <v>4054</v>
      </c>
      <c r="I3043" s="30" t="e">
        <f>VLOOKUP(H3043,'合同高级查询数据-4月返'!A:A,1,FALSE)</f>
        <v>#N/A</v>
      </c>
      <c r="J3043" s="140" t="s">
        <v>3189</v>
      </c>
      <c r="K3043" s="370" t="s">
        <v>4055</v>
      </c>
      <c r="L3043" s="366"/>
      <c r="M3043" s="315"/>
      <c r="N3043" s="143"/>
      <c r="O3043" s="143" t="s">
        <v>179</v>
      </c>
      <c r="P3043" s="371">
        <v>0</v>
      </c>
      <c r="Q3043" s="145">
        <v>1</v>
      </c>
      <c r="R3043" s="126">
        <f t="shared" si="95"/>
        <v>0</v>
      </c>
      <c r="S3043" s="322">
        <v>202304</v>
      </c>
      <c r="T3043" s="375" t="s">
        <v>4065</v>
      </c>
      <c r="U3043" s="349"/>
      <c r="V3043" s="376"/>
      <c r="W3043" s="376"/>
      <c r="X3043" s="34">
        <v>44986</v>
      </c>
      <c r="Y3043" s="34"/>
    </row>
    <row r="3044" s="5" customFormat="1" customHeight="1" spans="1:25">
      <c r="A3044" s="307" t="s">
        <v>446</v>
      </c>
      <c r="B3044" s="307" t="s">
        <v>3037</v>
      </c>
      <c r="C3044" s="22" t="s">
        <v>227</v>
      </c>
      <c r="D3044" s="307" t="s">
        <v>3038</v>
      </c>
      <c r="E3044" s="161" t="s">
        <v>4066</v>
      </c>
      <c r="F3044" s="98" t="s">
        <v>4067</v>
      </c>
      <c r="G3044" s="309" t="s">
        <v>31</v>
      </c>
      <c r="H3044" s="309" t="s">
        <v>4068</v>
      </c>
      <c r="I3044" s="46" t="e">
        <f>VLOOKUP(H3044,'合同高级查询数据-4月返'!A:A,1,FALSE)</f>
        <v>#N/A</v>
      </c>
      <c r="J3044" s="309" t="s">
        <v>3189</v>
      </c>
      <c r="K3044" s="372" t="s">
        <v>4069</v>
      </c>
      <c r="L3044" s="340" t="s">
        <v>4070</v>
      </c>
      <c r="M3044" s="312"/>
      <c r="N3044" s="265">
        <v>43337</v>
      </c>
      <c r="O3044" s="265" t="s">
        <v>37</v>
      </c>
      <c r="P3044" s="374">
        <v>0</v>
      </c>
      <c r="Q3044" s="164">
        <v>416</v>
      </c>
      <c r="R3044" s="117">
        <f t="shared" si="95"/>
        <v>0</v>
      </c>
      <c r="S3044" s="319">
        <v>202304</v>
      </c>
      <c r="T3044" s="377" t="s">
        <v>4071</v>
      </c>
      <c r="U3044" s="347"/>
      <c r="V3044" s="378"/>
      <c r="W3044" s="378"/>
      <c r="X3044" s="229"/>
      <c r="Y3044" s="229"/>
    </row>
    <row r="3045" s="5" customFormat="1" customHeight="1" spans="1:25">
      <c r="A3045" s="307" t="s">
        <v>446</v>
      </c>
      <c r="B3045" s="307" t="s">
        <v>3037</v>
      </c>
      <c r="C3045" s="22" t="s">
        <v>227</v>
      </c>
      <c r="D3045" s="307" t="s">
        <v>3038</v>
      </c>
      <c r="E3045" s="161" t="s">
        <v>4066</v>
      </c>
      <c r="F3045" s="98" t="s">
        <v>4067</v>
      </c>
      <c r="G3045" s="309" t="s">
        <v>31</v>
      </c>
      <c r="H3045" s="309" t="s">
        <v>4068</v>
      </c>
      <c r="I3045" s="46" t="e">
        <f>VLOOKUP(H3045,'合同高级查询数据-4月返'!A:A,1,FALSE)</f>
        <v>#N/A</v>
      </c>
      <c r="J3045" s="309" t="s">
        <v>3189</v>
      </c>
      <c r="K3045" s="372" t="s">
        <v>4069</v>
      </c>
      <c r="L3045" s="373"/>
      <c r="M3045" s="312"/>
      <c r="N3045" s="265"/>
      <c r="O3045" s="265" t="s">
        <v>179</v>
      </c>
      <c r="P3045" s="374">
        <v>0</v>
      </c>
      <c r="Q3045" s="164">
        <v>2</v>
      </c>
      <c r="R3045" s="117">
        <f t="shared" si="95"/>
        <v>0</v>
      </c>
      <c r="S3045" s="319">
        <v>202304</v>
      </c>
      <c r="T3045" s="377" t="s">
        <v>4072</v>
      </c>
      <c r="U3045" s="347"/>
      <c r="V3045" s="378"/>
      <c r="W3045" s="378"/>
      <c r="X3045" s="229"/>
      <c r="Y3045" s="229"/>
    </row>
    <row r="3046" s="5" customFormat="1" customHeight="1" spans="1:25">
      <c r="A3046" s="307" t="s">
        <v>446</v>
      </c>
      <c r="B3046" s="307" t="s">
        <v>3037</v>
      </c>
      <c r="C3046" s="22" t="s">
        <v>227</v>
      </c>
      <c r="D3046" s="307" t="s">
        <v>3038</v>
      </c>
      <c r="E3046" s="161" t="s">
        <v>4066</v>
      </c>
      <c r="F3046" s="98" t="s">
        <v>4067</v>
      </c>
      <c r="G3046" s="309" t="s">
        <v>88</v>
      </c>
      <c r="H3046" s="309" t="s">
        <v>4068</v>
      </c>
      <c r="I3046" s="46" t="e">
        <f>VLOOKUP(H3046,'合同高级查询数据-4月返'!A:A,1,FALSE)</f>
        <v>#N/A</v>
      </c>
      <c r="J3046" s="309" t="s">
        <v>162</v>
      </c>
      <c r="K3046" s="372" t="s">
        <v>4069</v>
      </c>
      <c r="L3046" s="373"/>
      <c r="M3046" s="312" t="s">
        <v>4073</v>
      </c>
      <c r="N3046" s="265"/>
      <c r="O3046" s="265" t="s">
        <v>163</v>
      </c>
      <c r="P3046" s="374">
        <v>0</v>
      </c>
      <c r="Q3046" s="164">
        <v>2</v>
      </c>
      <c r="R3046" s="117">
        <f t="shared" si="95"/>
        <v>0</v>
      </c>
      <c r="S3046" s="319">
        <v>202304</v>
      </c>
      <c r="T3046" s="377" t="s">
        <v>4074</v>
      </c>
      <c r="U3046" s="347"/>
      <c r="V3046" s="378"/>
      <c r="W3046" s="378"/>
      <c r="X3046" s="229"/>
      <c r="Y3046" s="229"/>
    </row>
    <row r="3047" s="5" customFormat="1" customHeight="1" spans="1:25">
      <c r="A3047" s="307" t="s">
        <v>446</v>
      </c>
      <c r="B3047" s="307" t="s">
        <v>3037</v>
      </c>
      <c r="C3047" s="22" t="s">
        <v>227</v>
      </c>
      <c r="D3047" s="307" t="s">
        <v>3038</v>
      </c>
      <c r="E3047" s="161" t="s">
        <v>4066</v>
      </c>
      <c r="F3047" s="98" t="s">
        <v>4067</v>
      </c>
      <c r="G3047" s="309" t="s">
        <v>88</v>
      </c>
      <c r="H3047" s="309" t="s">
        <v>4068</v>
      </c>
      <c r="I3047" s="46" t="e">
        <f>VLOOKUP(H3047,'合同高级查询数据-4月返'!A:A,1,FALSE)</f>
        <v>#N/A</v>
      </c>
      <c r="J3047" s="309" t="s">
        <v>162</v>
      </c>
      <c r="K3047" s="372" t="s">
        <v>4069</v>
      </c>
      <c r="L3047" s="373"/>
      <c r="M3047" s="312" t="s">
        <v>4073</v>
      </c>
      <c r="N3047" s="265">
        <v>43337</v>
      </c>
      <c r="O3047" s="265" t="s">
        <v>163</v>
      </c>
      <c r="P3047" s="374">
        <v>0</v>
      </c>
      <c r="Q3047" s="164">
        <v>7</v>
      </c>
      <c r="R3047" s="117">
        <f t="shared" si="95"/>
        <v>0</v>
      </c>
      <c r="S3047" s="319">
        <v>202304</v>
      </c>
      <c r="T3047" s="377" t="s">
        <v>4075</v>
      </c>
      <c r="U3047" s="347"/>
      <c r="V3047" s="378"/>
      <c r="W3047" s="378"/>
      <c r="X3047" s="229"/>
      <c r="Y3047" s="229"/>
    </row>
    <row r="3048" s="5" customFormat="1" customHeight="1" spans="1:25">
      <c r="A3048" s="307" t="s">
        <v>446</v>
      </c>
      <c r="B3048" s="307" t="s">
        <v>3037</v>
      </c>
      <c r="C3048" s="22" t="s">
        <v>227</v>
      </c>
      <c r="D3048" s="307" t="s">
        <v>3038</v>
      </c>
      <c r="E3048" s="161" t="s">
        <v>4066</v>
      </c>
      <c r="F3048" s="98" t="s">
        <v>4067</v>
      </c>
      <c r="G3048" s="309" t="s">
        <v>88</v>
      </c>
      <c r="H3048" s="309" t="s">
        <v>4068</v>
      </c>
      <c r="I3048" s="46" t="e">
        <f>VLOOKUP(H3048,'合同高级查询数据-4月返'!A:A,1,FALSE)</f>
        <v>#N/A</v>
      </c>
      <c r="J3048" s="309" t="s">
        <v>162</v>
      </c>
      <c r="K3048" s="372" t="s">
        <v>4069</v>
      </c>
      <c r="L3048" s="373"/>
      <c r="M3048" s="312" t="s">
        <v>4073</v>
      </c>
      <c r="N3048" s="265">
        <v>44193</v>
      </c>
      <c r="O3048" s="265" t="s">
        <v>163</v>
      </c>
      <c r="P3048" s="374">
        <v>0</v>
      </c>
      <c r="Q3048" s="164">
        <v>-4</v>
      </c>
      <c r="R3048" s="117">
        <f t="shared" si="95"/>
        <v>0</v>
      </c>
      <c r="S3048" s="319">
        <v>202304</v>
      </c>
      <c r="T3048" s="377" t="s">
        <v>4076</v>
      </c>
      <c r="U3048" s="347"/>
      <c r="V3048" s="378"/>
      <c r="W3048" s="378"/>
      <c r="X3048" s="229"/>
      <c r="Y3048" s="229"/>
    </row>
    <row r="3049" s="5" customFormat="1" customHeight="1" spans="1:25">
      <c r="A3049" s="307" t="s">
        <v>446</v>
      </c>
      <c r="B3049" s="307" t="s">
        <v>3037</v>
      </c>
      <c r="C3049" s="22" t="s">
        <v>227</v>
      </c>
      <c r="D3049" s="307" t="s">
        <v>3038</v>
      </c>
      <c r="E3049" s="161" t="s">
        <v>4066</v>
      </c>
      <c r="F3049" s="98" t="s">
        <v>4067</v>
      </c>
      <c r="G3049" s="309" t="s">
        <v>88</v>
      </c>
      <c r="H3049" s="309" t="s">
        <v>4068</v>
      </c>
      <c r="I3049" s="46" t="e">
        <f>VLOOKUP(H3049,'合同高级查询数据-4月返'!A:A,1,FALSE)</f>
        <v>#N/A</v>
      </c>
      <c r="J3049" s="309" t="s">
        <v>162</v>
      </c>
      <c r="K3049" s="372" t="s">
        <v>4069</v>
      </c>
      <c r="L3049" s="373"/>
      <c r="M3049" s="312" t="s">
        <v>4073</v>
      </c>
      <c r="N3049" s="265">
        <v>44742</v>
      </c>
      <c r="O3049" s="265" t="s">
        <v>163</v>
      </c>
      <c r="P3049" s="374">
        <v>0</v>
      </c>
      <c r="Q3049" s="164">
        <v>-5</v>
      </c>
      <c r="R3049" s="117">
        <f t="shared" si="95"/>
        <v>0</v>
      </c>
      <c r="S3049" s="319">
        <v>202304</v>
      </c>
      <c r="T3049" s="377" t="s">
        <v>4077</v>
      </c>
      <c r="U3049" s="347"/>
      <c r="V3049" s="378"/>
      <c r="W3049" s="378"/>
      <c r="X3049" s="229"/>
      <c r="Y3049" s="229"/>
    </row>
    <row r="3050" s="5" customFormat="1" customHeight="1" spans="1:25">
      <c r="A3050" s="307" t="s">
        <v>446</v>
      </c>
      <c r="B3050" s="307" t="s">
        <v>3037</v>
      </c>
      <c r="C3050" s="22" t="s">
        <v>227</v>
      </c>
      <c r="D3050" s="307" t="s">
        <v>3038</v>
      </c>
      <c r="E3050" s="161" t="s">
        <v>4066</v>
      </c>
      <c r="F3050" s="98" t="s">
        <v>4067</v>
      </c>
      <c r="G3050" s="309" t="s">
        <v>31</v>
      </c>
      <c r="H3050" s="309" t="s">
        <v>4068</v>
      </c>
      <c r="I3050" s="46" t="e">
        <f>VLOOKUP(H3050,'合同高级查询数据-4月返'!A:A,1,FALSE)</f>
        <v>#N/A</v>
      </c>
      <c r="J3050" s="309" t="s">
        <v>3189</v>
      </c>
      <c r="K3050" s="372" t="s">
        <v>4069</v>
      </c>
      <c r="L3050" s="373"/>
      <c r="M3050" s="312"/>
      <c r="N3050" s="265">
        <v>44742</v>
      </c>
      <c r="O3050" s="265" t="s">
        <v>37</v>
      </c>
      <c r="P3050" s="374">
        <v>0</v>
      </c>
      <c r="Q3050" s="164">
        <v>-416</v>
      </c>
      <c r="R3050" s="117">
        <f t="shared" si="95"/>
        <v>0</v>
      </c>
      <c r="S3050" s="319">
        <v>202304</v>
      </c>
      <c r="T3050" s="377" t="s">
        <v>4078</v>
      </c>
      <c r="U3050" s="347"/>
      <c r="V3050" s="378"/>
      <c r="W3050" s="378"/>
      <c r="X3050" s="229"/>
      <c r="Y3050" s="229"/>
    </row>
    <row r="3051" s="3" customFormat="1" customHeight="1" spans="1:25">
      <c r="A3051" s="310" t="s">
        <v>446</v>
      </c>
      <c r="B3051" s="310" t="s">
        <v>3037</v>
      </c>
      <c r="C3051" s="35" t="s">
        <v>188</v>
      </c>
      <c r="D3051" s="310" t="s">
        <v>3038</v>
      </c>
      <c r="E3051" s="170" t="s">
        <v>4079</v>
      </c>
      <c r="F3051" s="135" t="s">
        <v>4080</v>
      </c>
      <c r="G3051" s="140" t="s">
        <v>31</v>
      </c>
      <c r="H3051" s="339" t="s">
        <v>4081</v>
      </c>
      <c r="I3051" s="30" t="e">
        <f>VLOOKUP(H3051,'合同高级查询数据-4月返'!A:A,1,FALSE)</f>
        <v>#N/A</v>
      </c>
      <c r="J3051" s="140" t="s">
        <v>3189</v>
      </c>
      <c r="K3051" s="370" t="s">
        <v>3929</v>
      </c>
      <c r="L3051" s="366" t="s">
        <v>4082</v>
      </c>
      <c r="M3051" s="315"/>
      <c r="N3051" s="143" t="s">
        <v>1329</v>
      </c>
      <c r="O3051" s="143" t="s">
        <v>37</v>
      </c>
      <c r="P3051" s="371">
        <v>0</v>
      </c>
      <c r="Q3051" s="145">
        <v>512</v>
      </c>
      <c r="R3051" s="126">
        <f t="shared" si="95"/>
        <v>0</v>
      </c>
      <c r="S3051" s="322">
        <v>202304</v>
      </c>
      <c r="T3051" s="375" t="s">
        <v>4083</v>
      </c>
      <c r="U3051" s="349"/>
      <c r="V3051" s="376"/>
      <c r="W3051" s="376"/>
      <c r="X3051" s="193">
        <v>44743</v>
      </c>
      <c r="Y3051" s="193"/>
    </row>
    <row r="3052" s="3" customFormat="1" customHeight="1" spans="1:25">
      <c r="A3052" s="310" t="s">
        <v>446</v>
      </c>
      <c r="B3052" s="310" t="s">
        <v>3037</v>
      </c>
      <c r="C3052" s="35" t="s">
        <v>188</v>
      </c>
      <c r="D3052" s="310" t="s">
        <v>3038</v>
      </c>
      <c r="E3052" s="170" t="s">
        <v>4079</v>
      </c>
      <c r="F3052" s="135" t="s">
        <v>4080</v>
      </c>
      <c r="G3052" s="140" t="s">
        <v>31</v>
      </c>
      <c r="H3052" s="339" t="s">
        <v>4081</v>
      </c>
      <c r="I3052" s="30" t="e">
        <f>VLOOKUP(H3052,'合同高级查询数据-4月返'!A:A,1,FALSE)</f>
        <v>#N/A</v>
      </c>
      <c r="J3052" s="140" t="s">
        <v>3189</v>
      </c>
      <c r="K3052" s="370" t="s">
        <v>3929</v>
      </c>
      <c r="L3052" s="366" t="s">
        <v>4082</v>
      </c>
      <c r="M3052" s="315"/>
      <c r="N3052" s="143">
        <v>44712</v>
      </c>
      <c r="O3052" s="143" t="s">
        <v>37</v>
      </c>
      <c r="P3052" s="371">
        <v>0</v>
      </c>
      <c r="Q3052" s="145">
        <v>-512</v>
      </c>
      <c r="R3052" s="126">
        <f t="shared" si="95"/>
        <v>0</v>
      </c>
      <c r="S3052" s="322">
        <v>202304</v>
      </c>
      <c r="T3052" s="375" t="s">
        <v>4084</v>
      </c>
      <c r="U3052" s="349"/>
      <c r="V3052" s="376"/>
      <c r="W3052" s="376"/>
      <c r="X3052" s="193">
        <v>44743</v>
      </c>
      <c r="Y3052" s="193"/>
    </row>
    <row r="3053" s="3" customFormat="1" customHeight="1" spans="1:25">
      <c r="A3053" s="310" t="s">
        <v>446</v>
      </c>
      <c r="B3053" s="310" t="s">
        <v>3037</v>
      </c>
      <c r="C3053" s="35" t="s">
        <v>188</v>
      </c>
      <c r="D3053" s="310" t="s">
        <v>3038</v>
      </c>
      <c r="E3053" s="170" t="s">
        <v>4079</v>
      </c>
      <c r="F3053" s="135" t="s">
        <v>4080</v>
      </c>
      <c r="G3053" s="140" t="s">
        <v>31</v>
      </c>
      <c r="H3053" s="339" t="s">
        <v>4081</v>
      </c>
      <c r="I3053" s="30" t="e">
        <f>VLOOKUP(H3053,'合同高级查询数据-4月返'!A:A,1,FALSE)</f>
        <v>#N/A</v>
      </c>
      <c r="J3053" s="140" t="s">
        <v>3189</v>
      </c>
      <c r="K3053" s="370" t="s">
        <v>3929</v>
      </c>
      <c r="L3053" s="366" t="s">
        <v>4085</v>
      </c>
      <c r="M3053" s="315"/>
      <c r="N3053" s="143" t="s">
        <v>1329</v>
      </c>
      <c r="O3053" s="143" t="s">
        <v>37</v>
      </c>
      <c r="P3053" s="371">
        <v>0</v>
      </c>
      <c r="Q3053" s="145">
        <v>256</v>
      </c>
      <c r="R3053" s="126">
        <f t="shared" si="95"/>
        <v>0</v>
      </c>
      <c r="S3053" s="322">
        <v>202304</v>
      </c>
      <c r="T3053" s="375" t="s">
        <v>4083</v>
      </c>
      <c r="U3053" s="349"/>
      <c r="V3053" s="376"/>
      <c r="W3053" s="376"/>
      <c r="X3053" s="193">
        <v>44743</v>
      </c>
      <c r="Y3053" s="193"/>
    </row>
    <row r="3054" s="3" customFormat="1" customHeight="1" spans="1:25">
      <c r="A3054" s="310" t="s">
        <v>446</v>
      </c>
      <c r="B3054" s="310" t="s">
        <v>3037</v>
      </c>
      <c r="C3054" s="35" t="s">
        <v>188</v>
      </c>
      <c r="D3054" s="310" t="s">
        <v>3038</v>
      </c>
      <c r="E3054" s="170" t="s">
        <v>4079</v>
      </c>
      <c r="F3054" s="135" t="s">
        <v>4080</v>
      </c>
      <c r="G3054" s="140" t="s">
        <v>31</v>
      </c>
      <c r="H3054" s="339" t="s">
        <v>4081</v>
      </c>
      <c r="I3054" s="30" t="e">
        <f>VLOOKUP(H3054,'合同高级查询数据-4月返'!A:A,1,FALSE)</f>
        <v>#N/A</v>
      </c>
      <c r="J3054" s="140" t="s">
        <v>3189</v>
      </c>
      <c r="K3054" s="370" t="s">
        <v>3929</v>
      </c>
      <c r="L3054" s="366" t="s">
        <v>4085</v>
      </c>
      <c r="M3054" s="315"/>
      <c r="N3054" s="143">
        <v>44712</v>
      </c>
      <c r="O3054" s="143" t="s">
        <v>37</v>
      </c>
      <c r="P3054" s="371">
        <v>0</v>
      </c>
      <c r="Q3054" s="145">
        <v>-256</v>
      </c>
      <c r="R3054" s="126">
        <f t="shared" si="95"/>
        <v>0</v>
      </c>
      <c r="S3054" s="322">
        <v>202304</v>
      </c>
      <c r="T3054" s="375" t="s">
        <v>4086</v>
      </c>
      <c r="U3054" s="349"/>
      <c r="V3054" s="376"/>
      <c r="W3054" s="376"/>
      <c r="X3054" s="193">
        <v>44743</v>
      </c>
      <c r="Y3054" s="193"/>
    </row>
    <row r="3055" s="3" customFormat="1" customHeight="1" spans="1:25">
      <c r="A3055" s="310" t="s">
        <v>446</v>
      </c>
      <c r="B3055" s="310" t="s">
        <v>3037</v>
      </c>
      <c r="C3055" s="35" t="s">
        <v>188</v>
      </c>
      <c r="D3055" s="310" t="s">
        <v>3038</v>
      </c>
      <c r="E3055" s="170" t="s">
        <v>4079</v>
      </c>
      <c r="F3055" s="135" t="s">
        <v>4080</v>
      </c>
      <c r="G3055" s="140" t="s">
        <v>31</v>
      </c>
      <c r="H3055" s="339" t="s">
        <v>4081</v>
      </c>
      <c r="I3055" s="30" t="e">
        <f>VLOOKUP(H3055,'合同高级查询数据-4月返'!A:A,1,FALSE)</f>
        <v>#N/A</v>
      </c>
      <c r="J3055" s="140" t="s">
        <v>3424</v>
      </c>
      <c r="K3055" s="370" t="s">
        <v>3929</v>
      </c>
      <c r="L3055" s="144" t="s">
        <v>4087</v>
      </c>
      <c r="M3055" s="315"/>
      <c r="N3055" s="143" t="s">
        <v>1329</v>
      </c>
      <c r="O3055" s="143" t="s">
        <v>37</v>
      </c>
      <c r="P3055" s="371">
        <v>0</v>
      </c>
      <c r="Q3055" s="145">
        <v>64</v>
      </c>
      <c r="R3055" s="126">
        <f t="shared" si="95"/>
        <v>0</v>
      </c>
      <c r="S3055" s="322">
        <v>202304</v>
      </c>
      <c r="T3055" s="375" t="s">
        <v>4088</v>
      </c>
      <c r="U3055" s="349"/>
      <c r="V3055" s="376"/>
      <c r="W3055" s="376"/>
      <c r="X3055" s="193">
        <v>44743</v>
      </c>
      <c r="Y3055" s="193"/>
    </row>
    <row r="3056" s="3" customFormat="1" customHeight="1" spans="1:25">
      <c r="A3056" s="310" t="s">
        <v>446</v>
      </c>
      <c r="B3056" s="310" t="s">
        <v>3037</v>
      </c>
      <c r="C3056" s="35" t="s">
        <v>188</v>
      </c>
      <c r="D3056" s="310" t="s">
        <v>3038</v>
      </c>
      <c r="E3056" s="170" t="s">
        <v>4079</v>
      </c>
      <c r="F3056" s="135" t="s">
        <v>4080</v>
      </c>
      <c r="G3056" s="140" t="s">
        <v>31</v>
      </c>
      <c r="H3056" s="339" t="s">
        <v>4081</v>
      </c>
      <c r="I3056" s="30" t="e">
        <f>VLOOKUP(H3056,'合同高级查询数据-4月返'!A:A,1,FALSE)</f>
        <v>#N/A</v>
      </c>
      <c r="J3056" s="140" t="s">
        <v>3424</v>
      </c>
      <c r="K3056" s="370" t="s">
        <v>3929</v>
      </c>
      <c r="L3056" s="144" t="s">
        <v>4087</v>
      </c>
      <c r="M3056" s="315"/>
      <c r="N3056" s="143" t="s">
        <v>1329</v>
      </c>
      <c r="O3056" s="143" t="s">
        <v>37</v>
      </c>
      <c r="P3056" s="371">
        <v>35</v>
      </c>
      <c r="Q3056" s="145">
        <v>576</v>
      </c>
      <c r="R3056" s="126">
        <f t="shared" si="95"/>
        <v>20160</v>
      </c>
      <c r="S3056" s="322">
        <v>202304</v>
      </c>
      <c r="T3056" s="375" t="s">
        <v>4088</v>
      </c>
      <c r="U3056" s="349"/>
      <c r="V3056" s="376"/>
      <c r="W3056" s="376"/>
      <c r="X3056" s="193">
        <v>44743</v>
      </c>
      <c r="Y3056" s="193"/>
    </row>
    <row r="3057" s="3" customFormat="1" customHeight="1" spans="1:25">
      <c r="A3057" s="310" t="s">
        <v>446</v>
      </c>
      <c r="B3057" s="310" t="s">
        <v>3037</v>
      </c>
      <c r="C3057" s="35" t="s">
        <v>188</v>
      </c>
      <c r="D3057" s="310" t="s">
        <v>3038</v>
      </c>
      <c r="E3057" s="170" t="s">
        <v>4079</v>
      </c>
      <c r="F3057" s="135" t="s">
        <v>4080</v>
      </c>
      <c r="G3057" s="140" t="s">
        <v>88</v>
      </c>
      <c r="H3057" s="339" t="s">
        <v>4081</v>
      </c>
      <c r="I3057" s="30" t="e">
        <f>VLOOKUP(H3057,'合同高级查询数据-4月返'!A:A,1,FALSE)</f>
        <v>#N/A</v>
      </c>
      <c r="J3057" s="140" t="s">
        <v>162</v>
      </c>
      <c r="K3057" s="370" t="s">
        <v>3936</v>
      </c>
      <c r="L3057" s="366" t="s">
        <v>4082</v>
      </c>
      <c r="M3057" s="315" t="s">
        <v>4089</v>
      </c>
      <c r="N3057" s="143">
        <v>41178</v>
      </c>
      <c r="O3057" s="143" t="s">
        <v>92</v>
      </c>
      <c r="P3057" s="371">
        <v>2400</v>
      </c>
      <c r="Q3057" s="145">
        <v>12</v>
      </c>
      <c r="R3057" s="126">
        <f t="shared" si="95"/>
        <v>28800</v>
      </c>
      <c r="S3057" s="322">
        <v>202304</v>
      </c>
      <c r="T3057" s="375" t="s">
        <v>4090</v>
      </c>
      <c r="U3057" s="349"/>
      <c r="V3057" s="376"/>
      <c r="W3057" s="376"/>
      <c r="X3057" s="193">
        <v>44743</v>
      </c>
      <c r="Y3057" s="193"/>
    </row>
    <row r="3058" s="3" customFormat="1" customHeight="1" spans="1:25">
      <c r="A3058" s="310" t="s">
        <v>446</v>
      </c>
      <c r="B3058" s="310" t="s">
        <v>3037</v>
      </c>
      <c r="C3058" s="35" t="s">
        <v>188</v>
      </c>
      <c r="D3058" s="310" t="s">
        <v>3038</v>
      </c>
      <c r="E3058" s="170" t="s">
        <v>4079</v>
      </c>
      <c r="F3058" s="135" t="s">
        <v>4080</v>
      </c>
      <c r="G3058" s="140" t="s">
        <v>88</v>
      </c>
      <c r="H3058" s="339" t="s">
        <v>4081</v>
      </c>
      <c r="I3058" s="30" t="e">
        <f>VLOOKUP(H3058,'合同高级查询数据-4月返'!A:A,1,FALSE)</f>
        <v>#N/A</v>
      </c>
      <c r="J3058" s="140" t="s">
        <v>162</v>
      </c>
      <c r="K3058" s="370" t="s">
        <v>4091</v>
      </c>
      <c r="L3058" s="366" t="s">
        <v>4085</v>
      </c>
      <c r="M3058" s="315" t="s">
        <v>4089</v>
      </c>
      <c r="N3058" s="143">
        <v>43160</v>
      </c>
      <c r="O3058" s="143" t="s">
        <v>92</v>
      </c>
      <c r="P3058" s="371">
        <v>2400</v>
      </c>
      <c r="Q3058" s="145">
        <v>3</v>
      </c>
      <c r="R3058" s="126">
        <f t="shared" si="95"/>
        <v>7200</v>
      </c>
      <c r="S3058" s="322">
        <v>202304</v>
      </c>
      <c r="T3058" s="375" t="s">
        <v>4092</v>
      </c>
      <c r="U3058" s="349"/>
      <c r="V3058" s="376"/>
      <c r="W3058" s="376"/>
      <c r="X3058" s="193">
        <v>44743</v>
      </c>
      <c r="Y3058" s="193"/>
    </row>
    <row r="3059" s="3" customFormat="1" customHeight="1" spans="1:25">
      <c r="A3059" s="310" t="s">
        <v>446</v>
      </c>
      <c r="B3059" s="310" t="s">
        <v>3037</v>
      </c>
      <c r="C3059" s="35" t="s">
        <v>188</v>
      </c>
      <c r="D3059" s="310" t="s">
        <v>3038</v>
      </c>
      <c r="E3059" s="170" t="s">
        <v>4079</v>
      </c>
      <c r="F3059" s="135" t="s">
        <v>4080</v>
      </c>
      <c r="G3059" s="140" t="s">
        <v>88</v>
      </c>
      <c r="H3059" s="339" t="s">
        <v>4081</v>
      </c>
      <c r="I3059" s="30" t="e">
        <f>VLOOKUP(H3059,'合同高级查询数据-4月返'!A:A,1,FALSE)</f>
        <v>#N/A</v>
      </c>
      <c r="J3059" s="140" t="s">
        <v>162</v>
      </c>
      <c r="K3059" s="370" t="s">
        <v>4091</v>
      </c>
      <c r="L3059" s="366" t="s">
        <v>4085</v>
      </c>
      <c r="M3059" s="315" t="s">
        <v>4089</v>
      </c>
      <c r="N3059" s="143" t="s">
        <v>1329</v>
      </c>
      <c r="O3059" s="143" t="s">
        <v>92</v>
      </c>
      <c r="P3059" s="371">
        <v>2400</v>
      </c>
      <c r="Q3059" s="145">
        <v>4</v>
      </c>
      <c r="R3059" s="126">
        <f t="shared" si="95"/>
        <v>9600</v>
      </c>
      <c r="S3059" s="322">
        <v>202304</v>
      </c>
      <c r="T3059" s="375" t="s">
        <v>4093</v>
      </c>
      <c r="U3059" s="349"/>
      <c r="V3059" s="376"/>
      <c r="W3059" s="376"/>
      <c r="X3059" s="193">
        <v>44743</v>
      </c>
      <c r="Y3059" s="193"/>
    </row>
    <row r="3060" s="3" customFormat="1" customHeight="1" spans="1:25">
      <c r="A3060" s="310" t="s">
        <v>446</v>
      </c>
      <c r="B3060" s="310" t="s">
        <v>3037</v>
      </c>
      <c r="C3060" s="35" t="s">
        <v>188</v>
      </c>
      <c r="D3060" s="310" t="s">
        <v>3038</v>
      </c>
      <c r="E3060" s="170" t="s">
        <v>4079</v>
      </c>
      <c r="F3060" s="135" t="s">
        <v>4080</v>
      </c>
      <c r="G3060" s="140" t="s">
        <v>88</v>
      </c>
      <c r="H3060" s="339" t="s">
        <v>4081</v>
      </c>
      <c r="I3060" s="30" t="e">
        <f>VLOOKUP(H3060,'合同高级查询数据-4月返'!A:A,1,FALSE)</f>
        <v>#N/A</v>
      </c>
      <c r="J3060" s="140" t="s">
        <v>162</v>
      </c>
      <c r="K3060" s="370" t="s">
        <v>4091</v>
      </c>
      <c r="L3060" s="366" t="s">
        <v>4085</v>
      </c>
      <c r="M3060" s="315" t="s">
        <v>4089</v>
      </c>
      <c r="N3060" s="143">
        <v>44712</v>
      </c>
      <c r="O3060" s="143" t="s">
        <v>92</v>
      </c>
      <c r="P3060" s="371">
        <v>2400</v>
      </c>
      <c r="Q3060" s="145">
        <v>-7</v>
      </c>
      <c r="R3060" s="126">
        <f t="shared" si="95"/>
        <v>-16800</v>
      </c>
      <c r="S3060" s="322">
        <v>202304</v>
      </c>
      <c r="T3060" s="375" t="s">
        <v>4094</v>
      </c>
      <c r="U3060" s="349"/>
      <c r="V3060" s="376"/>
      <c r="W3060" s="376"/>
      <c r="X3060" s="193">
        <v>44743</v>
      </c>
      <c r="Y3060" s="193"/>
    </row>
    <row r="3061" s="3" customFormat="1" customHeight="1" spans="1:25">
      <c r="A3061" s="310" t="s">
        <v>446</v>
      </c>
      <c r="B3061" s="310" t="s">
        <v>3037</v>
      </c>
      <c r="C3061" s="35" t="s">
        <v>188</v>
      </c>
      <c r="D3061" s="310" t="s">
        <v>3038</v>
      </c>
      <c r="E3061" s="170" t="s">
        <v>4079</v>
      </c>
      <c r="F3061" s="135" t="s">
        <v>4080</v>
      </c>
      <c r="G3061" s="140" t="s">
        <v>88</v>
      </c>
      <c r="H3061" s="339" t="s">
        <v>4081</v>
      </c>
      <c r="I3061" s="30" t="e">
        <f>VLOOKUP(H3061,'合同高级查询数据-4月返'!A:A,1,FALSE)</f>
        <v>#N/A</v>
      </c>
      <c r="J3061" s="140" t="s">
        <v>1287</v>
      </c>
      <c r="K3061" s="370" t="s">
        <v>3929</v>
      </c>
      <c r="L3061" s="366"/>
      <c r="M3061" s="315" t="s">
        <v>4089</v>
      </c>
      <c r="N3061" s="143">
        <v>41178</v>
      </c>
      <c r="O3061" s="143" t="s">
        <v>92</v>
      </c>
      <c r="P3061" s="371">
        <v>2400</v>
      </c>
      <c r="Q3061" s="145">
        <v>4</v>
      </c>
      <c r="R3061" s="126">
        <f t="shared" si="95"/>
        <v>9600</v>
      </c>
      <c r="S3061" s="322">
        <v>202304</v>
      </c>
      <c r="T3061" s="375"/>
      <c r="U3061" s="349"/>
      <c r="V3061" s="376"/>
      <c r="W3061" s="376"/>
      <c r="X3061" s="193">
        <v>44743</v>
      </c>
      <c r="Y3061" s="193"/>
    </row>
    <row r="3062" s="3" customFormat="1" customHeight="1" spans="1:25">
      <c r="A3062" s="310" t="s">
        <v>446</v>
      </c>
      <c r="B3062" s="310" t="s">
        <v>3037</v>
      </c>
      <c r="C3062" s="35" t="s">
        <v>188</v>
      </c>
      <c r="D3062" s="310" t="s">
        <v>3038</v>
      </c>
      <c r="E3062" s="170" t="s">
        <v>4079</v>
      </c>
      <c r="F3062" s="135" t="s">
        <v>4080</v>
      </c>
      <c r="G3062" s="140" t="s">
        <v>88</v>
      </c>
      <c r="H3062" s="339" t="s">
        <v>4081</v>
      </c>
      <c r="I3062" s="30" t="e">
        <f>VLOOKUP(H3062,'合同高级查询数据-4月返'!A:A,1,FALSE)</f>
        <v>#N/A</v>
      </c>
      <c r="J3062" s="140" t="s">
        <v>162</v>
      </c>
      <c r="K3062" s="370" t="s">
        <v>3929</v>
      </c>
      <c r="L3062" s="366" t="s">
        <v>4095</v>
      </c>
      <c r="M3062" s="315" t="s">
        <v>4096</v>
      </c>
      <c r="N3062" s="143">
        <v>44105</v>
      </c>
      <c r="O3062" s="143" t="s">
        <v>92</v>
      </c>
      <c r="P3062" s="371">
        <v>2400</v>
      </c>
      <c r="Q3062" s="145">
        <v>6</v>
      </c>
      <c r="R3062" s="126">
        <f t="shared" si="95"/>
        <v>14400</v>
      </c>
      <c r="S3062" s="322">
        <v>202304</v>
      </c>
      <c r="T3062" s="375" t="s">
        <v>4097</v>
      </c>
      <c r="U3062" s="349"/>
      <c r="V3062" s="376"/>
      <c r="W3062" s="376"/>
      <c r="X3062" s="193">
        <v>44743</v>
      </c>
      <c r="Y3062" s="193"/>
    </row>
    <row r="3063" s="3" customFormat="1" customHeight="1" spans="1:25">
      <c r="A3063" s="310" t="s">
        <v>446</v>
      </c>
      <c r="B3063" s="310" t="s">
        <v>3037</v>
      </c>
      <c r="C3063" s="35" t="s">
        <v>188</v>
      </c>
      <c r="D3063" s="310" t="s">
        <v>3038</v>
      </c>
      <c r="E3063" s="170" t="s">
        <v>4079</v>
      </c>
      <c r="F3063" s="135" t="s">
        <v>4080</v>
      </c>
      <c r="G3063" s="140" t="s">
        <v>31</v>
      </c>
      <c r="H3063" s="339" t="s">
        <v>4081</v>
      </c>
      <c r="I3063" s="30" t="e">
        <f>VLOOKUP(H3063,'合同高级查询数据-4月返'!A:A,1,FALSE)</f>
        <v>#N/A</v>
      </c>
      <c r="J3063" s="140" t="s">
        <v>3189</v>
      </c>
      <c r="K3063" s="370" t="s">
        <v>3929</v>
      </c>
      <c r="L3063" s="366" t="s">
        <v>4095</v>
      </c>
      <c r="M3063" s="315" t="s">
        <v>4096</v>
      </c>
      <c r="N3063" s="143">
        <v>44105</v>
      </c>
      <c r="O3063" s="143" t="s">
        <v>37</v>
      </c>
      <c r="P3063" s="371">
        <v>0</v>
      </c>
      <c r="Q3063" s="145">
        <v>288</v>
      </c>
      <c r="R3063" s="126">
        <f t="shared" si="95"/>
        <v>0</v>
      </c>
      <c r="S3063" s="322">
        <v>202304</v>
      </c>
      <c r="T3063" s="375" t="s">
        <v>4098</v>
      </c>
      <c r="U3063" s="349"/>
      <c r="V3063" s="376"/>
      <c r="W3063" s="376"/>
      <c r="X3063" s="193">
        <v>44743</v>
      </c>
      <c r="Y3063" s="193"/>
    </row>
    <row r="3064" s="3" customFormat="1" customHeight="1" spans="1:25">
      <c r="A3064" s="310" t="s">
        <v>446</v>
      </c>
      <c r="B3064" s="310" t="s">
        <v>3037</v>
      </c>
      <c r="C3064" s="35" t="s">
        <v>188</v>
      </c>
      <c r="D3064" s="310" t="s">
        <v>3038</v>
      </c>
      <c r="E3064" s="170" t="s">
        <v>4079</v>
      </c>
      <c r="F3064" s="135" t="s">
        <v>4080</v>
      </c>
      <c r="G3064" s="140" t="s">
        <v>88</v>
      </c>
      <c r="H3064" s="339" t="s">
        <v>4081</v>
      </c>
      <c r="I3064" s="30" t="e">
        <f>VLOOKUP(H3064,'合同高级查询数据-4月返'!A:A,1,FALSE)</f>
        <v>#N/A</v>
      </c>
      <c r="J3064" s="140" t="s">
        <v>162</v>
      </c>
      <c r="K3064" s="370" t="s">
        <v>3929</v>
      </c>
      <c r="L3064" s="366" t="s">
        <v>4095</v>
      </c>
      <c r="M3064" s="315" t="s">
        <v>4096</v>
      </c>
      <c r="N3064" s="143">
        <v>44773</v>
      </c>
      <c r="O3064" s="143" t="s">
        <v>92</v>
      </c>
      <c r="P3064" s="371">
        <v>2400</v>
      </c>
      <c r="Q3064" s="145">
        <v>-6</v>
      </c>
      <c r="R3064" s="126">
        <f t="shared" si="95"/>
        <v>-14400</v>
      </c>
      <c r="S3064" s="322">
        <v>202304</v>
      </c>
      <c r="T3064" s="375" t="s">
        <v>4099</v>
      </c>
      <c r="U3064" s="349"/>
      <c r="V3064" s="376"/>
      <c r="W3064" s="376"/>
      <c r="X3064" s="193">
        <v>44743</v>
      </c>
      <c r="Y3064" s="193"/>
    </row>
    <row r="3065" s="3" customFormat="1" customHeight="1" spans="1:25">
      <c r="A3065" s="310" t="s">
        <v>446</v>
      </c>
      <c r="B3065" s="310" t="s">
        <v>3037</v>
      </c>
      <c r="C3065" s="35" t="s">
        <v>188</v>
      </c>
      <c r="D3065" s="310" t="s">
        <v>3038</v>
      </c>
      <c r="E3065" s="170" t="s">
        <v>4079</v>
      </c>
      <c r="F3065" s="135" t="s">
        <v>4080</v>
      </c>
      <c r="G3065" s="140" t="s">
        <v>31</v>
      </c>
      <c r="H3065" s="339" t="s">
        <v>4081</v>
      </c>
      <c r="I3065" s="30" t="e">
        <f>VLOOKUP(H3065,'合同高级查询数据-4月返'!A:A,1,FALSE)</f>
        <v>#N/A</v>
      </c>
      <c r="J3065" s="140" t="s">
        <v>3189</v>
      </c>
      <c r="K3065" s="370" t="s">
        <v>3929</v>
      </c>
      <c r="L3065" s="366" t="s">
        <v>4095</v>
      </c>
      <c r="M3065" s="315" t="s">
        <v>4096</v>
      </c>
      <c r="N3065" s="143">
        <v>44773</v>
      </c>
      <c r="O3065" s="143" t="s">
        <v>37</v>
      </c>
      <c r="P3065" s="371">
        <v>0</v>
      </c>
      <c r="Q3065" s="145">
        <v>-288</v>
      </c>
      <c r="R3065" s="126">
        <f t="shared" si="95"/>
        <v>0</v>
      </c>
      <c r="S3065" s="322">
        <v>202304</v>
      </c>
      <c r="T3065" s="375" t="s">
        <v>4100</v>
      </c>
      <c r="U3065" s="349"/>
      <c r="V3065" s="376"/>
      <c r="W3065" s="376"/>
      <c r="X3065" s="193">
        <v>44743</v>
      </c>
      <c r="Y3065" s="193"/>
    </row>
    <row r="3066" s="3" customFormat="1" customHeight="1" spans="1:25">
      <c r="A3066" s="310" t="s">
        <v>446</v>
      </c>
      <c r="B3066" s="310" t="s">
        <v>3037</v>
      </c>
      <c r="C3066" s="35" t="s">
        <v>188</v>
      </c>
      <c r="D3066" s="310" t="s">
        <v>3038</v>
      </c>
      <c r="E3066" s="170" t="s">
        <v>4079</v>
      </c>
      <c r="F3066" s="135" t="s">
        <v>4080</v>
      </c>
      <c r="G3066" s="140" t="s">
        <v>31</v>
      </c>
      <c r="H3066" s="339" t="s">
        <v>4081</v>
      </c>
      <c r="I3066" s="30" t="e">
        <f>VLOOKUP(H3066,'合同高级查询数据-4月返'!A:A,1,FALSE)</f>
        <v>#N/A</v>
      </c>
      <c r="J3066" s="140" t="s">
        <v>3189</v>
      </c>
      <c r="K3066" s="370" t="s">
        <v>3929</v>
      </c>
      <c r="L3066" s="366"/>
      <c r="M3066" s="315"/>
      <c r="N3066" s="143">
        <v>44105</v>
      </c>
      <c r="O3066" s="143" t="s">
        <v>179</v>
      </c>
      <c r="P3066" s="371">
        <v>0</v>
      </c>
      <c r="Q3066" s="145">
        <v>1</v>
      </c>
      <c r="R3066" s="126">
        <f t="shared" si="95"/>
        <v>0</v>
      </c>
      <c r="S3066" s="322">
        <v>202304</v>
      </c>
      <c r="T3066" s="375" t="s">
        <v>4101</v>
      </c>
      <c r="U3066" s="349"/>
      <c r="V3066" s="376"/>
      <c r="W3066" s="376"/>
      <c r="X3066" s="193">
        <v>44743</v>
      </c>
      <c r="Y3066" s="193"/>
    </row>
    <row r="3067" s="3" customFormat="1" customHeight="1" spans="1:25">
      <c r="A3067" s="310" t="s">
        <v>446</v>
      </c>
      <c r="B3067" s="310" t="s">
        <v>3037</v>
      </c>
      <c r="C3067" s="35" t="s">
        <v>188</v>
      </c>
      <c r="D3067" s="310" t="s">
        <v>3038</v>
      </c>
      <c r="E3067" s="170" t="s">
        <v>4079</v>
      </c>
      <c r="F3067" s="135" t="s">
        <v>4080</v>
      </c>
      <c r="G3067" s="140" t="s">
        <v>31</v>
      </c>
      <c r="H3067" s="339" t="s">
        <v>4081</v>
      </c>
      <c r="I3067" s="30" t="e">
        <f>VLOOKUP(H3067,'合同高级查询数据-4月返'!A:A,1,FALSE)</f>
        <v>#N/A</v>
      </c>
      <c r="J3067" s="140" t="s">
        <v>3189</v>
      </c>
      <c r="K3067" s="370" t="s">
        <v>3929</v>
      </c>
      <c r="L3067" s="366"/>
      <c r="M3067" s="315"/>
      <c r="N3067" s="143">
        <v>44105</v>
      </c>
      <c r="O3067" s="143" t="s">
        <v>179</v>
      </c>
      <c r="P3067" s="371">
        <v>0</v>
      </c>
      <c r="Q3067" s="145">
        <v>1</v>
      </c>
      <c r="R3067" s="126">
        <f t="shared" si="95"/>
        <v>0</v>
      </c>
      <c r="S3067" s="322">
        <v>202304</v>
      </c>
      <c r="T3067" s="375" t="s">
        <v>4102</v>
      </c>
      <c r="U3067" s="349"/>
      <c r="V3067" s="376"/>
      <c r="W3067" s="376"/>
      <c r="X3067" s="193">
        <v>44743</v>
      </c>
      <c r="Y3067" s="193"/>
    </row>
    <row r="3068" s="3" customFormat="1" customHeight="1" spans="1:25">
      <c r="A3068" s="310" t="s">
        <v>446</v>
      </c>
      <c r="B3068" s="310" t="s">
        <v>3037</v>
      </c>
      <c r="C3068" s="35" t="s">
        <v>188</v>
      </c>
      <c r="D3068" s="310" t="s">
        <v>3038</v>
      </c>
      <c r="E3068" s="170" t="s">
        <v>4079</v>
      </c>
      <c r="F3068" s="135" t="s">
        <v>4080</v>
      </c>
      <c r="G3068" s="140" t="s">
        <v>31</v>
      </c>
      <c r="H3068" s="339" t="s">
        <v>4081</v>
      </c>
      <c r="I3068" s="30" t="e">
        <f>VLOOKUP(H3068,'合同高级查询数据-4月返'!A:A,1,FALSE)</f>
        <v>#N/A</v>
      </c>
      <c r="J3068" s="140" t="s">
        <v>3189</v>
      </c>
      <c r="K3068" s="370" t="s">
        <v>3929</v>
      </c>
      <c r="L3068" s="366"/>
      <c r="M3068" s="315"/>
      <c r="N3068" s="143">
        <v>44105</v>
      </c>
      <c r="O3068" s="143" t="s">
        <v>179</v>
      </c>
      <c r="P3068" s="371">
        <v>0</v>
      </c>
      <c r="Q3068" s="145">
        <v>1</v>
      </c>
      <c r="R3068" s="126">
        <f t="shared" si="95"/>
        <v>0</v>
      </c>
      <c r="S3068" s="322">
        <v>202304</v>
      </c>
      <c r="T3068" s="375" t="s">
        <v>4103</v>
      </c>
      <c r="U3068" s="349"/>
      <c r="V3068" s="376"/>
      <c r="W3068" s="376"/>
      <c r="X3068" s="193">
        <v>44743</v>
      </c>
      <c r="Y3068" s="193"/>
    </row>
    <row r="3069" s="3" customFormat="1" customHeight="1" spans="1:25">
      <c r="A3069" s="310" t="s">
        <v>446</v>
      </c>
      <c r="B3069" s="310" t="s">
        <v>3037</v>
      </c>
      <c r="C3069" s="35" t="s">
        <v>188</v>
      </c>
      <c r="D3069" s="310" t="s">
        <v>3038</v>
      </c>
      <c r="E3069" s="170" t="s">
        <v>4079</v>
      </c>
      <c r="F3069" s="135" t="s">
        <v>4080</v>
      </c>
      <c r="G3069" s="140" t="s">
        <v>88</v>
      </c>
      <c r="H3069" s="339" t="s">
        <v>4081</v>
      </c>
      <c r="I3069" s="30" t="e">
        <f>VLOOKUP(H3069,'合同高级查询数据-4月返'!A:A,1,FALSE)</f>
        <v>#N/A</v>
      </c>
      <c r="J3069" s="140" t="s">
        <v>162</v>
      </c>
      <c r="K3069" s="370" t="s">
        <v>3936</v>
      </c>
      <c r="L3069" s="366" t="s">
        <v>4082</v>
      </c>
      <c r="M3069" s="315" t="s">
        <v>4089</v>
      </c>
      <c r="N3069" s="143">
        <v>44181</v>
      </c>
      <c r="O3069" s="143" t="s">
        <v>92</v>
      </c>
      <c r="P3069" s="371">
        <v>2400</v>
      </c>
      <c r="Q3069" s="145">
        <v>-9</v>
      </c>
      <c r="R3069" s="126">
        <f>ROUND(Q3069*P3069,2)</f>
        <v>-21600</v>
      </c>
      <c r="S3069" s="322">
        <v>202304</v>
      </c>
      <c r="T3069" s="375" t="s">
        <v>4104</v>
      </c>
      <c r="U3069" s="349"/>
      <c r="V3069" s="376"/>
      <c r="W3069" s="376"/>
      <c r="X3069" s="193">
        <v>44743</v>
      </c>
      <c r="Y3069" s="193"/>
    </row>
    <row r="3070" s="3" customFormat="1" customHeight="1" spans="1:25">
      <c r="A3070" s="310" t="s">
        <v>446</v>
      </c>
      <c r="B3070" s="310" t="s">
        <v>3037</v>
      </c>
      <c r="C3070" s="35" t="s">
        <v>188</v>
      </c>
      <c r="D3070" s="310" t="s">
        <v>3038</v>
      </c>
      <c r="E3070" s="170" t="s">
        <v>4079</v>
      </c>
      <c r="F3070" s="135" t="s">
        <v>4080</v>
      </c>
      <c r="G3070" s="140" t="s">
        <v>88</v>
      </c>
      <c r="H3070" s="339" t="s">
        <v>4081</v>
      </c>
      <c r="I3070" s="30" t="e">
        <f>VLOOKUP(H3070,'合同高级查询数据-4月返'!A:A,1,FALSE)</f>
        <v>#N/A</v>
      </c>
      <c r="J3070" s="140" t="s">
        <v>162</v>
      </c>
      <c r="K3070" s="370" t="s">
        <v>3936</v>
      </c>
      <c r="L3070" s="366" t="s">
        <v>4082</v>
      </c>
      <c r="M3070" s="315" t="s">
        <v>4089</v>
      </c>
      <c r="N3070" s="143">
        <v>44712</v>
      </c>
      <c r="O3070" s="143" t="s">
        <v>92</v>
      </c>
      <c r="P3070" s="371">
        <v>2400</v>
      </c>
      <c r="Q3070" s="145">
        <v>-3</v>
      </c>
      <c r="R3070" s="126">
        <f>ROUND(Q3070*P3070,2)</f>
        <v>-7200</v>
      </c>
      <c r="S3070" s="322">
        <v>202304</v>
      </c>
      <c r="T3070" s="375" t="s">
        <v>4105</v>
      </c>
      <c r="U3070" s="349"/>
      <c r="V3070" s="376"/>
      <c r="W3070" s="376"/>
      <c r="X3070" s="193">
        <v>44743</v>
      </c>
      <c r="Y3070" s="193"/>
    </row>
    <row r="3071" s="3" customFormat="1" customHeight="1" spans="1:25">
      <c r="A3071" s="310" t="s">
        <v>446</v>
      </c>
      <c r="B3071" s="310" t="s">
        <v>3037</v>
      </c>
      <c r="C3071" s="35" t="s">
        <v>3951</v>
      </c>
      <c r="D3071" s="310" t="s">
        <v>3038</v>
      </c>
      <c r="E3071" s="170" t="s">
        <v>4106</v>
      </c>
      <c r="F3071" s="135" t="s">
        <v>4107</v>
      </c>
      <c r="G3071" s="140" t="s">
        <v>31</v>
      </c>
      <c r="H3071" s="140" t="s">
        <v>4108</v>
      </c>
      <c r="I3071" s="30" t="e">
        <f>VLOOKUP(H3071,'合同高级查询数据-4月返'!A:A,1,FALSE)</f>
        <v>#N/A</v>
      </c>
      <c r="J3071" s="140" t="s">
        <v>3189</v>
      </c>
      <c r="K3071" s="370" t="s">
        <v>3951</v>
      </c>
      <c r="L3071" s="366" t="s">
        <v>4109</v>
      </c>
      <c r="M3071" s="315"/>
      <c r="N3071" s="143" t="s">
        <v>4110</v>
      </c>
      <c r="O3071" s="143" t="s">
        <v>37</v>
      </c>
      <c r="P3071" s="371">
        <v>0</v>
      </c>
      <c r="Q3071" s="145">
        <f>832-256</f>
        <v>576</v>
      </c>
      <c r="R3071" s="126">
        <f t="shared" ref="R3071:R3086" si="97">ROUND(P3071*Q3071,2)</f>
        <v>0</v>
      </c>
      <c r="S3071" s="322">
        <v>202304</v>
      </c>
      <c r="T3071" s="375" t="s">
        <v>4111</v>
      </c>
      <c r="U3071" s="349"/>
      <c r="V3071" s="376"/>
      <c r="W3071" s="376"/>
      <c r="X3071" s="193">
        <v>44927</v>
      </c>
      <c r="Y3071" s="193"/>
    </row>
    <row r="3072" s="3" customFormat="1" customHeight="1" spans="1:25">
      <c r="A3072" s="310" t="s">
        <v>446</v>
      </c>
      <c r="B3072" s="310" t="s">
        <v>3037</v>
      </c>
      <c r="C3072" s="35" t="s">
        <v>3951</v>
      </c>
      <c r="D3072" s="310" t="s">
        <v>3038</v>
      </c>
      <c r="E3072" s="170" t="s">
        <v>4106</v>
      </c>
      <c r="F3072" s="135" t="s">
        <v>4107</v>
      </c>
      <c r="G3072" s="140" t="s">
        <v>31</v>
      </c>
      <c r="H3072" s="140" t="s">
        <v>4108</v>
      </c>
      <c r="I3072" s="30" t="e">
        <f>VLOOKUP(H3072,'合同高级查询数据-4月返'!A:A,1,FALSE)</f>
        <v>#N/A</v>
      </c>
      <c r="J3072" s="140" t="s">
        <v>3189</v>
      </c>
      <c r="K3072" s="370" t="s">
        <v>3951</v>
      </c>
      <c r="L3072" s="366"/>
      <c r="M3072" s="315"/>
      <c r="N3072" s="143">
        <v>44316</v>
      </c>
      <c r="O3072" s="143" t="s">
        <v>37</v>
      </c>
      <c r="P3072" s="371">
        <v>0</v>
      </c>
      <c r="Q3072" s="145">
        <v>-288</v>
      </c>
      <c r="R3072" s="126">
        <f t="shared" si="97"/>
        <v>0</v>
      </c>
      <c r="S3072" s="322">
        <v>202304</v>
      </c>
      <c r="T3072" s="375" t="s">
        <v>4112</v>
      </c>
      <c r="U3072" s="349"/>
      <c r="V3072" s="376"/>
      <c r="W3072" s="376"/>
      <c r="X3072" s="193">
        <v>44927</v>
      </c>
      <c r="Y3072" s="193"/>
    </row>
    <row r="3073" s="3" customFormat="1" customHeight="1" spans="1:25">
      <c r="A3073" s="310" t="s">
        <v>446</v>
      </c>
      <c r="B3073" s="310" t="s">
        <v>3037</v>
      </c>
      <c r="C3073" s="35" t="s">
        <v>3951</v>
      </c>
      <c r="D3073" s="310" t="s">
        <v>3038</v>
      </c>
      <c r="E3073" s="170" t="s">
        <v>4106</v>
      </c>
      <c r="F3073" s="135" t="s">
        <v>4107</v>
      </c>
      <c r="G3073" s="140" t="s">
        <v>31</v>
      </c>
      <c r="H3073" s="140" t="s">
        <v>4108</v>
      </c>
      <c r="I3073" s="30" t="e">
        <f>VLOOKUP(H3073,'合同高级查询数据-4月返'!A:A,1,FALSE)</f>
        <v>#N/A</v>
      </c>
      <c r="J3073" s="140" t="s">
        <v>3189</v>
      </c>
      <c r="K3073" s="370" t="s">
        <v>3951</v>
      </c>
      <c r="L3073" s="366"/>
      <c r="M3073" s="315"/>
      <c r="N3073" s="143"/>
      <c r="O3073" s="143" t="s">
        <v>179</v>
      </c>
      <c r="P3073" s="371">
        <v>0</v>
      </c>
      <c r="Q3073" s="145">
        <v>2</v>
      </c>
      <c r="R3073" s="126">
        <f t="shared" si="97"/>
        <v>0</v>
      </c>
      <c r="S3073" s="322">
        <v>202304</v>
      </c>
      <c r="T3073" s="375" t="s">
        <v>4113</v>
      </c>
      <c r="U3073" s="349"/>
      <c r="V3073" s="376"/>
      <c r="W3073" s="376"/>
      <c r="X3073" s="193">
        <v>44927</v>
      </c>
      <c r="Y3073" s="193"/>
    </row>
    <row r="3074" s="3" customFormat="1" customHeight="1" spans="1:25">
      <c r="A3074" s="310" t="s">
        <v>446</v>
      </c>
      <c r="B3074" s="310" t="s">
        <v>3037</v>
      </c>
      <c r="C3074" s="35" t="s">
        <v>3951</v>
      </c>
      <c r="D3074" s="310" t="s">
        <v>3038</v>
      </c>
      <c r="E3074" s="170" t="s">
        <v>4106</v>
      </c>
      <c r="F3074" s="135" t="s">
        <v>4107</v>
      </c>
      <c r="G3074" s="140" t="s">
        <v>88</v>
      </c>
      <c r="H3074" s="140" t="s">
        <v>4108</v>
      </c>
      <c r="I3074" s="30" t="e">
        <f>VLOOKUP(H3074,'合同高级查询数据-4月返'!A:A,1,FALSE)</f>
        <v>#N/A</v>
      </c>
      <c r="J3074" s="140" t="s">
        <v>162</v>
      </c>
      <c r="K3074" s="370" t="s">
        <v>4114</v>
      </c>
      <c r="L3074" s="366"/>
      <c r="M3074" s="315" t="s">
        <v>4115</v>
      </c>
      <c r="N3074" s="143" t="s">
        <v>4110</v>
      </c>
      <c r="O3074" s="143" t="s">
        <v>702</v>
      </c>
      <c r="P3074" s="371">
        <v>3900</v>
      </c>
      <c r="Q3074" s="145">
        <v>11</v>
      </c>
      <c r="R3074" s="126">
        <f t="shared" si="97"/>
        <v>42900</v>
      </c>
      <c r="S3074" s="322">
        <v>202304</v>
      </c>
      <c r="T3074" s="375"/>
      <c r="U3074" s="349"/>
      <c r="V3074" s="376"/>
      <c r="W3074" s="376"/>
      <c r="X3074" s="193">
        <v>44927</v>
      </c>
      <c r="Y3074" s="193"/>
    </row>
    <row r="3075" s="3" customFormat="1" customHeight="1" spans="1:25">
      <c r="A3075" s="310" t="s">
        <v>446</v>
      </c>
      <c r="B3075" s="310" t="s">
        <v>3037</v>
      </c>
      <c r="C3075" s="35" t="s">
        <v>3951</v>
      </c>
      <c r="D3075" s="310" t="s">
        <v>3038</v>
      </c>
      <c r="E3075" s="170" t="s">
        <v>4106</v>
      </c>
      <c r="F3075" s="135" t="s">
        <v>4107</v>
      </c>
      <c r="G3075" s="140" t="s">
        <v>88</v>
      </c>
      <c r="H3075" s="140" t="s">
        <v>4108</v>
      </c>
      <c r="I3075" s="30" t="e">
        <f>VLOOKUP(H3075,'合同高级查询数据-4月返'!A:A,1,FALSE)</f>
        <v>#N/A</v>
      </c>
      <c r="J3075" s="140" t="s">
        <v>162</v>
      </c>
      <c r="K3075" s="370" t="s">
        <v>4114</v>
      </c>
      <c r="L3075" s="366"/>
      <c r="M3075" s="315" t="s">
        <v>4115</v>
      </c>
      <c r="N3075" s="143">
        <v>44316</v>
      </c>
      <c r="O3075" s="143" t="s">
        <v>702</v>
      </c>
      <c r="P3075" s="371">
        <v>3900</v>
      </c>
      <c r="Q3075" s="145">
        <v>-4</v>
      </c>
      <c r="R3075" s="126">
        <f t="shared" si="97"/>
        <v>-15600</v>
      </c>
      <c r="S3075" s="322">
        <v>202304</v>
      </c>
      <c r="T3075" s="375" t="s">
        <v>4116</v>
      </c>
      <c r="U3075" s="349"/>
      <c r="V3075" s="376"/>
      <c r="W3075" s="376"/>
      <c r="X3075" s="193">
        <v>44927</v>
      </c>
      <c r="Y3075" s="193"/>
    </row>
    <row r="3076" s="3" customFormat="1" customHeight="1" spans="1:25">
      <c r="A3076" s="310" t="s">
        <v>446</v>
      </c>
      <c r="B3076" s="310" t="s">
        <v>3037</v>
      </c>
      <c r="C3076" s="35" t="s">
        <v>3951</v>
      </c>
      <c r="D3076" s="310" t="s">
        <v>3038</v>
      </c>
      <c r="E3076" s="170" t="s">
        <v>4106</v>
      </c>
      <c r="F3076" s="135" t="s">
        <v>4107</v>
      </c>
      <c r="G3076" s="140" t="s">
        <v>88</v>
      </c>
      <c r="H3076" s="140" t="s">
        <v>4108</v>
      </c>
      <c r="I3076" s="30" t="e">
        <f>VLOOKUP(H3076,'合同高级查询数据-4月返'!A:A,1,FALSE)</f>
        <v>#N/A</v>
      </c>
      <c r="J3076" s="140" t="s">
        <v>162</v>
      </c>
      <c r="K3076" s="370" t="s">
        <v>4117</v>
      </c>
      <c r="L3076" s="366"/>
      <c r="M3076" s="315" t="s">
        <v>4115</v>
      </c>
      <c r="N3076" s="143">
        <v>44681</v>
      </c>
      <c r="O3076" s="143" t="s">
        <v>702</v>
      </c>
      <c r="P3076" s="371">
        <v>3900</v>
      </c>
      <c r="Q3076" s="145">
        <v>-5</v>
      </c>
      <c r="R3076" s="126">
        <f t="shared" si="97"/>
        <v>-19500</v>
      </c>
      <c r="S3076" s="322">
        <v>202304</v>
      </c>
      <c r="T3076" s="375" t="s">
        <v>4118</v>
      </c>
      <c r="U3076" s="349"/>
      <c r="V3076" s="376"/>
      <c r="W3076" s="376"/>
      <c r="X3076" s="193">
        <v>44927</v>
      </c>
      <c r="Y3076" s="193"/>
    </row>
    <row r="3077" s="5" customFormat="1" customHeight="1" spans="1:25">
      <c r="A3077" s="307" t="s">
        <v>446</v>
      </c>
      <c r="B3077" s="307" t="s">
        <v>3037</v>
      </c>
      <c r="C3077" s="22" t="s">
        <v>3951</v>
      </c>
      <c r="D3077" s="307" t="s">
        <v>3038</v>
      </c>
      <c r="E3077" s="161" t="s">
        <v>4106</v>
      </c>
      <c r="F3077" s="98" t="s">
        <v>4107</v>
      </c>
      <c r="G3077" s="309" t="s">
        <v>88</v>
      </c>
      <c r="H3077" s="309" t="s">
        <v>4119</v>
      </c>
      <c r="I3077" s="46" t="e">
        <f>VLOOKUP(H3077,'合同高级查询数据-4月返'!A:A,1,FALSE)</f>
        <v>#N/A</v>
      </c>
      <c r="J3077" s="309" t="s">
        <v>162</v>
      </c>
      <c r="K3077" s="372" t="s">
        <v>4120</v>
      </c>
      <c r="L3077" s="373" t="s">
        <v>4121</v>
      </c>
      <c r="M3077" s="312" t="s">
        <v>4122</v>
      </c>
      <c r="N3077" s="265">
        <v>44927</v>
      </c>
      <c r="O3077" s="265" t="s">
        <v>4123</v>
      </c>
      <c r="P3077" s="374">
        <v>4600</v>
      </c>
      <c r="Q3077" s="164">
        <v>43</v>
      </c>
      <c r="R3077" s="117">
        <f t="shared" si="97"/>
        <v>197800</v>
      </c>
      <c r="S3077" s="319">
        <v>202304</v>
      </c>
      <c r="T3077" s="377" t="s">
        <v>4124</v>
      </c>
      <c r="U3077" s="347"/>
      <c r="V3077" s="378"/>
      <c r="W3077" s="378"/>
      <c r="X3077" s="229">
        <v>44927</v>
      </c>
      <c r="Y3077" s="229">
        <v>45291</v>
      </c>
    </row>
    <row r="3078" s="5" customFormat="1" customHeight="1" spans="1:25">
      <c r="A3078" s="307" t="s">
        <v>446</v>
      </c>
      <c r="B3078" s="307" t="s">
        <v>3037</v>
      </c>
      <c r="C3078" s="22" t="s">
        <v>3951</v>
      </c>
      <c r="D3078" s="307" t="s">
        <v>3038</v>
      </c>
      <c r="E3078" s="161" t="s">
        <v>4106</v>
      </c>
      <c r="F3078" s="98" t="s">
        <v>4107</v>
      </c>
      <c r="G3078" s="309" t="s">
        <v>88</v>
      </c>
      <c r="H3078" s="309" t="s">
        <v>4119</v>
      </c>
      <c r="I3078" s="46" t="e">
        <f>VLOOKUP(H3078,'合同高级查询数据-4月返'!A:A,1,FALSE)</f>
        <v>#N/A</v>
      </c>
      <c r="J3078" s="309" t="s">
        <v>162</v>
      </c>
      <c r="K3078" s="372" t="s">
        <v>4120</v>
      </c>
      <c r="L3078" s="373" t="s">
        <v>4121</v>
      </c>
      <c r="M3078" s="312" t="s">
        <v>4122</v>
      </c>
      <c r="N3078" s="265">
        <v>44927</v>
      </c>
      <c r="O3078" s="265" t="s">
        <v>4123</v>
      </c>
      <c r="P3078" s="374">
        <v>4600</v>
      </c>
      <c r="Q3078" s="164">
        <v>-6</v>
      </c>
      <c r="R3078" s="117">
        <f t="shared" ref="R3078:R3080" si="98">ROUND(P3078*Q3078,2)</f>
        <v>-27600</v>
      </c>
      <c r="S3078" s="319">
        <v>202304</v>
      </c>
      <c r="T3078" s="377" t="s">
        <v>4125</v>
      </c>
      <c r="U3078" s="347"/>
      <c r="V3078" s="378"/>
      <c r="W3078" s="378"/>
      <c r="X3078" s="229">
        <v>44927</v>
      </c>
      <c r="Y3078" s="229">
        <v>45291</v>
      </c>
    </row>
    <row r="3079" s="5" customFormat="1" customHeight="1" spans="1:25">
      <c r="A3079" s="307" t="s">
        <v>446</v>
      </c>
      <c r="B3079" s="307" t="s">
        <v>3037</v>
      </c>
      <c r="C3079" s="22" t="s">
        <v>3951</v>
      </c>
      <c r="D3079" s="307" t="s">
        <v>3038</v>
      </c>
      <c r="E3079" s="161" t="s">
        <v>4106</v>
      </c>
      <c r="F3079" s="98" t="s">
        <v>4107</v>
      </c>
      <c r="G3079" s="309" t="s">
        <v>31</v>
      </c>
      <c r="H3079" s="309" t="s">
        <v>4119</v>
      </c>
      <c r="I3079" s="46" t="e">
        <f>VLOOKUP(H3079,'合同高级查询数据-4月返'!A:A,1,FALSE)</f>
        <v>#N/A</v>
      </c>
      <c r="J3079" s="309" t="s">
        <v>3189</v>
      </c>
      <c r="K3079" s="372" t="s">
        <v>4120</v>
      </c>
      <c r="L3079" s="373" t="s">
        <v>4121</v>
      </c>
      <c r="M3079" s="312" t="s">
        <v>4122</v>
      </c>
      <c r="N3079" s="265">
        <v>44927</v>
      </c>
      <c r="O3079" s="265" t="s">
        <v>37</v>
      </c>
      <c r="P3079" s="374">
        <v>0</v>
      </c>
      <c r="Q3079" s="164">
        <v>1984</v>
      </c>
      <c r="R3079" s="117">
        <f t="shared" si="98"/>
        <v>0</v>
      </c>
      <c r="S3079" s="319">
        <v>202304</v>
      </c>
      <c r="T3079" s="377" t="s">
        <v>4126</v>
      </c>
      <c r="U3079" s="347"/>
      <c r="V3079" s="378"/>
      <c r="W3079" s="378"/>
      <c r="X3079" s="229">
        <v>44927</v>
      </c>
      <c r="Y3079" s="229">
        <v>45291</v>
      </c>
    </row>
    <row r="3080" s="3" customFormat="1" customHeight="1" spans="1:25">
      <c r="A3080" s="310" t="s">
        <v>446</v>
      </c>
      <c r="B3080" s="310" t="s">
        <v>3037</v>
      </c>
      <c r="C3080" s="35" t="s">
        <v>3951</v>
      </c>
      <c r="D3080" s="310" t="s">
        <v>3038</v>
      </c>
      <c r="E3080" s="170" t="s">
        <v>4106</v>
      </c>
      <c r="F3080" s="135" t="s">
        <v>4107</v>
      </c>
      <c r="G3080" s="140" t="s">
        <v>88</v>
      </c>
      <c r="H3080" s="140" t="s">
        <v>4108</v>
      </c>
      <c r="I3080" s="30" t="e">
        <f>VLOOKUP(H3080,'合同高级查询数据-4月返'!A:A,1,FALSE)</f>
        <v>#N/A</v>
      </c>
      <c r="J3080" s="140" t="s">
        <v>1287</v>
      </c>
      <c r="K3080" s="370" t="s">
        <v>3951</v>
      </c>
      <c r="L3080" s="366" t="s">
        <v>4127</v>
      </c>
      <c r="M3080" s="315" t="s">
        <v>4115</v>
      </c>
      <c r="N3080" s="143">
        <v>44391</v>
      </c>
      <c r="O3080" s="143" t="s">
        <v>702</v>
      </c>
      <c r="P3080" s="371">
        <v>3900</v>
      </c>
      <c r="Q3080" s="145">
        <v>3</v>
      </c>
      <c r="R3080" s="126">
        <f t="shared" si="98"/>
        <v>11700</v>
      </c>
      <c r="S3080" s="322">
        <v>202304</v>
      </c>
      <c r="T3080" s="375" t="s">
        <v>4128</v>
      </c>
      <c r="U3080" s="349"/>
      <c r="V3080" s="376"/>
      <c r="W3080" s="376"/>
      <c r="X3080" s="193">
        <v>44927</v>
      </c>
      <c r="Y3080" s="193"/>
    </row>
    <row r="3081" s="3" customFormat="1" customHeight="1" spans="1:25">
      <c r="A3081" s="310" t="s">
        <v>446</v>
      </c>
      <c r="B3081" s="310" t="s">
        <v>3037</v>
      </c>
      <c r="C3081" s="35" t="s">
        <v>3951</v>
      </c>
      <c r="D3081" s="310" t="s">
        <v>3038</v>
      </c>
      <c r="E3081" s="170" t="s">
        <v>4106</v>
      </c>
      <c r="F3081" s="135" t="s">
        <v>4107</v>
      </c>
      <c r="G3081" s="140" t="s">
        <v>31</v>
      </c>
      <c r="H3081" s="140" t="s">
        <v>4108</v>
      </c>
      <c r="I3081" s="30" t="e">
        <f>VLOOKUP(H3081,'合同高级查询数据-4月返'!A:A,1,FALSE)</f>
        <v>#N/A</v>
      </c>
      <c r="J3081" s="140" t="s">
        <v>3424</v>
      </c>
      <c r="K3081" s="370" t="s">
        <v>3951</v>
      </c>
      <c r="L3081" s="366" t="s">
        <v>4127</v>
      </c>
      <c r="M3081" s="315"/>
      <c r="N3081" s="143">
        <v>42662</v>
      </c>
      <c r="O3081" s="143" t="s">
        <v>37</v>
      </c>
      <c r="P3081" s="371">
        <v>0</v>
      </c>
      <c r="Q3081" s="145">
        <v>768</v>
      </c>
      <c r="R3081" s="126">
        <f t="shared" si="97"/>
        <v>0</v>
      </c>
      <c r="S3081" s="322">
        <v>202304</v>
      </c>
      <c r="T3081" s="375" t="s">
        <v>4129</v>
      </c>
      <c r="U3081" s="349"/>
      <c r="V3081" s="376"/>
      <c r="W3081" s="376"/>
      <c r="X3081" s="193">
        <v>44927</v>
      </c>
      <c r="Y3081" s="193"/>
    </row>
    <row r="3082" s="3" customFormat="1" customHeight="1" spans="1:25">
      <c r="A3082" s="310" t="s">
        <v>446</v>
      </c>
      <c r="B3082" s="310" t="s">
        <v>3037</v>
      </c>
      <c r="C3082" s="35" t="s">
        <v>3951</v>
      </c>
      <c r="D3082" s="310" t="s">
        <v>3038</v>
      </c>
      <c r="E3082" s="170" t="s">
        <v>4106</v>
      </c>
      <c r="F3082" s="135" t="s">
        <v>4107</v>
      </c>
      <c r="G3082" s="140" t="s">
        <v>88</v>
      </c>
      <c r="H3082" s="140" t="s">
        <v>4108</v>
      </c>
      <c r="I3082" s="30" t="e">
        <f>VLOOKUP(H3082,'合同高级查询数据-4月返'!A:A,1,FALSE)</f>
        <v>#N/A</v>
      </c>
      <c r="J3082" s="140" t="s">
        <v>1287</v>
      </c>
      <c r="K3082" s="370" t="s">
        <v>3951</v>
      </c>
      <c r="L3082" s="366" t="s">
        <v>4127</v>
      </c>
      <c r="M3082" s="315" t="s">
        <v>4130</v>
      </c>
      <c r="N3082" s="143">
        <v>42662</v>
      </c>
      <c r="O3082" s="143" t="s">
        <v>503</v>
      </c>
      <c r="P3082" s="371">
        <v>5500</v>
      </c>
      <c r="Q3082" s="145">
        <v>3</v>
      </c>
      <c r="R3082" s="126">
        <f t="shared" si="97"/>
        <v>16500</v>
      </c>
      <c r="S3082" s="322">
        <v>202304</v>
      </c>
      <c r="T3082" s="375" t="s">
        <v>4131</v>
      </c>
      <c r="U3082" s="349"/>
      <c r="V3082" s="376"/>
      <c r="W3082" s="376"/>
      <c r="X3082" s="193">
        <v>44927</v>
      </c>
      <c r="Y3082" s="193"/>
    </row>
    <row r="3083" s="3" customFormat="1" customHeight="1" spans="1:25">
      <c r="A3083" s="310" t="s">
        <v>446</v>
      </c>
      <c r="B3083" s="310" t="s">
        <v>3037</v>
      </c>
      <c r="C3083" s="35" t="s">
        <v>3951</v>
      </c>
      <c r="D3083" s="310" t="s">
        <v>3038</v>
      </c>
      <c r="E3083" s="170" t="s">
        <v>4106</v>
      </c>
      <c r="F3083" s="135" t="s">
        <v>4107</v>
      </c>
      <c r="G3083" s="140" t="s">
        <v>88</v>
      </c>
      <c r="H3083" s="140" t="s">
        <v>4108</v>
      </c>
      <c r="I3083" s="30" t="e">
        <f>VLOOKUP(H3083,'合同高级查询数据-4月返'!A:A,1,FALSE)</f>
        <v>#N/A</v>
      </c>
      <c r="J3083" s="140" t="s">
        <v>1287</v>
      </c>
      <c r="K3083" s="370" t="s">
        <v>3951</v>
      </c>
      <c r="L3083" s="366" t="s">
        <v>4127</v>
      </c>
      <c r="M3083" s="315" t="s">
        <v>4130</v>
      </c>
      <c r="N3083" s="143">
        <v>44377</v>
      </c>
      <c r="O3083" s="143" t="s">
        <v>503</v>
      </c>
      <c r="P3083" s="371">
        <v>5500</v>
      </c>
      <c r="Q3083" s="145">
        <v>-3</v>
      </c>
      <c r="R3083" s="126">
        <f t="shared" si="97"/>
        <v>-16500</v>
      </c>
      <c r="S3083" s="322">
        <v>202304</v>
      </c>
      <c r="T3083" s="375" t="s">
        <v>4132</v>
      </c>
      <c r="U3083" s="349"/>
      <c r="V3083" s="376"/>
      <c r="W3083" s="376"/>
      <c r="X3083" s="193">
        <v>44927</v>
      </c>
      <c r="Y3083" s="193"/>
    </row>
    <row r="3084" s="3" customFormat="1" customHeight="1" spans="1:25">
      <c r="A3084" s="310" t="s">
        <v>446</v>
      </c>
      <c r="B3084" s="310" t="s">
        <v>3037</v>
      </c>
      <c r="C3084" s="35" t="s">
        <v>3938</v>
      </c>
      <c r="D3084" s="35" t="s">
        <v>3939</v>
      </c>
      <c r="E3084" s="170" t="s">
        <v>4133</v>
      </c>
      <c r="F3084" s="135" t="s">
        <v>4134</v>
      </c>
      <c r="G3084" s="140" t="s">
        <v>31</v>
      </c>
      <c r="H3084" s="140" t="s">
        <v>4135</v>
      </c>
      <c r="I3084" s="30" t="e">
        <f>VLOOKUP(H3084,'合同高级查询数据-4月返'!A:A,1,FALSE)</f>
        <v>#N/A</v>
      </c>
      <c r="J3084" s="140" t="s">
        <v>3189</v>
      </c>
      <c r="K3084" s="370"/>
      <c r="L3084" s="366" t="s">
        <v>4136</v>
      </c>
      <c r="M3084" s="315"/>
      <c r="N3084" s="143">
        <v>43626</v>
      </c>
      <c r="O3084" s="143" t="s">
        <v>37</v>
      </c>
      <c r="P3084" s="371">
        <v>60</v>
      </c>
      <c r="Q3084" s="145">
        <v>96</v>
      </c>
      <c r="R3084" s="126">
        <f t="shared" si="97"/>
        <v>5760</v>
      </c>
      <c r="S3084" s="322">
        <v>202304</v>
      </c>
      <c r="T3084" s="375" t="s">
        <v>4137</v>
      </c>
      <c r="U3084" s="349"/>
      <c r="V3084" s="376"/>
      <c r="W3084" s="376"/>
      <c r="X3084" s="193">
        <v>44896</v>
      </c>
      <c r="Y3084" s="193"/>
    </row>
    <row r="3085" s="3" customFormat="1" customHeight="1" spans="1:25">
      <c r="A3085" s="310" t="s">
        <v>446</v>
      </c>
      <c r="B3085" s="310" t="s">
        <v>3037</v>
      </c>
      <c r="C3085" s="35" t="s">
        <v>3938</v>
      </c>
      <c r="D3085" s="35" t="s">
        <v>3939</v>
      </c>
      <c r="E3085" s="170" t="s">
        <v>4133</v>
      </c>
      <c r="F3085" s="135" t="s">
        <v>4134</v>
      </c>
      <c r="G3085" s="140" t="s">
        <v>31</v>
      </c>
      <c r="H3085" s="140" t="s">
        <v>4135</v>
      </c>
      <c r="I3085" s="30" t="e">
        <f>VLOOKUP(H3085,'合同高级查询数据-4月返'!A:A,1,FALSE)</f>
        <v>#N/A</v>
      </c>
      <c r="J3085" s="140" t="s">
        <v>3189</v>
      </c>
      <c r="K3085" s="370"/>
      <c r="L3085" s="366" t="s">
        <v>4136</v>
      </c>
      <c r="M3085" s="315"/>
      <c r="N3085" s="143">
        <v>43626</v>
      </c>
      <c r="O3085" s="143" t="s">
        <v>37</v>
      </c>
      <c r="P3085" s="371">
        <v>0</v>
      </c>
      <c r="Q3085" s="145">
        <v>64</v>
      </c>
      <c r="R3085" s="126">
        <f t="shared" si="97"/>
        <v>0</v>
      </c>
      <c r="S3085" s="322">
        <v>202304</v>
      </c>
      <c r="T3085" s="375" t="s">
        <v>4137</v>
      </c>
      <c r="U3085" s="349"/>
      <c r="V3085" s="376"/>
      <c r="W3085" s="376"/>
      <c r="X3085" s="193">
        <v>44896</v>
      </c>
      <c r="Y3085" s="193"/>
    </row>
    <row r="3086" s="3" customFormat="1" customHeight="1" spans="1:25">
      <c r="A3086" s="310" t="s">
        <v>446</v>
      </c>
      <c r="B3086" s="310" t="s">
        <v>3037</v>
      </c>
      <c r="C3086" s="35" t="s">
        <v>3938</v>
      </c>
      <c r="D3086" s="35" t="s">
        <v>3939</v>
      </c>
      <c r="E3086" s="170" t="s">
        <v>4133</v>
      </c>
      <c r="F3086" s="135" t="s">
        <v>4134</v>
      </c>
      <c r="G3086" s="140" t="s">
        <v>88</v>
      </c>
      <c r="H3086" s="140" t="s">
        <v>4135</v>
      </c>
      <c r="I3086" s="30" t="e">
        <f>VLOOKUP(H3086,'合同高级查询数据-4月返'!A:A,1,FALSE)</f>
        <v>#N/A</v>
      </c>
      <c r="J3086" s="140" t="s">
        <v>162</v>
      </c>
      <c r="K3086" s="370" t="s">
        <v>3943</v>
      </c>
      <c r="L3086" s="366"/>
      <c r="M3086" s="315" t="s">
        <v>4138</v>
      </c>
      <c r="N3086" s="143">
        <v>43626</v>
      </c>
      <c r="O3086" s="143" t="s">
        <v>1746</v>
      </c>
      <c r="P3086" s="371">
        <v>4500</v>
      </c>
      <c r="Q3086" s="145">
        <v>2</v>
      </c>
      <c r="R3086" s="126">
        <f t="shared" si="97"/>
        <v>9000</v>
      </c>
      <c r="S3086" s="322">
        <v>202304</v>
      </c>
      <c r="T3086" s="375" t="s">
        <v>4139</v>
      </c>
      <c r="U3086" s="349"/>
      <c r="V3086" s="376"/>
      <c r="W3086" s="376"/>
      <c r="X3086" s="193">
        <v>44896</v>
      </c>
      <c r="Y3086" s="193"/>
    </row>
    <row r="3087" s="3" customFormat="1" customHeight="1" spans="1:25">
      <c r="A3087" s="310" t="s">
        <v>446</v>
      </c>
      <c r="B3087" s="310" t="s">
        <v>3037</v>
      </c>
      <c r="C3087" s="35" t="s">
        <v>3938</v>
      </c>
      <c r="D3087" s="35" t="s">
        <v>3939</v>
      </c>
      <c r="E3087" s="170" t="s">
        <v>4133</v>
      </c>
      <c r="F3087" s="135" t="s">
        <v>4134</v>
      </c>
      <c r="G3087" s="140" t="s">
        <v>31</v>
      </c>
      <c r="H3087" s="140" t="s">
        <v>4135</v>
      </c>
      <c r="I3087" s="30" t="e">
        <f>VLOOKUP(H3087,'合同高级查询数据-4月返'!A:A,1,FALSE)</f>
        <v>#N/A</v>
      </c>
      <c r="J3087" s="140" t="s">
        <v>3189</v>
      </c>
      <c r="K3087" s="370"/>
      <c r="L3087" s="366" t="s">
        <v>4136</v>
      </c>
      <c r="M3087" s="315"/>
      <c r="N3087" s="143">
        <v>44593</v>
      </c>
      <c r="O3087" s="143" t="s">
        <v>37</v>
      </c>
      <c r="P3087" s="371">
        <v>60</v>
      </c>
      <c r="Q3087" s="145">
        <v>128</v>
      </c>
      <c r="R3087" s="126">
        <f t="shared" ref="R3087:R3090" si="99">ROUND(P3087*Q3087,2)</f>
        <v>7680</v>
      </c>
      <c r="S3087" s="322">
        <v>202304</v>
      </c>
      <c r="T3087" s="375" t="s">
        <v>4140</v>
      </c>
      <c r="U3087" s="349"/>
      <c r="V3087" s="376"/>
      <c r="W3087" s="376"/>
      <c r="X3087" s="193">
        <v>44896</v>
      </c>
      <c r="Y3087" s="193"/>
    </row>
    <row r="3088" s="3" customFormat="1" customHeight="1" spans="1:25">
      <c r="A3088" s="310" t="s">
        <v>446</v>
      </c>
      <c r="B3088" s="310" t="s">
        <v>3037</v>
      </c>
      <c r="C3088" s="35" t="s">
        <v>3938</v>
      </c>
      <c r="D3088" s="35" t="s">
        <v>3939</v>
      </c>
      <c r="E3088" s="170" t="s">
        <v>4133</v>
      </c>
      <c r="F3088" s="135" t="s">
        <v>4134</v>
      </c>
      <c r="G3088" s="140" t="s">
        <v>88</v>
      </c>
      <c r="H3088" s="140" t="s">
        <v>4135</v>
      </c>
      <c r="I3088" s="30" t="e">
        <f>VLOOKUP(H3088,'合同高级查询数据-4月返'!A:A,1,FALSE)</f>
        <v>#N/A</v>
      </c>
      <c r="J3088" s="140" t="s">
        <v>162</v>
      </c>
      <c r="K3088" s="370" t="s">
        <v>3943</v>
      </c>
      <c r="L3088" s="366"/>
      <c r="M3088" s="315" t="s">
        <v>4138</v>
      </c>
      <c r="N3088" s="143">
        <v>44593</v>
      </c>
      <c r="O3088" s="143" t="s">
        <v>1746</v>
      </c>
      <c r="P3088" s="371">
        <v>4500</v>
      </c>
      <c r="Q3088" s="145">
        <v>1</v>
      </c>
      <c r="R3088" s="126">
        <f t="shared" si="99"/>
        <v>4500</v>
      </c>
      <c r="S3088" s="322">
        <v>202304</v>
      </c>
      <c r="T3088" s="375" t="s">
        <v>4141</v>
      </c>
      <c r="U3088" s="349"/>
      <c r="V3088" s="376"/>
      <c r="W3088" s="376"/>
      <c r="X3088" s="193">
        <v>44896</v>
      </c>
      <c r="Y3088" s="193"/>
    </row>
    <row r="3089" s="3" customFormat="1" customHeight="1" spans="1:25">
      <c r="A3089" s="310" t="s">
        <v>444</v>
      </c>
      <c r="B3089" s="310" t="s">
        <v>3037</v>
      </c>
      <c r="C3089" s="35" t="s">
        <v>275</v>
      </c>
      <c r="D3089" s="310" t="s">
        <v>3038</v>
      </c>
      <c r="E3089" s="170" t="s">
        <v>4142</v>
      </c>
      <c r="F3089" s="135" t="s">
        <v>4143</v>
      </c>
      <c r="G3089" s="140" t="s">
        <v>31</v>
      </c>
      <c r="H3089" s="140" t="s">
        <v>4144</v>
      </c>
      <c r="I3089" s="30" t="e">
        <f>VLOOKUP(H3089,'合同高级查询数据-4月返'!A:A,1,FALSE)</f>
        <v>#N/A</v>
      </c>
      <c r="J3089" s="140" t="s">
        <v>3189</v>
      </c>
      <c r="K3089" s="370" t="s">
        <v>4145</v>
      </c>
      <c r="L3089" s="366" t="s">
        <v>4146</v>
      </c>
      <c r="M3089" s="315"/>
      <c r="N3089" s="143">
        <v>43026</v>
      </c>
      <c r="O3089" s="143" t="s">
        <v>37</v>
      </c>
      <c r="P3089" s="371">
        <v>0</v>
      </c>
      <c r="Q3089" s="145">
        <v>288</v>
      </c>
      <c r="R3089" s="126">
        <f t="shared" si="99"/>
        <v>0</v>
      </c>
      <c r="S3089" s="322">
        <v>202304</v>
      </c>
      <c r="T3089" s="375" t="s">
        <v>4147</v>
      </c>
      <c r="U3089" s="349"/>
      <c r="V3089" s="376"/>
      <c r="W3089" s="376"/>
      <c r="X3089" s="193">
        <v>44927</v>
      </c>
      <c r="Y3089" s="193"/>
    </row>
    <row r="3090" s="3" customFormat="1" customHeight="1" spans="1:25">
      <c r="A3090" s="310" t="s">
        <v>444</v>
      </c>
      <c r="B3090" s="310" t="s">
        <v>3037</v>
      </c>
      <c r="C3090" s="35" t="s">
        <v>275</v>
      </c>
      <c r="D3090" s="310" t="s">
        <v>3038</v>
      </c>
      <c r="E3090" s="170" t="s">
        <v>4142</v>
      </c>
      <c r="F3090" s="135" t="s">
        <v>4143</v>
      </c>
      <c r="G3090" s="140" t="s">
        <v>31</v>
      </c>
      <c r="H3090" s="140" t="s">
        <v>4144</v>
      </c>
      <c r="I3090" s="30" t="e">
        <f>VLOOKUP(H3090,'合同高级查询数据-4月返'!A:A,1,FALSE)</f>
        <v>#N/A</v>
      </c>
      <c r="J3090" s="140" t="s">
        <v>3189</v>
      </c>
      <c r="K3090" s="370" t="s">
        <v>4145</v>
      </c>
      <c r="L3090" s="366" t="s">
        <v>4146</v>
      </c>
      <c r="M3090" s="315"/>
      <c r="N3090" s="143">
        <v>44531</v>
      </c>
      <c r="O3090" s="143" t="s">
        <v>179</v>
      </c>
      <c r="P3090" s="371">
        <v>0</v>
      </c>
      <c r="Q3090" s="145">
        <v>1</v>
      </c>
      <c r="R3090" s="126">
        <f t="shared" si="99"/>
        <v>0</v>
      </c>
      <c r="S3090" s="322">
        <v>202304</v>
      </c>
      <c r="T3090" s="375" t="s">
        <v>4148</v>
      </c>
      <c r="U3090" s="349"/>
      <c r="V3090" s="376"/>
      <c r="W3090" s="376"/>
      <c r="X3090" s="193">
        <v>44927</v>
      </c>
      <c r="Y3090" s="193"/>
    </row>
    <row r="3091" s="3" customFormat="1" customHeight="1" spans="1:25">
      <c r="A3091" s="310" t="s">
        <v>444</v>
      </c>
      <c r="B3091" s="310" t="s">
        <v>3037</v>
      </c>
      <c r="C3091" s="35" t="s">
        <v>275</v>
      </c>
      <c r="D3091" s="310" t="s">
        <v>3038</v>
      </c>
      <c r="E3091" s="170" t="s">
        <v>4142</v>
      </c>
      <c r="F3091" s="135" t="s">
        <v>4143</v>
      </c>
      <c r="G3091" s="140" t="s">
        <v>88</v>
      </c>
      <c r="H3091" s="140" t="s">
        <v>4144</v>
      </c>
      <c r="I3091" s="30" t="e">
        <f>VLOOKUP(H3091,'合同高级查询数据-4月返'!A:A,1,FALSE)</f>
        <v>#N/A</v>
      </c>
      <c r="J3091" s="140" t="s">
        <v>162</v>
      </c>
      <c r="K3091" s="370" t="s">
        <v>4145</v>
      </c>
      <c r="L3091" s="366"/>
      <c r="M3091" s="315" t="s">
        <v>4149</v>
      </c>
      <c r="N3091" s="143">
        <v>43026</v>
      </c>
      <c r="O3091" s="143" t="s">
        <v>503</v>
      </c>
      <c r="P3091" s="371">
        <v>5500</v>
      </c>
      <c r="Q3091" s="145">
        <v>3</v>
      </c>
      <c r="R3091" s="126">
        <f t="shared" ref="R3091:R3154" si="100">ROUND(P3091*Q3091,2)</f>
        <v>16500</v>
      </c>
      <c r="S3091" s="322">
        <v>202304</v>
      </c>
      <c r="T3091" s="375"/>
      <c r="U3091" s="349"/>
      <c r="V3091" s="376"/>
      <c r="W3091" s="376"/>
      <c r="X3091" s="193">
        <v>44927</v>
      </c>
      <c r="Y3091" s="193"/>
    </row>
    <row r="3092" s="3" customFormat="1" customHeight="1" spans="1:25">
      <c r="A3092" s="310" t="s">
        <v>444</v>
      </c>
      <c r="B3092" s="310" t="s">
        <v>3037</v>
      </c>
      <c r="C3092" s="35" t="s">
        <v>275</v>
      </c>
      <c r="D3092" s="310" t="s">
        <v>3038</v>
      </c>
      <c r="E3092" s="170" t="s">
        <v>4142</v>
      </c>
      <c r="F3092" s="135" t="s">
        <v>4143</v>
      </c>
      <c r="G3092" s="140" t="s">
        <v>88</v>
      </c>
      <c r="H3092" s="140" t="s">
        <v>4144</v>
      </c>
      <c r="I3092" s="30" t="e">
        <f>VLOOKUP(H3092,'合同高级查询数据-4月返'!A:A,1,FALSE)</f>
        <v>#N/A</v>
      </c>
      <c r="J3092" s="140" t="s">
        <v>162</v>
      </c>
      <c r="K3092" s="370" t="s">
        <v>4145</v>
      </c>
      <c r="L3092" s="366"/>
      <c r="M3092" s="315" t="s">
        <v>4150</v>
      </c>
      <c r="N3092" s="143">
        <v>43413</v>
      </c>
      <c r="O3092" s="143" t="s">
        <v>503</v>
      </c>
      <c r="P3092" s="371">
        <v>5500</v>
      </c>
      <c r="Q3092" s="145">
        <v>4</v>
      </c>
      <c r="R3092" s="126">
        <f t="shared" si="100"/>
        <v>22000</v>
      </c>
      <c r="S3092" s="322">
        <v>202304</v>
      </c>
      <c r="T3092" s="375"/>
      <c r="U3092" s="349"/>
      <c r="V3092" s="376"/>
      <c r="W3092" s="376"/>
      <c r="X3092" s="193">
        <v>44927</v>
      </c>
      <c r="Y3092" s="193"/>
    </row>
    <row r="3093" s="3" customFormat="1" customHeight="1" spans="1:25">
      <c r="A3093" s="310" t="s">
        <v>444</v>
      </c>
      <c r="B3093" s="310" t="s">
        <v>3037</v>
      </c>
      <c r="C3093" s="35" t="s">
        <v>275</v>
      </c>
      <c r="D3093" s="310" t="s">
        <v>3038</v>
      </c>
      <c r="E3093" s="170" t="s">
        <v>4142</v>
      </c>
      <c r="F3093" s="135" t="s">
        <v>4143</v>
      </c>
      <c r="G3093" s="140" t="s">
        <v>88</v>
      </c>
      <c r="H3093" s="140" t="s">
        <v>4144</v>
      </c>
      <c r="I3093" s="30" t="e">
        <f>VLOOKUP(H3093,'合同高级查询数据-4月返'!A:A,1,FALSE)</f>
        <v>#N/A</v>
      </c>
      <c r="J3093" s="140" t="s">
        <v>162</v>
      </c>
      <c r="K3093" s="370" t="s">
        <v>4145</v>
      </c>
      <c r="L3093" s="366"/>
      <c r="M3093" s="315" t="s">
        <v>4150</v>
      </c>
      <c r="N3093" s="143">
        <v>44013</v>
      </c>
      <c r="O3093" s="143" t="s">
        <v>503</v>
      </c>
      <c r="P3093" s="371">
        <v>5500</v>
      </c>
      <c r="Q3093" s="145">
        <v>1</v>
      </c>
      <c r="R3093" s="126">
        <f t="shared" si="100"/>
        <v>5500</v>
      </c>
      <c r="S3093" s="322">
        <v>202304</v>
      </c>
      <c r="T3093" s="375" t="s">
        <v>4151</v>
      </c>
      <c r="U3093" s="349"/>
      <c r="V3093" s="376"/>
      <c r="W3093" s="376"/>
      <c r="X3093" s="193">
        <v>44927</v>
      </c>
      <c r="Y3093" s="193"/>
    </row>
    <row r="3094" s="3" customFormat="1" customHeight="1" spans="1:25">
      <c r="A3094" s="310" t="s">
        <v>444</v>
      </c>
      <c r="B3094" s="310" t="s">
        <v>3037</v>
      </c>
      <c r="C3094" s="35" t="s">
        <v>275</v>
      </c>
      <c r="D3094" s="310" t="s">
        <v>3038</v>
      </c>
      <c r="E3094" s="170" t="s">
        <v>4142</v>
      </c>
      <c r="F3094" s="135" t="s">
        <v>4143</v>
      </c>
      <c r="G3094" s="140" t="s">
        <v>88</v>
      </c>
      <c r="H3094" s="140" t="s">
        <v>4144</v>
      </c>
      <c r="I3094" s="30" t="e">
        <f>VLOOKUP(H3094,'合同高级查询数据-4月返'!A:A,1,FALSE)</f>
        <v>#N/A</v>
      </c>
      <c r="J3094" s="140" t="s">
        <v>162</v>
      </c>
      <c r="K3094" s="370" t="s">
        <v>4145</v>
      </c>
      <c r="L3094" s="366"/>
      <c r="M3094" s="315" t="s">
        <v>4152</v>
      </c>
      <c r="N3094" s="143">
        <v>44101</v>
      </c>
      <c r="O3094" s="143" t="s">
        <v>503</v>
      </c>
      <c r="P3094" s="371">
        <v>5500</v>
      </c>
      <c r="Q3094" s="145">
        <v>2</v>
      </c>
      <c r="R3094" s="126">
        <f t="shared" si="100"/>
        <v>11000</v>
      </c>
      <c r="S3094" s="322">
        <v>202304</v>
      </c>
      <c r="T3094" s="375" t="s">
        <v>4153</v>
      </c>
      <c r="U3094" s="349"/>
      <c r="V3094" s="376"/>
      <c r="W3094" s="376"/>
      <c r="X3094" s="193">
        <v>44927</v>
      </c>
      <c r="Y3094" s="193"/>
    </row>
    <row r="3095" s="3" customFormat="1" customHeight="1" spans="1:25">
      <c r="A3095" s="310" t="s">
        <v>444</v>
      </c>
      <c r="B3095" s="310" t="s">
        <v>3037</v>
      </c>
      <c r="C3095" s="35" t="s">
        <v>275</v>
      </c>
      <c r="D3095" s="310" t="s">
        <v>3038</v>
      </c>
      <c r="E3095" s="170" t="s">
        <v>4142</v>
      </c>
      <c r="F3095" s="135" t="s">
        <v>4143</v>
      </c>
      <c r="G3095" s="140" t="s">
        <v>88</v>
      </c>
      <c r="H3095" s="140" t="s">
        <v>4144</v>
      </c>
      <c r="I3095" s="30" t="e">
        <f>VLOOKUP(H3095,'合同高级查询数据-4月返'!A:A,1,FALSE)</f>
        <v>#N/A</v>
      </c>
      <c r="J3095" s="140" t="s">
        <v>162</v>
      </c>
      <c r="K3095" s="370" t="s">
        <v>4145</v>
      </c>
      <c r="L3095" s="366"/>
      <c r="M3095" s="315" t="s">
        <v>4149</v>
      </c>
      <c r="N3095" s="143">
        <v>44091</v>
      </c>
      <c r="O3095" s="143" t="s">
        <v>503</v>
      </c>
      <c r="P3095" s="371">
        <v>5500</v>
      </c>
      <c r="Q3095" s="145">
        <v>-2</v>
      </c>
      <c r="R3095" s="126">
        <f t="shared" si="100"/>
        <v>-11000</v>
      </c>
      <c r="S3095" s="322">
        <v>202304</v>
      </c>
      <c r="T3095" s="375"/>
      <c r="U3095" s="349"/>
      <c r="V3095" s="376"/>
      <c r="W3095" s="376"/>
      <c r="X3095" s="193">
        <v>44927</v>
      </c>
      <c r="Y3095" s="193"/>
    </row>
    <row r="3096" s="3" customFormat="1" customHeight="1" spans="1:25">
      <c r="A3096" s="310" t="s">
        <v>444</v>
      </c>
      <c r="B3096" s="310" t="s">
        <v>3037</v>
      </c>
      <c r="C3096" s="35" t="s">
        <v>275</v>
      </c>
      <c r="D3096" s="310" t="s">
        <v>3038</v>
      </c>
      <c r="E3096" s="170" t="s">
        <v>4142</v>
      </c>
      <c r="F3096" s="135" t="s">
        <v>4143</v>
      </c>
      <c r="G3096" s="140" t="s">
        <v>88</v>
      </c>
      <c r="H3096" s="140" t="s">
        <v>4144</v>
      </c>
      <c r="I3096" s="30" t="e">
        <f>VLOOKUP(H3096,'合同高级查询数据-4月返'!A:A,1,FALSE)</f>
        <v>#N/A</v>
      </c>
      <c r="J3096" s="140" t="s">
        <v>162</v>
      </c>
      <c r="K3096" s="370" t="s">
        <v>4145</v>
      </c>
      <c r="L3096" s="366"/>
      <c r="M3096" s="315" t="s">
        <v>4149</v>
      </c>
      <c r="N3096" s="143">
        <v>44104</v>
      </c>
      <c r="O3096" s="143" t="s">
        <v>503</v>
      </c>
      <c r="P3096" s="371">
        <v>5500</v>
      </c>
      <c r="Q3096" s="145">
        <v>-1</v>
      </c>
      <c r="R3096" s="126">
        <f t="shared" si="100"/>
        <v>-5500</v>
      </c>
      <c r="S3096" s="322">
        <v>202304</v>
      </c>
      <c r="T3096" s="375"/>
      <c r="U3096" s="349"/>
      <c r="V3096" s="376"/>
      <c r="W3096" s="376"/>
      <c r="X3096" s="193">
        <v>44927</v>
      </c>
      <c r="Y3096" s="193"/>
    </row>
    <row r="3097" s="3" customFormat="1" customHeight="1" spans="1:25">
      <c r="A3097" s="310" t="s">
        <v>444</v>
      </c>
      <c r="B3097" s="310" t="s">
        <v>3037</v>
      </c>
      <c r="C3097" s="35" t="s">
        <v>275</v>
      </c>
      <c r="D3097" s="310" t="s">
        <v>3038</v>
      </c>
      <c r="E3097" s="170" t="s">
        <v>4142</v>
      </c>
      <c r="F3097" s="135" t="s">
        <v>4143</v>
      </c>
      <c r="G3097" s="140" t="s">
        <v>88</v>
      </c>
      <c r="H3097" s="140" t="s">
        <v>4144</v>
      </c>
      <c r="I3097" s="30" t="e">
        <f>VLOOKUP(H3097,'合同高级查询数据-4月返'!A:A,1,FALSE)</f>
        <v>#N/A</v>
      </c>
      <c r="J3097" s="140" t="s">
        <v>162</v>
      </c>
      <c r="K3097" s="370" t="s">
        <v>4145</v>
      </c>
      <c r="L3097" s="366"/>
      <c r="M3097" s="315" t="s">
        <v>4149</v>
      </c>
      <c r="N3097" s="143">
        <v>44256</v>
      </c>
      <c r="O3097" s="143" t="s">
        <v>503</v>
      </c>
      <c r="P3097" s="371">
        <v>5500</v>
      </c>
      <c r="Q3097" s="145">
        <v>2</v>
      </c>
      <c r="R3097" s="126">
        <f t="shared" si="100"/>
        <v>11000</v>
      </c>
      <c r="S3097" s="322">
        <v>202304</v>
      </c>
      <c r="T3097" s="375" t="s">
        <v>4154</v>
      </c>
      <c r="U3097" s="349"/>
      <c r="V3097" s="376"/>
      <c r="W3097" s="376"/>
      <c r="X3097" s="193">
        <v>44927</v>
      </c>
      <c r="Y3097" s="193"/>
    </row>
    <row r="3098" s="3" customFormat="1" customHeight="1" spans="1:25">
      <c r="A3098" s="310" t="s">
        <v>444</v>
      </c>
      <c r="B3098" s="310" t="s">
        <v>3037</v>
      </c>
      <c r="C3098" s="35" t="s">
        <v>275</v>
      </c>
      <c r="D3098" s="310" t="s">
        <v>3038</v>
      </c>
      <c r="E3098" s="170" t="s">
        <v>4142</v>
      </c>
      <c r="F3098" s="135" t="s">
        <v>4143</v>
      </c>
      <c r="G3098" s="140" t="s">
        <v>31</v>
      </c>
      <c r="H3098" s="140" t="s">
        <v>4144</v>
      </c>
      <c r="I3098" s="30" t="e">
        <f>VLOOKUP(H3098,'合同高级查询数据-4月返'!A:A,1,FALSE)</f>
        <v>#N/A</v>
      </c>
      <c r="J3098" s="140" t="s">
        <v>3189</v>
      </c>
      <c r="K3098" s="370" t="s">
        <v>4145</v>
      </c>
      <c r="L3098" s="366" t="s">
        <v>4146</v>
      </c>
      <c r="M3098" s="315" t="s">
        <v>4149</v>
      </c>
      <c r="N3098" s="143">
        <v>44256</v>
      </c>
      <c r="O3098" s="143" t="s">
        <v>37</v>
      </c>
      <c r="P3098" s="371">
        <v>0</v>
      </c>
      <c r="Q3098" s="145">
        <v>128</v>
      </c>
      <c r="R3098" s="126">
        <f t="shared" si="100"/>
        <v>0</v>
      </c>
      <c r="S3098" s="322">
        <v>202304</v>
      </c>
      <c r="T3098" s="375" t="s">
        <v>4155</v>
      </c>
      <c r="U3098" s="349"/>
      <c r="V3098" s="376"/>
      <c r="W3098" s="376"/>
      <c r="X3098" s="193">
        <v>44927</v>
      </c>
      <c r="Y3098" s="193"/>
    </row>
    <row r="3099" s="3" customFormat="1" customHeight="1" spans="1:25">
      <c r="A3099" s="310" t="s">
        <v>444</v>
      </c>
      <c r="B3099" s="310" t="s">
        <v>3037</v>
      </c>
      <c r="C3099" s="35" t="s">
        <v>275</v>
      </c>
      <c r="D3099" s="310" t="s">
        <v>3038</v>
      </c>
      <c r="E3099" s="170" t="s">
        <v>4142</v>
      </c>
      <c r="F3099" s="135" t="s">
        <v>4143</v>
      </c>
      <c r="G3099" s="140" t="s">
        <v>88</v>
      </c>
      <c r="H3099" s="140" t="s">
        <v>4144</v>
      </c>
      <c r="I3099" s="30" t="e">
        <f>VLOOKUP(H3099,'合同高级查询数据-4月返'!A:A,1,FALSE)</f>
        <v>#N/A</v>
      </c>
      <c r="J3099" s="140" t="s">
        <v>162</v>
      </c>
      <c r="K3099" s="370" t="s">
        <v>4145</v>
      </c>
      <c r="L3099" s="366"/>
      <c r="M3099" s="315" t="s">
        <v>4149</v>
      </c>
      <c r="N3099" s="143">
        <v>44391</v>
      </c>
      <c r="O3099" s="143" t="s">
        <v>503</v>
      </c>
      <c r="P3099" s="371">
        <v>5500</v>
      </c>
      <c r="Q3099" s="145">
        <v>-1</v>
      </c>
      <c r="R3099" s="126">
        <f t="shared" si="100"/>
        <v>-5500</v>
      </c>
      <c r="S3099" s="322">
        <v>202304</v>
      </c>
      <c r="T3099" s="375" t="s">
        <v>4156</v>
      </c>
      <c r="U3099" s="349"/>
      <c r="V3099" s="376"/>
      <c r="W3099" s="376"/>
      <c r="X3099" s="193">
        <v>44927</v>
      </c>
      <c r="Y3099" s="193"/>
    </row>
    <row r="3100" s="3" customFormat="1" customHeight="1" spans="1:25">
      <c r="A3100" s="310" t="s">
        <v>444</v>
      </c>
      <c r="B3100" s="310" t="s">
        <v>3037</v>
      </c>
      <c r="C3100" s="35" t="s">
        <v>275</v>
      </c>
      <c r="D3100" s="310" t="s">
        <v>3038</v>
      </c>
      <c r="E3100" s="170" t="s">
        <v>4142</v>
      </c>
      <c r="F3100" s="135" t="s">
        <v>4143</v>
      </c>
      <c r="G3100" s="140" t="s">
        <v>31</v>
      </c>
      <c r="H3100" s="140" t="s">
        <v>4144</v>
      </c>
      <c r="I3100" s="30" t="e">
        <f>VLOOKUP(H3100,'合同高级查询数据-4月返'!A:A,1,FALSE)</f>
        <v>#N/A</v>
      </c>
      <c r="J3100" s="140" t="s">
        <v>3189</v>
      </c>
      <c r="K3100" s="370" t="s">
        <v>4145</v>
      </c>
      <c r="L3100" s="366" t="s">
        <v>4146</v>
      </c>
      <c r="M3100" s="315" t="s">
        <v>4152</v>
      </c>
      <c r="N3100" s="143">
        <v>44428</v>
      </c>
      <c r="O3100" s="143" t="s">
        <v>37</v>
      </c>
      <c r="P3100" s="371">
        <v>0</v>
      </c>
      <c r="Q3100" s="145">
        <v>128</v>
      </c>
      <c r="R3100" s="126">
        <f t="shared" si="100"/>
        <v>0</v>
      </c>
      <c r="S3100" s="322">
        <v>202304</v>
      </c>
      <c r="T3100" s="375" t="s">
        <v>4157</v>
      </c>
      <c r="U3100" s="349"/>
      <c r="V3100" s="376"/>
      <c r="W3100" s="376"/>
      <c r="X3100" s="193">
        <v>44927</v>
      </c>
      <c r="Y3100" s="193"/>
    </row>
    <row r="3101" s="3" customFormat="1" customHeight="1" spans="1:25">
      <c r="A3101" s="310" t="s">
        <v>444</v>
      </c>
      <c r="B3101" s="310" t="s">
        <v>3037</v>
      </c>
      <c r="C3101" s="35" t="s">
        <v>275</v>
      </c>
      <c r="D3101" s="310" t="s">
        <v>3038</v>
      </c>
      <c r="E3101" s="170" t="s">
        <v>4142</v>
      </c>
      <c r="F3101" s="135" t="s">
        <v>4143</v>
      </c>
      <c r="G3101" s="140" t="s">
        <v>88</v>
      </c>
      <c r="H3101" s="140" t="s">
        <v>4144</v>
      </c>
      <c r="I3101" s="30" t="e">
        <f>VLOOKUP(H3101,'合同高级查询数据-4月返'!A:A,1,FALSE)</f>
        <v>#N/A</v>
      </c>
      <c r="J3101" s="140" t="s">
        <v>162</v>
      </c>
      <c r="K3101" s="370" t="s">
        <v>4145</v>
      </c>
      <c r="L3101" s="366" t="s">
        <v>4146</v>
      </c>
      <c r="M3101" s="315" t="s">
        <v>4152</v>
      </c>
      <c r="N3101" s="143">
        <v>44470</v>
      </c>
      <c r="O3101" s="143" t="s">
        <v>503</v>
      </c>
      <c r="P3101" s="371">
        <v>5500</v>
      </c>
      <c r="Q3101" s="145">
        <v>1</v>
      </c>
      <c r="R3101" s="126">
        <f t="shared" si="100"/>
        <v>5500</v>
      </c>
      <c r="S3101" s="322">
        <v>202304</v>
      </c>
      <c r="T3101" s="375" t="s">
        <v>4158</v>
      </c>
      <c r="U3101" s="349"/>
      <c r="V3101" s="376"/>
      <c r="W3101" s="376"/>
      <c r="X3101" s="193">
        <v>44927</v>
      </c>
      <c r="Y3101" s="193"/>
    </row>
    <row r="3102" s="3" customFormat="1" customHeight="1" spans="1:25">
      <c r="A3102" s="310" t="s">
        <v>444</v>
      </c>
      <c r="B3102" s="310" t="s">
        <v>3037</v>
      </c>
      <c r="C3102" s="35" t="s">
        <v>275</v>
      </c>
      <c r="D3102" s="310" t="s">
        <v>3038</v>
      </c>
      <c r="E3102" s="170" t="s">
        <v>4142</v>
      </c>
      <c r="F3102" s="135" t="s">
        <v>4143</v>
      </c>
      <c r="G3102" s="140" t="s">
        <v>31</v>
      </c>
      <c r="H3102" s="140" t="s">
        <v>4144</v>
      </c>
      <c r="I3102" s="30" t="e">
        <f>VLOOKUP(H3102,'合同高级查询数据-4月返'!A:A,1,FALSE)</f>
        <v>#N/A</v>
      </c>
      <c r="J3102" s="140" t="s">
        <v>3189</v>
      </c>
      <c r="K3102" s="370" t="s">
        <v>4159</v>
      </c>
      <c r="L3102" s="366" t="s">
        <v>4146</v>
      </c>
      <c r="M3102" s="315" t="s">
        <v>4152</v>
      </c>
      <c r="N3102" s="143">
        <v>44470</v>
      </c>
      <c r="O3102" s="143" t="s">
        <v>37</v>
      </c>
      <c r="P3102" s="371">
        <v>0</v>
      </c>
      <c r="Q3102" s="145">
        <v>128</v>
      </c>
      <c r="R3102" s="126">
        <f t="shared" si="100"/>
        <v>0</v>
      </c>
      <c r="S3102" s="322">
        <v>202304</v>
      </c>
      <c r="T3102" s="375" t="s">
        <v>4160</v>
      </c>
      <c r="U3102" s="349"/>
      <c r="V3102" s="376"/>
      <c r="W3102" s="376"/>
      <c r="X3102" s="193">
        <v>44927</v>
      </c>
      <c r="Y3102" s="193"/>
    </row>
    <row r="3103" s="3" customFormat="1" customHeight="1" spans="1:25">
      <c r="A3103" s="310" t="s">
        <v>444</v>
      </c>
      <c r="B3103" s="310" t="s">
        <v>3037</v>
      </c>
      <c r="C3103" s="35" t="s">
        <v>275</v>
      </c>
      <c r="D3103" s="310" t="s">
        <v>3038</v>
      </c>
      <c r="E3103" s="170" t="s">
        <v>4142</v>
      </c>
      <c r="F3103" s="135" t="s">
        <v>4143</v>
      </c>
      <c r="G3103" s="140" t="s">
        <v>31</v>
      </c>
      <c r="H3103" s="140" t="s">
        <v>4144</v>
      </c>
      <c r="I3103" s="30" t="e">
        <f>VLOOKUP(H3103,'合同高级查询数据-4月返'!A:A,1,FALSE)</f>
        <v>#N/A</v>
      </c>
      <c r="J3103" s="140" t="s">
        <v>3189</v>
      </c>
      <c r="K3103" s="370" t="s">
        <v>4159</v>
      </c>
      <c r="L3103" s="366" t="s">
        <v>4146</v>
      </c>
      <c r="M3103" s="315" t="s">
        <v>4152</v>
      </c>
      <c r="N3103" s="143">
        <v>44926</v>
      </c>
      <c r="O3103" s="143" t="s">
        <v>37</v>
      </c>
      <c r="P3103" s="371">
        <v>0</v>
      </c>
      <c r="Q3103" s="145">
        <v>-128</v>
      </c>
      <c r="R3103" s="126">
        <f t="shared" si="100"/>
        <v>0</v>
      </c>
      <c r="S3103" s="322">
        <v>202304</v>
      </c>
      <c r="T3103" s="375" t="s">
        <v>4161</v>
      </c>
      <c r="U3103" s="349"/>
      <c r="V3103" s="376"/>
      <c r="W3103" s="376"/>
      <c r="X3103" s="193">
        <v>44927</v>
      </c>
      <c r="Y3103" s="193"/>
    </row>
    <row r="3104" s="3" customFormat="1" customHeight="1" spans="1:25">
      <c r="A3104" s="310" t="s">
        <v>444</v>
      </c>
      <c r="B3104" s="310" t="s">
        <v>3037</v>
      </c>
      <c r="C3104" s="35" t="s">
        <v>275</v>
      </c>
      <c r="D3104" s="310" t="s">
        <v>3038</v>
      </c>
      <c r="E3104" s="170" t="s">
        <v>4142</v>
      </c>
      <c r="F3104" s="135" t="s">
        <v>4143</v>
      </c>
      <c r="G3104" s="140" t="s">
        <v>88</v>
      </c>
      <c r="H3104" s="140" t="s">
        <v>4144</v>
      </c>
      <c r="I3104" s="30" t="e">
        <f>VLOOKUP(H3104,'合同高级查询数据-4月返'!A:A,1,FALSE)</f>
        <v>#N/A</v>
      </c>
      <c r="J3104" s="140" t="s">
        <v>162</v>
      </c>
      <c r="K3104" s="370" t="s">
        <v>4145</v>
      </c>
      <c r="L3104" s="366" t="s">
        <v>4146</v>
      </c>
      <c r="M3104" s="315" t="s">
        <v>4152</v>
      </c>
      <c r="N3104" s="143">
        <v>44562</v>
      </c>
      <c r="O3104" s="143" t="s">
        <v>503</v>
      </c>
      <c r="P3104" s="371">
        <v>5500</v>
      </c>
      <c r="Q3104" s="145">
        <v>2</v>
      </c>
      <c r="R3104" s="126">
        <f t="shared" si="100"/>
        <v>11000</v>
      </c>
      <c r="S3104" s="322">
        <v>202304</v>
      </c>
      <c r="T3104" s="375" t="s">
        <v>4162</v>
      </c>
      <c r="U3104" s="349"/>
      <c r="V3104" s="376"/>
      <c r="W3104" s="376"/>
      <c r="X3104" s="193">
        <v>44927</v>
      </c>
      <c r="Y3104" s="193"/>
    </row>
    <row r="3105" s="3" customFormat="1" customHeight="1" spans="1:25">
      <c r="A3105" s="310" t="s">
        <v>444</v>
      </c>
      <c r="B3105" s="310" t="s">
        <v>3037</v>
      </c>
      <c r="C3105" s="35" t="s">
        <v>275</v>
      </c>
      <c r="D3105" s="310" t="s">
        <v>3038</v>
      </c>
      <c r="E3105" s="170" t="s">
        <v>4142</v>
      </c>
      <c r="F3105" s="135" t="s">
        <v>4143</v>
      </c>
      <c r="G3105" s="140" t="s">
        <v>31</v>
      </c>
      <c r="H3105" s="140" t="s">
        <v>4144</v>
      </c>
      <c r="I3105" s="30" t="e">
        <f>VLOOKUP(H3105,'合同高级查询数据-4月返'!A:A,1,FALSE)</f>
        <v>#N/A</v>
      </c>
      <c r="J3105" s="140" t="s">
        <v>3189</v>
      </c>
      <c r="K3105" s="370" t="s">
        <v>4159</v>
      </c>
      <c r="L3105" s="366" t="s">
        <v>4146</v>
      </c>
      <c r="M3105" s="315" t="s">
        <v>4152</v>
      </c>
      <c r="N3105" s="143">
        <v>44562</v>
      </c>
      <c r="O3105" s="143" t="s">
        <v>37</v>
      </c>
      <c r="P3105" s="371">
        <v>0</v>
      </c>
      <c r="Q3105" s="145">
        <v>128</v>
      </c>
      <c r="R3105" s="126"/>
      <c r="S3105" s="322">
        <v>202304</v>
      </c>
      <c r="T3105" s="375" t="s">
        <v>4163</v>
      </c>
      <c r="U3105" s="349"/>
      <c r="V3105" s="376"/>
      <c r="W3105" s="376"/>
      <c r="X3105" s="193">
        <v>44927</v>
      </c>
      <c r="Y3105" s="193"/>
    </row>
    <row r="3106" s="3" customFormat="1" customHeight="1" spans="1:25">
      <c r="A3106" s="310" t="s">
        <v>444</v>
      </c>
      <c r="B3106" s="310" t="s">
        <v>3037</v>
      </c>
      <c r="C3106" s="35" t="s">
        <v>275</v>
      </c>
      <c r="D3106" s="310" t="s">
        <v>3038</v>
      </c>
      <c r="E3106" s="170" t="s">
        <v>4142</v>
      </c>
      <c r="F3106" s="135" t="s">
        <v>4143</v>
      </c>
      <c r="G3106" s="140" t="s">
        <v>31</v>
      </c>
      <c r="H3106" s="140" t="s">
        <v>4144</v>
      </c>
      <c r="I3106" s="30" t="e">
        <f>VLOOKUP(H3106,'合同高级查询数据-4月返'!A:A,1,FALSE)</f>
        <v>#N/A</v>
      </c>
      <c r="J3106" s="140" t="s">
        <v>3189</v>
      </c>
      <c r="K3106" s="370" t="s">
        <v>4159</v>
      </c>
      <c r="L3106" s="366" t="s">
        <v>4146</v>
      </c>
      <c r="M3106" s="315" t="s">
        <v>4152</v>
      </c>
      <c r="N3106" s="143">
        <v>44926</v>
      </c>
      <c r="O3106" s="143" t="s">
        <v>37</v>
      </c>
      <c r="P3106" s="371">
        <v>0</v>
      </c>
      <c r="Q3106" s="145">
        <v>-128</v>
      </c>
      <c r="R3106" s="126"/>
      <c r="S3106" s="322">
        <v>202304</v>
      </c>
      <c r="T3106" s="375" t="s">
        <v>4164</v>
      </c>
      <c r="U3106" s="349"/>
      <c r="V3106" s="376"/>
      <c r="W3106" s="376"/>
      <c r="X3106" s="193">
        <v>44927</v>
      </c>
      <c r="Y3106" s="193"/>
    </row>
    <row r="3107" s="3" customFormat="1" customHeight="1" spans="1:25">
      <c r="A3107" s="310" t="s">
        <v>444</v>
      </c>
      <c r="B3107" s="310" t="s">
        <v>3037</v>
      </c>
      <c r="C3107" s="35" t="s">
        <v>275</v>
      </c>
      <c r="D3107" s="310" t="s">
        <v>3038</v>
      </c>
      <c r="E3107" s="170" t="s">
        <v>4142</v>
      </c>
      <c r="F3107" s="135" t="s">
        <v>4143</v>
      </c>
      <c r="G3107" s="140" t="s">
        <v>31</v>
      </c>
      <c r="H3107" s="140" t="s">
        <v>4144</v>
      </c>
      <c r="I3107" s="30" t="e">
        <f>VLOOKUP(H3107,'合同高级查询数据-4月返'!A:A,1,FALSE)</f>
        <v>#N/A</v>
      </c>
      <c r="J3107" s="140" t="s">
        <v>3189</v>
      </c>
      <c r="K3107" s="370" t="s">
        <v>4145</v>
      </c>
      <c r="L3107" s="366" t="s">
        <v>4146</v>
      </c>
      <c r="M3107" s="315" t="s">
        <v>4152</v>
      </c>
      <c r="N3107" s="143">
        <v>44562</v>
      </c>
      <c r="O3107" s="143" t="s">
        <v>179</v>
      </c>
      <c r="P3107" s="371">
        <v>0</v>
      </c>
      <c r="Q3107" s="145">
        <v>1</v>
      </c>
      <c r="R3107" s="126">
        <f t="shared" ref="R3107:R3112" si="101">ROUND(P3107*Q3107,2)</f>
        <v>0</v>
      </c>
      <c r="S3107" s="322">
        <v>202304</v>
      </c>
      <c r="T3107" s="375" t="s">
        <v>4165</v>
      </c>
      <c r="U3107" s="349"/>
      <c r="V3107" s="376"/>
      <c r="W3107" s="376"/>
      <c r="X3107" s="193">
        <v>44927</v>
      </c>
      <c r="Y3107" s="193"/>
    </row>
    <row r="3108" s="3" customFormat="1" customHeight="1" spans="1:25">
      <c r="A3108" s="310" t="s">
        <v>444</v>
      </c>
      <c r="B3108" s="310" t="s">
        <v>3037</v>
      </c>
      <c r="C3108" s="35" t="s">
        <v>275</v>
      </c>
      <c r="D3108" s="310" t="s">
        <v>3038</v>
      </c>
      <c r="E3108" s="170" t="s">
        <v>4142</v>
      </c>
      <c r="F3108" s="135" t="s">
        <v>4143</v>
      </c>
      <c r="G3108" s="140" t="s">
        <v>31</v>
      </c>
      <c r="H3108" s="140" t="s">
        <v>4144</v>
      </c>
      <c r="I3108" s="30" t="e">
        <f>VLOOKUP(H3108,'合同高级查询数据-4月返'!A:A,1,FALSE)</f>
        <v>#N/A</v>
      </c>
      <c r="J3108" s="140" t="s">
        <v>3189</v>
      </c>
      <c r="K3108" s="370" t="s">
        <v>4159</v>
      </c>
      <c r="L3108" s="366" t="s">
        <v>4146</v>
      </c>
      <c r="M3108" s="315" t="s">
        <v>4152</v>
      </c>
      <c r="N3108" s="143">
        <v>44651</v>
      </c>
      <c r="O3108" s="143" t="s">
        <v>37</v>
      </c>
      <c r="P3108" s="371">
        <v>0</v>
      </c>
      <c r="Q3108" s="145">
        <v>128</v>
      </c>
      <c r="R3108" s="126">
        <f t="shared" si="101"/>
        <v>0</v>
      </c>
      <c r="S3108" s="322">
        <v>202304</v>
      </c>
      <c r="T3108" s="375" t="s">
        <v>4166</v>
      </c>
      <c r="U3108" s="349"/>
      <c r="V3108" s="376"/>
      <c r="W3108" s="376"/>
      <c r="X3108" s="193">
        <v>44927</v>
      </c>
      <c r="Y3108" s="193"/>
    </row>
    <row r="3109" s="3" customFormat="1" customHeight="1" spans="1:25">
      <c r="A3109" s="310" t="s">
        <v>444</v>
      </c>
      <c r="B3109" s="310" t="s">
        <v>3037</v>
      </c>
      <c r="C3109" s="35" t="s">
        <v>275</v>
      </c>
      <c r="D3109" s="310" t="s">
        <v>3038</v>
      </c>
      <c r="E3109" s="170" t="s">
        <v>4142</v>
      </c>
      <c r="F3109" s="135" t="s">
        <v>4143</v>
      </c>
      <c r="G3109" s="140" t="s">
        <v>31</v>
      </c>
      <c r="H3109" s="140" t="s">
        <v>4144</v>
      </c>
      <c r="I3109" s="30" t="e">
        <f>VLOOKUP(H3109,'合同高级查询数据-4月返'!A:A,1,FALSE)</f>
        <v>#N/A</v>
      </c>
      <c r="J3109" s="140" t="s">
        <v>3189</v>
      </c>
      <c r="K3109" s="370" t="s">
        <v>4159</v>
      </c>
      <c r="L3109" s="366" t="s">
        <v>4146</v>
      </c>
      <c r="M3109" s="315" t="s">
        <v>4152</v>
      </c>
      <c r="N3109" s="143">
        <v>45030</v>
      </c>
      <c r="O3109" s="143" t="s">
        <v>37</v>
      </c>
      <c r="P3109" s="371">
        <v>0</v>
      </c>
      <c r="Q3109" s="145">
        <v>-128</v>
      </c>
      <c r="R3109" s="126">
        <f t="shared" si="101"/>
        <v>0</v>
      </c>
      <c r="S3109" s="322">
        <v>202304</v>
      </c>
      <c r="T3109" s="375" t="s">
        <v>4167</v>
      </c>
      <c r="U3109" s="349"/>
      <c r="V3109" s="376"/>
      <c r="W3109" s="376"/>
      <c r="X3109" s="193">
        <v>44927</v>
      </c>
      <c r="Y3109" s="193"/>
    </row>
    <row r="3110" s="3" customFormat="1" customHeight="1" spans="1:25">
      <c r="A3110" s="310" t="s">
        <v>444</v>
      </c>
      <c r="B3110" s="310" t="s">
        <v>3037</v>
      </c>
      <c r="C3110" s="35" t="s">
        <v>275</v>
      </c>
      <c r="D3110" s="310" t="s">
        <v>3038</v>
      </c>
      <c r="E3110" s="170" t="s">
        <v>4142</v>
      </c>
      <c r="F3110" s="135" t="s">
        <v>4143</v>
      </c>
      <c r="G3110" s="140" t="s">
        <v>88</v>
      </c>
      <c r="H3110" s="140" t="s">
        <v>4144</v>
      </c>
      <c r="I3110" s="30" t="e">
        <f>VLOOKUP(H3110,'合同高级查询数据-4月返'!A:A,1,FALSE)</f>
        <v>#N/A</v>
      </c>
      <c r="J3110" s="140" t="s">
        <v>162</v>
      </c>
      <c r="K3110" s="370" t="s">
        <v>4145</v>
      </c>
      <c r="L3110" s="366" t="s">
        <v>4146</v>
      </c>
      <c r="M3110" s="315" t="s">
        <v>4152</v>
      </c>
      <c r="N3110" s="143">
        <v>44777</v>
      </c>
      <c r="O3110" s="143" t="s">
        <v>503</v>
      </c>
      <c r="P3110" s="371">
        <v>5500</v>
      </c>
      <c r="Q3110" s="145">
        <v>-4</v>
      </c>
      <c r="R3110" s="126">
        <f t="shared" si="101"/>
        <v>-22000</v>
      </c>
      <c r="S3110" s="322">
        <v>202304</v>
      </c>
      <c r="T3110" s="375" t="s">
        <v>4168</v>
      </c>
      <c r="U3110" s="349"/>
      <c r="V3110" s="376"/>
      <c r="W3110" s="376"/>
      <c r="X3110" s="193">
        <v>44927</v>
      </c>
      <c r="Y3110" s="193"/>
    </row>
    <row r="3111" s="3" customFormat="1" customHeight="1" spans="1:25">
      <c r="A3111" s="310" t="s">
        <v>444</v>
      </c>
      <c r="B3111" s="310" t="s">
        <v>3037</v>
      </c>
      <c r="C3111" s="35" t="s">
        <v>275</v>
      </c>
      <c r="D3111" s="310" t="s">
        <v>3038</v>
      </c>
      <c r="E3111" s="170" t="s">
        <v>4142</v>
      </c>
      <c r="F3111" s="135" t="s">
        <v>4143</v>
      </c>
      <c r="G3111" s="140" t="s">
        <v>88</v>
      </c>
      <c r="H3111" s="140" t="s">
        <v>4144</v>
      </c>
      <c r="I3111" s="30" t="e">
        <f>VLOOKUP(H3111,'合同高级查询数据-4月返'!A:A,1,FALSE)</f>
        <v>#N/A</v>
      </c>
      <c r="J3111" s="140" t="s">
        <v>162</v>
      </c>
      <c r="K3111" s="370" t="s">
        <v>4145</v>
      </c>
      <c r="L3111" s="366" t="s">
        <v>4146</v>
      </c>
      <c r="M3111" s="315" t="s">
        <v>4152</v>
      </c>
      <c r="N3111" s="143">
        <v>44904</v>
      </c>
      <c r="O3111" s="143" t="s">
        <v>503</v>
      </c>
      <c r="P3111" s="371">
        <v>5500</v>
      </c>
      <c r="Q3111" s="145">
        <v>1</v>
      </c>
      <c r="R3111" s="126">
        <f t="shared" si="101"/>
        <v>5500</v>
      </c>
      <c r="S3111" s="322">
        <v>202304</v>
      </c>
      <c r="T3111" s="375" t="s">
        <v>4169</v>
      </c>
      <c r="U3111" s="349"/>
      <c r="V3111" s="376"/>
      <c r="W3111" s="376"/>
      <c r="X3111" s="193">
        <v>44927</v>
      </c>
      <c r="Y3111" s="193"/>
    </row>
    <row r="3112" s="3" customFormat="1" customHeight="1" spans="1:25">
      <c r="A3112" s="310" t="s">
        <v>444</v>
      </c>
      <c r="B3112" s="310" t="s">
        <v>3037</v>
      </c>
      <c r="C3112" s="35" t="s">
        <v>275</v>
      </c>
      <c r="D3112" s="310" t="s">
        <v>3038</v>
      </c>
      <c r="E3112" s="170" t="s">
        <v>4142</v>
      </c>
      <c r="F3112" s="135" t="s">
        <v>4143</v>
      </c>
      <c r="G3112" s="140" t="s">
        <v>88</v>
      </c>
      <c r="H3112" s="140" t="s">
        <v>4144</v>
      </c>
      <c r="I3112" s="30" t="e">
        <f>VLOOKUP(H3112,'合同高级查询数据-4月返'!A:A,1,FALSE)</f>
        <v>#N/A</v>
      </c>
      <c r="J3112" s="140" t="s">
        <v>162</v>
      </c>
      <c r="K3112" s="370" t="s">
        <v>4145</v>
      </c>
      <c r="L3112" s="366" t="s">
        <v>4146</v>
      </c>
      <c r="M3112" s="315" t="s">
        <v>4152</v>
      </c>
      <c r="N3112" s="143">
        <v>44922</v>
      </c>
      <c r="O3112" s="143" t="s">
        <v>503</v>
      </c>
      <c r="P3112" s="371">
        <v>5500</v>
      </c>
      <c r="Q3112" s="145">
        <v>1</v>
      </c>
      <c r="R3112" s="126">
        <f t="shared" si="101"/>
        <v>5500</v>
      </c>
      <c r="S3112" s="322">
        <v>202304</v>
      </c>
      <c r="T3112" s="375" t="s">
        <v>4170</v>
      </c>
      <c r="U3112" s="349"/>
      <c r="V3112" s="376"/>
      <c r="W3112" s="376"/>
      <c r="X3112" s="193">
        <v>44927</v>
      </c>
      <c r="Y3112" s="193"/>
    </row>
    <row r="3113" s="3" customFormat="1" customHeight="1" spans="1:25">
      <c r="A3113" s="310" t="s">
        <v>444</v>
      </c>
      <c r="B3113" s="310" t="s">
        <v>3037</v>
      </c>
      <c r="C3113" s="35" t="s">
        <v>227</v>
      </c>
      <c r="D3113" s="310" t="s">
        <v>3038</v>
      </c>
      <c r="E3113" s="170" t="s">
        <v>4171</v>
      </c>
      <c r="F3113" s="135" t="s">
        <v>4172</v>
      </c>
      <c r="G3113" s="140" t="s">
        <v>88</v>
      </c>
      <c r="H3113" s="381" t="s">
        <v>4173</v>
      </c>
      <c r="I3113" s="30" t="e">
        <f>VLOOKUP(H3113,'合同高级查询数据-4月返'!A:A,1,FALSE)</f>
        <v>#N/A</v>
      </c>
      <c r="J3113" s="140" t="s">
        <v>162</v>
      </c>
      <c r="K3113" s="370" t="s">
        <v>4174</v>
      </c>
      <c r="L3113" s="366"/>
      <c r="M3113" s="315" t="s">
        <v>4175</v>
      </c>
      <c r="N3113" s="143">
        <v>43647</v>
      </c>
      <c r="O3113" s="143" t="s">
        <v>163</v>
      </c>
      <c r="P3113" s="371">
        <v>5000</v>
      </c>
      <c r="Q3113" s="145">
        <v>2</v>
      </c>
      <c r="R3113" s="126">
        <f t="shared" si="100"/>
        <v>10000</v>
      </c>
      <c r="S3113" s="322">
        <v>202304</v>
      </c>
      <c r="T3113" s="375"/>
      <c r="U3113" s="349"/>
      <c r="V3113" s="376"/>
      <c r="W3113" s="376"/>
      <c r="X3113" s="193">
        <v>44927</v>
      </c>
      <c r="Y3113" s="193"/>
    </row>
    <row r="3114" s="3" customFormat="1" customHeight="1" spans="1:25">
      <c r="A3114" s="310" t="s">
        <v>444</v>
      </c>
      <c r="B3114" s="310" t="s">
        <v>3037</v>
      </c>
      <c r="C3114" s="35" t="s">
        <v>227</v>
      </c>
      <c r="D3114" s="310" t="s">
        <v>3038</v>
      </c>
      <c r="E3114" s="170" t="s">
        <v>4171</v>
      </c>
      <c r="F3114" s="135" t="s">
        <v>4172</v>
      </c>
      <c r="G3114" s="140" t="s">
        <v>88</v>
      </c>
      <c r="H3114" s="381" t="s">
        <v>4173</v>
      </c>
      <c r="I3114" s="30" t="e">
        <f>VLOOKUP(H3114,'合同高级查询数据-4月返'!A:A,1,FALSE)</f>
        <v>#N/A</v>
      </c>
      <c r="J3114" s="140" t="s">
        <v>162</v>
      </c>
      <c r="K3114" s="370" t="s">
        <v>4174</v>
      </c>
      <c r="L3114" s="366"/>
      <c r="M3114" s="315" t="s">
        <v>4176</v>
      </c>
      <c r="N3114" s="143">
        <v>43497</v>
      </c>
      <c r="O3114" s="143" t="s">
        <v>163</v>
      </c>
      <c r="P3114" s="371">
        <v>5000</v>
      </c>
      <c r="Q3114" s="145">
        <v>4</v>
      </c>
      <c r="R3114" s="126">
        <f t="shared" si="100"/>
        <v>20000</v>
      </c>
      <c r="S3114" s="322">
        <v>202304</v>
      </c>
      <c r="T3114" s="375" t="s">
        <v>4177</v>
      </c>
      <c r="U3114" s="349"/>
      <c r="V3114" s="376"/>
      <c r="W3114" s="376"/>
      <c r="X3114" s="193">
        <v>44927</v>
      </c>
      <c r="Y3114" s="193"/>
    </row>
    <row r="3115" s="3" customFormat="1" customHeight="1" spans="1:25">
      <c r="A3115" s="310" t="s">
        <v>444</v>
      </c>
      <c r="B3115" s="310" t="s">
        <v>3037</v>
      </c>
      <c r="C3115" s="35" t="s">
        <v>227</v>
      </c>
      <c r="D3115" s="310" t="s">
        <v>3038</v>
      </c>
      <c r="E3115" s="170" t="s">
        <v>4171</v>
      </c>
      <c r="F3115" s="135" t="s">
        <v>4172</v>
      </c>
      <c r="G3115" s="140" t="s">
        <v>88</v>
      </c>
      <c r="H3115" s="382" t="s">
        <v>4178</v>
      </c>
      <c r="I3115" s="30" t="e">
        <f>VLOOKUP(H3115,'合同高级查询数据-4月返'!A:A,1,FALSE)</f>
        <v>#N/A</v>
      </c>
      <c r="J3115" s="140" t="s">
        <v>162</v>
      </c>
      <c r="K3115" s="370" t="s">
        <v>4179</v>
      </c>
      <c r="L3115" s="366" t="s">
        <v>4180</v>
      </c>
      <c r="M3115" s="315" t="s">
        <v>4181</v>
      </c>
      <c r="N3115" s="143">
        <v>44562</v>
      </c>
      <c r="O3115" s="143" t="s">
        <v>163</v>
      </c>
      <c r="P3115" s="371">
        <v>5000</v>
      </c>
      <c r="Q3115" s="145">
        <v>2</v>
      </c>
      <c r="R3115" s="126">
        <f t="shared" si="100"/>
        <v>10000</v>
      </c>
      <c r="S3115" s="322">
        <v>202304</v>
      </c>
      <c r="T3115" s="375" t="s">
        <v>4182</v>
      </c>
      <c r="U3115" s="349"/>
      <c r="V3115" s="376"/>
      <c r="W3115" s="376"/>
      <c r="X3115" s="193">
        <v>44562</v>
      </c>
      <c r="Y3115" s="193"/>
    </row>
    <row r="3116" s="3" customFormat="1" customHeight="1" spans="1:25">
      <c r="A3116" s="310" t="s">
        <v>444</v>
      </c>
      <c r="B3116" s="310" t="s">
        <v>3037</v>
      </c>
      <c r="C3116" s="35" t="s">
        <v>227</v>
      </c>
      <c r="D3116" s="310" t="s">
        <v>3038</v>
      </c>
      <c r="E3116" s="170" t="s">
        <v>4171</v>
      </c>
      <c r="F3116" s="135" t="s">
        <v>4172</v>
      </c>
      <c r="G3116" s="140" t="s">
        <v>88</v>
      </c>
      <c r="H3116" s="381" t="s">
        <v>4173</v>
      </c>
      <c r="I3116" s="30" t="e">
        <f>VLOOKUP(H3116,'合同高级查询数据-4月返'!A:A,1,FALSE)</f>
        <v>#N/A</v>
      </c>
      <c r="J3116" s="140" t="s">
        <v>162</v>
      </c>
      <c r="K3116" s="370" t="s">
        <v>4174</v>
      </c>
      <c r="L3116" s="366"/>
      <c r="M3116" s="315" t="s">
        <v>4175</v>
      </c>
      <c r="N3116" s="143">
        <v>44712</v>
      </c>
      <c r="O3116" s="143" t="s">
        <v>163</v>
      </c>
      <c r="P3116" s="371">
        <v>5000</v>
      </c>
      <c r="Q3116" s="145">
        <v>-2</v>
      </c>
      <c r="R3116" s="126">
        <f t="shared" si="100"/>
        <v>-10000</v>
      </c>
      <c r="S3116" s="322">
        <v>202304</v>
      </c>
      <c r="T3116" s="375" t="s">
        <v>4183</v>
      </c>
      <c r="U3116" s="349"/>
      <c r="V3116" s="376"/>
      <c r="W3116" s="376"/>
      <c r="X3116" s="193">
        <v>44927</v>
      </c>
      <c r="Y3116" s="193"/>
    </row>
    <row r="3117" s="3" customFormat="1" customHeight="1" spans="1:25">
      <c r="A3117" s="310" t="s">
        <v>444</v>
      </c>
      <c r="B3117" s="310" t="s">
        <v>3037</v>
      </c>
      <c r="C3117" s="35" t="s">
        <v>227</v>
      </c>
      <c r="D3117" s="310" t="s">
        <v>3038</v>
      </c>
      <c r="E3117" s="170" t="s">
        <v>4171</v>
      </c>
      <c r="F3117" s="135" t="s">
        <v>4172</v>
      </c>
      <c r="G3117" s="140" t="s">
        <v>31</v>
      </c>
      <c r="H3117" s="381" t="s">
        <v>4173</v>
      </c>
      <c r="I3117" s="30" t="e">
        <f>VLOOKUP(H3117,'合同高级查询数据-4月返'!A:A,1,FALSE)</f>
        <v>#N/A</v>
      </c>
      <c r="J3117" s="140" t="s">
        <v>3189</v>
      </c>
      <c r="K3117" s="370" t="s">
        <v>4174</v>
      </c>
      <c r="L3117" s="366"/>
      <c r="M3117" s="315"/>
      <c r="N3117" s="143">
        <v>43709</v>
      </c>
      <c r="O3117" s="143" t="s">
        <v>37</v>
      </c>
      <c r="P3117" s="371">
        <v>0</v>
      </c>
      <c r="Q3117" s="145">
        <v>160</v>
      </c>
      <c r="R3117" s="126">
        <f t="shared" si="100"/>
        <v>0</v>
      </c>
      <c r="S3117" s="322">
        <v>202304</v>
      </c>
      <c r="T3117" s="375" t="s">
        <v>4184</v>
      </c>
      <c r="U3117" s="349"/>
      <c r="V3117" s="376"/>
      <c r="W3117" s="376"/>
      <c r="X3117" s="193">
        <v>44927</v>
      </c>
      <c r="Y3117" s="193"/>
    </row>
    <row r="3118" s="3" customFormat="1" customHeight="1" spans="1:25">
      <c r="A3118" s="310" t="s">
        <v>444</v>
      </c>
      <c r="B3118" s="310" t="s">
        <v>3037</v>
      </c>
      <c r="C3118" s="35" t="s">
        <v>227</v>
      </c>
      <c r="D3118" s="310" t="s">
        <v>3038</v>
      </c>
      <c r="E3118" s="170" t="s">
        <v>4171</v>
      </c>
      <c r="F3118" s="135" t="s">
        <v>4172</v>
      </c>
      <c r="G3118" s="140" t="s">
        <v>31</v>
      </c>
      <c r="H3118" s="381" t="s">
        <v>4173</v>
      </c>
      <c r="I3118" s="30" t="e">
        <f>VLOOKUP(H3118,'合同高级查询数据-4月返'!A:A,1,FALSE)</f>
        <v>#N/A</v>
      </c>
      <c r="J3118" s="140" t="s">
        <v>3189</v>
      </c>
      <c r="K3118" s="370" t="s">
        <v>4174</v>
      </c>
      <c r="L3118" s="366"/>
      <c r="M3118" s="315"/>
      <c r="N3118" s="143">
        <v>43497</v>
      </c>
      <c r="O3118" s="143" t="s">
        <v>37</v>
      </c>
      <c r="P3118" s="371">
        <v>0</v>
      </c>
      <c r="Q3118" s="145">
        <v>288</v>
      </c>
      <c r="R3118" s="126">
        <f t="shared" si="100"/>
        <v>0</v>
      </c>
      <c r="S3118" s="322">
        <v>202304</v>
      </c>
      <c r="T3118" s="375" t="s">
        <v>4185</v>
      </c>
      <c r="U3118" s="349"/>
      <c r="V3118" s="376"/>
      <c r="W3118" s="376"/>
      <c r="X3118" s="193">
        <v>44927</v>
      </c>
      <c r="Y3118" s="193"/>
    </row>
    <row r="3119" s="3" customFormat="1" customHeight="1" spans="1:25">
      <c r="A3119" s="310" t="s">
        <v>444</v>
      </c>
      <c r="B3119" s="310" t="s">
        <v>3037</v>
      </c>
      <c r="C3119" s="35" t="s">
        <v>227</v>
      </c>
      <c r="D3119" s="310" t="s">
        <v>3038</v>
      </c>
      <c r="E3119" s="170" t="s">
        <v>4171</v>
      </c>
      <c r="F3119" s="135" t="s">
        <v>4172</v>
      </c>
      <c r="G3119" s="140" t="s">
        <v>31</v>
      </c>
      <c r="H3119" s="381" t="s">
        <v>4173</v>
      </c>
      <c r="I3119" s="30" t="e">
        <f>VLOOKUP(H3119,'合同高级查询数据-4月返'!A:A,1,FALSE)</f>
        <v>#N/A</v>
      </c>
      <c r="J3119" s="140" t="s">
        <v>3189</v>
      </c>
      <c r="K3119" s="370" t="s">
        <v>4174</v>
      </c>
      <c r="L3119" s="366"/>
      <c r="M3119" s="315"/>
      <c r="N3119" s="143">
        <v>44712</v>
      </c>
      <c r="O3119" s="143" t="s">
        <v>37</v>
      </c>
      <c r="P3119" s="371">
        <v>0</v>
      </c>
      <c r="Q3119" s="145">
        <v>-160</v>
      </c>
      <c r="R3119" s="126">
        <f t="shared" si="100"/>
        <v>0</v>
      </c>
      <c r="S3119" s="322">
        <v>202304</v>
      </c>
      <c r="T3119" s="375" t="s">
        <v>4186</v>
      </c>
      <c r="U3119" s="349"/>
      <c r="V3119" s="376"/>
      <c r="W3119" s="376"/>
      <c r="X3119" s="193">
        <v>44927</v>
      </c>
      <c r="Y3119" s="193"/>
    </row>
    <row r="3120" s="3" customFormat="1" customHeight="1" spans="1:25">
      <c r="A3120" s="310" t="s">
        <v>444</v>
      </c>
      <c r="B3120" s="310" t="s">
        <v>3037</v>
      </c>
      <c r="C3120" s="35" t="s">
        <v>227</v>
      </c>
      <c r="D3120" s="310" t="s">
        <v>3038</v>
      </c>
      <c r="E3120" s="170" t="s">
        <v>4171</v>
      </c>
      <c r="F3120" s="135" t="s">
        <v>4172</v>
      </c>
      <c r="G3120" s="140" t="s">
        <v>31</v>
      </c>
      <c r="H3120" s="382" t="s">
        <v>4178</v>
      </c>
      <c r="I3120" s="30" t="e">
        <f>VLOOKUP(H3120,'合同高级查询数据-4月返'!A:A,1,FALSE)</f>
        <v>#N/A</v>
      </c>
      <c r="J3120" s="140" t="s">
        <v>3189</v>
      </c>
      <c r="K3120" s="370" t="s">
        <v>4179</v>
      </c>
      <c r="L3120" s="366" t="s">
        <v>4180</v>
      </c>
      <c r="M3120" s="315" t="s">
        <v>4181</v>
      </c>
      <c r="N3120" s="143">
        <v>44562</v>
      </c>
      <c r="O3120" s="143" t="s">
        <v>37</v>
      </c>
      <c r="P3120" s="371">
        <v>0</v>
      </c>
      <c r="Q3120" s="145">
        <v>128</v>
      </c>
      <c r="R3120" s="126">
        <f t="shared" si="100"/>
        <v>0</v>
      </c>
      <c r="S3120" s="322">
        <v>202304</v>
      </c>
      <c r="T3120" s="375" t="s">
        <v>4187</v>
      </c>
      <c r="U3120" s="349"/>
      <c r="V3120" s="376"/>
      <c r="W3120" s="376"/>
      <c r="X3120" s="193">
        <v>44562</v>
      </c>
      <c r="Y3120" s="193"/>
    </row>
    <row r="3121" s="3" customFormat="1" customHeight="1" spans="1:25">
      <c r="A3121" s="310" t="s">
        <v>444</v>
      </c>
      <c r="B3121" s="310" t="s">
        <v>3037</v>
      </c>
      <c r="C3121" s="35" t="s">
        <v>227</v>
      </c>
      <c r="D3121" s="310" t="s">
        <v>3038</v>
      </c>
      <c r="E3121" s="170" t="s">
        <v>4171</v>
      </c>
      <c r="F3121" s="135" t="s">
        <v>4172</v>
      </c>
      <c r="G3121" s="140" t="s">
        <v>31</v>
      </c>
      <c r="H3121" s="382" t="s">
        <v>4178</v>
      </c>
      <c r="I3121" s="30" t="e">
        <f>VLOOKUP(H3121,'合同高级查询数据-4月返'!A:A,1,FALSE)</f>
        <v>#N/A</v>
      </c>
      <c r="J3121" s="140" t="s">
        <v>3189</v>
      </c>
      <c r="K3121" s="370" t="s">
        <v>4174</v>
      </c>
      <c r="L3121" s="366" t="s">
        <v>4180</v>
      </c>
      <c r="M3121" s="315" t="s">
        <v>4181</v>
      </c>
      <c r="N3121" s="143">
        <v>44562</v>
      </c>
      <c r="O3121" s="143" t="s">
        <v>179</v>
      </c>
      <c r="P3121" s="371">
        <v>0</v>
      </c>
      <c r="Q3121" s="145">
        <v>1</v>
      </c>
      <c r="R3121" s="126">
        <f t="shared" si="100"/>
        <v>0</v>
      </c>
      <c r="S3121" s="322">
        <v>202304</v>
      </c>
      <c r="T3121" s="375" t="s">
        <v>4188</v>
      </c>
      <c r="U3121" s="349"/>
      <c r="V3121" s="376"/>
      <c r="W3121" s="376"/>
      <c r="X3121" s="193">
        <v>44927</v>
      </c>
      <c r="Y3121" s="193"/>
    </row>
    <row r="3122" s="3" customFormat="1" customHeight="1" spans="1:25">
      <c r="A3122" s="310" t="s">
        <v>444</v>
      </c>
      <c r="B3122" s="310" t="s">
        <v>3037</v>
      </c>
      <c r="C3122" s="35" t="s">
        <v>227</v>
      </c>
      <c r="D3122" s="310" t="s">
        <v>3038</v>
      </c>
      <c r="E3122" s="170" t="s">
        <v>4171</v>
      </c>
      <c r="F3122" s="135" t="s">
        <v>4172</v>
      </c>
      <c r="G3122" s="140" t="s">
        <v>88</v>
      </c>
      <c r="H3122" s="381" t="s">
        <v>4173</v>
      </c>
      <c r="I3122" s="30" t="e">
        <f>VLOOKUP(H3122,'合同高级查询数据-4月返'!A:A,1,FALSE)</f>
        <v>#N/A</v>
      </c>
      <c r="J3122" s="140" t="s">
        <v>162</v>
      </c>
      <c r="K3122" s="370" t="s">
        <v>4174</v>
      </c>
      <c r="L3122" s="366" t="s">
        <v>4180</v>
      </c>
      <c r="M3122" s="315" t="s">
        <v>4175</v>
      </c>
      <c r="N3122" s="143">
        <v>44776</v>
      </c>
      <c r="O3122" s="143" t="s">
        <v>163</v>
      </c>
      <c r="P3122" s="371">
        <v>5000</v>
      </c>
      <c r="Q3122" s="145">
        <v>-1</v>
      </c>
      <c r="R3122" s="126">
        <f t="shared" ref="R3122:R3125" si="102">ROUND(P3122*Q3122,2)</f>
        <v>-5000</v>
      </c>
      <c r="S3122" s="322">
        <v>202304</v>
      </c>
      <c r="T3122" s="375" t="s">
        <v>4189</v>
      </c>
      <c r="U3122" s="349"/>
      <c r="V3122" s="376"/>
      <c r="W3122" s="376"/>
      <c r="X3122" s="193">
        <v>44927</v>
      </c>
      <c r="Y3122" s="193"/>
    </row>
    <row r="3123" s="3" customFormat="1" customHeight="1" spans="1:25">
      <c r="A3123" s="310" t="s">
        <v>444</v>
      </c>
      <c r="B3123" s="310" t="s">
        <v>3037</v>
      </c>
      <c r="C3123" s="35" t="s">
        <v>227</v>
      </c>
      <c r="D3123" s="310" t="s">
        <v>3038</v>
      </c>
      <c r="E3123" s="170" t="s">
        <v>4171</v>
      </c>
      <c r="F3123" s="135" t="s">
        <v>4172</v>
      </c>
      <c r="G3123" s="140" t="s">
        <v>31</v>
      </c>
      <c r="H3123" s="381" t="s">
        <v>4173</v>
      </c>
      <c r="I3123" s="30" t="e">
        <f>VLOOKUP(H3123,'合同高级查询数据-4月返'!A:A,1,FALSE)</f>
        <v>#N/A</v>
      </c>
      <c r="J3123" s="140" t="s">
        <v>3189</v>
      </c>
      <c r="K3123" s="370" t="s">
        <v>4174</v>
      </c>
      <c r="L3123" s="366" t="s">
        <v>4180</v>
      </c>
      <c r="M3123" s="315" t="s">
        <v>4181</v>
      </c>
      <c r="N3123" s="143">
        <v>44783</v>
      </c>
      <c r="O3123" s="143" t="s">
        <v>37</v>
      </c>
      <c r="P3123" s="371">
        <v>0</v>
      </c>
      <c r="Q3123" s="145">
        <v>-128</v>
      </c>
      <c r="R3123" s="126">
        <f t="shared" si="102"/>
        <v>0</v>
      </c>
      <c r="S3123" s="322">
        <v>202304</v>
      </c>
      <c r="T3123" s="375" t="s">
        <v>4190</v>
      </c>
      <c r="U3123" s="349"/>
      <c r="V3123" s="376"/>
      <c r="W3123" s="376"/>
      <c r="X3123" s="193">
        <v>44562</v>
      </c>
      <c r="Y3123" s="193"/>
    </row>
    <row r="3124" s="3" customFormat="1" customHeight="1" spans="1:25">
      <c r="A3124" s="310" t="s">
        <v>444</v>
      </c>
      <c r="B3124" s="310" t="s">
        <v>3037</v>
      </c>
      <c r="C3124" s="35" t="s">
        <v>188</v>
      </c>
      <c r="D3124" s="310" t="s">
        <v>3038</v>
      </c>
      <c r="E3124" s="170" t="s">
        <v>4191</v>
      </c>
      <c r="F3124" s="135" t="s">
        <v>4192</v>
      </c>
      <c r="G3124" s="140" t="s">
        <v>31</v>
      </c>
      <c r="H3124" s="140" t="s">
        <v>4193</v>
      </c>
      <c r="I3124" s="30" t="e">
        <f>VLOOKUP(H3124,'合同高级查询数据-4月返'!A:A,1,FALSE)</f>
        <v>#N/A</v>
      </c>
      <c r="J3124" s="140" t="s">
        <v>3189</v>
      </c>
      <c r="K3124" s="370" t="s">
        <v>4091</v>
      </c>
      <c r="L3124" s="366" t="s">
        <v>4194</v>
      </c>
      <c r="M3124" s="315"/>
      <c r="N3124" s="143">
        <v>43506</v>
      </c>
      <c r="O3124" s="143" t="s">
        <v>37</v>
      </c>
      <c r="P3124" s="371">
        <v>0</v>
      </c>
      <c r="Q3124" s="145">
        <v>544</v>
      </c>
      <c r="R3124" s="126">
        <f t="shared" si="102"/>
        <v>0</v>
      </c>
      <c r="S3124" s="322">
        <v>202304</v>
      </c>
      <c r="T3124" s="375" t="s">
        <v>4195</v>
      </c>
      <c r="U3124" s="349"/>
      <c r="V3124" s="376"/>
      <c r="W3124" s="376"/>
      <c r="X3124" s="193">
        <v>44927</v>
      </c>
      <c r="Y3124" s="193"/>
    </row>
    <row r="3125" s="3" customFormat="1" customHeight="1" spans="1:25">
      <c r="A3125" s="310" t="s">
        <v>444</v>
      </c>
      <c r="B3125" s="310" t="s">
        <v>3037</v>
      </c>
      <c r="C3125" s="35" t="s">
        <v>188</v>
      </c>
      <c r="D3125" s="310" t="s">
        <v>3038</v>
      </c>
      <c r="E3125" s="170" t="s">
        <v>4191</v>
      </c>
      <c r="F3125" s="135" t="s">
        <v>4192</v>
      </c>
      <c r="G3125" s="140" t="s">
        <v>31</v>
      </c>
      <c r="H3125" s="140" t="s">
        <v>4193</v>
      </c>
      <c r="I3125" s="30" t="e">
        <f>VLOOKUP(H3125,'合同高级查询数据-4月返'!A:A,1,FALSE)</f>
        <v>#N/A</v>
      </c>
      <c r="J3125" s="140" t="s">
        <v>3189</v>
      </c>
      <c r="K3125" s="370" t="s">
        <v>4091</v>
      </c>
      <c r="L3125" s="366" t="s">
        <v>4194</v>
      </c>
      <c r="M3125" s="315"/>
      <c r="N3125" s="143">
        <v>44773</v>
      </c>
      <c r="O3125" s="143" t="s">
        <v>37</v>
      </c>
      <c r="P3125" s="371">
        <v>0</v>
      </c>
      <c r="Q3125" s="145">
        <v>-544</v>
      </c>
      <c r="R3125" s="126">
        <f t="shared" si="102"/>
        <v>0</v>
      </c>
      <c r="S3125" s="322">
        <v>202304</v>
      </c>
      <c r="T3125" s="375" t="s">
        <v>4196</v>
      </c>
      <c r="U3125" s="349"/>
      <c r="V3125" s="376"/>
      <c r="W3125" s="376"/>
      <c r="X3125" s="193">
        <v>44927</v>
      </c>
      <c r="Y3125" s="193"/>
    </row>
    <row r="3126" s="3" customFormat="1" customHeight="1" spans="1:25">
      <c r="A3126" s="310" t="s">
        <v>444</v>
      </c>
      <c r="B3126" s="310" t="s">
        <v>3037</v>
      </c>
      <c r="C3126" s="35" t="s">
        <v>188</v>
      </c>
      <c r="D3126" s="310" t="s">
        <v>3038</v>
      </c>
      <c r="E3126" s="170" t="s">
        <v>4191</v>
      </c>
      <c r="F3126" s="135" t="s">
        <v>4192</v>
      </c>
      <c r="G3126" s="140" t="s">
        <v>88</v>
      </c>
      <c r="H3126" s="140" t="s">
        <v>4193</v>
      </c>
      <c r="I3126" s="30" t="e">
        <f>VLOOKUP(H3126,'合同高级查询数据-4月返'!A:A,1,FALSE)</f>
        <v>#N/A</v>
      </c>
      <c r="J3126" s="140" t="s">
        <v>162</v>
      </c>
      <c r="K3126" s="370" t="s">
        <v>3929</v>
      </c>
      <c r="L3126" s="366"/>
      <c r="M3126" s="315" t="s">
        <v>4197</v>
      </c>
      <c r="N3126" s="143">
        <v>43354</v>
      </c>
      <c r="O3126" s="143" t="s">
        <v>92</v>
      </c>
      <c r="P3126" s="371">
        <v>4722</v>
      </c>
      <c r="Q3126" s="145">
        <v>5</v>
      </c>
      <c r="R3126" s="126">
        <f t="shared" si="100"/>
        <v>23610</v>
      </c>
      <c r="S3126" s="322">
        <v>202304</v>
      </c>
      <c r="T3126" s="375" t="s">
        <v>4198</v>
      </c>
      <c r="U3126" s="349"/>
      <c r="V3126" s="376"/>
      <c r="W3126" s="376"/>
      <c r="X3126" s="193">
        <v>44927</v>
      </c>
      <c r="Y3126" s="193"/>
    </row>
    <row r="3127" s="3" customFormat="1" customHeight="1" spans="1:25">
      <c r="A3127" s="310" t="s">
        <v>444</v>
      </c>
      <c r="B3127" s="310" t="s">
        <v>3037</v>
      </c>
      <c r="C3127" s="35" t="s">
        <v>188</v>
      </c>
      <c r="D3127" s="310" t="s">
        <v>3038</v>
      </c>
      <c r="E3127" s="170" t="s">
        <v>4191</v>
      </c>
      <c r="F3127" s="135" t="s">
        <v>4192</v>
      </c>
      <c r="G3127" s="140" t="s">
        <v>88</v>
      </c>
      <c r="H3127" s="140" t="s">
        <v>4193</v>
      </c>
      <c r="I3127" s="30" t="e">
        <f>VLOOKUP(H3127,'合同高级查询数据-4月返'!A:A,1,FALSE)</f>
        <v>#N/A</v>
      </c>
      <c r="J3127" s="140" t="s">
        <v>162</v>
      </c>
      <c r="K3127" s="370" t="s">
        <v>3929</v>
      </c>
      <c r="L3127" s="366"/>
      <c r="M3127" s="315" t="s">
        <v>4197</v>
      </c>
      <c r="N3127" s="143">
        <v>44681</v>
      </c>
      <c r="O3127" s="143" t="s">
        <v>92</v>
      </c>
      <c r="P3127" s="371">
        <v>4722</v>
      </c>
      <c r="Q3127" s="145">
        <v>-5</v>
      </c>
      <c r="R3127" s="126">
        <f t="shared" si="100"/>
        <v>-23610</v>
      </c>
      <c r="S3127" s="322">
        <v>202304</v>
      </c>
      <c r="T3127" s="375" t="s">
        <v>4199</v>
      </c>
      <c r="U3127" s="349"/>
      <c r="V3127" s="376"/>
      <c r="W3127" s="376"/>
      <c r="X3127" s="193">
        <v>44927</v>
      </c>
      <c r="Y3127" s="193"/>
    </row>
    <row r="3128" s="3" customFormat="1" customHeight="1" spans="1:25">
      <c r="A3128" s="310" t="s">
        <v>444</v>
      </c>
      <c r="B3128" s="310" t="s">
        <v>3037</v>
      </c>
      <c r="C3128" s="35" t="s">
        <v>188</v>
      </c>
      <c r="D3128" s="310" t="s">
        <v>3038</v>
      </c>
      <c r="E3128" s="170" t="s">
        <v>4191</v>
      </c>
      <c r="F3128" s="135" t="s">
        <v>4192</v>
      </c>
      <c r="G3128" s="140" t="s">
        <v>88</v>
      </c>
      <c r="H3128" s="140" t="s">
        <v>4193</v>
      </c>
      <c r="I3128" s="30" t="e">
        <f>VLOOKUP(H3128,'合同高级查询数据-4月返'!A:A,1,FALSE)</f>
        <v>#N/A</v>
      </c>
      <c r="J3128" s="140" t="s">
        <v>162</v>
      </c>
      <c r="K3128" s="370" t="s">
        <v>3936</v>
      </c>
      <c r="L3128" s="366"/>
      <c r="M3128" s="315" t="s">
        <v>4197</v>
      </c>
      <c r="N3128" s="143">
        <v>43354</v>
      </c>
      <c r="O3128" s="143" t="s">
        <v>92</v>
      </c>
      <c r="P3128" s="371">
        <v>4722</v>
      </c>
      <c r="Q3128" s="145">
        <v>10</v>
      </c>
      <c r="R3128" s="126">
        <f t="shared" si="100"/>
        <v>47220</v>
      </c>
      <c r="S3128" s="322">
        <v>202304</v>
      </c>
      <c r="T3128" s="375" t="s">
        <v>4200</v>
      </c>
      <c r="U3128" s="349"/>
      <c r="V3128" s="376"/>
      <c r="W3128" s="376"/>
      <c r="X3128" s="193">
        <v>44927</v>
      </c>
      <c r="Y3128" s="193"/>
    </row>
    <row r="3129" s="3" customFormat="1" customHeight="1" spans="1:25">
      <c r="A3129" s="310" t="s">
        <v>444</v>
      </c>
      <c r="B3129" s="310" t="s">
        <v>3037</v>
      </c>
      <c r="C3129" s="35" t="s">
        <v>188</v>
      </c>
      <c r="D3129" s="310" t="s">
        <v>3038</v>
      </c>
      <c r="E3129" s="170" t="s">
        <v>4191</v>
      </c>
      <c r="F3129" s="135" t="s">
        <v>4192</v>
      </c>
      <c r="G3129" s="140" t="s">
        <v>88</v>
      </c>
      <c r="H3129" s="140" t="s">
        <v>4193</v>
      </c>
      <c r="I3129" s="30" t="e">
        <f>VLOOKUP(H3129,'合同高级查询数据-4月返'!A:A,1,FALSE)</f>
        <v>#N/A</v>
      </c>
      <c r="J3129" s="140" t="s">
        <v>162</v>
      </c>
      <c r="K3129" s="370" t="s">
        <v>4091</v>
      </c>
      <c r="L3129" s="366"/>
      <c r="M3129" s="315" t="s">
        <v>4201</v>
      </c>
      <c r="N3129" s="143">
        <v>43490</v>
      </c>
      <c r="O3129" s="143" t="s">
        <v>92</v>
      </c>
      <c r="P3129" s="371">
        <v>4722</v>
      </c>
      <c r="Q3129" s="145">
        <v>9</v>
      </c>
      <c r="R3129" s="126">
        <f t="shared" si="100"/>
        <v>42498</v>
      </c>
      <c r="S3129" s="322">
        <v>202304</v>
      </c>
      <c r="T3129" s="375" t="s">
        <v>4202</v>
      </c>
      <c r="U3129" s="349"/>
      <c r="V3129" s="376"/>
      <c r="W3129" s="376"/>
      <c r="X3129" s="193">
        <v>44927</v>
      </c>
      <c r="Y3129" s="193"/>
    </row>
    <row r="3130" s="3" customFormat="1" customHeight="1" spans="1:25">
      <c r="A3130" s="310" t="s">
        <v>444</v>
      </c>
      <c r="B3130" s="310" t="s">
        <v>3037</v>
      </c>
      <c r="C3130" s="35" t="s">
        <v>188</v>
      </c>
      <c r="D3130" s="310" t="s">
        <v>3038</v>
      </c>
      <c r="E3130" s="170" t="s">
        <v>4191</v>
      </c>
      <c r="F3130" s="135" t="s">
        <v>4192</v>
      </c>
      <c r="G3130" s="140" t="s">
        <v>88</v>
      </c>
      <c r="H3130" s="140" t="s">
        <v>4193</v>
      </c>
      <c r="I3130" s="30" t="e">
        <f>VLOOKUP(H3130,'合同高级查询数据-4月返'!A:A,1,FALSE)</f>
        <v>#N/A</v>
      </c>
      <c r="J3130" s="140" t="s">
        <v>162</v>
      </c>
      <c r="K3130" s="370" t="s">
        <v>3936</v>
      </c>
      <c r="L3130" s="366"/>
      <c r="M3130" s="315" t="s">
        <v>4201</v>
      </c>
      <c r="N3130" s="143">
        <v>44197</v>
      </c>
      <c r="O3130" s="143" t="s">
        <v>92</v>
      </c>
      <c r="P3130" s="371">
        <v>4722</v>
      </c>
      <c r="Q3130" s="145">
        <v>1</v>
      </c>
      <c r="R3130" s="126">
        <f t="shared" si="100"/>
        <v>4722</v>
      </c>
      <c r="S3130" s="322">
        <v>202304</v>
      </c>
      <c r="T3130" s="375" t="s">
        <v>4203</v>
      </c>
      <c r="U3130" s="349"/>
      <c r="V3130" s="376"/>
      <c r="W3130" s="376"/>
      <c r="X3130" s="193">
        <v>44927</v>
      </c>
      <c r="Y3130" s="193"/>
    </row>
    <row r="3131" s="3" customFormat="1" customHeight="1" spans="1:25">
      <c r="A3131" s="310" t="s">
        <v>444</v>
      </c>
      <c r="B3131" s="310" t="s">
        <v>3037</v>
      </c>
      <c r="C3131" s="35" t="s">
        <v>188</v>
      </c>
      <c r="D3131" s="310" t="s">
        <v>3038</v>
      </c>
      <c r="E3131" s="170" t="s">
        <v>4191</v>
      </c>
      <c r="F3131" s="135" t="s">
        <v>4192</v>
      </c>
      <c r="G3131" s="140" t="s">
        <v>88</v>
      </c>
      <c r="H3131" s="140" t="s">
        <v>4193</v>
      </c>
      <c r="I3131" s="30" t="e">
        <f>VLOOKUP(H3131,'合同高级查询数据-4月返'!A:A,1,FALSE)</f>
        <v>#N/A</v>
      </c>
      <c r="J3131" s="140" t="s">
        <v>162</v>
      </c>
      <c r="K3131" s="370" t="s">
        <v>4091</v>
      </c>
      <c r="L3131" s="366"/>
      <c r="M3131" s="315" t="s">
        <v>4201</v>
      </c>
      <c r="N3131" s="143">
        <v>44387</v>
      </c>
      <c r="O3131" s="143" t="s">
        <v>92</v>
      </c>
      <c r="P3131" s="371">
        <v>4722</v>
      </c>
      <c r="Q3131" s="145">
        <v>-1</v>
      </c>
      <c r="R3131" s="126">
        <f t="shared" si="100"/>
        <v>-4722</v>
      </c>
      <c r="S3131" s="322">
        <v>202304</v>
      </c>
      <c r="T3131" s="375" t="s">
        <v>4204</v>
      </c>
      <c r="U3131" s="349"/>
      <c r="V3131" s="376"/>
      <c r="W3131" s="376"/>
      <c r="X3131" s="193">
        <v>44927</v>
      </c>
      <c r="Y3131" s="193"/>
    </row>
    <row r="3132" s="3" customFormat="1" customHeight="1" spans="1:25">
      <c r="A3132" s="310" t="s">
        <v>444</v>
      </c>
      <c r="B3132" s="310" t="s">
        <v>3037</v>
      </c>
      <c r="C3132" s="35" t="s">
        <v>188</v>
      </c>
      <c r="D3132" s="310" t="s">
        <v>3038</v>
      </c>
      <c r="E3132" s="170" t="s">
        <v>4191</v>
      </c>
      <c r="F3132" s="135" t="s">
        <v>4192</v>
      </c>
      <c r="G3132" s="140" t="s">
        <v>88</v>
      </c>
      <c r="H3132" s="140" t="s">
        <v>4193</v>
      </c>
      <c r="I3132" s="30" t="e">
        <f>VLOOKUP(H3132,'合同高级查询数据-4月返'!A:A,1,FALSE)</f>
        <v>#N/A</v>
      </c>
      <c r="J3132" s="140" t="s">
        <v>162</v>
      </c>
      <c r="K3132" s="370" t="s">
        <v>4091</v>
      </c>
      <c r="L3132" s="366"/>
      <c r="M3132" s="315" t="s">
        <v>4201</v>
      </c>
      <c r="N3132" s="143">
        <v>44712</v>
      </c>
      <c r="O3132" s="143" t="s">
        <v>92</v>
      </c>
      <c r="P3132" s="371">
        <v>4722</v>
      </c>
      <c r="Q3132" s="145">
        <v>-3</v>
      </c>
      <c r="R3132" s="126">
        <f t="shared" si="100"/>
        <v>-14166</v>
      </c>
      <c r="S3132" s="322">
        <v>202304</v>
      </c>
      <c r="T3132" s="375" t="s">
        <v>4205</v>
      </c>
      <c r="U3132" s="349"/>
      <c r="V3132" s="376"/>
      <c r="W3132" s="376"/>
      <c r="X3132" s="193">
        <v>44927</v>
      </c>
      <c r="Y3132" s="193"/>
    </row>
    <row r="3133" s="3" customFormat="1" customHeight="1" spans="1:25">
      <c r="A3133" s="310" t="s">
        <v>444</v>
      </c>
      <c r="B3133" s="310" t="s">
        <v>3037</v>
      </c>
      <c r="C3133" s="35" t="s">
        <v>188</v>
      </c>
      <c r="D3133" s="310" t="s">
        <v>3038</v>
      </c>
      <c r="E3133" s="170" t="s">
        <v>4191</v>
      </c>
      <c r="F3133" s="135" t="s">
        <v>4192</v>
      </c>
      <c r="G3133" s="140" t="s">
        <v>88</v>
      </c>
      <c r="H3133" s="140" t="s">
        <v>4193</v>
      </c>
      <c r="I3133" s="30" t="e">
        <f>VLOOKUP(H3133,'合同高级查询数据-4月返'!A:A,1,FALSE)</f>
        <v>#N/A</v>
      </c>
      <c r="J3133" s="140" t="s">
        <v>162</v>
      </c>
      <c r="K3133" s="370" t="s">
        <v>4091</v>
      </c>
      <c r="L3133" s="366"/>
      <c r="M3133" s="315" t="s">
        <v>4201</v>
      </c>
      <c r="N3133" s="143">
        <v>44708</v>
      </c>
      <c r="O3133" s="143" t="s">
        <v>92</v>
      </c>
      <c r="P3133" s="371">
        <v>4722</v>
      </c>
      <c r="Q3133" s="145">
        <v>-2</v>
      </c>
      <c r="R3133" s="126">
        <f t="shared" si="100"/>
        <v>-9444</v>
      </c>
      <c r="S3133" s="322">
        <v>202304</v>
      </c>
      <c r="T3133" s="375" t="s">
        <v>4206</v>
      </c>
      <c r="U3133" s="349"/>
      <c r="V3133" s="376"/>
      <c r="W3133" s="376"/>
      <c r="X3133" s="193">
        <v>44927</v>
      </c>
      <c r="Y3133" s="193"/>
    </row>
    <row r="3134" s="3" customFormat="1" customHeight="1" spans="1:25">
      <c r="A3134" s="310" t="s">
        <v>444</v>
      </c>
      <c r="B3134" s="310" t="s">
        <v>3037</v>
      </c>
      <c r="C3134" s="35" t="s">
        <v>188</v>
      </c>
      <c r="D3134" s="310" t="s">
        <v>3038</v>
      </c>
      <c r="E3134" s="170" t="s">
        <v>4191</v>
      </c>
      <c r="F3134" s="135" t="s">
        <v>4192</v>
      </c>
      <c r="G3134" s="140" t="s">
        <v>88</v>
      </c>
      <c r="H3134" s="140" t="s">
        <v>4193</v>
      </c>
      <c r="I3134" s="30" t="e">
        <f>VLOOKUP(H3134,'合同高级查询数据-4月返'!A:A,1,FALSE)</f>
        <v>#N/A</v>
      </c>
      <c r="J3134" s="140" t="s">
        <v>162</v>
      </c>
      <c r="K3134" s="370" t="s">
        <v>3936</v>
      </c>
      <c r="L3134" s="366"/>
      <c r="M3134" s="315" t="s">
        <v>4201</v>
      </c>
      <c r="N3134" s="143">
        <v>44709</v>
      </c>
      <c r="O3134" s="143" t="s">
        <v>92</v>
      </c>
      <c r="P3134" s="371">
        <v>4722</v>
      </c>
      <c r="Q3134" s="145">
        <v>2</v>
      </c>
      <c r="R3134" s="126">
        <f t="shared" si="100"/>
        <v>9444</v>
      </c>
      <c r="S3134" s="322">
        <v>202304</v>
      </c>
      <c r="T3134" s="375" t="s">
        <v>4207</v>
      </c>
      <c r="U3134" s="349"/>
      <c r="V3134" s="376"/>
      <c r="W3134" s="376"/>
      <c r="X3134" s="193">
        <v>44927</v>
      </c>
      <c r="Y3134" s="193"/>
    </row>
    <row r="3135" s="3" customFormat="1" customHeight="1" spans="1:25">
      <c r="A3135" s="310" t="s">
        <v>444</v>
      </c>
      <c r="B3135" s="310" t="s">
        <v>3037</v>
      </c>
      <c r="C3135" s="35" t="s">
        <v>188</v>
      </c>
      <c r="D3135" s="310" t="s">
        <v>3038</v>
      </c>
      <c r="E3135" s="170" t="s">
        <v>4191</v>
      </c>
      <c r="F3135" s="135" t="s">
        <v>4192</v>
      </c>
      <c r="G3135" s="140" t="s">
        <v>88</v>
      </c>
      <c r="H3135" s="140" t="s">
        <v>4193</v>
      </c>
      <c r="I3135" s="30" t="e">
        <f>VLOOKUP(H3135,'合同高级查询数据-4月返'!A:A,1,FALSE)</f>
        <v>#N/A</v>
      </c>
      <c r="J3135" s="140" t="s">
        <v>162</v>
      </c>
      <c r="K3135" s="370" t="s">
        <v>4091</v>
      </c>
      <c r="L3135" s="366"/>
      <c r="M3135" s="315" t="s">
        <v>4201</v>
      </c>
      <c r="N3135" s="143">
        <v>44773</v>
      </c>
      <c r="O3135" s="143" t="s">
        <v>92</v>
      </c>
      <c r="P3135" s="371">
        <v>4722</v>
      </c>
      <c r="Q3135" s="145">
        <v>-3</v>
      </c>
      <c r="R3135" s="126">
        <f t="shared" si="100"/>
        <v>-14166</v>
      </c>
      <c r="S3135" s="322">
        <v>202304</v>
      </c>
      <c r="T3135" s="375" t="s">
        <v>4208</v>
      </c>
      <c r="U3135" s="349"/>
      <c r="V3135" s="376"/>
      <c r="W3135" s="376"/>
      <c r="X3135" s="193">
        <v>44927</v>
      </c>
      <c r="Y3135" s="193"/>
    </row>
    <row r="3136" s="3" customFormat="1" customHeight="1" spans="1:25">
      <c r="A3136" s="310" t="s">
        <v>444</v>
      </c>
      <c r="B3136" s="310" t="s">
        <v>3037</v>
      </c>
      <c r="C3136" s="35" t="s">
        <v>188</v>
      </c>
      <c r="D3136" s="310" t="s">
        <v>3038</v>
      </c>
      <c r="E3136" s="170" t="s">
        <v>4191</v>
      </c>
      <c r="F3136" s="135" t="s">
        <v>4192</v>
      </c>
      <c r="G3136" s="140" t="s">
        <v>88</v>
      </c>
      <c r="H3136" s="140" t="s">
        <v>4193</v>
      </c>
      <c r="I3136" s="30" t="e">
        <f>VLOOKUP(H3136,'合同高级查询数据-4月返'!A:A,1,FALSE)</f>
        <v>#N/A</v>
      </c>
      <c r="J3136" s="140" t="s">
        <v>162</v>
      </c>
      <c r="K3136" s="370" t="s">
        <v>3936</v>
      </c>
      <c r="L3136" s="366" t="s">
        <v>4209</v>
      </c>
      <c r="M3136" s="315" t="s">
        <v>4201</v>
      </c>
      <c r="N3136" s="143">
        <v>44418</v>
      </c>
      <c r="O3136" s="143" t="s">
        <v>92</v>
      </c>
      <c r="P3136" s="371">
        <v>4722</v>
      </c>
      <c r="Q3136" s="145">
        <v>-3</v>
      </c>
      <c r="R3136" s="126">
        <f t="shared" si="100"/>
        <v>-14166</v>
      </c>
      <c r="S3136" s="322">
        <v>202304</v>
      </c>
      <c r="T3136" s="375" t="s">
        <v>4210</v>
      </c>
      <c r="U3136" s="349"/>
      <c r="V3136" s="376"/>
      <c r="W3136" s="376"/>
      <c r="X3136" s="193">
        <v>44927</v>
      </c>
      <c r="Y3136" s="193"/>
    </row>
    <row r="3137" s="3" customFormat="1" customHeight="1" spans="1:25">
      <c r="A3137" s="310" t="s">
        <v>444</v>
      </c>
      <c r="B3137" s="310" t="s">
        <v>3037</v>
      </c>
      <c r="C3137" s="35" t="s">
        <v>188</v>
      </c>
      <c r="D3137" s="310" t="s">
        <v>3038</v>
      </c>
      <c r="E3137" s="170" t="s">
        <v>4191</v>
      </c>
      <c r="F3137" s="135" t="s">
        <v>4192</v>
      </c>
      <c r="G3137" s="140" t="s">
        <v>31</v>
      </c>
      <c r="H3137" s="140" t="s">
        <v>4193</v>
      </c>
      <c r="I3137" s="30" t="e">
        <f>VLOOKUP(H3137,'合同高级查询数据-4月返'!A:A,1,FALSE)</f>
        <v>#N/A</v>
      </c>
      <c r="J3137" s="140" t="s">
        <v>3189</v>
      </c>
      <c r="K3137" s="370" t="s">
        <v>3929</v>
      </c>
      <c r="L3137" s="366" t="s">
        <v>4211</v>
      </c>
      <c r="M3137" s="315"/>
      <c r="N3137" s="143" t="s">
        <v>1329</v>
      </c>
      <c r="O3137" s="143" t="s">
        <v>37</v>
      </c>
      <c r="P3137" s="371">
        <v>0</v>
      </c>
      <c r="Q3137" s="145">
        <v>288</v>
      </c>
      <c r="R3137" s="126">
        <f t="shared" si="100"/>
        <v>0</v>
      </c>
      <c r="S3137" s="322">
        <v>202304</v>
      </c>
      <c r="T3137" s="375" t="s">
        <v>4212</v>
      </c>
      <c r="U3137" s="349"/>
      <c r="V3137" s="376"/>
      <c r="W3137" s="376"/>
      <c r="X3137" s="193">
        <v>44927</v>
      </c>
      <c r="Y3137" s="193"/>
    </row>
    <row r="3138" s="3" customFormat="1" customHeight="1" spans="1:25">
      <c r="A3138" s="310" t="s">
        <v>444</v>
      </c>
      <c r="B3138" s="310" t="s">
        <v>3037</v>
      </c>
      <c r="C3138" s="35" t="s">
        <v>188</v>
      </c>
      <c r="D3138" s="310" t="s">
        <v>3038</v>
      </c>
      <c r="E3138" s="170" t="s">
        <v>4191</v>
      </c>
      <c r="F3138" s="135" t="s">
        <v>4192</v>
      </c>
      <c r="G3138" s="140" t="s">
        <v>31</v>
      </c>
      <c r="H3138" s="140" t="s">
        <v>4193</v>
      </c>
      <c r="I3138" s="30" t="e">
        <f>VLOOKUP(H3138,'合同高级查询数据-4月返'!A:A,1,FALSE)</f>
        <v>#N/A</v>
      </c>
      <c r="J3138" s="140" t="s">
        <v>3189</v>
      </c>
      <c r="K3138" s="370" t="s">
        <v>3929</v>
      </c>
      <c r="L3138" s="366" t="s">
        <v>4211</v>
      </c>
      <c r="M3138" s="315"/>
      <c r="N3138" s="143">
        <v>44681</v>
      </c>
      <c r="O3138" s="143" t="s">
        <v>37</v>
      </c>
      <c r="P3138" s="371">
        <v>0</v>
      </c>
      <c r="Q3138" s="145">
        <v>-288</v>
      </c>
      <c r="R3138" s="126">
        <f t="shared" si="100"/>
        <v>0</v>
      </c>
      <c r="S3138" s="322">
        <v>202304</v>
      </c>
      <c r="T3138" s="375" t="s">
        <v>4213</v>
      </c>
      <c r="U3138" s="349"/>
      <c r="V3138" s="376"/>
      <c r="W3138" s="376"/>
      <c r="X3138" s="193">
        <v>44927</v>
      </c>
      <c r="Y3138" s="193"/>
    </row>
    <row r="3139" s="3" customFormat="1" customHeight="1" spans="1:25">
      <c r="A3139" s="310" t="s">
        <v>444</v>
      </c>
      <c r="B3139" s="310" t="s">
        <v>3037</v>
      </c>
      <c r="C3139" s="35" t="s">
        <v>188</v>
      </c>
      <c r="D3139" s="310" t="s">
        <v>3038</v>
      </c>
      <c r="E3139" s="170" t="s">
        <v>4191</v>
      </c>
      <c r="F3139" s="135" t="s">
        <v>4192</v>
      </c>
      <c r="G3139" s="140" t="s">
        <v>31</v>
      </c>
      <c r="H3139" s="140" t="s">
        <v>4193</v>
      </c>
      <c r="I3139" s="30" t="e">
        <f>VLOOKUP(H3139,'合同高级查询数据-4月返'!A:A,1,FALSE)</f>
        <v>#N/A</v>
      </c>
      <c r="J3139" s="140" t="s">
        <v>3189</v>
      </c>
      <c r="K3139" s="370" t="s">
        <v>3936</v>
      </c>
      <c r="L3139" s="366" t="s">
        <v>4214</v>
      </c>
      <c r="M3139" s="315"/>
      <c r="N3139" s="143" t="s">
        <v>1329</v>
      </c>
      <c r="O3139" s="143" t="s">
        <v>37</v>
      </c>
      <c r="P3139" s="371">
        <v>0</v>
      </c>
      <c r="Q3139" s="145">
        <v>672</v>
      </c>
      <c r="R3139" s="126">
        <f t="shared" si="100"/>
        <v>0</v>
      </c>
      <c r="S3139" s="322">
        <v>202304</v>
      </c>
      <c r="T3139" s="375" t="s">
        <v>4215</v>
      </c>
      <c r="U3139" s="349"/>
      <c r="V3139" s="376"/>
      <c r="W3139" s="376"/>
      <c r="X3139" s="193">
        <v>44927</v>
      </c>
      <c r="Y3139" s="193"/>
    </row>
    <row r="3140" s="3" customFormat="1" customHeight="1" spans="1:25">
      <c r="A3140" s="310" t="s">
        <v>444</v>
      </c>
      <c r="B3140" s="310" t="s">
        <v>3037</v>
      </c>
      <c r="C3140" s="35" t="s">
        <v>188</v>
      </c>
      <c r="D3140" s="310" t="s">
        <v>3038</v>
      </c>
      <c r="E3140" s="170" t="s">
        <v>4191</v>
      </c>
      <c r="F3140" s="135" t="s">
        <v>4192</v>
      </c>
      <c r="G3140" s="140" t="s">
        <v>31</v>
      </c>
      <c r="H3140" s="140" t="s">
        <v>4193</v>
      </c>
      <c r="I3140" s="30" t="e">
        <f>VLOOKUP(H3140,'合同高级查询数据-4月返'!A:A,1,FALSE)</f>
        <v>#N/A</v>
      </c>
      <c r="J3140" s="140" t="s">
        <v>3189</v>
      </c>
      <c r="K3140" s="370" t="s">
        <v>3929</v>
      </c>
      <c r="L3140" s="366"/>
      <c r="M3140" s="315"/>
      <c r="N3140" s="143"/>
      <c r="O3140" s="143" t="s">
        <v>179</v>
      </c>
      <c r="P3140" s="371">
        <v>0</v>
      </c>
      <c r="Q3140" s="145">
        <v>0</v>
      </c>
      <c r="R3140" s="126">
        <f t="shared" si="100"/>
        <v>0</v>
      </c>
      <c r="S3140" s="322">
        <v>202304</v>
      </c>
      <c r="T3140" s="375" t="s">
        <v>4216</v>
      </c>
      <c r="U3140" s="349"/>
      <c r="V3140" s="376"/>
      <c r="W3140" s="376"/>
      <c r="X3140" s="193">
        <v>44927</v>
      </c>
      <c r="Y3140" s="193"/>
    </row>
    <row r="3141" s="3" customFormat="1" customHeight="1" spans="1:25">
      <c r="A3141" s="310" t="s">
        <v>444</v>
      </c>
      <c r="B3141" s="310" t="s">
        <v>3037</v>
      </c>
      <c r="C3141" s="35" t="s">
        <v>188</v>
      </c>
      <c r="D3141" s="310" t="s">
        <v>3038</v>
      </c>
      <c r="E3141" s="170" t="s">
        <v>4191</v>
      </c>
      <c r="F3141" s="135" t="s">
        <v>4192</v>
      </c>
      <c r="G3141" s="140" t="s">
        <v>88</v>
      </c>
      <c r="H3141" s="140" t="s">
        <v>4193</v>
      </c>
      <c r="I3141" s="30" t="e">
        <f>VLOOKUP(H3141,'合同高级查询数据-4月返'!A:A,1,FALSE)</f>
        <v>#N/A</v>
      </c>
      <c r="J3141" s="140" t="s">
        <v>162</v>
      </c>
      <c r="K3141" s="370" t="s">
        <v>4217</v>
      </c>
      <c r="L3141" s="366" t="s">
        <v>4218</v>
      </c>
      <c r="M3141" s="315" t="s">
        <v>4201</v>
      </c>
      <c r="N3141" s="143">
        <v>44958</v>
      </c>
      <c r="O3141" s="143" t="s">
        <v>1306</v>
      </c>
      <c r="P3141" s="371">
        <v>5833</v>
      </c>
      <c r="Q3141" s="145">
        <v>8</v>
      </c>
      <c r="R3141" s="126">
        <f t="shared" si="100"/>
        <v>46664</v>
      </c>
      <c r="S3141" s="322">
        <v>202304</v>
      </c>
      <c r="T3141" s="375" t="s">
        <v>4219</v>
      </c>
      <c r="U3141" s="349"/>
      <c r="V3141" s="376"/>
      <c r="W3141" s="376"/>
      <c r="X3141" s="193">
        <v>44927</v>
      </c>
      <c r="Y3141" s="193"/>
    </row>
    <row r="3142" s="3" customFormat="1" customHeight="1" spans="1:25">
      <c r="A3142" s="310" t="s">
        <v>444</v>
      </c>
      <c r="B3142" s="310" t="s">
        <v>3037</v>
      </c>
      <c r="C3142" s="35" t="s">
        <v>188</v>
      </c>
      <c r="D3142" s="310" t="s">
        <v>3038</v>
      </c>
      <c r="E3142" s="170" t="s">
        <v>4191</v>
      </c>
      <c r="F3142" s="135" t="s">
        <v>4192</v>
      </c>
      <c r="G3142" s="140" t="s">
        <v>88</v>
      </c>
      <c r="H3142" s="140" t="s">
        <v>4193</v>
      </c>
      <c r="I3142" s="30" t="e">
        <f>VLOOKUP(H3142,'合同高级查询数据-4月返'!A:A,1,FALSE)</f>
        <v>#N/A</v>
      </c>
      <c r="J3142" s="140" t="s">
        <v>162</v>
      </c>
      <c r="K3142" s="370" t="s">
        <v>4217</v>
      </c>
      <c r="L3142" s="366" t="s">
        <v>4218</v>
      </c>
      <c r="M3142" s="315" t="s">
        <v>4201</v>
      </c>
      <c r="N3142" s="143">
        <v>45036</v>
      </c>
      <c r="O3142" s="143" t="s">
        <v>1306</v>
      </c>
      <c r="P3142" s="371">
        <v>5833</v>
      </c>
      <c r="Q3142" s="145">
        <v>2</v>
      </c>
      <c r="R3142" s="379">
        <f>ROUND(P3142*Q3142*11/30,2)</f>
        <v>4277.53</v>
      </c>
      <c r="S3142" s="322">
        <v>202304</v>
      </c>
      <c r="T3142" s="369" t="s">
        <v>4220</v>
      </c>
      <c r="U3142" s="349"/>
      <c r="V3142" s="376"/>
      <c r="W3142" s="376"/>
      <c r="X3142" s="193">
        <v>44927</v>
      </c>
      <c r="Y3142" s="193"/>
    </row>
    <row r="3143" s="3" customFormat="1" customHeight="1" spans="1:25">
      <c r="A3143" s="310" t="s">
        <v>444</v>
      </c>
      <c r="B3143" s="310" t="s">
        <v>3037</v>
      </c>
      <c r="C3143" s="35" t="s">
        <v>188</v>
      </c>
      <c r="D3143" s="310" t="s">
        <v>3038</v>
      </c>
      <c r="E3143" s="170" t="s">
        <v>4191</v>
      </c>
      <c r="F3143" s="135" t="s">
        <v>4192</v>
      </c>
      <c r="G3143" s="140" t="s">
        <v>31</v>
      </c>
      <c r="H3143" s="140" t="s">
        <v>4193</v>
      </c>
      <c r="I3143" s="30" t="e">
        <f>VLOOKUP(H3143,'合同高级查询数据-4月返'!A:A,1,FALSE)</f>
        <v>#N/A</v>
      </c>
      <c r="J3143" s="140" t="s">
        <v>3189</v>
      </c>
      <c r="K3143" s="370" t="s">
        <v>4217</v>
      </c>
      <c r="L3143" s="366" t="s">
        <v>4218</v>
      </c>
      <c r="M3143" s="315" t="s">
        <v>4201</v>
      </c>
      <c r="N3143" s="143">
        <v>44958</v>
      </c>
      <c r="O3143" s="143" t="s">
        <v>37</v>
      </c>
      <c r="P3143" s="371">
        <v>0</v>
      </c>
      <c r="Q3143" s="145">
        <v>832</v>
      </c>
      <c r="R3143" s="126">
        <f t="shared" si="100"/>
        <v>0</v>
      </c>
      <c r="S3143" s="322">
        <v>202304</v>
      </c>
      <c r="T3143" s="375" t="s">
        <v>4221</v>
      </c>
      <c r="U3143" s="349"/>
      <c r="V3143" s="376"/>
      <c r="W3143" s="376"/>
      <c r="X3143" s="193">
        <v>44927</v>
      </c>
      <c r="Y3143" s="193"/>
    </row>
    <row r="3144" s="3" customFormat="1" customHeight="1" spans="1:25">
      <c r="A3144" s="310" t="s">
        <v>444</v>
      </c>
      <c r="B3144" s="310" t="s">
        <v>3037</v>
      </c>
      <c r="C3144" s="35" t="s">
        <v>188</v>
      </c>
      <c r="D3144" s="310" t="s">
        <v>3038</v>
      </c>
      <c r="E3144" s="170" t="s">
        <v>4191</v>
      </c>
      <c r="F3144" s="135" t="s">
        <v>4192</v>
      </c>
      <c r="G3144" s="140" t="s">
        <v>31</v>
      </c>
      <c r="H3144" s="140" t="s">
        <v>4193</v>
      </c>
      <c r="I3144" s="30" t="e">
        <f>VLOOKUP(H3144,'合同高级查询数据-4月返'!A:A,1,FALSE)</f>
        <v>#N/A</v>
      </c>
      <c r="J3144" s="140" t="s">
        <v>3189</v>
      </c>
      <c r="K3144" s="370" t="s">
        <v>4217</v>
      </c>
      <c r="L3144" s="366" t="s">
        <v>4218</v>
      </c>
      <c r="M3144" s="315" t="s">
        <v>4201</v>
      </c>
      <c r="N3144" s="143">
        <v>44958</v>
      </c>
      <c r="O3144" s="143" t="s">
        <v>37</v>
      </c>
      <c r="P3144" s="371">
        <v>0</v>
      </c>
      <c r="Q3144" s="145">
        <v>3</v>
      </c>
      <c r="R3144" s="126">
        <f t="shared" si="100"/>
        <v>0</v>
      </c>
      <c r="S3144" s="322">
        <v>202304</v>
      </c>
      <c r="T3144" s="375" t="s">
        <v>4222</v>
      </c>
      <c r="U3144" s="349"/>
      <c r="V3144" s="376"/>
      <c r="W3144" s="376"/>
      <c r="X3144" s="193">
        <v>44927</v>
      </c>
      <c r="Y3144" s="193"/>
    </row>
    <row r="3145" s="3" customFormat="1" customHeight="1" spans="1:25">
      <c r="A3145" s="310" t="s">
        <v>444</v>
      </c>
      <c r="B3145" s="310" t="s">
        <v>3037</v>
      </c>
      <c r="C3145" s="35" t="s">
        <v>3992</v>
      </c>
      <c r="D3145" s="35" t="s">
        <v>3939</v>
      </c>
      <c r="E3145" s="170" t="s">
        <v>4223</v>
      </c>
      <c r="F3145" s="135" t="s">
        <v>4224</v>
      </c>
      <c r="G3145" s="140" t="s">
        <v>88</v>
      </c>
      <c r="H3145" s="339" t="s">
        <v>4225</v>
      </c>
      <c r="I3145" s="30" t="e">
        <f>VLOOKUP(H3145,'合同高级查询数据-4月返'!A:A,1,FALSE)</f>
        <v>#N/A</v>
      </c>
      <c r="J3145" s="140" t="s">
        <v>162</v>
      </c>
      <c r="K3145" s="370" t="s">
        <v>339</v>
      </c>
      <c r="L3145" s="366" t="s">
        <v>4226</v>
      </c>
      <c r="M3145" s="315" t="s">
        <v>4227</v>
      </c>
      <c r="N3145" s="143">
        <v>43459</v>
      </c>
      <c r="O3145" s="143" t="s">
        <v>4228</v>
      </c>
      <c r="P3145" s="371">
        <v>5000</v>
      </c>
      <c r="Q3145" s="145">
        <v>4</v>
      </c>
      <c r="R3145" s="126">
        <f t="shared" si="100"/>
        <v>20000</v>
      </c>
      <c r="S3145" s="322">
        <v>202304</v>
      </c>
      <c r="T3145" s="375" t="s">
        <v>4229</v>
      </c>
      <c r="U3145" s="349"/>
      <c r="V3145" s="376"/>
      <c r="W3145" s="376"/>
      <c r="X3145" s="193">
        <v>44927</v>
      </c>
      <c r="Y3145" s="193"/>
    </row>
    <row r="3146" s="3" customFormat="1" customHeight="1" spans="1:25">
      <c r="A3146" s="310" t="s">
        <v>444</v>
      </c>
      <c r="B3146" s="310" t="s">
        <v>3037</v>
      </c>
      <c r="C3146" s="35" t="s">
        <v>3992</v>
      </c>
      <c r="D3146" s="35" t="s">
        <v>3939</v>
      </c>
      <c r="E3146" s="170" t="s">
        <v>4223</v>
      </c>
      <c r="F3146" s="135" t="s">
        <v>4224</v>
      </c>
      <c r="G3146" s="140" t="s">
        <v>31</v>
      </c>
      <c r="H3146" s="339" t="s">
        <v>4225</v>
      </c>
      <c r="I3146" s="30" t="e">
        <f>VLOOKUP(H3146,'合同高级查询数据-4月返'!A:A,1,FALSE)</f>
        <v>#N/A</v>
      </c>
      <c r="J3146" s="140" t="s">
        <v>3189</v>
      </c>
      <c r="K3146" s="370" t="s">
        <v>4230</v>
      </c>
      <c r="L3146" s="366" t="s">
        <v>4226</v>
      </c>
      <c r="M3146" s="315"/>
      <c r="N3146" s="326" t="s">
        <v>4231</v>
      </c>
      <c r="O3146" s="143" t="s">
        <v>37</v>
      </c>
      <c r="P3146" s="371">
        <v>0</v>
      </c>
      <c r="Q3146" s="145">
        <v>288</v>
      </c>
      <c r="R3146" s="126">
        <f t="shared" si="100"/>
        <v>0</v>
      </c>
      <c r="S3146" s="322">
        <v>202304</v>
      </c>
      <c r="T3146" s="375" t="s">
        <v>4232</v>
      </c>
      <c r="U3146" s="349"/>
      <c r="V3146" s="376"/>
      <c r="W3146" s="376"/>
      <c r="X3146" s="193">
        <v>44927</v>
      </c>
      <c r="Y3146" s="193"/>
    </row>
    <row r="3147" s="3" customFormat="1" customHeight="1" spans="1:25">
      <c r="A3147" s="310" t="s">
        <v>444</v>
      </c>
      <c r="B3147" s="310" t="s">
        <v>3037</v>
      </c>
      <c r="C3147" s="35" t="s">
        <v>3992</v>
      </c>
      <c r="D3147" s="35" t="s">
        <v>3939</v>
      </c>
      <c r="E3147" s="170" t="s">
        <v>4223</v>
      </c>
      <c r="F3147" s="135" t="s">
        <v>4224</v>
      </c>
      <c r="G3147" s="140" t="s">
        <v>31</v>
      </c>
      <c r="H3147" s="339" t="s">
        <v>4225</v>
      </c>
      <c r="I3147" s="30" t="e">
        <f>VLOOKUP(H3147,'合同高级查询数据-4月返'!A:A,1,FALSE)</f>
        <v>#N/A</v>
      </c>
      <c r="J3147" s="140" t="s">
        <v>3189</v>
      </c>
      <c r="K3147" s="370" t="s">
        <v>4233</v>
      </c>
      <c r="L3147" s="366" t="s">
        <v>4234</v>
      </c>
      <c r="M3147" s="315"/>
      <c r="N3147" s="143">
        <v>43490</v>
      </c>
      <c r="O3147" s="143" t="s">
        <v>37</v>
      </c>
      <c r="P3147" s="371">
        <v>0</v>
      </c>
      <c r="Q3147" s="145">
        <v>288</v>
      </c>
      <c r="R3147" s="126">
        <f t="shared" si="100"/>
        <v>0</v>
      </c>
      <c r="S3147" s="322">
        <v>202304</v>
      </c>
      <c r="T3147" s="375" t="s">
        <v>4235</v>
      </c>
      <c r="U3147" s="349"/>
      <c r="V3147" s="376"/>
      <c r="W3147" s="376"/>
      <c r="X3147" s="193">
        <v>44927</v>
      </c>
      <c r="Y3147" s="193"/>
    </row>
    <row r="3148" s="3" customFormat="1" customHeight="1" spans="1:25">
      <c r="A3148" s="310" t="s">
        <v>444</v>
      </c>
      <c r="B3148" s="310" t="s">
        <v>3037</v>
      </c>
      <c r="C3148" s="35" t="s">
        <v>3992</v>
      </c>
      <c r="D3148" s="35" t="s">
        <v>3939</v>
      </c>
      <c r="E3148" s="170" t="s">
        <v>4223</v>
      </c>
      <c r="F3148" s="135" t="s">
        <v>4224</v>
      </c>
      <c r="G3148" s="140" t="s">
        <v>31</v>
      </c>
      <c r="H3148" s="339" t="s">
        <v>4225</v>
      </c>
      <c r="I3148" s="30" t="e">
        <f>VLOOKUP(H3148,'合同高级查询数据-4月返'!A:A,1,FALSE)</f>
        <v>#N/A</v>
      </c>
      <c r="J3148" s="140" t="s">
        <v>3189</v>
      </c>
      <c r="K3148" s="370" t="s">
        <v>4233</v>
      </c>
      <c r="L3148" s="366" t="s">
        <v>4234</v>
      </c>
      <c r="M3148" s="315"/>
      <c r="N3148" s="143">
        <v>43769</v>
      </c>
      <c r="O3148" s="143" t="s">
        <v>37</v>
      </c>
      <c r="P3148" s="371">
        <v>0</v>
      </c>
      <c r="Q3148" s="145">
        <v>-288</v>
      </c>
      <c r="R3148" s="126">
        <f t="shared" si="100"/>
        <v>0</v>
      </c>
      <c r="S3148" s="322">
        <v>202304</v>
      </c>
      <c r="T3148" s="375" t="s">
        <v>4236</v>
      </c>
      <c r="U3148" s="349"/>
      <c r="V3148" s="376"/>
      <c r="W3148" s="376"/>
      <c r="X3148" s="193">
        <v>44927</v>
      </c>
      <c r="Y3148" s="193"/>
    </row>
    <row r="3149" s="5" customFormat="1" customHeight="1" spans="1:25">
      <c r="A3149" s="307" t="s">
        <v>444</v>
      </c>
      <c r="B3149" s="307" t="s">
        <v>3037</v>
      </c>
      <c r="C3149" s="22" t="s">
        <v>3992</v>
      </c>
      <c r="D3149" s="22" t="s">
        <v>3939</v>
      </c>
      <c r="E3149" s="161" t="s">
        <v>4237</v>
      </c>
      <c r="F3149" s="98" t="s">
        <v>4238</v>
      </c>
      <c r="G3149" s="309" t="s">
        <v>31</v>
      </c>
      <c r="H3149" s="309" t="s">
        <v>4239</v>
      </c>
      <c r="I3149" s="46" t="e">
        <f>VLOOKUP(H3149,'合同高级查询数据-4月返'!A:A,1,FALSE)</f>
        <v>#N/A</v>
      </c>
      <c r="J3149" s="309" t="s">
        <v>3189</v>
      </c>
      <c r="K3149" s="372" t="s">
        <v>4240</v>
      </c>
      <c r="L3149" s="373" t="s">
        <v>4241</v>
      </c>
      <c r="M3149" s="312"/>
      <c r="N3149" s="265">
        <v>43008</v>
      </c>
      <c r="O3149" s="265" t="s">
        <v>37</v>
      </c>
      <c r="P3149" s="374">
        <v>0</v>
      </c>
      <c r="Q3149" s="164">
        <v>128</v>
      </c>
      <c r="R3149" s="117">
        <f t="shared" si="100"/>
        <v>0</v>
      </c>
      <c r="S3149" s="319">
        <v>202304</v>
      </c>
      <c r="T3149" s="377" t="s">
        <v>4242</v>
      </c>
      <c r="U3149" s="347"/>
      <c r="V3149" s="378"/>
      <c r="W3149" s="378"/>
      <c r="X3149" s="229"/>
      <c r="Y3149" s="229"/>
    </row>
    <row r="3150" s="5" customFormat="1" customHeight="1" spans="1:25">
      <c r="A3150" s="307" t="s">
        <v>444</v>
      </c>
      <c r="B3150" s="307" t="s">
        <v>3037</v>
      </c>
      <c r="C3150" s="22" t="s">
        <v>3992</v>
      </c>
      <c r="D3150" s="22" t="s">
        <v>3939</v>
      </c>
      <c r="E3150" s="161" t="s">
        <v>4237</v>
      </c>
      <c r="F3150" s="98" t="s">
        <v>4238</v>
      </c>
      <c r="G3150" s="309" t="s">
        <v>88</v>
      </c>
      <c r="H3150" s="309" t="s">
        <v>4239</v>
      </c>
      <c r="I3150" s="46" t="e">
        <f>VLOOKUP(H3150,'合同高级查询数据-4月返'!A:A,1,FALSE)</f>
        <v>#N/A</v>
      </c>
      <c r="J3150" s="309" t="s">
        <v>162</v>
      </c>
      <c r="K3150" s="372" t="s">
        <v>339</v>
      </c>
      <c r="L3150" s="373"/>
      <c r="M3150" s="312" t="s">
        <v>4227</v>
      </c>
      <c r="N3150" s="265">
        <v>43008</v>
      </c>
      <c r="O3150" s="265" t="s">
        <v>163</v>
      </c>
      <c r="P3150" s="374">
        <v>5000</v>
      </c>
      <c r="Q3150" s="164">
        <v>2</v>
      </c>
      <c r="R3150" s="117">
        <f t="shared" si="100"/>
        <v>10000</v>
      </c>
      <c r="S3150" s="319">
        <v>202304</v>
      </c>
      <c r="T3150" s="377" t="s">
        <v>4243</v>
      </c>
      <c r="U3150" s="347"/>
      <c r="V3150" s="378"/>
      <c r="W3150" s="378"/>
      <c r="X3150" s="229"/>
      <c r="Y3150" s="229"/>
    </row>
    <row r="3151" s="5" customFormat="1" customHeight="1" spans="1:25">
      <c r="A3151" s="307" t="s">
        <v>444</v>
      </c>
      <c r="B3151" s="307" t="s">
        <v>3037</v>
      </c>
      <c r="C3151" s="22" t="s">
        <v>3992</v>
      </c>
      <c r="D3151" s="22" t="s">
        <v>3939</v>
      </c>
      <c r="E3151" s="161" t="s">
        <v>4237</v>
      </c>
      <c r="F3151" s="98" t="s">
        <v>4238</v>
      </c>
      <c r="G3151" s="309" t="s">
        <v>88</v>
      </c>
      <c r="H3151" s="309" t="s">
        <v>4239</v>
      </c>
      <c r="I3151" s="46" t="e">
        <f>VLOOKUP(H3151,'合同高级查询数据-4月返'!A:A,1,FALSE)</f>
        <v>#N/A</v>
      </c>
      <c r="J3151" s="309" t="s">
        <v>162</v>
      </c>
      <c r="K3151" s="372" t="s">
        <v>339</v>
      </c>
      <c r="L3151" s="373"/>
      <c r="M3151" s="312" t="s">
        <v>4227</v>
      </c>
      <c r="N3151" s="265">
        <v>43947</v>
      </c>
      <c r="O3151" s="265" t="s">
        <v>163</v>
      </c>
      <c r="P3151" s="374">
        <v>5000</v>
      </c>
      <c r="Q3151" s="164">
        <v>2</v>
      </c>
      <c r="R3151" s="117">
        <f t="shared" si="100"/>
        <v>10000</v>
      </c>
      <c r="S3151" s="319">
        <v>202304</v>
      </c>
      <c r="T3151" s="377" t="s">
        <v>4244</v>
      </c>
      <c r="U3151" s="347"/>
      <c r="V3151" s="378"/>
      <c r="W3151" s="378"/>
      <c r="X3151" s="229"/>
      <c r="Y3151" s="229"/>
    </row>
    <row r="3152" s="5" customFormat="1" customHeight="1" spans="1:25">
      <c r="A3152" s="307" t="s">
        <v>444</v>
      </c>
      <c r="B3152" s="307" t="s">
        <v>3037</v>
      </c>
      <c r="C3152" s="22" t="s">
        <v>3992</v>
      </c>
      <c r="D3152" s="22" t="s">
        <v>3939</v>
      </c>
      <c r="E3152" s="161" t="s">
        <v>4237</v>
      </c>
      <c r="F3152" s="98" t="s">
        <v>4238</v>
      </c>
      <c r="G3152" s="309" t="s">
        <v>88</v>
      </c>
      <c r="H3152" s="309" t="s">
        <v>4239</v>
      </c>
      <c r="I3152" s="46" t="e">
        <f>VLOOKUP(H3152,'合同高级查询数据-4月返'!A:A,1,FALSE)</f>
        <v>#N/A</v>
      </c>
      <c r="J3152" s="309" t="s">
        <v>162</v>
      </c>
      <c r="K3152" s="372" t="s">
        <v>339</v>
      </c>
      <c r="L3152" s="373"/>
      <c r="M3152" s="312" t="s">
        <v>4227</v>
      </c>
      <c r="N3152" s="265">
        <v>44681</v>
      </c>
      <c r="O3152" s="265" t="s">
        <v>163</v>
      </c>
      <c r="P3152" s="374">
        <v>5000</v>
      </c>
      <c r="Q3152" s="164">
        <v>-4</v>
      </c>
      <c r="R3152" s="117">
        <f t="shared" si="100"/>
        <v>-20000</v>
      </c>
      <c r="S3152" s="319">
        <v>202304</v>
      </c>
      <c r="T3152" s="377" t="s">
        <v>4245</v>
      </c>
      <c r="U3152" s="347"/>
      <c r="V3152" s="378"/>
      <c r="W3152" s="378"/>
      <c r="X3152" s="229"/>
      <c r="Y3152" s="229"/>
    </row>
    <row r="3153" s="5" customFormat="1" customHeight="1" spans="1:25">
      <c r="A3153" s="307" t="s">
        <v>444</v>
      </c>
      <c r="B3153" s="307" t="s">
        <v>3037</v>
      </c>
      <c r="C3153" s="22" t="s">
        <v>3992</v>
      </c>
      <c r="D3153" s="22" t="s">
        <v>3939</v>
      </c>
      <c r="E3153" s="161" t="s">
        <v>4237</v>
      </c>
      <c r="F3153" s="98" t="s">
        <v>4238</v>
      </c>
      <c r="G3153" s="309" t="s">
        <v>31</v>
      </c>
      <c r="H3153" s="309" t="s">
        <v>4239</v>
      </c>
      <c r="I3153" s="46" t="e">
        <f>VLOOKUP(H3153,'合同高级查询数据-4月返'!A:A,1,FALSE)</f>
        <v>#N/A</v>
      </c>
      <c r="J3153" s="309" t="s">
        <v>3189</v>
      </c>
      <c r="K3153" s="372" t="s">
        <v>339</v>
      </c>
      <c r="L3153" s="373"/>
      <c r="M3153" s="312" t="s">
        <v>4227</v>
      </c>
      <c r="N3153" s="265">
        <v>43947</v>
      </c>
      <c r="O3153" s="265" t="s">
        <v>37</v>
      </c>
      <c r="P3153" s="374">
        <v>0</v>
      </c>
      <c r="Q3153" s="164">
        <v>128</v>
      </c>
      <c r="R3153" s="117">
        <f t="shared" si="100"/>
        <v>0</v>
      </c>
      <c r="S3153" s="319">
        <v>202304</v>
      </c>
      <c r="T3153" s="377" t="s">
        <v>4246</v>
      </c>
      <c r="U3153" s="347"/>
      <c r="V3153" s="378"/>
      <c r="W3153" s="378"/>
      <c r="X3153" s="229"/>
      <c r="Y3153" s="229"/>
    </row>
    <row r="3154" s="5" customFormat="1" customHeight="1" spans="1:25">
      <c r="A3154" s="307" t="s">
        <v>444</v>
      </c>
      <c r="B3154" s="307" t="s">
        <v>3037</v>
      </c>
      <c r="C3154" s="22" t="s">
        <v>3992</v>
      </c>
      <c r="D3154" s="22" t="s">
        <v>3939</v>
      </c>
      <c r="E3154" s="161" t="s">
        <v>4237</v>
      </c>
      <c r="F3154" s="98" t="s">
        <v>4238</v>
      </c>
      <c r="G3154" s="309" t="s">
        <v>31</v>
      </c>
      <c r="H3154" s="309" t="s">
        <v>4239</v>
      </c>
      <c r="I3154" s="46" t="e">
        <f>VLOOKUP(H3154,'合同高级查询数据-4月返'!A:A,1,FALSE)</f>
        <v>#N/A</v>
      </c>
      <c r="J3154" s="309" t="s">
        <v>3189</v>
      </c>
      <c r="K3154" s="372" t="s">
        <v>339</v>
      </c>
      <c r="L3154" s="373"/>
      <c r="M3154" s="312" t="s">
        <v>4227</v>
      </c>
      <c r="N3154" s="265">
        <v>44681</v>
      </c>
      <c r="O3154" s="265" t="s">
        <v>37</v>
      </c>
      <c r="P3154" s="374">
        <v>0</v>
      </c>
      <c r="Q3154" s="164">
        <v>-256</v>
      </c>
      <c r="R3154" s="117">
        <f t="shared" si="100"/>
        <v>0</v>
      </c>
      <c r="S3154" s="319">
        <v>202304</v>
      </c>
      <c r="T3154" s="377" t="s">
        <v>4247</v>
      </c>
      <c r="U3154" s="347"/>
      <c r="V3154" s="378"/>
      <c r="W3154" s="378"/>
      <c r="X3154" s="229"/>
      <c r="Y3154" s="229"/>
    </row>
    <row r="3155" s="3" customFormat="1" customHeight="1" spans="1:25">
      <c r="A3155" s="310" t="s">
        <v>444</v>
      </c>
      <c r="B3155" s="310" t="s">
        <v>3037</v>
      </c>
      <c r="C3155" s="35" t="s">
        <v>3951</v>
      </c>
      <c r="D3155" s="310" t="s">
        <v>3038</v>
      </c>
      <c r="E3155" s="170" t="s">
        <v>4248</v>
      </c>
      <c r="F3155" s="135" t="s">
        <v>4249</v>
      </c>
      <c r="G3155" s="140" t="s">
        <v>31</v>
      </c>
      <c r="H3155" s="140" t="s">
        <v>4250</v>
      </c>
      <c r="I3155" s="30" t="e">
        <f>VLOOKUP(H3155,'合同高级查询数据-4月返'!A:A,1,FALSE)</f>
        <v>#N/A</v>
      </c>
      <c r="J3155" s="140" t="s">
        <v>3189</v>
      </c>
      <c r="K3155" s="370" t="s">
        <v>3951</v>
      </c>
      <c r="L3155" s="366" t="s">
        <v>4249</v>
      </c>
      <c r="M3155" s="315"/>
      <c r="N3155" s="143">
        <v>42659</v>
      </c>
      <c r="O3155" s="143" t="s">
        <v>37</v>
      </c>
      <c r="P3155" s="371">
        <v>0</v>
      </c>
      <c r="Q3155" s="145">
        <v>224</v>
      </c>
      <c r="R3155" s="126">
        <f t="shared" ref="R3155:R3180" si="103">ROUND(P3155*Q3155,2)</f>
        <v>0</v>
      </c>
      <c r="S3155" s="322">
        <v>202304</v>
      </c>
      <c r="T3155" s="375" t="s">
        <v>4251</v>
      </c>
      <c r="U3155" s="349"/>
      <c r="V3155" s="376"/>
      <c r="W3155" s="376"/>
      <c r="X3155" s="193">
        <v>44927</v>
      </c>
      <c r="Y3155" s="193"/>
    </row>
    <row r="3156" s="3" customFormat="1" customHeight="1" spans="1:25">
      <c r="A3156" s="310" t="s">
        <v>444</v>
      </c>
      <c r="B3156" s="310" t="s">
        <v>3037</v>
      </c>
      <c r="C3156" s="35" t="s">
        <v>3951</v>
      </c>
      <c r="D3156" s="310" t="s">
        <v>3038</v>
      </c>
      <c r="E3156" s="170" t="s">
        <v>4248</v>
      </c>
      <c r="F3156" s="135" t="s">
        <v>4249</v>
      </c>
      <c r="G3156" s="140" t="s">
        <v>31</v>
      </c>
      <c r="H3156" s="140" t="s">
        <v>4250</v>
      </c>
      <c r="I3156" s="30" t="e">
        <f>VLOOKUP(H3156,'合同高级查询数据-4月返'!A:A,1,FALSE)</f>
        <v>#N/A</v>
      </c>
      <c r="J3156" s="140" t="s">
        <v>3189</v>
      </c>
      <c r="K3156" s="370" t="s">
        <v>3951</v>
      </c>
      <c r="L3156" s="366" t="s">
        <v>4249</v>
      </c>
      <c r="M3156" s="315"/>
      <c r="N3156" s="143">
        <v>42659</v>
      </c>
      <c r="O3156" s="143" t="s">
        <v>37</v>
      </c>
      <c r="P3156" s="371">
        <v>40</v>
      </c>
      <c r="Q3156" s="145">
        <f>128+160-224</f>
        <v>64</v>
      </c>
      <c r="R3156" s="126">
        <f t="shared" si="103"/>
        <v>2560</v>
      </c>
      <c r="S3156" s="322">
        <v>202304</v>
      </c>
      <c r="T3156" s="375" t="s">
        <v>4251</v>
      </c>
      <c r="U3156" s="349"/>
      <c r="V3156" s="376"/>
      <c r="W3156" s="376"/>
      <c r="X3156" s="193">
        <v>44927</v>
      </c>
      <c r="Y3156" s="193"/>
    </row>
    <row r="3157" s="3" customFormat="1" customHeight="1" spans="1:25">
      <c r="A3157" s="310" t="s">
        <v>444</v>
      </c>
      <c r="B3157" s="310" t="s">
        <v>3037</v>
      </c>
      <c r="C3157" s="35" t="s">
        <v>3951</v>
      </c>
      <c r="D3157" s="310" t="s">
        <v>3038</v>
      </c>
      <c r="E3157" s="170" t="s">
        <v>4248</v>
      </c>
      <c r="F3157" s="135" t="s">
        <v>4249</v>
      </c>
      <c r="G3157" s="140" t="s">
        <v>31</v>
      </c>
      <c r="H3157" s="140" t="s">
        <v>4250</v>
      </c>
      <c r="I3157" s="30" t="e">
        <f>VLOOKUP(H3157,'合同高级查询数据-4月返'!A:A,1,FALSE)</f>
        <v>#N/A</v>
      </c>
      <c r="J3157" s="140" t="s">
        <v>3189</v>
      </c>
      <c r="K3157" s="370" t="s">
        <v>3951</v>
      </c>
      <c r="L3157" s="366" t="s">
        <v>4249</v>
      </c>
      <c r="M3157" s="315"/>
      <c r="N3157" s="143">
        <v>44712</v>
      </c>
      <c r="O3157" s="143" t="s">
        <v>37</v>
      </c>
      <c r="P3157" s="371">
        <v>0</v>
      </c>
      <c r="Q3157" s="145">
        <v>-224</v>
      </c>
      <c r="R3157" s="126">
        <f t="shared" si="103"/>
        <v>0</v>
      </c>
      <c r="S3157" s="322">
        <v>202304</v>
      </c>
      <c r="T3157" s="375" t="s">
        <v>4252</v>
      </c>
      <c r="U3157" s="349"/>
      <c r="V3157" s="376"/>
      <c r="W3157" s="376"/>
      <c r="X3157" s="193">
        <v>44927</v>
      </c>
      <c r="Y3157" s="193"/>
    </row>
    <row r="3158" s="3" customFormat="1" customHeight="1" spans="1:25">
      <c r="A3158" s="310" t="s">
        <v>444</v>
      </c>
      <c r="B3158" s="310" t="s">
        <v>3037</v>
      </c>
      <c r="C3158" s="35" t="s">
        <v>3951</v>
      </c>
      <c r="D3158" s="310" t="s">
        <v>3038</v>
      </c>
      <c r="E3158" s="170" t="s">
        <v>4248</v>
      </c>
      <c r="F3158" s="135" t="s">
        <v>4249</v>
      </c>
      <c r="G3158" s="140" t="s">
        <v>31</v>
      </c>
      <c r="H3158" s="140" t="s">
        <v>4250</v>
      </c>
      <c r="I3158" s="30" t="e">
        <f>VLOOKUP(H3158,'合同高级查询数据-4月返'!A:A,1,FALSE)</f>
        <v>#N/A</v>
      </c>
      <c r="J3158" s="140" t="s">
        <v>3189</v>
      </c>
      <c r="K3158" s="370" t="s">
        <v>3951</v>
      </c>
      <c r="L3158" s="366" t="s">
        <v>4249</v>
      </c>
      <c r="M3158" s="315"/>
      <c r="N3158" s="143">
        <v>44712</v>
      </c>
      <c r="O3158" s="143" t="s">
        <v>37</v>
      </c>
      <c r="P3158" s="371">
        <v>40</v>
      </c>
      <c r="Q3158" s="145">
        <v>-64</v>
      </c>
      <c r="R3158" s="126">
        <f t="shared" si="103"/>
        <v>-2560</v>
      </c>
      <c r="S3158" s="322">
        <v>202304</v>
      </c>
      <c r="T3158" s="375" t="s">
        <v>4252</v>
      </c>
      <c r="U3158" s="349"/>
      <c r="V3158" s="376"/>
      <c r="W3158" s="376"/>
      <c r="X3158" s="193">
        <v>44927</v>
      </c>
      <c r="Y3158" s="193"/>
    </row>
    <row r="3159" s="3" customFormat="1" customHeight="1" spans="1:25">
      <c r="A3159" s="310" t="s">
        <v>444</v>
      </c>
      <c r="B3159" s="310" t="s">
        <v>3037</v>
      </c>
      <c r="C3159" s="35" t="s">
        <v>3951</v>
      </c>
      <c r="D3159" s="310" t="s">
        <v>3038</v>
      </c>
      <c r="E3159" s="170" t="s">
        <v>4248</v>
      </c>
      <c r="F3159" s="135" t="s">
        <v>4249</v>
      </c>
      <c r="G3159" s="140" t="s">
        <v>31</v>
      </c>
      <c r="H3159" s="140" t="s">
        <v>4250</v>
      </c>
      <c r="I3159" s="30" t="e">
        <f>VLOOKUP(H3159,'合同高级查询数据-4月返'!A:A,1,FALSE)</f>
        <v>#N/A</v>
      </c>
      <c r="J3159" s="140" t="s">
        <v>3424</v>
      </c>
      <c r="K3159" s="370" t="s">
        <v>3951</v>
      </c>
      <c r="L3159" s="366" t="s">
        <v>4253</v>
      </c>
      <c r="M3159" s="315"/>
      <c r="N3159" s="143">
        <v>42733</v>
      </c>
      <c r="O3159" s="143" t="s">
        <v>37</v>
      </c>
      <c r="P3159" s="371">
        <v>40</v>
      </c>
      <c r="Q3159" s="145">
        <v>768</v>
      </c>
      <c r="R3159" s="126">
        <f t="shared" si="103"/>
        <v>30720</v>
      </c>
      <c r="S3159" s="322">
        <v>202304</v>
      </c>
      <c r="T3159" s="375" t="s">
        <v>4254</v>
      </c>
      <c r="U3159" s="349"/>
      <c r="V3159" s="376"/>
      <c r="W3159" s="376"/>
      <c r="X3159" s="193">
        <v>44927</v>
      </c>
      <c r="Y3159" s="193"/>
    </row>
    <row r="3160" s="3" customFormat="1" customHeight="1" spans="1:25">
      <c r="A3160" s="310" t="s">
        <v>444</v>
      </c>
      <c r="B3160" s="310" t="s">
        <v>3037</v>
      </c>
      <c r="C3160" s="35" t="s">
        <v>3951</v>
      </c>
      <c r="D3160" s="310" t="s">
        <v>3038</v>
      </c>
      <c r="E3160" s="170" t="s">
        <v>4248</v>
      </c>
      <c r="F3160" s="135" t="s">
        <v>4249</v>
      </c>
      <c r="G3160" s="140" t="s">
        <v>88</v>
      </c>
      <c r="H3160" s="140" t="s">
        <v>4250</v>
      </c>
      <c r="I3160" s="30" t="e">
        <f>VLOOKUP(H3160,'合同高级查询数据-4月返'!A:A,1,FALSE)</f>
        <v>#N/A</v>
      </c>
      <c r="J3160" s="140" t="s">
        <v>2423</v>
      </c>
      <c r="K3160" s="370" t="s">
        <v>3951</v>
      </c>
      <c r="L3160" s="366"/>
      <c r="M3160" s="315" t="s">
        <v>4255</v>
      </c>
      <c r="N3160" s="143">
        <v>42659</v>
      </c>
      <c r="O3160" s="143" t="s">
        <v>163</v>
      </c>
      <c r="P3160" s="371">
        <v>5000</v>
      </c>
      <c r="Q3160" s="145">
        <v>4</v>
      </c>
      <c r="R3160" s="126">
        <f t="shared" si="103"/>
        <v>20000</v>
      </c>
      <c r="S3160" s="322">
        <v>202304</v>
      </c>
      <c r="T3160" s="375"/>
      <c r="U3160" s="349"/>
      <c r="V3160" s="376"/>
      <c r="W3160" s="376"/>
      <c r="X3160" s="193">
        <v>44927</v>
      </c>
      <c r="Y3160" s="193"/>
    </row>
    <row r="3161" s="3" customFormat="1" customHeight="1" spans="1:25">
      <c r="A3161" s="310" t="s">
        <v>444</v>
      </c>
      <c r="B3161" s="310" t="s">
        <v>3037</v>
      </c>
      <c r="C3161" s="35" t="s">
        <v>3951</v>
      </c>
      <c r="D3161" s="310" t="s">
        <v>3038</v>
      </c>
      <c r="E3161" s="170" t="s">
        <v>4248</v>
      </c>
      <c r="F3161" s="135" t="s">
        <v>4249</v>
      </c>
      <c r="G3161" s="140" t="s">
        <v>88</v>
      </c>
      <c r="H3161" s="140" t="s">
        <v>4250</v>
      </c>
      <c r="I3161" s="30" t="e">
        <f>VLOOKUP(H3161,'合同高级查询数据-4月返'!A:A,1,FALSE)</f>
        <v>#N/A</v>
      </c>
      <c r="J3161" s="140" t="s">
        <v>1287</v>
      </c>
      <c r="K3161" s="370" t="s">
        <v>3951</v>
      </c>
      <c r="L3161" s="366"/>
      <c r="M3161" s="315" t="s">
        <v>4255</v>
      </c>
      <c r="N3161" s="143">
        <v>44470</v>
      </c>
      <c r="O3161" s="143" t="s">
        <v>163</v>
      </c>
      <c r="P3161" s="371">
        <v>5000</v>
      </c>
      <c r="Q3161" s="145">
        <v>2</v>
      </c>
      <c r="R3161" s="126">
        <f t="shared" si="103"/>
        <v>10000</v>
      </c>
      <c r="S3161" s="322">
        <v>202304</v>
      </c>
      <c r="T3161" s="375" t="s">
        <v>4256</v>
      </c>
      <c r="U3161" s="349"/>
      <c r="V3161" s="376"/>
      <c r="W3161" s="376"/>
      <c r="X3161" s="193">
        <v>44927</v>
      </c>
      <c r="Y3161" s="193"/>
    </row>
    <row r="3162" s="3" customFormat="1" customHeight="1" spans="1:25">
      <c r="A3162" s="310" t="s">
        <v>444</v>
      </c>
      <c r="B3162" s="310" t="s">
        <v>3037</v>
      </c>
      <c r="C3162" s="35" t="s">
        <v>3951</v>
      </c>
      <c r="D3162" s="310" t="s">
        <v>3038</v>
      </c>
      <c r="E3162" s="170" t="s">
        <v>4248</v>
      </c>
      <c r="F3162" s="135" t="s">
        <v>4249</v>
      </c>
      <c r="G3162" s="140" t="s">
        <v>88</v>
      </c>
      <c r="H3162" s="140" t="s">
        <v>4250</v>
      </c>
      <c r="I3162" s="30" t="e">
        <f>VLOOKUP(H3162,'合同高级查询数据-4月返'!A:A,1,FALSE)</f>
        <v>#N/A</v>
      </c>
      <c r="J3162" s="140" t="s">
        <v>1287</v>
      </c>
      <c r="K3162" s="370" t="s">
        <v>3951</v>
      </c>
      <c r="L3162" s="366"/>
      <c r="M3162" s="315" t="s">
        <v>4255</v>
      </c>
      <c r="N3162" s="143">
        <v>44470</v>
      </c>
      <c r="O3162" s="143" t="s">
        <v>163</v>
      </c>
      <c r="P3162" s="371">
        <v>5000</v>
      </c>
      <c r="Q3162" s="145">
        <v>1</v>
      </c>
      <c r="R3162" s="126">
        <f t="shared" si="103"/>
        <v>5000</v>
      </c>
      <c r="S3162" s="322">
        <v>202304</v>
      </c>
      <c r="T3162" s="375" t="s">
        <v>4257</v>
      </c>
      <c r="U3162" s="349"/>
      <c r="V3162" s="376"/>
      <c r="W3162" s="376"/>
      <c r="X3162" s="193">
        <v>44927</v>
      </c>
      <c r="Y3162" s="193"/>
    </row>
    <row r="3163" s="3" customFormat="1" customHeight="1" spans="1:25">
      <c r="A3163" s="310" t="s">
        <v>444</v>
      </c>
      <c r="B3163" s="310" t="s">
        <v>3037</v>
      </c>
      <c r="C3163" s="35" t="s">
        <v>3951</v>
      </c>
      <c r="D3163" s="310" t="s">
        <v>3038</v>
      </c>
      <c r="E3163" s="170" t="s">
        <v>4248</v>
      </c>
      <c r="F3163" s="135" t="s">
        <v>4249</v>
      </c>
      <c r="G3163" s="140" t="s">
        <v>88</v>
      </c>
      <c r="H3163" s="140" t="s">
        <v>4250</v>
      </c>
      <c r="I3163" s="30" t="e">
        <f>VLOOKUP(H3163,'合同高级查询数据-4月返'!A:A,1,FALSE)</f>
        <v>#N/A</v>
      </c>
      <c r="J3163" s="140" t="s">
        <v>2423</v>
      </c>
      <c r="K3163" s="370" t="s">
        <v>3951</v>
      </c>
      <c r="L3163" s="366"/>
      <c r="M3163" s="315" t="s">
        <v>4255</v>
      </c>
      <c r="N3163" s="143">
        <v>43949</v>
      </c>
      <c r="O3163" s="143" t="s">
        <v>163</v>
      </c>
      <c r="P3163" s="371">
        <v>5000</v>
      </c>
      <c r="Q3163" s="145">
        <v>-2</v>
      </c>
      <c r="R3163" s="126">
        <f t="shared" si="103"/>
        <v>-10000</v>
      </c>
      <c r="S3163" s="322">
        <v>202304</v>
      </c>
      <c r="T3163" s="375" t="s">
        <v>4258</v>
      </c>
      <c r="U3163" s="349"/>
      <c r="V3163" s="376"/>
      <c r="W3163" s="376"/>
      <c r="X3163" s="193">
        <v>44927</v>
      </c>
      <c r="Y3163" s="193"/>
    </row>
    <row r="3164" s="3" customFormat="1" customHeight="1" spans="1:25">
      <c r="A3164" s="310" t="s">
        <v>444</v>
      </c>
      <c r="B3164" s="310" t="s">
        <v>3037</v>
      </c>
      <c r="C3164" s="35" t="s">
        <v>3951</v>
      </c>
      <c r="D3164" s="310" t="s">
        <v>3038</v>
      </c>
      <c r="E3164" s="170" t="s">
        <v>4248</v>
      </c>
      <c r="F3164" s="135" t="s">
        <v>4249</v>
      </c>
      <c r="G3164" s="140" t="s">
        <v>88</v>
      </c>
      <c r="H3164" s="140" t="s">
        <v>4250</v>
      </c>
      <c r="I3164" s="30" t="e">
        <f>VLOOKUP(H3164,'合同高级查询数据-4月返'!A:A,1,FALSE)</f>
        <v>#N/A</v>
      </c>
      <c r="J3164" s="140" t="s">
        <v>2423</v>
      </c>
      <c r="K3164" s="370" t="s">
        <v>3951</v>
      </c>
      <c r="L3164" s="366"/>
      <c r="M3164" s="315" t="s">
        <v>4255</v>
      </c>
      <c r="N3164" s="143">
        <v>43950</v>
      </c>
      <c r="O3164" s="143" t="s">
        <v>163</v>
      </c>
      <c r="P3164" s="371">
        <v>5000</v>
      </c>
      <c r="Q3164" s="145">
        <v>2</v>
      </c>
      <c r="R3164" s="126">
        <f t="shared" si="103"/>
        <v>10000</v>
      </c>
      <c r="S3164" s="322">
        <v>202304</v>
      </c>
      <c r="T3164" s="375" t="s">
        <v>4259</v>
      </c>
      <c r="U3164" s="349"/>
      <c r="V3164" s="376"/>
      <c r="W3164" s="376"/>
      <c r="X3164" s="193">
        <v>44927</v>
      </c>
      <c r="Y3164" s="193"/>
    </row>
    <row r="3165" s="3" customFormat="1" customHeight="1" spans="1:25">
      <c r="A3165" s="310" t="s">
        <v>444</v>
      </c>
      <c r="B3165" s="310" t="s">
        <v>3037</v>
      </c>
      <c r="C3165" s="35" t="s">
        <v>3951</v>
      </c>
      <c r="D3165" s="310" t="s">
        <v>3038</v>
      </c>
      <c r="E3165" s="170" t="s">
        <v>4248</v>
      </c>
      <c r="F3165" s="135" t="s">
        <v>4249</v>
      </c>
      <c r="G3165" s="140" t="s">
        <v>88</v>
      </c>
      <c r="H3165" s="140" t="s">
        <v>4250</v>
      </c>
      <c r="I3165" s="30" t="e">
        <f>VLOOKUP(H3165,'合同高级查询数据-4月返'!A:A,1,FALSE)</f>
        <v>#N/A</v>
      </c>
      <c r="J3165" s="140" t="s">
        <v>2423</v>
      </c>
      <c r="K3165" s="370" t="s">
        <v>3951</v>
      </c>
      <c r="L3165" s="366" t="s">
        <v>4260</v>
      </c>
      <c r="M3165" s="315" t="s">
        <v>4255</v>
      </c>
      <c r="N3165" s="143">
        <v>44501</v>
      </c>
      <c r="O3165" s="143" t="s">
        <v>163</v>
      </c>
      <c r="P3165" s="371">
        <v>5000</v>
      </c>
      <c r="Q3165" s="145">
        <v>1</v>
      </c>
      <c r="R3165" s="126">
        <f t="shared" si="103"/>
        <v>5000</v>
      </c>
      <c r="S3165" s="322">
        <v>202304</v>
      </c>
      <c r="T3165" s="375" t="s">
        <v>4261</v>
      </c>
      <c r="U3165" s="349"/>
      <c r="V3165" s="376"/>
      <c r="W3165" s="376"/>
      <c r="X3165" s="193">
        <v>44927</v>
      </c>
      <c r="Y3165" s="193"/>
    </row>
    <row r="3166" s="3" customFormat="1" customHeight="1" spans="1:25">
      <c r="A3166" s="310" t="s">
        <v>444</v>
      </c>
      <c r="B3166" s="310" t="s">
        <v>3037</v>
      </c>
      <c r="C3166" s="35" t="s">
        <v>3951</v>
      </c>
      <c r="D3166" s="310" t="s">
        <v>3038</v>
      </c>
      <c r="E3166" s="170" t="s">
        <v>4248</v>
      </c>
      <c r="F3166" s="135" t="s">
        <v>4249</v>
      </c>
      <c r="G3166" s="140" t="s">
        <v>88</v>
      </c>
      <c r="H3166" s="140" t="s">
        <v>4250</v>
      </c>
      <c r="I3166" s="30" t="e">
        <f>VLOOKUP(H3166,'合同高级查询数据-4月返'!A:A,1,FALSE)</f>
        <v>#N/A</v>
      </c>
      <c r="J3166" s="140" t="s">
        <v>2423</v>
      </c>
      <c r="K3166" s="370" t="s">
        <v>3951</v>
      </c>
      <c r="L3166" s="366" t="s">
        <v>4260</v>
      </c>
      <c r="M3166" s="315" t="s">
        <v>4255</v>
      </c>
      <c r="N3166" s="143">
        <v>44712</v>
      </c>
      <c r="O3166" s="143" t="s">
        <v>163</v>
      </c>
      <c r="P3166" s="371">
        <v>5000</v>
      </c>
      <c r="Q3166" s="145">
        <v>-4</v>
      </c>
      <c r="R3166" s="126">
        <f t="shared" si="103"/>
        <v>-20000</v>
      </c>
      <c r="S3166" s="322">
        <v>202304</v>
      </c>
      <c r="T3166" s="375" t="s">
        <v>4262</v>
      </c>
      <c r="U3166" s="349"/>
      <c r="V3166" s="376"/>
      <c r="W3166" s="376"/>
      <c r="X3166" s="193">
        <v>44927</v>
      </c>
      <c r="Y3166" s="193"/>
    </row>
    <row r="3167" s="3" customFormat="1" customHeight="1" spans="1:25">
      <c r="A3167" s="310" t="s">
        <v>444</v>
      </c>
      <c r="B3167" s="310" t="s">
        <v>3037</v>
      </c>
      <c r="C3167" s="35" t="s">
        <v>3951</v>
      </c>
      <c r="D3167" s="310" t="s">
        <v>3038</v>
      </c>
      <c r="E3167" s="170" t="s">
        <v>4248</v>
      </c>
      <c r="F3167" s="135" t="s">
        <v>4249</v>
      </c>
      <c r="G3167" s="140" t="s">
        <v>88</v>
      </c>
      <c r="H3167" s="140" t="s">
        <v>4250</v>
      </c>
      <c r="I3167" s="30" t="e">
        <f>VLOOKUP(H3167,'合同高级查询数据-4月返'!A:A,1,FALSE)</f>
        <v>#N/A</v>
      </c>
      <c r="J3167" s="140" t="s">
        <v>162</v>
      </c>
      <c r="K3167" s="370" t="s">
        <v>4263</v>
      </c>
      <c r="L3167" s="366" t="s">
        <v>4260</v>
      </c>
      <c r="M3167" s="315" t="s">
        <v>4255</v>
      </c>
      <c r="N3167" s="143">
        <v>44713</v>
      </c>
      <c r="O3167" s="143" t="s">
        <v>163</v>
      </c>
      <c r="P3167" s="371">
        <v>5000</v>
      </c>
      <c r="Q3167" s="145">
        <v>2</v>
      </c>
      <c r="R3167" s="126">
        <f t="shared" si="103"/>
        <v>10000</v>
      </c>
      <c r="S3167" s="322">
        <v>202304</v>
      </c>
      <c r="T3167" s="375" t="s">
        <v>4264</v>
      </c>
      <c r="U3167" s="349"/>
      <c r="V3167" s="376"/>
      <c r="W3167" s="376"/>
      <c r="X3167" s="193">
        <v>44927</v>
      </c>
      <c r="Y3167" s="193"/>
    </row>
    <row r="3168" s="3" customFormat="1" customHeight="1" spans="1:25">
      <c r="A3168" s="310" t="s">
        <v>444</v>
      </c>
      <c r="B3168" s="310" t="s">
        <v>3037</v>
      </c>
      <c r="C3168" s="35" t="s">
        <v>3951</v>
      </c>
      <c r="D3168" s="310" t="s">
        <v>3038</v>
      </c>
      <c r="E3168" s="170" t="s">
        <v>4248</v>
      </c>
      <c r="F3168" s="135" t="s">
        <v>4249</v>
      </c>
      <c r="G3168" s="140" t="s">
        <v>88</v>
      </c>
      <c r="H3168" s="140" t="s">
        <v>4250</v>
      </c>
      <c r="I3168" s="30" t="e">
        <f>VLOOKUP(H3168,'合同高级查询数据-4月返'!A:A,1,FALSE)</f>
        <v>#N/A</v>
      </c>
      <c r="J3168" s="140" t="s">
        <v>2423</v>
      </c>
      <c r="K3168" s="370" t="s">
        <v>3951</v>
      </c>
      <c r="L3168" s="366" t="s">
        <v>4260</v>
      </c>
      <c r="M3168" s="315" t="s">
        <v>4255</v>
      </c>
      <c r="N3168" s="143">
        <v>45016</v>
      </c>
      <c r="O3168" s="143" t="s">
        <v>163</v>
      </c>
      <c r="P3168" s="371">
        <v>5000</v>
      </c>
      <c r="Q3168" s="145">
        <v>-2</v>
      </c>
      <c r="R3168" s="126">
        <f t="shared" si="103"/>
        <v>-10000</v>
      </c>
      <c r="S3168" s="322">
        <v>202304</v>
      </c>
      <c r="T3168" s="375" t="s">
        <v>4265</v>
      </c>
      <c r="U3168" s="349"/>
      <c r="V3168" s="376"/>
      <c r="W3168" s="376"/>
      <c r="X3168" s="193">
        <v>44927</v>
      </c>
      <c r="Y3168" s="193"/>
    </row>
    <row r="3169" s="3" customFormat="1" customHeight="1" spans="1:25">
      <c r="A3169" s="310" t="s">
        <v>444</v>
      </c>
      <c r="B3169" s="310" t="s">
        <v>3037</v>
      </c>
      <c r="C3169" s="35" t="s">
        <v>3951</v>
      </c>
      <c r="D3169" s="310" t="s">
        <v>3038</v>
      </c>
      <c r="E3169" s="170" t="s">
        <v>4248</v>
      </c>
      <c r="F3169" s="135" t="s">
        <v>4249</v>
      </c>
      <c r="G3169" s="140" t="s">
        <v>88</v>
      </c>
      <c r="H3169" s="140" t="s">
        <v>4250</v>
      </c>
      <c r="I3169" s="30" t="e">
        <f>VLOOKUP(H3169,'合同高级查询数据-4月返'!A:A,1,FALSE)</f>
        <v>#N/A</v>
      </c>
      <c r="J3169" s="140" t="s">
        <v>2423</v>
      </c>
      <c r="K3169" s="370" t="s">
        <v>3951</v>
      </c>
      <c r="L3169" s="366" t="s">
        <v>4260</v>
      </c>
      <c r="M3169" s="315" t="s">
        <v>4255</v>
      </c>
      <c r="N3169" s="143">
        <v>45017</v>
      </c>
      <c r="O3169" s="143" t="s">
        <v>163</v>
      </c>
      <c r="P3169" s="371">
        <v>5000</v>
      </c>
      <c r="Q3169" s="145">
        <v>-1</v>
      </c>
      <c r="R3169" s="126">
        <f>ROUND(P3169*Q3169*29/30,2)</f>
        <v>-4833.33</v>
      </c>
      <c r="S3169" s="322">
        <v>202304</v>
      </c>
      <c r="T3169" s="369" t="s">
        <v>4266</v>
      </c>
      <c r="U3169" s="349"/>
      <c r="V3169" s="376"/>
      <c r="W3169" s="376"/>
      <c r="X3169" s="193">
        <v>44927</v>
      </c>
      <c r="Y3169" s="193"/>
    </row>
    <row r="3170" s="3" customFormat="1" customHeight="1" spans="1:25">
      <c r="A3170" s="310" t="s">
        <v>444</v>
      </c>
      <c r="B3170" s="310" t="s">
        <v>3037</v>
      </c>
      <c r="C3170" s="35" t="s">
        <v>3951</v>
      </c>
      <c r="D3170" s="310" t="s">
        <v>3038</v>
      </c>
      <c r="E3170" s="170" t="s">
        <v>4248</v>
      </c>
      <c r="F3170" s="135" t="s">
        <v>4249</v>
      </c>
      <c r="G3170" s="140" t="s">
        <v>88</v>
      </c>
      <c r="H3170" s="140" t="s">
        <v>4250</v>
      </c>
      <c r="I3170" s="30" t="e">
        <f>VLOOKUP(H3170,'合同高级查询数据-4月返'!A:A,1,FALSE)</f>
        <v>#N/A</v>
      </c>
      <c r="J3170" s="140" t="s">
        <v>2423</v>
      </c>
      <c r="K3170" s="370" t="s">
        <v>3951</v>
      </c>
      <c r="L3170" s="366" t="s">
        <v>4267</v>
      </c>
      <c r="M3170" s="315" t="s">
        <v>4268</v>
      </c>
      <c r="N3170" s="143">
        <v>45018</v>
      </c>
      <c r="O3170" s="143" t="s">
        <v>163</v>
      </c>
      <c r="P3170" s="371">
        <v>5000</v>
      </c>
      <c r="Q3170" s="145">
        <v>1</v>
      </c>
      <c r="R3170" s="126">
        <f>ROUND(P3170*Q3170*29/30,2)</f>
        <v>4833.33</v>
      </c>
      <c r="S3170" s="322">
        <v>202304</v>
      </c>
      <c r="T3170" s="369" t="s">
        <v>4269</v>
      </c>
      <c r="U3170" s="349"/>
      <c r="V3170" s="376"/>
      <c r="W3170" s="376"/>
      <c r="X3170" s="193">
        <v>44927</v>
      </c>
      <c r="Y3170" s="193"/>
    </row>
    <row r="3171" s="3" customFormat="1" customHeight="1" spans="1:25">
      <c r="A3171" s="310" t="s">
        <v>444</v>
      </c>
      <c r="B3171" s="310" t="s">
        <v>3037</v>
      </c>
      <c r="C3171" s="35" t="s">
        <v>3951</v>
      </c>
      <c r="D3171" s="310" t="s">
        <v>3038</v>
      </c>
      <c r="E3171" s="170" t="s">
        <v>4248</v>
      </c>
      <c r="F3171" s="135" t="s">
        <v>4249</v>
      </c>
      <c r="G3171" s="140" t="s">
        <v>31</v>
      </c>
      <c r="H3171" s="140" t="s">
        <v>4250</v>
      </c>
      <c r="I3171" s="30" t="e">
        <f>VLOOKUP(H3171,'合同高级查询数据-4月返'!A:A,1,FALSE)</f>
        <v>#N/A</v>
      </c>
      <c r="J3171" s="140" t="s">
        <v>3189</v>
      </c>
      <c r="K3171" s="370" t="s">
        <v>4270</v>
      </c>
      <c r="L3171" s="366" t="s">
        <v>4267</v>
      </c>
      <c r="M3171" s="315" t="s">
        <v>4255</v>
      </c>
      <c r="N3171" s="143">
        <v>44713</v>
      </c>
      <c r="O3171" s="143" t="s">
        <v>163</v>
      </c>
      <c r="P3171" s="371">
        <v>0</v>
      </c>
      <c r="Q3171" s="145">
        <v>128</v>
      </c>
      <c r="R3171" s="126">
        <f t="shared" si="103"/>
        <v>0</v>
      </c>
      <c r="S3171" s="322">
        <v>202304</v>
      </c>
      <c r="T3171" s="375" t="s">
        <v>4271</v>
      </c>
      <c r="U3171" s="349"/>
      <c r="V3171" s="376"/>
      <c r="W3171" s="376"/>
      <c r="X3171" s="193">
        <v>44927</v>
      </c>
      <c r="Y3171" s="193"/>
    </row>
    <row r="3172" s="3" customFormat="1" customHeight="1" spans="1:25">
      <c r="A3172" s="310" t="s">
        <v>444</v>
      </c>
      <c r="B3172" s="310" t="s">
        <v>3037</v>
      </c>
      <c r="C3172" s="35" t="s">
        <v>3938</v>
      </c>
      <c r="D3172" s="35" t="s">
        <v>3939</v>
      </c>
      <c r="E3172" s="170" t="s">
        <v>4272</v>
      </c>
      <c r="F3172" s="135" t="s">
        <v>4273</v>
      </c>
      <c r="G3172" s="140" t="s">
        <v>31</v>
      </c>
      <c r="H3172" s="140" t="s">
        <v>4274</v>
      </c>
      <c r="I3172" s="30" t="e">
        <f>VLOOKUP(H3172,'合同高级查询数据-4月返'!A:A,1,FALSE)</f>
        <v>#N/A</v>
      </c>
      <c r="J3172" s="140" t="s">
        <v>3189</v>
      </c>
      <c r="K3172" s="370" t="s">
        <v>4273</v>
      </c>
      <c r="L3172" s="366"/>
      <c r="M3172" s="315"/>
      <c r="N3172" s="143">
        <v>43891</v>
      </c>
      <c r="O3172" s="143" t="s">
        <v>37</v>
      </c>
      <c r="P3172" s="371">
        <v>0</v>
      </c>
      <c r="Q3172" s="145">
        <v>160</v>
      </c>
      <c r="R3172" s="126">
        <f t="shared" si="103"/>
        <v>0</v>
      </c>
      <c r="S3172" s="322">
        <v>202304</v>
      </c>
      <c r="T3172" s="375" t="s">
        <v>4275</v>
      </c>
      <c r="U3172" s="349"/>
      <c r="V3172" s="376"/>
      <c r="W3172" s="376"/>
      <c r="X3172" s="193">
        <v>44927</v>
      </c>
      <c r="Y3172" s="193"/>
    </row>
    <row r="3173" s="3" customFormat="1" customHeight="1" spans="1:25">
      <c r="A3173" s="310" t="s">
        <v>444</v>
      </c>
      <c r="B3173" s="310" t="s">
        <v>3037</v>
      </c>
      <c r="C3173" s="35" t="s">
        <v>3938</v>
      </c>
      <c r="D3173" s="35" t="s">
        <v>3939</v>
      </c>
      <c r="E3173" s="170" t="s">
        <v>4272</v>
      </c>
      <c r="F3173" s="135" t="s">
        <v>4273</v>
      </c>
      <c r="G3173" s="140" t="s">
        <v>31</v>
      </c>
      <c r="H3173" s="140" t="s">
        <v>4274</v>
      </c>
      <c r="I3173" s="30" t="e">
        <f>VLOOKUP(H3173,'合同高级查询数据-4月返'!A:A,1,FALSE)</f>
        <v>#N/A</v>
      </c>
      <c r="J3173" s="140" t="s">
        <v>3189</v>
      </c>
      <c r="K3173" s="370" t="s">
        <v>4273</v>
      </c>
      <c r="L3173" s="366" t="s">
        <v>4276</v>
      </c>
      <c r="M3173" s="315"/>
      <c r="N3173" s="143">
        <v>44562</v>
      </c>
      <c r="O3173" s="143" t="s">
        <v>37</v>
      </c>
      <c r="P3173" s="371">
        <v>0</v>
      </c>
      <c r="Q3173" s="145">
        <v>96</v>
      </c>
      <c r="R3173" s="126">
        <f t="shared" si="103"/>
        <v>0</v>
      </c>
      <c r="S3173" s="322">
        <v>202304</v>
      </c>
      <c r="T3173" s="375" t="s">
        <v>4277</v>
      </c>
      <c r="U3173" s="349"/>
      <c r="V3173" s="376"/>
      <c r="W3173" s="376"/>
      <c r="X3173" s="193">
        <v>44927</v>
      </c>
      <c r="Y3173" s="193"/>
    </row>
    <row r="3174" s="3" customFormat="1" customHeight="1" spans="1:25">
      <c r="A3174" s="310" t="s">
        <v>444</v>
      </c>
      <c r="B3174" s="310" t="s">
        <v>3037</v>
      </c>
      <c r="C3174" s="35" t="s">
        <v>3938</v>
      </c>
      <c r="D3174" s="35" t="s">
        <v>3939</v>
      </c>
      <c r="E3174" s="170" t="s">
        <v>4272</v>
      </c>
      <c r="F3174" s="135" t="s">
        <v>4273</v>
      </c>
      <c r="G3174" s="140" t="s">
        <v>31</v>
      </c>
      <c r="H3174" s="140" t="s">
        <v>4274</v>
      </c>
      <c r="I3174" s="30" t="e">
        <f>VLOOKUP(H3174,'合同高级查询数据-4月返'!A:A,1,FALSE)</f>
        <v>#N/A</v>
      </c>
      <c r="J3174" s="140" t="s">
        <v>3189</v>
      </c>
      <c r="K3174" s="370" t="s">
        <v>4273</v>
      </c>
      <c r="L3174" s="366"/>
      <c r="M3174" s="315"/>
      <c r="N3174" s="143">
        <v>44651</v>
      </c>
      <c r="O3174" s="143" t="s">
        <v>37</v>
      </c>
      <c r="P3174" s="371">
        <v>0</v>
      </c>
      <c r="Q3174" s="145">
        <v>-96</v>
      </c>
      <c r="R3174" s="126">
        <f t="shared" si="103"/>
        <v>0</v>
      </c>
      <c r="S3174" s="322">
        <v>202304</v>
      </c>
      <c r="T3174" s="375" t="s">
        <v>4278</v>
      </c>
      <c r="U3174" s="349"/>
      <c r="V3174" s="376"/>
      <c r="W3174" s="376"/>
      <c r="X3174" s="193">
        <v>44927</v>
      </c>
      <c r="Y3174" s="193"/>
    </row>
    <row r="3175" s="3" customFormat="1" customHeight="1" spans="1:25">
      <c r="A3175" s="310" t="s">
        <v>444</v>
      </c>
      <c r="B3175" s="310" t="s">
        <v>3037</v>
      </c>
      <c r="C3175" s="35" t="s">
        <v>3938</v>
      </c>
      <c r="D3175" s="35" t="s">
        <v>3939</v>
      </c>
      <c r="E3175" s="170" t="s">
        <v>4272</v>
      </c>
      <c r="F3175" s="135" t="s">
        <v>4273</v>
      </c>
      <c r="G3175" s="140" t="s">
        <v>31</v>
      </c>
      <c r="H3175" s="140" t="s">
        <v>4274</v>
      </c>
      <c r="I3175" s="30" t="e">
        <f>VLOOKUP(H3175,'合同高级查询数据-4月返'!A:A,1,FALSE)</f>
        <v>#N/A</v>
      </c>
      <c r="J3175" s="140" t="s">
        <v>3189</v>
      </c>
      <c r="K3175" s="370" t="s">
        <v>4273</v>
      </c>
      <c r="L3175" s="366" t="s">
        <v>4276</v>
      </c>
      <c r="M3175" s="315"/>
      <c r="N3175" s="143">
        <v>44562</v>
      </c>
      <c r="O3175" s="143" t="s">
        <v>37</v>
      </c>
      <c r="P3175" s="371">
        <v>55</v>
      </c>
      <c r="Q3175" s="145">
        <v>32</v>
      </c>
      <c r="R3175" s="126">
        <f t="shared" si="103"/>
        <v>1760</v>
      </c>
      <c r="S3175" s="322">
        <v>202304</v>
      </c>
      <c r="T3175" s="375" t="s">
        <v>4277</v>
      </c>
      <c r="U3175" s="349"/>
      <c r="V3175" s="376"/>
      <c r="W3175" s="376"/>
      <c r="X3175" s="193">
        <v>44927</v>
      </c>
      <c r="Y3175" s="193"/>
    </row>
    <row r="3176" s="3" customFormat="1" customHeight="1" spans="1:25">
      <c r="A3176" s="310" t="s">
        <v>444</v>
      </c>
      <c r="B3176" s="310" t="s">
        <v>3037</v>
      </c>
      <c r="C3176" s="35" t="s">
        <v>3938</v>
      </c>
      <c r="D3176" s="35" t="s">
        <v>3939</v>
      </c>
      <c r="E3176" s="170" t="s">
        <v>4272</v>
      </c>
      <c r="F3176" s="135" t="s">
        <v>4273</v>
      </c>
      <c r="G3176" s="140" t="s">
        <v>31</v>
      </c>
      <c r="H3176" s="140" t="s">
        <v>4274</v>
      </c>
      <c r="I3176" s="30" t="e">
        <f>VLOOKUP(H3176,'合同高级查询数据-4月返'!A:A,1,FALSE)</f>
        <v>#N/A</v>
      </c>
      <c r="J3176" s="140" t="s">
        <v>3189</v>
      </c>
      <c r="K3176" s="370" t="s">
        <v>4273</v>
      </c>
      <c r="L3176" s="366"/>
      <c r="M3176" s="315"/>
      <c r="N3176" s="143">
        <v>44651</v>
      </c>
      <c r="O3176" s="143" t="s">
        <v>37</v>
      </c>
      <c r="P3176" s="371">
        <v>55</v>
      </c>
      <c r="Q3176" s="145">
        <v>-32</v>
      </c>
      <c r="R3176" s="126">
        <f t="shared" si="103"/>
        <v>-1760</v>
      </c>
      <c r="S3176" s="322">
        <v>202304</v>
      </c>
      <c r="T3176" s="375" t="s">
        <v>4278</v>
      </c>
      <c r="U3176" s="349"/>
      <c r="V3176" s="376"/>
      <c r="W3176" s="376"/>
      <c r="X3176" s="193">
        <v>44927</v>
      </c>
      <c r="Y3176" s="193"/>
    </row>
    <row r="3177" s="3" customFormat="1" customHeight="1" spans="1:25">
      <c r="A3177" s="310" t="s">
        <v>444</v>
      </c>
      <c r="B3177" s="310" t="s">
        <v>3037</v>
      </c>
      <c r="C3177" s="35" t="s">
        <v>3938</v>
      </c>
      <c r="D3177" s="35" t="s">
        <v>3939</v>
      </c>
      <c r="E3177" s="170" t="s">
        <v>4272</v>
      </c>
      <c r="F3177" s="135" t="s">
        <v>4273</v>
      </c>
      <c r="G3177" s="140" t="s">
        <v>88</v>
      </c>
      <c r="H3177" s="140" t="s">
        <v>4274</v>
      </c>
      <c r="I3177" s="30" t="e">
        <f>VLOOKUP(H3177,'合同高级查询数据-4月返'!A:A,1,FALSE)</f>
        <v>#N/A</v>
      </c>
      <c r="J3177" s="140" t="s">
        <v>162</v>
      </c>
      <c r="K3177" s="370"/>
      <c r="L3177" s="366"/>
      <c r="M3177" s="315" t="s">
        <v>4279</v>
      </c>
      <c r="N3177" s="143">
        <v>43891</v>
      </c>
      <c r="O3177" s="143" t="s">
        <v>503</v>
      </c>
      <c r="P3177" s="371">
        <v>5556</v>
      </c>
      <c r="Q3177" s="145">
        <v>1</v>
      </c>
      <c r="R3177" s="126">
        <f t="shared" si="103"/>
        <v>5556</v>
      </c>
      <c r="S3177" s="322">
        <v>202304</v>
      </c>
      <c r="T3177" s="375" t="s">
        <v>4280</v>
      </c>
      <c r="U3177" s="349"/>
      <c r="V3177" s="376"/>
      <c r="W3177" s="376"/>
      <c r="X3177" s="193">
        <v>44927</v>
      </c>
      <c r="Y3177" s="193"/>
    </row>
    <row r="3178" s="3" customFormat="1" customHeight="1" spans="1:25">
      <c r="A3178" s="310" t="s">
        <v>444</v>
      </c>
      <c r="B3178" s="310" t="s">
        <v>3037</v>
      </c>
      <c r="C3178" s="35" t="s">
        <v>3938</v>
      </c>
      <c r="D3178" s="35" t="s">
        <v>3939</v>
      </c>
      <c r="E3178" s="170" t="s">
        <v>4272</v>
      </c>
      <c r="F3178" s="135" t="s">
        <v>4273</v>
      </c>
      <c r="G3178" s="140" t="s">
        <v>88</v>
      </c>
      <c r="H3178" s="140" t="s">
        <v>4274</v>
      </c>
      <c r="I3178" s="30" t="e">
        <f>VLOOKUP(H3178,'合同高级查询数据-4月返'!A:A,1,FALSE)</f>
        <v>#N/A</v>
      </c>
      <c r="J3178" s="140" t="s">
        <v>162</v>
      </c>
      <c r="K3178" s="370"/>
      <c r="L3178" s="366"/>
      <c r="M3178" s="315" t="s">
        <v>4279</v>
      </c>
      <c r="N3178" s="143">
        <v>44011</v>
      </c>
      <c r="O3178" s="143" t="s">
        <v>503</v>
      </c>
      <c r="P3178" s="371">
        <v>5556</v>
      </c>
      <c r="Q3178" s="145">
        <v>1</v>
      </c>
      <c r="R3178" s="126">
        <f t="shared" si="103"/>
        <v>5556</v>
      </c>
      <c r="S3178" s="322">
        <v>202304</v>
      </c>
      <c r="T3178" s="375" t="s">
        <v>4281</v>
      </c>
      <c r="U3178" s="349"/>
      <c r="V3178" s="376"/>
      <c r="W3178" s="376"/>
      <c r="X3178" s="193">
        <v>44927</v>
      </c>
      <c r="Y3178" s="193"/>
    </row>
    <row r="3179" s="3" customFormat="1" customHeight="1" spans="1:25">
      <c r="A3179" s="310" t="s">
        <v>444</v>
      </c>
      <c r="B3179" s="310" t="s">
        <v>3037</v>
      </c>
      <c r="C3179" s="35" t="s">
        <v>3938</v>
      </c>
      <c r="D3179" s="35" t="s">
        <v>3939</v>
      </c>
      <c r="E3179" s="170" t="s">
        <v>4272</v>
      </c>
      <c r="F3179" s="135" t="s">
        <v>4273</v>
      </c>
      <c r="G3179" s="140" t="s">
        <v>88</v>
      </c>
      <c r="H3179" s="140" t="s">
        <v>4274</v>
      </c>
      <c r="I3179" s="30" t="e">
        <f>VLOOKUP(H3179,'合同高级查询数据-4月返'!A:A,1,FALSE)</f>
        <v>#N/A</v>
      </c>
      <c r="J3179" s="140" t="s">
        <v>162</v>
      </c>
      <c r="K3179" s="370"/>
      <c r="L3179" s="366" t="s">
        <v>4276</v>
      </c>
      <c r="M3179" s="315" t="s">
        <v>4279</v>
      </c>
      <c r="N3179" s="143">
        <v>44562</v>
      </c>
      <c r="O3179" s="143" t="s">
        <v>503</v>
      </c>
      <c r="P3179" s="371">
        <v>5556</v>
      </c>
      <c r="Q3179" s="145">
        <v>1</v>
      </c>
      <c r="R3179" s="126">
        <f t="shared" si="103"/>
        <v>5556</v>
      </c>
      <c r="S3179" s="322">
        <v>202304</v>
      </c>
      <c r="T3179" s="375" t="s">
        <v>4282</v>
      </c>
      <c r="U3179" s="349"/>
      <c r="V3179" s="376"/>
      <c r="W3179" s="376"/>
      <c r="X3179" s="193">
        <v>44927</v>
      </c>
      <c r="Y3179" s="193"/>
    </row>
    <row r="3180" s="3" customFormat="1" customHeight="1" spans="1:25">
      <c r="A3180" s="310" t="s">
        <v>444</v>
      </c>
      <c r="B3180" s="310" t="s">
        <v>3037</v>
      </c>
      <c r="C3180" s="35" t="s">
        <v>3938</v>
      </c>
      <c r="D3180" s="35" t="s">
        <v>3939</v>
      </c>
      <c r="E3180" s="170" t="s">
        <v>4272</v>
      </c>
      <c r="F3180" s="135" t="s">
        <v>4273</v>
      </c>
      <c r="G3180" s="140" t="s">
        <v>88</v>
      </c>
      <c r="H3180" s="140" t="s">
        <v>4274</v>
      </c>
      <c r="I3180" s="30" t="e">
        <f>VLOOKUP(H3180,'合同高级查询数据-4月返'!A:A,1,FALSE)</f>
        <v>#N/A</v>
      </c>
      <c r="J3180" s="140" t="s">
        <v>162</v>
      </c>
      <c r="K3180" s="370"/>
      <c r="L3180" s="366" t="s">
        <v>4276</v>
      </c>
      <c r="M3180" s="315" t="s">
        <v>4279</v>
      </c>
      <c r="N3180" s="143">
        <v>44651</v>
      </c>
      <c r="O3180" s="143" t="s">
        <v>503</v>
      </c>
      <c r="P3180" s="371">
        <v>5556</v>
      </c>
      <c r="Q3180" s="145">
        <v>-1</v>
      </c>
      <c r="R3180" s="126">
        <f t="shared" si="103"/>
        <v>-5556</v>
      </c>
      <c r="S3180" s="322">
        <v>202304</v>
      </c>
      <c r="T3180" s="375" t="s">
        <v>4283</v>
      </c>
      <c r="U3180" s="349"/>
      <c r="V3180" s="376"/>
      <c r="W3180" s="376"/>
      <c r="X3180" s="193">
        <v>44927</v>
      </c>
      <c r="Y3180" s="193"/>
    </row>
    <row r="3181" s="5" customFormat="1" customHeight="1" spans="1:25">
      <c r="A3181" s="203" t="s">
        <v>446</v>
      </c>
      <c r="B3181" s="204" t="s">
        <v>4284</v>
      </c>
      <c r="C3181" s="204" t="s">
        <v>63</v>
      </c>
      <c r="D3181" s="204" t="s">
        <v>3038</v>
      </c>
      <c r="E3181" s="205" t="s">
        <v>4285</v>
      </c>
      <c r="F3181" s="203" t="s">
        <v>4286</v>
      </c>
      <c r="G3181" s="203" t="s">
        <v>88</v>
      </c>
      <c r="H3181" s="25" t="s">
        <v>4287</v>
      </c>
      <c r="I3181" s="46" t="e">
        <f>VLOOKUP(H3181,'合同高级查询数据-4月返'!A:A,1,FALSE)</f>
        <v>#N/A</v>
      </c>
      <c r="J3181" s="47" t="s">
        <v>3488</v>
      </c>
      <c r="K3181" s="203" t="s">
        <v>4288</v>
      </c>
      <c r="L3181" s="206"/>
      <c r="M3181" s="49" t="s">
        <v>4289</v>
      </c>
      <c r="N3181" s="73" t="s">
        <v>558</v>
      </c>
      <c r="O3181" s="73" t="s">
        <v>92</v>
      </c>
      <c r="P3181" s="383">
        <v>4900</v>
      </c>
      <c r="Q3181" s="385">
        <v>661</v>
      </c>
      <c r="R3181" s="386">
        <f t="shared" ref="R3181:R3244" si="104">ROUND(P3181*Q3181,2)</f>
        <v>3238900</v>
      </c>
      <c r="S3181" s="279">
        <v>202304</v>
      </c>
      <c r="T3181" s="184"/>
      <c r="U3181" s="213"/>
      <c r="V3181" s="387"/>
      <c r="W3181" s="214"/>
      <c r="X3181" s="388">
        <v>44501</v>
      </c>
      <c r="Y3181" s="388">
        <v>44592</v>
      </c>
    </row>
    <row r="3182" s="5" customFormat="1" customHeight="1" spans="1:25">
      <c r="A3182" s="203" t="s">
        <v>446</v>
      </c>
      <c r="B3182" s="204" t="s">
        <v>4284</v>
      </c>
      <c r="C3182" s="204" t="s">
        <v>63</v>
      </c>
      <c r="D3182" s="204" t="s">
        <v>3038</v>
      </c>
      <c r="E3182" s="205" t="s">
        <v>4285</v>
      </c>
      <c r="F3182" s="203" t="s">
        <v>4286</v>
      </c>
      <c r="G3182" s="203" t="s">
        <v>88</v>
      </c>
      <c r="H3182" s="25" t="s">
        <v>4287</v>
      </c>
      <c r="I3182" s="46" t="e">
        <f>VLOOKUP(H3182,'合同高级查询数据-4月返'!A:A,1,FALSE)</f>
        <v>#N/A</v>
      </c>
      <c r="J3182" s="47" t="s">
        <v>3488</v>
      </c>
      <c r="K3182" s="203" t="s">
        <v>4288</v>
      </c>
      <c r="L3182" s="206"/>
      <c r="M3182" s="49" t="s">
        <v>4289</v>
      </c>
      <c r="N3182" s="73" t="s">
        <v>558</v>
      </c>
      <c r="O3182" s="73" t="s">
        <v>561</v>
      </c>
      <c r="P3182" s="383">
        <v>8540</v>
      </c>
      <c r="Q3182" s="385">
        <v>2</v>
      </c>
      <c r="R3182" s="386">
        <f t="shared" si="104"/>
        <v>17080</v>
      </c>
      <c r="S3182" s="279">
        <v>202304</v>
      </c>
      <c r="T3182" s="184" t="s">
        <v>4290</v>
      </c>
      <c r="U3182" s="213"/>
      <c r="V3182" s="387"/>
      <c r="W3182" s="214"/>
      <c r="X3182" s="388">
        <v>44501</v>
      </c>
      <c r="Y3182" s="388">
        <v>44592</v>
      </c>
    </row>
    <row r="3183" s="5" customFormat="1" customHeight="1" spans="1:25">
      <c r="A3183" s="203" t="s">
        <v>446</v>
      </c>
      <c r="B3183" s="204" t="s">
        <v>4284</v>
      </c>
      <c r="C3183" s="204" t="s">
        <v>63</v>
      </c>
      <c r="D3183" s="204" t="s">
        <v>3038</v>
      </c>
      <c r="E3183" s="205" t="s">
        <v>4285</v>
      </c>
      <c r="F3183" s="203" t="s">
        <v>4286</v>
      </c>
      <c r="G3183" s="203" t="s">
        <v>88</v>
      </c>
      <c r="H3183" s="25" t="s">
        <v>4287</v>
      </c>
      <c r="I3183" s="46" t="e">
        <f>VLOOKUP(H3183,'合同高级查询数据-4月返'!A:A,1,FALSE)</f>
        <v>#N/A</v>
      </c>
      <c r="J3183" s="47" t="s">
        <v>3488</v>
      </c>
      <c r="K3183" s="203" t="s">
        <v>4288</v>
      </c>
      <c r="L3183" s="206"/>
      <c r="M3183" s="49" t="s">
        <v>4289</v>
      </c>
      <c r="N3183" s="73" t="s">
        <v>558</v>
      </c>
      <c r="O3183" s="73" t="s">
        <v>574</v>
      </c>
      <c r="P3183" s="383">
        <v>17770</v>
      </c>
      <c r="Q3183" s="385">
        <v>2</v>
      </c>
      <c r="R3183" s="386">
        <f t="shared" si="104"/>
        <v>35540</v>
      </c>
      <c r="S3183" s="279">
        <v>202304</v>
      </c>
      <c r="T3183" s="184" t="s">
        <v>4291</v>
      </c>
      <c r="U3183" s="213"/>
      <c r="V3183" s="387"/>
      <c r="W3183" s="214"/>
      <c r="X3183" s="388">
        <v>44501</v>
      </c>
      <c r="Y3183" s="388">
        <v>44592</v>
      </c>
    </row>
    <row r="3184" s="5" customFormat="1" customHeight="1" spans="1:25">
      <c r="A3184" s="203" t="s">
        <v>446</v>
      </c>
      <c r="B3184" s="204" t="s">
        <v>4284</v>
      </c>
      <c r="C3184" s="204" t="s">
        <v>63</v>
      </c>
      <c r="D3184" s="204" t="s">
        <v>3038</v>
      </c>
      <c r="E3184" s="205" t="s">
        <v>4285</v>
      </c>
      <c r="F3184" s="203" t="s">
        <v>4286</v>
      </c>
      <c r="G3184" s="203" t="s">
        <v>88</v>
      </c>
      <c r="H3184" s="25" t="s">
        <v>4287</v>
      </c>
      <c r="I3184" s="46" t="e">
        <f>VLOOKUP(H3184,'合同高级查询数据-4月返'!A:A,1,FALSE)</f>
        <v>#N/A</v>
      </c>
      <c r="J3184" s="47" t="s">
        <v>3488</v>
      </c>
      <c r="K3184" s="203" t="s">
        <v>4288</v>
      </c>
      <c r="L3184" s="206"/>
      <c r="M3184" s="49" t="s">
        <v>4289</v>
      </c>
      <c r="N3184" s="73" t="s">
        <v>558</v>
      </c>
      <c r="O3184" s="73" t="s">
        <v>574</v>
      </c>
      <c r="P3184" s="383">
        <v>17770</v>
      </c>
      <c r="Q3184" s="385">
        <v>4</v>
      </c>
      <c r="R3184" s="386">
        <f t="shared" si="104"/>
        <v>71080</v>
      </c>
      <c r="S3184" s="279">
        <v>202304</v>
      </c>
      <c r="T3184" s="184" t="s">
        <v>4292</v>
      </c>
      <c r="U3184" s="213"/>
      <c r="V3184" s="387"/>
      <c r="W3184" s="214"/>
      <c r="X3184" s="388">
        <v>44501</v>
      </c>
      <c r="Y3184" s="388">
        <v>44592</v>
      </c>
    </row>
    <row r="3185" s="5" customFormat="1" customHeight="1" spans="1:25">
      <c r="A3185" s="203" t="s">
        <v>446</v>
      </c>
      <c r="B3185" s="204" t="s">
        <v>4284</v>
      </c>
      <c r="C3185" s="204" t="s">
        <v>63</v>
      </c>
      <c r="D3185" s="204" t="s">
        <v>3038</v>
      </c>
      <c r="E3185" s="205" t="s">
        <v>4285</v>
      </c>
      <c r="F3185" s="203" t="s">
        <v>4286</v>
      </c>
      <c r="G3185" s="203" t="s">
        <v>88</v>
      </c>
      <c r="H3185" s="25" t="s">
        <v>4287</v>
      </c>
      <c r="I3185" s="46" t="e">
        <f>VLOOKUP(H3185,'合同高级查询数据-4月返'!A:A,1,FALSE)</f>
        <v>#N/A</v>
      </c>
      <c r="J3185" s="47" t="s">
        <v>3488</v>
      </c>
      <c r="K3185" s="203" t="s">
        <v>4288</v>
      </c>
      <c r="L3185" s="206"/>
      <c r="M3185" s="49" t="s">
        <v>4289</v>
      </c>
      <c r="N3185" s="73">
        <v>44578</v>
      </c>
      <c r="O3185" s="73" t="s">
        <v>574</v>
      </c>
      <c r="P3185" s="383">
        <v>17770</v>
      </c>
      <c r="Q3185" s="385">
        <v>-6</v>
      </c>
      <c r="R3185" s="207">
        <f t="shared" si="104"/>
        <v>-106620</v>
      </c>
      <c r="S3185" s="279">
        <v>202304</v>
      </c>
      <c r="T3185" s="184" t="s">
        <v>4293</v>
      </c>
      <c r="U3185" s="213"/>
      <c r="V3185" s="387"/>
      <c r="W3185" s="214"/>
      <c r="X3185" s="388">
        <v>44501</v>
      </c>
      <c r="Y3185" s="388">
        <v>44592</v>
      </c>
    </row>
    <row r="3186" s="5" customFormat="1" customHeight="1" spans="1:25">
      <c r="A3186" s="203" t="s">
        <v>446</v>
      </c>
      <c r="B3186" s="204" t="s">
        <v>4284</v>
      </c>
      <c r="C3186" s="204" t="s">
        <v>63</v>
      </c>
      <c r="D3186" s="204" t="s">
        <v>3038</v>
      </c>
      <c r="E3186" s="205" t="s">
        <v>4285</v>
      </c>
      <c r="F3186" s="203" t="s">
        <v>4286</v>
      </c>
      <c r="G3186" s="203" t="s">
        <v>88</v>
      </c>
      <c r="H3186" s="25" t="s">
        <v>4287</v>
      </c>
      <c r="I3186" s="46" t="e">
        <f>VLOOKUP(H3186,'合同高级查询数据-4月返'!A:A,1,FALSE)</f>
        <v>#N/A</v>
      </c>
      <c r="J3186" s="47" t="s">
        <v>3488</v>
      </c>
      <c r="K3186" s="203" t="s">
        <v>4288</v>
      </c>
      <c r="L3186" s="206"/>
      <c r="M3186" s="49" t="s">
        <v>4289</v>
      </c>
      <c r="N3186" s="73" t="s">
        <v>558</v>
      </c>
      <c r="O3186" s="73" t="s">
        <v>561</v>
      </c>
      <c r="P3186" s="383">
        <v>8540</v>
      </c>
      <c r="Q3186" s="385">
        <v>4</v>
      </c>
      <c r="R3186" s="386">
        <f t="shared" si="104"/>
        <v>34160</v>
      </c>
      <c r="S3186" s="279">
        <v>202304</v>
      </c>
      <c r="T3186" s="184" t="s">
        <v>4294</v>
      </c>
      <c r="U3186" s="213"/>
      <c r="V3186" s="387"/>
      <c r="W3186" s="214"/>
      <c r="X3186" s="388">
        <v>44501</v>
      </c>
      <c r="Y3186" s="388">
        <v>44592</v>
      </c>
    </row>
    <row r="3187" s="5" customFormat="1" customHeight="1" spans="1:25">
      <c r="A3187" s="203" t="s">
        <v>446</v>
      </c>
      <c r="B3187" s="204" t="s">
        <v>4284</v>
      </c>
      <c r="C3187" s="204" t="s">
        <v>63</v>
      </c>
      <c r="D3187" s="204" t="s">
        <v>3038</v>
      </c>
      <c r="E3187" s="205" t="s">
        <v>4285</v>
      </c>
      <c r="F3187" s="203" t="s">
        <v>4286</v>
      </c>
      <c r="G3187" s="203" t="s">
        <v>88</v>
      </c>
      <c r="H3187" s="25" t="s">
        <v>4287</v>
      </c>
      <c r="I3187" s="46" t="e">
        <f>VLOOKUP(H3187,'合同高级查询数据-4月返'!A:A,1,FALSE)</f>
        <v>#N/A</v>
      </c>
      <c r="J3187" s="47" t="s">
        <v>3488</v>
      </c>
      <c r="K3187" s="203" t="s">
        <v>4288</v>
      </c>
      <c r="L3187" s="206"/>
      <c r="M3187" s="49" t="s">
        <v>4289</v>
      </c>
      <c r="N3187" s="73">
        <v>44578</v>
      </c>
      <c r="O3187" s="73" t="s">
        <v>561</v>
      </c>
      <c r="P3187" s="383">
        <v>8540</v>
      </c>
      <c r="Q3187" s="385">
        <v>-2</v>
      </c>
      <c r="R3187" s="207">
        <f t="shared" si="104"/>
        <v>-17080</v>
      </c>
      <c r="S3187" s="279">
        <v>202304</v>
      </c>
      <c r="T3187" s="184" t="s">
        <v>4295</v>
      </c>
      <c r="U3187" s="213"/>
      <c r="V3187" s="387"/>
      <c r="W3187" s="214"/>
      <c r="X3187" s="388">
        <v>44501</v>
      </c>
      <c r="Y3187" s="388">
        <v>44592</v>
      </c>
    </row>
    <row r="3188" s="5" customFormat="1" customHeight="1" spans="1:25">
      <c r="A3188" s="203" t="s">
        <v>446</v>
      </c>
      <c r="B3188" s="204" t="s">
        <v>4284</v>
      </c>
      <c r="C3188" s="204" t="s">
        <v>63</v>
      </c>
      <c r="D3188" s="204" t="s">
        <v>3038</v>
      </c>
      <c r="E3188" s="205" t="s">
        <v>4285</v>
      </c>
      <c r="F3188" s="203" t="s">
        <v>4286</v>
      </c>
      <c r="G3188" s="203" t="s">
        <v>88</v>
      </c>
      <c r="H3188" s="25" t="s">
        <v>4287</v>
      </c>
      <c r="I3188" s="46" t="e">
        <f>VLOOKUP(H3188,'合同高级查询数据-4月返'!A:A,1,FALSE)</f>
        <v>#N/A</v>
      </c>
      <c r="J3188" s="47" t="s">
        <v>3488</v>
      </c>
      <c r="K3188" s="203" t="s">
        <v>4288</v>
      </c>
      <c r="L3188" s="206"/>
      <c r="M3188" s="49" t="s">
        <v>4289</v>
      </c>
      <c r="N3188" s="73">
        <v>43573</v>
      </c>
      <c r="O3188" s="73" t="s">
        <v>92</v>
      </c>
      <c r="P3188" s="383">
        <v>4900</v>
      </c>
      <c r="Q3188" s="385">
        <v>1</v>
      </c>
      <c r="R3188" s="386">
        <f t="shared" si="104"/>
        <v>4900</v>
      </c>
      <c r="S3188" s="279">
        <v>202304</v>
      </c>
      <c r="T3188" s="184" t="s">
        <v>4296</v>
      </c>
      <c r="U3188" s="213"/>
      <c r="V3188" s="387"/>
      <c r="W3188" s="214"/>
      <c r="X3188" s="388">
        <v>44501</v>
      </c>
      <c r="Y3188" s="388">
        <v>44592</v>
      </c>
    </row>
    <row r="3189" s="5" customFormat="1" customHeight="1" spans="1:25">
      <c r="A3189" s="203" t="s">
        <v>446</v>
      </c>
      <c r="B3189" s="204" t="s">
        <v>4284</v>
      </c>
      <c r="C3189" s="204" t="s">
        <v>63</v>
      </c>
      <c r="D3189" s="204" t="s">
        <v>3038</v>
      </c>
      <c r="E3189" s="205" t="s">
        <v>4285</v>
      </c>
      <c r="F3189" s="203" t="s">
        <v>4286</v>
      </c>
      <c r="G3189" s="203" t="s">
        <v>88</v>
      </c>
      <c r="H3189" s="25" t="s">
        <v>4287</v>
      </c>
      <c r="I3189" s="46" t="e">
        <f>VLOOKUP(H3189,'合同高级查询数据-4月返'!A:A,1,FALSE)</f>
        <v>#N/A</v>
      </c>
      <c r="J3189" s="47" t="s">
        <v>3488</v>
      </c>
      <c r="K3189" s="203" t="s">
        <v>4288</v>
      </c>
      <c r="L3189" s="206"/>
      <c r="M3189" s="49" t="s">
        <v>4289</v>
      </c>
      <c r="N3189" s="73">
        <v>44578</v>
      </c>
      <c r="O3189" s="73" t="s">
        <v>92</v>
      </c>
      <c r="P3189" s="383">
        <v>4900</v>
      </c>
      <c r="Q3189" s="385">
        <v>-3</v>
      </c>
      <c r="R3189" s="207">
        <f t="shared" si="104"/>
        <v>-14700</v>
      </c>
      <c r="S3189" s="279">
        <v>202304</v>
      </c>
      <c r="T3189" s="184" t="s">
        <v>4297</v>
      </c>
      <c r="U3189" s="213"/>
      <c r="V3189" s="387"/>
      <c r="W3189" s="214"/>
      <c r="X3189" s="388">
        <v>44501</v>
      </c>
      <c r="Y3189" s="388">
        <v>44592</v>
      </c>
    </row>
    <row r="3190" s="5" customFormat="1" customHeight="1" spans="1:25">
      <c r="A3190" s="203" t="s">
        <v>446</v>
      </c>
      <c r="B3190" s="204" t="s">
        <v>4284</v>
      </c>
      <c r="C3190" s="204" t="s">
        <v>63</v>
      </c>
      <c r="D3190" s="204" t="s">
        <v>3038</v>
      </c>
      <c r="E3190" s="205" t="s">
        <v>4285</v>
      </c>
      <c r="F3190" s="203" t="s">
        <v>4286</v>
      </c>
      <c r="G3190" s="203" t="s">
        <v>88</v>
      </c>
      <c r="H3190" s="25" t="s">
        <v>4287</v>
      </c>
      <c r="I3190" s="46" t="e">
        <f>VLOOKUP(H3190,'合同高级查询数据-4月返'!A:A,1,FALSE)</f>
        <v>#N/A</v>
      </c>
      <c r="J3190" s="47" t="s">
        <v>3488</v>
      </c>
      <c r="K3190" s="203" t="s">
        <v>4288</v>
      </c>
      <c r="L3190" s="206"/>
      <c r="M3190" s="49" t="s">
        <v>4289</v>
      </c>
      <c r="N3190" s="73">
        <v>43617</v>
      </c>
      <c r="O3190" s="73" t="s">
        <v>600</v>
      </c>
      <c r="P3190" s="383">
        <v>4900</v>
      </c>
      <c r="Q3190" s="385">
        <v>5</v>
      </c>
      <c r="R3190" s="386">
        <f t="shared" si="104"/>
        <v>24500</v>
      </c>
      <c r="S3190" s="279">
        <v>202304</v>
      </c>
      <c r="T3190" s="184" t="s">
        <v>4298</v>
      </c>
      <c r="U3190" s="213"/>
      <c r="V3190" s="387"/>
      <c r="W3190" s="214"/>
      <c r="X3190" s="388">
        <v>44501</v>
      </c>
      <c r="Y3190" s="388">
        <v>44592</v>
      </c>
    </row>
    <row r="3191" s="5" customFormat="1" customHeight="1" spans="1:25">
      <c r="A3191" s="203" t="s">
        <v>446</v>
      </c>
      <c r="B3191" s="204" t="s">
        <v>4284</v>
      </c>
      <c r="C3191" s="204" t="s">
        <v>63</v>
      </c>
      <c r="D3191" s="204" t="s">
        <v>3038</v>
      </c>
      <c r="E3191" s="205" t="s">
        <v>4285</v>
      </c>
      <c r="F3191" s="203" t="s">
        <v>4286</v>
      </c>
      <c r="G3191" s="203" t="s">
        <v>88</v>
      </c>
      <c r="H3191" s="25" t="s">
        <v>4287</v>
      </c>
      <c r="I3191" s="46" t="e">
        <f>VLOOKUP(H3191,'合同高级查询数据-4月返'!A:A,1,FALSE)</f>
        <v>#N/A</v>
      </c>
      <c r="J3191" s="47" t="s">
        <v>3488</v>
      </c>
      <c r="K3191" s="203" t="s">
        <v>4288</v>
      </c>
      <c r="L3191" s="206"/>
      <c r="M3191" s="49" t="s">
        <v>4289</v>
      </c>
      <c r="N3191" s="73">
        <v>43617</v>
      </c>
      <c r="O3191" s="73" t="s">
        <v>92</v>
      </c>
      <c r="P3191" s="383">
        <v>4900</v>
      </c>
      <c r="Q3191" s="385">
        <v>1</v>
      </c>
      <c r="R3191" s="386">
        <f t="shared" si="104"/>
        <v>4900</v>
      </c>
      <c r="S3191" s="279">
        <v>202304</v>
      </c>
      <c r="T3191" s="184" t="s">
        <v>4299</v>
      </c>
      <c r="U3191" s="213"/>
      <c r="V3191" s="387"/>
      <c r="W3191" s="214"/>
      <c r="X3191" s="388">
        <v>44501</v>
      </c>
      <c r="Y3191" s="388">
        <v>44592</v>
      </c>
    </row>
    <row r="3192" s="5" customFormat="1" customHeight="1" spans="1:25">
      <c r="A3192" s="203" t="s">
        <v>446</v>
      </c>
      <c r="B3192" s="204" t="s">
        <v>4284</v>
      </c>
      <c r="C3192" s="204" t="s">
        <v>63</v>
      </c>
      <c r="D3192" s="204" t="s">
        <v>3038</v>
      </c>
      <c r="E3192" s="205" t="s">
        <v>4285</v>
      </c>
      <c r="F3192" s="203" t="s">
        <v>4286</v>
      </c>
      <c r="G3192" s="203" t="s">
        <v>88</v>
      </c>
      <c r="H3192" s="25" t="s">
        <v>4287</v>
      </c>
      <c r="I3192" s="46" t="e">
        <f>VLOOKUP(H3192,'合同高级查询数据-4月返'!A:A,1,FALSE)</f>
        <v>#N/A</v>
      </c>
      <c r="J3192" s="47" t="s">
        <v>3488</v>
      </c>
      <c r="K3192" s="203" t="s">
        <v>4288</v>
      </c>
      <c r="L3192" s="206"/>
      <c r="M3192" s="49" t="s">
        <v>4289</v>
      </c>
      <c r="N3192" s="73">
        <v>43709</v>
      </c>
      <c r="O3192" s="73" t="s">
        <v>600</v>
      </c>
      <c r="P3192" s="383">
        <v>4900</v>
      </c>
      <c r="Q3192" s="385">
        <v>1</v>
      </c>
      <c r="R3192" s="386">
        <f t="shared" si="104"/>
        <v>4900</v>
      </c>
      <c r="S3192" s="279">
        <v>202304</v>
      </c>
      <c r="T3192" s="184" t="s">
        <v>4300</v>
      </c>
      <c r="U3192" s="213"/>
      <c r="V3192" s="387"/>
      <c r="W3192" s="214"/>
      <c r="X3192" s="388">
        <v>44501</v>
      </c>
      <c r="Y3192" s="388">
        <v>44592</v>
      </c>
    </row>
    <row r="3193" s="5" customFormat="1" customHeight="1" spans="1:25">
      <c r="A3193" s="203" t="s">
        <v>446</v>
      </c>
      <c r="B3193" s="204" t="s">
        <v>4284</v>
      </c>
      <c r="C3193" s="204" t="s">
        <v>63</v>
      </c>
      <c r="D3193" s="204" t="s">
        <v>3038</v>
      </c>
      <c r="E3193" s="205" t="s">
        <v>4285</v>
      </c>
      <c r="F3193" s="203" t="s">
        <v>4286</v>
      </c>
      <c r="G3193" s="203" t="s">
        <v>88</v>
      </c>
      <c r="H3193" s="25" t="s">
        <v>4287</v>
      </c>
      <c r="I3193" s="46" t="e">
        <f>VLOOKUP(H3193,'合同高级查询数据-4月返'!A:A,1,FALSE)</f>
        <v>#N/A</v>
      </c>
      <c r="J3193" s="47" t="s">
        <v>3488</v>
      </c>
      <c r="K3193" s="203" t="s">
        <v>4288</v>
      </c>
      <c r="L3193" s="206"/>
      <c r="M3193" s="49" t="s">
        <v>4289</v>
      </c>
      <c r="N3193" s="73">
        <v>43928</v>
      </c>
      <c r="O3193" s="73" t="s">
        <v>92</v>
      </c>
      <c r="P3193" s="383">
        <v>4900</v>
      </c>
      <c r="Q3193" s="385">
        <v>-5</v>
      </c>
      <c r="R3193" s="386">
        <f t="shared" si="104"/>
        <v>-24500</v>
      </c>
      <c r="S3193" s="279">
        <v>202304</v>
      </c>
      <c r="T3193" s="184"/>
      <c r="U3193" s="213"/>
      <c r="V3193" s="387"/>
      <c r="W3193" s="214"/>
      <c r="X3193" s="388">
        <v>44501</v>
      </c>
      <c r="Y3193" s="388">
        <v>44592</v>
      </c>
    </row>
    <row r="3194" s="5" customFormat="1" customHeight="1" spans="1:25">
      <c r="A3194" s="203" t="s">
        <v>446</v>
      </c>
      <c r="B3194" s="204" t="s">
        <v>4284</v>
      </c>
      <c r="C3194" s="204" t="s">
        <v>63</v>
      </c>
      <c r="D3194" s="204" t="s">
        <v>3038</v>
      </c>
      <c r="E3194" s="205" t="s">
        <v>4285</v>
      </c>
      <c r="F3194" s="203" t="s">
        <v>4286</v>
      </c>
      <c r="G3194" s="203" t="s">
        <v>88</v>
      </c>
      <c r="H3194" s="25" t="s">
        <v>4287</v>
      </c>
      <c r="I3194" s="46" t="e">
        <f>VLOOKUP(H3194,'合同高级查询数据-4月返'!A:A,1,FALSE)</f>
        <v>#N/A</v>
      </c>
      <c r="J3194" s="47" t="s">
        <v>3488</v>
      </c>
      <c r="K3194" s="203" t="s">
        <v>4288</v>
      </c>
      <c r="L3194" s="206"/>
      <c r="M3194" s="49" t="s">
        <v>4289</v>
      </c>
      <c r="N3194" s="73">
        <v>44579</v>
      </c>
      <c r="O3194" s="73" t="s">
        <v>600</v>
      </c>
      <c r="P3194" s="383">
        <v>4900</v>
      </c>
      <c r="Q3194" s="385">
        <v>-6</v>
      </c>
      <c r="R3194" s="207">
        <f t="shared" si="104"/>
        <v>-29400</v>
      </c>
      <c r="S3194" s="279">
        <v>202304</v>
      </c>
      <c r="T3194" s="184" t="s">
        <v>4301</v>
      </c>
      <c r="U3194" s="213"/>
      <c r="V3194" s="387"/>
      <c r="W3194" s="214"/>
      <c r="X3194" s="388">
        <v>44501</v>
      </c>
      <c r="Y3194" s="388">
        <v>44592</v>
      </c>
    </row>
    <row r="3195" s="5" customFormat="1" customHeight="1" spans="1:25">
      <c r="A3195" s="203" t="s">
        <v>446</v>
      </c>
      <c r="B3195" s="204" t="s">
        <v>4284</v>
      </c>
      <c r="C3195" s="204" t="s">
        <v>63</v>
      </c>
      <c r="D3195" s="204" t="s">
        <v>3038</v>
      </c>
      <c r="E3195" s="205" t="s">
        <v>4285</v>
      </c>
      <c r="F3195" s="203" t="s">
        <v>4286</v>
      </c>
      <c r="G3195" s="203" t="s">
        <v>88</v>
      </c>
      <c r="H3195" s="25" t="s">
        <v>4287</v>
      </c>
      <c r="I3195" s="46" t="e">
        <f>VLOOKUP(H3195,'合同高级查询数据-4月返'!A:A,1,FALSE)</f>
        <v>#N/A</v>
      </c>
      <c r="J3195" s="47" t="s">
        <v>3488</v>
      </c>
      <c r="K3195" s="203" t="s">
        <v>4288</v>
      </c>
      <c r="L3195" s="206"/>
      <c r="M3195" s="49" t="s">
        <v>4289</v>
      </c>
      <c r="N3195" s="73">
        <v>44579</v>
      </c>
      <c r="O3195" s="73" t="s">
        <v>92</v>
      </c>
      <c r="P3195" s="383">
        <v>4900</v>
      </c>
      <c r="Q3195" s="385">
        <v>-655</v>
      </c>
      <c r="R3195" s="207">
        <f t="shared" si="104"/>
        <v>-3209500</v>
      </c>
      <c r="S3195" s="279">
        <v>202304</v>
      </c>
      <c r="T3195" s="184" t="s">
        <v>4302</v>
      </c>
      <c r="U3195" s="213"/>
      <c r="V3195" s="387"/>
      <c r="W3195" s="214"/>
      <c r="X3195" s="388">
        <v>44501</v>
      </c>
      <c r="Y3195" s="388">
        <v>44592</v>
      </c>
    </row>
    <row r="3196" s="5" customFormat="1" customHeight="1" spans="1:25">
      <c r="A3196" s="203" t="s">
        <v>446</v>
      </c>
      <c r="B3196" s="204" t="s">
        <v>4284</v>
      </c>
      <c r="C3196" s="204" t="s">
        <v>63</v>
      </c>
      <c r="D3196" s="204" t="s">
        <v>3038</v>
      </c>
      <c r="E3196" s="205" t="s">
        <v>4285</v>
      </c>
      <c r="F3196" s="203" t="s">
        <v>4286</v>
      </c>
      <c r="G3196" s="203" t="s">
        <v>88</v>
      </c>
      <c r="H3196" s="25" t="s">
        <v>4287</v>
      </c>
      <c r="I3196" s="46" t="e">
        <f>VLOOKUP(H3196,'合同高级查询数据-4月返'!A:A,1,FALSE)</f>
        <v>#N/A</v>
      </c>
      <c r="J3196" s="47" t="s">
        <v>3488</v>
      </c>
      <c r="K3196" s="203" t="s">
        <v>4288</v>
      </c>
      <c r="L3196" s="206"/>
      <c r="M3196" s="49" t="s">
        <v>4289</v>
      </c>
      <c r="N3196" s="73">
        <v>44579</v>
      </c>
      <c r="O3196" s="73" t="s">
        <v>561</v>
      </c>
      <c r="P3196" s="383">
        <v>8540</v>
      </c>
      <c r="Q3196" s="385">
        <v>-4</v>
      </c>
      <c r="R3196" s="207">
        <f t="shared" si="104"/>
        <v>-34160</v>
      </c>
      <c r="S3196" s="279">
        <v>202304</v>
      </c>
      <c r="T3196" s="184" t="s">
        <v>4303</v>
      </c>
      <c r="U3196" s="213"/>
      <c r="V3196" s="387"/>
      <c r="W3196" s="214"/>
      <c r="X3196" s="388">
        <v>44501</v>
      </c>
      <c r="Y3196" s="388">
        <v>44592</v>
      </c>
    </row>
    <row r="3197" s="3" customFormat="1" customHeight="1" spans="1:25">
      <c r="A3197" s="154" t="s">
        <v>446</v>
      </c>
      <c r="B3197" s="292" t="s">
        <v>4284</v>
      </c>
      <c r="C3197" s="292" t="s">
        <v>63</v>
      </c>
      <c r="D3197" s="292" t="s">
        <v>3038</v>
      </c>
      <c r="E3197" s="153" t="s">
        <v>4285</v>
      </c>
      <c r="F3197" s="154" t="s">
        <v>4286</v>
      </c>
      <c r="G3197" s="154" t="s">
        <v>88</v>
      </c>
      <c r="H3197" s="110" t="s">
        <v>4304</v>
      </c>
      <c r="I3197" s="30" t="e">
        <f>VLOOKUP(H3197,'合同高级查询数据-4月返'!A:A,1,FALSE)</f>
        <v>#N/A</v>
      </c>
      <c r="J3197" s="31" t="s">
        <v>3488</v>
      </c>
      <c r="K3197" s="154" t="s">
        <v>4288</v>
      </c>
      <c r="L3197" s="293"/>
      <c r="M3197" s="113" t="s">
        <v>4289</v>
      </c>
      <c r="N3197" s="146" t="s">
        <v>558</v>
      </c>
      <c r="O3197" s="146" t="s">
        <v>92</v>
      </c>
      <c r="P3197" s="384">
        <v>5330</v>
      </c>
      <c r="Q3197" s="389">
        <v>1518</v>
      </c>
      <c r="R3197" s="390">
        <f t="shared" si="104"/>
        <v>8090940</v>
      </c>
      <c r="S3197" s="277">
        <v>202304</v>
      </c>
      <c r="T3197" s="198" t="s">
        <v>4305</v>
      </c>
      <c r="U3197" s="391"/>
      <c r="V3197" s="392"/>
      <c r="W3197" s="393"/>
      <c r="X3197" s="394"/>
      <c r="Y3197" s="394"/>
    </row>
    <row r="3198" s="3" customFormat="1" customHeight="1" spans="1:25">
      <c r="A3198" s="154" t="s">
        <v>446</v>
      </c>
      <c r="B3198" s="292" t="s">
        <v>4284</v>
      </c>
      <c r="C3198" s="292" t="s">
        <v>63</v>
      </c>
      <c r="D3198" s="292" t="s">
        <v>3038</v>
      </c>
      <c r="E3198" s="153" t="s">
        <v>4285</v>
      </c>
      <c r="F3198" s="154" t="s">
        <v>4286</v>
      </c>
      <c r="G3198" s="154" t="s">
        <v>88</v>
      </c>
      <c r="H3198" s="110" t="s">
        <v>4304</v>
      </c>
      <c r="I3198" s="30" t="e">
        <f>VLOOKUP(H3198,'合同高级查询数据-4月返'!A:A,1,FALSE)</f>
        <v>#N/A</v>
      </c>
      <c r="J3198" s="31" t="s">
        <v>3488</v>
      </c>
      <c r="K3198" s="154" t="s">
        <v>4288</v>
      </c>
      <c r="L3198" s="293"/>
      <c r="M3198" s="113" t="s">
        <v>4289</v>
      </c>
      <c r="N3198" s="146" t="s">
        <v>558</v>
      </c>
      <c r="O3198" s="146" t="s">
        <v>3054</v>
      </c>
      <c r="P3198" s="384">
        <v>14950</v>
      </c>
      <c r="Q3198" s="389">
        <v>4</v>
      </c>
      <c r="R3198" s="390">
        <f t="shared" si="104"/>
        <v>59800</v>
      </c>
      <c r="S3198" s="277">
        <v>202304</v>
      </c>
      <c r="T3198" s="198" t="s">
        <v>4306</v>
      </c>
      <c r="U3198" s="391"/>
      <c r="V3198" s="392"/>
      <c r="W3198" s="393"/>
      <c r="X3198" s="394"/>
      <c r="Y3198" s="394"/>
    </row>
    <row r="3199" s="3" customFormat="1" customHeight="1" spans="1:25">
      <c r="A3199" s="154" t="s">
        <v>446</v>
      </c>
      <c r="B3199" s="292" t="s">
        <v>4284</v>
      </c>
      <c r="C3199" s="292" t="s">
        <v>63</v>
      </c>
      <c r="D3199" s="292" t="s">
        <v>3038</v>
      </c>
      <c r="E3199" s="153" t="s">
        <v>4285</v>
      </c>
      <c r="F3199" s="154" t="s">
        <v>4286</v>
      </c>
      <c r="G3199" s="154" t="s">
        <v>88</v>
      </c>
      <c r="H3199" s="110" t="s">
        <v>4304</v>
      </c>
      <c r="I3199" s="30" t="e">
        <f>VLOOKUP(H3199,'合同高级查询数据-4月返'!A:A,1,FALSE)</f>
        <v>#N/A</v>
      </c>
      <c r="J3199" s="31" t="s">
        <v>3488</v>
      </c>
      <c r="K3199" s="154" t="s">
        <v>4288</v>
      </c>
      <c r="L3199" s="293"/>
      <c r="M3199" s="113" t="s">
        <v>4289</v>
      </c>
      <c r="N3199" s="146">
        <v>44578</v>
      </c>
      <c r="O3199" s="146" t="s">
        <v>3054</v>
      </c>
      <c r="P3199" s="384">
        <v>14950</v>
      </c>
      <c r="Q3199" s="389">
        <v>-4</v>
      </c>
      <c r="R3199" s="157">
        <f t="shared" si="104"/>
        <v>-59800</v>
      </c>
      <c r="S3199" s="277">
        <v>202304</v>
      </c>
      <c r="T3199" s="198" t="s">
        <v>4307</v>
      </c>
      <c r="U3199" s="391"/>
      <c r="V3199" s="392"/>
      <c r="W3199" s="393"/>
      <c r="X3199" s="394"/>
      <c r="Y3199" s="394"/>
    </row>
    <row r="3200" s="3" customFormat="1" customHeight="1" spans="1:25">
      <c r="A3200" s="154" t="s">
        <v>446</v>
      </c>
      <c r="B3200" s="292" t="s">
        <v>4284</v>
      </c>
      <c r="C3200" s="292" t="s">
        <v>63</v>
      </c>
      <c r="D3200" s="292" t="s">
        <v>3038</v>
      </c>
      <c r="E3200" s="153" t="s">
        <v>4285</v>
      </c>
      <c r="F3200" s="154" t="s">
        <v>4286</v>
      </c>
      <c r="G3200" s="154" t="s">
        <v>88</v>
      </c>
      <c r="H3200" s="110" t="s">
        <v>4304</v>
      </c>
      <c r="I3200" s="30" t="e">
        <f>VLOOKUP(H3200,'合同高级查询数据-4月返'!A:A,1,FALSE)</f>
        <v>#N/A</v>
      </c>
      <c r="J3200" s="31" t="s">
        <v>3488</v>
      </c>
      <c r="K3200" s="154" t="s">
        <v>4288</v>
      </c>
      <c r="L3200" s="293"/>
      <c r="M3200" s="113" t="s">
        <v>4289</v>
      </c>
      <c r="N3200" s="146" t="s">
        <v>558</v>
      </c>
      <c r="O3200" s="146" t="s">
        <v>561</v>
      </c>
      <c r="P3200" s="384">
        <v>8970</v>
      </c>
      <c r="Q3200" s="389">
        <v>4</v>
      </c>
      <c r="R3200" s="390">
        <f t="shared" si="104"/>
        <v>35880</v>
      </c>
      <c r="S3200" s="277">
        <v>202304</v>
      </c>
      <c r="T3200" s="198" t="s">
        <v>4308</v>
      </c>
      <c r="U3200" s="391"/>
      <c r="V3200" s="392"/>
      <c r="W3200" s="393"/>
      <c r="X3200" s="394"/>
      <c r="Y3200" s="394"/>
    </row>
    <row r="3201" s="3" customFormat="1" customHeight="1" spans="1:25">
      <c r="A3201" s="154" t="s">
        <v>446</v>
      </c>
      <c r="B3201" s="292" t="s">
        <v>4284</v>
      </c>
      <c r="C3201" s="292" t="s">
        <v>63</v>
      </c>
      <c r="D3201" s="292" t="s">
        <v>3038</v>
      </c>
      <c r="E3201" s="153" t="s">
        <v>4285</v>
      </c>
      <c r="F3201" s="154" t="s">
        <v>4286</v>
      </c>
      <c r="G3201" s="154" t="s">
        <v>88</v>
      </c>
      <c r="H3201" s="110" t="s">
        <v>4304</v>
      </c>
      <c r="I3201" s="30" t="e">
        <f>VLOOKUP(H3201,'合同高级查询数据-4月返'!A:A,1,FALSE)</f>
        <v>#N/A</v>
      </c>
      <c r="J3201" s="31" t="s">
        <v>3488</v>
      </c>
      <c r="K3201" s="154" t="s">
        <v>4288</v>
      </c>
      <c r="L3201" s="293"/>
      <c r="M3201" s="113" t="s">
        <v>4289</v>
      </c>
      <c r="N3201" s="146">
        <v>44578</v>
      </c>
      <c r="O3201" s="146" t="s">
        <v>561</v>
      </c>
      <c r="P3201" s="384">
        <v>8970</v>
      </c>
      <c r="Q3201" s="389">
        <v>-2</v>
      </c>
      <c r="R3201" s="157">
        <f t="shared" si="104"/>
        <v>-17940</v>
      </c>
      <c r="S3201" s="277">
        <v>202304</v>
      </c>
      <c r="T3201" s="198" t="s">
        <v>4309</v>
      </c>
      <c r="U3201" s="391"/>
      <c r="V3201" s="392"/>
      <c r="W3201" s="393"/>
      <c r="X3201" s="394"/>
      <c r="Y3201" s="394"/>
    </row>
    <row r="3202" s="3" customFormat="1" customHeight="1" spans="1:25">
      <c r="A3202" s="154" t="s">
        <v>446</v>
      </c>
      <c r="B3202" s="292" t="s">
        <v>4284</v>
      </c>
      <c r="C3202" s="292" t="s">
        <v>63</v>
      </c>
      <c r="D3202" s="292" t="s">
        <v>3038</v>
      </c>
      <c r="E3202" s="153" t="s">
        <v>4285</v>
      </c>
      <c r="F3202" s="154" t="s">
        <v>4286</v>
      </c>
      <c r="G3202" s="154" t="s">
        <v>88</v>
      </c>
      <c r="H3202" s="110" t="s">
        <v>4304</v>
      </c>
      <c r="I3202" s="30" t="e">
        <f>VLOOKUP(H3202,'合同高级查询数据-4月返'!A:A,1,FALSE)</f>
        <v>#N/A</v>
      </c>
      <c r="J3202" s="31" t="s">
        <v>3488</v>
      </c>
      <c r="K3202" s="154" t="s">
        <v>4288</v>
      </c>
      <c r="L3202" s="293"/>
      <c r="M3202" s="113" t="s">
        <v>4289</v>
      </c>
      <c r="N3202" s="146">
        <v>43482</v>
      </c>
      <c r="O3202" s="146" t="s">
        <v>92</v>
      </c>
      <c r="P3202" s="384">
        <v>5330</v>
      </c>
      <c r="Q3202" s="389">
        <v>4</v>
      </c>
      <c r="R3202" s="390">
        <f t="shared" si="104"/>
        <v>21320</v>
      </c>
      <c r="S3202" s="277">
        <v>202304</v>
      </c>
      <c r="T3202" s="198" t="s">
        <v>4310</v>
      </c>
      <c r="U3202" s="391"/>
      <c r="V3202" s="392"/>
      <c r="W3202" s="393"/>
      <c r="X3202" s="394"/>
      <c r="Y3202" s="394"/>
    </row>
    <row r="3203" s="3" customFormat="1" customHeight="1" spans="1:25">
      <c r="A3203" s="154" t="s">
        <v>446</v>
      </c>
      <c r="B3203" s="292" t="s">
        <v>4284</v>
      </c>
      <c r="C3203" s="292" t="s">
        <v>63</v>
      </c>
      <c r="D3203" s="292" t="s">
        <v>3038</v>
      </c>
      <c r="E3203" s="153" t="s">
        <v>4285</v>
      </c>
      <c r="F3203" s="154" t="s">
        <v>4286</v>
      </c>
      <c r="G3203" s="154" t="s">
        <v>88</v>
      </c>
      <c r="H3203" s="110" t="s">
        <v>4304</v>
      </c>
      <c r="I3203" s="30" t="e">
        <f>VLOOKUP(H3203,'合同高级查询数据-4月返'!A:A,1,FALSE)</f>
        <v>#N/A</v>
      </c>
      <c r="J3203" s="31" t="s">
        <v>3488</v>
      </c>
      <c r="K3203" s="154" t="s">
        <v>4288</v>
      </c>
      <c r="L3203" s="293"/>
      <c r="M3203" s="113" t="s">
        <v>4289</v>
      </c>
      <c r="N3203" s="146">
        <v>43617</v>
      </c>
      <c r="O3203" s="146" t="s">
        <v>600</v>
      </c>
      <c r="P3203" s="384">
        <v>5330</v>
      </c>
      <c r="Q3203" s="389">
        <v>3</v>
      </c>
      <c r="R3203" s="390">
        <f t="shared" si="104"/>
        <v>15990</v>
      </c>
      <c r="S3203" s="277">
        <v>202304</v>
      </c>
      <c r="T3203" s="198" t="s">
        <v>4311</v>
      </c>
      <c r="U3203" s="391"/>
      <c r="V3203" s="392"/>
      <c r="W3203" s="393"/>
      <c r="X3203" s="394"/>
      <c r="Y3203" s="394"/>
    </row>
    <row r="3204" s="3" customFormat="1" customHeight="1" spans="1:25">
      <c r="A3204" s="154" t="s">
        <v>446</v>
      </c>
      <c r="B3204" s="292" t="s">
        <v>4284</v>
      </c>
      <c r="C3204" s="292" t="s">
        <v>63</v>
      </c>
      <c r="D3204" s="292" t="s">
        <v>3038</v>
      </c>
      <c r="E3204" s="153" t="s">
        <v>4285</v>
      </c>
      <c r="F3204" s="154" t="s">
        <v>4286</v>
      </c>
      <c r="G3204" s="154" t="s">
        <v>88</v>
      </c>
      <c r="H3204" s="110" t="s">
        <v>4304</v>
      </c>
      <c r="I3204" s="30" t="e">
        <f>VLOOKUP(H3204,'合同高级查询数据-4月返'!A:A,1,FALSE)</f>
        <v>#N/A</v>
      </c>
      <c r="J3204" s="31" t="s">
        <v>3488</v>
      </c>
      <c r="K3204" s="154" t="s">
        <v>4288</v>
      </c>
      <c r="L3204" s="293"/>
      <c r="M3204" s="113" t="s">
        <v>4289</v>
      </c>
      <c r="N3204" s="146">
        <v>43943</v>
      </c>
      <c r="O3204" s="146" t="s">
        <v>92</v>
      </c>
      <c r="P3204" s="384">
        <v>5330</v>
      </c>
      <c r="Q3204" s="389">
        <v>-1</v>
      </c>
      <c r="R3204" s="390">
        <f t="shared" si="104"/>
        <v>-5330</v>
      </c>
      <c r="S3204" s="277">
        <v>202304</v>
      </c>
      <c r="T3204" s="198"/>
      <c r="U3204" s="391"/>
      <c r="V3204" s="392"/>
      <c r="W3204" s="393"/>
      <c r="X3204" s="394"/>
      <c r="Y3204" s="394"/>
    </row>
    <row r="3205" s="3" customFormat="1" customHeight="1" spans="1:25">
      <c r="A3205" s="154" t="s">
        <v>446</v>
      </c>
      <c r="B3205" s="292" t="s">
        <v>4284</v>
      </c>
      <c r="C3205" s="292" t="s">
        <v>63</v>
      </c>
      <c r="D3205" s="292" t="s">
        <v>3038</v>
      </c>
      <c r="E3205" s="153" t="s">
        <v>4285</v>
      </c>
      <c r="F3205" s="154" t="s">
        <v>4286</v>
      </c>
      <c r="G3205" s="154" t="s">
        <v>88</v>
      </c>
      <c r="H3205" s="110" t="s">
        <v>4304</v>
      </c>
      <c r="I3205" s="30" t="e">
        <f>VLOOKUP(H3205,'合同高级查询数据-4月返'!A:A,1,FALSE)</f>
        <v>#N/A</v>
      </c>
      <c r="J3205" s="31" t="s">
        <v>3488</v>
      </c>
      <c r="K3205" s="154" t="s">
        <v>4288</v>
      </c>
      <c r="L3205" s="293"/>
      <c r="M3205" s="113" t="s">
        <v>4289</v>
      </c>
      <c r="N3205" s="146">
        <v>44227</v>
      </c>
      <c r="O3205" s="146" t="s">
        <v>92</v>
      </c>
      <c r="P3205" s="384">
        <v>5330</v>
      </c>
      <c r="Q3205" s="389">
        <v>-1493</v>
      </c>
      <c r="R3205" s="390">
        <f t="shared" si="104"/>
        <v>-7957690</v>
      </c>
      <c r="S3205" s="277">
        <v>202304</v>
      </c>
      <c r="T3205" s="198" t="s">
        <v>4312</v>
      </c>
      <c r="U3205" s="391"/>
      <c r="V3205" s="392"/>
      <c r="W3205" s="393"/>
      <c r="X3205" s="394"/>
      <c r="Y3205" s="394"/>
    </row>
    <row r="3206" s="3" customFormat="1" customHeight="1" spans="1:25">
      <c r="A3206" s="154" t="s">
        <v>446</v>
      </c>
      <c r="B3206" s="292" t="s">
        <v>4284</v>
      </c>
      <c r="C3206" s="292" t="s">
        <v>63</v>
      </c>
      <c r="D3206" s="292" t="s">
        <v>3038</v>
      </c>
      <c r="E3206" s="153" t="s">
        <v>4285</v>
      </c>
      <c r="F3206" s="154" t="s">
        <v>4286</v>
      </c>
      <c r="G3206" s="154" t="s">
        <v>88</v>
      </c>
      <c r="H3206" s="110" t="s">
        <v>4304</v>
      </c>
      <c r="I3206" s="30" t="e">
        <f>VLOOKUP(H3206,'合同高级查询数据-4月返'!A:A,1,FALSE)</f>
        <v>#N/A</v>
      </c>
      <c r="J3206" s="31" t="s">
        <v>3488</v>
      </c>
      <c r="K3206" s="154" t="s">
        <v>4288</v>
      </c>
      <c r="L3206" s="293"/>
      <c r="M3206" s="113" t="s">
        <v>4289</v>
      </c>
      <c r="N3206" s="146">
        <v>44227</v>
      </c>
      <c r="O3206" s="146" t="s">
        <v>92</v>
      </c>
      <c r="P3206" s="384">
        <v>5330</v>
      </c>
      <c r="Q3206" s="389">
        <v>-7</v>
      </c>
      <c r="R3206" s="390">
        <f t="shared" si="104"/>
        <v>-37310</v>
      </c>
      <c r="S3206" s="277">
        <v>202304</v>
      </c>
      <c r="T3206" s="198" t="s">
        <v>4313</v>
      </c>
      <c r="U3206" s="391"/>
      <c r="V3206" s="392"/>
      <c r="W3206" s="393"/>
      <c r="X3206" s="394"/>
      <c r="Y3206" s="394"/>
    </row>
    <row r="3207" s="3" customFormat="1" customHeight="1" spans="1:25">
      <c r="A3207" s="154" t="s">
        <v>446</v>
      </c>
      <c r="B3207" s="292" t="s">
        <v>4284</v>
      </c>
      <c r="C3207" s="292" t="s">
        <v>63</v>
      </c>
      <c r="D3207" s="292" t="s">
        <v>3038</v>
      </c>
      <c r="E3207" s="153" t="s">
        <v>4285</v>
      </c>
      <c r="F3207" s="154" t="s">
        <v>4286</v>
      </c>
      <c r="G3207" s="154" t="s">
        <v>88</v>
      </c>
      <c r="H3207" s="110" t="s">
        <v>4304</v>
      </c>
      <c r="I3207" s="30" t="e">
        <f>VLOOKUP(H3207,'合同高级查询数据-4月返'!A:A,1,FALSE)</f>
        <v>#N/A</v>
      </c>
      <c r="J3207" s="31" t="s">
        <v>3488</v>
      </c>
      <c r="K3207" s="154" t="s">
        <v>4288</v>
      </c>
      <c r="L3207" s="293"/>
      <c r="M3207" s="113" t="s">
        <v>4289</v>
      </c>
      <c r="N3207" s="146">
        <v>44579</v>
      </c>
      <c r="O3207" s="146" t="s">
        <v>600</v>
      </c>
      <c r="P3207" s="384">
        <v>5330</v>
      </c>
      <c r="Q3207" s="389">
        <v>-3</v>
      </c>
      <c r="R3207" s="157">
        <f t="shared" si="104"/>
        <v>-15990</v>
      </c>
      <c r="S3207" s="277">
        <v>202304</v>
      </c>
      <c r="T3207" s="198" t="s">
        <v>4314</v>
      </c>
      <c r="U3207" s="391"/>
      <c r="V3207" s="392"/>
      <c r="W3207" s="393"/>
      <c r="X3207" s="394"/>
      <c r="Y3207" s="394"/>
    </row>
    <row r="3208" s="3" customFormat="1" customHeight="1" spans="1:25">
      <c r="A3208" s="154" t="s">
        <v>446</v>
      </c>
      <c r="B3208" s="292" t="s">
        <v>4284</v>
      </c>
      <c r="C3208" s="292" t="s">
        <v>63</v>
      </c>
      <c r="D3208" s="292" t="s">
        <v>3038</v>
      </c>
      <c r="E3208" s="153" t="s">
        <v>4285</v>
      </c>
      <c r="F3208" s="154" t="s">
        <v>4286</v>
      </c>
      <c r="G3208" s="154" t="s">
        <v>88</v>
      </c>
      <c r="H3208" s="110" t="s">
        <v>4304</v>
      </c>
      <c r="I3208" s="30" t="e">
        <f>VLOOKUP(H3208,'合同高级查询数据-4月返'!A:A,1,FALSE)</f>
        <v>#N/A</v>
      </c>
      <c r="J3208" s="31" t="s">
        <v>3488</v>
      </c>
      <c r="K3208" s="154" t="s">
        <v>4288</v>
      </c>
      <c r="L3208" s="293"/>
      <c r="M3208" s="113" t="s">
        <v>4289</v>
      </c>
      <c r="N3208" s="146">
        <v>44579</v>
      </c>
      <c r="O3208" s="146" t="s">
        <v>92</v>
      </c>
      <c r="P3208" s="384">
        <v>5330</v>
      </c>
      <c r="Q3208" s="389">
        <v>-13</v>
      </c>
      <c r="R3208" s="157">
        <f t="shared" si="104"/>
        <v>-69290</v>
      </c>
      <c r="S3208" s="277">
        <v>202304</v>
      </c>
      <c r="T3208" s="198" t="s">
        <v>4315</v>
      </c>
      <c r="U3208" s="391"/>
      <c r="V3208" s="392"/>
      <c r="W3208" s="393"/>
      <c r="X3208" s="394"/>
      <c r="Y3208" s="394"/>
    </row>
    <row r="3209" s="3" customFormat="1" customHeight="1" spans="1:25">
      <c r="A3209" s="154" t="s">
        <v>446</v>
      </c>
      <c r="B3209" s="292" t="s">
        <v>4284</v>
      </c>
      <c r="C3209" s="292" t="s">
        <v>63</v>
      </c>
      <c r="D3209" s="292" t="s">
        <v>3038</v>
      </c>
      <c r="E3209" s="153" t="s">
        <v>4285</v>
      </c>
      <c r="F3209" s="154" t="s">
        <v>4286</v>
      </c>
      <c r="G3209" s="154" t="s">
        <v>88</v>
      </c>
      <c r="H3209" s="110" t="s">
        <v>4304</v>
      </c>
      <c r="I3209" s="30" t="e">
        <f>VLOOKUP(H3209,'合同高级查询数据-4月返'!A:A,1,FALSE)</f>
        <v>#N/A</v>
      </c>
      <c r="J3209" s="31" t="s">
        <v>3488</v>
      </c>
      <c r="K3209" s="154" t="s">
        <v>4288</v>
      </c>
      <c r="L3209" s="293"/>
      <c r="M3209" s="113" t="s">
        <v>4289</v>
      </c>
      <c r="N3209" s="146">
        <v>44579</v>
      </c>
      <c r="O3209" s="146" t="s">
        <v>561</v>
      </c>
      <c r="P3209" s="384">
        <v>8970</v>
      </c>
      <c r="Q3209" s="389">
        <v>-2</v>
      </c>
      <c r="R3209" s="157">
        <f t="shared" si="104"/>
        <v>-17940</v>
      </c>
      <c r="S3209" s="277">
        <v>202304</v>
      </c>
      <c r="T3209" s="198" t="s">
        <v>4316</v>
      </c>
      <c r="U3209" s="391"/>
      <c r="V3209" s="392"/>
      <c r="W3209" s="393"/>
      <c r="X3209" s="394"/>
      <c r="Y3209" s="394"/>
    </row>
    <row r="3210" s="3" customFormat="1" customHeight="1" spans="1:25">
      <c r="A3210" s="154" t="s">
        <v>446</v>
      </c>
      <c r="B3210" s="292" t="s">
        <v>4284</v>
      </c>
      <c r="C3210" s="292" t="s">
        <v>63</v>
      </c>
      <c r="D3210" s="292" t="s">
        <v>3038</v>
      </c>
      <c r="E3210" s="153" t="s">
        <v>4285</v>
      </c>
      <c r="F3210" s="154" t="s">
        <v>4286</v>
      </c>
      <c r="G3210" s="154" t="s">
        <v>88</v>
      </c>
      <c r="H3210" s="110" t="s">
        <v>4304</v>
      </c>
      <c r="I3210" s="30" t="e">
        <f>VLOOKUP(H3210,'合同高级查询数据-4月返'!A:A,1,FALSE)</f>
        <v>#N/A</v>
      </c>
      <c r="J3210" s="31" t="s">
        <v>3488</v>
      </c>
      <c r="K3210" s="154" t="s">
        <v>4288</v>
      </c>
      <c r="L3210" s="293"/>
      <c r="M3210" s="113" t="s">
        <v>4289</v>
      </c>
      <c r="N3210" s="146">
        <v>44617</v>
      </c>
      <c r="O3210" s="146" t="s">
        <v>561</v>
      </c>
      <c r="P3210" s="384">
        <v>5330</v>
      </c>
      <c r="Q3210" s="389">
        <v>-8</v>
      </c>
      <c r="R3210" s="157">
        <f t="shared" si="104"/>
        <v>-42640</v>
      </c>
      <c r="S3210" s="277">
        <v>202304</v>
      </c>
      <c r="T3210" s="198" t="s">
        <v>4317</v>
      </c>
      <c r="U3210" s="391"/>
      <c r="V3210" s="392"/>
      <c r="W3210" s="393"/>
      <c r="X3210" s="394"/>
      <c r="Y3210" s="394"/>
    </row>
    <row r="3211" s="5" customFormat="1" customHeight="1" spans="1:25">
      <c r="A3211" s="203" t="s">
        <v>446</v>
      </c>
      <c r="B3211" s="204" t="s">
        <v>4284</v>
      </c>
      <c r="C3211" s="204" t="s">
        <v>63</v>
      </c>
      <c r="D3211" s="204" t="s">
        <v>3038</v>
      </c>
      <c r="E3211" s="205" t="s">
        <v>4285</v>
      </c>
      <c r="F3211" s="203" t="s">
        <v>4286</v>
      </c>
      <c r="G3211" s="203" t="s">
        <v>88</v>
      </c>
      <c r="H3211" s="25" t="s">
        <v>4318</v>
      </c>
      <c r="I3211" s="46" t="e">
        <f>VLOOKUP(H3211,'合同高级查询数据-4月返'!A:A,1,FALSE)</f>
        <v>#N/A</v>
      </c>
      <c r="J3211" s="47" t="s">
        <v>2423</v>
      </c>
      <c r="K3211" s="203" t="s">
        <v>4288</v>
      </c>
      <c r="L3211" s="206"/>
      <c r="M3211" s="49" t="s">
        <v>4319</v>
      </c>
      <c r="N3211" s="73">
        <v>44617</v>
      </c>
      <c r="O3211" s="73" t="s">
        <v>92</v>
      </c>
      <c r="P3211" s="383">
        <v>5330</v>
      </c>
      <c r="Q3211" s="385">
        <v>5</v>
      </c>
      <c r="R3211" s="207">
        <f t="shared" si="104"/>
        <v>26650</v>
      </c>
      <c r="S3211" s="279">
        <v>202304</v>
      </c>
      <c r="T3211" s="184" t="s">
        <v>4320</v>
      </c>
      <c r="U3211" s="213"/>
      <c r="V3211" s="387"/>
      <c r="W3211" s="214"/>
      <c r="X3211" s="388">
        <v>44593</v>
      </c>
      <c r="Y3211" s="388">
        <v>44834</v>
      </c>
    </row>
    <row r="3212" s="5" customFormat="1" customHeight="1" spans="1:25">
      <c r="A3212" s="203" t="s">
        <v>446</v>
      </c>
      <c r="B3212" s="204" t="s">
        <v>4284</v>
      </c>
      <c r="C3212" s="204" t="s">
        <v>63</v>
      </c>
      <c r="D3212" s="204" t="s">
        <v>3038</v>
      </c>
      <c r="E3212" s="205" t="s">
        <v>4285</v>
      </c>
      <c r="F3212" s="203" t="s">
        <v>4286</v>
      </c>
      <c r="G3212" s="203" t="s">
        <v>88</v>
      </c>
      <c r="H3212" s="25" t="s">
        <v>4318</v>
      </c>
      <c r="I3212" s="46" t="e">
        <f>VLOOKUP(H3212,'合同高级查询数据-4月返'!A:A,1,FALSE)</f>
        <v>#N/A</v>
      </c>
      <c r="J3212" s="47" t="s">
        <v>2423</v>
      </c>
      <c r="K3212" s="203" t="s">
        <v>4288</v>
      </c>
      <c r="L3212" s="206"/>
      <c r="M3212" s="49" t="s">
        <v>4319</v>
      </c>
      <c r="N3212" s="73">
        <v>44712</v>
      </c>
      <c r="O3212" s="73" t="s">
        <v>92</v>
      </c>
      <c r="P3212" s="383">
        <v>5330</v>
      </c>
      <c r="Q3212" s="385">
        <v>-5</v>
      </c>
      <c r="R3212" s="207">
        <f t="shared" si="104"/>
        <v>-26650</v>
      </c>
      <c r="S3212" s="279">
        <v>202304</v>
      </c>
      <c r="T3212" s="184" t="s">
        <v>4321</v>
      </c>
      <c r="U3212" s="213"/>
      <c r="V3212" s="387"/>
      <c r="W3212" s="214"/>
      <c r="X3212" s="388">
        <v>44593</v>
      </c>
      <c r="Y3212" s="388">
        <v>44834</v>
      </c>
    </row>
    <row r="3213" s="5" customFormat="1" customHeight="1" spans="1:25">
      <c r="A3213" s="203" t="s">
        <v>446</v>
      </c>
      <c r="B3213" s="204" t="s">
        <v>4284</v>
      </c>
      <c r="C3213" s="204" t="s">
        <v>63</v>
      </c>
      <c r="D3213" s="204" t="s">
        <v>3038</v>
      </c>
      <c r="E3213" s="205" t="s">
        <v>4285</v>
      </c>
      <c r="F3213" s="203" t="s">
        <v>4286</v>
      </c>
      <c r="G3213" s="203" t="s">
        <v>88</v>
      </c>
      <c r="H3213" s="25" t="s">
        <v>4322</v>
      </c>
      <c r="I3213" s="46" t="e">
        <f>VLOOKUP(H3213,'合同高级查询数据-4月返'!A:A,1,FALSE)</f>
        <v>#N/A</v>
      </c>
      <c r="J3213" s="47" t="s">
        <v>3488</v>
      </c>
      <c r="K3213" s="203" t="s">
        <v>4323</v>
      </c>
      <c r="L3213" s="206"/>
      <c r="M3213" s="49" t="s">
        <v>4324</v>
      </c>
      <c r="N3213" s="73" t="s">
        <v>558</v>
      </c>
      <c r="O3213" s="73" t="s">
        <v>4325</v>
      </c>
      <c r="P3213" s="383">
        <v>4000</v>
      </c>
      <c r="Q3213" s="385">
        <v>456</v>
      </c>
      <c r="R3213" s="386">
        <f t="shared" si="104"/>
        <v>1824000</v>
      </c>
      <c r="S3213" s="279">
        <v>202304</v>
      </c>
      <c r="T3213" s="184" t="s">
        <v>4326</v>
      </c>
      <c r="U3213" s="213"/>
      <c r="V3213" s="387"/>
      <c r="W3213" s="214"/>
      <c r="X3213" s="388">
        <v>43466</v>
      </c>
      <c r="Y3213" s="388">
        <v>44255</v>
      </c>
    </row>
    <row r="3214" s="5" customFormat="1" customHeight="1" spans="1:25">
      <c r="A3214" s="203" t="s">
        <v>446</v>
      </c>
      <c r="B3214" s="204" t="s">
        <v>4284</v>
      </c>
      <c r="C3214" s="204" t="s">
        <v>63</v>
      </c>
      <c r="D3214" s="204" t="s">
        <v>3038</v>
      </c>
      <c r="E3214" s="205" t="s">
        <v>4285</v>
      </c>
      <c r="F3214" s="203" t="s">
        <v>4286</v>
      </c>
      <c r="G3214" s="203" t="s">
        <v>88</v>
      </c>
      <c r="H3214" s="25" t="s">
        <v>4322</v>
      </c>
      <c r="I3214" s="46" t="e">
        <f>VLOOKUP(H3214,'合同高级查询数据-4月返'!A:A,1,FALSE)</f>
        <v>#N/A</v>
      </c>
      <c r="J3214" s="47" t="s">
        <v>3488</v>
      </c>
      <c r="K3214" s="203" t="s">
        <v>4323</v>
      </c>
      <c r="L3214" s="206"/>
      <c r="M3214" s="49" t="s">
        <v>4324</v>
      </c>
      <c r="N3214" s="73" t="s">
        <v>558</v>
      </c>
      <c r="O3214" s="73" t="s">
        <v>92</v>
      </c>
      <c r="P3214" s="383">
        <v>4600</v>
      </c>
      <c r="Q3214" s="385">
        <v>747</v>
      </c>
      <c r="R3214" s="386">
        <f t="shared" si="104"/>
        <v>3436200</v>
      </c>
      <c r="S3214" s="279">
        <v>202304</v>
      </c>
      <c r="T3214" s="184" t="s">
        <v>4327</v>
      </c>
      <c r="U3214" s="213"/>
      <c r="V3214" s="387"/>
      <c r="W3214" s="214"/>
      <c r="X3214" s="388">
        <v>43466</v>
      </c>
      <c r="Y3214" s="388">
        <v>44255</v>
      </c>
    </row>
    <row r="3215" s="5" customFormat="1" customHeight="1" spans="1:25">
      <c r="A3215" s="203" t="s">
        <v>446</v>
      </c>
      <c r="B3215" s="204" t="s">
        <v>4284</v>
      </c>
      <c r="C3215" s="204" t="s">
        <v>63</v>
      </c>
      <c r="D3215" s="204" t="s">
        <v>3038</v>
      </c>
      <c r="E3215" s="205" t="s">
        <v>4285</v>
      </c>
      <c r="F3215" s="203" t="s">
        <v>4286</v>
      </c>
      <c r="G3215" s="203" t="s">
        <v>88</v>
      </c>
      <c r="H3215" s="25" t="s">
        <v>4322</v>
      </c>
      <c r="I3215" s="46" t="e">
        <f>VLOOKUP(H3215,'合同高级查询数据-4月返'!A:A,1,FALSE)</f>
        <v>#N/A</v>
      </c>
      <c r="J3215" s="47" t="s">
        <v>3488</v>
      </c>
      <c r="K3215" s="203" t="s">
        <v>4323</v>
      </c>
      <c r="L3215" s="206"/>
      <c r="M3215" s="49" t="s">
        <v>4324</v>
      </c>
      <c r="N3215" s="73" t="s">
        <v>558</v>
      </c>
      <c r="O3215" s="73" t="s">
        <v>3054</v>
      </c>
      <c r="P3215" s="383">
        <v>23000</v>
      </c>
      <c r="Q3215" s="385">
        <v>4</v>
      </c>
      <c r="R3215" s="386">
        <f t="shared" si="104"/>
        <v>92000</v>
      </c>
      <c r="S3215" s="279">
        <v>202304</v>
      </c>
      <c r="T3215" s="184" t="s">
        <v>4328</v>
      </c>
      <c r="U3215" s="213"/>
      <c r="V3215" s="387"/>
      <c r="W3215" s="214"/>
      <c r="X3215" s="388">
        <v>43466</v>
      </c>
      <c r="Y3215" s="388">
        <v>44255</v>
      </c>
    </row>
    <row r="3216" s="5" customFormat="1" customHeight="1" spans="1:25">
      <c r="A3216" s="203" t="s">
        <v>446</v>
      </c>
      <c r="B3216" s="204" t="s">
        <v>4284</v>
      </c>
      <c r="C3216" s="204" t="s">
        <v>63</v>
      </c>
      <c r="D3216" s="204" t="s">
        <v>3038</v>
      </c>
      <c r="E3216" s="205" t="s">
        <v>4285</v>
      </c>
      <c r="F3216" s="203" t="s">
        <v>4286</v>
      </c>
      <c r="G3216" s="203" t="s">
        <v>88</v>
      </c>
      <c r="H3216" s="25" t="s">
        <v>4322</v>
      </c>
      <c r="I3216" s="46" t="e">
        <f>VLOOKUP(H3216,'合同高级查询数据-4月返'!A:A,1,FALSE)</f>
        <v>#N/A</v>
      </c>
      <c r="J3216" s="47" t="s">
        <v>3488</v>
      </c>
      <c r="K3216" s="203" t="s">
        <v>4323</v>
      </c>
      <c r="L3216" s="206"/>
      <c r="M3216" s="49" t="s">
        <v>4324</v>
      </c>
      <c r="N3216" s="73" t="s">
        <v>558</v>
      </c>
      <c r="O3216" s="73" t="s">
        <v>92</v>
      </c>
      <c r="P3216" s="383">
        <v>5200</v>
      </c>
      <c r="Q3216" s="385">
        <v>129</v>
      </c>
      <c r="R3216" s="386">
        <f t="shared" si="104"/>
        <v>670800</v>
      </c>
      <c r="S3216" s="279">
        <v>202304</v>
      </c>
      <c r="T3216" s="184" t="s">
        <v>4328</v>
      </c>
      <c r="U3216" s="213"/>
      <c r="V3216" s="387"/>
      <c r="W3216" s="214"/>
      <c r="X3216" s="388">
        <v>43466</v>
      </c>
      <c r="Y3216" s="388">
        <v>44255</v>
      </c>
    </row>
    <row r="3217" s="5" customFormat="1" customHeight="1" spans="1:25">
      <c r="A3217" s="203" t="s">
        <v>446</v>
      </c>
      <c r="B3217" s="204" t="s">
        <v>4284</v>
      </c>
      <c r="C3217" s="204" t="s">
        <v>63</v>
      </c>
      <c r="D3217" s="204" t="s">
        <v>3038</v>
      </c>
      <c r="E3217" s="205" t="s">
        <v>4285</v>
      </c>
      <c r="F3217" s="203" t="s">
        <v>4286</v>
      </c>
      <c r="G3217" s="203" t="s">
        <v>88</v>
      </c>
      <c r="H3217" s="25" t="s">
        <v>4322</v>
      </c>
      <c r="I3217" s="46" t="e">
        <f>VLOOKUP(H3217,'合同高级查询数据-4月返'!A:A,1,FALSE)</f>
        <v>#N/A</v>
      </c>
      <c r="J3217" s="47" t="s">
        <v>3488</v>
      </c>
      <c r="K3217" s="203" t="s">
        <v>4323</v>
      </c>
      <c r="L3217" s="206"/>
      <c r="M3217" s="49" t="s">
        <v>4324</v>
      </c>
      <c r="N3217" s="73">
        <v>43435</v>
      </c>
      <c r="O3217" s="73" t="s">
        <v>92</v>
      </c>
      <c r="P3217" s="383">
        <v>4600</v>
      </c>
      <c r="Q3217" s="385">
        <v>2</v>
      </c>
      <c r="R3217" s="386">
        <f t="shared" si="104"/>
        <v>9200</v>
      </c>
      <c r="S3217" s="279">
        <v>202304</v>
      </c>
      <c r="T3217" s="184" t="s">
        <v>4329</v>
      </c>
      <c r="U3217" s="213"/>
      <c r="V3217" s="387"/>
      <c r="W3217" s="214"/>
      <c r="X3217" s="388">
        <v>43466</v>
      </c>
      <c r="Y3217" s="388">
        <v>44255</v>
      </c>
    </row>
    <row r="3218" s="5" customFormat="1" customHeight="1" spans="1:25">
      <c r="A3218" s="203" t="s">
        <v>446</v>
      </c>
      <c r="B3218" s="204" t="s">
        <v>4284</v>
      </c>
      <c r="C3218" s="204" t="s">
        <v>63</v>
      </c>
      <c r="D3218" s="204" t="s">
        <v>3038</v>
      </c>
      <c r="E3218" s="205" t="s">
        <v>4285</v>
      </c>
      <c r="F3218" s="203" t="s">
        <v>4286</v>
      </c>
      <c r="G3218" s="203" t="s">
        <v>88</v>
      </c>
      <c r="H3218" s="25" t="s">
        <v>4322</v>
      </c>
      <c r="I3218" s="46" t="e">
        <f>VLOOKUP(H3218,'合同高级查询数据-4月返'!A:A,1,FALSE)</f>
        <v>#N/A</v>
      </c>
      <c r="J3218" s="47" t="s">
        <v>3488</v>
      </c>
      <c r="K3218" s="203" t="s">
        <v>4323</v>
      </c>
      <c r="L3218" s="206"/>
      <c r="M3218" s="49" t="s">
        <v>4324</v>
      </c>
      <c r="N3218" s="73" t="s">
        <v>4330</v>
      </c>
      <c r="O3218" s="73" t="s">
        <v>561</v>
      </c>
      <c r="P3218" s="383">
        <v>8240</v>
      </c>
      <c r="Q3218" s="385">
        <v>0</v>
      </c>
      <c r="R3218" s="207">
        <f t="shared" si="104"/>
        <v>0</v>
      </c>
      <c r="S3218" s="279">
        <v>202304</v>
      </c>
      <c r="T3218" s="184" t="s">
        <v>4331</v>
      </c>
      <c r="U3218" s="213"/>
      <c r="V3218" s="387"/>
      <c r="W3218" s="214"/>
      <c r="X3218" s="388">
        <v>43466</v>
      </c>
      <c r="Y3218" s="388">
        <v>44255</v>
      </c>
    </row>
    <row r="3219" s="5" customFormat="1" customHeight="1" spans="1:25">
      <c r="A3219" s="203" t="s">
        <v>446</v>
      </c>
      <c r="B3219" s="204" t="s">
        <v>4284</v>
      </c>
      <c r="C3219" s="204" t="s">
        <v>63</v>
      </c>
      <c r="D3219" s="204" t="s">
        <v>3038</v>
      </c>
      <c r="E3219" s="205" t="s">
        <v>4285</v>
      </c>
      <c r="F3219" s="203" t="s">
        <v>4286</v>
      </c>
      <c r="G3219" s="203" t="s">
        <v>88</v>
      </c>
      <c r="H3219" s="25" t="s">
        <v>4322</v>
      </c>
      <c r="I3219" s="46" t="e">
        <f>VLOOKUP(H3219,'合同高级查询数据-4月返'!A:A,1,FALSE)</f>
        <v>#N/A</v>
      </c>
      <c r="J3219" s="47" t="s">
        <v>3488</v>
      </c>
      <c r="K3219" s="203" t="s">
        <v>4323</v>
      </c>
      <c r="L3219" s="206"/>
      <c r="M3219" s="49" t="s">
        <v>4324</v>
      </c>
      <c r="N3219" s="73">
        <v>43617</v>
      </c>
      <c r="O3219" s="73" t="s">
        <v>163</v>
      </c>
      <c r="P3219" s="383">
        <v>4000</v>
      </c>
      <c r="Q3219" s="385">
        <v>3</v>
      </c>
      <c r="R3219" s="386">
        <f t="shared" si="104"/>
        <v>12000</v>
      </c>
      <c r="S3219" s="279">
        <v>202304</v>
      </c>
      <c r="T3219" s="184" t="s">
        <v>4332</v>
      </c>
      <c r="U3219" s="213"/>
      <c r="V3219" s="387"/>
      <c r="W3219" s="214"/>
      <c r="X3219" s="388">
        <v>43466</v>
      </c>
      <c r="Y3219" s="388">
        <v>44255</v>
      </c>
    </row>
    <row r="3220" s="5" customFormat="1" customHeight="1" spans="1:25">
      <c r="A3220" s="203" t="s">
        <v>446</v>
      </c>
      <c r="B3220" s="204" t="s">
        <v>4284</v>
      </c>
      <c r="C3220" s="204" t="s">
        <v>63</v>
      </c>
      <c r="D3220" s="204" t="s">
        <v>3038</v>
      </c>
      <c r="E3220" s="205" t="s">
        <v>4285</v>
      </c>
      <c r="F3220" s="203" t="s">
        <v>4286</v>
      </c>
      <c r="G3220" s="203" t="s">
        <v>88</v>
      </c>
      <c r="H3220" s="25" t="s">
        <v>4322</v>
      </c>
      <c r="I3220" s="46" t="e">
        <f>VLOOKUP(H3220,'合同高级查询数据-4月返'!A:A,1,FALSE)</f>
        <v>#N/A</v>
      </c>
      <c r="J3220" s="47" t="s">
        <v>3488</v>
      </c>
      <c r="K3220" s="203" t="s">
        <v>4323</v>
      </c>
      <c r="L3220" s="206"/>
      <c r="M3220" s="49" t="s">
        <v>4324</v>
      </c>
      <c r="N3220" s="73">
        <v>43617</v>
      </c>
      <c r="O3220" s="73" t="s">
        <v>92</v>
      </c>
      <c r="P3220" s="383">
        <v>4000</v>
      </c>
      <c r="Q3220" s="385">
        <v>14</v>
      </c>
      <c r="R3220" s="386">
        <f t="shared" si="104"/>
        <v>56000</v>
      </c>
      <c r="S3220" s="279">
        <v>202304</v>
      </c>
      <c r="T3220" s="184" t="s">
        <v>4333</v>
      </c>
      <c r="U3220" s="213"/>
      <c r="V3220" s="387"/>
      <c r="W3220" s="214"/>
      <c r="X3220" s="388">
        <v>43466</v>
      </c>
      <c r="Y3220" s="388">
        <v>44255</v>
      </c>
    </row>
    <row r="3221" s="5" customFormat="1" customHeight="1" spans="1:25">
      <c r="A3221" s="203" t="s">
        <v>446</v>
      </c>
      <c r="B3221" s="204" t="s">
        <v>4284</v>
      </c>
      <c r="C3221" s="204" t="s">
        <v>63</v>
      </c>
      <c r="D3221" s="204" t="s">
        <v>3038</v>
      </c>
      <c r="E3221" s="205" t="s">
        <v>4285</v>
      </c>
      <c r="F3221" s="203" t="s">
        <v>4286</v>
      </c>
      <c r="G3221" s="203" t="s">
        <v>88</v>
      </c>
      <c r="H3221" s="25" t="s">
        <v>4322</v>
      </c>
      <c r="I3221" s="46" t="e">
        <f>VLOOKUP(H3221,'合同高级查询数据-4月返'!A:A,1,FALSE)</f>
        <v>#N/A</v>
      </c>
      <c r="J3221" s="47" t="s">
        <v>3488</v>
      </c>
      <c r="K3221" s="203" t="s">
        <v>4323</v>
      </c>
      <c r="L3221" s="206"/>
      <c r="M3221" s="49" t="s">
        <v>4324</v>
      </c>
      <c r="N3221" s="73">
        <v>43617</v>
      </c>
      <c r="O3221" s="73" t="s">
        <v>92</v>
      </c>
      <c r="P3221" s="383">
        <v>5200</v>
      </c>
      <c r="Q3221" s="385">
        <v>2</v>
      </c>
      <c r="R3221" s="386">
        <f t="shared" si="104"/>
        <v>10400</v>
      </c>
      <c r="S3221" s="279">
        <v>202304</v>
      </c>
      <c r="T3221" s="184" t="s">
        <v>4334</v>
      </c>
      <c r="U3221" s="213"/>
      <c r="V3221" s="387"/>
      <c r="W3221" s="214"/>
      <c r="X3221" s="388">
        <v>43466</v>
      </c>
      <c r="Y3221" s="388">
        <v>44255</v>
      </c>
    </row>
    <row r="3222" s="5" customFormat="1" customHeight="1" spans="1:25">
      <c r="A3222" s="203" t="s">
        <v>446</v>
      </c>
      <c r="B3222" s="204" t="s">
        <v>4284</v>
      </c>
      <c r="C3222" s="204" t="s">
        <v>63</v>
      </c>
      <c r="D3222" s="204" t="s">
        <v>3038</v>
      </c>
      <c r="E3222" s="205" t="s">
        <v>4285</v>
      </c>
      <c r="F3222" s="203" t="s">
        <v>4286</v>
      </c>
      <c r="G3222" s="203" t="s">
        <v>88</v>
      </c>
      <c r="H3222" s="25" t="s">
        <v>4322</v>
      </c>
      <c r="I3222" s="46" t="e">
        <f>VLOOKUP(H3222,'合同高级查询数据-4月返'!A:A,1,FALSE)</f>
        <v>#N/A</v>
      </c>
      <c r="J3222" s="47" t="s">
        <v>3488</v>
      </c>
      <c r="K3222" s="203" t="s">
        <v>4323</v>
      </c>
      <c r="L3222" s="206"/>
      <c r="M3222" s="49" t="s">
        <v>4324</v>
      </c>
      <c r="N3222" s="73">
        <v>43617</v>
      </c>
      <c r="O3222" s="73" t="s">
        <v>92</v>
      </c>
      <c r="P3222" s="383">
        <v>4600</v>
      </c>
      <c r="Q3222" s="385">
        <v>3</v>
      </c>
      <c r="R3222" s="386">
        <f t="shared" si="104"/>
        <v>13800</v>
      </c>
      <c r="S3222" s="279">
        <v>202304</v>
      </c>
      <c r="T3222" s="184" t="s">
        <v>4335</v>
      </c>
      <c r="U3222" s="213"/>
      <c r="V3222" s="387"/>
      <c r="W3222" s="214"/>
      <c r="X3222" s="388">
        <v>43466</v>
      </c>
      <c r="Y3222" s="388">
        <v>44255</v>
      </c>
    </row>
    <row r="3223" s="5" customFormat="1" customHeight="1" spans="1:25">
      <c r="A3223" s="203" t="s">
        <v>446</v>
      </c>
      <c r="B3223" s="204" t="s">
        <v>4284</v>
      </c>
      <c r="C3223" s="204" t="s">
        <v>63</v>
      </c>
      <c r="D3223" s="204" t="s">
        <v>3038</v>
      </c>
      <c r="E3223" s="205" t="s">
        <v>4285</v>
      </c>
      <c r="F3223" s="203" t="s">
        <v>4286</v>
      </c>
      <c r="G3223" s="203" t="s">
        <v>88</v>
      </c>
      <c r="H3223" s="25" t="s">
        <v>4322</v>
      </c>
      <c r="I3223" s="46" t="e">
        <f>VLOOKUP(H3223,'合同高级查询数据-4月返'!A:A,1,FALSE)</f>
        <v>#N/A</v>
      </c>
      <c r="J3223" s="47" t="s">
        <v>3488</v>
      </c>
      <c r="K3223" s="203" t="s">
        <v>4323</v>
      </c>
      <c r="L3223" s="206"/>
      <c r="M3223" s="49" t="s">
        <v>4324</v>
      </c>
      <c r="N3223" s="73" t="s">
        <v>4336</v>
      </c>
      <c r="O3223" s="73" t="s">
        <v>92</v>
      </c>
      <c r="P3223" s="383">
        <v>4000</v>
      </c>
      <c r="Q3223" s="385">
        <v>-1</v>
      </c>
      <c r="R3223" s="386">
        <f t="shared" si="104"/>
        <v>-4000</v>
      </c>
      <c r="S3223" s="279">
        <v>202304</v>
      </c>
      <c r="T3223" s="184"/>
      <c r="U3223" s="213"/>
      <c r="V3223" s="387"/>
      <c r="W3223" s="214"/>
      <c r="X3223" s="388">
        <v>43466</v>
      </c>
      <c r="Y3223" s="388">
        <v>44255</v>
      </c>
    </row>
    <row r="3224" s="5" customFormat="1" customHeight="1" spans="1:25">
      <c r="A3224" s="203" t="s">
        <v>446</v>
      </c>
      <c r="B3224" s="204" t="s">
        <v>4284</v>
      </c>
      <c r="C3224" s="204" t="s">
        <v>63</v>
      </c>
      <c r="D3224" s="204" t="s">
        <v>3038</v>
      </c>
      <c r="E3224" s="205" t="s">
        <v>4285</v>
      </c>
      <c r="F3224" s="203" t="s">
        <v>4286</v>
      </c>
      <c r="G3224" s="203" t="s">
        <v>88</v>
      </c>
      <c r="H3224" s="25" t="s">
        <v>4322</v>
      </c>
      <c r="I3224" s="46" t="e">
        <f>VLOOKUP(H3224,'合同高级查询数据-4月返'!A:A,1,FALSE)</f>
        <v>#N/A</v>
      </c>
      <c r="J3224" s="47" t="s">
        <v>3488</v>
      </c>
      <c r="K3224" s="203" t="s">
        <v>4323</v>
      </c>
      <c r="L3224" s="206"/>
      <c r="M3224" s="49" t="s">
        <v>4324</v>
      </c>
      <c r="N3224" s="73">
        <v>43929</v>
      </c>
      <c r="O3224" s="73" t="s">
        <v>92</v>
      </c>
      <c r="P3224" s="383">
        <v>4000</v>
      </c>
      <c r="Q3224" s="385">
        <v>1</v>
      </c>
      <c r="R3224" s="386">
        <f t="shared" si="104"/>
        <v>4000</v>
      </c>
      <c r="S3224" s="279">
        <v>202304</v>
      </c>
      <c r="T3224" s="184" t="s">
        <v>4337</v>
      </c>
      <c r="U3224" s="213"/>
      <c r="V3224" s="387"/>
      <c r="W3224" s="214"/>
      <c r="X3224" s="388">
        <v>43466</v>
      </c>
      <c r="Y3224" s="388">
        <v>44255</v>
      </c>
    </row>
    <row r="3225" s="5" customFormat="1" customHeight="1" spans="1:25">
      <c r="A3225" s="203" t="s">
        <v>446</v>
      </c>
      <c r="B3225" s="204" t="s">
        <v>4284</v>
      </c>
      <c r="C3225" s="204" t="s">
        <v>63</v>
      </c>
      <c r="D3225" s="204" t="s">
        <v>3038</v>
      </c>
      <c r="E3225" s="205" t="s">
        <v>4285</v>
      </c>
      <c r="F3225" s="203" t="s">
        <v>4286</v>
      </c>
      <c r="G3225" s="203" t="s">
        <v>88</v>
      </c>
      <c r="H3225" s="25" t="s">
        <v>4322</v>
      </c>
      <c r="I3225" s="46" t="e">
        <f>VLOOKUP(H3225,'合同高级查询数据-4月返'!A:A,1,FALSE)</f>
        <v>#N/A</v>
      </c>
      <c r="J3225" s="47" t="s">
        <v>3488</v>
      </c>
      <c r="K3225" s="203" t="s">
        <v>4323</v>
      </c>
      <c r="L3225" s="206"/>
      <c r="M3225" s="49" t="s">
        <v>4324</v>
      </c>
      <c r="N3225" s="73">
        <v>44229</v>
      </c>
      <c r="O3225" s="73" t="s">
        <v>4325</v>
      </c>
      <c r="P3225" s="383">
        <v>4000</v>
      </c>
      <c r="Q3225" s="385">
        <v>-456</v>
      </c>
      <c r="R3225" s="207">
        <f t="shared" si="104"/>
        <v>-1824000</v>
      </c>
      <c r="S3225" s="279">
        <v>202304</v>
      </c>
      <c r="T3225" s="184" t="s">
        <v>4338</v>
      </c>
      <c r="U3225" s="213"/>
      <c r="V3225" s="387"/>
      <c r="W3225" s="214"/>
      <c r="X3225" s="388">
        <v>43466</v>
      </c>
      <c r="Y3225" s="388">
        <v>44255</v>
      </c>
    </row>
    <row r="3226" s="5" customFormat="1" customHeight="1" spans="1:25">
      <c r="A3226" s="203" t="s">
        <v>446</v>
      </c>
      <c r="B3226" s="204" t="s">
        <v>4284</v>
      </c>
      <c r="C3226" s="204" t="s">
        <v>63</v>
      </c>
      <c r="D3226" s="204" t="s">
        <v>3038</v>
      </c>
      <c r="E3226" s="205" t="s">
        <v>4285</v>
      </c>
      <c r="F3226" s="203" t="s">
        <v>4286</v>
      </c>
      <c r="G3226" s="203" t="s">
        <v>88</v>
      </c>
      <c r="H3226" s="25" t="s">
        <v>4322</v>
      </c>
      <c r="I3226" s="46" t="e">
        <f>VLOOKUP(H3226,'合同高级查询数据-4月返'!A:A,1,FALSE)</f>
        <v>#N/A</v>
      </c>
      <c r="J3226" s="47" t="s">
        <v>3488</v>
      </c>
      <c r="K3226" s="203" t="s">
        <v>4323</v>
      </c>
      <c r="L3226" s="206"/>
      <c r="M3226" s="49" t="s">
        <v>4324</v>
      </c>
      <c r="N3226" s="73">
        <v>44229</v>
      </c>
      <c r="O3226" s="73" t="s">
        <v>92</v>
      </c>
      <c r="P3226" s="383">
        <v>4600</v>
      </c>
      <c r="Q3226" s="385">
        <v>-752</v>
      </c>
      <c r="R3226" s="207">
        <f t="shared" si="104"/>
        <v>-3459200</v>
      </c>
      <c r="S3226" s="279">
        <v>202304</v>
      </c>
      <c r="T3226" s="184" t="s">
        <v>4338</v>
      </c>
      <c r="U3226" s="213"/>
      <c r="V3226" s="387"/>
      <c r="W3226" s="214"/>
      <c r="X3226" s="388">
        <v>43466</v>
      </c>
      <c r="Y3226" s="388">
        <v>44255</v>
      </c>
    </row>
    <row r="3227" s="5" customFormat="1" customHeight="1" spans="1:25">
      <c r="A3227" s="203" t="s">
        <v>446</v>
      </c>
      <c r="B3227" s="204" t="s">
        <v>4284</v>
      </c>
      <c r="C3227" s="204" t="s">
        <v>63</v>
      </c>
      <c r="D3227" s="204" t="s">
        <v>3038</v>
      </c>
      <c r="E3227" s="205" t="s">
        <v>4285</v>
      </c>
      <c r="F3227" s="203" t="s">
        <v>4286</v>
      </c>
      <c r="G3227" s="203" t="s">
        <v>88</v>
      </c>
      <c r="H3227" s="25" t="s">
        <v>4322</v>
      </c>
      <c r="I3227" s="46" t="e">
        <f>VLOOKUP(H3227,'合同高级查询数据-4月返'!A:A,1,FALSE)</f>
        <v>#N/A</v>
      </c>
      <c r="J3227" s="47" t="s">
        <v>3488</v>
      </c>
      <c r="K3227" s="203" t="s">
        <v>4323</v>
      </c>
      <c r="L3227" s="206"/>
      <c r="M3227" s="49" t="s">
        <v>4324</v>
      </c>
      <c r="N3227" s="73">
        <v>44229</v>
      </c>
      <c r="O3227" s="73" t="s">
        <v>3054</v>
      </c>
      <c r="P3227" s="383">
        <v>23000</v>
      </c>
      <c r="Q3227" s="385">
        <v>-4</v>
      </c>
      <c r="R3227" s="207">
        <f t="shared" si="104"/>
        <v>-92000</v>
      </c>
      <c r="S3227" s="279">
        <v>202304</v>
      </c>
      <c r="T3227" s="184" t="s">
        <v>4338</v>
      </c>
      <c r="U3227" s="213"/>
      <c r="V3227" s="387"/>
      <c r="W3227" s="214"/>
      <c r="X3227" s="388">
        <v>43466</v>
      </c>
      <c r="Y3227" s="388">
        <v>44255</v>
      </c>
    </row>
    <row r="3228" s="5" customFormat="1" customHeight="1" spans="1:25">
      <c r="A3228" s="203" t="s">
        <v>446</v>
      </c>
      <c r="B3228" s="204" t="s">
        <v>4284</v>
      </c>
      <c r="C3228" s="204" t="s">
        <v>63</v>
      </c>
      <c r="D3228" s="204" t="s">
        <v>3038</v>
      </c>
      <c r="E3228" s="205" t="s">
        <v>4285</v>
      </c>
      <c r="F3228" s="203" t="s">
        <v>4286</v>
      </c>
      <c r="G3228" s="203" t="s">
        <v>88</v>
      </c>
      <c r="H3228" s="25" t="s">
        <v>4322</v>
      </c>
      <c r="I3228" s="46" t="e">
        <f>VLOOKUP(H3228,'合同高级查询数据-4月返'!A:A,1,FALSE)</f>
        <v>#N/A</v>
      </c>
      <c r="J3228" s="47" t="s">
        <v>3488</v>
      </c>
      <c r="K3228" s="203" t="s">
        <v>4323</v>
      </c>
      <c r="L3228" s="206"/>
      <c r="M3228" s="49" t="s">
        <v>4324</v>
      </c>
      <c r="N3228" s="73">
        <v>44229</v>
      </c>
      <c r="O3228" s="73" t="s">
        <v>92</v>
      </c>
      <c r="P3228" s="383">
        <v>5200</v>
      </c>
      <c r="Q3228" s="385">
        <v>-131</v>
      </c>
      <c r="R3228" s="207">
        <f t="shared" si="104"/>
        <v>-681200</v>
      </c>
      <c r="S3228" s="279">
        <v>202304</v>
      </c>
      <c r="T3228" s="184" t="s">
        <v>4338</v>
      </c>
      <c r="U3228" s="213"/>
      <c r="V3228" s="387"/>
      <c r="W3228" s="214"/>
      <c r="X3228" s="388">
        <v>43466</v>
      </c>
      <c r="Y3228" s="388">
        <v>44255</v>
      </c>
    </row>
    <row r="3229" s="5" customFormat="1" customHeight="1" spans="1:25">
      <c r="A3229" s="203" t="s">
        <v>446</v>
      </c>
      <c r="B3229" s="204" t="s">
        <v>4284</v>
      </c>
      <c r="C3229" s="204" t="s">
        <v>63</v>
      </c>
      <c r="D3229" s="204" t="s">
        <v>3038</v>
      </c>
      <c r="E3229" s="205" t="s">
        <v>4285</v>
      </c>
      <c r="F3229" s="203" t="s">
        <v>4286</v>
      </c>
      <c r="G3229" s="203" t="s">
        <v>88</v>
      </c>
      <c r="H3229" s="25" t="s">
        <v>4322</v>
      </c>
      <c r="I3229" s="46" t="e">
        <f>VLOOKUP(H3229,'合同高级查询数据-4月返'!A:A,1,FALSE)</f>
        <v>#N/A</v>
      </c>
      <c r="J3229" s="47" t="s">
        <v>3488</v>
      </c>
      <c r="K3229" s="203" t="s">
        <v>4323</v>
      </c>
      <c r="L3229" s="206"/>
      <c r="M3229" s="49" t="s">
        <v>4324</v>
      </c>
      <c r="N3229" s="73">
        <v>44229</v>
      </c>
      <c r="O3229" s="73" t="s">
        <v>561</v>
      </c>
      <c r="P3229" s="383">
        <v>8240</v>
      </c>
      <c r="Q3229" s="385">
        <v>0</v>
      </c>
      <c r="R3229" s="207">
        <f t="shared" si="104"/>
        <v>0</v>
      </c>
      <c r="S3229" s="279">
        <v>202304</v>
      </c>
      <c r="T3229" s="184" t="s">
        <v>4338</v>
      </c>
      <c r="U3229" s="213"/>
      <c r="V3229" s="387"/>
      <c r="W3229" s="214"/>
      <c r="X3229" s="388">
        <v>43466</v>
      </c>
      <c r="Y3229" s="388">
        <v>44255</v>
      </c>
    </row>
    <row r="3230" s="5" customFormat="1" customHeight="1" spans="1:25">
      <c r="A3230" s="203" t="s">
        <v>446</v>
      </c>
      <c r="B3230" s="204" t="s">
        <v>4284</v>
      </c>
      <c r="C3230" s="204" t="s">
        <v>63</v>
      </c>
      <c r="D3230" s="204" t="s">
        <v>3038</v>
      </c>
      <c r="E3230" s="205" t="s">
        <v>4285</v>
      </c>
      <c r="F3230" s="203" t="s">
        <v>4286</v>
      </c>
      <c r="G3230" s="203" t="s">
        <v>88</v>
      </c>
      <c r="H3230" s="25" t="s">
        <v>4322</v>
      </c>
      <c r="I3230" s="46" t="e">
        <f>VLOOKUP(H3230,'合同高级查询数据-4月返'!A:A,1,FALSE)</f>
        <v>#N/A</v>
      </c>
      <c r="J3230" s="47" t="s">
        <v>3488</v>
      </c>
      <c r="K3230" s="203" t="s">
        <v>4323</v>
      </c>
      <c r="L3230" s="206"/>
      <c r="M3230" s="49" t="s">
        <v>4324</v>
      </c>
      <c r="N3230" s="73">
        <v>44229</v>
      </c>
      <c r="O3230" s="73" t="s">
        <v>163</v>
      </c>
      <c r="P3230" s="383">
        <v>4000</v>
      </c>
      <c r="Q3230" s="385">
        <v>-3</v>
      </c>
      <c r="R3230" s="207">
        <f t="shared" si="104"/>
        <v>-12000</v>
      </c>
      <c r="S3230" s="279">
        <v>202304</v>
      </c>
      <c r="T3230" s="184" t="s">
        <v>4338</v>
      </c>
      <c r="U3230" s="213"/>
      <c r="V3230" s="387"/>
      <c r="W3230" s="214"/>
      <c r="X3230" s="388">
        <v>43466</v>
      </c>
      <c r="Y3230" s="388">
        <v>44255</v>
      </c>
    </row>
    <row r="3231" s="5" customFormat="1" customHeight="1" spans="1:25">
      <c r="A3231" s="203" t="s">
        <v>446</v>
      </c>
      <c r="B3231" s="204" t="s">
        <v>4284</v>
      </c>
      <c r="C3231" s="204" t="s">
        <v>63</v>
      </c>
      <c r="D3231" s="204" t="s">
        <v>3038</v>
      </c>
      <c r="E3231" s="205" t="s">
        <v>4285</v>
      </c>
      <c r="F3231" s="203" t="s">
        <v>4286</v>
      </c>
      <c r="G3231" s="203" t="s">
        <v>88</v>
      </c>
      <c r="H3231" s="25" t="s">
        <v>4322</v>
      </c>
      <c r="I3231" s="46" t="e">
        <f>VLOOKUP(H3231,'合同高级查询数据-4月返'!A:A,1,FALSE)</f>
        <v>#N/A</v>
      </c>
      <c r="J3231" s="47" t="s">
        <v>3488</v>
      </c>
      <c r="K3231" s="203" t="s">
        <v>4323</v>
      </c>
      <c r="L3231" s="206"/>
      <c r="M3231" s="49" t="s">
        <v>4324</v>
      </c>
      <c r="N3231" s="73">
        <v>44229</v>
      </c>
      <c r="O3231" s="73" t="s">
        <v>92</v>
      </c>
      <c r="P3231" s="383">
        <v>4000</v>
      </c>
      <c r="Q3231" s="385">
        <v>-10</v>
      </c>
      <c r="R3231" s="207">
        <f t="shared" si="104"/>
        <v>-40000</v>
      </c>
      <c r="S3231" s="279">
        <v>202304</v>
      </c>
      <c r="T3231" s="184" t="s">
        <v>4338</v>
      </c>
      <c r="U3231" s="213"/>
      <c r="V3231" s="387"/>
      <c r="W3231" s="214"/>
      <c r="X3231" s="388">
        <v>43466</v>
      </c>
      <c r="Y3231" s="388">
        <v>44255</v>
      </c>
    </row>
    <row r="3232" s="5" customFormat="1" customHeight="1" spans="1:25">
      <c r="A3232" s="203" t="s">
        <v>446</v>
      </c>
      <c r="B3232" s="204" t="s">
        <v>4284</v>
      </c>
      <c r="C3232" s="204" t="s">
        <v>63</v>
      </c>
      <c r="D3232" s="204" t="s">
        <v>3038</v>
      </c>
      <c r="E3232" s="205" t="s">
        <v>4285</v>
      </c>
      <c r="F3232" s="203" t="s">
        <v>4286</v>
      </c>
      <c r="G3232" s="203" t="s">
        <v>88</v>
      </c>
      <c r="H3232" s="25" t="s">
        <v>4322</v>
      </c>
      <c r="I3232" s="46" t="e">
        <f>VLOOKUP(H3232,'合同高级查询数据-4月返'!A:A,1,FALSE)</f>
        <v>#N/A</v>
      </c>
      <c r="J3232" s="47" t="s">
        <v>3488</v>
      </c>
      <c r="K3232" s="203" t="s">
        <v>4323</v>
      </c>
      <c r="L3232" s="206"/>
      <c r="M3232" s="49" t="s">
        <v>4324</v>
      </c>
      <c r="N3232" s="73">
        <v>44237</v>
      </c>
      <c r="O3232" s="73" t="s">
        <v>92</v>
      </c>
      <c r="P3232" s="383">
        <v>4000</v>
      </c>
      <c r="Q3232" s="385">
        <v>-4</v>
      </c>
      <c r="R3232" s="207">
        <f t="shared" si="104"/>
        <v>-16000</v>
      </c>
      <c r="S3232" s="279">
        <v>202304</v>
      </c>
      <c r="T3232" s="184" t="s">
        <v>4339</v>
      </c>
      <c r="U3232" s="213"/>
      <c r="V3232" s="387"/>
      <c r="W3232" s="214"/>
      <c r="X3232" s="388">
        <v>43466</v>
      </c>
      <c r="Y3232" s="388">
        <v>44255</v>
      </c>
    </row>
    <row r="3233" s="5" customFormat="1" customHeight="1" spans="1:25">
      <c r="A3233" s="203" t="s">
        <v>446</v>
      </c>
      <c r="B3233" s="204" t="s">
        <v>4284</v>
      </c>
      <c r="C3233" s="204" t="s">
        <v>63</v>
      </c>
      <c r="D3233" s="204" t="s">
        <v>3038</v>
      </c>
      <c r="E3233" s="205" t="s">
        <v>4285</v>
      </c>
      <c r="F3233" s="203" t="s">
        <v>4286</v>
      </c>
      <c r="G3233" s="203" t="s">
        <v>88</v>
      </c>
      <c r="H3233" s="25" t="s">
        <v>4340</v>
      </c>
      <c r="I3233" s="46" t="e">
        <f>VLOOKUP(H3233,'合同高级查询数据-4月返'!A:A,1,FALSE)</f>
        <v>#N/A</v>
      </c>
      <c r="J3233" s="47" t="s">
        <v>3488</v>
      </c>
      <c r="K3233" s="203" t="s">
        <v>4341</v>
      </c>
      <c r="L3233" s="206"/>
      <c r="M3233" s="49" t="s">
        <v>4342</v>
      </c>
      <c r="N3233" s="73">
        <v>43518</v>
      </c>
      <c r="O3233" s="73" t="s">
        <v>503</v>
      </c>
      <c r="P3233" s="383">
        <v>6300</v>
      </c>
      <c r="Q3233" s="385">
        <v>17</v>
      </c>
      <c r="R3233" s="386">
        <f t="shared" si="104"/>
        <v>107100</v>
      </c>
      <c r="S3233" s="279">
        <v>202304</v>
      </c>
      <c r="T3233" s="184"/>
      <c r="U3233" s="213"/>
      <c r="V3233" s="387"/>
      <c r="W3233" s="214"/>
      <c r="X3233" s="388">
        <v>43497</v>
      </c>
      <c r="Y3233" s="388">
        <v>45688</v>
      </c>
    </row>
    <row r="3234" s="5" customFormat="1" customHeight="1" spans="1:25">
      <c r="A3234" s="203" t="s">
        <v>446</v>
      </c>
      <c r="B3234" s="204" t="s">
        <v>4284</v>
      </c>
      <c r="C3234" s="204" t="s">
        <v>63</v>
      </c>
      <c r="D3234" s="204" t="s">
        <v>3038</v>
      </c>
      <c r="E3234" s="205" t="s">
        <v>4285</v>
      </c>
      <c r="F3234" s="203" t="s">
        <v>4286</v>
      </c>
      <c r="G3234" s="203" t="s">
        <v>88</v>
      </c>
      <c r="H3234" s="25" t="s">
        <v>4340</v>
      </c>
      <c r="I3234" s="46" t="e">
        <f>VLOOKUP(H3234,'合同高级查询数据-4月返'!A:A,1,FALSE)</f>
        <v>#N/A</v>
      </c>
      <c r="J3234" s="47" t="s">
        <v>3488</v>
      </c>
      <c r="K3234" s="203" t="s">
        <v>4341</v>
      </c>
      <c r="L3234" s="206"/>
      <c r="M3234" s="49" t="s">
        <v>4343</v>
      </c>
      <c r="N3234" s="73">
        <v>43518</v>
      </c>
      <c r="O3234" s="73" t="s">
        <v>503</v>
      </c>
      <c r="P3234" s="383">
        <v>6300</v>
      </c>
      <c r="Q3234" s="385">
        <v>126</v>
      </c>
      <c r="R3234" s="386">
        <f t="shared" si="104"/>
        <v>793800</v>
      </c>
      <c r="S3234" s="279">
        <v>202304</v>
      </c>
      <c r="T3234" s="184" t="s">
        <v>4344</v>
      </c>
      <c r="U3234" s="213"/>
      <c r="V3234" s="387"/>
      <c r="W3234" s="214"/>
      <c r="X3234" s="388">
        <v>43497</v>
      </c>
      <c r="Y3234" s="388">
        <v>45688</v>
      </c>
    </row>
    <row r="3235" s="5" customFormat="1" customHeight="1" spans="1:25">
      <c r="A3235" s="203" t="s">
        <v>446</v>
      </c>
      <c r="B3235" s="204" t="s">
        <v>4284</v>
      </c>
      <c r="C3235" s="204" t="s">
        <v>63</v>
      </c>
      <c r="D3235" s="204" t="s">
        <v>3038</v>
      </c>
      <c r="E3235" s="205" t="s">
        <v>4285</v>
      </c>
      <c r="F3235" s="203" t="s">
        <v>4286</v>
      </c>
      <c r="G3235" s="203" t="s">
        <v>88</v>
      </c>
      <c r="H3235" s="25" t="s">
        <v>4340</v>
      </c>
      <c r="I3235" s="46" t="e">
        <f>VLOOKUP(H3235,'合同高级查询数据-4月返'!A:A,1,FALSE)</f>
        <v>#N/A</v>
      </c>
      <c r="J3235" s="47" t="s">
        <v>3488</v>
      </c>
      <c r="K3235" s="203" t="s">
        <v>4341</v>
      </c>
      <c r="L3235" s="206"/>
      <c r="M3235" s="49" t="s">
        <v>4342</v>
      </c>
      <c r="N3235" s="73">
        <v>43525</v>
      </c>
      <c r="O3235" s="73" t="s">
        <v>503</v>
      </c>
      <c r="P3235" s="383">
        <v>6300</v>
      </c>
      <c r="Q3235" s="385">
        <v>445</v>
      </c>
      <c r="R3235" s="386">
        <f t="shared" si="104"/>
        <v>2803500</v>
      </c>
      <c r="S3235" s="279">
        <v>202304</v>
      </c>
      <c r="T3235" s="184" t="s">
        <v>4345</v>
      </c>
      <c r="U3235" s="213"/>
      <c r="V3235" s="387"/>
      <c r="W3235" s="214"/>
      <c r="X3235" s="388">
        <v>43497</v>
      </c>
      <c r="Y3235" s="388">
        <v>45688</v>
      </c>
    </row>
    <row r="3236" s="5" customFormat="1" customHeight="1" spans="1:25">
      <c r="A3236" s="203" t="s">
        <v>446</v>
      </c>
      <c r="B3236" s="204" t="s">
        <v>4284</v>
      </c>
      <c r="C3236" s="204" t="s">
        <v>63</v>
      </c>
      <c r="D3236" s="204" t="s">
        <v>3038</v>
      </c>
      <c r="E3236" s="205" t="s">
        <v>4285</v>
      </c>
      <c r="F3236" s="203" t="s">
        <v>4286</v>
      </c>
      <c r="G3236" s="203" t="s">
        <v>88</v>
      </c>
      <c r="H3236" s="25" t="s">
        <v>4340</v>
      </c>
      <c r="I3236" s="46" t="e">
        <f>VLOOKUP(H3236,'合同高级查询数据-4月返'!A:A,1,FALSE)</f>
        <v>#N/A</v>
      </c>
      <c r="J3236" s="47" t="s">
        <v>3488</v>
      </c>
      <c r="K3236" s="203" t="s">
        <v>4341</v>
      </c>
      <c r="L3236" s="206"/>
      <c r="M3236" s="49" t="s">
        <v>4342</v>
      </c>
      <c r="N3236" s="73">
        <v>43540</v>
      </c>
      <c r="O3236" s="73" t="s">
        <v>503</v>
      </c>
      <c r="P3236" s="383">
        <v>6300</v>
      </c>
      <c r="Q3236" s="385">
        <v>-17</v>
      </c>
      <c r="R3236" s="386">
        <f t="shared" si="104"/>
        <v>-107100</v>
      </c>
      <c r="S3236" s="279">
        <v>202304</v>
      </c>
      <c r="T3236" s="184" t="s">
        <v>4346</v>
      </c>
      <c r="U3236" s="213"/>
      <c r="V3236" s="387"/>
      <c r="W3236" s="214"/>
      <c r="X3236" s="388">
        <v>43497</v>
      </c>
      <c r="Y3236" s="388">
        <v>45688</v>
      </c>
    </row>
    <row r="3237" s="5" customFormat="1" customHeight="1" spans="1:25">
      <c r="A3237" s="203" t="s">
        <v>446</v>
      </c>
      <c r="B3237" s="204" t="s">
        <v>4284</v>
      </c>
      <c r="C3237" s="204" t="s">
        <v>63</v>
      </c>
      <c r="D3237" s="204" t="s">
        <v>3038</v>
      </c>
      <c r="E3237" s="205" t="s">
        <v>4285</v>
      </c>
      <c r="F3237" s="203" t="s">
        <v>4286</v>
      </c>
      <c r="G3237" s="203" t="s">
        <v>88</v>
      </c>
      <c r="H3237" s="25" t="s">
        <v>4340</v>
      </c>
      <c r="I3237" s="46" t="e">
        <f>VLOOKUP(H3237,'合同高级查询数据-4月返'!A:A,1,FALSE)</f>
        <v>#N/A</v>
      </c>
      <c r="J3237" s="47" t="s">
        <v>3488</v>
      </c>
      <c r="K3237" s="203" t="s">
        <v>4341</v>
      </c>
      <c r="L3237" s="206"/>
      <c r="M3237" s="49" t="s">
        <v>4342</v>
      </c>
      <c r="N3237" s="73">
        <v>43525</v>
      </c>
      <c r="O3237" s="73" t="s">
        <v>1746</v>
      </c>
      <c r="P3237" s="383">
        <v>9451.2</v>
      </c>
      <c r="Q3237" s="385">
        <v>4</v>
      </c>
      <c r="R3237" s="386">
        <f t="shared" si="104"/>
        <v>37804.8</v>
      </c>
      <c r="S3237" s="279">
        <v>202304</v>
      </c>
      <c r="T3237" s="184" t="s">
        <v>4347</v>
      </c>
      <c r="U3237" s="213"/>
      <c r="V3237" s="387"/>
      <c r="W3237" s="214"/>
      <c r="X3237" s="388">
        <v>43497</v>
      </c>
      <c r="Y3237" s="388">
        <v>45688</v>
      </c>
    </row>
    <row r="3238" s="5" customFormat="1" customHeight="1" spans="1:25">
      <c r="A3238" s="203" t="s">
        <v>446</v>
      </c>
      <c r="B3238" s="204" t="s">
        <v>4284</v>
      </c>
      <c r="C3238" s="204" t="s">
        <v>63</v>
      </c>
      <c r="D3238" s="204" t="s">
        <v>3038</v>
      </c>
      <c r="E3238" s="205" t="s">
        <v>4285</v>
      </c>
      <c r="F3238" s="203" t="s">
        <v>4286</v>
      </c>
      <c r="G3238" s="203" t="s">
        <v>88</v>
      </c>
      <c r="H3238" s="25" t="s">
        <v>4340</v>
      </c>
      <c r="I3238" s="46" t="e">
        <f>VLOOKUP(H3238,'合同高级查询数据-4月返'!A:A,1,FALSE)</f>
        <v>#N/A</v>
      </c>
      <c r="J3238" s="47" t="s">
        <v>3488</v>
      </c>
      <c r="K3238" s="203" t="s">
        <v>4341</v>
      </c>
      <c r="L3238" s="206"/>
      <c r="M3238" s="49" t="s">
        <v>4342</v>
      </c>
      <c r="N3238" s="73">
        <v>43525</v>
      </c>
      <c r="O3238" s="73" t="s">
        <v>566</v>
      </c>
      <c r="P3238" s="383">
        <v>12888</v>
      </c>
      <c r="Q3238" s="385">
        <v>8</v>
      </c>
      <c r="R3238" s="386">
        <f t="shared" si="104"/>
        <v>103104</v>
      </c>
      <c r="S3238" s="279">
        <v>202304</v>
      </c>
      <c r="T3238" s="184" t="s">
        <v>4348</v>
      </c>
      <c r="U3238" s="213"/>
      <c r="V3238" s="387"/>
      <c r="W3238" s="214"/>
      <c r="X3238" s="388">
        <v>43497</v>
      </c>
      <c r="Y3238" s="388">
        <v>45688</v>
      </c>
    </row>
    <row r="3239" s="5" customFormat="1" customHeight="1" spans="1:25">
      <c r="A3239" s="203" t="s">
        <v>446</v>
      </c>
      <c r="B3239" s="204" t="s">
        <v>4284</v>
      </c>
      <c r="C3239" s="204" t="s">
        <v>63</v>
      </c>
      <c r="D3239" s="204" t="s">
        <v>3038</v>
      </c>
      <c r="E3239" s="205" t="s">
        <v>4285</v>
      </c>
      <c r="F3239" s="203" t="s">
        <v>4286</v>
      </c>
      <c r="G3239" s="203" t="s">
        <v>88</v>
      </c>
      <c r="H3239" s="25" t="s">
        <v>4340</v>
      </c>
      <c r="I3239" s="46" t="e">
        <f>VLOOKUP(H3239,'合同高级查询数据-4月返'!A:A,1,FALSE)</f>
        <v>#N/A</v>
      </c>
      <c r="J3239" s="47" t="s">
        <v>3488</v>
      </c>
      <c r="K3239" s="203" t="s">
        <v>4341</v>
      </c>
      <c r="L3239" s="206"/>
      <c r="M3239" s="49" t="s">
        <v>4342</v>
      </c>
      <c r="N3239" s="73">
        <v>43525</v>
      </c>
      <c r="O3239" s="73" t="s">
        <v>3120</v>
      </c>
      <c r="P3239" s="383">
        <v>34368</v>
      </c>
      <c r="Q3239" s="385">
        <v>12</v>
      </c>
      <c r="R3239" s="386">
        <f t="shared" si="104"/>
        <v>412416</v>
      </c>
      <c r="S3239" s="279">
        <v>202304</v>
      </c>
      <c r="T3239" s="184" t="s">
        <v>4349</v>
      </c>
      <c r="U3239" s="213"/>
      <c r="V3239" s="387"/>
      <c r="W3239" s="214"/>
      <c r="X3239" s="388">
        <v>43497</v>
      </c>
      <c r="Y3239" s="388">
        <v>45688</v>
      </c>
    </row>
    <row r="3240" s="5" customFormat="1" customHeight="1" spans="1:25">
      <c r="A3240" s="203" t="s">
        <v>446</v>
      </c>
      <c r="B3240" s="204" t="s">
        <v>4284</v>
      </c>
      <c r="C3240" s="204" t="s">
        <v>63</v>
      </c>
      <c r="D3240" s="204" t="s">
        <v>3038</v>
      </c>
      <c r="E3240" s="205" t="s">
        <v>4285</v>
      </c>
      <c r="F3240" s="203" t="s">
        <v>4286</v>
      </c>
      <c r="G3240" s="203" t="s">
        <v>88</v>
      </c>
      <c r="H3240" s="25" t="s">
        <v>4340</v>
      </c>
      <c r="I3240" s="46" t="e">
        <f>VLOOKUP(H3240,'合同高级查询数据-4月返'!A:A,1,FALSE)</f>
        <v>#N/A</v>
      </c>
      <c r="J3240" s="47" t="s">
        <v>3488</v>
      </c>
      <c r="K3240" s="203" t="s">
        <v>4341</v>
      </c>
      <c r="L3240" s="206"/>
      <c r="M3240" s="49" t="s">
        <v>4343</v>
      </c>
      <c r="N3240" s="73">
        <v>43525</v>
      </c>
      <c r="O3240" s="73" t="s">
        <v>3120</v>
      </c>
      <c r="P3240" s="383">
        <v>34368</v>
      </c>
      <c r="Q3240" s="385">
        <v>6</v>
      </c>
      <c r="R3240" s="386">
        <f t="shared" si="104"/>
        <v>206208</v>
      </c>
      <c r="S3240" s="279">
        <v>202304</v>
      </c>
      <c r="T3240" s="184" t="s">
        <v>4350</v>
      </c>
      <c r="U3240" s="213"/>
      <c r="V3240" s="387"/>
      <c r="W3240" s="214"/>
      <c r="X3240" s="388">
        <v>43497</v>
      </c>
      <c r="Y3240" s="388">
        <v>45688</v>
      </c>
    </row>
    <row r="3241" s="5" customFormat="1" customHeight="1" spans="1:25">
      <c r="A3241" s="203" t="s">
        <v>446</v>
      </c>
      <c r="B3241" s="204" t="s">
        <v>4284</v>
      </c>
      <c r="C3241" s="204" t="s">
        <v>63</v>
      </c>
      <c r="D3241" s="204" t="s">
        <v>3038</v>
      </c>
      <c r="E3241" s="205" t="s">
        <v>4285</v>
      </c>
      <c r="F3241" s="203" t="s">
        <v>4286</v>
      </c>
      <c r="G3241" s="203" t="s">
        <v>88</v>
      </c>
      <c r="H3241" s="25" t="s">
        <v>4340</v>
      </c>
      <c r="I3241" s="46" t="e">
        <f>VLOOKUP(H3241,'合同高级查询数据-4月返'!A:A,1,FALSE)</f>
        <v>#N/A</v>
      </c>
      <c r="J3241" s="47" t="s">
        <v>3488</v>
      </c>
      <c r="K3241" s="203" t="s">
        <v>4341</v>
      </c>
      <c r="L3241" s="206"/>
      <c r="M3241" s="49" t="s">
        <v>4343</v>
      </c>
      <c r="N3241" s="73">
        <v>43553</v>
      </c>
      <c r="O3241" s="73" t="s">
        <v>503</v>
      </c>
      <c r="P3241" s="383">
        <v>6300</v>
      </c>
      <c r="Q3241" s="385">
        <v>4</v>
      </c>
      <c r="R3241" s="386">
        <f t="shared" si="104"/>
        <v>25200</v>
      </c>
      <c r="S3241" s="279">
        <v>202304</v>
      </c>
      <c r="T3241" s="184" t="s">
        <v>4351</v>
      </c>
      <c r="U3241" s="213"/>
      <c r="V3241" s="387"/>
      <c r="W3241" s="214"/>
      <c r="X3241" s="388">
        <v>43497</v>
      </c>
      <c r="Y3241" s="388">
        <v>45688</v>
      </c>
    </row>
    <row r="3242" s="5" customFormat="1" customHeight="1" spans="1:25">
      <c r="A3242" s="203" t="s">
        <v>446</v>
      </c>
      <c r="B3242" s="204" t="s">
        <v>4284</v>
      </c>
      <c r="C3242" s="204" t="s">
        <v>63</v>
      </c>
      <c r="D3242" s="204" t="s">
        <v>3038</v>
      </c>
      <c r="E3242" s="205" t="s">
        <v>4285</v>
      </c>
      <c r="F3242" s="203" t="s">
        <v>4286</v>
      </c>
      <c r="G3242" s="203" t="s">
        <v>88</v>
      </c>
      <c r="H3242" s="25" t="s">
        <v>4340</v>
      </c>
      <c r="I3242" s="46" t="e">
        <f>VLOOKUP(H3242,'合同高级查询数据-4月返'!A:A,1,FALSE)</f>
        <v>#N/A</v>
      </c>
      <c r="J3242" s="47" t="s">
        <v>3488</v>
      </c>
      <c r="K3242" s="203" t="s">
        <v>4341</v>
      </c>
      <c r="L3242" s="206"/>
      <c r="M3242" s="49" t="s">
        <v>4342</v>
      </c>
      <c r="N3242" s="73">
        <v>43539</v>
      </c>
      <c r="O3242" s="73" t="s">
        <v>503</v>
      </c>
      <c r="P3242" s="383">
        <v>6300</v>
      </c>
      <c r="Q3242" s="385">
        <v>10</v>
      </c>
      <c r="R3242" s="386">
        <f t="shared" si="104"/>
        <v>63000</v>
      </c>
      <c r="S3242" s="279">
        <v>202304</v>
      </c>
      <c r="T3242" s="184" t="s">
        <v>4352</v>
      </c>
      <c r="U3242" s="213"/>
      <c r="V3242" s="387"/>
      <c r="W3242" s="214"/>
      <c r="X3242" s="388">
        <v>43497</v>
      </c>
      <c r="Y3242" s="388">
        <v>45688</v>
      </c>
    </row>
    <row r="3243" s="5" customFormat="1" customHeight="1" spans="1:25">
      <c r="A3243" s="203" t="s">
        <v>446</v>
      </c>
      <c r="B3243" s="204" t="s">
        <v>4284</v>
      </c>
      <c r="C3243" s="204" t="s">
        <v>63</v>
      </c>
      <c r="D3243" s="204" t="s">
        <v>3038</v>
      </c>
      <c r="E3243" s="205" t="s">
        <v>4285</v>
      </c>
      <c r="F3243" s="203" t="s">
        <v>4286</v>
      </c>
      <c r="G3243" s="203" t="s">
        <v>88</v>
      </c>
      <c r="H3243" s="25" t="s">
        <v>4340</v>
      </c>
      <c r="I3243" s="46" t="e">
        <f>VLOOKUP(H3243,'合同高级查询数据-4月返'!A:A,1,FALSE)</f>
        <v>#N/A</v>
      </c>
      <c r="J3243" s="47" t="s">
        <v>3488</v>
      </c>
      <c r="K3243" s="203" t="s">
        <v>4341</v>
      </c>
      <c r="L3243" s="206"/>
      <c r="M3243" s="49" t="s">
        <v>4342</v>
      </c>
      <c r="N3243" s="73">
        <v>43544</v>
      </c>
      <c r="O3243" s="73" t="s">
        <v>503</v>
      </c>
      <c r="P3243" s="383">
        <v>6300</v>
      </c>
      <c r="Q3243" s="385">
        <v>7</v>
      </c>
      <c r="R3243" s="386">
        <f t="shared" si="104"/>
        <v>44100</v>
      </c>
      <c r="S3243" s="279">
        <v>202304</v>
      </c>
      <c r="T3243" s="184" t="s">
        <v>4353</v>
      </c>
      <c r="U3243" s="213"/>
      <c r="V3243" s="387"/>
      <c r="W3243" s="214"/>
      <c r="X3243" s="388">
        <v>43497</v>
      </c>
      <c r="Y3243" s="388">
        <v>45688</v>
      </c>
    </row>
    <row r="3244" s="5" customFormat="1" customHeight="1" spans="1:25">
      <c r="A3244" s="203" t="s">
        <v>446</v>
      </c>
      <c r="B3244" s="204" t="s">
        <v>4284</v>
      </c>
      <c r="C3244" s="204" t="s">
        <v>63</v>
      </c>
      <c r="D3244" s="204" t="s">
        <v>3038</v>
      </c>
      <c r="E3244" s="205" t="s">
        <v>4285</v>
      </c>
      <c r="F3244" s="203" t="s">
        <v>4286</v>
      </c>
      <c r="G3244" s="203" t="s">
        <v>88</v>
      </c>
      <c r="H3244" s="25" t="s">
        <v>4340</v>
      </c>
      <c r="I3244" s="46" t="e">
        <f>VLOOKUP(H3244,'合同高级查询数据-4月返'!A:A,1,FALSE)</f>
        <v>#N/A</v>
      </c>
      <c r="J3244" s="47" t="s">
        <v>3488</v>
      </c>
      <c r="K3244" s="203" t="s">
        <v>4341</v>
      </c>
      <c r="L3244" s="206"/>
      <c r="M3244" s="49" t="s">
        <v>4342</v>
      </c>
      <c r="N3244" s="73">
        <v>43565</v>
      </c>
      <c r="O3244" s="73" t="s">
        <v>503</v>
      </c>
      <c r="P3244" s="383">
        <v>6300</v>
      </c>
      <c r="Q3244" s="385">
        <v>11</v>
      </c>
      <c r="R3244" s="386">
        <f t="shared" si="104"/>
        <v>69300</v>
      </c>
      <c r="S3244" s="279">
        <v>202304</v>
      </c>
      <c r="T3244" s="184" t="s">
        <v>4354</v>
      </c>
      <c r="U3244" s="213"/>
      <c r="V3244" s="387"/>
      <c r="W3244" s="214"/>
      <c r="X3244" s="388">
        <v>43497</v>
      </c>
      <c r="Y3244" s="388">
        <v>45688</v>
      </c>
    </row>
    <row r="3245" s="5" customFormat="1" customHeight="1" spans="1:25">
      <c r="A3245" s="203" t="s">
        <v>446</v>
      </c>
      <c r="B3245" s="204" t="s">
        <v>4284</v>
      </c>
      <c r="C3245" s="204" t="s">
        <v>63</v>
      </c>
      <c r="D3245" s="204" t="s">
        <v>3038</v>
      </c>
      <c r="E3245" s="205" t="s">
        <v>4285</v>
      </c>
      <c r="F3245" s="203" t="s">
        <v>4286</v>
      </c>
      <c r="G3245" s="203" t="s">
        <v>88</v>
      </c>
      <c r="H3245" s="25" t="s">
        <v>4340</v>
      </c>
      <c r="I3245" s="46" t="e">
        <f>VLOOKUP(H3245,'合同高级查询数据-4月返'!A:A,1,FALSE)</f>
        <v>#N/A</v>
      </c>
      <c r="J3245" s="47" t="s">
        <v>3488</v>
      </c>
      <c r="K3245" s="203" t="s">
        <v>4341</v>
      </c>
      <c r="L3245" s="206"/>
      <c r="M3245" s="49" t="s">
        <v>4342</v>
      </c>
      <c r="N3245" s="73">
        <v>43599</v>
      </c>
      <c r="O3245" s="73" t="s">
        <v>503</v>
      </c>
      <c r="P3245" s="383">
        <v>6300</v>
      </c>
      <c r="Q3245" s="385">
        <v>8</v>
      </c>
      <c r="R3245" s="386">
        <f t="shared" ref="R3245:R3308" si="105">ROUND(P3245*Q3245,2)</f>
        <v>50400</v>
      </c>
      <c r="S3245" s="279">
        <v>202304</v>
      </c>
      <c r="T3245" s="184" t="s">
        <v>4355</v>
      </c>
      <c r="U3245" s="213"/>
      <c r="V3245" s="387"/>
      <c r="W3245" s="214"/>
      <c r="X3245" s="388">
        <v>43497</v>
      </c>
      <c r="Y3245" s="388">
        <v>45688</v>
      </c>
    </row>
    <row r="3246" s="5" customFormat="1" customHeight="1" spans="1:25">
      <c r="A3246" s="203" t="s">
        <v>446</v>
      </c>
      <c r="B3246" s="204" t="s">
        <v>4284</v>
      </c>
      <c r="C3246" s="204" t="s">
        <v>63</v>
      </c>
      <c r="D3246" s="204" t="s">
        <v>3038</v>
      </c>
      <c r="E3246" s="205" t="s">
        <v>4285</v>
      </c>
      <c r="F3246" s="203" t="s">
        <v>4286</v>
      </c>
      <c r="G3246" s="203" t="s">
        <v>88</v>
      </c>
      <c r="H3246" s="25" t="s">
        <v>4340</v>
      </c>
      <c r="I3246" s="46" t="e">
        <f>VLOOKUP(H3246,'合同高级查询数据-4月返'!A:A,1,FALSE)</f>
        <v>#N/A</v>
      </c>
      <c r="J3246" s="47" t="s">
        <v>3488</v>
      </c>
      <c r="K3246" s="203" t="s">
        <v>4341</v>
      </c>
      <c r="L3246" s="206"/>
      <c r="M3246" s="49" t="s">
        <v>4342</v>
      </c>
      <c r="N3246" s="73">
        <v>43615</v>
      </c>
      <c r="O3246" s="73" t="s">
        <v>503</v>
      </c>
      <c r="P3246" s="383">
        <v>6300</v>
      </c>
      <c r="Q3246" s="385">
        <v>3</v>
      </c>
      <c r="R3246" s="386">
        <f t="shared" si="105"/>
        <v>18900</v>
      </c>
      <c r="S3246" s="279">
        <v>202304</v>
      </c>
      <c r="T3246" s="184" t="s">
        <v>4356</v>
      </c>
      <c r="U3246" s="213"/>
      <c r="V3246" s="387"/>
      <c r="W3246" s="214"/>
      <c r="X3246" s="388">
        <v>43497</v>
      </c>
      <c r="Y3246" s="388">
        <v>45688</v>
      </c>
    </row>
    <row r="3247" s="5" customFormat="1" customHeight="1" spans="1:25">
      <c r="A3247" s="203" t="s">
        <v>446</v>
      </c>
      <c r="B3247" s="204" t="s">
        <v>4284</v>
      </c>
      <c r="C3247" s="204" t="s">
        <v>63</v>
      </c>
      <c r="D3247" s="204" t="s">
        <v>3038</v>
      </c>
      <c r="E3247" s="205" t="s">
        <v>4285</v>
      </c>
      <c r="F3247" s="203" t="s">
        <v>4286</v>
      </c>
      <c r="G3247" s="203" t="s">
        <v>88</v>
      </c>
      <c r="H3247" s="25" t="s">
        <v>4340</v>
      </c>
      <c r="I3247" s="46" t="e">
        <f>VLOOKUP(H3247,'合同高级查询数据-4月返'!A:A,1,FALSE)</f>
        <v>#N/A</v>
      </c>
      <c r="J3247" s="47" t="s">
        <v>3488</v>
      </c>
      <c r="K3247" s="203" t="s">
        <v>4341</v>
      </c>
      <c r="L3247" s="206"/>
      <c r="M3247" s="49" t="s">
        <v>4342</v>
      </c>
      <c r="N3247" s="73">
        <v>43615</v>
      </c>
      <c r="O3247" s="73" t="s">
        <v>503</v>
      </c>
      <c r="P3247" s="383">
        <v>6300</v>
      </c>
      <c r="Q3247" s="385">
        <v>3</v>
      </c>
      <c r="R3247" s="386">
        <f t="shared" si="105"/>
        <v>18900</v>
      </c>
      <c r="S3247" s="279">
        <v>202304</v>
      </c>
      <c r="T3247" s="184" t="s">
        <v>4357</v>
      </c>
      <c r="U3247" s="213"/>
      <c r="V3247" s="387"/>
      <c r="W3247" s="214"/>
      <c r="X3247" s="388">
        <v>43497</v>
      </c>
      <c r="Y3247" s="388">
        <v>45688</v>
      </c>
    </row>
    <row r="3248" s="5" customFormat="1" customHeight="1" spans="1:25">
      <c r="A3248" s="203" t="s">
        <v>446</v>
      </c>
      <c r="B3248" s="204" t="s">
        <v>4284</v>
      </c>
      <c r="C3248" s="204" t="s">
        <v>63</v>
      </c>
      <c r="D3248" s="204" t="s">
        <v>3038</v>
      </c>
      <c r="E3248" s="205" t="s">
        <v>4285</v>
      </c>
      <c r="F3248" s="203" t="s">
        <v>4286</v>
      </c>
      <c r="G3248" s="203" t="s">
        <v>88</v>
      </c>
      <c r="H3248" s="25" t="s">
        <v>4340</v>
      </c>
      <c r="I3248" s="46" t="e">
        <f>VLOOKUP(H3248,'合同高级查询数据-4月返'!A:A,1,FALSE)</f>
        <v>#N/A</v>
      </c>
      <c r="J3248" s="47" t="s">
        <v>3488</v>
      </c>
      <c r="K3248" s="203" t="s">
        <v>4341</v>
      </c>
      <c r="L3248" s="206"/>
      <c r="M3248" s="49" t="s">
        <v>4342</v>
      </c>
      <c r="N3248" s="73">
        <v>43619</v>
      </c>
      <c r="O3248" s="73" t="s">
        <v>503</v>
      </c>
      <c r="P3248" s="383">
        <v>6300</v>
      </c>
      <c r="Q3248" s="385">
        <v>6</v>
      </c>
      <c r="R3248" s="386">
        <f t="shared" si="105"/>
        <v>37800</v>
      </c>
      <c r="S3248" s="279">
        <v>202304</v>
      </c>
      <c r="T3248" s="184" t="s">
        <v>4358</v>
      </c>
      <c r="U3248" s="213"/>
      <c r="V3248" s="387"/>
      <c r="W3248" s="214"/>
      <c r="X3248" s="388">
        <v>43497</v>
      </c>
      <c r="Y3248" s="388">
        <v>45688</v>
      </c>
    </row>
    <row r="3249" s="5" customFormat="1" customHeight="1" spans="1:25">
      <c r="A3249" s="203" t="s">
        <v>446</v>
      </c>
      <c r="B3249" s="204" t="s">
        <v>4284</v>
      </c>
      <c r="C3249" s="204" t="s">
        <v>63</v>
      </c>
      <c r="D3249" s="204" t="s">
        <v>3038</v>
      </c>
      <c r="E3249" s="205" t="s">
        <v>4285</v>
      </c>
      <c r="F3249" s="203" t="s">
        <v>4286</v>
      </c>
      <c r="G3249" s="203" t="s">
        <v>88</v>
      </c>
      <c r="H3249" s="25" t="s">
        <v>4340</v>
      </c>
      <c r="I3249" s="46" t="e">
        <f>VLOOKUP(H3249,'合同高级查询数据-4月返'!A:A,1,FALSE)</f>
        <v>#N/A</v>
      </c>
      <c r="J3249" s="47" t="s">
        <v>3488</v>
      </c>
      <c r="K3249" s="203" t="s">
        <v>4341</v>
      </c>
      <c r="L3249" s="206"/>
      <c r="M3249" s="49" t="s">
        <v>4342</v>
      </c>
      <c r="N3249" s="73">
        <v>43636</v>
      </c>
      <c r="O3249" s="73" t="s">
        <v>503</v>
      </c>
      <c r="P3249" s="383">
        <v>6300</v>
      </c>
      <c r="Q3249" s="385">
        <v>9</v>
      </c>
      <c r="R3249" s="386">
        <f t="shared" si="105"/>
        <v>56700</v>
      </c>
      <c r="S3249" s="279">
        <v>202304</v>
      </c>
      <c r="T3249" s="184" t="s">
        <v>4359</v>
      </c>
      <c r="U3249" s="213"/>
      <c r="V3249" s="387"/>
      <c r="W3249" s="214"/>
      <c r="X3249" s="388">
        <v>43497</v>
      </c>
      <c r="Y3249" s="388">
        <v>45688</v>
      </c>
    </row>
    <row r="3250" s="5" customFormat="1" customHeight="1" spans="1:25">
      <c r="A3250" s="203" t="s">
        <v>446</v>
      </c>
      <c r="B3250" s="204" t="s">
        <v>4284</v>
      </c>
      <c r="C3250" s="204" t="s">
        <v>63</v>
      </c>
      <c r="D3250" s="204" t="s">
        <v>3038</v>
      </c>
      <c r="E3250" s="205" t="s">
        <v>4285</v>
      </c>
      <c r="F3250" s="203" t="s">
        <v>4286</v>
      </c>
      <c r="G3250" s="203" t="s">
        <v>88</v>
      </c>
      <c r="H3250" s="25" t="s">
        <v>4340</v>
      </c>
      <c r="I3250" s="46" t="e">
        <f>VLOOKUP(H3250,'合同高级查询数据-4月返'!A:A,1,FALSE)</f>
        <v>#N/A</v>
      </c>
      <c r="J3250" s="47" t="s">
        <v>3488</v>
      </c>
      <c r="K3250" s="203" t="s">
        <v>4341</v>
      </c>
      <c r="L3250" s="206"/>
      <c r="M3250" s="49" t="s">
        <v>4342</v>
      </c>
      <c r="N3250" s="73">
        <v>43642</v>
      </c>
      <c r="O3250" s="73" t="s">
        <v>503</v>
      </c>
      <c r="P3250" s="383">
        <v>6300</v>
      </c>
      <c r="Q3250" s="385">
        <v>2</v>
      </c>
      <c r="R3250" s="386">
        <f t="shared" si="105"/>
        <v>12600</v>
      </c>
      <c r="S3250" s="279">
        <v>202304</v>
      </c>
      <c r="T3250" s="184" t="s">
        <v>4360</v>
      </c>
      <c r="U3250" s="213"/>
      <c r="V3250" s="387"/>
      <c r="W3250" s="214"/>
      <c r="X3250" s="388">
        <v>43497</v>
      </c>
      <c r="Y3250" s="388">
        <v>45688</v>
      </c>
    </row>
    <row r="3251" s="5" customFormat="1" customHeight="1" spans="1:25">
      <c r="A3251" s="203" t="s">
        <v>446</v>
      </c>
      <c r="B3251" s="204" t="s">
        <v>4284</v>
      </c>
      <c r="C3251" s="204" t="s">
        <v>63</v>
      </c>
      <c r="D3251" s="204" t="s">
        <v>3038</v>
      </c>
      <c r="E3251" s="205" t="s">
        <v>4285</v>
      </c>
      <c r="F3251" s="203" t="s">
        <v>4286</v>
      </c>
      <c r="G3251" s="203" t="s">
        <v>88</v>
      </c>
      <c r="H3251" s="25" t="s">
        <v>4340</v>
      </c>
      <c r="I3251" s="46" t="e">
        <f>VLOOKUP(H3251,'合同高级查询数据-4月返'!A:A,1,FALSE)</f>
        <v>#N/A</v>
      </c>
      <c r="J3251" s="47" t="s">
        <v>3488</v>
      </c>
      <c r="K3251" s="203" t="s">
        <v>4341</v>
      </c>
      <c r="L3251" s="206"/>
      <c r="M3251" s="49" t="s">
        <v>4342</v>
      </c>
      <c r="N3251" s="73">
        <v>43648</v>
      </c>
      <c r="O3251" s="73" t="s">
        <v>503</v>
      </c>
      <c r="P3251" s="383">
        <v>6300</v>
      </c>
      <c r="Q3251" s="385">
        <v>11</v>
      </c>
      <c r="R3251" s="386">
        <f t="shared" si="105"/>
        <v>69300</v>
      </c>
      <c r="S3251" s="279">
        <v>202304</v>
      </c>
      <c r="T3251" s="184" t="s">
        <v>4361</v>
      </c>
      <c r="U3251" s="213"/>
      <c r="V3251" s="387"/>
      <c r="W3251" s="214"/>
      <c r="X3251" s="388">
        <v>43497</v>
      </c>
      <c r="Y3251" s="388">
        <v>45688</v>
      </c>
    </row>
    <row r="3252" s="5" customFormat="1" customHeight="1" spans="1:25">
      <c r="A3252" s="203" t="s">
        <v>446</v>
      </c>
      <c r="B3252" s="204" t="s">
        <v>4284</v>
      </c>
      <c r="C3252" s="204" t="s">
        <v>63</v>
      </c>
      <c r="D3252" s="204" t="s">
        <v>3038</v>
      </c>
      <c r="E3252" s="205" t="s">
        <v>4285</v>
      </c>
      <c r="F3252" s="203" t="s">
        <v>4286</v>
      </c>
      <c r="G3252" s="203" t="s">
        <v>88</v>
      </c>
      <c r="H3252" s="25" t="s">
        <v>4340</v>
      </c>
      <c r="I3252" s="46" t="e">
        <f>VLOOKUP(H3252,'合同高级查询数据-4月返'!A:A,1,FALSE)</f>
        <v>#N/A</v>
      </c>
      <c r="J3252" s="47" t="s">
        <v>3488</v>
      </c>
      <c r="K3252" s="203" t="s">
        <v>4341</v>
      </c>
      <c r="L3252" s="206"/>
      <c r="M3252" s="49" t="s">
        <v>4342</v>
      </c>
      <c r="N3252" s="73">
        <v>43654</v>
      </c>
      <c r="O3252" s="73" t="s">
        <v>503</v>
      </c>
      <c r="P3252" s="383">
        <v>6300</v>
      </c>
      <c r="Q3252" s="385">
        <v>2</v>
      </c>
      <c r="R3252" s="386">
        <f t="shared" si="105"/>
        <v>12600</v>
      </c>
      <c r="S3252" s="279">
        <v>202304</v>
      </c>
      <c r="T3252" s="184" t="s">
        <v>4362</v>
      </c>
      <c r="U3252" s="213"/>
      <c r="V3252" s="387"/>
      <c r="W3252" s="214"/>
      <c r="X3252" s="388">
        <v>43497</v>
      </c>
      <c r="Y3252" s="388">
        <v>45688</v>
      </c>
    </row>
    <row r="3253" s="5" customFormat="1" customHeight="1" spans="1:25">
      <c r="A3253" s="203" t="s">
        <v>446</v>
      </c>
      <c r="B3253" s="204" t="s">
        <v>4284</v>
      </c>
      <c r="C3253" s="204" t="s">
        <v>63</v>
      </c>
      <c r="D3253" s="204" t="s">
        <v>3038</v>
      </c>
      <c r="E3253" s="205" t="s">
        <v>4285</v>
      </c>
      <c r="F3253" s="203" t="s">
        <v>4286</v>
      </c>
      <c r="G3253" s="203" t="s">
        <v>88</v>
      </c>
      <c r="H3253" s="25" t="s">
        <v>4340</v>
      </c>
      <c r="I3253" s="46" t="e">
        <f>VLOOKUP(H3253,'合同高级查询数据-4月返'!A:A,1,FALSE)</f>
        <v>#N/A</v>
      </c>
      <c r="J3253" s="47" t="s">
        <v>3488</v>
      </c>
      <c r="K3253" s="203" t="s">
        <v>4341</v>
      </c>
      <c r="L3253" s="206"/>
      <c r="M3253" s="49" t="s">
        <v>4342</v>
      </c>
      <c r="N3253" s="73">
        <v>43656</v>
      </c>
      <c r="O3253" s="73" t="s">
        <v>503</v>
      </c>
      <c r="P3253" s="383">
        <v>6300</v>
      </c>
      <c r="Q3253" s="385">
        <v>5</v>
      </c>
      <c r="R3253" s="386">
        <f t="shared" si="105"/>
        <v>31500</v>
      </c>
      <c r="S3253" s="279">
        <v>202304</v>
      </c>
      <c r="T3253" s="184" t="s">
        <v>4363</v>
      </c>
      <c r="U3253" s="213"/>
      <c r="V3253" s="387"/>
      <c r="W3253" s="214"/>
      <c r="X3253" s="388">
        <v>43497</v>
      </c>
      <c r="Y3253" s="388">
        <v>45688</v>
      </c>
    </row>
    <row r="3254" s="5" customFormat="1" customHeight="1" spans="1:25">
      <c r="A3254" s="203" t="s">
        <v>446</v>
      </c>
      <c r="B3254" s="204" t="s">
        <v>4284</v>
      </c>
      <c r="C3254" s="204" t="s">
        <v>63</v>
      </c>
      <c r="D3254" s="204" t="s">
        <v>3038</v>
      </c>
      <c r="E3254" s="205" t="s">
        <v>4285</v>
      </c>
      <c r="F3254" s="203" t="s">
        <v>4286</v>
      </c>
      <c r="G3254" s="203" t="s">
        <v>88</v>
      </c>
      <c r="H3254" s="25" t="s">
        <v>4340</v>
      </c>
      <c r="I3254" s="46" t="e">
        <f>VLOOKUP(H3254,'合同高级查询数据-4月返'!A:A,1,FALSE)</f>
        <v>#N/A</v>
      </c>
      <c r="J3254" s="47" t="s">
        <v>3488</v>
      </c>
      <c r="K3254" s="203" t="s">
        <v>4341</v>
      </c>
      <c r="L3254" s="206"/>
      <c r="M3254" s="49" t="s">
        <v>4342</v>
      </c>
      <c r="N3254" s="73">
        <v>43662</v>
      </c>
      <c r="O3254" s="73" t="s">
        <v>503</v>
      </c>
      <c r="P3254" s="383">
        <v>6300</v>
      </c>
      <c r="Q3254" s="385">
        <v>3</v>
      </c>
      <c r="R3254" s="386">
        <f t="shared" si="105"/>
        <v>18900</v>
      </c>
      <c r="S3254" s="279">
        <v>202304</v>
      </c>
      <c r="T3254" s="184" t="s">
        <v>4364</v>
      </c>
      <c r="U3254" s="213"/>
      <c r="V3254" s="387"/>
      <c r="W3254" s="214"/>
      <c r="X3254" s="388">
        <v>43497</v>
      </c>
      <c r="Y3254" s="388">
        <v>45688</v>
      </c>
    </row>
    <row r="3255" s="5" customFormat="1" customHeight="1" spans="1:25">
      <c r="A3255" s="203" t="s">
        <v>446</v>
      </c>
      <c r="B3255" s="204" t="s">
        <v>4284</v>
      </c>
      <c r="C3255" s="204" t="s">
        <v>63</v>
      </c>
      <c r="D3255" s="204" t="s">
        <v>3038</v>
      </c>
      <c r="E3255" s="205" t="s">
        <v>4285</v>
      </c>
      <c r="F3255" s="203" t="s">
        <v>4286</v>
      </c>
      <c r="G3255" s="203" t="s">
        <v>88</v>
      </c>
      <c r="H3255" s="25" t="s">
        <v>4340</v>
      </c>
      <c r="I3255" s="46" t="e">
        <f>VLOOKUP(H3255,'合同高级查询数据-4月返'!A:A,1,FALSE)</f>
        <v>#N/A</v>
      </c>
      <c r="J3255" s="47" t="s">
        <v>3488</v>
      </c>
      <c r="K3255" s="203" t="s">
        <v>4341</v>
      </c>
      <c r="L3255" s="206"/>
      <c r="M3255" s="49" t="s">
        <v>4342</v>
      </c>
      <c r="N3255" s="73">
        <v>43664</v>
      </c>
      <c r="O3255" s="73" t="s">
        <v>503</v>
      </c>
      <c r="P3255" s="383">
        <v>6300</v>
      </c>
      <c r="Q3255" s="385">
        <v>10</v>
      </c>
      <c r="R3255" s="386">
        <f t="shared" si="105"/>
        <v>63000</v>
      </c>
      <c r="S3255" s="279">
        <v>202304</v>
      </c>
      <c r="T3255" s="184" t="s">
        <v>4365</v>
      </c>
      <c r="U3255" s="213"/>
      <c r="V3255" s="387"/>
      <c r="W3255" s="214"/>
      <c r="X3255" s="388">
        <v>43497</v>
      </c>
      <c r="Y3255" s="388">
        <v>45688</v>
      </c>
    </row>
    <row r="3256" s="5" customFormat="1" customHeight="1" spans="1:25">
      <c r="A3256" s="203" t="s">
        <v>446</v>
      </c>
      <c r="B3256" s="204" t="s">
        <v>4284</v>
      </c>
      <c r="C3256" s="204" t="s">
        <v>63</v>
      </c>
      <c r="D3256" s="204" t="s">
        <v>3038</v>
      </c>
      <c r="E3256" s="205" t="s">
        <v>4285</v>
      </c>
      <c r="F3256" s="203" t="s">
        <v>4286</v>
      </c>
      <c r="G3256" s="203" t="s">
        <v>88</v>
      </c>
      <c r="H3256" s="25" t="s">
        <v>4340</v>
      </c>
      <c r="I3256" s="46" t="e">
        <f>VLOOKUP(H3256,'合同高级查询数据-4月返'!A:A,1,FALSE)</f>
        <v>#N/A</v>
      </c>
      <c r="J3256" s="47" t="s">
        <v>3488</v>
      </c>
      <c r="K3256" s="203" t="s">
        <v>4341</v>
      </c>
      <c r="L3256" s="206"/>
      <c r="M3256" s="49" t="s">
        <v>4342</v>
      </c>
      <c r="N3256" s="73">
        <v>43670</v>
      </c>
      <c r="O3256" s="73" t="s">
        <v>503</v>
      </c>
      <c r="P3256" s="383">
        <v>6300</v>
      </c>
      <c r="Q3256" s="385">
        <v>2</v>
      </c>
      <c r="R3256" s="386">
        <f t="shared" si="105"/>
        <v>12600</v>
      </c>
      <c r="S3256" s="279">
        <v>202304</v>
      </c>
      <c r="T3256" s="184" t="s">
        <v>4366</v>
      </c>
      <c r="U3256" s="213"/>
      <c r="V3256" s="387"/>
      <c r="W3256" s="214"/>
      <c r="X3256" s="388">
        <v>43497</v>
      </c>
      <c r="Y3256" s="388">
        <v>45688</v>
      </c>
    </row>
    <row r="3257" s="5" customFormat="1" customHeight="1" spans="1:25">
      <c r="A3257" s="203" t="s">
        <v>446</v>
      </c>
      <c r="B3257" s="204" t="s">
        <v>4284</v>
      </c>
      <c r="C3257" s="204" t="s">
        <v>63</v>
      </c>
      <c r="D3257" s="204" t="s">
        <v>3038</v>
      </c>
      <c r="E3257" s="205" t="s">
        <v>4285</v>
      </c>
      <c r="F3257" s="203" t="s">
        <v>4286</v>
      </c>
      <c r="G3257" s="203" t="s">
        <v>88</v>
      </c>
      <c r="H3257" s="25" t="s">
        <v>4340</v>
      </c>
      <c r="I3257" s="46" t="e">
        <f>VLOOKUP(H3257,'合同高级查询数据-4月返'!A:A,1,FALSE)</f>
        <v>#N/A</v>
      </c>
      <c r="J3257" s="47" t="s">
        <v>3488</v>
      </c>
      <c r="K3257" s="203" t="s">
        <v>4341</v>
      </c>
      <c r="L3257" s="206"/>
      <c r="M3257" s="49" t="s">
        <v>4342</v>
      </c>
      <c r="N3257" s="73">
        <v>43679</v>
      </c>
      <c r="O3257" s="73" t="s">
        <v>503</v>
      </c>
      <c r="P3257" s="383">
        <v>6300</v>
      </c>
      <c r="Q3257" s="385">
        <v>6</v>
      </c>
      <c r="R3257" s="386">
        <f t="shared" si="105"/>
        <v>37800</v>
      </c>
      <c r="S3257" s="279">
        <v>202304</v>
      </c>
      <c r="T3257" s="184" t="s">
        <v>2107</v>
      </c>
      <c r="U3257" s="213"/>
      <c r="V3257" s="387"/>
      <c r="W3257" s="214"/>
      <c r="X3257" s="388">
        <v>43497</v>
      </c>
      <c r="Y3257" s="388">
        <v>45688</v>
      </c>
    </row>
    <row r="3258" s="5" customFormat="1" customHeight="1" spans="1:25">
      <c r="A3258" s="203" t="s">
        <v>446</v>
      </c>
      <c r="B3258" s="204" t="s">
        <v>4284</v>
      </c>
      <c r="C3258" s="204" t="s">
        <v>63</v>
      </c>
      <c r="D3258" s="204" t="s">
        <v>3038</v>
      </c>
      <c r="E3258" s="205" t="s">
        <v>4285</v>
      </c>
      <c r="F3258" s="203" t="s">
        <v>4286</v>
      </c>
      <c r="G3258" s="203" t="s">
        <v>88</v>
      </c>
      <c r="H3258" s="25" t="s">
        <v>4340</v>
      </c>
      <c r="I3258" s="46" t="e">
        <f>VLOOKUP(H3258,'合同高级查询数据-4月返'!A:A,1,FALSE)</f>
        <v>#N/A</v>
      </c>
      <c r="J3258" s="47" t="s">
        <v>3488</v>
      </c>
      <c r="K3258" s="203" t="s">
        <v>4341</v>
      </c>
      <c r="L3258" s="206"/>
      <c r="M3258" s="49" t="s">
        <v>4342</v>
      </c>
      <c r="N3258" s="73">
        <v>43697</v>
      </c>
      <c r="O3258" s="73" t="s">
        <v>503</v>
      </c>
      <c r="P3258" s="383">
        <v>6300</v>
      </c>
      <c r="Q3258" s="385">
        <v>6</v>
      </c>
      <c r="R3258" s="386">
        <f t="shared" si="105"/>
        <v>37800</v>
      </c>
      <c r="S3258" s="279">
        <v>202304</v>
      </c>
      <c r="T3258" s="184" t="s">
        <v>2107</v>
      </c>
      <c r="U3258" s="213"/>
      <c r="V3258" s="387"/>
      <c r="W3258" s="214"/>
      <c r="X3258" s="388">
        <v>43497</v>
      </c>
      <c r="Y3258" s="388">
        <v>45688</v>
      </c>
    </row>
    <row r="3259" s="5" customFormat="1" customHeight="1" spans="1:25">
      <c r="A3259" s="203" t="s">
        <v>446</v>
      </c>
      <c r="B3259" s="204" t="s">
        <v>4284</v>
      </c>
      <c r="C3259" s="204" t="s">
        <v>63</v>
      </c>
      <c r="D3259" s="204" t="s">
        <v>3038</v>
      </c>
      <c r="E3259" s="205" t="s">
        <v>4285</v>
      </c>
      <c r="F3259" s="203" t="s">
        <v>4286</v>
      </c>
      <c r="G3259" s="203" t="s">
        <v>88</v>
      </c>
      <c r="H3259" s="25" t="s">
        <v>4340</v>
      </c>
      <c r="I3259" s="46" t="e">
        <f>VLOOKUP(H3259,'合同高级查询数据-4月返'!A:A,1,FALSE)</f>
        <v>#N/A</v>
      </c>
      <c r="J3259" s="47" t="s">
        <v>3488</v>
      </c>
      <c r="K3259" s="203" t="s">
        <v>4341</v>
      </c>
      <c r="L3259" s="206"/>
      <c r="M3259" s="49" t="s">
        <v>4342</v>
      </c>
      <c r="N3259" s="73">
        <v>43698</v>
      </c>
      <c r="O3259" s="73" t="s">
        <v>503</v>
      </c>
      <c r="P3259" s="383">
        <v>6300</v>
      </c>
      <c r="Q3259" s="385">
        <v>4</v>
      </c>
      <c r="R3259" s="386">
        <f t="shared" si="105"/>
        <v>25200</v>
      </c>
      <c r="S3259" s="279">
        <v>202304</v>
      </c>
      <c r="T3259" s="184" t="s">
        <v>2107</v>
      </c>
      <c r="U3259" s="213"/>
      <c r="V3259" s="387"/>
      <c r="W3259" s="214"/>
      <c r="X3259" s="388">
        <v>43497</v>
      </c>
      <c r="Y3259" s="388">
        <v>45688</v>
      </c>
    </row>
    <row r="3260" s="5" customFormat="1" customHeight="1" spans="1:25">
      <c r="A3260" s="203" t="s">
        <v>446</v>
      </c>
      <c r="B3260" s="204" t="s">
        <v>4284</v>
      </c>
      <c r="C3260" s="204" t="s">
        <v>63</v>
      </c>
      <c r="D3260" s="204" t="s">
        <v>3038</v>
      </c>
      <c r="E3260" s="205" t="s">
        <v>4285</v>
      </c>
      <c r="F3260" s="203" t="s">
        <v>4286</v>
      </c>
      <c r="G3260" s="203" t="s">
        <v>88</v>
      </c>
      <c r="H3260" s="25" t="s">
        <v>4340</v>
      </c>
      <c r="I3260" s="46" t="e">
        <f>VLOOKUP(H3260,'合同高级查询数据-4月返'!A:A,1,FALSE)</f>
        <v>#N/A</v>
      </c>
      <c r="J3260" s="47" t="s">
        <v>3488</v>
      </c>
      <c r="K3260" s="203" t="s">
        <v>4341</v>
      </c>
      <c r="L3260" s="206"/>
      <c r="M3260" s="49" t="s">
        <v>4342</v>
      </c>
      <c r="N3260" s="73">
        <v>43698</v>
      </c>
      <c r="O3260" s="73" t="s">
        <v>503</v>
      </c>
      <c r="P3260" s="383">
        <v>6300</v>
      </c>
      <c r="Q3260" s="385">
        <v>1</v>
      </c>
      <c r="R3260" s="386">
        <f t="shared" si="105"/>
        <v>6300</v>
      </c>
      <c r="S3260" s="279">
        <v>202304</v>
      </c>
      <c r="T3260" s="184" t="s">
        <v>4367</v>
      </c>
      <c r="U3260" s="213"/>
      <c r="V3260" s="387"/>
      <c r="W3260" s="214"/>
      <c r="X3260" s="388">
        <v>43497</v>
      </c>
      <c r="Y3260" s="388">
        <v>45688</v>
      </c>
    </row>
    <row r="3261" s="5" customFormat="1" customHeight="1" spans="1:25">
      <c r="A3261" s="203" t="s">
        <v>446</v>
      </c>
      <c r="B3261" s="204" t="s">
        <v>4284</v>
      </c>
      <c r="C3261" s="204" t="s">
        <v>63</v>
      </c>
      <c r="D3261" s="204" t="s">
        <v>3038</v>
      </c>
      <c r="E3261" s="205" t="s">
        <v>4285</v>
      </c>
      <c r="F3261" s="203" t="s">
        <v>4286</v>
      </c>
      <c r="G3261" s="203" t="s">
        <v>88</v>
      </c>
      <c r="H3261" s="25" t="s">
        <v>4340</v>
      </c>
      <c r="I3261" s="46" t="e">
        <f>VLOOKUP(H3261,'合同高级查询数据-4月返'!A:A,1,FALSE)</f>
        <v>#N/A</v>
      </c>
      <c r="J3261" s="47" t="s">
        <v>3488</v>
      </c>
      <c r="K3261" s="203" t="s">
        <v>4341</v>
      </c>
      <c r="L3261" s="206"/>
      <c r="M3261" s="49" t="s">
        <v>4342</v>
      </c>
      <c r="N3261" s="73">
        <v>43698</v>
      </c>
      <c r="O3261" s="73" t="s">
        <v>503</v>
      </c>
      <c r="P3261" s="383">
        <v>6300</v>
      </c>
      <c r="Q3261" s="385">
        <v>-9</v>
      </c>
      <c r="R3261" s="386">
        <f t="shared" si="105"/>
        <v>-56700</v>
      </c>
      <c r="S3261" s="279">
        <v>202304</v>
      </c>
      <c r="T3261" s="184" t="s">
        <v>4368</v>
      </c>
      <c r="U3261" s="213"/>
      <c r="V3261" s="387"/>
      <c r="W3261" s="214"/>
      <c r="X3261" s="388">
        <v>43497</v>
      </c>
      <c r="Y3261" s="388">
        <v>45688</v>
      </c>
    </row>
    <row r="3262" s="5" customFormat="1" customHeight="1" spans="1:25">
      <c r="A3262" s="203" t="s">
        <v>446</v>
      </c>
      <c r="B3262" s="204" t="s">
        <v>4284</v>
      </c>
      <c r="C3262" s="204" t="s">
        <v>63</v>
      </c>
      <c r="D3262" s="204" t="s">
        <v>3038</v>
      </c>
      <c r="E3262" s="205" t="s">
        <v>4285</v>
      </c>
      <c r="F3262" s="203" t="s">
        <v>4286</v>
      </c>
      <c r="G3262" s="203" t="s">
        <v>88</v>
      </c>
      <c r="H3262" s="25" t="s">
        <v>4340</v>
      </c>
      <c r="I3262" s="46" t="e">
        <f>VLOOKUP(H3262,'合同高级查询数据-4月返'!A:A,1,FALSE)</f>
        <v>#N/A</v>
      </c>
      <c r="J3262" s="47" t="s">
        <v>3488</v>
      </c>
      <c r="K3262" s="203" t="s">
        <v>4341</v>
      </c>
      <c r="L3262" s="206"/>
      <c r="M3262" s="49" t="s">
        <v>4369</v>
      </c>
      <c r="N3262" s="73">
        <v>43703</v>
      </c>
      <c r="O3262" s="73" t="s">
        <v>503</v>
      </c>
      <c r="P3262" s="383">
        <v>6300</v>
      </c>
      <c r="Q3262" s="385">
        <v>15</v>
      </c>
      <c r="R3262" s="386">
        <f t="shared" si="105"/>
        <v>94500</v>
      </c>
      <c r="S3262" s="279">
        <v>202304</v>
      </c>
      <c r="T3262" s="184" t="s">
        <v>4370</v>
      </c>
      <c r="U3262" s="213"/>
      <c r="V3262" s="387"/>
      <c r="W3262" s="214"/>
      <c r="X3262" s="388">
        <v>43497</v>
      </c>
      <c r="Y3262" s="388">
        <v>45688</v>
      </c>
    </row>
    <row r="3263" s="5" customFormat="1" customHeight="1" spans="1:25">
      <c r="A3263" s="203" t="s">
        <v>446</v>
      </c>
      <c r="B3263" s="204" t="s">
        <v>4284</v>
      </c>
      <c r="C3263" s="204" t="s">
        <v>63</v>
      </c>
      <c r="D3263" s="204" t="s">
        <v>3038</v>
      </c>
      <c r="E3263" s="205" t="s">
        <v>4285</v>
      </c>
      <c r="F3263" s="203" t="s">
        <v>4286</v>
      </c>
      <c r="G3263" s="203" t="s">
        <v>88</v>
      </c>
      <c r="H3263" s="25" t="s">
        <v>4340</v>
      </c>
      <c r="I3263" s="46" t="e">
        <f>VLOOKUP(H3263,'合同高级查询数据-4月返'!A:A,1,FALSE)</f>
        <v>#N/A</v>
      </c>
      <c r="J3263" s="47" t="s">
        <v>3488</v>
      </c>
      <c r="K3263" s="203" t="s">
        <v>4341</v>
      </c>
      <c r="L3263" s="206"/>
      <c r="M3263" s="49" t="s">
        <v>4342</v>
      </c>
      <c r="N3263" s="73">
        <v>43718</v>
      </c>
      <c r="O3263" s="73" t="s">
        <v>503</v>
      </c>
      <c r="P3263" s="383">
        <v>6300</v>
      </c>
      <c r="Q3263" s="385">
        <v>3</v>
      </c>
      <c r="R3263" s="386">
        <f t="shared" si="105"/>
        <v>18900</v>
      </c>
      <c r="S3263" s="279">
        <v>202304</v>
      </c>
      <c r="T3263" s="184" t="s">
        <v>3118</v>
      </c>
      <c r="U3263" s="213"/>
      <c r="V3263" s="387"/>
      <c r="W3263" s="214"/>
      <c r="X3263" s="388">
        <v>43497</v>
      </c>
      <c r="Y3263" s="388">
        <v>45688</v>
      </c>
    </row>
    <row r="3264" s="5" customFormat="1" customHeight="1" spans="1:25">
      <c r="A3264" s="203" t="s">
        <v>446</v>
      </c>
      <c r="B3264" s="204" t="s">
        <v>4284</v>
      </c>
      <c r="C3264" s="204" t="s">
        <v>63</v>
      </c>
      <c r="D3264" s="204" t="s">
        <v>3038</v>
      </c>
      <c r="E3264" s="205" t="s">
        <v>4285</v>
      </c>
      <c r="F3264" s="203" t="s">
        <v>4286</v>
      </c>
      <c r="G3264" s="203" t="s">
        <v>88</v>
      </c>
      <c r="H3264" s="25" t="s">
        <v>4340</v>
      </c>
      <c r="I3264" s="46" t="e">
        <f>VLOOKUP(H3264,'合同高级查询数据-4月返'!A:A,1,FALSE)</f>
        <v>#N/A</v>
      </c>
      <c r="J3264" s="47" t="s">
        <v>3488</v>
      </c>
      <c r="K3264" s="203" t="s">
        <v>4341</v>
      </c>
      <c r="L3264" s="206"/>
      <c r="M3264" s="49" t="s">
        <v>4342</v>
      </c>
      <c r="N3264" s="73">
        <v>43731</v>
      </c>
      <c r="O3264" s="73" t="s">
        <v>503</v>
      </c>
      <c r="P3264" s="383">
        <v>6300</v>
      </c>
      <c r="Q3264" s="385">
        <v>12</v>
      </c>
      <c r="R3264" s="386">
        <f t="shared" si="105"/>
        <v>75600</v>
      </c>
      <c r="S3264" s="279">
        <v>202304</v>
      </c>
      <c r="T3264" s="184" t="s">
        <v>3118</v>
      </c>
      <c r="U3264" s="213"/>
      <c r="V3264" s="387"/>
      <c r="W3264" s="214"/>
      <c r="X3264" s="388">
        <v>43497</v>
      </c>
      <c r="Y3264" s="388">
        <v>45688</v>
      </c>
    </row>
    <row r="3265" s="5" customFormat="1" customHeight="1" spans="1:25">
      <c r="A3265" s="203" t="s">
        <v>446</v>
      </c>
      <c r="B3265" s="204" t="s">
        <v>4284</v>
      </c>
      <c r="C3265" s="204" t="s">
        <v>63</v>
      </c>
      <c r="D3265" s="204" t="s">
        <v>3038</v>
      </c>
      <c r="E3265" s="205" t="s">
        <v>4285</v>
      </c>
      <c r="F3265" s="203" t="s">
        <v>4286</v>
      </c>
      <c r="G3265" s="203" t="s">
        <v>88</v>
      </c>
      <c r="H3265" s="25" t="s">
        <v>4340</v>
      </c>
      <c r="I3265" s="46" t="e">
        <f>VLOOKUP(H3265,'合同高级查询数据-4月返'!A:A,1,FALSE)</f>
        <v>#N/A</v>
      </c>
      <c r="J3265" s="47" t="s">
        <v>3488</v>
      </c>
      <c r="K3265" s="203" t="s">
        <v>4341</v>
      </c>
      <c r="L3265" s="206"/>
      <c r="M3265" s="49" t="s">
        <v>4342</v>
      </c>
      <c r="N3265" s="73">
        <v>43541</v>
      </c>
      <c r="O3265" s="73" t="s">
        <v>503</v>
      </c>
      <c r="P3265" s="383">
        <v>6300</v>
      </c>
      <c r="Q3265" s="385">
        <v>1</v>
      </c>
      <c r="R3265" s="386">
        <f t="shared" si="105"/>
        <v>6300</v>
      </c>
      <c r="S3265" s="279">
        <v>202304</v>
      </c>
      <c r="T3265" s="184" t="s">
        <v>4371</v>
      </c>
      <c r="U3265" s="213"/>
      <c r="V3265" s="387"/>
      <c r="W3265" s="214"/>
      <c r="X3265" s="388">
        <v>43497</v>
      </c>
      <c r="Y3265" s="388">
        <v>45688</v>
      </c>
    </row>
    <row r="3266" s="5" customFormat="1" customHeight="1" spans="1:25">
      <c r="A3266" s="203" t="s">
        <v>446</v>
      </c>
      <c r="B3266" s="204" t="s">
        <v>4284</v>
      </c>
      <c r="C3266" s="204" t="s">
        <v>63</v>
      </c>
      <c r="D3266" s="204" t="s">
        <v>3038</v>
      </c>
      <c r="E3266" s="205" t="s">
        <v>4285</v>
      </c>
      <c r="F3266" s="203" t="s">
        <v>4286</v>
      </c>
      <c r="G3266" s="203" t="s">
        <v>88</v>
      </c>
      <c r="H3266" s="25" t="s">
        <v>4340</v>
      </c>
      <c r="I3266" s="46" t="e">
        <f>VLOOKUP(H3266,'合同高级查询数据-4月返'!A:A,1,FALSE)</f>
        <v>#N/A</v>
      </c>
      <c r="J3266" s="47" t="s">
        <v>3488</v>
      </c>
      <c r="K3266" s="203" t="s">
        <v>4341</v>
      </c>
      <c r="L3266" s="206"/>
      <c r="M3266" s="49" t="s">
        <v>4342</v>
      </c>
      <c r="N3266" s="73">
        <v>43735</v>
      </c>
      <c r="O3266" s="73" t="s">
        <v>503</v>
      </c>
      <c r="P3266" s="383">
        <v>6300</v>
      </c>
      <c r="Q3266" s="385">
        <v>3</v>
      </c>
      <c r="R3266" s="386">
        <f t="shared" si="105"/>
        <v>18900</v>
      </c>
      <c r="S3266" s="279">
        <v>202304</v>
      </c>
      <c r="T3266" s="184" t="s">
        <v>4372</v>
      </c>
      <c r="U3266" s="213"/>
      <c r="V3266" s="387"/>
      <c r="W3266" s="214"/>
      <c r="X3266" s="388">
        <v>43497</v>
      </c>
      <c r="Y3266" s="388">
        <v>45688</v>
      </c>
    </row>
    <row r="3267" s="5" customFormat="1" customHeight="1" spans="1:25">
      <c r="A3267" s="203" t="s">
        <v>446</v>
      </c>
      <c r="B3267" s="204" t="s">
        <v>4284</v>
      </c>
      <c r="C3267" s="204" t="s">
        <v>63</v>
      </c>
      <c r="D3267" s="204" t="s">
        <v>3038</v>
      </c>
      <c r="E3267" s="205" t="s">
        <v>4285</v>
      </c>
      <c r="F3267" s="203" t="s">
        <v>4286</v>
      </c>
      <c r="G3267" s="203" t="s">
        <v>88</v>
      </c>
      <c r="H3267" s="25" t="s">
        <v>4340</v>
      </c>
      <c r="I3267" s="46" t="e">
        <f>VLOOKUP(H3267,'合同高级查询数据-4月返'!A:A,1,FALSE)</f>
        <v>#N/A</v>
      </c>
      <c r="J3267" s="47" t="s">
        <v>3488</v>
      </c>
      <c r="K3267" s="203" t="s">
        <v>4341</v>
      </c>
      <c r="L3267" s="206"/>
      <c r="M3267" s="49" t="s">
        <v>4342</v>
      </c>
      <c r="N3267" s="73">
        <v>43755</v>
      </c>
      <c r="O3267" s="73" t="s">
        <v>503</v>
      </c>
      <c r="P3267" s="383">
        <v>6300</v>
      </c>
      <c r="Q3267" s="385">
        <v>5</v>
      </c>
      <c r="R3267" s="386">
        <f t="shared" si="105"/>
        <v>31500</v>
      </c>
      <c r="S3267" s="279">
        <v>202304</v>
      </c>
      <c r="T3267" s="184" t="s">
        <v>4373</v>
      </c>
      <c r="U3267" s="213"/>
      <c r="V3267" s="387"/>
      <c r="W3267" s="214"/>
      <c r="X3267" s="388">
        <v>43497</v>
      </c>
      <c r="Y3267" s="388">
        <v>45688</v>
      </c>
    </row>
    <row r="3268" s="5" customFormat="1" customHeight="1" spans="1:25">
      <c r="A3268" s="203" t="s">
        <v>446</v>
      </c>
      <c r="B3268" s="204" t="s">
        <v>4284</v>
      </c>
      <c r="C3268" s="204" t="s">
        <v>63</v>
      </c>
      <c r="D3268" s="204" t="s">
        <v>3038</v>
      </c>
      <c r="E3268" s="205" t="s">
        <v>4285</v>
      </c>
      <c r="F3268" s="203" t="s">
        <v>4286</v>
      </c>
      <c r="G3268" s="203" t="s">
        <v>88</v>
      </c>
      <c r="H3268" s="25" t="s">
        <v>4340</v>
      </c>
      <c r="I3268" s="46" t="e">
        <f>VLOOKUP(H3268,'合同高级查询数据-4月返'!A:A,1,FALSE)</f>
        <v>#N/A</v>
      </c>
      <c r="J3268" s="47" t="s">
        <v>3488</v>
      </c>
      <c r="K3268" s="203" t="s">
        <v>4341</v>
      </c>
      <c r="L3268" s="206"/>
      <c r="M3268" s="49" t="s">
        <v>4342</v>
      </c>
      <c r="N3268" s="73">
        <v>43757</v>
      </c>
      <c r="O3268" s="73" t="s">
        <v>503</v>
      </c>
      <c r="P3268" s="383">
        <v>6300</v>
      </c>
      <c r="Q3268" s="385">
        <v>12</v>
      </c>
      <c r="R3268" s="386">
        <f t="shared" si="105"/>
        <v>75600</v>
      </c>
      <c r="S3268" s="279">
        <v>202304</v>
      </c>
      <c r="T3268" s="184" t="s">
        <v>4373</v>
      </c>
      <c r="U3268" s="213"/>
      <c r="V3268" s="387"/>
      <c r="W3268" s="214"/>
      <c r="X3268" s="388">
        <v>43497</v>
      </c>
      <c r="Y3268" s="388">
        <v>45688</v>
      </c>
    </row>
    <row r="3269" s="5" customFormat="1" customHeight="1" spans="1:25">
      <c r="A3269" s="203" t="s">
        <v>446</v>
      </c>
      <c r="B3269" s="204" t="s">
        <v>4284</v>
      </c>
      <c r="C3269" s="204" t="s">
        <v>63</v>
      </c>
      <c r="D3269" s="204" t="s">
        <v>3038</v>
      </c>
      <c r="E3269" s="205" t="s">
        <v>4285</v>
      </c>
      <c r="F3269" s="203" t="s">
        <v>4286</v>
      </c>
      <c r="G3269" s="203" t="s">
        <v>88</v>
      </c>
      <c r="H3269" s="25" t="s">
        <v>4340</v>
      </c>
      <c r="I3269" s="46" t="e">
        <f>VLOOKUP(H3269,'合同高级查询数据-4月返'!A:A,1,FALSE)</f>
        <v>#N/A</v>
      </c>
      <c r="J3269" s="47" t="s">
        <v>3488</v>
      </c>
      <c r="K3269" s="203" t="s">
        <v>4341</v>
      </c>
      <c r="L3269" s="206"/>
      <c r="M3269" s="49" t="s">
        <v>4342</v>
      </c>
      <c r="N3269" s="73">
        <v>43774</v>
      </c>
      <c r="O3269" s="73" t="s">
        <v>503</v>
      </c>
      <c r="P3269" s="383">
        <v>6300</v>
      </c>
      <c r="Q3269" s="385">
        <v>6</v>
      </c>
      <c r="R3269" s="386">
        <f t="shared" si="105"/>
        <v>37800</v>
      </c>
      <c r="S3269" s="279">
        <v>202304</v>
      </c>
      <c r="T3269" s="184" t="s">
        <v>4374</v>
      </c>
      <c r="U3269" s="213"/>
      <c r="V3269" s="387"/>
      <c r="W3269" s="214"/>
      <c r="X3269" s="388">
        <v>43497</v>
      </c>
      <c r="Y3269" s="388">
        <v>45688</v>
      </c>
    </row>
    <row r="3270" s="5" customFormat="1" customHeight="1" spans="1:25">
      <c r="A3270" s="203" t="s">
        <v>446</v>
      </c>
      <c r="B3270" s="204" t="s">
        <v>4284</v>
      </c>
      <c r="C3270" s="204" t="s">
        <v>63</v>
      </c>
      <c r="D3270" s="204" t="s">
        <v>3038</v>
      </c>
      <c r="E3270" s="205" t="s">
        <v>4285</v>
      </c>
      <c r="F3270" s="203" t="s">
        <v>4286</v>
      </c>
      <c r="G3270" s="203" t="s">
        <v>88</v>
      </c>
      <c r="H3270" s="25" t="s">
        <v>4340</v>
      </c>
      <c r="I3270" s="46" t="e">
        <f>VLOOKUP(H3270,'合同高级查询数据-4月返'!A:A,1,FALSE)</f>
        <v>#N/A</v>
      </c>
      <c r="J3270" s="47" t="s">
        <v>3488</v>
      </c>
      <c r="K3270" s="203" t="s">
        <v>4341</v>
      </c>
      <c r="L3270" s="206"/>
      <c r="M3270" s="49" t="s">
        <v>4342</v>
      </c>
      <c r="N3270" s="73">
        <v>43780</v>
      </c>
      <c r="O3270" s="73" t="s">
        <v>503</v>
      </c>
      <c r="P3270" s="383">
        <v>6300</v>
      </c>
      <c r="Q3270" s="385">
        <v>15</v>
      </c>
      <c r="R3270" s="386">
        <f t="shared" si="105"/>
        <v>94500</v>
      </c>
      <c r="S3270" s="279">
        <v>202304</v>
      </c>
      <c r="T3270" s="184" t="s">
        <v>4374</v>
      </c>
      <c r="U3270" s="213"/>
      <c r="V3270" s="387"/>
      <c r="W3270" s="214"/>
      <c r="X3270" s="388">
        <v>43497</v>
      </c>
      <c r="Y3270" s="388">
        <v>45688</v>
      </c>
    </row>
    <row r="3271" s="5" customFormat="1" customHeight="1" spans="1:25">
      <c r="A3271" s="203" t="s">
        <v>446</v>
      </c>
      <c r="B3271" s="204" t="s">
        <v>4284</v>
      </c>
      <c r="C3271" s="204" t="s">
        <v>63</v>
      </c>
      <c r="D3271" s="204" t="s">
        <v>3038</v>
      </c>
      <c r="E3271" s="205" t="s">
        <v>4285</v>
      </c>
      <c r="F3271" s="203" t="s">
        <v>4286</v>
      </c>
      <c r="G3271" s="203" t="s">
        <v>88</v>
      </c>
      <c r="H3271" s="25" t="s">
        <v>4340</v>
      </c>
      <c r="I3271" s="46" t="e">
        <f>VLOOKUP(H3271,'合同高级查询数据-4月返'!A:A,1,FALSE)</f>
        <v>#N/A</v>
      </c>
      <c r="J3271" s="47" t="s">
        <v>3488</v>
      </c>
      <c r="K3271" s="203" t="s">
        <v>4341</v>
      </c>
      <c r="L3271" s="206"/>
      <c r="M3271" s="49" t="s">
        <v>4342</v>
      </c>
      <c r="N3271" s="73">
        <v>43781</v>
      </c>
      <c r="O3271" s="73" t="s">
        <v>503</v>
      </c>
      <c r="P3271" s="383">
        <v>6300</v>
      </c>
      <c r="Q3271" s="385">
        <v>6</v>
      </c>
      <c r="R3271" s="386">
        <f t="shared" si="105"/>
        <v>37800</v>
      </c>
      <c r="S3271" s="279">
        <v>202304</v>
      </c>
      <c r="T3271" s="184" t="s">
        <v>4374</v>
      </c>
      <c r="U3271" s="213"/>
      <c r="V3271" s="387"/>
      <c r="W3271" s="214"/>
      <c r="X3271" s="388">
        <v>43497</v>
      </c>
      <c r="Y3271" s="388">
        <v>45688</v>
      </c>
    </row>
    <row r="3272" s="5" customFormat="1" customHeight="1" spans="1:25">
      <c r="A3272" s="203" t="s">
        <v>446</v>
      </c>
      <c r="B3272" s="204" t="s">
        <v>4284</v>
      </c>
      <c r="C3272" s="204" t="s">
        <v>63</v>
      </c>
      <c r="D3272" s="204" t="s">
        <v>3038</v>
      </c>
      <c r="E3272" s="205" t="s">
        <v>4285</v>
      </c>
      <c r="F3272" s="203" t="s">
        <v>4286</v>
      </c>
      <c r="G3272" s="203" t="s">
        <v>88</v>
      </c>
      <c r="H3272" s="25" t="s">
        <v>4340</v>
      </c>
      <c r="I3272" s="46" t="e">
        <f>VLOOKUP(H3272,'合同高级查询数据-4月返'!A:A,1,FALSE)</f>
        <v>#N/A</v>
      </c>
      <c r="J3272" s="47" t="s">
        <v>3488</v>
      </c>
      <c r="K3272" s="203" t="s">
        <v>4341</v>
      </c>
      <c r="L3272" s="206"/>
      <c r="M3272" s="49" t="s">
        <v>4342</v>
      </c>
      <c r="N3272" s="73">
        <v>43784</v>
      </c>
      <c r="O3272" s="73" t="s">
        <v>503</v>
      </c>
      <c r="P3272" s="383">
        <v>6300</v>
      </c>
      <c r="Q3272" s="385">
        <v>11</v>
      </c>
      <c r="R3272" s="386">
        <f t="shared" si="105"/>
        <v>69300</v>
      </c>
      <c r="S3272" s="279">
        <v>202304</v>
      </c>
      <c r="T3272" s="184" t="s">
        <v>4374</v>
      </c>
      <c r="U3272" s="213"/>
      <c r="V3272" s="387"/>
      <c r="W3272" s="214"/>
      <c r="X3272" s="388">
        <v>43497</v>
      </c>
      <c r="Y3272" s="388">
        <v>45688</v>
      </c>
    </row>
    <row r="3273" s="5" customFormat="1" customHeight="1" spans="1:25">
      <c r="A3273" s="203" t="s">
        <v>446</v>
      </c>
      <c r="B3273" s="204" t="s">
        <v>4284</v>
      </c>
      <c r="C3273" s="204" t="s">
        <v>63</v>
      </c>
      <c r="D3273" s="204" t="s">
        <v>3038</v>
      </c>
      <c r="E3273" s="205" t="s">
        <v>4285</v>
      </c>
      <c r="F3273" s="203" t="s">
        <v>4286</v>
      </c>
      <c r="G3273" s="203" t="s">
        <v>88</v>
      </c>
      <c r="H3273" s="25" t="s">
        <v>4340</v>
      </c>
      <c r="I3273" s="46" t="e">
        <f>VLOOKUP(H3273,'合同高级查询数据-4月返'!A:A,1,FALSE)</f>
        <v>#N/A</v>
      </c>
      <c r="J3273" s="47" t="s">
        <v>3488</v>
      </c>
      <c r="K3273" s="203" t="s">
        <v>4341</v>
      </c>
      <c r="L3273" s="206"/>
      <c r="M3273" s="49" t="s">
        <v>4369</v>
      </c>
      <c r="N3273" s="73">
        <v>43805</v>
      </c>
      <c r="O3273" s="73" t="s">
        <v>503</v>
      </c>
      <c r="P3273" s="383">
        <v>6300</v>
      </c>
      <c r="Q3273" s="385">
        <v>12</v>
      </c>
      <c r="R3273" s="386">
        <f t="shared" si="105"/>
        <v>75600</v>
      </c>
      <c r="S3273" s="279">
        <v>202304</v>
      </c>
      <c r="T3273" s="184" t="s">
        <v>4375</v>
      </c>
      <c r="U3273" s="213"/>
      <c r="V3273" s="387"/>
      <c r="W3273" s="214"/>
      <c r="X3273" s="388">
        <v>43497</v>
      </c>
      <c r="Y3273" s="388">
        <v>45688</v>
      </c>
    </row>
    <row r="3274" s="5" customFormat="1" customHeight="1" spans="1:25">
      <c r="A3274" s="203" t="s">
        <v>446</v>
      </c>
      <c r="B3274" s="204" t="s">
        <v>4284</v>
      </c>
      <c r="C3274" s="204" t="s">
        <v>63</v>
      </c>
      <c r="D3274" s="204" t="s">
        <v>3038</v>
      </c>
      <c r="E3274" s="205" t="s">
        <v>4285</v>
      </c>
      <c r="F3274" s="203" t="s">
        <v>4286</v>
      </c>
      <c r="G3274" s="203" t="s">
        <v>88</v>
      </c>
      <c r="H3274" s="25" t="s">
        <v>4340</v>
      </c>
      <c r="I3274" s="46" t="e">
        <f>VLOOKUP(H3274,'合同高级查询数据-4月返'!A:A,1,FALSE)</f>
        <v>#N/A</v>
      </c>
      <c r="J3274" s="47" t="s">
        <v>3488</v>
      </c>
      <c r="K3274" s="203" t="s">
        <v>4341</v>
      </c>
      <c r="L3274" s="206"/>
      <c r="M3274" s="49" t="s">
        <v>4369</v>
      </c>
      <c r="N3274" s="73">
        <v>43823</v>
      </c>
      <c r="O3274" s="73" t="s">
        <v>503</v>
      </c>
      <c r="P3274" s="383">
        <v>6300</v>
      </c>
      <c r="Q3274" s="385">
        <v>3</v>
      </c>
      <c r="R3274" s="386">
        <f t="shared" si="105"/>
        <v>18900</v>
      </c>
      <c r="S3274" s="279">
        <v>202304</v>
      </c>
      <c r="T3274" s="184" t="s">
        <v>4375</v>
      </c>
      <c r="U3274" s="213"/>
      <c r="V3274" s="387"/>
      <c r="W3274" s="214"/>
      <c r="X3274" s="388">
        <v>43497</v>
      </c>
      <c r="Y3274" s="388">
        <v>45688</v>
      </c>
    </row>
    <row r="3275" s="5" customFormat="1" customHeight="1" spans="1:25">
      <c r="A3275" s="203" t="s">
        <v>446</v>
      </c>
      <c r="B3275" s="204" t="s">
        <v>4284</v>
      </c>
      <c r="C3275" s="204" t="s">
        <v>63</v>
      </c>
      <c r="D3275" s="204" t="s">
        <v>3038</v>
      </c>
      <c r="E3275" s="205" t="s">
        <v>4285</v>
      </c>
      <c r="F3275" s="203" t="s">
        <v>4286</v>
      </c>
      <c r="G3275" s="203" t="s">
        <v>88</v>
      </c>
      <c r="H3275" s="25" t="s">
        <v>4340</v>
      </c>
      <c r="I3275" s="46" t="e">
        <f>VLOOKUP(H3275,'合同高级查询数据-4月返'!A:A,1,FALSE)</f>
        <v>#N/A</v>
      </c>
      <c r="J3275" s="47" t="s">
        <v>3488</v>
      </c>
      <c r="K3275" s="203" t="s">
        <v>4341</v>
      </c>
      <c r="L3275" s="206"/>
      <c r="M3275" s="49" t="s">
        <v>4369</v>
      </c>
      <c r="N3275" s="73">
        <v>43837</v>
      </c>
      <c r="O3275" s="73" t="s">
        <v>503</v>
      </c>
      <c r="P3275" s="383">
        <v>6300</v>
      </c>
      <c r="Q3275" s="385">
        <v>12</v>
      </c>
      <c r="R3275" s="386">
        <f t="shared" si="105"/>
        <v>75600</v>
      </c>
      <c r="S3275" s="279">
        <v>202304</v>
      </c>
      <c r="T3275" s="184" t="s">
        <v>4376</v>
      </c>
      <c r="U3275" s="213"/>
      <c r="V3275" s="387"/>
      <c r="W3275" s="214"/>
      <c r="X3275" s="388">
        <v>43497</v>
      </c>
      <c r="Y3275" s="388">
        <v>45688</v>
      </c>
    </row>
    <row r="3276" s="5" customFormat="1" customHeight="1" spans="1:25">
      <c r="A3276" s="203" t="s">
        <v>446</v>
      </c>
      <c r="B3276" s="204" t="s">
        <v>4284</v>
      </c>
      <c r="C3276" s="204" t="s">
        <v>63</v>
      </c>
      <c r="D3276" s="204" t="s">
        <v>3038</v>
      </c>
      <c r="E3276" s="205" t="s">
        <v>4285</v>
      </c>
      <c r="F3276" s="203" t="s">
        <v>4286</v>
      </c>
      <c r="G3276" s="203" t="s">
        <v>88</v>
      </c>
      <c r="H3276" s="25" t="s">
        <v>4340</v>
      </c>
      <c r="I3276" s="46" t="e">
        <f>VLOOKUP(H3276,'合同高级查询数据-4月返'!A:A,1,FALSE)</f>
        <v>#N/A</v>
      </c>
      <c r="J3276" s="47" t="s">
        <v>3488</v>
      </c>
      <c r="K3276" s="203" t="s">
        <v>4341</v>
      </c>
      <c r="L3276" s="206"/>
      <c r="M3276" s="49" t="s">
        <v>4369</v>
      </c>
      <c r="N3276" s="73">
        <v>43847</v>
      </c>
      <c r="O3276" s="73" t="s">
        <v>503</v>
      </c>
      <c r="P3276" s="383">
        <v>6300</v>
      </c>
      <c r="Q3276" s="385">
        <v>18</v>
      </c>
      <c r="R3276" s="386">
        <f t="shared" si="105"/>
        <v>113400</v>
      </c>
      <c r="S3276" s="279">
        <v>202304</v>
      </c>
      <c r="T3276" s="184" t="s">
        <v>4376</v>
      </c>
      <c r="U3276" s="213"/>
      <c r="V3276" s="387"/>
      <c r="W3276" s="214"/>
      <c r="X3276" s="388">
        <v>43497</v>
      </c>
      <c r="Y3276" s="388">
        <v>45688</v>
      </c>
    </row>
    <row r="3277" s="5" customFormat="1" customHeight="1" spans="1:25">
      <c r="A3277" s="203" t="s">
        <v>446</v>
      </c>
      <c r="B3277" s="204" t="s">
        <v>4284</v>
      </c>
      <c r="C3277" s="204" t="s">
        <v>63</v>
      </c>
      <c r="D3277" s="204" t="s">
        <v>3038</v>
      </c>
      <c r="E3277" s="205" t="s">
        <v>4285</v>
      </c>
      <c r="F3277" s="203" t="s">
        <v>4286</v>
      </c>
      <c r="G3277" s="203" t="s">
        <v>78</v>
      </c>
      <c r="H3277" s="25" t="s">
        <v>4340</v>
      </c>
      <c r="I3277" s="46" t="e">
        <f>VLOOKUP(H3277,'合同高级查询数据-4月返'!A:A,1,FALSE)</f>
        <v>#N/A</v>
      </c>
      <c r="J3277" s="47" t="s">
        <v>530</v>
      </c>
      <c r="K3277" s="203" t="s">
        <v>4341</v>
      </c>
      <c r="L3277" s="206"/>
      <c r="M3277" s="49"/>
      <c r="N3277" s="73"/>
      <c r="O3277" s="73"/>
      <c r="P3277" s="383">
        <v>0</v>
      </c>
      <c r="Q3277" s="395">
        <v>0</v>
      </c>
      <c r="R3277" s="207">
        <f t="shared" si="105"/>
        <v>0</v>
      </c>
      <c r="S3277" s="279">
        <v>202304</v>
      </c>
      <c r="T3277" s="184" t="s">
        <v>4377</v>
      </c>
      <c r="U3277" s="213"/>
      <c r="V3277" s="387"/>
      <c r="W3277" s="214"/>
      <c r="X3277" s="388">
        <v>43497</v>
      </c>
      <c r="Y3277" s="388">
        <v>45688</v>
      </c>
    </row>
    <row r="3278" s="5" customFormat="1" customHeight="1" spans="1:25">
      <c r="A3278" s="203" t="s">
        <v>446</v>
      </c>
      <c r="B3278" s="204" t="s">
        <v>4284</v>
      </c>
      <c r="C3278" s="204" t="s">
        <v>63</v>
      </c>
      <c r="D3278" s="204" t="s">
        <v>3038</v>
      </c>
      <c r="E3278" s="205" t="s">
        <v>4285</v>
      </c>
      <c r="F3278" s="203" t="s">
        <v>4286</v>
      </c>
      <c r="G3278" s="203" t="s">
        <v>88</v>
      </c>
      <c r="H3278" s="25" t="s">
        <v>4378</v>
      </c>
      <c r="I3278" s="46" t="e">
        <f>VLOOKUP(H3278,'合同高级查询数据-4月返'!A:A,1,FALSE)</f>
        <v>#N/A</v>
      </c>
      <c r="J3278" s="47" t="s">
        <v>3488</v>
      </c>
      <c r="K3278" s="203" t="s">
        <v>4379</v>
      </c>
      <c r="L3278" s="206"/>
      <c r="M3278" s="49" t="s">
        <v>4342</v>
      </c>
      <c r="N3278" s="73">
        <v>43685</v>
      </c>
      <c r="O3278" s="73" t="s">
        <v>503</v>
      </c>
      <c r="P3278" s="383">
        <v>6300</v>
      </c>
      <c r="Q3278" s="385">
        <v>3</v>
      </c>
      <c r="R3278" s="386">
        <f t="shared" si="105"/>
        <v>18900</v>
      </c>
      <c r="S3278" s="279">
        <v>202304</v>
      </c>
      <c r="T3278" s="184" t="s">
        <v>4380</v>
      </c>
      <c r="U3278" s="213"/>
      <c r="V3278" s="387"/>
      <c r="W3278" s="214"/>
      <c r="X3278" s="388">
        <v>43699</v>
      </c>
      <c r="Y3278" s="388">
        <v>45890</v>
      </c>
    </row>
    <row r="3279" s="5" customFormat="1" customHeight="1" spans="1:25">
      <c r="A3279" s="203" t="s">
        <v>446</v>
      </c>
      <c r="B3279" s="204" t="s">
        <v>4284</v>
      </c>
      <c r="C3279" s="204" t="s">
        <v>63</v>
      </c>
      <c r="D3279" s="204" t="s">
        <v>3038</v>
      </c>
      <c r="E3279" s="205" t="s">
        <v>4285</v>
      </c>
      <c r="F3279" s="203" t="s">
        <v>4286</v>
      </c>
      <c r="G3279" s="203" t="s">
        <v>88</v>
      </c>
      <c r="H3279" s="25" t="s">
        <v>4378</v>
      </c>
      <c r="I3279" s="46" t="e">
        <f>VLOOKUP(H3279,'合同高级查询数据-4月返'!A:A,1,FALSE)</f>
        <v>#N/A</v>
      </c>
      <c r="J3279" s="47" t="s">
        <v>3488</v>
      </c>
      <c r="K3279" s="203" t="s">
        <v>4379</v>
      </c>
      <c r="L3279" s="206"/>
      <c r="M3279" s="49" t="s">
        <v>4342</v>
      </c>
      <c r="N3279" s="73">
        <v>43679</v>
      </c>
      <c r="O3279" s="73" t="s">
        <v>503</v>
      </c>
      <c r="P3279" s="383">
        <v>6300</v>
      </c>
      <c r="Q3279" s="385">
        <v>17</v>
      </c>
      <c r="R3279" s="386">
        <f t="shared" si="105"/>
        <v>107100</v>
      </c>
      <c r="S3279" s="279">
        <v>202304</v>
      </c>
      <c r="T3279" s="184" t="s">
        <v>4380</v>
      </c>
      <c r="U3279" s="213"/>
      <c r="V3279" s="387"/>
      <c r="W3279" s="214"/>
      <c r="X3279" s="388">
        <v>43699</v>
      </c>
      <c r="Y3279" s="388">
        <v>45890</v>
      </c>
    </row>
    <row r="3280" s="5" customFormat="1" customHeight="1" spans="1:25">
      <c r="A3280" s="203" t="s">
        <v>446</v>
      </c>
      <c r="B3280" s="204" t="s">
        <v>4284</v>
      </c>
      <c r="C3280" s="204" t="s">
        <v>63</v>
      </c>
      <c r="D3280" s="204" t="s">
        <v>3038</v>
      </c>
      <c r="E3280" s="205" t="s">
        <v>4285</v>
      </c>
      <c r="F3280" s="203" t="s">
        <v>4286</v>
      </c>
      <c r="G3280" s="203" t="s">
        <v>88</v>
      </c>
      <c r="H3280" s="25" t="s">
        <v>4378</v>
      </c>
      <c r="I3280" s="46" t="e">
        <f>VLOOKUP(H3280,'合同高级查询数据-4月返'!A:A,1,FALSE)</f>
        <v>#N/A</v>
      </c>
      <c r="J3280" s="47" t="s">
        <v>3488</v>
      </c>
      <c r="K3280" s="203" t="s">
        <v>4379</v>
      </c>
      <c r="L3280" s="206"/>
      <c r="M3280" s="49" t="s">
        <v>4342</v>
      </c>
      <c r="N3280" s="73">
        <v>43724</v>
      </c>
      <c r="O3280" s="73" t="s">
        <v>503</v>
      </c>
      <c r="P3280" s="383">
        <v>6300</v>
      </c>
      <c r="Q3280" s="385">
        <v>5</v>
      </c>
      <c r="R3280" s="386">
        <f t="shared" si="105"/>
        <v>31500</v>
      </c>
      <c r="S3280" s="279">
        <v>202304</v>
      </c>
      <c r="T3280" s="184" t="s">
        <v>4381</v>
      </c>
      <c r="U3280" s="213"/>
      <c r="V3280" s="387"/>
      <c r="W3280" s="214"/>
      <c r="X3280" s="388">
        <v>43699</v>
      </c>
      <c r="Y3280" s="388">
        <v>45890</v>
      </c>
    </row>
    <row r="3281" s="5" customFormat="1" customHeight="1" spans="1:25">
      <c r="A3281" s="203" t="s">
        <v>446</v>
      </c>
      <c r="B3281" s="204" t="s">
        <v>4284</v>
      </c>
      <c r="C3281" s="204" t="s">
        <v>63</v>
      </c>
      <c r="D3281" s="204" t="s">
        <v>3038</v>
      </c>
      <c r="E3281" s="205" t="s">
        <v>4285</v>
      </c>
      <c r="F3281" s="203" t="s">
        <v>4286</v>
      </c>
      <c r="G3281" s="203" t="s">
        <v>88</v>
      </c>
      <c r="H3281" s="25" t="s">
        <v>4378</v>
      </c>
      <c r="I3281" s="46" t="e">
        <f>VLOOKUP(H3281,'合同高级查询数据-4月返'!A:A,1,FALSE)</f>
        <v>#N/A</v>
      </c>
      <c r="J3281" s="47" t="s">
        <v>3488</v>
      </c>
      <c r="K3281" s="203" t="s">
        <v>4379</v>
      </c>
      <c r="L3281" s="206"/>
      <c r="M3281" s="49" t="s">
        <v>4342</v>
      </c>
      <c r="N3281" s="73">
        <v>43727</v>
      </c>
      <c r="O3281" s="73" t="s">
        <v>503</v>
      </c>
      <c r="P3281" s="383">
        <v>6300</v>
      </c>
      <c r="Q3281" s="385">
        <v>12</v>
      </c>
      <c r="R3281" s="386">
        <f t="shared" si="105"/>
        <v>75600</v>
      </c>
      <c r="S3281" s="279">
        <v>202304</v>
      </c>
      <c r="T3281" s="184" t="s">
        <v>4381</v>
      </c>
      <c r="U3281" s="213"/>
      <c r="V3281" s="387"/>
      <c r="W3281" s="214"/>
      <c r="X3281" s="388">
        <v>43699</v>
      </c>
      <c r="Y3281" s="388">
        <v>45890</v>
      </c>
    </row>
    <row r="3282" s="5" customFormat="1" customHeight="1" spans="1:25">
      <c r="A3282" s="203" t="s">
        <v>446</v>
      </c>
      <c r="B3282" s="204" t="s">
        <v>4284</v>
      </c>
      <c r="C3282" s="204" t="s">
        <v>63</v>
      </c>
      <c r="D3282" s="204" t="s">
        <v>3038</v>
      </c>
      <c r="E3282" s="205" t="s">
        <v>4285</v>
      </c>
      <c r="F3282" s="203" t="s">
        <v>4286</v>
      </c>
      <c r="G3282" s="203" t="s">
        <v>88</v>
      </c>
      <c r="H3282" s="25" t="s">
        <v>4378</v>
      </c>
      <c r="I3282" s="46" t="e">
        <f>VLOOKUP(H3282,'合同高级查询数据-4月返'!A:A,1,FALSE)</f>
        <v>#N/A</v>
      </c>
      <c r="J3282" s="47" t="s">
        <v>3488</v>
      </c>
      <c r="K3282" s="203" t="s">
        <v>4379</v>
      </c>
      <c r="L3282" s="206"/>
      <c r="M3282" s="49" t="s">
        <v>4342</v>
      </c>
      <c r="N3282" s="73">
        <v>43766</v>
      </c>
      <c r="O3282" s="73" t="s">
        <v>503</v>
      </c>
      <c r="P3282" s="383">
        <v>6300</v>
      </c>
      <c r="Q3282" s="385">
        <v>2</v>
      </c>
      <c r="R3282" s="386">
        <f t="shared" si="105"/>
        <v>12600</v>
      </c>
      <c r="S3282" s="279">
        <v>202304</v>
      </c>
      <c r="T3282" s="184" t="s">
        <v>4374</v>
      </c>
      <c r="U3282" s="213"/>
      <c r="V3282" s="387"/>
      <c r="W3282" s="214"/>
      <c r="X3282" s="388">
        <v>43699</v>
      </c>
      <c r="Y3282" s="388">
        <v>45890</v>
      </c>
    </row>
    <row r="3283" s="5" customFormat="1" customHeight="1" spans="1:25">
      <c r="A3283" s="203" t="s">
        <v>446</v>
      </c>
      <c r="B3283" s="204" t="s">
        <v>4284</v>
      </c>
      <c r="C3283" s="204" t="s">
        <v>63</v>
      </c>
      <c r="D3283" s="204" t="s">
        <v>3038</v>
      </c>
      <c r="E3283" s="205" t="s">
        <v>4285</v>
      </c>
      <c r="F3283" s="203" t="s">
        <v>4286</v>
      </c>
      <c r="G3283" s="203" t="s">
        <v>88</v>
      </c>
      <c r="H3283" s="25" t="s">
        <v>4378</v>
      </c>
      <c r="I3283" s="46" t="e">
        <f>VLOOKUP(H3283,'合同高级查询数据-4月返'!A:A,1,FALSE)</f>
        <v>#N/A</v>
      </c>
      <c r="J3283" s="47" t="s">
        <v>3488</v>
      </c>
      <c r="K3283" s="203" t="s">
        <v>4379</v>
      </c>
      <c r="L3283" s="206"/>
      <c r="M3283" s="49" t="s">
        <v>4342</v>
      </c>
      <c r="N3283" s="73">
        <v>43768</v>
      </c>
      <c r="O3283" s="73" t="s">
        <v>503</v>
      </c>
      <c r="P3283" s="383">
        <v>6300</v>
      </c>
      <c r="Q3283" s="385">
        <v>9</v>
      </c>
      <c r="R3283" s="386">
        <f t="shared" si="105"/>
        <v>56700</v>
      </c>
      <c r="S3283" s="279">
        <v>202304</v>
      </c>
      <c r="T3283" s="184" t="s">
        <v>4374</v>
      </c>
      <c r="U3283" s="213"/>
      <c r="V3283" s="387"/>
      <c r="W3283" s="214"/>
      <c r="X3283" s="388">
        <v>43699</v>
      </c>
      <c r="Y3283" s="388">
        <v>45890</v>
      </c>
    </row>
    <row r="3284" s="5" customFormat="1" customHeight="1" spans="1:25">
      <c r="A3284" s="203" t="s">
        <v>446</v>
      </c>
      <c r="B3284" s="204" t="s">
        <v>4284</v>
      </c>
      <c r="C3284" s="204" t="s">
        <v>63</v>
      </c>
      <c r="D3284" s="204" t="s">
        <v>3038</v>
      </c>
      <c r="E3284" s="205" t="s">
        <v>4285</v>
      </c>
      <c r="F3284" s="203" t="s">
        <v>4286</v>
      </c>
      <c r="G3284" s="203" t="s">
        <v>88</v>
      </c>
      <c r="H3284" s="25" t="s">
        <v>4378</v>
      </c>
      <c r="I3284" s="46" t="e">
        <f>VLOOKUP(H3284,'合同高级查询数据-4月返'!A:A,1,FALSE)</f>
        <v>#N/A</v>
      </c>
      <c r="J3284" s="47" t="s">
        <v>3488</v>
      </c>
      <c r="K3284" s="203" t="s">
        <v>4379</v>
      </c>
      <c r="L3284" s="206"/>
      <c r="M3284" s="49" t="s">
        <v>4342</v>
      </c>
      <c r="N3284" s="73">
        <v>43769</v>
      </c>
      <c r="O3284" s="73" t="s">
        <v>503</v>
      </c>
      <c r="P3284" s="383">
        <v>6300</v>
      </c>
      <c r="Q3284" s="385">
        <v>3</v>
      </c>
      <c r="R3284" s="386">
        <f t="shared" si="105"/>
        <v>18900</v>
      </c>
      <c r="S3284" s="279">
        <v>202304</v>
      </c>
      <c r="T3284" s="184" t="s">
        <v>4374</v>
      </c>
      <c r="U3284" s="213"/>
      <c r="V3284" s="387"/>
      <c r="W3284" s="214"/>
      <c r="X3284" s="388">
        <v>43699</v>
      </c>
      <c r="Y3284" s="388">
        <v>45890</v>
      </c>
    </row>
    <row r="3285" s="5" customFormat="1" customHeight="1" spans="1:25">
      <c r="A3285" s="203" t="s">
        <v>446</v>
      </c>
      <c r="B3285" s="204" t="s">
        <v>4284</v>
      </c>
      <c r="C3285" s="204" t="s">
        <v>63</v>
      </c>
      <c r="D3285" s="204" t="s">
        <v>3038</v>
      </c>
      <c r="E3285" s="205" t="s">
        <v>4285</v>
      </c>
      <c r="F3285" s="203" t="s">
        <v>4286</v>
      </c>
      <c r="G3285" s="203" t="s">
        <v>88</v>
      </c>
      <c r="H3285" s="25" t="s">
        <v>4378</v>
      </c>
      <c r="I3285" s="46" t="e">
        <f>VLOOKUP(H3285,'合同高级查询数据-4月返'!A:A,1,FALSE)</f>
        <v>#N/A</v>
      </c>
      <c r="J3285" s="47" t="s">
        <v>3488</v>
      </c>
      <c r="K3285" s="203" t="s">
        <v>4379</v>
      </c>
      <c r="L3285" s="206"/>
      <c r="M3285" s="49" t="s">
        <v>4342</v>
      </c>
      <c r="N3285" s="73">
        <v>43787</v>
      </c>
      <c r="O3285" s="73" t="s">
        <v>503</v>
      </c>
      <c r="P3285" s="383">
        <v>6300</v>
      </c>
      <c r="Q3285" s="385">
        <v>12</v>
      </c>
      <c r="R3285" s="386">
        <f t="shared" si="105"/>
        <v>75600</v>
      </c>
      <c r="S3285" s="279">
        <v>202304</v>
      </c>
      <c r="T3285" s="184" t="s">
        <v>4374</v>
      </c>
      <c r="U3285" s="213"/>
      <c r="V3285" s="387"/>
      <c r="W3285" s="214"/>
      <c r="X3285" s="388">
        <v>43699</v>
      </c>
      <c r="Y3285" s="388">
        <v>45890</v>
      </c>
    </row>
    <row r="3286" s="5" customFormat="1" customHeight="1" spans="1:25">
      <c r="A3286" s="203" t="s">
        <v>446</v>
      </c>
      <c r="B3286" s="204" t="s">
        <v>4284</v>
      </c>
      <c r="C3286" s="204" t="s">
        <v>63</v>
      </c>
      <c r="D3286" s="204" t="s">
        <v>3038</v>
      </c>
      <c r="E3286" s="205" t="s">
        <v>4285</v>
      </c>
      <c r="F3286" s="203" t="s">
        <v>4286</v>
      </c>
      <c r="G3286" s="203" t="s">
        <v>88</v>
      </c>
      <c r="H3286" s="25" t="s">
        <v>4378</v>
      </c>
      <c r="I3286" s="46" t="e">
        <f>VLOOKUP(H3286,'合同高级查询数据-4月返'!A:A,1,FALSE)</f>
        <v>#N/A</v>
      </c>
      <c r="J3286" s="47" t="s">
        <v>3488</v>
      </c>
      <c r="K3286" s="203" t="s">
        <v>4379</v>
      </c>
      <c r="L3286" s="206"/>
      <c r="M3286" s="49" t="s">
        <v>4369</v>
      </c>
      <c r="N3286" s="73">
        <v>43805</v>
      </c>
      <c r="O3286" s="73" t="s">
        <v>503</v>
      </c>
      <c r="P3286" s="383">
        <v>6300</v>
      </c>
      <c r="Q3286" s="385">
        <v>12</v>
      </c>
      <c r="R3286" s="386">
        <f t="shared" si="105"/>
        <v>75600</v>
      </c>
      <c r="S3286" s="279">
        <v>202304</v>
      </c>
      <c r="T3286" s="184" t="s">
        <v>4375</v>
      </c>
      <c r="U3286" s="213"/>
      <c r="V3286" s="387"/>
      <c r="W3286" s="214"/>
      <c r="X3286" s="388">
        <v>43699</v>
      </c>
      <c r="Y3286" s="388">
        <v>45890</v>
      </c>
    </row>
    <row r="3287" s="5" customFormat="1" customHeight="1" spans="1:25">
      <c r="A3287" s="203" t="s">
        <v>446</v>
      </c>
      <c r="B3287" s="204" t="s">
        <v>4284</v>
      </c>
      <c r="C3287" s="204" t="s">
        <v>63</v>
      </c>
      <c r="D3287" s="204" t="s">
        <v>3038</v>
      </c>
      <c r="E3287" s="205" t="s">
        <v>4285</v>
      </c>
      <c r="F3287" s="203" t="s">
        <v>4286</v>
      </c>
      <c r="G3287" s="203" t="s">
        <v>88</v>
      </c>
      <c r="H3287" s="25" t="s">
        <v>4378</v>
      </c>
      <c r="I3287" s="46" t="e">
        <f>VLOOKUP(H3287,'合同高级查询数据-4月返'!A:A,1,FALSE)</f>
        <v>#N/A</v>
      </c>
      <c r="J3287" s="47" t="s">
        <v>3488</v>
      </c>
      <c r="K3287" s="203" t="s">
        <v>4379</v>
      </c>
      <c r="L3287" s="206"/>
      <c r="M3287" s="49" t="s">
        <v>4369</v>
      </c>
      <c r="N3287" s="73">
        <v>43812</v>
      </c>
      <c r="O3287" s="73" t="s">
        <v>503</v>
      </c>
      <c r="P3287" s="383">
        <v>6300</v>
      </c>
      <c r="Q3287" s="385">
        <v>3</v>
      </c>
      <c r="R3287" s="386">
        <f t="shared" si="105"/>
        <v>18900</v>
      </c>
      <c r="S3287" s="279">
        <v>202304</v>
      </c>
      <c r="T3287" s="184" t="s">
        <v>4375</v>
      </c>
      <c r="U3287" s="213"/>
      <c r="V3287" s="387"/>
      <c r="W3287" s="214"/>
      <c r="X3287" s="388">
        <v>43699</v>
      </c>
      <c r="Y3287" s="388">
        <v>45890</v>
      </c>
    </row>
    <row r="3288" s="5" customFormat="1" customHeight="1" spans="1:25">
      <c r="A3288" s="203" t="s">
        <v>446</v>
      </c>
      <c r="B3288" s="204" t="s">
        <v>4284</v>
      </c>
      <c r="C3288" s="204" t="s">
        <v>63</v>
      </c>
      <c r="D3288" s="204" t="s">
        <v>3038</v>
      </c>
      <c r="E3288" s="205" t="s">
        <v>4285</v>
      </c>
      <c r="F3288" s="203" t="s">
        <v>4286</v>
      </c>
      <c r="G3288" s="203" t="s">
        <v>88</v>
      </c>
      <c r="H3288" s="25" t="s">
        <v>4378</v>
      </c>
      <c r="I3288" s="46" t="e">
        <f>VLOOKUP(H3288,'合同高级查询数据-4月返'!A:A,1,FALSE)</f>
        <v>#N/A</v>
      </c>
      <c r="J3288" s="47" t="s">
        <v>3488</v>
      </c>
      <c r="K3288" s="203" t="s">
        <v>4379</v>
      </c>
      <c r="L3288" s="206"/>
      <c r="M3288" s="49" t="s">
        <v>4369</v>
      </c>
      <c r="N3288" s="73">
        <v>43830</v>
      </c>
      <c r="O3288" s="73" t="s">
        <v>503</v>
      </c>
      <c r="P3288" s="383">
        <v>6300</v>
      </c>
      <c r="Q3288" s="385">
        <v>1</v>
      </c>
      <c r="R3288" s="386">
        <f t="shared" si="105"/>
        <v>6300</v>
      </c>
      <c r="S3288" s="279">
        <v>202304</v>
      </c>
      <c r="T3288" s="184" t="s">
        <v>4382</v>
      </c>
      <c r="U3288" s="213"/>
      <c r="V3288" s="387"/>
      <c r="W3288" s="214"/>
      <c r="X3288" s="388">
        <v>43699</v>
      </c>
      <c r="Y3288" s="388">
        <v>45890</v>
      </c>
    </row>
    <row r="3289" s="5" customFormat="1" customHeight="1" spans="1:25">
      <c r="A3289" s="203" t="s">
        <v>446</v>
      </c>
      <c r="B3289" s="204" t="s">
        <v>4284</v>
      </c>
      <c r="C3289" s="204" t="s">
        <v>63</v>
      </c>
      <c r="D3289" s="204" t="s">
        <v>3038</v>
      </c>
      <c r="E3289" s="205" t="s">
        <v>4285</v>
      </c>
      <c r="F3289" s="203" t="s">
        <v>4286</v>
      </c>
      <c r="G3289" s="203" t="s">
        <v>88</v>
      </c>
      <c r="H3289" s="25" t="s">
        <v>4378</v>
      </c>
      <c r="I3289" s="46" t="e">
        <f>VLOOKUP(H3289,'合同高级查询数据-4月返'!A:A,1,FALSE)</f>
        <v>#N/A</v>
      </c>
      <c r="J3289" s="47" t="s">
        <v>3488</v>
      </c>
      <c r="K3289" s="203" t="s">
        <v>4379</v>
      </c>
      <c r="L3289" s="206"/>
      <c r="M3289" s="49" t="s">
        <v>4343</v>
      </c>
      <c r="N3289" s="73">
        <v>43885</v>
      </c>
      <c r="O3289" s="73" t="s">
        <v>503</v>
      </c>
      <c r="P3289" s="383">
        <v>6300</v>
      </c>
      <c r="Q3289" s="385">
        <v>6</v>
      </c>
      <c r="R3289" s="386">
        <f t="shared" si="105"/>
        <v>37800</v>
      </c>
      <c r="S3289" s="279">
        <v>202304</v>
      </c>
      <c r="T3289" s="184" t="s">
        <v>4376</v>
      </c>
      <c r="U3289" s="213"/>
      <c r="V3289" s="387"/>
      <c r="W3289" s="214"/>
      <c r="X3289" s="388">
        <v>43699</v>
      </c>
      <c r="Y3289" s="388">
        <v>45890</v>
      </c>
    </row>
    <row r="3290" s="5" customFormat="1" customHeight="1" spans="1:25">
      <c r="A3290" s="203" t="s">
        <v>446</v>
      </c>
      <c r="B3290" s="204" t="s">
        <v>4284</v>
      </c>
      <c r="C3290" s="204" t="s">
        <v>63</v>
      </c>
      <c r="D3290" s="204" t="s">
        <v>3038</v>
      </c>
      <c r="E3290" s="205" t="s">
        <v>4285</v>
      </c>
      <c r="F3290" s="203" t="s">
        <v>4286</v>
      </c>
      <c r="G3290" s="203" t="s">
        <v>88</v>
      </c>
      <c r="H3290" s="25" t="s">
        <v>4378</v>
      </c>
      <c r="I3290" s="46" t="e">
        <f>VLOOKUP(H3290,'合同高级查询数据-4月返'!A:A,1,FALSE)</f>
        <v>#N/A</v>
      </c>
      <c r="J3290" s="47" t="s">
        <v>3488</v>
      </c>
      <c r="K3290" s="203" t="s">
        <v>4379</v>
      </c>
      <c r="L3290" s="206"/>
      <c r="M3290" s="49" t="s">
        <v>4369</v>
      </c>
      <c r="N3290" s="73">
        <v>43699</v>
      </c>
      <c r="O3290" s="73" t="s">
        <v>503</v>
      </c>
      <c r="P3290" s="383">
        <v>6300</v>
      </c>
      <c r="Q3290" s="385">
        <v>69</v>
      </c>
      <c r="R3290" s="386">
        <f t="shared" si="105"/>
        <v>434700</v>
      </c>
      <c r="S3290" s="279">
        <v>202304</v>
      </c>
      <c r="T3290" s="184"/>
      <c r="U3290" s="213"/>
      <c r="V3290" s="387"/>
      <c r="W3290" s="214"/>
      <c r="X3290" s="388">
        <v>43699</v>
      </c>
      <c r="Y3290" s="388">
        <v>45890</v>
      </c>
    </row>
    <row r="3291" s="5" customFormat="1" customHeight="1" spans="1:25">
      <c r="A3291" s="203" t="s">
        <v>446</v>
      </c>
      <c r="B3291" s="204" t="s">
        <v>4284</v>
      </c>
      <c r="C3291" s="204" t="s">
        <v>63</v>
      </c>
      <c r="D3291" s="204" t="s">
        <v>3038</v>
      </c>
      <c r="E3291" s="205" t="s">
        <v>4285</v>
      </c>
      <c r="F3291" s="203" t="s">
        <v>4286</v>
      </c>
      <c r="G3291" s="203" t="s">
        <v>88</v>
      </c>
      <c r="H3291" s="25" t="s">
        <v>4378</v>
      </c>
      <c r="I3291" s="46" t="e">
        <f>VLOOKUP(H3291,'合同高级查询数据-4月返'!A:A,1,FALSE)</f>
        <v>#N/A</v>
      </c>
      <c r="J3291" s="47" t="s">
        <v>3488</v>
      </c>
      <c r="K3291" s="203" t="s">
        <v>4379</v>
      </c>
      <c r="L3291" s="206"/>
      <c r="M3291" s="49" t="s">
        <v>4343</v>
      </c>
      <c r="N3291" s="73">
        <v>43885</v>
      </c>
      <c r="O3291" s="73" t="s">
        <v>503</v>
      </c>
      <c r="P3291" s="383">
        <v>6300</v>
      </c>
      <c r="Q3291" s="385">
        <v>271</v>
      </c>
      <c r="R3291" s="386">
        <f t="shared" si="105"/>
        <v>1707300</v>
      </c>
      <c r="S3291" s="279">
        <v>202304</v>
      </c>
      <c r="T3291" s="184"/>
      <c r="U3291" s="213"/>
      <c r="V3291" s="387"/>
      <c r="W3291" s="214"/>
      <c r="X3291" s="388">
        <v>43699</v>
      </c>
      <c r="Y3291" s="388">
        <v>45890</v>
      </c>
    </row>
    <row r="3292" s="5" customFormat="1" customHeight="1" spans="1:25">
      <c r="A3292" s="203" t="s">
        <v>446</v>
      </c>
      <c r="B3292" s="204" t="s">
        <v>4284</v>
      </c>
      <c r="C3292" s="204" t="s">
        <v>63</v>
      </c>
      <c r="D3292" s="204" t="s">
        <v>3038</v>
      </c>
      <c r="E3292" s="205" t="s">
        <v>4285</v>
      </c>
      <c r="F3292" s="203" t="s">
        <v>4286</v>
      </c>
      <c r="G3292" s="203" t="s">
        <v>88</v>
      </c>
      <c r="H3292" s="25" t="s">
        <v>4378</v>
      </c>
      <c r="I3292" s="46" t="e">
        <f>VLOOKUP(H3292,'合同高级查询数据-4月返'!A:A,1,FALSE)</f>
        <v>#N/A</v>
      </c>
      <c r="J3292" s="47" t="s">
        <v>3488</v>
      </c>
      <c r="K3292" s="203" t="s">
        <v>4379</v>
      </c>
      <c r="L3292" s="206"/>
      <c r="M3292" s="49" t="s">
        <v>4343</v>
      </c>
      <c r="N3292" s="73">
        <v>43910</v>
      </c>
      <c r="O3292" s="73" t="s">
        <v>503</v>
      </c>
      <c r="P3292" s="383">
        <v>6300</v>
      </c>
      <c r="Q3292" s="385">
        <v>33</v>
      </c>
      <c r="R3292" s="386">
        <f t="shared" si="105"/>
        <v>207900</v>
      </c>
      <c r="S3292" s="279">
        <v>202304</v>
      </c>
      <c r="T3292" s="184"/>
      <c r="U3292" s="213"/>
      <c r="V3292" s="387"/>
      <c r="W3292" s="214"/>
      <c r="X3292" s="388">
        <v>43699</v>
      </c>
      <c r="Y3292" s="388">
        <v>45890</v>
      </c>
    </row>
    <row r="3293" s="5" customFormat="1" customHeight="1" spans="1:25">
      <c r="A3293" s="203" t="s">
        <v>446</v>
      </c>
      <c r="B3293" s="204" t="s">
        <v>4284</v>
      </c>
      <c r="C3293" s="204" t="s">
        <v>63</v>
      </c>
      <c r="D3293" s="204" t="s">
        <v>3038</v>
      </c>
      <c r="E3293" s="205" t="s">
        <v>4285</v>
      </c>
      <c r="F3293" s="203" t="s">
        <v>4286</v>
      </c>
      <c r="G3293" s="203" t="s">
        <v>88</v>
      </c>
      <c r="H3293" s="25" t="s">
        <v>4378</v>
      </c>
      <c r="I3293" s="46" t="e">
        <f>VLOOKUP(H3293,'合同高级查询数据-4月返'!A:A,1,FALSE)</f>
        <v>#N/A</v>
      </c>
      <c r="J3293" s="47" t="s">
        <v>3488</v>
      </c>
      <c r="K3293" s="203" t="s">
        <v>4379</v>
      </c>
      <c r="L3293" s="206"/>
      <c r="M3293" s="49" t="s">
        <v>4343</v>
      </c>
      <c r="N3293" s="73">
        <v>43936</v>
      </c>
      <c r="O3293" s="73" t="s">
        <v>503</v>
      </c>
      <c r="P3293" s="383">
        <v>6300</v>
      </c>
      <c r="Q3293" s="385">
        <v>6</v>
      </c>
      <c r="R3293" s="386">
        <f t="shared" si="105"/>
        <v>37800</v>
      </c>
      <c r="S3293" s="279">
        <v>202304</v>
      </c>
      <c r="T3293" s="184" t="s">
        <v>4383</v>
      </c>
      <c r="U3293" s="213"/>
      <c r="V3293" s="387"/>
      <c r="W3293" s="214"/>
      <c r="X3293" s="388">
        <v>43699</v>
      </c>
      <c r="Y3293" s="388">
        <v>45890</v>
      </c>
    </row>
    <row r="3294" s="5" customFormat="1" customHeight="1" spans="1:25">
      <c r="A3294" s="203" t="s">
        <v>446</v>
      </c>
      <c r="B3294" s="204" t="s">
        <v>4284</v>
      </c>
      <c r="C3294" s="204" t="s">
        <v>63</v>
      </c>
      <c r="D3294" s="204" t="s">
        <v>3038</v>
      </c>
      <c r="E3294" s="205" t="s">
        <v>4285</v>
      </c>
      <c r="F3294" s="203" t="s">
        <v>4286</v>
      </c>
      <c r="G3294" s="203" t="s">
        <v>88</v>
      </c>
      <c r="H3294" s="25" t="s">
        <v>4378</v>
      </c>
      <c r="I3294" s="46" t="e">
        <f>VLOOKUP(H3294,'合同高级查询数据-4月返'!A:A,1,FALSE)</f>
        <v>#N/A</v>
      </c>
      <c r="J3294" s="47" t="s">
        <v>3488</v>
      </c>
      <c r="K3294" s="203" t="s">
        <v>4379</v>
      </c>
      <c r="L3294" s="206"/>
      <c r="M3294" s="49" t="s">
        <v>4343</v>
      </c>
      <c r="N3294" s="73">
        <v>43942</v>
      </c>
      <c r="O3294" s="73" t="s">
        <v>503</v>
      </c>
      <c r="P3294" s="383">
        <v>6300</v>
      </c>
      <c r="Q3294" s="385">
        <v>5</v>
      </c>
      <c r="R3294" s="386">
        <f t="shared" si="105"/>
        <v>31500</v>
      </c>
      <c r="S3294" s="279">
        <v>202304</v>
      </c>
      <c r="T3294" s="184"/>
      <c r="U3294" s="213"/>
      <c r="V3294" s="387"/>
      <c r="W3294" s="214"/>
      <c r="X3294" s="388">
        <v>43699</v>
      </c>
      <c r="Y3294" s="388">
        <v>45890</v>
      </c>
    </row>
    <row r="3295" s="5" customFormat="1" customHeight="1" spans="1:25">
      <c r="A3295" s="203" t="s">
        <v>446</v>
      </c>
      <c r="B3295" s="204" t="s">
        <v>4284</v>
      </c>
      <c r="C3295" s="204" t="s">
        <v>63</v>
      </c>
      <c r="D3295" s="204" t="s">
        <v>3038</v>
      </c>
      <c r="E3295" s="205" t="s">
        <v>4285</v>
      </c>
      <c r="F3295" s="203" t="s">
        <v>4286</v>
      </c>
      <c r="G3295" s="203" t="s">
        <v>88</v>
      </c>
      <c r="H3295" s="25" t="s">
        <v>4378</v>
      </c>
      <c r="I3295" s="46" t="e">
        <f>VLOOKUP(H3295,'合同高级查询数据-4月返'!A:A,1,FALSE)</f>
        <v>#N/A</v>
      </c>
      <c r="J3295" s="47" t="s">
        <v>3488</v>
      </c>
      <c r="K3295" s="203" t="s">
        <v>4379</v>
      </c>
      <c r="L3295" s="206"/>
      <c r="M3295" s="49" t="s">
        <v>4343</v>
      </c>
      <c r="N3295" s="73">
        <v>43944</v>
      </c>
      <c r="O3295" s="73" t="s">
        <v>503</v>
      </c>
      <c r="P3295" s="383">
        <v>6300</v>
      </c>
      <c r="Q3295" s="385">
        <v>2</v>
      </c>
      <c r="R3295" s="386">
        <f t="shared" si="105"/>
        <v>12600</v>
      </c>
      <c r="S3295" s="279">
        <v>202304</v>
      </c>
      <c r="T3295" s="184" t="s">
        <v>4384</v>
      </c>
      <c r="U3295" s="213"/>
      <c r="V3295" s="387"/>
      <c r="W3295" s="214"/>
      <c r="X3295" s="388">
        <v>43699</v>
      </c>
      <c r="Y3295" s="388">
        <v>45890</v>
      </c>
    </row>
    <row r="3296" s="5" customFormat="1" customHeight="1" spans="1:25">
      <c r="A3296" s="203" t="s">
        <v>446</v>
      </c>
      <c r="B3296" s="204" t="s">
        <v>4284</v>
      </c>
      <c r="C3296" s="204" t="s">
        <v>63</v>
      </c>
      <c r="D3296" s="204" t="s">
        <v>3038</v>
      </c>
      <c r="E3296" s="205" t="s">
        <v>4285</v>
      </c>
      <c r="F3296" s="203" t="s">
        <v>4286</v>
      </c>
      <c r="G3296" s="203" t="s">
        <v>88</v>
      </c>
      <c r="H3296" s="25" t="s">
        <v>4378</v>
      </c>
      <c r="I3296" s="46" t="e">
        <f>VLOOKUP(H3296,'合同高级查询数据-4月返'!A:A,1,FALSE)</f>
        <v>#N/A</v>
      </c>
      <c r="J3296" s="47" t="s">
        <v>3488</v>
      </c>
      <c r="K3296" s="203" t="s">
        <v>4379</v>
      </c>
      <c r="L3296" s="206"/>
      <c r="M3296" s="49" t="s">
        <v>4343</v>
      </c>
      <c r="N3296" s="73">
        <v>43948</v>
      </c>
      <c r="O3296" s="73" t="s">
        <v>503</v>
      </c>
      <c r="P3296" s="383">
        <v>6300</v>
      </c>
      <c r="Q3296" s="385">
        <v>1</v>
      </c>
      <c r="R3296" s="386">
        <f t="shared" si="105"/>
        <v>6300</v>
      </c>
      <c r="S3296" s="279">
        <v>202304</v>
      </c>
      <c r="T3296" s="184" t="s">
        <v>4385</v>
      </c>
      <c r="U3296" s="213"/>
      <c r="V3296" s="387"/>
      <c r="W3296" s="214"/>
      <c r="X3296" s="388">
        <v>43699</v>
      </c>
      <c r="Y3296" s="388">
        <v>45890</v>
      </c>
    </row>
    <row r="3297" s="5" customFormat="1" customHeight="1" spans="1:25">
      <c r="A3297" s="203" t="s">
        <v>446</v>
      </c>
      <c r="B3297" s="204" t="s">
        <v>4284</v>
      </c>
      <c r="C3297" s="204" t="s">
        <v>63</v>
      </c>
      <c r="D3297" s="204" t="s">
        <v>3038</v>
      </c>
      <c r="E3297" s="205" t="s">
        <v>4285</v>
      </c>
      <c r="F3297" s="203" t="s">
        <v>4286</v>
      </c>
      <c r="G3297" s="203" t="s">
        <v>88</v>
      </c>
      <c r="H3297" s="25" t="s">
        <v>4378</v>
      </c>
      <c r="I3297" s="46" t="e">
        <f>VLOOKUP(H3297,'合同高级查询数据-4月返'!A:A,1,FALSE)</f>
        <v>#N/A</v>
      </c>
      <c r="J3297" s="47" t="s">
        <v>3488</v>
      </c>
      <c r="K3297" s="203" t="s">
        <v>4379</v>
      </c>
      <c r="L3297" s="206"/>
      <c r="M3297" s="49" t="s">
        <v>4343</v>
      </c>
      <c r="N3297" s="73">
        <v>44211</v>
      </c>
      <c r="O3297" s="73" t="s">
        <v>503</v>
      </c>
      <c r="P3297" s="383">
        <v>6300</v>
      </c>
      <c r="Q3297" s="385">
        <v>5</v>
      </c>
      <c r="R3297" s="386">
        <f t="shared" si="105"/>
        <v>31500</v>
      </c>
      <c r="S3297" s="279">
        <v>202304</v>
      </c>
      <c r="T3297" s="184" t="s">
        <v>4386</v>
      </c>
      <c r="U3297" s="213"/>
      <c r="V3297" s="387"/>
      <c r="W3297" s="214"/>
      <c r="X3297" s="388">
        <v>43699</v>
      </c>
      <c r="Y3297" s="388">
        <v>45890</v>
      </c>
    </row>
    <row r="3298" s="5" customFormat="1" customHeight="1" spans="1:25">
      <c r="A3298" s="203" t="s">
        <v>446</v>
      </c>
      <c r="B3298" s="204" t="s">
        <v>4284</v>
      </c>
      <c r="C3298" s="204" t="s">
        <v>63</v>
      </c>
      <c r="D3298" s="204" t="s">
        <v>3038</v>
      </c>
      <c r="E3298" s="205" t="s">
        <v>4285</v>
      </c>
      <c r="F3298" s="203" t="s">
        <v>4286</v>
      </c>
      <c r="G3298" s="203" t="s">
        <v>88</v>
      </c>
      <c r="H3298" s="25" t="s">
        <v>4378</v>
      </c>
      <c r="I3298" s="46" t="e">
        <f>VLOOKUP(H3298,'合同高级查询数据-4月返'!A:A,1,FALSE)</f>
        <v>#N/A</v>
      </c>
      <c r="J3298" s="47" t="s">
        <v>3488</v>
      </c>
      <c r="K3298" s="203" t="s">
        <v>4379</v>
      </c>
      <c r="L3298" s="206"/>
      <c r="M3298" s="49" t="s">
        <v>4343</v>
      </c>
      <c r="N3298" s="73">
        <v>44225</v>
      </c>
      <c r="O3298" s="73" t="s">
        <v>503</v>
      </c>
      <c r="P3298" s="383">
        <v>6300</v>
      </c>
      <c r="Q3298" s="385">
        <v>4</v>
      </c>
      <c r="R3298" s="386">
        <f t="shared" si="105"/>
        <v>25200</v>
      </c>
      <c r="S3298" s="279">
        <v>202304</v>
      </c>
      <c r="T3298" s="184" t="s">
        <v>4387</v>
      </c>
      <c r="U3298" s="213"/>
      <c r="V3298" s="387"/>
      <c r="W3298" s="214"/>
      <c r="X3298" s="388">
        <v>43699</v>
      </c>
      <c r="Y3298" s="388">
        <v>45890</v>
      </c>
    </row>
    <row r="3299" s="5" customFormat="1" customHeight="1" spans="1:25">
      <c r="A3299" s="203" t="s">
        <v>446</v>
      </c>
      <c r="B3299" s="204" t="s">
        <v>4284</v>
      </c>
      <c r="C3299" s="204" t="s">
        <v>63</v>
      </c>
      <c r="D3299" s="204" t="s">
        <v>3038</v>
      </c>
      <c r="E3299" s="205" t="s">
        <v>4285</v>
      </c>
      <c r="F3299" s="203" t="s">
        <v>4286</v>
      </c>
      <c r="G3299" s="203" t="s">
        <v>88</v>
      </c>
      <c r="H3299" s="25" t="s">
        <v>4378</v>
      </c>
      <c r="I3299" s="46" t="e">
        <f>VLOOKUP(H3299,'合同高级查询数据-4月返'!A:A,1,FALSE)</f>
        <v>#N/A</v>
      </c>
      <c r="J3299" s="47" t="s">
        <v>3488</v>
      </c>
      <c r="K3299" s="203" t="s">
        <v>4379</v>
      </c>
      <c r="L3299" s="206"/>
      <c r="M3299" s="49" t="s">
        <v>4343</v>
      </c>
      <c r="N3299" s="73">
        <v>44227</v>
      </c>
      <c r="O3299" s="73" t="s">
        <v>503</v>
      </c>
      <c r="P3299" s="383">
        <v>6300</v>
      </c>
      <c r="Q3299" s="385">
        <v>1</v>
      </c>
      <c r="R3299" s="386">
        <f t="shared" si="105"/>
        <v>6300</v>
      </c>
      <c r="S3299" s="279">
        <v>202304</v>
      </c>
      <c r="T3299" s="184" t="s">
        <v>4388</v>
      </c>
      <c r="U3299" s="213"/>
      <c r="V3299" s="387"/>
      <c r="W3299" s="214"/>
      <c r="X3299" s="388">
        <v>43699</v>
      </c>
      <c r="Y3299" s="388">
        <v>45890</v>
      </c>
    </row>
    <row r="3300" s="5" customFormat="1" customHeight="1" spans="1:25">
      <c r="A3300" s="203" t="s">
        <v>446</v>
      </c>
      <c r="B3300" s="204" t="s">
        <v>4284</v>
      </c>
      <c r="C3300" s="204" t="s">
        <v>63</v>
      </c>
      <c r="D3300" s="204" t="s">
        <v>3038</v>
      </c>
      <c r="E3300" s="205" t="s">
        <v>4285</v>
      </c>
      <c r="F3300" s="203" t="s">
        <v>4286</v>
      </c>
      <c r="G3300" s="203" t="s">
        <v>88</v>
      </c>
      <c r="H3300" s="25" t="s">
        <v>4378</v>
      </c>
      <c r="I3300" s="46" t="e">
        <f>VLOOKUP(H3300,'合同高级查询数据-4月返'!A:A,1,FALSE)</f>
        <v>#N/A</v>
      </c>
      <c r="J3300" s="47" t="s">
        <v>3488</v>
      </c>
      <c r="K3300" s="203" t="s">
        <v>4379</v>
      </c>
      <c r="L3300" s="206"/>
      <c r="M3300" s="49" t="s">
        <v>4343</v>
      </c>
      <c r="N3300" s="73">
        <v>44347</v>
      </c>
      <c r="O3300" s="73" t="s">
        <v>503</v>
      </c>
      <c r="P3300" s="383">
        <v>6300</v>
      </c>
      <c r="Q3300" s="385">
        <v>3</v>
      </c>
      <c r="R3300" s="386">
        <f t="shared" si="105"/>
        <v>18900</v>
      </c>
      <c r="S3300" s="279">
        <v>202304</v>
      </c>
      <c r="T3300" s="184" t="s">
        <v>4389</v>
      </c>
      <c r="U3300" s="213"/>
      <c r="V3300" s="387"/>
      <c r="W3300" s="214"/>
      <c r="X3300" s="388">
        <v>43699</v>
      </c>
      <c r="Y3300" s="388">
        <v>45890</v>
      </c>
    </row>
    <row r="3301" s="5" customFormat="1" customHeight="1" spans="1:25">
      <c r="A3301" s="203" t="s">
        <v>446</v>
      </c>
      <c r="B3301" s="204" t="s">
        <v>4284</v>
      </c>
      <c r="C3301" s="204" t="s">
        <v>63</v>
      </c>
      <c r="D3301" s="204" t="s">
        <v>3038</v>
      </c>
      <c r="E3301" s="205" t="s">
        <v>4285</v>
      </c>
      <c r="F3301" s="203" t="s">
        <v>4286</v>
      </c>
      <c r="G3301" s="203" t="s">
        <v>78</v>
      </c>
      <c r="H3301" s="25" t="s">
        <v>4378</v>
      </c>
      <c r="I3301" s="46" t="e">
        <f>VLOOKUP(H3301,'合同高级查询数据-4月返'!A:A,1,FALSE)</f>
        <v>#N/A</v>
      </c>
      <c r="J3301" s="47" t="s">
        <v>530</v>
      </c>
      <c r="K3301" s="203" t="s">
        <v>4379</v>
      </c>
      <c r="L3301" s="206"/>
      <c r="M3301" s="49"/>
      <c r="N3301" s="73"/>
      <c r="O3301" s="73"/>
      <c r="P3301" s="383">
        <v>3150</v>
      </c>
      <c r="Q3301" s="395">
        <v>0</v>
      </c>
      <c r="R3301" s="207">
        <f t="shared" si="105"/>
        <v>0</v>
      </c>
      <c r="S3301" s="279">
        <v>202304</v>
      </c>
      <c r="T3301" s="184" t="s">
        <v>4390</v>
      </c>
      <c r="U3301" s="213"/>
      <c r="V3301" s="387"/>
      <c r="W3301" s="214"/>
      <c r="X3301" s="388">
        <v>43699</v>
      </c>
      <c r="Y3301" s="388">
        <v>45890</v>
      </c>
    </row>
    <row r="3302" s="5" customFormat="1" customHeight="1" spans="1:25">
      <c r="A3302" s="203" t="s">
        <v>446</v>
      </c>
      <c r="B3302" s="204" t="s">
        <v>4284</v>
      </c>
      <c r="C3302" s="204" t="s">
        <v>63</v>
      </c>
      <c r="D3302" s="204" t="s">
        <v>3038</v>
      </c>
      <c r="E3302" s="205" t="s">
        <v>4285</v>
      </c>
      <c r="F3302" s="203" t="s">
        <v>4286</v>
      </c>
      <c r="G3302" s="203" t="s">
        <v>88</v>
      </c>
      <c r="H3302" s="25" t="s">
        <v>4391</v>
      </c>
      <c r="I3302" s="46" t="e">
        <f>VLOOKUP(H3302,'合同高级查询数据-4月返'!A:A,1,FALSE)</f>
        <v>#N/A</v>
      </c>
      <c r="J3302" s="47" t="s">
        <v>3488</v>
      </c>
      <c r="K3302" s="203" t="s">
        <v>4392</v>
      </c>
      <c r="L3302" s="206"/>
      <c r="M3302" s="49" t="s">
        <v>4369</v>
      </c>
      <c r="N3302" s="73">
        <v>43815</v>
      </c>
      <c r="O3302" s="73" t="s">
        <v>503</v>
      </c>
      <c r="P3302" s="383">
        <v>6300</v>
      </c>
      <c r="Q3302" s="385">
        <v>24</v>
      </c>
      <c r="R3302" s="386">
        <f t="shared" si="105"/>
        <v>151200</v>
      </c>
      <c r="S3302" s="279">
        <v>202304</v>
      </c>
      <c r="T3302" s="184" t="s">
        <v>4393</v>
      </c>
      <c r="U3302" s="213"/>
      <c r="V3302" s="387"/>
      <c r="W3302" s="214"/>
      <c r="X3302" s="388">
        <v>43770</v>
      </c>
      <c r="Y3302" s="388">
        <v>45961</v>
      </c>
    </row>
    <row r="3303" s="5" customFormat="1" customHeight="1" spans="1:25">
      <c r="A3303" s="203" t="s">
        <v>446</v>
      </c>
      <c r="B3303" s="204" t="s">
        <v>4284</v>
      </c>
      <c r="C3303" s="204" t="s">
        <v>63</v>
      </c>
      <c r="D3303" s="204" t="s">
        <v>3038</v>
      </c>
      <c r="E3303" s="205" t="s">
        <v>4285</v>
      </c>
      <c r="F3303" s="203" t="s">
        <v>4286</v>
      </c>
      <c r="G3303" s="203" t="s">
        <v>88</v>
      </c>
      <c r="H3303" s="25" t="s">
        <v>4391</v>
      </c>
      <c r="I3303" s="46" t="e">
        <f>VLOOKUP(H3303,'合同高级查询数据-4月返'!A:A,1,FALSE)</f>
        <v>#N/A</v>
      </c>
      <c r="J3303" s="47" t="s">
        <v>3488</v>
      </c>
      <c r="K3303" s="203" t="s">
        <v>4392</v>
      </c>
      <c r="L3303" s="206"/>
      <c r="M3303" s="49" t="s">
        <v>4369</v>
      </c>
      <c r="N3303" s="73">
        <v>43815</v>
      </c>
      <c r="O3303" s="73" t="s">
        <v>606</v>
      </c>
      <c r="P3303" s="383">
        <v>34368</v>
      </c>
      <c r="Q3303" s="385">
        <v>8</v>
      </c>
      <c r="R3303" s="386">
        <f t="shared" si="105"/>
        <v>274944</v>
      </c>
      <c r="S3303" s="279">
        <v>202304</v>
      </c>
      <c r="T3303" s="184" t="s">
        <v>4394</v>
      </c>
      <c r="U3303" s="213"/>
      <c r="V3303" s="387"/>
      <c r="W3303" s="214"/>
      <c r="X3303" s="388">
        <v>43770</v>
      </c>
      <c r="Y3303" s="388">
        <v>45961</v>
      </c>
    </row>
    <row r="3304" s="5" customFormat="1" customHeight="1" spans="1:25">
      <c r="A3304" s="203" t="s">
        <v>446</v>
      </c>
      <c r="B3304" s="204" t="s">
        <v>4284</v>
      </c>
      <c r="C3304" s="204" t="s">
        <v>63</v>
      </c>
      <c r="D3304" s="204" t="s">
        <v>3038</v>
      </c>
      <c r="E3304" s="205" t="s">
        <v>4285</v>
      </c>
      <c r="F3304" s="203" t="s">
        <v>4286</v>
      </c>
      <c r="G3304" s="203" t="s">
        <v>88</v>
      </c>
      <c r="H3304" s="25" t="s">
        <v>4391</v>
      </c>
      <c r="I3304" s="46" t="e">
        <f>VLOOKUP(H3304,'合同高级查询数据-4月返'!A:A,1,FALSE)</f>
        <v>#N/A</v>
      </c>
      <c r="J3304" s="47" t="s">
        <v>3488</v>
      </c>
      <c r="K3304" s="203" t="s">
        <v>4392</v>
      </c>
      <c r="L3304" s="206"/>
      <c r="M3304" s="49" t="s">
        <v>4369</v>
      </c>
      <c r="N3304" s="73">
        <v>43815</v>
      </c>
      <c r="O3304" s="73" t="s">
        <v>525</v>
      </c>
      <c r="P3304" s="383">
        <v>9451.2</v>
      </c>
      <c r="Q3304" s="385">
        <v>4</v>
      </c>
      <c r="R3304" s="207">
        <f t="shared" si="105"/>
        <v>37804.8</v>
      </c>
      <c r="S3304" s="279">
        <v>202304</v>
      </c>
      <c r="T3304" s="184" t="s">
        <v>4395</v>
      </c>
      <c r="U3304" s="213"/>
      <c r="V3304" s="387"/>
      <c r="W3304" s="214"/>
      <c r="X3304" s="388">
        <v>43770</v>
      </c>
      <c r="Y3304" s="388">
        <v>45961</v>
      </c>
    </row>
    <row r="3305" s="5" customFormat="1" customHeight="1" spans="1:25">
      <c r="A3305" s="203" t="s">
        <v>446</v>
      </c>
      <c r="B3305" s="204" t="s">
        <v>4284</v>
      </c>
      <c r="C3305" s="204" t="s">
        <v>63</v>
      </c>
      <c r="D3305" s="204" t="s">
        <v>3038</v>
      </c>
      <c r="E3305" s="205" t="s">
        <v>4285</v>
      </c>
      <c r="F3305" s="203" t="s">
        <v>4286</v>
      </c>
      <c r="G3305" s="203" t="s">
        <v>88</v>
      </c>
      <c r="H3305" s="25" t="s">
        <v>4391</v>
      </c>
      <c r="I3305" s="46" t="e">
        <f>VLOOKUP(H3305,'合同高级查询数据-4月返'!A:A,1,FALSE)</f>
        <v>#N/A</v>
      </c>
      <c r="J3305" s="47" t="s">
        <v>3488</v>
      </c>
      <c r="K3305" s="203" t="s">
        <v>4392</v>
      </c>
      <c r="L3305" s="206"/>
      <c r="M3305" s="49" t="s">
        <v>4369</v>
      </c>
      <c r="N3305" s="73">
        <v>43820</v>
      </c>
      <c r="O3305" s="73" t="s">
        <v>503</v>
      </c>
      <c r="P3305" s="383">
        <v>6300</v>
      </c>
      <c r="Q3305" s="385">
        <v>8</v>
      </c>
      <c r="R3305" s="386">
        <f t="shared" si="105"/>
        <v>50400</v>
      </c>
      <c r="S3305" s="279">
        <v>202304</v>
      </c>
      <c r="T3305" s="184" t="s">
        <v>4375</v>
      </c>
      <c r="U3305" s="213"/>
      <c r="V3305" s="387"/>
      <c r="W3305" s="214"/>
      <c r="X3305" s="388">
        <v>43770</v>
      </c>
      <c r="Y3305" s="388">
        <v>45961</v>
      </c>
    </row>
    <row r="3306" s="5" customFormat="1" customHeight="1" spans="1:25">
      <c r="A3306" s="203" t="s">
        <v>446</v>
      </c>
      <c r="B3306" s="204" t="s">
        <v>4284</v>
      </c>
      <c r="C3306" s="204" t="s">
        <v>63</v>
      </c>
      <c r="D3306" s="204" t="s">
        <v>3038</v>
      </c>
      <c r="E3306" s="205" t="s">
        <v>4285</v>
      </c>
      <c r="F3306" s="203" t="s">
        <v>4286</v>
      </c>
      <c r="G3306" s="203" t="s">
        <v>88</v>
      </c>
      <c r="H3306" s="25" t="s">
        <v>4391</v>
      </c>
      <c r="I3306" s="46" t="e">
        <f>VLOOKUP(H3306,'合同高级查询数据-4月返'!A:A,1,FALSE)</f>
        <v>#N/A</v>
      </c>
      <c r="J3306" s="47" t="s">
        <v>3488</v>
      </c>
      <c r="K3306" s="203" t="s">
        <v>4392</v>
      </c>
      <c r="L3306" s="206"/>
      <c r="M3306" s="49" t="s">
        <v>4369</v>
      </c>
      <c r="N3306" s="73">
        <v>43823</v>
      </c>
      <c r="O3306" s="73" t="s">
        <v>503</v>
      </c>
      <c r="P3306" s="383">
        <v>6300</v>
      </c>
      <c r="Q3306" s="385">
        <v>29</v>
      </c>
      <c r="R3306" s="386">
        <f t="shared" si="105"/>
        <v>182700</v>
      </c>
      <c r="S3306" s="279">
        <v>202304</v>
      </c>
      <c r="T3306" s="184" t="s">
        <v>4375</v>
      </c>
      <c r="U3306" s="213"/>
      <c r="V3306" s="387"/>
      <c r="W3306" s="214"/>
      <c r="X3306" s="388">
        <v>43770</v>
      </c>
      <c r="Y3306" s="388">
        <v>45961</v>
      </c>
    </row>
    <row r="3307" s="5" customFormat="1" customHeight="1" spans="1:25">
      <c r="A3307" s="203" t="s">
        <v>446</v>
      </c>
      <c r="B3307" s="204" t="s">
        <v>4284</v>
      </c>
      <c r="C3307" s="204" t="s">
        <v>63</v>
      </c>
      <c r="D3307" s="204" t="s">
        <v>3038</v>
      </c>
      <c r="E3307" s="205" t="s">
        <v>4285</v>
      </c>
      <c r="F3307" s="203" t="s">
        <v>4286</v>
      </c>
      <c r="G3307" s="203" t="s">
        <v>88</v>
      </c>
      <c r="H3307" s="25" t="s">
        <v>4391</v>
      </c>
      <c r="I3307" s="46" t="e">
        <f>VLOOKUP(H3307,'合同高级查询数据-4月返'!A:A,1,FALSE)</f>
        <v>#N/A</v>
      </c>
      <c r="J3307" s="47" t="s">
        <v>3488</v>
      </c>
      <c r="K3307" s="203" t="s">
        <v>4392</v>
      </c>
      <c r="L3307" s="206"/>
      <c r="M3307" s="49" t="s">
        <v>4369</v>
      </c>
      <c r="N3307" s="73">
        <v>43827</v>
      </c>
      <c r="O3307" s="73" t="s">
        <v>503</v>
      </c>
      <c r="P3307" s="383">
        <v>6300</v>
      </c>
      <c r="Q3307" s="385">
        <v>3</v>
      </c>
      <c r="R3307" s="386">
        <f t="shared" si="105"/>
        <v>18900</v>
      </c>
      <c r="S3307" s="279">
        <v>202304</v>
      </c>
      <c r="T3307" s="184" t="s">
        <v>4376</v>
      </c>
      <c r="U3307" s="213"/>
      <c r="V3307" s="387"/>
      <c r="W3307" s="214"/>
      <c r="X3307" s="388">
        <v>43770</v>
      </c>
      <c r="Y3307" s="388">
        <v>45961</v>
      </c>
    </row>
    <row r="3308" s="5" customFormat="1" customHeight="1" spans="1:25">
      <c r="A3308" s="203" t="s">
        <v>446</v>
      </c>
      <c r="B3308" s="204" t="s">
        <v>4284</v>
      </c>
      <c r="C3308" s="204" t="s">
        <v>63</v>
      </c>
      <c r="D3308" s="204" t="s">
        <v>3038</v>
      </c>
      <c r="E3308" s="205" t="s">
        <v>4285</v>
      </c>
      <c r="F3308" s="203" t="s">
        <v>4286</v>
      </c>
      <c r="G3308" s="203" t="s">
        <v>88</v>
      </c>
      <c r="H3308" s="25" t="s">
        <v>4391</v>
      </c>
      <c r="I3308" s="46" t="e">
        <f>VLOOKUP(H3308,'合同高级查询数据-4月返'!A:A,1,FALSE)</f>
        <v>#N/A</v>
      </c>
      <c r="J3308" s="47" t="s">
        <v>3488</v>
      </c>
      <c r="K3308" s="203" t="s">
        <v>4392</v>
      </c>
      <c r="L3308" s="206"/>
      <c r="M3308" s="49" t="s">
        <v>4369</v>
      </c>
      <c r="N3308" s="73">
        <v>43828</v>
      </c>
      <c r="O3308" s="73" t="s">
        <v>503</v>
      </c>
      <c r="P3308" s="383">
        <v>6300</v>
      </c>
      <c r="Q3308" s="385">
        <v>35</v>
      </c>
      <c r="R3308" s="386">
        <f t="shared" si="105"/>
        <v>220500</v>
      </c>
      <c r="S3308" s="279">
        <v>202304</v>
      </c>
      <c r="T3308" s="184" t="s">
        <v>4376</v>
      </c>
      <c r="U3308" s="213"/>
      <c r="V3308" s="387"/>
      <c r="W3308" s="214"/>
      <c r="X3308" s="388">
        <v>43770</v>
      </c>
      <c r="Y3308" s="388">
        <v>45961</v>
      </c>
    </row>
    <row r="3309" s="5" customFormat="1" customHeight="1" spans="1:25">
      <c r="A3309" s="203" t="s">
        <v>446</v>
      </c>
      <c r="B3309" s="204" t="s">
        <v>4284</v>
      </c>
      <c r="C3309" s="204" t="s">
        <v>63</v>
      </c>
      <c r="D3309" s="204" t="s">
        <v>3038</v>
      </c>
      <c r="E3309" s="205" t="s">
        <v>4285</v>
      </c>
      <c r="F3309" s="203" t="s">
        <v>4286</v>
      </c>
      <c r="G3309" s="203" t="s">
        <v>88</v>
      </c>
      <c r="H3309" s="25" t="s">
        <v>4391</v>
      </c>
      <c r="I3309" s="46" t="e">
        <f>VLOOKUP(H3309,'合同高级查询数据-4月返'!A:A,1,FALSE)</f>
        <v>#N/A</v>
      </c>
      <c r="J3309" s="47" t="s">
        <v>3488</v>
      </c>
      <c r="K3309" s="203" t="s">
        <v>4392</v>
      </c>
      <c r="L3309" s="206"/>
      <c r="M3309" s="49" t="s">
        <v>4369</v>
      </c>
      <c r="N3309" s="73">
        <v>43830</v>
      </c>
      <c r="O3309" s="73" t="s">
        <v>503</v>
      </c>
      <c r="P3309" s="383">
        <v>6300</v>
      </c>
      <c r="Q3309" s="385">
        <v>2</v>
      </c>
      <c r="R3309" s="386">
        <f t="shared" ref="R3309:R3360" si="106">ROUND(P3309*Q3309,2)</f>
        <v>12600</v>
      </c>
      <c r="S3309" s="279">
        <v>202304</v>
      </c>
      <c r="T3309" s="184" t="s">
        <v>4376</v>
      </c>
      <c r="U3309" s="213"/>
      <c r="V3309" s="387"/>
      <c r="W3309" s="214"/>
      <c r="X3309" s="388">
        <v>43770</v>
      </c>
      <c r="Y3309" s="388">
        <v>45961</v>
      </c>
    </row>
    <row r="3310" s="5" customFormat="1" customHeight="1" spans="1:25">
      <c r="A3310" s="203" t="s">
        <v>446</v>
      </c>
      <c r="B3310" s="204" t="s">
        <v>4284</v>
      </c>
      <c r="C3310" s="204" t="s">
        <v>63</v>
      </c>
      <c r="D3310" s="204" t="s">
        <v>3038</v>
      </c>
      <c r="E3310" s="205" t="s">
        <v>4285</v>
      </c>
      <c r="F3310" s="203" t="s">
        <v>4286</v>
      </c>
      <c r="G3310" s="203" t="s">
        <v>88</v>
      </c>
      <c r="H3310" s="25" t="s">
        <v>4391</v>
      </c>
      <c r="I3310" s="46" t="e">
        <f>VLOOKUP(H3310,'合同高级查询数据-4月返'!A:A,1,FALSE)</f>
        <v>#N/A</v>
      </c>
      <c r="J3310" s="47" t="s">
        <v>3488</v>
      </c>
      <c r="K3310" s="203" t="s">
        <v>4392</v>
      </c>
      <c r="L3310" s="206"/>
      <c r="M3310" s="49" t="s">
        <v>4369</v>
      </c>
      <c r="N3310" s="73">
        <v>43832</v>
      </c>
      <c r="O3310" s="73" t="s">
        <v>503</v>
      </c>
      <c r="P3310" s="383">
        <v>6300</v>
      </c>
      <c r="Q3310" s="385">
        <v>9</v>
      </c>
      <c r="R3310" s="386">
        <f t="shared" si="106"/>
        <v>56700</v>
      </c>
      <c r="S3310" s="279">
        <v>202304</v>
      </c>
      <c r="T3310" s="184" t="s">
        <v>4376</v>
      </c>
      <c r="U3310" s="213"/>
      <c r="V3310" s="387"/>
      <c r="W3310" s="214"/>
      <c r="X3310" s="388">
        <v>43770</v>
      </c>
      <c r="Y3310" s="388">
        <v>45961</v>
      </c>
    </row>
    <row r="3311" s="5" customFormat="1" customHeight="1" spans="1:25">
      <c r="A3311" s="203" t="s">
        <v>446</v>
      </c>
      <c r="B3311" s="204" t="s">
        <v>4284</v>
      </c>
      <c r="C3311" s="204" t="s">
        <v>63</v>
      </c>
      <c r="D3311" s="204" t="s">
        <v>3038</v>
      </c>
      <c r="E3311" s="205" t="s">
        <v>4285</v>
      </c>
      <c r="F3311" s="203" t="s">
        <v>4286</v>
      </c>
      <c r="G3311" s="203" t="s">
        <v>88</v>
      </c>
      <c r="H3311" s="25" t="s">
        <v>4391</v>
      </c>
      <c r="I3311" s="46" t="e">
        <f>VLOOKUP(H3311,'合同高级查询数据-4月返'!A:A,1,FALSE)</f>
        <v>#N/A</v>
      </c>
      <c r="J3311" s="47" t="s">
        <v>3488</v>
      </c>
      <c r="K3311" s="203" t="s">
        <v>4392</v>
      </c>
      <c r="L3311" s="206"/>
      <c r="M3311" s="49" t="s">
        <v>4369</v>
      </c>
      <c r="N3311" s="73">
        <v>43847</v>
      </c>
      <c r="O3311" s="73" t="s">
        <v>503</v>
      </c>
      <c r="P3311" s="383">
        <v>6300</v>
      </c>
      <c r="Q3311" s="385">
        <v>31</v>
      </c>
      <c r="R3311" s="386">
        <f t="shared" si="106"/>
        <v>195300</v>
      </c>
      <c r="S3311" s="279">
        <v>202304</v>
      </c>
      <c r="T3311" s="184" t="s">
        <v>4376</v>
      </c>
      <c r="U3311" s="213"/>
      <c r="V3311" s="387"/>
      <c r="W3311" s="214"/>
      <c r="X3311" s="388">
        <v>43770</v>
      </c>
      <c r="Y3311" s="388">
        <v>45961</v>
      </c>
    </row>
    <row r="3312" s="5" customFormat="1" customHeight="1" spans="1:25">
      <c r="A3312" s="203" t="s">
        <v>446</v>
      </c>
      <c r="B3312" s="204" t="s">
        <v>4284</v>
      </c>
      <c r="C3312" s="204" t="s">
        <v>63</v>
      </c>
      <c r="D3312" s="204" t="s">
        <v>3038</v>
      </c>
      <c r="E3312" s="205" t="s">
        <v>4285</v>
      </c>
      <c r="F3312" s="203" t="s">
        <v>4286</v>
      </c>
      <c r="G3312" s="203" t="s">
        <v>88</v>
      </c>
      <c r="H3312" s="25" t="s">
        <v>4391</v>
      </c>
      <c r="I3312" s="46" t="e">
        <f>VLOOKUP(H3312,'合同高级查询数据-4月返'!A:A,1,FALSE)</f>
        <v>#N/A</v>
      </c>
      <c r="J3312" s="47" t="s">
        <v>3488</v>
      </c>
      <c r="K3312" s="203" t="s">
        <v>4392</v>
      </c>
      <c r="L3312" s="206"/>
      <c r="M3312" s="49" t="s">
        <v>4369</v>
      </c>
      <c r="N3312" s="73">
        <v>43845</v>
      </c>
      <c r="O3312" s="73" t="s">
        <v>503</v>
      </c>
      <c r="P3312" s="383">
        <v>6300</v>
      </c>
      <c r="Q3312" s="385">
        <v>5</v>
      </c>
      <c r="R3312" s="386">
        <f t="shared" si="106"/>
        <v>31500</v>
      </c>
      <c r="S3312" s="279">
        <v>202304</v>
      </c>
      <c r="T3312" s="184" t="s">
        <v>4376</v>
      </c>
      <c r="U3312" s="213"/>
      <c r="V3312" s="387"/>
      <c r="W3312" s="214"/>
      <c r="X3312" s="388">
        <v>43770</v>
      </c>
      <c r="Y3312" s="388">
        <v>45961</v>
      </c>
    </row>
    <row r="3313" s="5" customFormat="1" customHeight="1" spans="1:25">
      <c r="A3313" s="203" t="s">
        <v>446</v>
      </c>
      <c r="B3313" s="204" t="s">
        <v>4284</v>
      </c>
      <c r="C3313" s="204" t="s">
        <v>63</v>
      </c>
      <c r="D3313" s="204" t="s">
        <v>3038</v>
      </c>
      <c r="E3313" s="205" t="s">
        <v>4285</v>
      </c>
      <c r="F3313" s="203" t="s">
        <v>4286</v>
      </c>
      <c r="G3313" s="203" t="s">
        <v>88</v>
      </c>
      <c r="H3313" s="25" t="s">
        <v>4391</v>
      </c>
      <c r="I3313" s="46" t="e">
        <f>VLOOKUP(H3313,'合同高级查询数据-4月返'!A:A,1,FALSE)</f>
        <v>#N/A</v>
      </c>
      <c r="J3313" s="47" t="s">
        <v>3488</v>
      </c>
      <c r="K3313" s="203" t="s">
        <v>4392</v>
      </c>
      <c r="L3313" s="206"/>
      <c r="M3313" s="49" t="s">
        <v>4369</v>
      </c>
      <c r="N3313" s="73">
        <v>43861</v>
      </c>
      <c r="O3313" s="73" t="s">
        <v>503</v>
      </c>
      <c r="P3313" s="383">
        <v>6300</v>
      </c>
      <c r="Q3313" s="385">
        <v>1</v>
      </c>
      <c r="R3313" s="386">
        <f t="shared" si="106"/>
        <v>6300</v>
      </c>
      <c r="S3313" s="279">
        <v>202304</v>
      </c>
      <c r="T3313" s="184" t="s">
        <v>4396</v>
      </c>
      <c r="U3313" s="213"/>
      <c r="V3313" s="387"/>
      <c r="W3313" s="214"/>
      <c r="X3313" s="388">
        <v>43770</v>
      </c>
      <c r="Y3313" s="388">
        <v>45961</v>
      </c>
    </row>
    <row r="3314" s="5" customFormat="1" customHeight="1" spans="1:25">
      <c r="A3314" s="203" t="s">
        <v>446</v>
      </c>
      <c r="B3314" s="204" t="s">
        <v>4284</v>
      </c>
      <c r="C3314" s="204" t="s">
        <v>63</v>
      </c>
      <c r="D3314" s="204" t="s">
        <v>3038</v>
      </c>
      <c r="E3314" s="205" t="s">
        <v>4285</v>
      </c>
      <c r="F3314" s="203" t="s">
        <v>4286</v>
      </c>
      <c r="G3314" s="203" t="s">
        <v>88</v>
      </c>
      <c r="H3314" s="25" t="s">
        <v>4391</v>
      </c>
      <c r="I3314" s="46" t="e">
        <f>VLOOKUP(H3314,'合同高级查询数据-4月返'!A:A,1,FALSE)</f>
        <v>#N/A</v>
      </c>
      <c r="J3314" s="47" t="s">
        <v>3488</v>
      </c>
      <c r="K3314" s="203" t="s">
        <v>4392</v>
      </c>
      <c r="L3314" s="206"/>
      <c r="M3314" s="49" t="s">
        <v>4369</v>
      </c>
      <c r="N3314" s="73">
        <v>43892</v>
      </c>
      <c r="O3314" s="73" t="s">
        <v>503</v>
      </c>
      <c r="P3314" s="383">
        <v>6300</v>
      </c>
      <c r="Q3314" s="385">
        <v>2</v>
      </c>
      <c r="R3314" s="386">
        <f t="shared" si="106"/>
        <v>12600</v>
      </c>
      <c r="S3314" s="279">
        <v>202304</v>
      </c>
      <c r="T3314" s="184"/>
      <c r="U3314" s="213"/>
      <c r="V3314" s="387"/>
      <c r="W3314" s="214"/>
      <c r="X3314" s="388">
        <v>43770</v>
      </c>
      <c r="Y3314" s="388">
        <v>45961</v>
      </c>
    </row>
    <row r="3315" s="5" customFormat="1" customHeight="1" spans="1:25">
      <c r="A3315" s="203" t="s">
        <v>446</v>
      </c>
      <c r="B3315" s="204" t="s">
        <v>4284</v>
      </c>
      <c r="C3315" s="204" t="s">
        <v>63</v>
      </c>
      <c r="D3315" s="204" t="s">
        <v>3038</v>
      </c>
      <c r="E3315" s="205" t="s">
        <v>4285</v>
      </c>
      <c r="F3315" s="203" t="s">
        <v>4286</v>
      </c>
      <c r="G3315" s="203" t="s">
        <v>88</v>
      </c>
      <c r="H3315" s="25" t="s">
        <v>4391</v>
      </c>
      <c r="I3315" s="46" t="e">
        <f>VLOOKUP(H3315,'合同高级查询数据-4月返'!A:A,1,FALSE)</f>
        <v>#N/A</v>
      </c>
      <c r="J3315" s="47" t="s">
        <v>3488</v>
      </c>
      <c r="K3315" s="203" t="s">
        <v>4392</v>
      </c>
      <c r="L3315" s="206"/>
      <c r="M3315" s="49" t="s">
        <v>4369</v>
      </c>
      <c r="N3315" s="73">
        <v>43894</v>
      </c>
      <c r="O3315" s="73" t="s">
        <v>503</v>
      </c>
      <c r="P3315" s="383">
        <v>6300</v>
      </c>
      <c r="Q3315" s="385">
        <v>21</v>
      </c>
      <c r="R3315" s="386">
        <f t="shared" si="106"/>
        <v>132300</v>
      </c>
      <c r="S3315" s="279">
        <v>202304</v>
      </c>
      <c r="T3315" s="184"/>
      <c r="U3315" s="213"/>
      <c r="V3315" s="387"/>
      <c r="W3315" s="214"/>
      <c r="X3315" s="388">
        <v>43770</v>
      </c>
      <c r="Y3315" s="388">
        <v>45961</v>
      </c>
    </row>
    <row r="3316" s="5" customFormat="1" customHeight="1" spans="1:25">
      <c r="A3316" s="203" t="s">
        <v>446</v>
      </c>
      <c r="B3316" s="204" t="s">
        <v>4284</v>
      </c>
      <c r="C3316" s="204" t="s">
        <v>63</v>
      </c>
      <c r="D3316" s="204" t="s">
        <v>3038</v>
      </c>
      <c r="E3316" s="205" t="s">
        <v>4285</v>
      </c>
      <c r="F3316" s="203" t="s">
        <v>4286</v>
      </c>
      <c r="G3316" s="203" t="s">
        <v>88</v>
      </c>
      <c r="H3316" s="25" t="s">
        <v>4391</v>
      </c>
      <c r="I3316" s="46" t="e">
        <f>VLOOKUP(H3316,'合同高级查询数据-4月返'!A:A,1,FALSE)</f>
        <v>#N/A</v>
      </c>
      <c r="J3316" s="47" t="s">
        <v>3488</v>
      </c>
      <c r="K3316" s="203" t="s">
        <v>4392</v>
      </c>
      <c r="L3316" s="206"/>
      <c r="M3316" s="49" t="s">
        <v>4369</v>
      </c>
      <c r="N3316" s="73">
        <v>43901</v>
      </c>
      <c r="O3316" s="73" t="s">
        <v>503</v>
      </c>
      <c r="P3316" s="383">
        <v>6300</v>
      </c>
      <c r="Q3316" s="385">
        <v>2</v>
      </c>
      <c r="R3316" s="386">
        <f t="shared" si="106"/>
        <v>12600</v>
      </c>
      <c r="S3316" s="279">
        <v>202304</v>
      </c>
      <c r="T3316" s="184"/>
      <c r="U3316" s="213"/>
      <c r="V3316" s="387"/>
      <c r="W3316" s="214"/>
      <c r="X3316" s="388">
        <v>43770</v>
      </c>
      <c r="Y3316" s="388">
        <v>45961</v>
      </c>
    </row>
    <row r="3317" s="5" customFormat="1" customHeight="1" spans="1:25">
      <c r="A3317" s="203" t="s">
        <v>446</v>
      </c>
      <c r="B3317" s="204" t="s">
        <v>4284</v>
      </c>
      <c r="C3317" s="204" t="s">
        <v>63</v>
      </c>
      <c r="D3317" s="204" t="s">
        <v>3038</v>
      </c>
      <c r="E3317" s="205" t="s">
        <v>4285</v>
      </c>
      <c r="F3317" s="203" t="s">
        <v>4286</v>
      </c>
      <c r="G3317" s="203" t="s">
        <v>88</v>
      </c>
      <c r="H3317" s="25" t="s">
        <v>4391</v>
      </c>
      <c r="I3317" s="46" t="e">
        <f>VLOOKUP(H3317,'合同高级查询数据-4月返'!A:A,1,FALSE)</f>
        <v>#N/A</v>
      </c>
      <c r="J3317" s="47" t="s">
        <v>3488</v>
      </c>
      <c r="K3317" s="203" t="s">
        <v>4392</v>
      </c>
      <c r="L3317" s="206"/>
      <c r="M3317" s="49" t="s">
        <v>4369</v>
      </c>
      <c r="N3317" s="73">
        <v>43903</v>
      </c>
      <c r="O3317" s="73" t="s">
        <v>503</v>
      </c>
      <c r="P3317" s="383">
        <v>6300</v>
      </c>
      <c r="Q3317" s="385">
        <v>6</v>
      </c>
      <c r="R3317" s="386">
        <f t="shared" si="106"/>
        <v>37800</v>
      </c>
      <c r="S3317" s="279">
        <v>202304</v>
      </c>
      <c r="T3317" s="184"/>
      <c r="U3317" s="213"/>
      <c r="V3317" s="387"/>
      <c r="W3317" s="214"/>
      <c r="X3317" s="388">
        <v>43770</v>
      </c>
      <c r="Y3317" s="388">
        <v>45961</v>
      </c>
    </row>
    <row r="3318" s="5" customFormat="1" customHeight="1" spans="1:25">
      <c r="A3318" s="203" t="s">
        <v>446</v>
      </c>
      <c r="B3318" s="204" t="s">
        <v>4284</v>
      </c>
      <c r="C3318" s="204" t="s">
        <v>63</v>
      </c>
      <c r="D3318" s="204" t="s">
        <v>3038</v>
      </c>
      <c r="E3318" s="205" t="s">
        <v>4285</v>
      </c>
      <c r="F3318" s="203" t="s">
        <v>4286</v>
      </c>
      <c r="G3318" s="203" t="s">
        <v>88</v>
      </c>
      <c r="H3318" s="25" t="s">
        <v>4391</v>
      </c>
      <c r="I3318" s="46" t="e">
        <f>VLOOKUP(H3318,'合同高级查询数据-4月返'!A:A,1,FALSE)</f>
        <v>#N/A</v>
      </c>
      <c r="J3318" s="47" t="s">
        <v>3488</v>
      </c>
      <c r="K3318" s="203" t="s">
        <v>4392</v>
      </c>
      <c r="L3318" s="206"/>
      <c r="M3318" s="49" t="s">
        <v>4369</v>
      </c>
      <c r="N3318" s="73">
        <v>43907</v>
      </c>
      <c r="O3318" s="73" t="s">
        <v>503</v>
      </c>
      <c r="P3318" s="383">
        <v>6300</v>
      </c>
      <c r="Q3318" s="385">
        <v>3</v>
      </c>
      <c r="R3318" s="386">
        <f t="shared" si="106"/>
        <v>18900</v>
      </c>
      <c r="S3318" s="279">
        <v>202304</v>
      </c>
      <c r="T3318" s="184"/>
      <c r="U3318" s="213"/>
      <c r="V3318" s="387"/>
      <c r="W3318" s="214"/>
      <c r="X3318" s="388">
        <v>43770</v>
      </c>
      <c r="Y3318" s="388">
        <v>45961</v>
      </c>
    </row>
    <row r="3319" s="5" customFormat="1" customHeight="1" spans="1:25">
      <c r="A3319" s="203" t="s">
        <v>446</v>
      </c>
      <c r="B3319" s="204" t="s">
        <v>4284</v>
      </c>
      <c r="C3319" s="204" t="s">
        <v>63</v>
      </c>
      <c r="D3319" s="204" t="s">
        <v>3038</v>
      </c>
      <c r="E3319" s="205" t="s">
        <v>4285</v>
      </c>
      <c r="F3319" s="203" t="s">
        <v>4286</v>
      </c>
      <c r="G3319" s="203" t="s">
        <v>88</v>
      </c>
      <c r="H3319" s="25" t="s">
        <v>4391</v>
      </c>
      <c r="I3319" s="46" t="e">
        <f>VLOOKUP(H3319,'合同高级查询数据-4月返'!A:A,1,FALSE)</f>
        <v>#N/A</v>
      </c>
      <c r="J3319" s="47" t="s">
        <v>3488</v>
      </c>
      <c r="K3319" s="203" t="s">
        <v>4392</v>
      </c>
      <c r="L3319" s="206"/>
      <c r="M3319" s="49" t="s">
        <v>4369</v>
      </c>
      <c r="N3319" s="73">
        <v>43908</v>
      </c>
      <c r="O3319" s="73" t="s">
        <v>503</v>
      </c>
      <c r="P3319" s="383">
        <v>6300</v>
      </c>
      <c r="Q3319" s="385">
        <v>15</v>
      </c>
      <c r="R3319" s="386">
        <f t="shared" si="106"/>
        <v>94500</v>
      </c>
      <c r="S3319" s="279">
        <v>202304</v>
      </c>
      <c r="T3319" s="184"/>
      <c r="U3319" s="213"/>
      <c r="V3319" s="387"/>
      <c r="W3319" s="214"/>
      <c r="X3319" s="388">
        <v>43770</v>
      </c>
      <c r="Y3319" s="388">
        <v>45961</v>
      </c>
    </row>
    <row r="3320" s="5" customFormat="1" customHeight="1" spans="1:25">
      <c r="A3320" s="203" t="s">
        <v>446</v>
      </c>
      <c r="B3320" s="204" t="s">
        <v>4284</v>
      </c>
      <c r="C3320" s="204" t="s">
        <v>63</v>
      </c>
      <c r="D3320" s="204" t="s">
        <v>3038</v>
      </c>
      <c r="E3320" s="205" t="s">
        <v>4285</v>
      </c>
      <c r="F3320" s="203" t="s">
        <v>4286</v>
      </c>
      <c r="G3320" s="203" t="s">
        <v>88</v>
      </c>
      <c r="H3320" s="25" t="s">
        <v>4391</v>
      </c>
      <c r="I3320" s="46" t="e">
        <f>VLOOKUP(H3320,'合同高级查询数据-4月返'!A:A,1,FALSE)</f>
        <v>#N/A</v>
      </c>
      <c r="J3320" s="47" t="s">
        <v>3488</v>
      </c>
      <c r="K3320" s="203" t="s">
        <v>4392</v>
      </c>
      <c r="L3320" s="206"/>
      <c r="M3320" s="49" t="s">
        <v>4369</v>
      </c>
      <c r="N3320" s="73">
        <v>43917</v>
      </c>
      <c r="O3320" s="73" t="s">
        <v>503</v>
      </c>
      <c r="P3320" s="383">
        <v>6300</v>
      </c>
      <c r="Q3320" s="385">
        <v>3</v>
      </c>
      <c r="R3320" s="386">
        <f t="shared" si="106"/>
        <v>18900</v>
      </c>
      <c r="S3320" s="279">
        <v>202304</v>
      </c>
      <c r="T3320" s="184" t="s">
        <v>4397</v>
      </c>
      <c r="U3320" s="213"/>
      <c r="V3320" s="387"/>
      <c r="W3320" s="214"/>
      <c r="X3320" s="388">
        <v>43770</v>
      </c>
      <c r="Y3320" s="388">
        <v>45961</v>
      </c>
    </row>
    <row r="3321" s="5" customFormat="1" customHeight="1" spans="1:25">
      <c r="A3321" s="203" t="s">
        <v>446</v>
      </c>
      <c r="B3321" s="204" t="s">
        <v>4284</v>
      </c>
      <c r="C3321" s="204" t="s">
        <v>63</v>
      </c>
      <c r="D3321" s="204" t="s">
        <v>3038</v>
      </c>
      <c r="E3321" s="205" t="s">
        <v>4285</v>
      </c>
      <c r="F3321" s="203" t="s">
        <v>4286</v>
      </c>
      <c r="G3321" s="203" t="s">
        <v>88</v>
      </c>
      <c r="H3321" s="25" t="s">
        <v>4391</v>
      </c>
      <c r="I3321" s="46" t="e">
        <f>VLOOKUP(H3321,'合同高级查询数据-4月返'!A:A,1,FALSE)</f>
        <v>#N/A</v>
      </c>
      <c r="J3321" s="47" t="s">
        <v>3488</v>
      </c>
      <c r="K3321" s="203" t="s">
        <v>4392</v>
      </c>
      <c r="L3321" s="206"/>
      <c r="M3321" s="49" t="s">
        <v>4369</v>
      </c>
      <c r="N3321" s="73">
        <v>43934</v>
      </c>
      <c r="O3321" s="73" t="s">
        <v>503</v>
      </c>
      <c r="P3321" s="383">
        <v>6300</v>
      </c>
      <c r="Q3321" s="385">
        <v>2</v>
      </c>
      <c r="R3321" s="386">
        <f t="shared" si="106"/>
        <v>12600</v>
      </c>
      <c r="S3321" s="279">
        <v>202304</v>
      </c>
      <c r="T3321" s="184"/>
      <c r="U3321" s="213"/>
      <c r="V3321" s="387"/>
      <c r="W3321" s="214"/>
      <c r="X3321" s="388">
        <v>43770</v>
      </c>
      <c r="Y3321" s="388">
        <v>45961</v>
      </c>
    </row>
    <row r="3322" s="5" customFormat="1" customHeight="1" spans="1:25">
      <c r="A3322" s="203" t="s">
        <v>446</v>
      </c>
      <c r="B3322" s="204" t="s">
        <v>4284</v>
      </c>
      <c r="C3322" s="204" t="s">
        <v>63</v>
      </c>
      <c r="D3322" s="204" t="s">
        <v>3038</v>
      </c>
      <c r="E3322" s="205" t="s">
        <v>4285</v>
      </c>
      <c r="F3322" s="203" t="s">
        <v>4286</v>
      </c>
      <c r="G3322" s="203" t="s">
        <v>88</v>
      </c>
      <c r="H3322" s="25" t="s">
        <v>4391</v>
      </c>
      <c r="I3322" s="46" t="e">
        <f>VLOOKUP(H3322,'合同高级查询数据-4月返'!A:A,1,FALSE)</f>
        <v>#N/A</v>
      </c>
      <c r="J3322" s="47" t="s">
        <v>3488</v>
      </c>
      <c r="K3322" s="203" t="s">
        <v>4392</v>
      </c>
      <c r="L3322" s="206"/>
      <c r="M3322" s="49" t="s">
        <v>4343</v>
      </c>
      <c r="N3322" s="73">
        <v>43934</v>
      </c>
      <c r="O3322" s="73" t="s">
        <v>503</v>
      </c>
      <c r="P3322" s="383">
        <v>6300</v>
      </c>
      <c r="Q3322" s="385">
        <v>6</v>
      </c>
      <c r="R3322" s="386">
        <f t="shared" si="106"/>
        <v>37800</v>
      </c>
      <c r="S3322" s="279">
        <v>202304</v>
      </c>
      <c r="T3322" s="184"/>
      <c r="U3322" s="213"/>
      <c r="V3322" s="387"/>
      <c r="W3322" s="214"/>
      <c r="X3322" s="388">
        <v>43770</v>
      </c>
      <c r="Y3322" s="388">
        <v>45961</v>
      </c>
    </row>
    <row r="3323" s="5" customFormat="1" customHeight="1" spans="1:25">
      <c r="A3323" s="203" t="s">
        <v>446</v>
      </c>
      <c r="B3323" s="204" t="s">
        <v>4284</v>
      </c>
      <c r="C3323" s="204" t="s">
        <v>63</v>
      </c>
      <c r="D3323" s="204" t="s">
        <v>3038</v>
      </c>
      <c r="E3323" s="205" t="s">
        <v>4285</v>
      </c>
      <c r="F3323" s="203" t="s">
        <v>4286</v>
      </c>
      <c r="G3323" s="203" t="s">
        <v>88</v>
      </c>
      <c r="H3323" s="25" t="s">
        <v>4391</v>
      </c>
      <c r="I3323" s="46" t="e">
        <f>VLOOKUP(H3323,'合同高级查询数据-4月返'!A:A,1,FALSE)</f>
        <v>#N/A</v>
      </c>
      <c r="J3323" s="47" t="s">
        <v>3488</v>
      </c>
      <c r="K3323" s="203" t="s">
        <v>4392</v>
      </c>
      <c r="L3323" s="206"/>
      <c r="M3323" s="49" t="s">
        <v>4369</v>
      </c>
      <c r="N3323" s="73">
        <v>43936</v>
      </c>
      <c r="O3323" s="73" t="s">
        <v>503</v>
      </c>
      <c r="P3323" s="383">
        <v>6300</v>
      </c>
      <c r="Q3323" s="385">
        <v>9</v>
      </c>
      <c r="R3323" s="386">
        <f t="shared" si="106"/>
        <v>56700</v>
      </c>
      <c r="S3323" s="279">
        <v>202304</v>
      </c>
      <c r="T3323" s="184"/>
      <c r="U3323" s="213"/>
      <c r="V3323" s="387"/>
      <c r="W3323" s="214"/>
      <c r="X3323" s="388">
        <v>43770</v>
      </c>
      <c r="Y3323" s="388">
        <v>45961</v>
      </c>
    </row>
    <row r="3324" s="5" customFormat="1" customHeight="1" spans="1:25">
      <c r="A3324" s="203" t="s">
        <v>446</v>
      </c>
      <c r="B3324" s="204" t="s">
        <v>4284</v>
      </c>
      <c r="C3324" s="204" t="s">
        <v>63</v>
      </c>
      <c r="D3324" s="204" t="s">
        <v>3038</v>
      </c>
      <c r="E3324" s="205" t="s">
        <v>4285</v>
      </c>
      <c r="F3324" s="203" t="s">
        <v>4286</v>
      </c>
      <c r="G3324" s="203" t="s">
        <v>88</v>
      </c>
      <c r="H3324" s="25" t="s">
        <v>4391</v>
      </c>
      <c r="I3324" s="46" t="e">
        <f>VLOOKUP(H3324,'合同高级查询数据-4月返'!A:A,1,FALSE)</f>
        <v>#N/A</v>
      </c>
      <c r="J3324" s="47" t="s">
        <v>3488</v>
      </c>
      <c r="K3324" s="203" t="s">
        <v>4392</v>
      </c>
      <c r="L3324" s="206"/>
      <c r="M3324" s="49" t="s">
        <v>4343</v>
      </c>
      <c r="N3324" s="73">
        <v>43945</v>
      </c>
      <c r="O3324" s="73" t="s">
        <v>503</v>
      </c>
      <c r="P3324" s="383">
        <v>6300</v>
      </c>
      <c r="Q3324" s="385">
        <v>48</v>
      </c>
      <c r="R3324" s="386">
        <f t="shared" si="106"/>
        <v>302400</v>
      </c>
      <c r="S3324" s="279">
        <v>202304</v>
      </c>
      <c r="T3324" s="184" t="s">
        <v>4398</v>
      </c>
      <c r="U3324" s="213"/>
      <c r="V3324" s="387"/>
      <c r="W3324" s="214"/>
      <c r="X3324" s="388">
        <v>43770</v>
      </c>
      <c r="Y3324" s="388">
        <v>45961</v>
      </c>
    </row>
    <row r="3325" s="5" customFormat="1" customHeight="1" spans="1:25">
      <c r="A3325" s="203" t="s">
        <v>446</v>
      </c>
      <c r="B3325" s="204" t="s">
        <v>4284</v>
      </c>
      <c r="C3325" s="204" t="s">
        <v>63</v>
      </c>
      <c r="D3325" s="204" t="s">
        <v>3038</v>
      </c>
      <c r="E3325" s="205" t="s">
        <v>4285</v>
      </c>
      <c r="F3325" s="203" t="s">
        <v>4286</v>
      </c>
      <c r="G3325" s="203" t="s">
        <v>88</v>
      </c>
      <c r="H3325" s="25" t="s">
        <v>4391</v>
      </c>
      <c r="I3325" s="46" t="e">
        <f>VLOOKUP(H3325,'合同高级查询数据-4月返'!A:A,1,FALSE)</f>
        <v>#N/A</v>
      </c>
      <c r="J3325" s="47" t="s">
        <v>3488</v>
      </c>
      <c r="K3325" s="203" t="s">
        <v>4392</v>
      </c>
      <c r="L3325" s="206"/>
      <c r="M3325" s="49" t="s">
        <v>4343</v>
      </c>
      <c r="N3325" s="73">
        <v>43945</v>
      </c>
      <c r="O3325" s="73" t="s">
        <v>606</v>
      </c>
      <c r="P3325" s="383">
        <v>34368</v>
      </c>
      <c r="Q3325" s="385">
        <v>4</v>
      </c>
      <c r="R3325" s="386">
        <f t="shared" si="106"/>
        <v>137472</v>
      </c>
      <c r="S3325" s="279">
        <v>202304</v>
      </c>
      <c r="T3325" s="184" t="s">
        <v>4398</v>
      </c>
      <c r="U3325" s="213"/>
      <c r="V3325" s="387"/>
      <c r="W3325" s="214"/>
      <c r="X3325" s="388">
        <v>43770</v>
      </c>
      <c r="Y3325" s="388">
        <v>45961</v>
      </c>
    </row>
    <row r="3326" s="5" customFormat="1" customHeight="1" spans="1:25">
      <c r="A3326" s="203" t="s">
        <v>446</v>
      </c>
      <c r="B3326" s="204" t="s">
        <v>4284</v>
      </c>
      <c r="C3326" s="204" t="s">
        <v>63</v>
      </c>
      <c r="D3326" s="204" t="s">
        <v>3038</v>
      </c>
      <c r="E3326" s="205" t="s">
        <v>4285</v>
      </c>
      <c r="F3326" s="203" t="s">
        <v>4286</v>
      </c>
      <c r="G3326" s="203" t="s">
        <v>88</v>
      </c>
      <c r="H3326" s="25" t="s">
        <v>4391</v>
      </c>
      <c r="I3326" s="46" t="e">
        <f>VLOOKUP(H3326,'合同高级查询数据-4月返'!A:A,1,FALSE)</f>
        <v>#N/A</v>
      </c>
      <c r="J3326" s="47" t="s">
        <v>3488</v>
      </c>
      <c r="K3326" s="203" t="s">
        <v>4392</v>
      </c>
      <c r="L3326" s="206"/>
      <c r="M3326" s="49" t="s">
        <v>4343</v>
      </c>
      <c r="N3326" s="73">
        <v>43946</v>
      </c>
      <c r="O3326" s="73" t="s">
        <v>503</v>
      </c>
      <c r="P3326" s="383">
        <v>6300</v>
      </c>
      <c r="Q3326" s="385">
        <v>25</v>
      </c>
      <c r="R3326" s="386">
        <f t="shared" si="106"/>
        <v>157500</v>
      </c>
      <c r="S3326" s="279">
        <v>202304</v>
      </c>
      <c r="T3326" s="184" t="s">
        <v>4398</v>
      </c>
      <c r="U3326" s="213"/>
      <c r="V3326" s="387"/>
      <c r="W3326" s="214"/>
      <c r="X3326" s="388">
        <v>43770</v>
      </c>
      <c r="Y3326" s="388">
        <v>45961</v>
      </c>
    </row>
    <row r="3327" s="5" customFormat="1" customHeight="1" spans="1:25">
      <c r="A3327" s="203" t="s">
        <v>446</v>
      </c>
      <c r="B3327" s="204" t="s">
        <v>4284</v>
      </c>
      <c r="C3327" s="204" t="s">
        <v>63</v>
      </c>
      <c r="D3327" s="204" t="s">
        <v>3038</v>
      </c>
      <c r="E3327" s="205" t="s">
        <v>4285</v>
      </c>
      <c r="F3327" s="203" t="s">
        <v>4286</v>
      </c>
      <c r="G3327" s="203" t="s">
        <v>88</v>
      </c>
      <c r="H3327" s="25" t="s">
        <v>4391</v>
      </c>
      <c r="I3327" s="46" t="e">
        <f>VLOOKUP(H3327,'合同高级查询数据-4月返'!A:A,1,FALSE)</f>
        <v>#N/A</v>
      </c>
      <c r="J3327" s="47" t="s">
        <v>3488</v>
      </c>
      <c r="K3327" s="203" t="s">
        <v>4392</v>
      </c>
      <c r="L3327" s="206"/>
      <c r="M3327" s="49" t="s">
        <v>4343</v>
      </c>
      <c r="N3327" s="73">
        <v>43946</v>
      </c>
      <c r="O3327" s="73" t="s">
        <v>503</v>
      </c>
      <c r="P3327" s="383">
        <v>6300</v>
      </c>
      <c r="Q3327" s="385">
        <v>12</v>
      </c>
      <c r="R3327" s="386">
        <f t="shared" si="106"/>
        <v>75600</v>
      </c>
      <c r="S3327" s="279">
        <v>202304</v>
      </c>
      <c r="T3327" s="184"/>
      <c r="U3327" s="213"/>
      <c r="V3327" s="387"/>
      <c r="W3327" s="214"/>
      <c r="X3327" s="388">
        <v>43770</v>
      </c>
      <c r="Y3327" s="388">
        <v>45961</v>
      </c>
    </row>
    <row r="3328" s="5" customFormat="1" customHeight="1" spans="1:25">
      <c r="A3328" s="203" t="s">
        <v>446</v>
      </c>
      <c r="B3328" s="204" t="s">
        <v>4284</v>
      </c>
      <c r="C3328" s="204" t="s">
        <v>63</v>
      </c>
      <c r="D3328" s="204" t="s">
        <v>3038</v>
      </c>
      <c r="E3328" s="205" t="s">
        <v>4285</v>
      </c>
      <c r="F3328" s="203" t="s">
        <v>4286</v>
      </c>
      <c r="G3328" s="203" t="s">
        <v>88</v>
      </c>
      <c r="H3328" s="25" t="s">
        <v>4391</v>
      </c>
      <c r="I3328" s="46" t="e">
        <f>VLOOKUP(H3328,'合同高级查询数据-4月返'!A:A,1,FALSE)</f>
        <v>#N/A</v>
      </c>
      <c r="J3328" s="47" t="s">
        <v>3488</v>
      </c>
      <c r="K3328" s="203" t="s">
        <v>4392</v>
      </c>
      <c r="L3328" s="206"/>
      <c r="M3328" s="49" t="s">
        <v>4369</v>
      </c>
      <c r="N3328" s="73">
        <v>43959</v>
      </c>
      <c r="O3328" s="73" t="s">
        <v>503</v>
      </c>
      <c r="P3328" s="383">
        <v>6300</v>
      </c>
      <c r="Q3328" s="385">
        <v>14</v>
      </c>
      <c r="R3328" s="386">
        <f t="shared" si="106"/>
        <v>88200</v>
      </c>
      <c r="S3328" s="279">
        <v>202304</v>
      </c>
      <c r="T3328" s="184"/>
      <c r="U3328" s="213"/>
      <c r="V3328" s="387"/>
      <c r="W3328" s="214"/>
      <c r="X3328" s="388">
        <v>43770</v>
      </c>
      <c r="Y3328" s="388">
        <v>45961</v>
      </c>
    </row>
    <row r="3329" s="5" customFormat="1" customHeight="1" spans="1:25">
      <c r="A3329" s="203" t="s">
        <v>446</v>
      </c>
      <c r="B3329" s="204" t="s">
        <v>4284</v>
      </c>
      <c r="C3329" s="204" t="s">
        <v>63</v>
      </c>
      <c r="D3329" s="204" t="s">
        <v>3038</v>
      </c>
      <c r="E3329" s="205" t="s">
        <v>4285</v>
      </c>
      <c r="F3329" s="203" t="s">
        <v>4286</v>
      </c>
      <c r="G3329" s="203" t="s">
        <v>88</v>
      </c>
      <c r="H3329" s="25" t="s">
        <v>4391</v>
      </c>
      <c r="I3329" s="46" t="e">
        <f>VLOOKUP(H3329,'合同高级查询数据-4月返'!A:A,1,FALSE)</f>
        <v>#N/A</v>
      </c>
      <c r="J3329" s="47" t="s">
        <v>3488</v>
      </c>
      <c r="K3329" s="203" t="s">
        <v>4392</v>
      </c>
      <c r="L3329" s="206"/>
      <c r="M3329" s="49" t="s">
        <v>4369</v>
      </c>
      <c r="N3329" s="73">
        <v>43964</v>
      </c>
      <c r="O3329" s="73" t="s">
        <v>503</v>
      </c>
      <c r="P3329" s="383">
        <v>6300</v>
      </c>
      <c r="Q3329" s="385">
        <v>4</v>
      </c>
      <c r="R3329" s="386">
        <f t="shared" si="106"/>
        <v>25200</v>
      </c>
      <c r="S3329" s="279">
        <v>202304</v>
      </c>
      <c r="T3329" s="184"/>
      <c r="U3329" s="213"/>
      <c r="V3329" s="387"/>
      <c r="W3329" s="214"/>
      <c r="X3329" s="388">
        <v>43770</v>
      </c>
      <c r="Y3329" s="388">
        <v>45961</v>
      </c>
    </row>
    <row r="3330" s="5" customFormat="1" customHeight="1" spans="1:25">
      <c r="A3330" s="203" t="s">
        <v>446</v>
      </c>
      <c r="B3330" s="204" t="s">
        <v>4284</v>
      </c>
      <c r="C3330" s="204" t="s">
        <v>63</v>
      </c>
      <c r="D3330" s="204" t="s">
        <v>3038</v>
      </c>
      <c r="E3330" s="205" t="s">
        <v>4285</v>
      </c>
      <c r="F3330" s="203" t="s">
        <v>4286</v>
      </c>
      <c r="G3330" s="203" t="s">
        <v>88</v>
      </c>
      <c r="H3330" s="25" t="s">
        <v>4391</v>
      </c>
      <c r="I3330" s="46" t="e">
        <f>VLOOKUP(H3330,'合同高级查询数据-4月返'!A:A,1,FALSE)</f>
        <v>#N/A</v>
      </c>
      <c r="J3330" s="47" t="s">
        <v>3488</v>
      </c>
      <c r="K3330" s="203" t="s">
        <v>4392</v>
      </c>
      <c r="L3330" s="206"/>
      <c r="M3330" s="49" t="s">
        <v>4369</v>
      </c>
      <c r="N3330" s="73">
        <v>43966</v>
      </c>
      <c r="O3330" s="73" t="s">
        <v>503</v>
      </c>
      <c r="P3330" s="383">
        <v>6300</v>
      </c>
      <c r="Q3330" s="385">
        <v>8</v>
      </c>
      <c r="R3330" s="386">
        <f t="shared" si="106"/>
        <v>50400</v>
      </c>
      <c r="S3330" s="279">
        <v>202304</v>
      </c>
      <c r="T3330" s="184" t="s">
        <v>4399</v>
      </c>
      <c r="U3330" s="213"/>
      <c r="V3330" s="387"/>
      <c r="W3330" s="214"/>
      <c r="X3330" s="388">
        <v>43770</v>
      </c>
      <c r="Y3330" s="388">
        <v>45961</v>
      </c>
    </row>
    <row r="3331" s="5" customFormat="1" customHeight="1" spans="1:25">
      <c r="A3331" s="203" t="s">
        <v>446</v>
      </c>
      <c r="B3331" s="204" t="s">
        <v>4284</v>
      </c>
      <c r="C3331" s="204" t="s">
        <v>63</v>
      </c>
      <c r="D3331" s="204" t="s">
        <v>3038</v>
      </c>
      <c r="E3331" s="205" t="s">
        <v>4285</v>
      </c>
      <c r="F3331" s="203" t="s">
        <v>4286</v>
      </c>
      <c r="G3331" s="203" t="s">
        <v>88</v>
      </c>
      <c r="H3331" s="25" t="s">
        <v>4391</v>
      </c>
      <c r="I3331" s="46" t="e">
        <f>VLOOKUP(H3331,'合同高级查询数据-4月返'!A:A,1,FALSE)</f>
        <v>#N/A</v>
      </c>
      <c r="J3331" s="47" t="s">
        <v>3488</v>
      </c>
      <c r="K3331" s="203" t="s">
        <v>4392</v>
      </c>
      <c r="L3331" s="206"/>
      <c r="M3331" s="49" t="s">
        <v>4400</v>
      </c>
      <c r="N3331" s="73">
        <v>44025</v>
      </c>
      <c r="O3331" s="73" t="s">
        <v>503</v>
      </c>
      <c r="P3331" s="383">
        <v>6300</v>
      </c>
      <c r="Q3331" s="385">
        <v>21</v>
      </c>
      <c r="R3331" s="207">
        <f t="shared" si="106"/>
        <v>132300</v>
      </c>
      <c r="S3331" s="279">
        <v>202304</v>
      </c>
      <c r="T3331" s="184" t="s">
        <v>4401</v>
      </c>
      <c r="U3331" s="213"/>
      <c r="V3331" s="387"/>
      <c r="W3331" s="214"/>
      <c r="X3331" s="388">
        <v>43770</v>
      </c>
      <c r="Y3331" s="388">
        <v>45961</v>
      </c>
    </row>
    <row r="3332" s="5" customFormat="1" customHeight="1" spans="1:25">
      <c r="A3332" s="203" t="s">
        <v>446</v>
      </c>
      <c r="B3332" s="204" t="s">
        <v>4284</v>
      </c>
      <c r="C3332" s="204" t="s">
        <v>63</v>
      </c>
      <c r="D3332" s="204" t="s">
        <v>3038</v>
      </c>
      <c r="E3332" s="205" t="s">
        <v>4285</v>
      </c>
      <c r="F3332" s="203" t="s">
        <v>4286</v>
      </c>
      <c r="G3332" s="203" t="s">
        <v>88</v>
      </c>
      <c r="H3332" s="25" t="s">
        <v>4391</v>
      </c>
      <c r="I3332" s="46" t="e">
        <f>VLOOKUP(H3332,'合同高级查询数据-4月返'!A:A,1,FALSE)</f>
        <v>#N/A</v>
      </c>
      <c r="J3332" s="47" t="s">
        <v>3488</v>
      </c>
      <c r="K3332" s="203" t="s">
        <v>4392</v>
      </c>
      <c r="L3332" s="206"/>
      <c r="M3332" s="49" t="s">
        <v>4400</v>
      </c>
      <c r="N3332" s="73">
        <v>44033</v>
      </c>
      <c r="O3332" s="73" t="s">
        <v>503</v>
      </c>
      <c r="P3332" s="383">
        <v>6300</v>
      </c>
      <c r="Q3332" s="385">
        <v>-3</v>
      </c>
      <c r="R3332" s="207">
        <f t="shared" si="106"/>
        <v>-18900</v>
      </c>
      <c r="S3332" s="279">
        <v>202304</v>
      </c>
      <c r="T3332" s="184" t="s">
        <v>4402</v>
      </c>
      <c r="U3332" s="213"/>
      <c r="V3332" s="387"/>
      <c r="W3332" s="214"/>
      <c r="X3332" s="388">
        <v>43770</v>
      </c>
      <c r="Y3332" s="388">
        <v>45961</v>
      </c>
    </row>
    <row r="3333" s="5" customFormat="1" customHeight="1" spans="1:25">
      <c r="A3333" s="203" t="s">
        <v>446</v>
      </c>
      <c r="B3333" s="204" t="s">
        <v>4284</v>
      </c>
      <c r="C3333" s="204" t="s">
        <v>63</v>
      </c>
      <c r="D3333" s="204" t="s">
        <v>3038</v>
      </c>
      <c r="E3333" s="205" t="s">
        <v>4285</v>
      </c>
      <c r="F3333" s="203" t="s">
        <v>4286</v>
      </c>
      <c r="G3333" s="203" t="s">
        <v>88</v>
      </c>
      <c r="H3333" s="25" t="s">
        <v>4391</v>
      </c>
      <c r="I3333" s="46" t="e">
        <f>VLOOKUP(H3333,'合同高级查询数据-4月返'!A:A,1,FALSE)</f>
        <v>#N/A</v>
      </c>
      <c r="J3333" s="47" t="s">
        <v>3488</v>
      </c>
      <c r="K3333" s="203" t="s">
        <v>4392</v>
      </c>
      <c r="L3333" s="206"/>
      <c r="M3333" s="49" t="s">
        <v>4400</v>
      </c>
      <c r="N3333" s="73">
        <v>44027</v>
      </c>
      <c r="O3333" s="73" t="s">
        <v>503</v>
      </c>
      <c r="P3333" s="383">
        <v>6300</v>
      </c>
      <c r="Q3333" s="385">
        <v>12</v>
      </c>
      <c r="R3333" s="207">
        <f t="shared" si="106"/>
        <v>75600</v>
      </c>
      <c r="S3333" s="279">
        <v>202304</v>
      </c>
      <c r="T3333" s="184" t="s">
        <v>4403</v>
      </c>
      <c r="U3333" s="213"/>
      <c r="V3333" s="387"/>
      <c r="W3333" s="214"/>
      <c r="X3333" s="388">
        <v>43770</v>
      </c>
      <c r="Y3333" s="388">
        <v>45961</v>
      </c>
    </row>
    <row r="3334" s="5" customFormat="1" customHeight="1" spans="1:25">
      <c r="A3334" s="203" t="s">
        <v>446</v>
      </c>
      <c r="B3334" s="204" t="s">
        <v>4284</v>
      </c>
      <c r="C3334" s="204" t="s">
        <v>63</v>
      </c>
      <c r="D3334" s="204" t="s">
        <v>3038</v>
      </c>
      <c r="E3334" s="205" t="s">
        <v>4285</v>
      </c>
      <c r="F3334" s="203" t="s">
        <v>4286</v>
      </c>
      <c r="G3334" s="203" t="s">
        <v>88</v>
      </c>
      <c r="H3334" s="25" t="s">
        <v>4391</v>
      </c>
      <c r="I3334" s="46" t="e">
        <f>VLOOKUP(H3334,'合同高级查询数据-4月返'!A:A,1,FALSE)</f>
        <v>#N/A</v>
      </c>
      <c r="J3334" s="47" t="s">
        <v>3488</v>
      </c>
      <c r="K3334" s="203" t="s">
        <v>4392</v>
      </c>
      <c r="L3334" s="206"/>
      <c r="M3334" s="49" t="s">
        <v>4400</v>
      </c>
      <c r="N3334" s="73">
        <v>44034</v>
      </c>
      <c r="O3334" s="73" t="s">
        <v>503</v>
      </c>
      <c r="P3334" s="383">
        <v>6300</v>
      </c>
      <c r="Q3334" s="385">
        <v>9</v>
      </c>
      <c r="R3334" s="207">
        <f t="shared" si="106"/>
        <v>56700</v>
      </c>
      <c r="S3334" s="279">
        <v>202304</v>
      </c>
      <c r="T3334" s="184" t="s">
        <v>4404</v>
      </c>
      <c r="U3334" s="213"/>
      <c r="V3334" s="387"/>
      <c r="W3334" s="214"/>
      <c r="X3334" s="388">
        <v>43770</v>
      </c>
      <c r="Y3334" s="388">
        <v>45961</v>
      </c>
    </row>
    <row r="3335" s="3" customFormat="1" customHeight="1" spans="1:25">
      <c r="A3335" s="154" t="s">
        <v>446</v>
      </c>
      <c r="B3335" s="292" t="s">
        <v>4284</v>
      </c>
      <c r="C3335" s="292" t="s">
        <v>63</v>
      </c>
      <c r="D3335" s="292" t="s">
        <v>3038</v>
      </c>
      <c r="E3335" s="153" t="s">
        <v>4285</v>
      </c>
      <c r="F3335" s="154" t="s">
        <v>4286</v>
      </c>
      <c r="G3335" s="154" t="s">
        <v>88</v>
      </c>
      <c r="H3335" s="110" t="s">
        <v>4405</v>
      </c>
      <c r="I3335" s="30" t="e">
        <f>VLOOKUP(H3335,'合同高级查询数据-4月返'!A:A,1,FALSE)</f>
        <v>#N/A</v>
      </c>
      <c r="J3335" s="31" t="s">
        <v>3488</v>
      </c>
      <c r="K3335" s="154" t="s">
        <v>4392</v>
      </c>
      <c r="L3335" s="293"/>
      <c r="M3335" s="113" t="s">
        <v>4369</v>
      </c>
      <c r="N3335" s="146"/>
      <c r="O3335" s="146" t="s">
        <v>600</v>
      </c>
      <c r="P3335" s="384">
        <v>0</v>
      </c>
      <c r="Q3335" s="389">
        <v>10</v>
      </c>
      <c r="R3335" s="157">
        <f t="shared" si="106"/>
        <v>0</v>
      </c>
      <c r="S3335" s="277">
        <v>202304</v>
      </c>
      <c r="T3335" s="198" t="s">
        <v>4406</v>
      </c>
      <c r="U3335" s="391"/>
      <c r="V3335" s="392"/>
      <c r="W3335" s="393"/>
      <c r="X3335" s="394"/>
      <c r="Y3335" s="394"/>
    </row>
    <row r="3336" s="5" customFormat="1" customHeight="1" spans="1:25">
      <c r="A3336" s="203" t="s">
        <v>446</v>
      </c>
      <c r="B3336" s="204" t="s">
        <v>4284</v>
      </c>
      <c r="C3336" s="204" t="s">
        <v>63</v>
      </c>
      <c r="D3336" s="204" t="s">
        <v>3038</v>
      </c>
      <c r="E3336" s="205" t="s">
        <v>4285</v>
      </c>
      <c r="F3336" s="203" t="s">
        <v>4286</v>
      </c>
      <c r="G3336" s="203" t="s">
        <v>88</v>
      </c>
      <c r="H3336" s="25" t="s">
        <v>4391</v>
      </c>
      <c r="I3336" s="46" t="e">
        <f>VLOOKUP(H3336,'合同高级查询数据-4月返'!A:A,1,FALSE)</f>
        <v>#N/A</v>
      </c>
      <c r="J3336" s="47" t="s">
        <v>3488</v>
      </c>
      <c r="K3336" s="203" t="s">
        <v>4392</v>
      </c>
      <c r="L3336" s="206"/>
      <c r="M3336" s="49" t="s">
        <v>4400</v>
      </c>
      <c r="N3336" s="73">
        <v>44151</v>
      </c>
      <c r="O3336" s="73" t="s">
        <v>503</v>
      </c>
      <c r="P3336" s="383">
        <v>6300</v>
      </c>
      <c r="Q3336" s="385">
        <v>17</v>
      </c>
      <c r="R3336" s="207">
        <f t="shared" si="106"/>
        <v>107100</v>
      </c>
      <c r="S3336" s="279">
        <v>202304</v>
      </c>
      <c r="T3336" s="184" t="s">
        <v>4407</v>
      </c>
      <c r="U3336" s="213"/>
      <c r="V3336" s="387"/>
      <c r="W3336" s="214"/>
      <c r="X3336" s="388">
        <v>43770</v>
      </c>
      <c r="Y3336" s="388">
        <v>45961</v>
      </c>
    </row>
    <row r="3337" s="5" customFormat="1" customHeight="1" spans="1:25">
      <c r="A3337" s="203" t="s">
        <v>446</v>
      </c>
      <c r="B3337" s="204" t="s">
        <v>4284</v>
      </c>
      <c r="C3337" s="204" t="s">
        <v>63</v>
      </c>
      <c r="D3337" s="204" t="s">
        <v>3038</v>
      </c>
      <c r="E3337" s="205" t="s">
        <v>4285</v>
      </c>
      <c r="F3337" s="203" t="s">
        <v>4286</v>
      </c>
      <c r="G3337" s="203" t="s">
        <v>88</v>
      </c>
      <c r="H3337" s="25" t="s">
        <v>4391</v>
      </c>
      <c r="I3337" s="46" t="e">
        <f>VLOOKUP(H3337,'合同高级查询数据-4月返'!A:A,1,FALSE)</f>
        <v>#N/A</v>
      </c>
      <c r="J3337" s="47" t="s">
        <v>3488</v>
      </c>
      <c r="K3337" s="203" t="s">
        <v>4392</v>
      </c>
      <c r="L3337" s="206"/>
      <c r="M3337" s="49" t="s">
        <v>4400</v>
      </c>
      <c r="N3337" s="73">
        <v>44153</v>
      </c>
      <c r="O3337" s="73" t="s">
        <v>503</v>
      </c>
      <c r="P3337" s="383">
        <v>6300</v>
      </c>
      <c r="Q3337" s="385">
        <v>1</v>
      </c>
      <c r="R3337" s="207">
        <f t="shared" si="106"/>
        <v>6300</v>
      </c>
      <c r="S3337" s="279">
        <v>202304</v>
      </c>
      <c r="T3337" s="184" t="s">
        <v>4408</v>
      </c>
      <c r="U3337" s="213"/>
      <c r="V3337" s="387"/>
      <c r="W3337" s="214"/>
      <c r="X3337" s="388">
        <v>43770</v>
      </c>
      <c r="Y3337" s="388">
        <v>45961</v>
      </c>
    </row>
    <row r="3338" s="5" customFormat="1" customHeight="1" spans="1:25">
      <c r="A3338" s="203" t="s">
        <v>446</v>
      </c>
      <c r="B3338" s="204" t="s">
        <v>4284</v>
      </c>
      <c r="C3338" s="204" t="s">
        <v>63</v>
      </c>
      <c r="D3338" s="204" t="s">
        <v>3038</v>
      </c>
      <c r="E3338" s="205" t="s">
        <v>4285</v>
      </c>
      <c r="F3338" s="203" t="s">
        <v>4286</v>
      </c>
      <c r="G3338" s="203" t="s">
        <v>88</v>
      </c>
      <c r="H3338" s="25" t="s">
        <v>4391</v>
      </c>
      <c r="I3338" s="46" t="e">
        <f>VLOOKUP(H3338,'合同高级查询数据-4月返'!A:A,1,FALSE)</f>
        <v>#N/A</v>
      </c>
      <c r="J3338" s="47" t="s">
        <v>3488</v>
      </c>
      <c r="K3338" s="203" t="s">
        <v>4392</v>
      </c>
      <c r="L3338" s="206"/>
      <c r="M3338" s="49" t="s">
        <v>4400</v>
      </c>
      <c r="N3338" s="73">
        <v>44154</v>
      </c>
      <c r="O3338" s="73" t="s">
        <v>503</v>
      </c>
      <c r="P3338" s="383">
        <v>6300</v>
      </c>
      <c r="Q3338" s="385">
        <v>6</v>
      </c>
      <c r="R3338" s="207">
        <f t="shared" si="106"/>
        <v>37800</v>
      </c>
      <c r="S3338" s="279">
        <v>202304</v>
      </c>
      <c r="T3338" s="184" t="s">
        <v>4409</v>
      </c>
      <c r="U3338" s="213"/>
      <c r="V3338" s="387"/>
      <c r="W3338" s="214"/>
      <c r="X3338" s="388">
        <v>43770</v>
      </c>
      <c r="Y3338" s="388">
        <v>45961</v>
      </c>
    </row>
    <row r="3339" s="5" customFormat="1" customHeight="1" spans="1:25">
      <c r="A3339" s="203" t="s">
        <v>446</v>
      </c>
      <c r="B3339" s="204" t="s">
        <v>4284</v>
      </c>
      <c r="C3339" s="204" t="s">
        <v>63</v>
      </c>
      <c r="D3339" s="204" t="s">
        <v>3038</v>
      </c>
      <c r="E3339" s="205" t="s">
        <v>4285</v>
      </c>
      <c r="F3339" s="203" t="s">
        <v>4286</v>
      </c>
      <c r="G3339" s="203" t="s">
        <v>88</v>
      </c>
      <c r="H3339" s="25" t="s">
        <v>4391</v>
      </c>
      <c r="I3339" s="46" t="e">
        <f>VLOOKUP(H3339,'合同高级查询数据-4月返'!A:A,1,FALSE)</f>
        <v>#N/A</v>
      </c>
      <c r="J3339" s="47" t="s">
        <v>3488</v>
      </c>
      <c r="K3339" s="203" t="s">
        <v>4392</v>
      </c>
      <c r="L3339" s="206"/>
      <c r="M3339" s="49" t="s">
        <v>4369</v>
      </c>
      <c r="N3339" s="73">
        <v>44089</v>
      </c>
      <c r="O3339" s="73" t="s">
        <v>503</v>
      </c>
      <c r="P3339" s="383">
        <v>6300</v>
      </c>
      <c r="Q3339" s="385">
        <v>2</v>
      </c>
      <c r="R3339" s="207">
        <f t="shared" si="106"/>
        <v>12600</v>
      </c>
      <c r="S3339" s="279">
        <v>202304</v>
      </c>
      <c r="T3339" s="184" t="s">
        <v>4410</v>
      </c>
      <c r="U3339" s="213"/>
      <c r="V3339" s="387"/>
      <c r="W3339" s="214"/>
      <c r="X3339" s="388">
        <v>43770</v>
      </c>
      <c r="Y3339" s="388">
        <v>45961</v>
      </c>
    </row>
    <row r="3340" s="5" customFormat="1" customHeight="1" spans="1:25">
      <c r="A3340" s="203" t="s">
        <v>446</v>
      </c>
      <c r="B3340" s="204" t="s">
        <v>4284</v>
      </c>
      <c r="C3340" s="204" t="s">
        <v>63</v>
      </c>
      <c r="D3340" s="204" t="s">
        <v>3038</v>
      </c>
      <c r="E3340" s="205" t="s">
        <v>4285</v>
      </c>
      <c r="F3340" s="203" t="s">
        <v>4286</v>
      </c>
      <c r="G3340" s="203" t="s">
        <v>88</v>
      </c>
      <c r="H3340" s="25" t="s">
        <v>4391</v>
      </c>
      <c r="I3340" s="46" t="e">
        <f>VLOOKUP(H3340,'合同高级查询数据-4月返'!A:A,1,FALSE)</f>
        <v>#N/A</v>
      </c>
      <c r="J3340" s="47" t="s">
        <v>3488</v>
      </c>
      <c r="K3340" s="203" t="s">
        <v>4392</v>
      </c>
      <c r="L3340" s="206"/>
      <c r="M3340" s="49" t="s">
        <v>4369</v>
      </c>
      <c r="N3340" s="73">
        <v>44116</v>
      </c>
      <c r="O3340" s="73" t="s">
        <v>503</v>
      </c>
      <c r="P3340" s="383">
        <v>6300</v>
      </c>
      <c r="Q3340" s="385">
        <v>-2</v>
      </c>
      <c r="R3340" s="207">
        <f t="shared" si="106"/>
        <v>-12600</v>
      </c>
      <c r="S3340" s="279">
        <v>202304</v>
      </c>
      <c r="T3340" s="184" t="s">
        <v>4411</v>
      </c>
      <c r="U3340" s="213"/>
      <c r="V3340" s="387"/>
      <c r="W3340" s="214"/>
      <c r="X3340" s="388">
        <v>43770</v>
      </c>
      <c r="Y3340" s="388">
        <v>45961</v>
      </c>
    </row>
    <row r="3341" s="5" customFormat="1" customHeight="1" spans="1:25">
      <c r="A3341" s="203" t="s">
        <v>446</v>
      </c>
      <c r="B3341" s="204" t="s">
        <v>4284</v>
      </c>
      <c r="C3341" s="204" t="s">
        <v>63</v>
      </c>
      <c r="D3341" s="204" t="s">
        <v>3038</v>
      </c>
      <c r="E3341" s="205" t="s">
        <v>4285</v>
      </c>
      <c r="F3341" s="203" t="s">
        <v>4286</v>
      </c>
      <c r="G3341" s="203" t="s">
        <v>88</v>
      </c>
      <c r="H3341" s="25" t="s">
        <v>4391</v>
      </c>
      <c r="I3341" s="46" t="e">
        <f>VLOOKUP(H3341,'合同高级查询数据-4月返'!A:A,1,FALSE)</f>
        <v>#N/A</v>
      </c>
      <c r="J3341" s="47" t="s">
        <v>3488</v>
      </c>
      <c r="K3341" s="203" t="s">
        <v>4392</v>
      </c>
      <c r="L3341" s="206"/>
      <c r="M3341" s="49" t="s">
        <v>4369</v>
      </c>
      <c r="N3341" s="73">
        <v>44172</v>
      </c>
      <c r="O3341" s="73" t="s">
        <v>503</v>
      </c>
      <c r="P3341" s="383">
        <v>6300</v>
      </c>
      <c r="Q3341" s="385">
        <v>3</v>
      </c>
      <c r="R3341" s="207">
        <f t="shared" si="106"/>
        <v>18900</v>
      </c>
      <c r="S3341" s="279">
        <v>202304</v>
      </c>
      <c r="T3341" s="184" t="s">
        <v>4412</v>
      </c>
      <c r="U3341" s="213"/>
      <c r="V3341" s="387"/>
      <c r="W3341" s="214"/>
      <c r="X3341" s="388">
        <v>43770</v>
      </c>
      <c r="Y3341" s="388">
        <v>45961</v>
      </c>
    </row>
    <row r="3342" s="5" customFormat="1" customHeight="1" spans="1:25">
      <c r="A3342" s="203" t="s">
        <v>446</v>
      </c>
      <c r="B3342" s="204" t="s">
        <v>4284</v>
      </c>
      <c r="C3342" s="204" t="s">
        <v>63</v>
      </c>
      <c r="D3342" s="204" t="s">
        <v>3038</v>
      </c>
      <c r="E3342" s="205" t="s">
        <v>4285</v>
      </c>
      <c r="F3342" s="203" t="s">
        <v>4286</v>
      </c>
      <c r="G3342" s="203" t="s">
        <v>88</v>
      </c>
      <c r="H3342" s="25" t="s">
        <v>4391</v>
      </c>
      <c r="I3342" s="46" t="e">
        <f>VLOOKUP(H3342,'合同高级查询数据-4月返'!A:A,1,FALSE)</f>
        <v>#N/A</v>
      </c>
      <c r="J3342" s="47" t="s">
        <v>3488</v>
      </c>
      <c r="K3342" s="203" t="s">
        <v>4392</v>
      </c>
      <c r="L3342" s="206"/>
      <c r="M3342" s="49" t="s">
        <v>4369</v>
      </c>
      <c r="N3342" s="73">
        <v>44173</v>
      </c>
      <c r="O3342" s="73" t="s">
        <v>503</v>
      </c>
      <c r="P3342" s="383">
        <v>6300</v>
      </c>
      <c r="Q3342" s="385">
        <v>1</v>
      </c>
      <c r="R3342" s="207">
        <f t="shared" si="106"/>
        <v>6300</v>
      </c>
      <c r="S3342" s="279">
        <v>202304</v>
      </c>
      <c r="T3342" s="184" t="s">
        <v>4413</v>
      </c>
      <c r="U3342" s="213"/>
      <c r="V3342" s="387"/>
      <c r="W3342" s="214"/>
      <c r="X3342" s="388">
        <v>43770</v>
      </c>
      <c r="Y3342" s="388">
        <v>45961</v>
      </c>
    </row>
    <row r="3343" s="5" customFormat="1" customHeight="1" spans="1:25">
      <c r="A3343" s="203" t="s">
        <v>446</v>
      </c>
      <c r="B3343" s="204" t="s">
        <v>4284</v>
      </c>
      <c r="C3343" s="204" t="s">
        <v>63</v>
      </c>
      <c r="D3343" s="204" t="s">
        <v>3038</v>
      </c>
      <c r="E3343" s="205" t="s">
        <v>4285</v>
      </c>
      <c r="F3343" s="203" t="s">
        <v>4286</v>
      </c>
      <c r="G3343" s="203" t="s">
        <v>88</v>
      </c>
      <c r="H3343" s="25" t="s">
        <v>4391</v>
      </c>
      <c r="I3343" s="46" t="e">
        <f>VLOOKUP(H3343,'合同高级查询数据-4月返'!A:A,1,FALSE)</f>
        <v>#N/A</v>
      </c>
      <c r="J3343" s="47" t="s">
        <v>3488</v>
      </c>
      <c r="K3343" s="203" t="s">
        <v>4392</v>
      </c>
      <c r="L3343" s="206"/>
      <c r="M3343" s="49" t="s">
        <v>4369</v>
      </c>
      <c r="N3343" s="73">
        <v>44175</v>
      </c>
      <c r="O3343" s="73" t="s">
        <v>503</v>
      </c>
      <c r="P3343" s="383">
        <v>6300</v>
      </c>
      <c r="Q3343" s="385">
        <v>2</v>
      </c>
      <c r="R3343" s="207">
        <f t="shared" si="106"/>
        <v>12600</v>
      </c>
      <c r="S3343" s="279">
        <v>202304</v>
      </c>
      <c r="T3343" s="184" t="s">
        <v>4414</v>
      </c>
      <c r="U3343" s="213"/>
      <c r="V3343" s="387"/>
      <c r="W3343" s="214"/>
      <c r="X3343" s="388">
        <v>43770</v>
      </c>
      <c r="Y3343" s="388">
        <v>45961</v>
      </c>
    </row>
    <row r="3344" s="5" customFormat="1" customHeight="1" spans="1:25">
      <c r="A3344" s="203" t="s">
        <v>446</v>
      </c>
      <c r="B3344" s="204" t="s">
        <v>4284</v>
      </c>
      <c r="C3344" s="204" t="s">
        <v>63</v>
      </c>
      <c r="D3344" s="204" t="s">
        <v>3038</v>
      </c>
      <c r="E3344" s="205" t="s">
        <v>4285</v>
      </c>
      <c r="F3344" s="203" t="s">
        <v>4286</v>
      </c>
      <c r="G3344" s="203" t="s">
        <v>88</v>
      </c>
      <c r="H3344" s="25" t="s">
        <v>4391</v>
      </c>
      <c r="I3344" s="46" t="e">
        <f>VLOOKUP(H3344,'合同高级查询数据-4月返'!A:A,1,FALSE)</f>
        <v>#N/A</v>
      </c>
      <c r="J3344" s="47" t="s">
        <v>3488</v>
      </c>
      <c r="K3344" s="203" t="s">
        <v>4392</v>
      </c>
      <c r="L3344" s="206"/>
      <c r="M3344" s="49" t="s">
        <v>4369</v>
      </c>
      <c r="N3344" s="73">
        <v>44179</v>
      </c>
      <c r="O3344" s="73" t="s">
        <v>503</v>
      </c>
      <c r="P3344" s="383">
        <v>6300</v>
      </c>
      <c r="Q3344" s="385">
        <v>6</v>
      </c>
      <c r="R3344" s="207">
        <f t="shared" si="106"/>
        <v>37800</v>
      </c>
      <c r="S3344" s="279">
        <v>202304</v>
      </c>
      <c r="T3344" s="184" t="s">
        <v>4415</v>
      </c>
      <c r="U3344" s="213"/>
      <c r="V3344" s="387"/>
      <c r="W3344" s="214"/>
      <c r="X3344" s="388">
        <v>43770</v>
      </c>
      <c r="Y3344" s="388">
        <v>45961</v>
      </c>
    </row>
    <row r="3345" s="5" customFormat="1" customHeight="1" spans="1:25">
      <c r="A3345" s="203" t="s">
        <v>446</v>
      </c>
      <c r="B3345" s="204" t="s">
        <v>4284</v>
      </c>
      <c r="C3345" s="204" t="s">
        <v>63</v>
      </c>
      <c r="D3345" s="204" t="s">
        <v>3038</v>
      </c>
      <c r="E3345" s="205" t="s">
        <v>4285</v>
      </c>
      <c r="F3345" s="203" t="s">
        <v>4286</v>
      </c>
      <c r="G3345" s="203" t="s">
        <v>88</v>
      </c>
      <c r="H3345" s="25" t="s">
        <v>4391</v>
      </c>
      <c r="I3345" s="46" t="e">
        <f>VLOOKUP(H3345,'合同高级查询数据-4月返'!A:A,1,FALSE)</f>
        <v>#N/A</v>
      </c>
      <c r="J3345" s="47" t="s">
        <v>3488</v>
      </c>
      <c r="K3345" s="203" t="s">
        <v>4392</v>
      </c>
      <c r="L3345" s="206"/>
      <c r="M3345" s="49" t="s">
        <v>4369</v>
      </c>
      <c r="N3345" s="73">
        <v>44180</v>
      </c>
      <c r="O3345" s="73" t="s">
        <v>503</v>
      </c>
      <c r="P3345" s="383">
        <v>6300</v>
      </c>
      <c r="Q3345" s="385">
        <v>4</v>
      </c>
      <c r="R3345" s="207">
        <f t="shared" si="106"/>
        <v>25200</v>
      </c>
      <c r="S3345" s="279">
        <v>202304</v>
      </c>
      <c r="T3345" s="184" t="s">
        <v>4416</v>
      </c>
      <c r="U3345" s="213"/>
      <c r="V3345" s="387"/>
      <c r="W3345" s="214"/>
      <c r="X3345" s="388">
        <v>43770</v>
      </c>
      <c r="Y3345" s="388">
        <v>45961</v>
      </c>
    </row>
    <row r="3346" s="5" customFormat="1" customHeight="1" spans="1:25">
      <c r="A3346" s="203" t="s">
        <v>446</v>
      </c>
      <c r="B3346" s="204" t="s">
        <v>4284</v>
      </c>
      <c r="C3346" s="204" t="s">
        <v>63</v>
      </c>
      <c r="D3346" s="204" t="s">
        <v>3038</v>
      </c>
      <c r="E3346" s="205" t="s">
        <v>4285</v>
      </c>
      <c r="F3346" s="203" t="s">
        <v>4286</v>
      </c>
      <c r="G3346" s="203" t="s">
        <v>88</v>
      </c>
      <c r="H3346" s="25" t="s">
        <v>4391</v>
      </c>
      <c r="I3346" s="46" t="e">
        <f>VLOOKUP(H3346,'合同高级查询数据-4月返'!A:A,1,FALSE)</f>
        <v>#N/A</v>
      </c>
      <c r="J3346" s="47" t="s">
        <v>3488</v>
      </c>
      <c r="K3346" s="203" t="s">
        <v>4392</v>
      </c>
      <c r="L3346" s="206"/>
      <c r="M3346" s="49" t="s">
        <v>4369</v>
      </c>
      <c r="N3346" s="73">
        <v>44181</v>
      </c>
      <c r="O3346" s="73" t="s">
        <v>503</v>
      </c>
      <c r="P3346" s="383">
        <v>6300</v>
      </c>
      <c r="Q3346" s="385">
        <v>2</v>
      </c>
      <c r="R3346" s="207">
        <f t="shared" si="106"/>
        <v>12600</v>
      </c>
      <c r="S3346" s="279">
        <v>202304</v>
      </c>
      <c r="T3346" s="184" t="s">
        <v>4417</v>
      </c>
      <c r="U3346" s="213"/>
      <c r="V3346" s="387"/>
      <c r="W3346" s="214"/>
      <c r="X3346" s="388">
        <v>43770</v>
      </c>
      <c r="Y3346" s="388">
        <v>45961</v>
      </c>
    </row>
    <row r="3347" s="5" customFormat="1" customHeight="1" spans="1:25">
      <c r="A3347" s="203" t="s">
        <v>446</v>
      </c>
      <c r="B3347" s="204" t="s">
        <v>4284</v>
      </c>
      <c r="C3347" s="204" t="s">
        <v>63</v>
      </c>
      <c r="D3347" s="204" t="s">
        <v>3038</v>
      </c>
      <c r="E3347" s="205" t="s">
        <v>4285</v>
      </c>
      <c r="F3347" s="203" t="s">
        <v>4286</v>
      </c>
      <c r="G3347" s="203" t="s">
        <v>88</v>
      </c>
      <c r="H3347" s="25" t="s">
        <v>4391</v>
      </c>
      <c r="I3347" s="46" t="e">
        <f>VLOOKUP(H3347,'合同高级查询数据-4月返'!A:A,1,FALSE)</f>
        <v>#N/A</v>
      </c>
      <c r="J3347" s="47" t="s">
        <v>3488</v>
      </c>
      <c r="K3347" s="203" t="s">
        <v>4392</v>
      </c>
      <c r="L3347" s="206"/>
      <c r="M3347" s="49" t="s">
        <v>4369</v>
      </c>
      <c r="N3347" s="73">
        <v>44182</v>
      </c>
      <c r="O3347" s="73" t="s">
        <v>503</v>
      </c>
      <c r="P3347" s="383">
        <v>6300</v>
      </c>
      <c r="Q3347" s="385">
        <v>19</v>
      </c>
      <c r="R3347" s="207">
        <f t="shared" si="106"/>
        <v>119700</v>
      </c>
      <c r="S3347" s="279">
        <v>202304</v>
      </c>
      <c r="T3347" s="184" t="s">
        <v>4418</v>
      </c>
      <c r="U3347" s="213"/>
      <c r="V3347" s="387"/>
      <c r="W3347" s="214"/>
      <c r="X3347" s="388">
        <v>43770</v>
      </c>
      <c r="Y3347" s="388">
        <v>45961</v>
      </c>
    </row>
    <row r="3348" s="5" customFormat="1" customHeight="1" spans="1:25">
      <c r="A3348" s="203" t="s">
        <v>446</v>
      </c>
      <c r="B3348" s="204" t="s">
        <v>4284</v>
      </c>
      <c r="C3348" s="204" t="s">
        <v>63</v>
      </c>
      <c r="D3348" s="204" t="s">
        <v>3038</v>
      </c>
      <c r="E3348" s="205" t="s">
        <v>4285</v>
      </c>
      <c r="F3348" s="203" t="s">
        <v>4286</v>
      </c>
      <c r="G3348" s="203" t="s">
        <v>88</v>
      </c>
      <c r="H3348" s="25" t="s">
        <v>4391</v>
      </c>
      <c r="I3348" s="46" t="e">
        <f>VLOOKUP(H3348,'合同高级查询数据-4月返'!A:A,1,FALSE)</f>
        <v>#N/A</v>
      </c>
      <c r="J3348" s="47" t="s">
        <v>3488</v>
      </c>
      <c r="K3348" s="203" t="s">
        <v>4392</v>
      </c>
      <c r="L3348" s="206"/>
      <c r="M3348" s="49" t="s">
        <v>4369</v>
      </c>
      <c r="N3348" s="73">
        <v>44185</v>
      </c>
      <c r="O3348" s="73" t="s">
        <v>503</v>
      </c>
      <c r="P3348" s="383">
        <v>6300</v>
      </c>
      <c r="Q3348" s="385">
        <v>2</v>
      </c>
      <c r="R3348" s="207">
        <f t="shared" si="106"/>
        <v>12600</v>
      </c>
      <c r="S3348" s="279">
        <v>202304</v>
      </c>
      <c r="T3348" s="184" t="s">
        <v>4419</v>
      </c>
      <c r="U3348" s="213"/>
      <c r="V3348" s="387"/>
      <c r="W3348" s="214"/>
      <c r="X3348" s="388">
        <v>43770</v>
      </c>
      <c r="Y3348" s="388">
        <v>45961</v>
      </c>
    </row>
    <row r="3349" s="5" customFormat="1" customHeight="1" spans="1:25">
      <c r="A3349" s="203" t="s">
        <v>446</v>
      </c>
      <c r="B3349" s="204" t="s">
        <v>4284</v>
      </c>
      <c r="C3349" s="204" t="s">
        <v>63</v>
      </c>
      <c r="D3349" s="204" t="s">
        <v>3038</v>
      </c>
      <c r="E3349" s="205" t="s">
        <v>4285</v>
      </c>
      <c r="F3349" s="203" t="s">
        <v>4286</v>
      </c>
      <c r="G3349" s="203" t="s">
        <v>88</v>
      </c>
      <c r="H3349" s="25" t="s">
        <v>4391</v>
      </c>
      <c r="I3349" s="46" t="e">
        <f>VLOOKUP(H3349,'合同高级查询数据-4月返'!A:A,1,FALSE)</f>
        <v>#N/A</v>
      </c>
      <c r="J3349" s="47" t="s">
        <v>3488</v>
      </c>
      <c r="K3349" s="203" t="s">
        <v>4392</v>
      </c>
      <c r="L3349" s="206"/>
      <c r="M3349" s="49" t="s">
        <v>4369</v>
      </c>
      <c r="N3349" s="73">
        <v>44183</v>
      </c>
      <c r="O3349" s="73" t="s">
        <v>503</v>
      </c>
      <c r="P3349" s="383">
        <v>6300</v>
      </c>
      <c r="Q3349" s="385">
        <v>12</v>
      </c>
      <c r="R3349" s="207">
        <f t="shared" si="106"/>
        <v>75600</v>
      </c>
      <c r="S3349" s="279">
        <v>202304</v>
      </c>
      <c r="T3349" s="184" t="s">
        <v>4420</v>
      </c>
      <c r="U3349" s="213"/>
      <c r="V3349" s="387"/>
      <c r="W3349" s="214"/>
      <c r="X3349" s="388">
        <v>43770</v>
      </c>
      <c r="Y3349" s="388">
        <v>45961</v>
      </c>
    </row>
    <row r="3350" s="5" customFormat="1" customHeight="1" spans="1:25">
      <c r="A3350" s="203" t="s">
        <v>446</v>
      </c>
      <c r="B3350" s="204" t="s">
        <v>4284</v>
      </c>
      <c r="C3350" s="204" t="s">
        <v>63</v>
      </c>
      <c r="D3350" s="204" t="s">
        <v>3038</v>
      </c>
      <c r="E3350" s="205" t="s">
        <v>4285</v>
      </c>
      <c r="F3350" s="203" t="s">
        <v>4286</v>
      </c>
      <c r="G3350" s="203" t="s">
        <v>88</v>
      </c>
      <c r="H3350" s="25" t="s">
        <v>4391</v>
      </c>
      <c r="I3350" s="46" t="e">
        <f>VLOOKUP(H3350,'合同高级查询数据-4月返'!A:A,1,FALSE)</f>
        <v>#N/A</v>
      </c>
      <c r="J3350" s="47" t="s">
        <v>3488</v>
      </c>
      <c r="K3350" s="203" t="s">
        <v>4392</v>
      </c>
      <c r="L3350" s="206"/>
      <c r="M3350" s="49" t="s">
        <v>4369</v>
      </c>
      <c r="N3350" s="73">
        <v>44189</v>
      </c>
      <c r="O3350" s="73" t="s">
        <v>503</v>
      </c>
      <c r="P3350" s="383">
        <v>6300</v>
      </c>
      <c r="Q3350" s="385">
        <v>8</v>
      </c>
      <c r="R3350" s="207">
        <f t="shared" si="106"/>
        <v>50400</v>
      </c>
      <c r="S3350" s="279">
        <v>202304</v>
      </c>
      <c r="T3350" s="184" t="s">
        <v>4421</v>
      </c>
      <c r="U3350" s="213"/>
      <c r="V3350" s="387"/>
      <c r="W3350" s="214"/>
      <c r="X3350" s="388">
        <v>43770</v>
      </c>
      <c r="Y3350" s="388">
        <v>45961</v>
      </c>
    </row>
    <row r="3351" s="5" customFormat="1" customHeight="1" spans="1:25">
      <c r="A3351" s="203" t="s">
        <v>446</v>
      </c>
      <c r="B3351" s="204" t="s">
        <v>4284</v>
      </c>
      <c r="C3351" s="204" t="s">
        <v>63</v>
      </c>
      <c r="D3351" s="204" t="s">
        <v>3038</v>
      </c>
      <c r="E3351" s="205" t="s">
        <v>4285</v>
      </c>
      <c r="F3351" s="203" t="s">
        <v>4286</v>
      </c>
      <c r="G3351" s="203" t="s">
        <v>88</v>
      </c>
      <c r="H3351" s="25" t="s">
        <v>4391</v>
      </c>
      <c r="I3351" s="46" t="e">
        <f>VLOOKUP(H3351,'合同高级查询数据-4月返'!A:A,1,FALSE)</f>
        <v>#N/A</v>
      </c>
      <c r="J3351" s="47" t="s">
        <v>3488</v>
      </c>
      <c r="K3351" s="203" t="s">
        <v>4392</v>
      </c>
      <c r="L3351" s="206"/>
      <c r="M3351" s="49" t="s">
        <v>4369</v>
      </c>
      <c r="N3351" s="73">
        <v>44186</v>
      </c>
      <c r="O3351" s="73" t="s">
        <v>503</v>
      </c>
      <c r="P3351" s="383">
        <v>6300</v>
      </c>
      <c r="Q3351" s="385">
        <v>6</v>
      </c>
      <c r="R3351" s="207">
        <f t="shared" si="106"/>
        <v>37800</v>
      </c>
      <c r="S3351" s="279">
        <v>202304</v>
      </c>
      <c r="T3351" s="184" t="s">
        <v>4422</v>
      </c>
      <c r="U3351" s="213"/>
      <c r="V3351" s="387"/>
      <c r="W3351" s="214"/>
      <c r="X3351" s="388">
        <v>43770</v>
      </c>
      <c r="Y3351" s="388">
        <v>45961</v>
      </c>
    </row>
    <row r="3352" s="5" customFormat="1" customHeight="1" spans="1:25">
      <c r="A3352" s="203" t="s">
        <v>446</v>
      </c>
      <c r="B3352" s="204" t="s">
        <v>4284</v>
      </c>
      <c r="C3352" s="204" t="s">
        <v>63</v>
      </c>
      <c r="D3352" s="204" t="s">
        <v>3038</v>
      </c>
      <c r="E3352" s="205" t="s">
        <v>4285</v>
      </c>
      <c r="F3352" s="203" t="s">
        <v>4286</v>
      </c>
      <c r="G3352" s="203" t="s">
        <v>88</v>
      </c>
      <c r="H3352" s="25" t="s">
        <v>4391</v>
      </c>
      <c r="I3352" s="46" t="e">
        <f>VLOOKUP(H3352,'合同高级查询数据-4月返'!A:A,1,FALSE)</f>
        <v>#N/A</v>
      </c>
      <c r="J3352" s="47" t="s">
        <v>3488</v>
      </c>
      <c r="K3352" s="203" t="s">
        <v>4392</v>
      </c>
      <c r="L3352" s="206"/>
      <c r="M3352" s="49" t="s">
        <v>4369</v>
      </c>
      <c r="N3352" s="73">
        <v>44187</v>
      </c>
      <c r="O3352" s="73" t="s">
        <v>503</v>
      </c>
      <c r="P3352" s="383">
        <v>6300</v>
      </c>
      <c r="Q3352" s="385">
        <v>9</v>
      </c>
      <c r="R3352" s="207">
        <f t="shared" si="106"/>
        <v>56700</v>
      </c>
      <c r="S3352" s="279">
        <v>202304</v>
      </c>
      <c r="T3352" s="184" t="s">
        <v>4423</v>
      </c>
      <c r="U3352" s="213"/>
      <c r="V3352" s="387"/>
      <c r="W3352" s="214"/>
      <c r="X3352" s="388">
        <v>43770</v>
      </c>
      <c r="Y3352" s="388">
        <v>45961</v>
      </c>
    </row>
    <row r="3353" s="5" customFormat="1" customHeight="1" spans="1:25">
      <c r="A3353" s="203" t="s">
        <v>446</v>
      </c>
      <c r="B3353" s="204" t="s">
        <v>4284</v>
      </c>
      <c r="C3353" s="204" t="s">
        <v>63</v>
      </c>
      <c r="D3353" s="204" t="s">
        <v>3038</v>
      </c>
      <c r="E3353" s="205" t="s">
        <v>4285</v>
      </c>
      <c r="F3353" s="203" t="s">
        <v>4286</v>
      </c>
      <c r="G3353" s="203" t="s">
        <v>88</v>
      </c>
      <c r="H3353" s="25" t="s">
        <v>4391</v>
      </c>
      <c r="I3353" s="46" t="e">
        <f>VLOOKUP(H3353,'合同高级查询数据-4月返'!A:A,1,FALSE)</f>
        <v>#N/A</v>
      </c>
      <c r="J3353" s="47" t="s">
        <v>3488</v>
      </c>
      <c r="K3353" s="203" t="s">
        <v>4392</v>
      </c>
      <c r="L3353" s="206"/>
      <c r="M3353" s="49" t="s">
        <v>4369</v>
      </c>
      <c r="N3353" s="73">
        <v>44211</v>
      </c>
      <c r="O3353" s="73" t="s">
        <v>503</v>
      </c>
      <c r="P3353" s="383">
        <v>6300</v>
      </c>
      <c r="Q3353" s="385">
        <v>3</v>
      </c>
      <c r="R3353" s="207">
        <f t="shared" si="106"/>
        <v>18900</v>
      </c>
      <c r="S3353" s="279">
        <v>202304</v>
      </c>
      <c r="T3353" s="184" t="s">
        <v>4424</v>
      </c>
      <c r="U3353" s="213"/>
      <c r="V3353" s="387"/>
      <c r="W3353" s="214"/>
      <c r="X3353" s="388">
        <v>43770</v>
      </c>
      <c r="Y3353" s="388">
        <v>45961</v>
      </c>
    </row>
    <row r="3354" s="5" customFormat="1" customHeight="1" spans="1:25">
      <c r="A3354" s="203" t="s">
        <v>446</v>
      </c>
      <c r="B3354" s="204" t="s">
        <v>4284</v>
      </c>
      <c r="C3354" s="204" t="s">
        <v>63</v>
      </c>
      <c r="D3354" s="204" t="s">
        <v>3038</v>
      </c>
      <c r="E3354" s="205" t="s">
        <v>4285</v>
      </c>
      <c r="F3354" s="203" t="s">
        <v>4286</v>
      </c>
      <c r="G3354" s="203" t="s">
        <v>88</v>
      </c>
      <c r="H3354" s="25" t="s">
        <v>4391</v>
      </c>
      <c r="I3354" s="46" t="e">
        <f>VLOOKUP(H3354,'合同高级查询数据-4月返'!A:A,1,FALSE)</f>
        <v>#N/A</v>
      </c>
      <c r="J3354" s="47" t="s">
        <v>3488</v>
      </c>
      <c r="K3354" s="203" t="s">
        <v>4392</v>
      </c>
      <c r="L3354" s="206"/>
      <c r="M3354" s="49" t="s">
        <v>4343</v>
      </c>
      <c r="N3354" s="73">
        <v>44214</v>
      </c>
      <c r="O3354" s="73" t="s">
        <v>503</v>
      </c>
      <c r="P3354" s="383">
        <v>6300</v>
      </c>
      <c r="Q3354" s="385">
        <v>3</v>
      </c>
      <c r="R3354" s="207">
        <f t="shared" si="106"/>
        <v>18900</v>
      </c>
      <c r="S3354" s="279">
        <v>202304</v>
      </c>
      <c r="T3354" s="184" t="s">
        <v>4425</v>
      </c>
      <c r="U3354" s="213"/>
      <c r="V3354" s="387"/>
      <c r="W3354" s="214"/>
      <c r="X3354" s="388">
        <v>43770</v>
      </c>
      <c r="Y3354" s="388">
        <v>45961</v>
      </c>
    </row>
    <row r="3355" s="5" customFormat="1" customHeight="1" spans="1:25">
      <c r="A3355" s="203" t="s">
        <v>446</v>
      </c>
      <c r="B3355" s="204" t="s">
        <v>4284</v>
      </c>
      <c r="C3355" s="204" t="s">
        <v>63</v>
      </c>
      <c r="D3355" s="204" t="s">
        <v>3038</v>
      </c>
      <c r="E3355" s="205" t="s">
        <v>4285</v>
      </c>
      <c r="F3355" s="203" t="s">
        <v>4286</v>
      </c>
      <c r="G3355" s="203" t="s">
        <v>88</v>
      </c>
      <c r="H3355" s="25" t="s">
        <v>4391</v>
      </c>
      <c r="I3355" s="46" t="e">
        <f>VLOOKUP(H3355,'合同高级查询数据-4月返'!A:A,1,FALSE)</f>
        <v>#N/A</v>
      </c>
      <c r="J3355" s="47" t="s">
        <v>3488</v>
      </c>
      <c r="K3355" s="203" t="s">
        <v>4392</v>
      </c>
      <c r="L3355" s="206"/>
      <c r="M3355" s="49" t="s">
        <v>4343</v>
      </c>
      <c r="N3355" s="73">
        <v>44216</v>
      </c>
      <c r="O3355" s="73" t="s">
        <v>503</v>
      </c>
      <c r="P3355" s="383">
        <v>6300</v>
      </c>
      <c r="Q3355" s="385">
        <v>12</v>
      </c>
      <c r="R3355" s="207">
        <f t="shared" si="106"/>
        <v>75600</v>
      </c>
      <c r="S3355" s="279">
        <v>202304</v>
      </c>
      <c r="T3355" s="184" t="s">
        <v>4426</v>
      </c>
      <c r="U3355" s="213"/>
      <c r="V3355" s="387"/>
      <c r="W3355" s="214"/>
      <c r="X3355" s="388">
        <v>43770</v>
      </c>
      <c r="Y3355" s="388">
        <v>45961</v>
      </c>
    </row>
    <row r="3356" s="5" customFormat="1" customHeight="1" spans="1:25">
      <c r="A3356" s="203" t="s">
        <v>446</v>
      </c>
      <c r="B3356" s="204" t="s">
        <v>4284</v>
      </c>
      <c r="C3356" s="204" t="s">
        <v>63</v>
      </c>
      <c r="D3356" s="204" t="s">
        <v>3038</v>
      </c>
      <c r="E3356" s="205" t="s">
        <v>4285</v>
      </c>
      <c r="F3356" s="203" t="s">
        <v>4286</v>
      </c>
      <c r="G3356" s="203" t="s">
        <v>88</v>
      </c>
      <c r="H3356" s="25" t="s">
        <v>4391</v>
      </c>
      <c r="I3356" s="46" t="e">
        <f>VLOOKUP(H3356,'合同高级查询数据-4月返'!A:A,1,FALSE)</f>
        <v>#N/A</v>
      </c>
      <c r="J3356" s="47" t="s">
        <v>3488</v>
      </c>
      <c r="K3356" s="203" t="s">
        <v>4392</v>
      </c>
      <c r="L3356" s="206"/>
      <c r="M3356" s="49" t="s">
        <v>4343</v>
      </c>
      <c r="N3356" s="73">
        <v>44226</v>
      </c>
      <c r="O3356" s="73" t="s">
        <v>503</v>
      </c>
      <c r="P3356" s="383">
        <v>6300</v>
      </c>
      <c r="Q3356" s="385">
        <v>21</v>
      </c>
      <c r="R3356" s="207">
        <f t="shared" si="106"/>
        <v>132300</v>
      </c>
      <c r="S3356" s="279">
        <v>202304</v>
      </c>
      <c r="T3356" s="184" t="s">
        <v>4427</v>
      </c>
      <c r="U3356" s="213"/>
      <c r="V3356" s="387"/>
      <c r="W3356" s="214"/>
      <c r="X3356" s="388">
        <v>43770</v>
      </c>
      <c r="Y3356" s="388">
        <v>45961</v>
      </c>
    </row>
    <row r="3357" s="5" customFormat="1" customHeight="1" spans="1:25">
      <c r="A3357" s="203" t="s">
        <v>446</v>
      </c>
      <c r="B3357" s="204" t="s">
        <v>4284</v>
      </c>
      <c r="C3357" s="204" t="s">
        <v>63</v>
      </c>
      <c r="D3357" s="204" t="s">
        <v>3038</v>
      </c>
      <c r="E3357" s="205" t="s">
        <v>4285</v>
      </c>
      <c r="F3357" s="203" t="s">
        <v>4286</v>
      </c>
      <c r="G3357" s="203" t="s">
        <v>88</v>
      </c>
      <c r="H3357" s="25" t="s">
        <v>4391</v>
      </c>
      <c r="I3357" s="46" t="e">
        <f>VLOOKUP(H3357,'合同高级查询数据-4月返'!A:A,1,FALSE)</f>
        <v>#N/A</v>
      </c>
      <c r="J3357" s="47" t="s">
        <v>3488</v>
      </c>
      <c r="K3357" s="203" t="s">
        <v>4392</v>
      </c>
      <c r="L3357" s="206"/>
      <c r="M3357" s="49" t="s">
        <v>4343</v>
      </c>
      <c r="N3357" s="73">
        <v>44227</v>
      </c>
      <c r="O3357" s="73" t="s">
        <v>503</v>
      </c>
      <c r="P3357" s="383">
        <v>6300</v>
      </c>
      <c r="Q3357" s="385">
        <v>42</v>
      </c>
      <c r="R3357" s="207">
        <f t="shared" si="106"/>
        <v>264600</v>
      </c>
      <c r="S3357" s="279">
        <v>202304</v>
      </c>
      <c r="T3357" s="184" t="s">
        <v>4428</v>
      </c>
      <c r="U3357" s="213"/>
      <c r="V3357" s="387"/>
      <c r="W3357" s="214"/>
      <c r="X3357" s="388">
        <v>43770</v>
      </c>
      <c r="Y3357" s="388">
        <v>45961</v>
      </c>
    </row>
    <row r="3358" s="5" customFormat="1" customHeight="1" spans="1:25">
      <c r="A3358" s="203" t="s">
        <v>446</v>
      </c>
      <c r="B3358" s="204" t="s">
        <v>4284</v>
      </c>
      <c r="C3358" s="204" t="s">
        <v>63</v>
      </c>
      <c r="D3358" s="204" t="s">
        <v>3038</v>
      </c>
      <c r="E3358" s="205" t="s">
        <v>4285</v>
      </c>
      <c r="F3358" s="203" t="s">
        <v>4286</v>
      </c>
      <c r="G3358" s="203" t="s">
        <v>78</v>
      </c>
      <c r="H3358" s="25" t="s">
        <v>4391</v>
      </c>
      <c r="I3358" s="46" t="e">
        <f>VLOOKUP(H3358,'合同高级查询数据-4月返'!A:A,1,FALSE)</f>
        <v>#N/A</v>
      </c>
      <c r="J3358" s="47" t="s">
        <v>530</v>
      </c>
      <c r="K3358" s="203" t="s">
        <v>4392</v>
      </c>
      <c r="L3358" s="206"/>
      <c r="M3358" s="49"/>
      <c r="N3358" s="73"/>
      <c r="O3358" s="73"/>
      <c r="P3358" s="383">
        <v>3150</v>
      </c>
      <c r="Q3358" s="395">
        <v>0</v>
      </c>
      <c r="R3358" s="207">
        <f t="shared" si="106"/>
        <v>0</v>
      </c>
      <c r="S3358" s="279">
        <v>202304</v>
      </c>
      <c r="T3358" s="184" t="s">
        <v>4429</v>
      </c>
      <c r="U3358" s="213"/>
      <c r="V3358" s="387"/>
      <c r="W3358" s="214"/>
      <c r="X3358" s="388">
        <v>43770</v>
      </c>
      <c r="Y3358" s="388">
        <v>45961</v>
      </c>
    </row>
    <row r="3359" s="5" customFormat="1" customHeight="1" spans="1:25">
      <c r="A3359" s="203" t="s">
        <v>446</v>
      </c>
      <c r="B3359" s="204" t="s">
        <v>4284</v>
      </c>
      <c r="C3359" s="204" t="s">
        <v>63</v>
      </c>
      <c r="D3359" s="204" t="s">
        <v>3038</v>
      </c>
      <c r="E3359" s="205" t="s">
        <v>4285</v>
      </c>
      <c r="F3359" s="203" t="s">
        <v>4286</v>
      </c>
      <c r="G3359" s="203" t="s">
        <v>88</v>
      </c>
      <c r="H3359" s="25" t="s">
        <v>4391</v>
      </c>
      <c r="I3359" s="46" t="e">
        <f>VLOOKUP(H3359,'合同高级查询数据-4月返'!A:A,1,FALSE)</f>
        <v>#N/A</v>
      </c>
      <c r="J3359" s="47" t="s">
        <v>3488</v>
      </c>
      <c r="K3359" s="203" t="s">
        <v>4392</v>
      </c>
      <c r="L3359" s="206"/>
      <c r="M3359" s="49" t="s">
        <v>4343</v>
      </c>
      <c r="N3359" s="73">
        <v>44228</v>
      </c>
      <c r="O3359" s="73" t="s">
        <v>503</v>
      </c>
      <c r="P3359" s="383">
        <v>6300</v>
      </c>
      <c r="Q3359" s="385">
        <v>21</v>
      </c>
      <c r="R3359" s="207">
        <f t="shared" si="106"/>
        <v>132300</v>
      </c>
      <c r="S3359" s="279">
        <v>202304</v>
      </c>
      <c r="T3359" s="184" t="s">
        <v>4430</v>
      </c>
      <c r="U3359" s="213"/>
      <c r="V3359" s="387"/>
      <c r="W3359" s="214"/>
      <c r="X3359" s="388">
        <v>43770</v>
      </c>
      <c r="Y3359" s="388">
        <v>45961</v>
      </c>
    </row>
    <row r="3360" s="5" customFormat="1" customHeight="1" spans="1:25">
      <c r="A3360" s="203" t="s">
        <v>446</v>
      </c>
      <c r="B3360" s="204" t="s">
        <v>4284</v>
      </c>
      <c r="C3360" s="204" t="s">
        <v>63</v>
      </c>
      <c r="D3360" s="204" t="s">
        <v>3038</v>
      </c>
      <c r="E3360" s="205" t="s">
        <v>4285</v>
      </c>
      <c r="F3360" s="203" t="s">
        <v>4286</v>
      </c>
      <c r="G3360" s="203" t="s">
        <v>88</v>
      </c>
      <c r="H3360" s="25" t="s">
        <v>4391</v>
      </c>
      <c r="I3360" s="46" t="e">
        <f>VLOOKUP(H3360,'合同高级查询数据-4月返'!A:A,1,FALSE)</f>
        <v>#N/A</v>
      </c>
      <c r="J3360" s="47" t="s">
        <v>3488</v>
      </c>
      <c r="K3360" s="203" t="s">
        <v>4392</v>
      </c>
      <c r="L3360" s="206"/>
      <c r="M3360" s="49" t="s">
        <v>4369</v>
      </c>
      <c r="N3360" s="73">
        <v>44228</v>
      </c>
      <c r="O3360" s="73" t="s">
        <v>503</v>
      </c>
      <c r="P3360" s="383">
        <v>6300</v>
      </c>
      <c r="Q3360" s="385">
        <v>1</v>
      </c>
      <c r="R3360" s="207">
        <f t="shared" si="106"/>
        <v>6300</v>
      </c>
      <c r="S3360" s="279">
        <v>202304</v>
      </c>
      <c r="T3360" s="184" t="s">
        <v>4431</v>
      </c>
      <c r="U3360" s="213"/>
      <c r="V3360" s="387"/>
      <c r="W3360" s="214"/>
      <c r="X3360" s="388">
        <v>43770</v>
      </c>
      <c r="Y3360" s="388">
        <v>45961</v>
      </c>
    </row>
    <row r="3361" s="5" customFormat="1" customHeight="1" spans="1:25">
      <c r="A3361" s="203" t="s">
        <v>446</v>
      </c>
      <c r="B3361" s="204" t="s">
        <v>4284</v>
      </c>
      <c r="C3361" s="204" t="s">
        <v>63</v>
      </c>
      <c r="D3361" s="204" t="s">
        <v>3038</v>
      </c>
      <c r="E3361" s="205" t="s">
        <v>4285</v>
      </c>
      <c r="F3361" s="203" t="s">
        <v>4286</v>
      </c>
      <c r="G3361" s="203" t="s">
        <v>88</v>
      </c>
      <c r="H3361" s="25" t="s">
        <v>4391</v>
      </c>
      <c r="I3361" s="46" t="e">
        <f>VLOOKUP(H3361,'合同高级查询数据-4月返'!A:A,1,FALSE)</f>
        <v>#N/A</v>
      </c>
      <c r="J3361" s="47" t="s">
        <v>3488</v>
      </c>
      <c r="K3361" s="203" t="s">
        <v>4392</v>
      </c>
      <c r="L3361" s="206"/>
      <c r="M3361" s="49" t="s">
        <v>4343</v>
      </c>
      <c r="N3361" s="73">
        <v>44271</v>
      </c>
      <c r="O3361" s="73" t="s">
        <v>503</v>
      </c>
      <c r="P3361" s="383">
        <v>6300</v>
      </c>
      <c r="Q3361" s="385">
        <v>99</v>
      </c>
      <c r="R3361" s="386">
        <f>ROUND(Q3361*P3361,2)</f>
        <v>623700</v>
      </c>
      <c r="S3361" s="279">
        <v>202304</v>
      </c>
      <c r="T3361" s="184" t="s">
        <v>4432</v>
      </c>
      <c r="U3361" s="213"/>
      <c r="V3361" s="387"/>
      <c r="W3361" s="214"/>
      <c r="X3361" s="388">
        <v>43770</v>
      </c>
      <c r="Y3361" s="388">
        <v>45961</v>
      </c>
    </row>
    <row r="3362" s="5" customFormat="1" customHeight="1" spans="1:25">
      <c r="A3362" s="203" t="s">
        <v>446</v>
      </c>
      <c r="B3362" s="204" t="s">
        <v>4284</v>
      </c>
      <c r="C3362" s="204" t="s">
        <v>63</v>
      </c>
      <c r="D3362" s="204" t="s">
        <v>3038</v>
      </c>
      <c r="E3362" s="205" t="s">
        <v>4285</v>
      </c>
      <c r="F3362" s="203" t="s">
        <v>4286</v>
      </c>
      <c r="G3362" s="203" t="s">
        <v>88</v>
      </c>
      <c r="H3362" s="25" t="s">
        <v>4391</v>
      </c>
      <c r="I3362" s="46" t="e">
        <f>VLOOKUP(H3362,'合同高级查询数据-4月返'!A:A,1,FALSE)</f>
        <v>#N/A</v>
      </c>
      <c r="J3362" s="47" t="s">
        <v>3488</v>
      </c>
      <c r="K3362" s="203" t="s">
        <v>4392</v>
      </c>
      <c r="L3362" s="206"/>
      <c r="M3362" s="49" t="s">
        <v>4343</v>
      </c>
      <c r="N3362" s="73">
        <v>44281</v>
      </c>
      <c r="O3362" s="73" t="s">
        <v>503</v>
      </c>
      <c r="P3362" s="383">
        <v>6300</v>
      </c>
      <c r="Q3362" s="385">
        <v>-99</v>
      </c>
      <c r="R3362" s="386">
        <f>ROUND(Q3362*P3362,2)</f>
        <v>-623700</v>
      </c>
      <c r="S3362" s="279">
        <v>202304</v>
      </c>
      <c r="T3362" s="184" t="s">
        <v>4432</v>
      </c>
      <c r="U3362" s="213"/>
      <c r="V3362" s="387"/>
      <c r="W3362" s="214"/>
      <c r="X3362" s="388">
        <v>43770</v>
      </c>
      <c r="Y3362" s="388">
        <v>45961</v>
      </c>
    </row>
    <row r="3363" s="5" customFormat="1" customHeight="1" spans="1:25">
      <c r="A3363" s="203" t="s">
        <v>446</v>
      </c>
      <c r="B3363" s="204" t="s">
        <v>4284</v>
      </c>
      <c r="C3363" s="204" t="s">
        <v>63</v>
      </c>
      <c r="D3363" s="204" t="s">
        <v>3038</v>
      </c>
      <c r="E3363" s="205" t="s">
        <v>4285</v>
      </c>
      <c r="F3363" s="203" t="s">
        <v>4286</v>
      </c>
      <c r="G3363" s="203" t="s">
        <v>88</v>
      </c>
      <c r="H3363" s="25" t="s">
        <v>4391</v>
      </c>
      <c r="I3363" s="46" t="e">
        <f>VLOOKUP(H3363,'合同高级查询数据-4月返'!A:A,1,FALSE)</f>
        <v>#N/A</v>
      </c>
      <c r="J3363" s="47" t="s">
        <v>3488</v>
      </c>
      <c r="K3363" s="203" t="s">
        <v>4392</v>
      </c>
      <c r="L3363" s="206"/>
      <c r="M3363" s="49" t="s">
        <v>4343</v>
      </c>
      <c r="N3363" s="73">
        <v>44344</v>
      </c>
      <c r="O3363" s="73" t="s">
        <v>503</v>
      </c>
      <c r="P3363" s="383">
        <v>6300</v>
      </c>
      <c r="Q3363" s="385">
        <v>47</v>
      </c>
      <c r="R3363" s="386">
        <f t="shared" ref="R3363:R3375" si="107">ROUND(P3363*Q3363,2)</f>
        <v>296100</v>
      </c>
      <c r="S3363" s="279">
        <v>202304</v>
      </c>
      <c r="T3363" s="184" t="s">
        <v>4433</v>
      </c>
      <c r="U3363" s="213"/>
      <c r="V3363" s="387"/>
      <c r="W3363" s="214"/>
      <c r="X3363" s="388">
        <v>43770</v>
      </c>
      <c r="Y3363" s="388">
        <v>45961</v>
      </c>
    </row>
    <row r="3364" s="5" customFormat="1" customHeight="1" spans="1:25">
      <c r="A3364" s="203" t="s">
        <v>446</v>
      </c>
      <c r="B3364" s="204" t="s">
        <v>4284</v>
      </c>
      <c r="C3364" s="204" t="s">
        <v>63</v>
      </c>
      <c r="D3364" s="204" t="s">
        <v>3038</v>
      </c>
      <c r="E3364" s="205" t="s">
        <v>4285</v>
      </c>
      <c r="F3364" s="203" t="s">
        <v>4286</v>
      </c>
      <c r="G3364" s="203" t="s">
        <v>88</v>
      </c>
      <c r="H3364" s="25" t="s">
        <v>4391</v>
      </c>
      <c r="I3364" s="46" t="e">
        <f>VLOOKUP(H3364,'合同高级查询数据-4月返'!A:A,1,FALSE)</f>
        <v>#N/A</v>
      </c>
      <c r="J3364" s="47" t="s">
        <v>3488</v>
      </c>
      <c r="K3364" s="203" t="s">
        <v>4392</v>
      </c>
      <c r="L3364" s="206"/>
      <c r="M3364" s="49" t="s">
        <v>4343</v>
      </c>
      <c r="N3364" s="73">
        <v>44347</v>
      </c>
      <c r="O3364" s="73" t="s">
        <v>503</v>
      </c>
      <c r="P3364" s="383">
        <v>6300</v>
      </c>
      <c r="Q3364" s="385">
        <v>6</v>
      </c>
      <c r="R3364" s="386">
        <f t="shared" si="107"/>
        <v>37800</v>
      </c>
      <c r="S3364" s="279">
        <v>202304</v>
      </c>
      <c r="T3364" s="184" t="s">
        <v>4434</v>
      </c>
      <c r="U3364" s="213"/>
      <c r="V3364" s="387"/>
      <c r="W3364" s="214"/>
      <c r="X3364" s="388">
        <v>43770</v>
      </c>
      <c r="Y3364" s="388">
        <v>45961</v>
      </c>
    </row>
    <row r="3365" s="5" customFormat="1" customHeight="1" spans="1:25">
      <c r="A3365" s="203" t="s">
        <v>446</v>
      </c>
      <c r="B3365" s="204" t="s">
        <v>4284</v>
      </c>
      <c r="C3365" s="204" t="s">
        <v>63</v>
      </c>
      <c r="D3365" s="204" t="s">
        <v>3038</v>
      </c>
      <c r="E3365" s="205" t="s">
        <v>4285</v>
      </c>
      <c r="F3365" s="203" t="s">
        <v>4286</v>
      </c>
      <c r="G3365" s="203" t="s">
        <v>88</v>
      </c>
      <c r="H3365" s="25" t="s">
        <v>4391</v>
      </c>
      <c r="I3365" s="46" t="e">
        <f>VLOOKUP(H3365,'合同高级查询数据-4月返'!A:A,1,FALSE)</f>
        <v>#N/A</v>
      </c>
      <c r="J3365" s="47" t="s">
        <v>3488</v>
      </c>
      <c r="K3365" s="203" t="s">
        <v>4392</v>
      </c>
      <c r="L3365" s="206"/>
      <c r="M3365" s="49" t="s">
        <v>4343</v>
      </c>
      <c r="N3365" s="73">
        <v>44354</v>
      </c>
      <c r="O3365" s="73" t="s">
        <v>503</v>
      </c>
      <c r="P3365" s="383">
        <v>6300</v>
      </c>
      <c r="Q3365" s="385">
        <v>3</v>
      </c>
      <c r="R3365" s="386">
        <f t="shared" si="107"/>
        <v>18900</v>
      </c>
      <c r="S3365" s="279">
        <v>202304</v>
      </c>
      <c r="T3365" s="184" t="s">
        <v>4435</v>
      </c>
      <c r="U3365" s="213"/>
      <c r="V3365" s="387"/>
      <c r="W3365" s="214"/>
      <c r="X3365" s="388">
        <v>43770</v>
      </c>
      <c r="Y3365" s="388">
        <v>45961</v>
      </c>
    </row>
    <row r="3366" s="5" customFormat="1" customHeight="1" spans="1:25">
      <c r="A3366" s="203" t="s">
        <v>446</v>
      </c>
      <c r="B3366" s="204" t="s">
        <v>4284</v>
      </c>
      <c r="C3366" s="204" t="s">
        <v>63</v>
      </c>
      <c r="D3366" s="204" t="s">
        <v>3038</v>
      </c>
      <c r="E3366" s="205" t="s">
        <v>4285</v>
      </c>
      <c r="F3366" s="203" t="s">
        <v>4286</v>
      </c>
      <c r="G3366" s="203" t="s">
        <v>88</v>
      </c>
      <c r="H3366" s="25" t="s">
        <v>4391</v>
      </c>
      <c r="I3366" s="46" t="e">
        <f>VLOOKUP(H3366,'合同高级查询数据-4月返'!A:A,1,FALSE)</f>
        <v>#N/A</v>
      </c>
      <c r="J3366" s="47" t="s">
        <v>3488</v>
      </c>
      <c r="K3366" s="203" t="s">
        <v>4392</v>
      </c>
      <c r="L3366" s="206"/>
      <c r="M3366" s="49" t="s">
        <v>4343</v>
      </c>
      <c r="N3366" s="73">
        <v>44367</v>
      </c>
      <c r="O3366" s="73" t="s">
        <v>503</v>
      </c>
      <c r="P3366" s="383">
        <v>6300</v>
      </c>
      <c r="Q3366" s="385">
        <v>13</v>
      </c>
      <c r="R3366" s="386">
        <f t="shared" si="107"/>
        <v>81900</v>
      </c>
      <c r="S3366" s="279">
        <v>202304</v>
      </c>
      <c r="T3366" s="184" t="s">
        <v>4436</v>
      </c>
      <c r="U3366" s="213"/>
      <c r="V3366" s="387"/>
      <c r="W3366" s="214"/>
      <c r="X3366" s="388">
        <v>43770</v>
      </c>
      <c r="Y3366" s="388">
        <v>45961</v>
      </c>
    </row>
    <row r="3367" s="5" customFormat="1" customHeight="1" spans="1:25">
      <c r="A3367" s="203" t="s">
        <v>446</v>
      </c>
      <c r="B3367" s="204" t="s">
        <v>4284</v>
      </c>
      <c r="C3367" s="204" t="s">
        <v>63</v>
      </c>
      <c r="D3367" s="204" t="s">
        <v>3038</v>
      </c>
      <c r="E3367" s="205" t="s">
        <v>4285</v>
      </c>
      <c r="F3367" s="203" t="s">
        <v>4286</v>
      </c>
      <c r="G3367" s="203" t="s">
        <v>88</v>
      </c>
      <c r="H3367" s="25" t="s">
        <v>4391</v>
      </c>
      <c r="I3367" s="46" t="e">
        <f>VLOOKUP(H3367,'合同高级查询数据-4月返'!A:A,1,FALSE)</f>
        <v>#N/A</v>
      </c>
      <c r="J3367" s="47" t="s">
        <v>3488</v>
      </c>
      <c r="K3367" s="203" t="s">
        <v>4392</v>
      </c>
      <c r="L3367" s="206"/>
      <c r="M3367" s="49" t="s">
        <v>4369</v>
      </c>
      <c r="N3367" s="73">
        <v>44388</v>
      </c>
      <c r="O3367" s="73" t="s">
        <v>503</v>
      </c>
      <c r="P3367" s="383">
        <v>6300</v>
      </c>
      <c r="Q3367" s="385">
        <v>1</v>
      </c>
      <c r="R3367" s="386">
        <f t="shared" si="107"/>
        <v>6300</v>
      </c>
      <c r="S3367" s="279">
        <v>202304</v>
      </c>
      <c r="T3367" s="184" t="s">
        <v>4437</v>
      </c>
      <c r="U3367" s="213"/>
      <c r="V3367" s="387"/>
      <c r="W3367" s="214"/>
      <c r="X3367" s="388">
        <v>43770</v>
      </c>
      <c r="Y3367" s="388">
        <v>45961</v>
      </c>
    </row>
    <row r="3368" s="5" customFormat="1" customHeight="1" spans="1:25">
      <c r="A3368" s="203" t="s">
        <v>446</v>
      </c>
      <c r="B3368" s="204" t="s">
        <v>4284</v>
      </c>
      <c r="C3368" s="204" t="s">
        <v>63</v>
      </c>
      <c r="D3368" s="204" t="s">
        <v>3038</v>
      </c>
      <c r="E3368" s="205" t="s">
        <v>4285</v>
      </c>
      <c r="F3368" s="203" t="s">
        <v>4286</v>
      </c>
      <c r="G3368" s="203" t="s">
        <v>88</v>
      </c>
      <c r="H3368" s="25" t="s">
        <v>4391</v>
      </c>
      <c r="I3368" s="46" t="e">
        <f>VLOOKUP(H3368,'合同高级查询数据-4月返'!A:A,1,FALSE)</f>
        <v>#N/A</v>
      </c>
      <c r="J3368" s="47" t="s">
        <v>3488</v>
      </c>
      <c r="K3368" s="203" t="s">
        <v>4392</v>
      </c>
      <c r="L3368" s="206"/>
      <c r="M3368" s="49" t="s">
        <v>4343</v>
      </c>
      <c r="N3368" s="73">
        <v>44406</v>
      </c>
      <c r="O3368" s="73" t="s">
        <v>503</v>
      </c>
      <c r="P3368" s="396">
        <v>6300</v>
      </c>
      <c r="Q3368" s="385">
        <v>74</v>
      </c>
      <c r="R3368" s="386">
        <f t="shared" si="107"/>
        <v>466200</v>
      </c>
      <c r="S3368" s="279">
        <v>202304</v>
      </c>
      <c r="T3368" s="184" t="s">
        <v>4438</v>
      </c>
      <c r="U3368" s="213"/>
      <c r="V3368" s="387"/>
      <c r="W3368" s="214"/>
      <c r="X3368" s="388">
        <v>43770</v>
      </c>
      <c r="Y3368" s="388">
        <v>45961</v>
      </c>
    </row>
    <row r="3369" s="5" customFormat="1" customHeight="1" spans="1:25">
      <c r="A3369" s="203" t="s">
        <v>446</v>
      </c>
      <c r="B3369" s="204" t="s">
        <v>4284</v>
      </c>
      <c r="C3369" s="204" t="s">
        <v>63</v>
      </c>
      <c r="D3369" s="204" t="s">
        <v>3038</v>
      </c>
      <c r="E3369" s="205" t="s">
        <v>4285</v>
      </c>
      <c r="F3369" s="203" t="s">
        <v>4286</v>
      </c>
      <c r="G3369" s="203" t="s">
        <v>88</v>
      </c>
      <c r="H3369" s="25" t="s">
        <v>4391</v>
      </c>
      <c r="I3369" s="46" t="e">
        <f>VLOOKUP(H3369,'合同高级查询数据-4月返'!A:A,1,FALSE)</f>
        <v>#N/A</v>
      </c>
      <c r="J3369" s="47" t="s">
        <v>3488</v>
      </c>
      <c r="K3369" s="203" t="s">
        <v>4392</v>
      </c>
      <c r="L3369" s="206"/>
      <c r="M3369" s="49" t="s">
        <v>4343</v>
      </c>
      <c r="N3369" s="73">
        <v>44416</v>
      </c>
      <c r="O3369" s="73" t="s">
        <v>503</v>
      </c>
      <c r="P3369" s="383">
        <v>6300</v>
      </c>
      <c r="Q3369" s="385">
        <v>4</v>
      </c>
      <c r="R3369" s="386">
        <f t="shared" si="107"/>
        <v>25200</v>
      </c>
      <c r="S3369" s="279">
        <v>202304</v>
      </c>
      <c r="T3369" s="184" t="s">
        <v>4439</v>
      </c>
      <c r="U3369" s="213"/>
      <c r="V3369" s="387"/>
      <c r="W3369" s="214"/>
      <c r="X3369" s="388">
        <v>43770</v>
      </c>
      <c r="Y3369" s="388">
        <v>45961</v>
      </c>
    </row>
    <row r="3370" s="5" customFormat="1" customHeight="1" spans="1:25">
      <c r="A3370" s="203" t="s">
        <v>446</v>
      </c>
      <c r="B3370" s="204" t="s">
        <v>4284</v>
      </c>
      <c r="C3370" s="204" t="s">
        <v>63</v>
      </c>
      <c r="D3370" s="204" t="s">
        <v>3038</v>
      </c>
      <c r="E3370" s="205" t="s">
        <v>4285</v>
      </c>
      <c r="F3370" s="203" t="s">
        <v>4286</v>
      </c>
      <c r="G3370" s="203" t="s">
        <v>88</v>
      </c>
      <c r="H3370" s="25" t="s">
        <v>4391</v>
      </c>
      <c r="I3370" s="46" t="e">
        <f>VLOOKUP(H3370,'合同高级查询数据-4月返'!A:A,1,FALSE)</f>
        <v>#N/A</v>
      </c>
      <c r="J3370" s="47" t="s">
        <v>3488</v>
      </c>
      <c r="K3370" s="203" t="s">
        <v>4392</v>
      </c>
      <c r="L3370" s="206"/>
      <c r="M3370" s="49" t="s">
        <v>4343</v>
      </c>
      <c r="N3370" s="73">
        <v>44419</v>
      </c>
      <c r="O3370" s="73" t="s">
        <v>503</v>
      </c>
      <c r="P3370" s="383">
        <v>6300</v>
      </c>
      <c r="Q3370" s="385">
        <v>34</v>
      </c>
      <c r="R3370" s="386">
        <f t="shared" si="107"/>
        <v>214200</v>
      </c>
      <c r="S3370" s="279">
        <v>202304</v>
      </c>
      <c r="T3370" s="184" t="s">
        <v>4440</v>
      </c>
      <c r="U3370" s="213"/>
      <c r="V3370" s="387"/>
      <c r="W3370" s="214"/>
      <c r="X3370" s="388">
        <v>43770</v>
      </c>
      <c r="Y3370" s="388">
        <v>45961</v>
      </c>
    </row>
    <row r="3371" s="5" customFormat="1" customHeight="1" spans="1:25">
      <c r="A3371" s="203" t="s">
        <v>446</v>
      </c>
      <c r="B3371" s="204" t="s">
        <v>4284</v>
      </c>
      <c r="C3371" s="204" t="s">
        <v>63</v>
      </c>
      <c r="D3371" s="204" t="s">
        <v>3038</v>
      </c>
      <c r="E3371" s="205" t="s">
        <v>4285</v>
      </c>
      <c r="F3371" s="203" t="s">
        <v>4286</v>
      </c>
      <c r="G3371" s="203" t="s">
        <v>88</v>
      </c>
      <c r="H3371" s="25" t="s">
        <v>4391</v>
      </c>
      <c r="I3371" s="46" t="e">
        <f>VLOOKUP(H3371,'合同高级查询数据-4月返'!A:A,1,FALSE)</f>
        <v>#N/A</v>
      </c>
      <c r="J3371" s="47" t="s">
        <v>3488</v>
      </c>
      <c r="K3371" s="203" t="s">
        <v>4392</v>
      </c>
      <c r="L3371" s="206"/>
      <c r="M3371" s="49" t="s">
        <v>4343</v>
      </c>
      <c r="N3371" s="73">
        <v>44504</v>
      </c>
      <c r="O3371" s="73" t="s">
        <v>503</v>
      </c>
      <c r="P3371" s="383">
        <v>6300</v>
      </c>
      <c r="Q3371" s="385">
        <v>1</v>
      </c>
      <c r="R3371" s="386">
        <f t="shared" si="107"/>
        <v>6300</v>
      </c>
      <c r="S3371" s="279">
        <v>202304</v>
      </c>
      <c r="T3371" s="184" t="s">
        <v>4441</v>
      </c>
      <c r="U3371" s="213"/>
      <c r="V3371" s="387"/>
      <c r="W3371" s="214"/>
      <c r="X3371" s="388">
        <v>43770</v>
      </c>
      <c r="Y3371" s="388">
        <v>45961</v>
      </c>
    </row>
    <row r="3372" s="5" customFormat="1" customHeight="1" spans="1:25">
      <c r="A3372" s="203" t="s">
        <v>446</v>
      </c>
      <c r="B3372" s="204" t="s">
        <v>4284</v>
      </c>
      <c r="C3372" s="204" t="s">
        <v>63</v>
      </c>
      <c r="D3372" s="204" t="s">
        <v>3038</v>
      </c>
      <c r="E3372" s="205" t="s">
        <v>4285</v>
      </c>
      <c r="F3372" s="203" t="s">
        <v>4286</v>
      </c>
      <c r="G3372" s="203" t="s">
        <v>88</v>
      </c>
      <c r="H3372" s="25" t="s">
        <v>4391</v>
      </c>
      <c r="I3372" s="46" t="e">
        <f>VLOOKUP(H3372,'合同高级查询数据-4月返'!A:A,1,FALSE)</f>
        <v>#N/A</v>
      </c>
      <c r="J3372" s="47" t="s">
        <v>3488</v>
      </c>
      <c r="K3372" s="203" t="s">
        <v>4392</v>
      </c>
      <c r="L3372" s="206"/>
      <c r="M3372" s="49" t="s">
        <v>4343</v>
      </c>
      <c r="N3372" s="73">
        <v>44520</v>
      </c>
      <c r="O3372" s="73" t="s">
        <v>503</v>
      </c>
      <c r="P3372" s="383">
        <v>6300</v>
      </c>
      <c r="Q3372" s="385">
        <v>17</v>
      </c>
      <c r="R3372" s="386">
        <f t="shared" si="107"/>
        <v>107100</v>
      </c>
      <c r="S3372" s="279">
        <v>202304</v>
      </c>
      <c r="T3372" s="184" t="s">
        <v>4442</v>
      </c>
      <c r="U3372" s="213"/>
      <c r="V3372" s="387"/>
      <c r="W3372" s="214"/>
      <c r="X3372" s="388">
        <v>43770</v>
      </c>
      <c r="Y3372" s="388">
        <v>45961</v>
      </c>
    </row>
    <row r="3373" s="5" customFormat="1" customHeight="1" spans="1:25">
      <c r="A3373" s="203" t="s">
        <v>446</v>
      </c>
      <c r="B3373" s="204" t="s">
        <v>4284</v>
      </c>
      <c r="C3373" s="204" t="s">
        <v>63</v>
      </c>
      <c r="D3373" s="204" t="s">
        <v>3038</v>
      </c>
      <c r="E3373" s="205" t="s">
        <v>4285</v>
      </c>
      <c r="F3373" s="203" t="s">
        <v>4286</v>
      </c>
      <c r="G3373" s="203" t="s">
        <v>88</v>
      </c>
      <c r="H3373" s="25" t="s">
        <v>4391</v>
      </c>
      <c r="I3373" s="46" t="e">
        <f>VLOOKUP(H3373,'合同高级查询数据-4月返'!A:A,1,FALSE)</f>
        <v>#N/A</v>
      </c>
      <c r="J3373" s="47" t="s">
        <v>3488</v>
      </c>
      <c r="K3373" s="203" t="s">
        <v>4392</v>
      </c>
      <c r="L3373" s="206"/>
      <c r="M3373" s="49" t="s">
        <v>4343</v>
      </c>
      <c r="N3373" s="73">
        <v>44525</v>
      </c>
      <c r="O3373" s="73" t="s">
        <v>503</v>
      </c>
      <c r="P3373" s="383">
        <v>6300</v>
      </c>
      <c r="Q3373" s="385">
        <v>42</v>
      </c>
      <c r="R3373" s="386">
        <f t="shared" si="107"/>
        <v>264600</v>
      </c>
      <c r="S3373" s="279">
        <v>202304</v>
      </c>
      <c r="T3373" s="184" t="s">
        <v>4443</v>
      </c>
      <c r="U3373" s="213"/>
      <c r="V3373" s="387"/>
      <c r="W3373" s="214"/>
      <c r="X3373" s="388">
        <v>43770</v>
      </c>
      <c r="Y3373" s="388">
        <v>45961</v>
      </c>
    </row>
    <row r="3374" s="5" customFormat="1" customHeight="1" spans="1:25">
      <c r="A3374" s="203" t="s">
        <v>446</v>
      </c>
      <c r="B3374" s="204" t="s">
        <v>4284</v>
      </c>
      <c r="C3374" s="204" t="s">
        <v>63</v>
      </c>
      <c r="D3374" s="204" t="s">
        <v>3038</v>
      </c>
      <c r="E3374" s="205" t="s">
        <v>4285</v>
      </c>
      <c r="F3374" s="203" t="s">
        <v>4286</v>
      </c>
      <c r="G3374" s="203" t="s">
        <v>88</v>
      </c>
      <c r="H3374" s="25" t="s">
        <v>4391</v>
      </c>
      <c r="I3374" s="46" t="e">
        <f>VLOOKUP(H3374,'合同高级查询数据-4月返'!A:A,1,FALSE)</f>
        <v>#N/A</v>
      </c>
      <c r="J3374" s="47" t="s">
        <v>3488</v>
      </c>
      <c r="K3374" s="203" t="s">
        <v>4392</v>
      </c>
      <c r="L3374" s="206"/>
      <c r="M3374" s="49" t="s">
        <v>4369</v>
      </c>
      <c r="N3374" s="73">
        <v>44860</v>
      </c>
      <c r="O3374" s="73" t="s">
        <v>503</v>
      </c>
      <c r="P3374" s="383">
        <v>6300</v>
      </c>
      <c r="Q3374" s="385">
        <v>-42</v>
      </c>
      <c r="R3374" s="386">
        <f t="shared" si="107"/>
        <v>-264600</v>
      </c>
      <c r="S3374" s="279">
        <v>202304</v>
      </c>
      <c r="T3374" s="189" t="s">
        <v>4444</v>
      </c>
      <c r="U3374" s="213"/>
      <c r="V3374" s="387"/>
      <c r="W3374" s="214"/>
      <c r="X3374" s="388">
        <v>43770</v>
      </c>
      <c r="Y3374" s="388">
        <v>45961</v>
      </c>
    </row>
    <row r="3375" s="5" customFormat="1" customHeight="1" spans="1:25">
      <c r="A3375" s="203" t="s">
        <v>446</v>
      </c>
      <c r="B3375" s="204" t="s">
        <v>4284</v>
      </c>
      <c r="C3375" s="204" t="s">
        <v>63</v>
      </c>
      <c r="D3375" s="204" t="s">
        <v>3038</v>
      </c>
      <c r="E3375" s="205" t="s">
        <v>4285</v>
      </c>
      <c r="F3375" s="203" t="s">
        <v>4286</v>
      </c>
      <c r="G3375" s="203" t="s">
        <v>88</v>
      </c>
      <c r="H3375" s="25" t="s">
        <v>4445</v>
      </c>
      <c r="I3375" s="46" t="e">
        <f>VLOOKUP(H3375,'合同高级查询数据-4月返'!A:A,1,FALSE)</f>
        <v>#N/A</v>
      </c>
      <c r="J3375" s="47" t="s">
        <v>3488</v>
      </c>
      <c r="K3375" s="203" t="s">
        <v>4446</v>
      </c>
      <c r="L3375" s="206"/>
      <c r="M3375" s="49" t="s">
        <v>4369</v>
      </c>
      <c r="N3375" s="73">
        <v>44246</v>
      </c>
      <c r="O3375" s="73" t="s">
        <v>503</v>
      </c>
      <c r="P3375" s="383">
        <v>6300</v>
      </c>
      <c r="Q3375" s="385">
        <v>103</v>
      </c>
      <c r="R3375" s="207">
        <f t="shared" si="107"/>
        <v>648900</v>
      </c>
      <c r="S3375" s="279">
        <v>202304</v>
      </c>
      <c r="T3375" s="184" t="s">
        <v>4447</v>
      </c>
      <c r="U3375" s="213"/>
      <c r="V3375" s="387"/>
      <c r="W3375" s="214"/>
      <c r="X3375" s="388">
        <v>44256</v>
      </c>
      <c r="Y3375" s="388">
        <v>46387</v>
      </c>
    </row>
    <row r="3376" s="5" customFormat="1" customHeight="1" spans="1:25">
      <c r="A3376" s="203" t="s">
        <v>446</v>
      </c>
      <c r="B3376" s="204" t="s">
        <v>4284</v>
      </c>
      <c r="C3376" s="204" t="s">
        <v>63</v>
      </c>
      <c r="D3376" s="204" t="s">
        <v>3038</v>
      </c>
      <c r="E3376" s="205" t="s">
        <v>4285</v>
      </c>
      <c r="F3376" s="203" t="s">
        <v>4286</v>
      </c>
      <c r="G3376" s="203" t="s">
        <v>88</v>
      </c>
      <c r="H3376" s="25" t="s">
        <v>4445</v>
      </c>
      <c r="I3376" s="46" t="e">
        <f>VLOOKUP(H3376,'合同高级查询数据-4月返'!A:A,1,FALSE)</f>
        <v>#N/A</v>
      </c>
      <c r="J3376" s="47" t="s">
        <v>3488</v>
      </c>
      <c r="K3376" s="203" t="s">
        <v>4446</v>
      </c>
      <c r="L3376" s="206"/>
      <c r="M3376" s="49" t="s">
        <v>4369</v>
      </c>
      <c r="N3376" s="73">
        <v>44258</v>
      </c>
      <c r="O3376" s="73" t="s">
        <v>503</v>
      </c>
      <c r="P3376" s="383">
        <v>6300</v>
      </c>
      <c r="Q3376" s="385">
        <v>3</v>
      </c>
      <c r="R3376" s="386">
        <f t="shared" ref="R3376:R3396" si="108">ROUND(Q3376*P3376,2)</f>
        <v>18900</v>
      </c>
      <c r="S3376" s="279">
        <v>202304</v>
      </c>
      <c r="T3376" s="184" t="s">
        <v>4448</v>
      </c>
      <c r="U3376" s="213"/>
      <c r="V3376" s="387"/>
      <c r="W3376" s="214"/>
      <c r="X3376" s="388">
        <v>44256</v>
      </c>
      <c r="Y3376" s="388">
        <v>46387</v>
      </c>
    </row>
    <row r="3377" s="5" customFormat="1" customHeight="1" spans="1:25">
      <c r="A3377" s="203" t="s">
        <v>446</v>
      </c>
      <c r="B3377" s="204" t="s">
        <v>4284</v>
      </c>
      <c r="C3377" s="204" t="s">
        <v>63</v>
      </c>
      <c r="D3377" s="204" t="s">
        <v>3038</v>
      </c>
      <c r="E3377" s="205" t="s">
        <v>4285</v>
      </c>
      <c r="F3377" s="203" t="s">
        <v>4286</v>
      </c>
      <c r="G3377" s="203" t="s">
        <v>88</v>
      </c>
      <c r="H3377" s="25" t="s">
        <v>4445</v>
      </c>
      <c r="I3377" s="46" t="e">
        <f>VLOOKUP(H3377,'合同高级查询数据-4月返'!A:A,1,FALSE)</f>
        <v>#N/A</v>
      </c>
      <c r="J3377" s="47" t="s">
        <v>3488</v>
      </c>
      <c r="K3377" s="203" t="s">
        <v>4446</v>
      </c>
      <c r="L3377" s="206"/>
      <c r="M3377" s="49" t="s">
        <v>4369</v>
      </c>
      <c r="N3377" s="73">
        <v>44259</v>
      </c>
      <c r="O3377" s="73" t="s">
        <v>503</v>
      </c>
      <c r="P3377" s="383">
        <v>6300</v>
      </c>
      <c r="Q3377" s="385">
        <v>8</v>
      </c>
      <c r="R3377" s="386">
        <f t="shared" si="108"/>
        <v>50400</v>
      </c>
      <c r="S3377" s="279">
        <v>202304</v>
      </c>
      <c r="T3377" s="184" t="s">
        <v>4449</v>
      </c>
      <c r="U3377" s="213"/>
      <c r="V3377" s="387"/>
      <c r="W3377" s="214"/>
      <c r="X3377" s="388">
        <v>44256</v>
      </c>
      <c r="Y3377" s="388">
        <v>46387</v>
      </c>
    </row>
    <row r="3378" s="5" customFormat="1" customHeight="1" spans="1:25">
      <c r="A3378" s="203" t="s">
        <v>446</v>
      </c>
      <c r="B3378" s="204" t="s">
        <v>4284</v>
      </c>
      <c r="C3378" s="204" t="s">
        <v>63</v>
      </c>
      <c r="D3378" s="204" t="s">
        <v>3038</v>
      </c>
      <c r="E3378" s="205" t="s">
        <v>4285</v>
      </c>
      <c r="F3378" s="203" t="s">
        <v>4286</v>
      </c>
      <c r="G3378" s="203" t="s">
        <v>88</v>
      </c>
      <c r="H3378" s="25" t="s">
        <v>4445</v>
      </c>
      <c r="I3378" s="46" t="e">
        <f>VLOOKUP(H3378,'合同高级查询数据-4月返'!A:A,1,FALSE)</f>
        <v>#N/A</v>
      </c>
      <c r="J3378" s="47" t="s">
        <v>3488</v>
      </c>
      <c r="K3378" s="203" t="s">
        <v>4446</v>
      </c>
      <c r="L3378" s="206"/>
      <c r="M3378" s="49" t="s">
        <v>4369</v>
      </c>
      <c r="N3378" s="73">
        <v>44268</v>
      </c>
      <c r="O3378" s="73" t="s">
        <v>503</v>
      </c>
      <c r="P3378" s="383">
        <v>6300</v>
      </c>
      <c r="Q3378" s="385">
        <v>7</v>
      </c>
      <c r="R3378" s="386">
        <f t="shared" si="108"/>
        <v>44100</v>
      </c>
      <c r="S3378" s="279">
        <v>202304</v>
      </c>
      <c r="T3378" s="184" t="s">
        <v>4450</v>
      </c>
      <c r="U3378" s="213"/>
      <c r="V3378" s="387"/>
      <c r="W3378" s="214"/>
      <c r="X3378" s="388">
        <v>44256</v>
      </c>
      <c r="Y3378" s="388">
        <v>46387</v>
      </c>
    </row>
    <row r="3379" s="5" customFormat="1" customHeight="1" spans="1:25">
      <c r="A3379" s="203" t="s">
        <v>446</v>
      </c>
      <c r="B3379" s="204" t="s">
        <v>4284</v>
      </c>
      <c r="C3379" s="204" t="s">
        <v>63</v>
      </c>
      <c r="D3379" s="204" t="s">
        <v>3038</v>
      </c>
      <c r="E3379" s="205" t="s">
        <v>4285</v>
      </c>
      <c r="F3379" s="203" t="s">
        <v>4286</v>
      </c>
      <c r="G3379" s="203" t="s">
        <v>88</v>
      </c>
      <c r="H3379" s="25" t="s">
        <v>4445</v>
      </c>
      <c r="I3379" s="46" t="e">
        <f>VLOOKUP(H3379,'合同高级查询数据-4月返'!A:A,1,FALSE)</f>
        <v>#N/A</v>
      </c>
      <c r="J3379" s="47" t="s">
        <v>3488</v>
      </c>
      <c r="K3379" s="203" t="s">
        <v>4446</v>
      </c>
      <c r="L3379" s="206"/>
      <c r="M3379" s="49" t="s">
        <v>4369</v>
      </c>
      <c r="N3379" s="73">
        <v>44270</v>
      </c>
      <c r="O3379" s="73" t="s">
        <v>503</v>
      </c>
      <c r="P3379" s="383">
        <v>6300</v>
      </c>
      <c r="Q3379" s="385">
        <v>6</v>
      </c>
      <c r="R3379" s="386">
        <f t="shared" si="108"/>
        <v>37800</v>
      </c>
      <c r="S3379" s="279">
        <v>202304</v>
      </c>
      <c r="T3379" s="184" t="s">
        <v>4451</v>
      </c>
      <c r="U3379" s="213"/>
      <c r="V3379" s="387"/>
      <c r="W3379" s="214"/>
      <c r="X3379" s="388">
        <v>44256</v>
      </c>
      <c r="Y3379" s="388">
        <v>46387</v>
      </c>
    </row>
    <row r="3380" s="5" customFormat="1" customHeight="1" spans="1:25">
      <c r="A3380" s="203" t="s">
        <v>446</v>
      </c>
      <c r="B3380" s="204" t="s">
        <v>4284</v>
      </c>
      <c r="C3380" s="204" t="s">
        <v>63</v>
      </c>
      <c r="D3380" s="204" t="s">
        <v>3038</v>
      </c>
      <c r="E3380" s="205" t="s">
        <v>4285</v>
      </c>
      <c r="F3380" s="203" t="s">
        <v>4286</v>
      </c>
      <c r="G3380" s="203" t="s">
        <v>88</v>
      </c>
      <c r="H3380" s="25" t="s">
        <v>4445</v>
      </c>
      <c r="I3380" s="46" t="e">
        <f>VLOOKUP(H3380,'合同高级查询数据-4月返'!A:A,1,FALSE)</f>
        <v>#N/A</v>
      </c>
      <c r="J3380" s="47" t="s">
        <v>3488</v>
      </c>
      <c r="K3380" s="203" t="s">
        <v>4446</v>
      </c>
      <c r="L3380" s="206"/>
      <c r="M3380" s="49" t="s">
        <v>4369</v>
      </c>
      <c r="N3380" s="73">
        <v>44272</v>
      </c>
      <c r="O3380" s="73" t="s">
        <v>503</v>
      </c>
      <c r="P3380" s="383">
        <v>6300</v>
      </c>
      <c r="Q3380" s="385">
        <v>8</v>
      </c>
      <c r="R3380" s="386">
        <f t="shared" si="108"/>
        <v>50400</v>
      </c>
      <c r="S3380" s="279">
        <v>202304</v>
      </c>
      <c r="T3380" s="184" t="s">
        <v>4452</v>
      </c>
      <c r="U3380" s="213"/>
      <c r="V3380" s="387"/>
      <c r="W3380" s="214"/>
      <c r="X3380" s="388">
        <v>44256</v>
      </c>
      <c r="Y3380" s="388">
        <v>46387</v>
      </c>
    </row>
    <row r="3381" s="5" customFormat="1" customHeight="1" spans="1:25">
      <c r="A3381" s="203" t="s">
        <v>446</v>
      </c>
      <c r="B3381" s="204" t="s">
        <v>4284</v>
      </c>
      <c r="C3381" s="204" t="s">
        <v>63</v>
      </c>
      <c r="D3381" s="204" t="s">
        <v>3038</v>
      </c>
      <c r="E3381" s="205" t="s">
        <v>4285</v>
      </c>
      <c r="F3381" s="203" t="s">
        <v>4286</v>
      </c>
      <c r="G3381" s="203" t="s">
        <v>88</v>
      </c>
      <c r="H3381" s="25" t="s">
        <v>4445</v>
      </c>
      <c r="I3381" s="46" t="e">
        <f>VLOOKUP(H3381,'合同高级查询数据-4月返'!A:A,1,FALSE)</f>
        <v>#N/A</v>
      </c>
      <c r="J3381" s="47" t="s">
        <v>3488</v>
      </c>
      <c r="K3381" s="203" t="s">
        <v>4446</v>
      </c>
      <c r="L3381" s="206"/>
      <c r="M3381" s="49" t="s">
        <v>4369</v>
      </c>
      <c r="N3381" s="73">
        <v>44277</v>
      </c>
      <c r="O3381" s="73" t="s">
        <v>503</v>
      </c>
      <c r="P3381" s="383">
        <v>6300</v>
      </c>
      <c r="Q3381" s="385">
        <v>37</v>
      </c>
      <c r="R3381" s="386">
        <f t="shared" si="108"/>
        <v>233100</v>
      </c>
      <c r="S3381" s="279">
        <v>202304</v>
      </c>
      <c r="T3381" s="184" t="s">
        <v>4453</v>
      </c>
      <c r="U3381" s="213"/>
      <c r="V3381" s="387"/>
      <c r="W3381" s="214"/>
      <c r="X3381" s="388">
        <v>44256</v>
      </c>
      <c r="Y3381" s="388">
        <v>46387</v>
      </c>
    </row>
    <row r="3382" s="5" customFormat="1" customHeight="1" spans="1:25">
      <c r="A3382" s="203" t="s">
        <v>446</v>
      </c>
      <c r="B3382" s="204" t="s">
        <v>4284</v>
      </c>
      <c r="C3382" s="204" t="s">
        <v>63</v>
      </c>
      <c r="D3382" s="204" t="s">
        <v>3038</v>
      </c>
      <c r="E3382" s="205" t="s">
        <v>4285</v>
      </c>
      <c r="F3382" s="203" t="s">
        <v>4286</v>
      </c>
      <c r="G3382" s="203" t="s">
        <v>88</v>
      </c>
      <c r="H3382" s="25" t="s">
        <v>4445</v>
      </c>
      <c r="I3382" s="46" t="e">
        <f>VLOOKUP(H3382,'合同高级查询数据-4月返'!A:A,1,FALSE)</f>
        <v>#N/A</v>
      </c>
      <c r="J3382" s="47" t="s">
        <v>3488</v>
      </c>
      <c r="K3382" s="203" t="s">
        <v>4446</v>
      </c>
      <c r="L3382" s="206"/>
      <c r="M3382" s="49" t="s">
        <v>4369</v>
      </c>
      <c r="N3382" s="73">
        <v>44278</v>
      </c>
      <c r="O3382" s="73" t="s">
        <v>503</v>
      </c>
      <c r="P3382" s="383">
        <v>6300</v>
      </c>
      <c r="Q3382" s="385">
        <v>3</v>
      </c>
      <c r="R3382" s="386">
        <f t="shared" si="108"/>
        <v>18900</v>
      </c>
      <c r="S3382" s="279">
        <v>202304</v>
      </c>
      <c r="T3382" s="184" t="s">
        <v>4454</v>
      </c>
      <c r="U3382" s="213"/>
      <c r="V3382" s="387"/>
      <c r="W3382" s="214"/>
      <c r="X3382" s="388">
        <v>44256</v>
      </c>
      <c r="Y3382" s="388">
        <v>46387</v>
      </c>
    </row>
    <row r="3383" s="5" customFormat="1" customHeight="1" spans="1:25">
      <c r="A3383" s="203" t="s">
        <v>446</v>
      </c>
      <c r="B3383" s="204" t="s">
        <v>4284</v>
      </c>
      <c r="C3383" s="204" t="s">
        <v>63</v>
      </c>
      <c r="D3383" s="204" t="s">
        <v>3038</v>
      </c>
      <c r="E3383" s="205" t="s">
        <v>4285</v>
      </c>
      <c r="F3383" s="203" t="s">
        <v>4286</v>
      </c>
      <c r="G3383" s="203" t="s">
        <v>88</v>
      </c>
      <c r="H3383" s="25" t="s">
        <v>4445</v>
      </c>
      <c r="I3383" s="46" t="e">
        <f>VLOOKUP(H3383,'合同高级查询数据-4月返'!A:A,1,FALSE)</f>
        <v>#N/A</v>
      </c>
      <c r="J3383" s="47" t="s">
        <v>3488</v>
      </c>
      <c r="K3383" s="203" t="s">
        <v>4446</v>
      </c>
      <c r="L3383" s="206"/>
      <c r="M3383" s="49" t="s">
        <v>4369</v>
      </c>
      <c r="N3383" s="73">
        <v>44280</v>
      </c>
      <c r="O3383" s="73" t="s">
        <v>503</v>
      </c>
      <c r="P3383" s="383">
        <v>6300</v>
      </c>
      <c r="Q3383" s="385">
        <v>3</v>
      </c>
      <c r="R3383" s="386">
        <f t="shared" si="108"/>
        <v>18900</v>
      </c>
      <c r="S3383" s="279">
        <v>202304</v>
      </c>
      <c r="T3383" s="184" t="s">
        <v>4455</v>
      </c>
      <c r="U3383" s="213"/>
      <c r="V3383" s="387"/>
      <c r="W3383" s="214"/>
      <c r="X3383" s="388">
        <v>44256</v>
      </c>
      <c r="Y3383" s="388">
        <v>46387</v>
      </c>
    </row>
    <row r="3384" s="5" customFormat="1" customHeight="1" spans="1:25">
      <c r="A3384" s="203" t="s">
        <v>446</v>
      </c>
      <c r="B3384" s="204" t="s">
        <v>4284</v>
      </c>
      <c r="C3384" s="204" t="s">
        <v>63</v>
      </c>
      <c r="D3384" s="204" t="s">
        <v>3038</v>
      </c>
      <c r="E3384" s="205" t="s">
        <v>4285</v>
      </c>
      <c r="F3384" s="203" t="s">
        <v>4286</v>
      </c>
      <c r="G3384" s="203" t="s">
        <v>88</v>
      </c>
      <c r="H3384" s="25" t="s">
        <v>4445</v>
      </c>
      <c r="I3384" s="46" t="e">
        <f>VLOOKUP(H3384,'合同高级查询数据-4月返'!A:A,1,FALSE)</f>
        <v>#N/A</v>
      </c>
      <c r="J3384" s="47" t="s">
        <v>3488</v>
      </c>
      <c r="K3384" s="203" t="s">
        <v>4446</v>
      </c>
      <c r="L3384" s="206"/>
      <c r="M3384" s="49" t="s">
        <v>4369</v>
      </c>
      <c r="N3384" s="73">
        <v>44285</v>
      </c>
      <c r="O3384" s="73" t="s">
        <v>503</v>
      </c>
      <c r="P3384" s="383">
        <v>6300</v>
      </c>
      <c r="Q3384" s="385">
        <v>27</v>
      </c>
      <c r="R3384" s="386">
        <f t="shared" si="108"/>
        <v>170100</v>
      </c>
      <c r="S3384" s="279">
        <v>202304</v>
      </c>
      <c r="T3384" s="184" t="s">
        <v>4456</v>
      </c>
      <c r="U3384" s="213"/>
      <c r="V3384" s="387"/>
      <c r="W3384" s="214"/>
      <c r="X3384" s="388">
        <v>44256</v>
      </c>
      <c r="Y3384" s="388">
        <v>46387</v>
      </c>
    </row>
    <row r="3385" s="5" customFormat="1" customHeight="1" spans="1:25">
      <c r="A3385" s="203" t="s">
        <v>446</v>
      </c>
      <c r="B3385" s="204" t="s">
        <v>4284</v>
      </c>
      <c r="C3385" s="204" t="s">
        <v>63</v>
      </c>
      <c r="D3385" s="204" t="s">
        <v>3038</v>
      </c>
      <c r="E3385" s="205" t="s">
        <v>4285</v>
      </c>
      <c r="F3385" s="203" t="s">
        <v>4286</v>
      </c>
      <c r="G3385" s="203" t="s">
        <v>88</v>
      </c>
      <c r="H3385" s="25" t="s">
        <v>4445</v>
      </c>
      <c r="I3385" s="46" t="e">
        <f>VLOOKUP(H3385,'合同高级查询数据-4月返'!A:A,1,FALSE)</f>
        <v>#N/A</v>
      </c>
      <c r="J3385" s="47" t="s">
        <v>3488</v>
      </c>
      <c r="K3385" s="203" t="s">
        <v>4446</v>
      </c>
      <c r="L3385" s="206"/>
      <c r="M3385" s="49" t="s">
        <v>4369</v>
      </c>
      <c r="N3385" s="73">
        <v>44288</v>
      </c>
      <c r="O3385" s="73" t="s">
        <v>503</v>
      </c>
      <c r="P3385" s="383">
        <v>6300</v>
      </c>
      <c r="Q3385" s="385">
        <v>11</v>
      </c>
      <c r="R3385" s="386">
        <f t="shared" si="108"/>
        <v>69300</v>
      </c>
      <c r="S3385" s="279">
        <v>202304</v>
      </c>
      <c r="T3385" s="184" t="s">
        <v>4457</v>
      </c>
      <c r="U3385" s="213"/>
      <c r="V3385" s="387"/>
      <c r="W3385" s="214"/>
      <c r="X3385" s="388">
        <v>44256</v>
      </c>
      <c r="Y3385" s="388">
        <v>46387</v>
      </c>
    </row>
    <row r="3386" s="5" customFormat="1" customHeight="1" spans="1:25">
      <c r="A3386" s="203" t="s">
        <v>446</v>
      </c>
      <c r="B3386" s="204" t="s">
        <v>4284</v>
      </c>
      <c r="C3386" s="204" t="s">
        <v>63</v>
      </c>
      <c r="D3386" s="204" t="s">
        <v>3038</v>
      </c>
      <c r="E3386" s="205" t="s">
        <v>4285</v>
      </c>
      <c r="F3386" s="203" t="s">
        <v>4286</v>
      </c>
      <c r="G3386" s="203" t="s">
        <v>88</v>
      </c>
      <c r="H3386" s="25" t="s">
        <v>4445</v>
      </c>
      <c r="I3386" s="46" t="e">
        <f>VLOOKUP(H3386,'合同高级查询数据-4月返'!A:A,1,FALSE)</f>
        <v>#N/A</v>
      </c>
      <c r="J3386" s="47" t="s">
        <v>3488</v>
      </c>
      <c r="K3386" s="203" t="s">
        <v>4446</v>
      </c>
      <c r="L3386" s="206"/>
      <c r="M3386" s="49" t="s">
        <v>4369</v>
      </c>
      <c r="N3386" s="73">
        <v>44295</v>
      </c>
      <c r="O3386" s="73" t="s">
        <v>503</v>
      </c>
      <c r="P3386" s="383">
        <v>6300</v>
      </c>
      <c r="Q3386" s="385">
        <v>9</v>
      </c>
      <c r="R3386" s="386">
        <f t="shared" si="108"/>
        <v>56700</v>
      </c>
      <c r="S3386" s="279">
        <v>202304</v>
      </c>
      <c r="T3386" s="184" t="s">
        <v>4458</v>
      </c>
      <c r="U3386" s="213"/>
      <c r="V3386" s="387"/>
      <c r="W3386" s="214"/>
      <c r="X3386" s="388">
        <v>44256</v>
      </c>
      <c r="Y3386" s="388">
        <v>46387</v>
      </c>
    </row>
    <row r="3387" s="5" customFormat="1" customHeight="1" spans="1:25">
      <c r="A3387" s="203" t="s">
        <v>446</v>
      </c>
      <c r="B3387" s="204" t="s">
        <v>4284</v>
      </c>
      <c r="C3387" s="204" t="s">
        <v>63</v>
      </c>
      <c r="D3387" s="204" t="s">
        <v>3038</v>
      </c>
      <c r="E3387" s="205" t="s">
        <v>4285</v>
      </c>
      <c r="F3387" s="203" t="s">
        <v>4286</v>
      </c>
      <c r="G3387" s="203" t="s">
        <v>88</v>
      </c>
      <c r="H3387" s="25" t="s">
        <v>4445</v>
      </c>
      <c r="I3387" s="46" t="e">
        <f>VLOOKUP(H3387,'合同高级查询数据-4月返'!A:A,1,FALSE)</f>
        <v>#N/A</v>
      </c>
      <c r="J3387" s="47" t="s">
        <v>3488</v>
      </c>
      <c r="K3387" s="203" t="s">
        <v>4446</v>
      </c>
      <c r="L3387" s="206"/>
      <c r="M3387" s="49" t="s">
        <v>4369</v>
      </c>
      <c r="N3387" s="73">
        <v>44305</v>
      </c>
      <c r="O3387" s="73" t="s">
        <v>503</v>
      </c>
      <c r="P3387" s="383">
        <v>6300</v>
      </c>
      <c r="Q3387" s="385">
        <v>23</v>
      </c>
      <c r="R3387" s="386">
        <f t="shared" si="108"/>
        <v>144900</v>
      </c>
      <c r="S3387" s="279">
        <v>202304</v>
      </c>
      <c r="T3387" s="184" t="s">
        <v>4459</v>
      </c>
      <c r="U3387" s="213"/>
      <c r="V3387" s="387"/>
      <c r="W3387" s="214"/>
      <c r="X3387" s="388">
        <v>44256</v>
      </c>
      <c r="Y3387" s="388">
        <v>46387</v>
      </c>
    </row>
    <row r="3388" s="5" customFormat="1" customHeight="1" spans="1:25">
      <c r="A3388" s="203" t="s">
        <v>446</v>
      </c>
      <c r="B3388" s="204" t="s">
        <v>4284</v>
      </c>
      <c r="C3388" s="204" t="s">
        <v>63</v>
      </c>
      <c r="D3388" s="204" t="s">
        <v>3038</v>
      </c>
      <c r="E3388" s="205" t="s">
        <v>4285</v>
      </c>
      <c r="F3388" s="203" t="s">
        <v>4286</v>
      </c>
      <c r="G3388" s="203" t="s">
        <v>88</v>
      </c>
      <c r="H3388" s="25" t="s">
        <v>4445</v>
      </c>
      <c r="I3388" s="46" t="e">
        <f>VLOOKUP(H3388,'合同高级查询数据-4月返'!A:A,1,FALSE)</f>
        <v>#N/A</v>
      </c>
      <c r="J3388" s="47" t="s">
        <v>3488</v>
      </c>
      <c r="K3388" s="203" t="s">
        <v>4446</v>
      </c>
      <c r="L3388" s="206"/>
      <c r="M3388" s="49" t="s">
        <v>4369</v>
      </c>
      <c r="N3388" s="73">
        <v>44306</v>
      </c>
      <c r="O3388" s="73" t="s">
        <v>503</v>
      </c>
      <c r="P3388" s="383">
        <v>6300</v>
      </c>
      <c r="Q3388" s="385">
        <v>1</v>
      </c>
      <c r="R3388" s="386">
        <f t="shared" si="108"/>
        <v>6300</v>
      </c>
      <c r="S3388" s="279">
        <v>202304</v>
      </c>
      <c r="T3388" s="184" t="s">
        <v>4460</v>
      </c>
      <c r="U3388" s="213"/>
      <c r="V3388" s="387"/>
      <c r="W3388" s="214"/>
      <c r="X3388" s="388">
        <v>44256</v>
      </c>
      <c r="Y3388" s="388">
        <v>46387</v>
      </c>
    </row>
    <row r="3389" s="5" customFormat="1" customHeight="1" spans="1:25">
      <c r="A3389" s="203" t="s">
        <v>446</v>
      </c>
      <c r="B3389" s="204" t="s">
        <v>4284</v>
      </c>
      <c r="C3389" s="204" t="s">
        <v>63</v>
      </c>
      <c r="D3389" s="204" t="s">
        <v>3038</v>
      </c>
      <c r="E3389" s="205" t="s">
        <v>4285</v>
      </c>
      <c r="F3389" s="203" t="s">
        <v>4286</v>
      </c>
      <c r="G3389" s="203" t="s">
        <v>88</v>
      </c>
      <c r="H3389" s="25" t="s">
        <v>4445</v>
      </c>
      <c r="I3389" s="46" t="e">
        <f>VLOOKUP(H3389,'合同高级查询数据-4月返'!A:A,1,FALSE)</f>
        <v>#N/A</v>
      </c>
      <c r="J3389" s="47" t="s">
        <v>3488</v>
      </c>
      <c r="K3389" s="203" t="s">
        <v>4446</v>
      </c>
      <c r="L3389" s="206"/>
      <c r="M3389" s="49" t="s">
        <v>4369</v>
      </c>
      <c r="N3389" s="73">
        <v>44307</v>
      </c>
      <c r="O3389" s="73" t="s">
        <v>503</v>
      </c>
      <c r="P3389" s="383">
        <v>6300</v>
      </c>
      <c r="Q3389" s="385">
        <v>1</v>
      </c>
      <c r="R3389" s="386">
        <f t="shared" si="108"/>
        <v>6300</v>
      </c>
      <c r="S3389" s="279">
        <v>202304</v>
      </c>
      <c r="T3389" s="184" t="s">
        <v>4461</v>
      </c>
      <c r="U3389" s="213"/>
      <c r="V3389" s="387"/>
      <c r="W3389" s="214"/>
      <c r="X3389" s="388">
        <v>44256</v>
      </c>
      <c r="Y3389" s="388">
        <v>46387</v>
      </c>
    </row>
    <row r="3390" s="5" customFormat="1" customHeight="1" spans="1:25">
      <c r="A3390" s="203" t="s">
        <v>446</v>
      </c>
      <c r="B3390" s="204" t="s">
        <v>4284</v>
      </c>
      <c r="C3390" s="204" t="s">
        <v>63</v>
      </c>
      <c r="D3390" s="204" t="s">
        <v>3038</v>
      </c>
      <c r="E3390" s="205" t="s">
        <v>4285</v>
      </c>
      <c r="F3390" s="203" t="s">
        <v>4286</v>
      </c>
      <c r="G3390" s="203" t="s">
        <v>88</v>
      </c>
      <c r="H3390" s="25" t="s">
        <v>4445</v>
      </c>
      <c r="I3390" s="46" t="e">
        <f>VLOOKUP(H3390,'合同高级查询数据-4月返'!A:A,1,FALSE)</f>
        <v>#N/A</v>
      </c>
      <c r="J3390" s="47" t="s">
        <v>3488</v>
      </c>
      <c r="K3390" s="203" t="s">
        <v>4446</v>
      </c>
      <c r="L3390" s="206"/>
      <c r="M3390" s="49" t="s">
        <v>4369</v>
      </c>
      <c r="N3390" s="73">
        <v>44308</v>
      </c>
      <c r="O3390" s="73" t="s">
        <v>503</v>
      </c>
      <c r="P3390" s="383">
        <v>6300</v>
      </c>
      <c r="Q3390" s="385">
        <v>69</v>
      </c>
      <c r="R3390" s="386">
        <f t="shared" si="108"/>
        <v>434700</v>
      </c>
      <c r="S3390" s="279">
        <v>202304</v>
      </c>
      <c r="T3390" s="184" t="s">
        <v>4462</v>
      </c>
      <c r="U3390" s="213"/>
      <c r="V3390" s="387"/>
      <c r="W3390" s="214"/>
      <c r="X3390" s="388">
        <v>44256</v>
      </c>
      <c r="Y3390" s="388">
        <v>46387</v>
      </c>
    </row>
    <row r="3391" s="5" customFormat="1" customHeight="1" spans="1:25">
      <c r="A3391" s="203" t="s">
        <v>446</v>
      </c>
      <c r="B3391" s="204" t="s">
        <v>4284</v>
      </c>
      <c r="C3391" s="204" t="s">
        <v>63</v>
      </c>
      <c r="D3391" s="204" t="s">
        <v>3038</v>
      </c>
      <c r="E3391" s="205" t="s">
        <v>4285</v>
      </c>
      <c r="F3391" s="203" t="s">
        <v>4286</v>
      </c>
      <c r="G3391" s="203" t="s">
        <v>88</v>
      </c>
      <c r="H3391" s="25" t="s">
        <v>4445</v>
      </c>
      <c r="I3391" s="46" t="e">
        <f>VLOOKUP(H3391,'合同高级查询数据-4月返'!A:A,1,FALSE)</f>
        <v>#N/A</v>
      </c>
      <c r="J3391" s="47" t="s">
        <v>3488</v>
      </c>
      <c r="K3391" s="203" t="s">
        <v>4446</v>
      </c>
      <c r="L3391" s="206"/>
      <c r="M3391" s="49" t="s">
        <v>4369</v>
      </c>
      <c r="N3391" s="73">
        <v>44309</v>
      </c>
      <c r="O3391" s="73" t="s">
        <v>503</v>
      </c>
      <c r="P3391" s="383">
        <v>6300</v>
      </c>
      <c r="Q3391" s="385">
        <v>50</v>
      </c>
      <c r="R3391" s="386">
        <f t="shared" si="108"/>
        <v>315000</v>
      </c>
      <c r="S3391" s="279">
        <v>202304</v>
      </c>
      <c r="T3391" s="184" t="s">
        <v>4463</v>
      </c>
      <c r="U3391" s="213"/>
      <c r="V3391" s="387"/>
      <c r="W3391" s="214"/>
      <c r="X3391" s="388">
        <v>44256</v>
      </c>
      <c r="Y3391" s="388">
        <v>46387</v>
      </c>
    </row>
    <row r="3392" s="5" customFormat="1" customHeight="1" spans="1:25">
      <c r="A3392" s="203" t="s">
        <v>446</v>
      </c>
      <c r="B3392" s="204" t="s">
        <v>4284</v>
      </c>
      <c r="C3392" s="204" t="s">
        <v>63</v>
      </c>
      <c r="D3392" s="204" t="s">
        <v>3038</v>
      </c>
      <c r="E3392" s="205" t="s">
        <v>4285</v>
      </c>
      <c r="F3392" s="203" t="s">
        <v>4286</v>
      </c>
      <c r="G3392" s="203" t="s">
        <v>88</v>
      </c>
      <c r="H3392" s="25" t="s">
        <v>4445</v>
      </c>
      <c r="I3392" s="46" t="e">
        <f>VLOOKUP(H3392,'合同高级查询数据-4月返'!A:A,1,FALSE)</f>
        <v>#N/A</v>
      </c>
      <c r="J3392" s="47" t="s">
        <v>3488</v>
      </c>
      <c r="K3392" s="203" t="s">
        <v>4446</v>
      </c>
      <c r="L3392" s="206"/>
      <c r="M3392" s="49" t="s">
        <v>4369</v>
      </c>
      <c r="N3392" s="73">
        <v>44312</v>
      </c>
      <c r="O3392" s="73" t="s">
        <v>503</v>
      </c>
      <c r="P3392" s="396">
        <v>6300</v>
      </c>
      <c r="Q3392" s="385">
        <v>22</v>
      </c>
      <c r="R3392" s="386">
        <f t="shared" si="108"/>
        <v>138600</v>
      </c>
      <c r="S3392" s="279">
        <v>202304</v>
      </c>
      <c r="T3392" s="184" t="s">
        <v>4464</v>
      </c>
      <c r="U3392" s="213"/>
      <c r="V3392" s="387"/>
      <c r="W3392" s="214"/>
      <c r="X3392" s="388">
        <v>44256</v>
      </c>
      <c r="Y3392" s="388">
        <v>46387</v>
      </c>
    </row>
    <row r="3393" s="5" customFormat="1" customHeight="1" spans="1:25">
      <c r="A3393" s="203" t="s">
        <v>446</v>
      </c>
      <c r="B3393" s="204" t="s">
        <v>4284</v>
      </c>
      <c r="C3393" s="204" t="s">
        <v>63</v>
      </c>
      <c r="D3393" s="204" t="s">
        <v>3038</v>
      </c>
      <c r="E3393" s="205" t="s">
        <v>4285</v>
      </c>
      <c r="F3393" s="203" t="s">
        <v>4286</v>
      </c>
      <c r="G3393" s="203" t="s">
        <v>88</v>
      </c>
      <c r="H3393" s="25" t="s">
        <v>4445</v>
      </c>
      <c r="I3393" s="46" t="e">
        <f>VLOOKUP(H3393,'合同高级查询数据-4月返'!A:A,1,FALSE)</f>
        <v>#N/A</v>
      </c>
      <c r="J3393" s="47" t="s">
        <v>3488</v>
      </c>
      <c r="K3393" s="203" t="s">
        <v>4446</v>
      </c>
      <c r="L3393" s="206"/>
      <c r="M3393" s="49" t="s">
        <v>4369</v>
      </c>
      <c r="N3393" s="73">
        <v>44314</v>
      </c>
      <c r="O3393" s="73" t="s">
        <v>503</v>
      </c>
      <c r="P3393" s="396">
        <v>6300</v>
      </c>
      <c r="Q3393" s="385">
        <v>16</v>
      </c>
      <c r="R3393" s="386">
        <f t="shared" si="108"/>
        <v>100800</v>
      </c>
      <c r="S3393" s="279">
        <v>202304</v>
      </c>
      <c r="T3393" s="184" t="s">
        <v>4465</v>
      </c>
      <c r="U3393" s="213"/>
      <c r="V3393" s="387"/>
      <c r="W3393" s="214"/>
      <c r="X3393" s="388">
        <v>44256</v>
      </c>
      <c r="Y3393" s="388">
        <v>46387</v>
      </c>
    </row>
    <row r="3394" s="5" customFormat="1" customHeight="1" spans="1:25">
      <c r="A3394" s="203" t="s">
        <v>446</v>
      </c>
      <c r="B3394" s="204" t="s">
        <v>4284</v>
      </c>
      <c r="C3394" s="204" t="s">
        <v>63</v>
      </c>
      <c r="D3394" s="204" t="s">
        <v>3038</v>
      </c>
      <c r="E3394" s="205" t="s">
        <v>4285</v>
      </c>
      <c r="F3394" s="203" t="s">
        <v>4286</v>
      </c>
      <c r="G3394" s="203" t="s">
        <v>88</v>
      </c>
      <c r="H3394" s="25" t="s">
        <v>4445</v>
      </c>
      <c r="I3394" s="46" t="e">
        <f>VLOOKUP(H3394,'合同高级查询数据-4月返'!A:A,1,FALSE)</f>
        <v>#N/A</v>
      </c>
      <c r="J3394" s="47" t="s">
        <v>3488</v>
      </c>
      <c r="K3394" s="203" t="s">
        <v>4446</v>
      </c>
      <c r="L3394" s="206"/>
      <c r="M3394" s="49" t="s">
        <v>4369</v>
      </c>
      <c r="N3394" s="73">
        <v>44326</v>
      </c>
      <c r="O3394" s="73" t="s">
        <v>503</v>
      </c>
      <c r="P3394" s="396">
        <v>6300</v>
      </c>
      <c r="Q3394" s="385">
        <v>1</v>
      </c>
      <c r="R3394" s="386">
        <f t="shared" si="108"/>
        <v>6300</v>
      </c>
      <c r="S3394" s="279">
        <v>202304</v>
      </c>
      <c r="T3394" s="184" t="s">
        <v>4466</v>
      </c>
      <c r="U3394" s="213"/>
      <c r="V3394" s="387"/>
      <c r="W3394" s="214"/>
      <c r="X3394" s="388">
        <v>44256</v>
      </c>
      <c r="Y3394" s="388">
        <v>46387</v>
      </c>
    </row>
    <row r="3395" s="5" customFormat="1" customHeight="1" spans="1:25">
      <c r="A3395" s="203" t="s">
        <v>446</v>
      </c>
      <c r="B3395" s="204" t="s">
        <v>4284</v>
      </c>
      <c r="C3395" s="204" t="s">
        <v>63</v>
      </c>
      <c r="D3395" s="204" t="s">
        <v>3038</v>
      </c>
      <c r="E3395" s="205" t="s">
        <v>4285</v>
      </c>
      <c r="F3395" s="203" t="s">
        <v>4286</v>
      </c>
      <c r="G3395" s="203" t="s">
        <v>88</v>
      </c>
      <c r="H3395" s="25" t="s">
        <v>4445</v>
      </c>
      <c r="I3395" s="46" t="e">
        <f>VLOOKUP(H3395,'合同高级查询数据-4月返'!A:A,1,FALSE)</f>
        <v>#N/A</v>
      </c>
      <c r="J3395" s="47" t="s">
        <v>3488</v>
      </c>
      <c r="K3395" s="203" t="s">
        <v>4446</v>
      </c>
      <c r="L3395" s="206"/>
      <c r="M3395" s="49" t="s">
        <v>4369</v>
      </c>
      <c r="N3395" s="73">
        <v>44330</v>
      </c>
      <c r="O3395" s="73" t="s">
        <v>503</v>
      </c>
      <c r="P3395" s="396">
        <v>6300</v>
      </c>
      <c r="Q3395" s="385">
        <v>13</v>
      </c>
      <c r="R3395" s="386">
        <f t="shared" si="108"/>
        <v>81900</v>
      </c>
      <c r="S3395" s="279">
        <v>202304</v>
      </c>
      <c r="T3395" s="184" t="s">
        <v>4467</v>
      </c>
      <c r="U3395" s="213"/>
      <c r="V3395" s="387"/>
      <c r="W3395" s="214"/>
      <c r="X3395" s="388">
        <v>44256</v>
      </c>
      <c r="Y3395" s="388">
        <v>46387</v>
      </c>
    </row>
    <row r="3396" s="5" customFormat="1" customHeight="1" spans="1:25">
      <c r="A3396" s="203" t="s">
        <v>446</v>
      </c>
      <c r="B3396" s="204" t="s">
        <v>4284</v>
      </c>
      <c r="C3396" s="204" t="s">
        <v>63</v>
      </c>
      <c r="D3396" s="204" t="s">
        <v>3038</v>
      </c>
      <c r="E3396" s="205" t="s">
        <v>4285</v>
      </c>
      <c r="F3396" s="203" t="s">
        <v>4286</v>
      </c>
      <c r="G3396" s="203" t="s">
        <v>88</v>
      </c>
      <c r="H3396" s="25" t="s">
        <v>4445</v>
      </c>
      <c r="I3396" s="46" t="e">
        <f>VLOOKUP(H3396,'合同高级查询数据-4月返'!A:A,1,FALSE)</f>
        <v>#N/A</v>
      </c>
      <c r="J3396" s="47" t="s">
        <v>3488</v>
      </c>
      <c r="K3396" s="203" t="s">
        <v>4446</v>
      </c>
      <c r="L3396" s="206"/>
      <c r="M3396" s="49" t="s">
        <v>4369</v>
      </c>
      <c r="N3396" s="73">
        <v>44334</v>
      </c>
      <c r="O3396" s="73" t="s">
        <v>503</v>
      </c>
      <c r="P3396" s="396">
        <v>6300</v>
      </c>
      <c r="Q3396" s="385">
        <v>46</v>
      </c>
      <c r="R3396" s="386">
        <f t="shared" si="108"/>
        <v>289800</v>
      </c>
      <c r="S3396" s="279">
        <v>202304</v>
      </c>
      <c r="T3396" s="184" t="s">
        <v>4468</v>
      </c>
      <c r="U3396" s="213"/>
      <c r="V3396" s="387"/>
      <c r="W3396" s="214"/>
      <c r="X3396" s="388">
        <v>44256</v>
      </c>
      <c r="Y3396" s="388">
        <v>46387</v>
      </c>
    </row>
    <row r="3397" s="5" customFormat="1" customHeight="1" spans="1:25">
      <c r="A3397" s="203" t="s">
        <v>446</v>
      </c>
      <c r="B3397" s="204" t="s">
        <v>4284</v>
      </c>
      <c r="C3397" s="204" t="s">
        <v>63</v>
      </c>
      <c r="D3397" s="204" t="s">
        <v>3038</v>
      </c>
      <c r="E3397" s="205" t="s">
        <v>4285</v>
      </c>
      <c r="F3397" s="203" t="s">
        <v>4286</v>
      </c>
      <c r="G3397" s="203" t="s">
        <v>88</v>
      </c>
      <c r="H3397" s="25" t="s">
        <v>4445</v>
      </c>
      <c r="I3397" s="46" t="e">
        <f>VLOOKUP(H3397,'合同高级查询数据-4月返'!A:A,1,FALSE)</f>
        <v>#N/A</v>
      </c>
      <c r="J3397" s="47" t="s">
        <v>3488</v>
      </c>
      <c r="K3397" s="203" t="s">
        <v>4446</v>
      </c>
      <c r="L3397" s="206"/>
      <c r="M3397" s="49" t="s">
        <v>4369</v>
      </c>
      <c r="N3397" s="73">
        <v>44354</v>
      </c>
      <c r="O3397" s="73" t="s">
        <v>503</v>
      </c>
      <c r="P3397" s="396">
        <v>6300</v>
      </c>
      <c r="Q3397" s="385">
        <v>-12</v>
      </c>
      <c r="R3397" s="386">
        <f t="shared" ref="R3397:R3405" si="109">ROUND(P3397*Q3397,2)</f>
        <v>-75600</v>
      </c>
      <c r="S3397" s="279">
        <v>202304</v>
      </c>
      <c r="T3397" s="184" t="s">
        <v>4469</v>
      </c>
      <c r="U3397" s="213"/>
      <c r="V3397" s="387"/>
      <c r="W3397" s="214"/>
      <c r="X3397" s="388">
        <v>44256</v>
      </c>
      <c r="Y3397" s="388">
        <v>46387</v>
      </c>
    </row>
    <row r="3398" s="5" customFormat="1" customHeight="1" spans="1:25">
      <c r="A3398" s="203" t="s">
        <v>446</v>
      </c>
      <c r="B3398" s="204" t="s">
        <v>4284</v>
      </c>
      <c r="C3398" s="204" t="s">
        <v>63</v>
      </c>
      <c r="D3398" s="204" t="s">
        <v>3038</v>
      </c>
      <c r="E3398" s="205" t="s">
        <v>4285</v>
      </c>
      <c r="F3398" s="203" t="s">
        <v>4286</v>
      </c>
      <c r="G3398" s="203" t="s">
        <v>88</v>
      </c>
      <c r="H3398" s="25" t="s">
        <v>4445</v>
      </c>
      <c r="I3398" s="46" t="e">
        <f>VLOOKUP(H3398,'合同高级查询数据-4月返'!A:A,1,FALSE)</f>
        <v>#N/A</v>
      </c>
      <c r="J3398" s="47" t="s">
        <v>3488</v>
      </c>
      <c r="K3398" s="203" t="s">
        <v>4446</v>
      </c>
      <c r="L3398" s="206"/>
      <c r="M3398" s="49" t="s">
        <v>4369</v>
      </c>
      <c r="N3398" s="73">
        <v>44445</v>
      </c>
      <c r="O3398" s="73" t="s">
        <v>503</v>
      </c>
      <c r="P3398" s="396">
        <v>6300</v>
      </c>
      <c r="Q3398" s="385">
        <v>12</v>
      </c>
      <c r="R3398" s="386">
        <f t="shared" si="109"/>
        <v>75600</v>
      </c>
      <c r="S3398" s="279">
        <v>202304</v>
      </c>
      <c r="T3398" s="184" t="s">
        <v>4469</v>
      </c>
      <c r="U3398" s="213"/>
      <c r="V3398" s="387"/>
      <c r="W3398" s="214"/>
      <c r="X3398" s="388">
        <v>44256</v>
      </c>
      <c r="Y3398" s="388">
        <v>46387</v>
      </c>
    </row>
    <row r="3399" s="5" customFormat="1" customHeight="1" spans="1:25">
      <c r="A3399" s="203" t="s">
        <v>446</v>
      </c>
      <c r="B3399" s="204" t="s">
        <v>4284</v>
      </c>
      <c r="C3399" s="204" t="s">
        <v>63</v>
      </c>
      <c r="D3399" s="204" t="s">
        <v>3038</v>
      </c>
      <c r="E3399" s="205" t="s">
        <v>4285</v>
      </c>
      <c r="F3399" s="203" t="s">
        <v>4286</v>
      </c>
      <c r="G3399" s="203" t="s">
        <v>88</v>
      </c>
      <c r="H3399" s="25" t="s">
        <v>4445</v>
      </c>
      <c r="I3399" s="46" t="e">
        <f>VLOOKUP(H3399,'合同高级查询数据-4月返'!A:A,1,FALSE)</f>
        <v>#N/A</v>
      </c>
      <c r="J3399" s="47" t="s">
        <v>3488</v>
      </c>
      <c r="K3399" s="203" t="s">
        <v>4446</v>
      </c>
      <c r="L3399" s="206"/>
      <c r="M3399" s="49" t="s">
        <v>4369</v>
      </c>
      <c r="N3399" s="73">
        <v>44572</v>
      </c>
      <c r="O3399" s="73" t="s">
        <v>503</v>
      </c>
      <c r="P3399" s="396">
        <v>6300</v>
      </c>
      <c r="Q3399" s="385">
        <v>3</v>
      </c>
      <c r="R3399" s="207">
        <f t="shared" si="109"/>
        <v>18900</v>
      </c>
      <c r="S3399" s="279">
        <v>202304</v>
      </c>
      <c r="T3399" s="184" t="s">
        <v>4470</v>
      </c>
      <c r="U3399" s="213"/>
      <c r="V3399" s="387"/>
      <c r="W3399" s="214"/>
      <c r="X3399" s="388">
        <v>44256</v>
      </c>
      <c r="Y3399" s="388">
        <v>46387</v>
      </c>
    </row>
    <row r="3400" s="5" customFormat="1" customHeight="1" spans="1:25">
      <c r="A3400" s="203" t="s">
        <v>446</v>
      </c>
      <c r="B3400" s="204" t="s">
        <v>4284</v>
      </c>
      <c r="C3400" s="204" t="s">
        <v>63</v>
      </c>
      <c r="D3400" s="204" t="s">
        <v>3038</v>
      </c>
      <c r="E3400" s="205" t="s">
        <v>4285</v>
      </c>
      <c r="F3400" s="203" t="s">
        <v>4286</v>
      </c>
      <c r="G3400" s="203" t="s">
        <v>88</v>
      </c>
      <c r="H3400" s="25" t="s">
        <v>4445</v>
      </c>
      <c r="I3400" s="46" t="e">
        <f>VLOOKUP(H3400,'合同高级查询数据-4月返'!A:A,1,FALSE)</f>
        <v>#N/A</v>
      </c>
      <c r="J3400" s="47" t="s">
        <v>3488</v>
      </c>
      <c r="K3400" s="203" t="s">
        <v>4446</v>
      </c>
      <c r="L3400" s="206"/>
      <c r="M3400" s="49" t="s">
        <v>4369</v>
      </c>
      <c r="N3400" s="73">
        <v>44576</v>
      </c>
      <c r="O3400" s="73" t="s">
        <v>503</v>
      </c>
      <c r="P3400" s="396">
        <v>6300</v>
      </c>
      <c r="Q3400" s="385">
        <v>16</v>
      </c>
      <c r="R3400" s="207">
        <f t="shared" si="109"/>
        <v>100800</v>
      </c>
      <c r="S3400" s="279">
        <v>202304</v>
      </c>
      <c r="T3400" s="184" t="s">
        <v>4471</v>
      </c>
      <c r="U3400" s="213"/>
      <c r="V3400" s="387"/>
      <c r="W3400" s="214"/>
      <c r="X3400" s="388">
        <v>44256</v>
      </c>
      <c r="Y3400" s="388">
        <v>46387</v>
      </c>
    </row>
    <row r="3401" s="5" customFormat="1" customHeight="1" spans="1:25">
      <c r="A3401" s="203" t="s">
        <v>446</v>
      </c>
      <c r="B3401" s="204" t="s">
        <v>4284</v>
      </c>
      <c r="C3401" s="204" t="s">
        <v>63</v>
      </c>
      <c r="D3401" s="204" t="s">
        <v>3038</v>
      </c>
      <c r="E3401" s="205" t="s">
        <v>4285</v>
      </c>
      <c r="F3401" s="203" t="s">
        <v>4286</v>
      </c>
      <c r="G3401" s="203" t="s">
        <v>88</v>
      </c>
      <c r="H3401" s="25" t="s">
        <v>4445</v>
      </c>
      <c r="I3401" s="46" t="e">
        <f>VLOOKUP(H3401,'合同高级查询数据-4月返'!A:A,1,FALSE)</f>
        <v>#N/A</v>
      </c>
      <c r="J3401" s="47" t="s">
        <v>3488</v>
      </c>
      <c r="K3401" s="203" t="s">
        <v>4446</v>
      </c>
      <c r="L3401" s="206"/>
      <c r="M3401" s="49" t="s">
        <v>4369</v>
      </c>
      <c r="N3401" s="73">
        <v>44586</v>
      </c>
      <c r="O3401" s="73" t="s">
        <v>503</v>
      </c>
      <c r="P3401" s="396">
        <v>6300</v>
      </c>
      <c r="Q3401" s="385">
        <v>1</v>
      </c>
      <c r="R3401" s="207">
        <f t="shared" si="109"/>
        <v>6300</v>
      </c>
      <c r="S3401" s="279">
        <v>202304</v>
      </c>
      <c r="T3401" s="184" t="s">
        <v>4472</v>
      </c>
      <c r="U3401" s="213"/>
      <c r="V3401" s="387"/>
      <c r="W3401" s="214"/>
      <c r="X3401" s="388">
        <v>44256</v>
      </c>
      <c r="Y3401" s="388">
        <v>46387</v>
      </c>
    </row>
    <row r="3402" s="5" customFormat="1" customHeight="1" spans="1:25">
      <c r="A3402" s="203" t="s">
        <v>446</v>
      </c>
      <c r="B3402" s="204" t="s">
        <v>4284</v>
      </c>
      <c r="C3402" s="204" t="s">
        <v>63</v>
      </c>
      <c r="D3402" s="204" t="s">
        <v>3038</v>
      </c>
      <c r="E3402" s="205" t="s">
        <v>4285</v>
      </c>
      <c r="F3402" s="203" t="s">
        <v>4286</v>
      </c>
      <c r="G3402" s="203" t="s">
        <v>88</v>
      </c>
      <c r="H3402" s="25" t="s">
        <v>4445</v>
      </c>
      <c r="I3402" s="46" t="e">
        <f>VLOOKUP(H3402,'合同高级查询数据-4月返'!A:A,1,FALSE)</f>
        <v>#N/A</v>
      </c>
      <c r="J3402" s="47" t="s">
        <v>3488</v>
      </c>
      <c r="K3402" s="203" t="s">
        <v>4446</v>
      </c>
      <c r="L3402" s="206"/>
      <c r="M3402" s="49" t="s">
        <v>4369</v>
      </c>
      <c r="N3402" s="73">
        <v>44860.5628009259</v>
      </c>
      <c r="O3402" s="73" t="s">
        <v>503</v>
      </c>
      <c r="P3402" s="396">
        <v>6300</v>
      </c>
      <c r="Q3402" s="385">
        <v>-5</v>
      </c>
      <c r="R3402" s="207">
        <f t="shared" si="109"/>
        <v>-31500</v>
      </c>
      <c r="S3402" s="279">
        <v>202304</v>
      </c>
      <c r="T3402" s="189" t="s">
        <v>4473</v>
      </c>
      <c r="U3402" s="213"/>
      <c r="V3402" s="387"/>
      <c r="W3402" s="214"/>
      <c r="X3402" s="388">
        <v>44256</v>
      </c>
      <c r="Y3402" s="388">
        <v>46387</v>
      </c>
    </row>
    <row r="3403" s="5" customFormat="1" customHeight="1" spans="1:25">
      <c r="A3403" s="203" t="s">
        <v>446</v>
      </c>
      <c r="B3403" s="204" t="s">
        <v>4284</v>
      </c>
      <c r="C3403" s="204" t="s">
        <v>63</v>
      </c>
      <c r="D3403" s="204" t="s">
        <v>3038</v>
      </c>
      <c r="E3403" s="205" t="s">
        <v>4285</v>
      </c>
      <c r="F3403" s="203" t="s">
        <v>4286</v>
      </c>
      <c r="G3403" s="203" t="s">
        <v>88</v>
      </c>
      <c r="H3403" s="25" t="s">
        <v>4445</v>
      </c>
      <c r="I3403" s="46" t="e">
        <f>VLOOKUP(H3403,'合同高级查询数据-4月返'!A:A,1,FALSE)</f>
        <v>#N/A</v>
      </c>
      <c r="J3403" s="47" t="s">
        <v>3488</v>
      </c>
      <c r="K3403" s="203" t="s">
        <v>4446</v>
      </c>
      <c r="L3403" s="206"/>
      <c r="M3403" s="49" t="s">
        <v>4369</v>
      </c>
      <c r="N3403" s="73">
        <v>44867</v>
      </c>
      <c r="O3403" s="73" t="s">
        <v>503</v>
      </c>
      <c r="P3403" s="396">
        <v>6300</v>
      </c>
      <c r="Q3403" s="385">
        <v>-4</v>
      </c>
      <c r="R3403" s="207">
        <f t="shared" si="109"/>
        <v>-25200</v>
      </c>
      <c r="S3403" s="279">
        <v>202304</v>
      </c>
      <c r="T3403" s="189" t="s">
        <v>4474</v>
      </c>
      <c r="U3403" s="213"/>
      <c r="V3403" s="387"/>
      <c r="W3403" s="214"/>
      <c r="X3403" s="388">
        <v>44256</v>
      </c>
      <c r="Y3403" s="388">
        <v>46387</v>
      </c>
    </row>
    <row r="3404" s="5" customFormat="1" customHeight="1" spans="1:25">
      <c r="A3404" s="203" t="s">
        <v>446</v>
      </c>
      <c r="B3404" s="204" t="s">
        <v>4284</v>
      </c>
      <c r="C3404" s="204" t="s">
        <v>63</v>
      </c>
      <c r="D3404" s="204" t="s">
        <v>3038</v>
      </c>
      <c r="E3404" s="205" t="s">
        <v>4285</v>
      </c>
      <c r="F3404" s="203" t="s">
        <v>4286</v>
      </c>
      <c r="G3404" s="203" t="s">
        <v>88</v>
      </c>
      <c r="H3404" s="25" t="s">
        <v>4445</v>
      </c>
      <c r="I3404" s="46" t="e">
        <f>VLOOKUP(H3404,'合同高级查询数据-4月返'!A:A,1,FALSE)</f>
        <v>#N/A</v>
      </c>
      <c r="J3404" s="47" t="s">
        <v>3488</v>
      </c>
      <c r="K3404" s="203" t="s">
        <v>4446</v>
      </c>
      <c r="L3404" s="206"/>
      <c r="M3404" s="49" t="s">
        <v>4369</v>
      </c>
      <c r="N3404" s="73">
        <v>44869</v>
      </c>
      <c r="O3404" s="73" t="s">
        <v>503</v>
      </c>
      <c r="P3404" s="396">
        <v>6300</v>
      </c>
      <c r="Q3404" s="385">
        <v>-1</v>
      </c>
      <c r="R3404" s="207">
        <f t="shared" si="109"/>
        <v>-6300</v>
      </c>
      <c r="S3404" s="279">
        <v>202304</v>
      </c>
      <c r="T3404" s="189" t="s">
        <v>4475</v>
      </c>
      <c r="U3404" s="213"/>
      <c r="V3404" s="387"/>
      <c r="W3404" s="214"/>
      <c r="X3404" s="388">
        <v>44256</v>
      </c>
      <c r="Y3404" s="388">
        <v>46387</v>
      </c>
    </row>
    <row r="3405" s="5" customFormat="1" customHeight="1" spans="1:25">
      <c r="A3405" s="203" t="s">
        <v>446</v>
      </c>
      <c r="B3405" s="204" t="s">
        <v>4284</v>
      </c>
      <c r="C3405" s="204" t="s">
        <v>63</v>
      </c>
      <c r="D3405" s="204" t="s">
        <v>3038</v>
      </c>
      <c r="E3405" s="205" t="s">
        <v>4285</v>
      </c>
      <c r="F3405" s="203" t="s">
        <v>4286</v>
      </c>
      <c r="G3405" s="203" t="s">
        <v>88</v>
      </c>
      <c r="H3405" s="25" t="s">
        <v>4445</v>
      </c>
      <c r="I3405" s="46" t="e">
        <f>VLOOKUP(H3405,'合同高级查询数据-4月返'!A:A,1,FALSE)</f>
        <v>#N/A</v>
      </c>
      <c r="J3405" s="47" t="s">
        <v>3488</v>
      </c>
      <c r="K3405" s="203" t="s">
        <v>4446</v>
      </c>
      <c r="L3405" s="206"/>
      <c r="M3405" s="49" t="s">
        <v>4369</v>
      </c>
      <c r="N3405" s="73">
        <v>45015</v>
      </c>
      <c r="O3405" s="73" t="s">
        <v>503</v>
      </c>
      <c r="P3405" s="396">
        <v>6300</v>
      </c>
      <c r="Q3405" s="385">
        <v>-1</v>
      </c>
      <c r="R3405" s="207">
        <f t="shared" si="109"/>
        <v>-6300</v>
      </c>
      <c r="S3405" s="279">
        <v>202304</v>
      </c>
      <c r="T3405" s="189" t="s">
        <v>4476</v>
      </c>
      <c r="U3405" s="213"/>
      <c r="V3405" s="387"/>
      <c r="W3405" s="214"/>
      <c r="X3405" s="388">
        <v>44256</v>
      </c>
      <c r="Y3405" s="388">
        <v>46387</v>
      </c>
    </row>
    <row r="3406" s="5" customFormat="1" customHeight="1" spans="1:25">
      <c r="A3406" s="203" t="s">
        <v>446</v>
      </c>
      <c r="B3406" s="204" t="s">
        <v>4284</v>
      </c>
      <c r="C3406" s="204" t="s">
        <v>63</v>
      </c>
      <c r="D3406" s="204" t="s">
        <v>3038</v>
      </c>
      <c r="E3406" s="205" t="s">
        <v>4285</v>
      </c>
      <c r="F3406" s="203" t="s">
        <v>4286</v>
      </c>
      <c r="G3406" s="203" t="s">
        <v>88</v>
      </c>
      <c r="H3406" s="25" t="s">
        <v>4445</v>
      </c>
      <c r="I3406" s="46" t="e">
        <f>VLOOKUP(H3406,'合同高级查询数据-4月返'!A:A,1,FALSE)</f>
        <v>#N/A</v>
      </c>
      <c r="J3406" s="47" t="s">
        <v>3488</v>
      </c>
      <c r="K3406" s="203" t="s">
        <v>4446</v>
      </c>
      <c r="L3406" s="206"/>
      <c r="M3406" s="49" t="s">
        <v>4369</v>
      </c>
      <c r="N3406" s="397">
        <v>45035</v>
      </c>
      <c r="O3406" s="73" t="s">
        <v>503</v>
      </c>
      <c r="P3406" s="396">
        <v>6300</v>
      </c>
      <c r="Q3406" s="385">
        <v>1</v>
      </c>
      <c r="R3406" s="207">
        <f>ROUND(P3406*Q3406*12/30,2)</f>
        <v>2520</v>
      </c>
      <c r="S3406" s="279">
        <v>202304</v>
      </c>
      <c r="T3406" s="398" t="s">
        <v>4476</v>
      </c>
      <c r="U3406" s="213"/>
      <c r="V3406" s="387"/>
      <c r="W3406" s="214"/>
      <c r="X3406" s="388">
        <v>44256</v>
      </c>
      <c r="Y3406" s="388">
        <v>46387</v>
      </c>
    </row>
    <row r="3407" s="5" customFormat="1" customHeight="1" spans="1:25">
      <c r="A3407" s="203" t="s">
        <v>446</v>
      </c>
      <c r="B3407" s="204" t="s">
        <v>4284</v>
      </c>
      <c r="C3407" s="204" t="s">
        <v>63</v>
      </c>
      <c r="D3407" s="204" t="s">
        <v>3038</v>
      </c>
      <c r="E3407" s="205" t="s">
        <v>4285</v>
      </c>
      <c r="F3407" s="203" t="s">
        <v>4286</v>
      </c>
      <c r="G3407" s="203" t="s">
        <v>88</v>
      </c>
      <c r="H3407" s="25" t="s">
        <v>4477</v>
      </c>
      <c r="I3407" s="46" t="e">
        <f>VLOOKUP(H3407,'合同高级查询数据-4月返'!A:A,1,FALSE)</f>
        <v>#N/A</v>
      </c>
      <c r="J3407" s="47" t="s">
        <v>3488</v>
      </c>
      <c r="K3407" s="203" t="s">
        <v>4478</v>
      </c>
      <c r="L3407" s="206"/>
      <c r="M3407" s="49" t="s">
        <v>4369</v>
      </c>
      <c r="N3407" s="73">
        <v>44347</v>
      </c>
      <c r="O3407" s="73" t="s">
        <v>503</v>
      </c>
      <c r="P3407" s="396">
        <v>6300</v>
      </c>
      <c r="Q3407" s="385">
        <v>25</v>
      </c>
      <c r="R3407" s="386">
        <f>ROUND(Q3407*P3407,2)</f>
        <v>157500</v>
      </c>
      <c r="S3407" s="279">
        <v>202304</v>
      </c>
      <c r="T3407" s="184" t="s">
        <v>4479</v>
      </c>
      <c r="U3407" s="213"/>
      <c r="V3407" s="387"/>
      <c r="W3407" s="214"/>
      <c r="X3407" s="388">
        <v>44347</v>
      </c>
      <c r="Y3407" s="388">
        <v>46537</v>
      </c>
    </row>
    <row r="3408" s="5" customFormat="1" customHeight="1" spans="1:25">
      <c r="A3408" s="203" t="s">
        <v>446</v>
      </c>
      <c r="B3408" s="204" t="s">
        <v>4284</v>
      </c>
      <c r="C3408" s="204" t="s">
        <v>63</v>
      </c>
      <c r="D3408" s="204" t="s">
        <v>3038</v>
      </c>
      <c r="E3408" s="205" t="s">
        <v>4285</v>
      </c>
      <c r="F3408" s="203" t="s">
        <v>4286</v>
      </c>
      <c r="G3408" s="203" t="s">
        <v>88</v>
      </c>
      <c r="H3408" s="25" t="s">
        <v>4477</v>
      </c>
      <c r="I3408" s="46" t="e">
        <f>VLOOKUP(H3408,'合同高级查询数据-4月返'!A:A,1,FALSE)</f>
        <v>#N/A</v>
      </c>
      <c r="J3408" s="47" t="s">
        <v>3488</v>
      </c>
      <c r="K3408" s="203" t="s">
        <v>4478</v>
      </c>
      <c r="L3408" s="206"/>
      <c r="M3408" s="49" t="s">
        <v>4369</v>
      </c>
      <c r="N3408" s="73">
        <v>44350</v>
      </c>
      <c r="O3408" s="73" t="s">
        <v>503</v>
      </c>
      <c r="P3408" s="396">
        <v>6300</v>
      </c>
      <c r="Q3408" s="385">
        <v>44</v>
      </c>
      <c r="R3408" s="386">
        <f t="shared" ref="R3408:R3454" si="110">ROUND(P3408*Q3408,2)</f>
        <v>277200</v>
      </c>
      <c r="S3408" s="279">
        <v>202304</v>
      </c>
      <c r="T3408" s="184" t="s">
        <v>4480</v>
      </c>
      <c r="U3408" s="213"/>
      <c r="V3408" s="387"/>
      <c r="W3408" s="214"/>
      <c r="X3408" s="388">
        <v>44347</v>
      </c>
      <c r="Y3408" s="388">
        <v>46537</v>
      </c>
    </row>
    <row r="3409" s="5" customFormat="1" customHeight="1" spans="1:25">
      <c r="A3409" s="203" t="s">
        <v>446</v>
      </c>
      <c r="B3409" s="204" t="s">
        <v>4284</v>
      </c>
      <c r="C3409" s="204" t="s">
        <v>63</v>
      </c>
      <c r="D3409" s="204" t="s">
        <v>3038</v>
      </c>
      <c r="E3409" s="205" t="s">
        <v>4285</v>
      </c>
      <c r="F3409" s="203" t="s">
        <v>4286</v>
      </c>
      <c r="G3409" s="203" t="s">
        <v>88</v>
      </c>
      <c r="H3409" s="25" t="s">
        <v>4477</v>
      </c>
      <c r="I3409" s="46" t="e">
        <f>VLOOKUP(H3409,'合同高级查询数据-4月返'!A:A,1,FALSE)</f>
        <v>#N/A</v>
      </c>
      <c r="J3409" s="47" t="s">
        <v>3488</v>
      </c>
      <c r="K3409" s="203" t="s">
        <v>4478</v>
      </c>
      <c r="L3409" s="206"/>
      <c r="M3409" s="49" t="s">
        <v>4369</v>
      </c>
      <c r="N3409" s="73">
        <v>44352</v>
      </c>
      <c r="O3409" s="73" t="s">
        <v>503</v>
      </c>
      <c r="P3409" s="396">
        <v>6300</v>
      </c>
      <c r="Q3409" s="385">
        <v>53</v>
      </c>
      <c r="R3409" s="386">
        <f t="shared" si="110"/>
        <v>333900</v>
      </c>
      <c r="S3409" s="279">
        <v>202304</v>
      </c>
      <c r="T3409" s="184" t="s">
        <v>4481</v>
      </c>
      <c r="U3409" s="213"/>
      <c r="V3409" s="387"/>
      <c r="W3409" s="214"/>
      <c r="X3409" s="388">
        <v>44347</v>
      </c>
      <c r="Y3409" s="388">
        <v>46537</v>
      </c>
    </row>
    <row r="3410" s="5" customFormat="1" customHeight="1" spans="1:25">
      <c r="A3410" s="203" t="s">
        <v>446</v>
      </c>
      <c r="B3410" s="204" t="s">
        <v>4284</v>
      </c>
      <c r="C3410" s="204" t="s">
        <v>63</v>
      </c>
      <c r="D3410" s="204" t="s">
        <v>3038</v>
      </c>
      <c r="E3410" s="205" t="s">
        <v>4285</v>
      </c>
      <c r="F3410" s="203" t="s">
        <v>4286</v>
      </c>
      <c r="G3410" s="203" t="s">
        <v>88</v>
      </c>
      <c r="H3410" s="25" t="s">
        <v>4477</v>
      </c>
      <c r="I3410" s="46" t="e">
        <f>VLOOKUP(H3410,'合同高级查询数据-4月返'!A:A,1,FALSE)</f>
        <v>#N/A</v>
      </c>
      <c r="J3410" s="47" t="s">
        <v>3488</v>
      </c>
      <c r="K3410" s="203" t="s">
        <v>4478</v>
      </c>
      <c r="L3410" s="206"/>
      <c r="M3410" s="49" t="s">
        <v>4369</v>
      </c>
      <c r="N3410" s="73">
        <v>44354</v>
      </c>
      <c r="O3410" s="73" t="s">
        <v>503</v>
      </c>
      <c r="P3410" s="396">
        <v>6300</v>
      </c>
      <c r="Q3410" s="385">
        <v>18</v>
      </c>
      <c r="R3410" s="386">
        <f t="shared" si="110"/>
        <v>113400</v>
      </c>
      <c r="S3410" s="279">
        <v>202304</v>
      </c>
      <c r="T3410" s="184" t="s">
        <v>4482</v>
      </c>
      <c r="U3410" s="213"/>
      <c r="V3410" s="387"/>
      <c r="W3410" s="214"/>
      <c r="X3410" s="388">
        <v>44347</v>
      </c>
      <c r="Y3410" s="388">
        <v>46537</v>
      </c>
    </row>
    <row r="3411" s="5" customFormat="1" customHeight="1" spans="1:25">
      <c r="A3411" s="203" t="s">
        <v>446</v>
      </c>
      <c r="B3411" s="204" t="s">
        <v>4284</v>
      </c>
      <c r="C3411" s="204" t="s">
        <v>63</v>
      </c>
      <c r="D3411" s="204" t="s">
        <v>3038</v>
      </c>
      <c r="E3411" s="205" t="s">
        <v>4285</v>
      </c>
      <c r="F3411" s="203" t="s">
        <v>4286</v>
      </c>
      <c r="G3411" s="203" t="s">
        <v>88</v>
      </c>
      <c r="H3411" s="25" t="s">
        <v>4477</v>
      </c>
      <c r="I3411" s="46" t="e">
        <f>VLOOKUP(H3411,'合同高级查询数据-4月返'!A:A,1,FALSE)</f>
        <v>#N/A</v>
      </c>
      <c r="J3411" s="47" t="s">
        <v>3488</v>
      </c>
      <c r="K3411" s="203" t="s">
        <v>4478</v>
      </c>
      <c r="L3411" s="206"/>
      <c r="M3411" s="49" t="s">
        <v>4369</v>
      </c>
      <c r="N3411" s="73">
        <v>44362</v>
      </c>
      <c r="O3411" s="73" t="s">
        <v>503</v>
      </c>
      <c r="P3411" s="396">
        <v>6300</v>
      </c>
      <c r="Q3411" s="385">
        <v>99</v>
      </c>
      <c r="R3411" s="386">
        <f t="shared" si="110"/>
        <v>623700</v>
      </c>
      <c r="S3411" s="279">
        <v>202304</v>
      </c>
      <c r="T3411" s="184" t="s">
        <v>4483</v>
      </c>
      <c r="U3411" s="213"/>
      <c r="V3411" s="387"/>
      <c r="W3411" s="214"/>
      <c r="X3411" s="388">
        <v>44347</v>
      </c>
      <c r="Y3411" s="388">
        <v>46537</v>
      </c>
    </row>
    <row r="3412" s="5" customFormat="1" customHeight="1" spans="1:25">
      <c r="A3412" s="203" t="s">
        <v>446</v>
      </c>
      <c r="B3412" s="204" t="s">
        <v>4284</v>
      </c>
      <c r="C3412" s="204" t="s">
        <v>63</v>
      </c>
      <c r="D3412" s="204" t="s">
        <v>3038</v>
      </c>
      <c r="E3412" s="205" t="s">
        <v>4285</v>
      </c>
      <c r="F3412" s="203" t="s">
        <v>4286</v>
      </c>
      <c r="G3412" s="203" t="s">
        <v>88</v>
      </c>
      <c r="H3412" s="25" t="s">
        <v>4477</v>
      </c>
      <c r="I3412" s="46" t="e">
        <f>VLOOKUP(H3412,'合同高级查询数据-4月返'!A:A,1,FALSE)</f>
        <v>#N/A</v>
      </c>
      <c r="J3412" s="47" t="s">
        <v>3488</v>
      </c>
      <c r="K3412" s="203" t="s">
        <v>4478</v>
      </c>
      <c r="L3412" s="206"/>
      <c r="M3412" s="49" t="s">
        <v>4369</v>
      </c>
      <c r="N3412" s="73">
        <v>44365</v>
      </c>
      <c r="O3412" s="73" t="s">
        <v>503</v>
      </c>
      <c r="P3412" s="396">
        <v>6300</v>
      </c>
      <c r="Q3412" s="385">
        <v>37</v>
      </c>
      <c r="R3412" s="386">
        <f t="shared" si="110"/>
        <v>233100</v>
      </c>
      <c r="S3412" s="279">
        <v>202304</v>
      </c>
      <c r="T3412" s="184" t="s">
        <v>4484</v>
      </c>
      <c r="U3412" s="213"/>
      <c r="V3412" s="387"/>
      <c r="W3412" s="214"/>
      <c r="X3412" s="388">
        <v>44347</v>
      </c>
      <c r="Y3412" s="388">
        <v>46537</v>
      </c>
    </row>
    <row r="3413" s="5" customFormat="1" customHeight="1" spans="1:25">
      <c r="A3413" s="203" t="s">
        <v>446</v>
      </c>
      <c r="B3413" s="204" t="s">
        <v>4284</v>
      </c>
      <c r="C3413" s="204" t="s">
        <v>63</v>
      </c>
      <c r="D3413" s="204" t="s">
        <v>3038</v>
      </c>
      <c r="E3413" s="205" t="s">
        <v>4285</v>
      </c>
      <c r="F3413" s="203" t="s">
        <v>4286</v>
      </c>
      <c r="G3413" s="203" t="s">
        <v>88</v>
      </c>
      <c r="H3413" s="25" t="s">
        <v>4477</v>
      </c>
      <c r="I3413" s="46" t="e">
        <f>VLOOKUP(H3413,'合同高级查询数据-4月返'!A:A,1,FALSE)</f>
        <v>#N/A</v>
      </c>
      <c r="J3413" s="47" t="s">
        <v>3488</v>
      </c>
      <c r="K3413" s="203" t="s">
        <v>4478</v>
      </c>
      <c r="L3413" s="206"/>
      <c r="M3413" s="49" t="s">
        <v>4369</v>
      </c>
      <c r="N3413" s="73">
        <v>44367</v>
      </c>
      <c r="O3413" s="73" t="s">
        <v>503</v>
      </c>
      <c r="P3413" s="396">
        <v>6300</v>
      </c>
      <c r="Q3413" s="385">
        <v>43</v>
      </c>
      <c r="R3413" s="386">
        <f t="shared" si="110"/>
        <v>270900</v>
      </c>
      <c r="S3413" s="279">
        <v>202304</v>
      </c>
      <c r="T3413" s="184" t="s">
        <v>4485</v>
      </c>
      <c r="U3413" s="213"/>
      <c r="V3413" s="387"/>
      <c r="W3413" s="214"/>
      <c r="X3413" s="388">
        <v>44347</v>
      </c>
      <c r="Y3413" s="388">
        <v>46537</v>
      </c>
    </row>
    <row r="3414" s="5" customFormat="1" customHeight="1" spans="1:25">
      <c r="A3414" s="203" t="s">
        <v>446</v>
      </c>
      <c r="B3414" s="204" t="s">
        <v>4284</v>
      </c>
      <c r="C3414" s="204" t="s">
        <v>63</v>
      </c>
      <c r="D3414" s="204" t="s">
        <v>3038</v>
      </c>
      <c r="E3414" s="205" t="s">
        <v>4285</v>
      </c>
      <c r="F3414" s="203" t="s">
        <v>4286</v>
      </c>
      <c r="G3414" s="203" t="s">
        <v>88</v>
      </c>
      <c r="H3414" s="25" t="s">
        <v>4477</v>
      </c>
      <c r="I3414" s="46" t="e">
        <f>VLOOKUP(H3414,'合同高级查询数据-4月返'!A:A,1,FALSE)</f>
        <v>#N/A</v>
      </c>
      <c r="J3414" s="47" t="s">
        <v>3488</v>
      </c>
      <c r="K3414" s="203" t="s">
        <v>4478</v>
      </c>
      <c r="L3414" s="206"/>
      <c r="M3414" s="49" t="s">
        <v>4369</v>
      </c>
      <c r="N3414" s="73">
        <v>44370</v>
      </c>
      <c r="O3414" s="73" t="s">
        <v>503</v>
      </c>
      <c r="P3414" s="396">
        <v>6300</v>
      </c>
      <c r="Q3414" s="385">
        <v>50</v>
      </c>
      <c r="R3414" s="386">
        <f t="shared" si="110"/>
        <v>315000</v>
      </c>
      <c r="S3414" s="279">
        <v>202304</v>
      </c>
      <c r="T3414" s="184" t="s">
        <v>4486</v>
      </c>
      <c r="U3414" s="213"/>
      <c r="V3414" s="387"/>
      <c r="W3414" s="214"/>
      <c r="X3414" s="388">
        <v>44347</v>
      </c>
      <c r="Y3414" s="388">
        <v>46537</v>
      </c>
    </row>
    <row r="3415" s="5" customFormat="1" customHeight="1" spans="1:25">
      <c r="A3415" s="203" t="s">
        <v>446</v>
      </c>
      <c r="B3415" s="204" t="s">
        <v>4284</v>
      </c>
      <c r="C3415" s="204" t="s">
        <v>63</v>
      </c>
      <c r="D3415" s="204" t="s">
        <v>3038</v>
      </c>
      <c r="E3415" s="205" t="s">
        <v>4285</v>
      </c>
      <c r="F3415" s="203" t="s">
        <v>4286</v>
      </c>
      <c r="G3415" s="203" t="s">
        <v>88</v>
      </c>
      <c r="H3415" s="25" t="s">
        <v>4477</v>
      </c>
      <c r="I3415" s="46" t="e">
        <f>VLOOKUP(H3415,'合同高级查询数据-4月返'!A:A,1,FALSE)</f>
        <v>#N/A</v>
      </c>
      <c r="J3415" s="47" t="s">
        <v>3488</v>
      </c>
      <c r="K3415" s="203" t="s">
        <v>4478</v>
      </c>
      <c r="L3415" s="206"/>
      <c r="M3415" s="49" t="s">
        <v>4369</v>
      </c>
      <c r="N3415" s="73">
        <v>44354</v>
      </c>
      <c r="O3415" s="73" t="s">
        <v>566</v>
      </c>
      <c r="P3415" s="396">
        <v>12888</v>
      </c>
      <c r="Q3415" s="385">
        <v>4</v>
      </c>
      <c r="R3415" s="386">
        <f t="shared" si="110"/>
        <v>51552</v>
      </c>
      <c r="S3415" s="279">
        <v>202304</v>
      </c>
      <c r="T3415" s="184" t="s">
        <v>4487</v>
      </c>
      <c r="U3415" s="213"/>
      <c r="V3415" s="387"/>
      <c r="W3415" s="214"/>
      <c r="X3415" s="388">
        <v>44347</v>
      </c>
      <c r="Y3415" s="388">
        <v>46537</v>
      </c>
    </row>
    <row r="3416" s="5" customFormat="1" customHeight="1" spans="1:25">
      <c r="A3416" s="203" t="s">
        <v>446</v>
      </c>
      <c r="B3416" s="204" t="s">
        <v>4284</v>
      </c>
      <c r="C3416" s="204" t="s">
        <v>63</v>
      </c>
      <c r="D3416" s="204" t="s">
        <v>3038</v>
      </c>
      <c r="E3416" s="205" t="s">
        <v>4285</v>
      </c>
      <c r="F3416" s="203" t="s">
        <v>4286</v>
      </c>
      <c r="G3416" s="203" t="s">
        <v>88</v>
      </c>
      <c r="H3416" s="25" t="s">
        <v>4477</v>
      </c>
      <c r="I3416" s="46" t="e">
        <f>VLOOKUP(H3416,'合同高级查询数据-4月返'!A:A,1,FALSE)</f>
        <v>#N/A</v>
      </c>
      <c r="J3416" s="47" t="s">
        <v>3488</v>
      </c>
      <c r="K3416" s="203" t="s">
        <v>4478</v>
      </c>
      <c r="L3416" s="206"/>
      <c r="M3416" s="49" t="s">
        <v>4369</v>
      </c>
      <c r="N3416" s="73">
        <v>44354</v>
      </c>
      <c r="O3416" s="73" t="s">
        <v>3120</v>
      </c>
      <c r="P3416" s="396">
        <v>34368</v>
      </c>
      <c r="Q3416" s="385">
        <v>8</v>
      </c>
      <c r="R3416" s="386">
        <f t="shared" si="110"/>
        <v>274944</v>
      </c>
      <c r="S3416" s="279">
        <v>202304</v>
      </c>
      <c r="T3416" s="184" t="s">
        <v>4488</v>
      </c>
      <c r="U3416" s="213"/>
      <c r="V3416" s="387"/>
      <c r="W3416" s="214"/>
      <c r="X3416" s="388">
        <v>44347</v>
      </c>
      <c r="Y3416" s="388">
        <v>46537</v>
      </c>
    </row>
    <row r="3417" s="5" customFormat="1" customHeight="1" spans="1:25">
      <c r="A3417" s="203" t="s">
        <v>446</v>
      </c>
      <c r="B3417" s="204" t="s">
        <v>4284</v>
      </c>
      <c r="C3417" s="204" t="s">
        <v>63</v>
      </c>
      <c r="D3417" s="204" t="s">
        <v>3038</v>
      </c>
      <c r="E3417" s="205" t="s">
        <v>4285</v>
      </c>
      <c r="F3417" s="203" t="s">
        <v>4286</v>
      </c>
      <c r="G3417" s="203" t="s">
        <v>88</v>
      </c>
      <c r="H3417" s="25" t="s">
        <v>4477</v>
      </c>
      <c r="I3417" s="46" t="e">
        <f>VLOOKUP(H3417,'合同高级查询数据-4月返'!A:A,1,FALSE)</f>
        <v>#N/A</v>
      </c>
      <c r="J3417" s="47" t="s">
        <v>3488</v>
      </c>
      <c r="K3417" s="203" t="s">
        <v>4478</v>
      </c>
      <c r="L3417" s="206"/>
      <c r="M3417" s="49" t="s">
        <v>4369</v>
      </c>
      <c r="N3417" s="73">
        <v>44385</v>
      </c>
      <c r="O3417" s="73" t="s">
        <v>503</v>
      </c>
      <c r="P3417" s="396">
        <v>6300</v>
      </c>
      <c r="Q3417" s="385">
        <v>10</v>
      </c>
      <c r="R3417" s="386">
        <f t="shared" si="110"/>
        <v>63000</v>
      </c>
      <c r="S3417" s="279">
        <v>202304</v>
      </c>
      <c r="T3417" s="184" t="s">
        <v>4489</v>
      </c>
      <c r="U3417" s="213"/>
      <c r="V3417" s="387"/>
      <c r="W3417" s="214"/>
      <c r="X3417" s="388">
        <v>44347</v>
      </c>
      <c r="Y3417" s="388">
        <v>46537</v>
      </c>
    </row>
    <row r="3418" s="5" customFormat="1" customHeight="1" spans="1:25">
      <c r="A3418" s="203" t="s">
        <v>446</v>
      </c>
      <c r="B3418" s="204" t="s">
        <v>4284</v>
      </c>
      <c r="C3418" s="204" t="s">
        <v>63</v>
      </c>
      <c r="D3418" s="204" t="s">
        <v>3038</v>
      </c>
      <c r="E3418" s="205" t="s">
        <v>4285</v>
      </c>
      <c r="F3418" s="203" t="s">
        <v>4286</v>
      </c>
      <c r="G3418" s="203" t="s">
        <v>88</v>
      </c>
      <c r="H3418" s="25" t="s">
        <v>4477</v>
      </c>
      <c r="I3418" s="46" t="e">
        <f>VLOOKUP(H3418,'合同高级查询数据-4月返'!A:A,1,FALSE)</f>
        <v>#N/A</v>
      </c>
      <c r="J3418" s="47" t="s">
        <v>3488</v>
      </c>
      <c r="K3418" s="203" t="s">
        <v>4478</v>
      </c>
      <c r="L3418" s="206"/>
      <c r="M3418" s="49" t="s">
        <v>4369</v>
      </c>
      <c r="N3418" s="73">
        <v>44386</v>
      </c>
      <c r="O3418" s="73" t="s">
        <v>503</v>
      </c>
      <c r="P3418" s="396">
        <v>6300</v>
      </c>
      <c r="Q3418" s="385">
        <v>17</v>
      </c>
      <c r="R3418" s="386">
        <f t="shared" si="110"/>
        <v>107100</v>
      </c>
      <c r="S3418" s="279">
        <v>202304</v>
      </c>
      <c r="T3418" s="184" t="s">
        <v>4490</v>
      </c>
      <c r="U3418" s="213"/>
      <c r="V3418" s="387"/>
      <c r="W3418" s="214"/>
      <c r="X3418" s="388">
        <v>44347</v>
      </c>
      <c r="Y3418" s="388">
        <v>46537</v>
      </c>
    </row>
    <row r="3419" s="5" customFormat="1" customHeight="1" spans="1:25">
      <c r="A3419" s="203" t="s">
        <v>446</v>
      </c>
      <c r="B3419" s="204" t="s">
        <v>4284</v>
      </c>
      <c r="C3419" s="204" t="s">
        <v>63</v>
      </c>
      <c r="D3419" s="204" t="s">
        <v>3038</v>
      </c>
      <c r="E3419" s="205" t="s">
        <v>4285</v>
      </c>
      <c r="F3419" s="203" t="s">
        <v>4286</v>
      </c>
      <c r="G3419" s="203" t="s">
        <v>88</v>
      </c>
      <c r="H3419" s="25" t="s">
        <v>4477</v>
      </c>
      <c r="I3419" s="46" t="e">
        <f>VLOOKUP(H3419,'合同高级查询数据-4月返'!A:A,1,FALSE)</f>
        <v>#N/A</v>
      </c>
      <c r="J3419" s="47" t="s">
        <v>3488</v>
      </c>
      <c r="K3419" s="203" t="s">
        <v>4478</v>
      </c>
      <c r="L3419" s="206"/>
      <c r="M3419" s="49" t="s">
        <v>4369</v>
      </c>
      <c r="N3419" s="73">
        <v>44389</v>
      </c>
      <c r="O3419" s="73" t="s">
        <v>503</v>
      </c>
      <c r="P3419" s="396">
        <v>6300</v>
      </c>
      <c r="Q3419" s="385">
        <v>5</v>
      </c>
      <c r="R3419" s="386">
        <f t="shared" si="110"/>
        <v>31500</v>
      </c>
      <c r="S3419" s="279">
        <v>202304</v>
      </c>
      <c r="T3419" s="184" t="s">
        <v>4491</v>
      </c>
      <c r="U3419" s="213"/>
      <c r="V3419" s="387"/>
      <c r="W3419" s="214"/>
      <c r="X3419" s="388">
        <v>44347</v>
      </c>
      <c r="Y3419" s="388">
        <v>46537</v>
      </c>
    </row>
    <row r="3420" s="5" customFormat="1" customHeight="1" spans="1:25">
      <c r="A3420" s="203" t="s">
        <v>446</v>
      </c>
      <c r="B3420" s="204" t="s">
        <v>4284</v>
      </c>
      <c r="C3420" s="204" t="s">
        <v>63</v>
      </c>
      <c r="D3420" s="204" t="s">
        <v>3038</v>
      </c>
      <c r="E3420" s="205" t="s">
        <v>4285</v>
      </c>
      <c r="F3420" s="203" t="s">
        <v>4286</v>
      </c>
      <c r="G3420" s="203" t="s">
        <v>88</v>
      </c>
      <c r="H3420" s="25" t="s">
        <v>4477</v>
      </c>
      <c r="I3420" s="46" t="e">
        <f>VLOOKUP(H3420,'合同高级查询数据-4月返'!A:A,1,FALSE)</f>
        <v>#N/A</v>
      </c>
      <c r="J3420" s="47" t="s">
        <v>3488</v>
      </c>
      <c r="K3420" s="203" t="s">
        <v>4478</v>
      </c>
      <c r="L3420" s="206"/>
      <c r="M3420" s="49" t="s">
        <v>4369</v>
      </c>
      <c r="N3420" s="73">
        <v>44396</v>
      </c>
      <c r="O3420" s="73" t="s">
        <v>503</v>
      </c>
      <c r="P3420" s="396">
        <v>6300</v>
      </c>
      <c r="Q3420" s="385">
        <v>26</v>
      </c>
      <c r="R3420" s="386">
        <f t="shared" si="110"/>
        <v>163800</v>
      </c>
      <c r="S3420" s="279">
        <v>202304</v>
      </c>
      <c r="T3420" s="184" t="s">
        <v>4492</v>
      </c>
      <c r="U3420" s="213"/>
      <c r="V3420" s="387"/>
      <c r="W3420" s="214"/>
      <c r="X3420" s="388">
        <v>44347</v>
      </c>
      <c r="Y3420" s="388">
        <v>46537</v>
      </c>
    </row>
    <row r="3421" s="5" customFormat="1" customHeight="1" spans="1:25">
      <c r="A3421" s="203" t="s">
        <v>446</v>
      </c>
      <c r="B3421" s="204" t="s">
        <v>4284</v>
      </c>
      <c r="C3421" s="204" t="s">
        <v>63</v>
      </c>
      <c r="D3421" s="204" t="s">
        <v>3038</v>
      </c>
      <c r="E3421" s="205" t="s">
        <v>4285</v>
      </c>
      <c r="F3421" s="203" t="s">
        <v>4286</v>
      </c>
      <c r="G3421" s="203" t="s">
        <v>88</v>
      </c>
      <c r="H3421" s="25" t="s">
        <v>4477</v>
      </c>
      <c r="I3421" s="46" t="e">
        <f>VLOOKUP(H3421,'合同高级查询数据-4月返'!A:A,1,FALSE)</f>
        <v>#N/A</v>
      </c>
      <c r="J3421" s="47" t="s">
        <v>3488</v>
      </c>
      <c r="K3421" s="203" t="s">
        <v>4478</v>
      </c>
      <c r="L3421" s="206"/>
      <c r="M3421" s="49" t="s">
        <v>4369</v>
      </c>
      <c r="N3421" s="73">
        <v>44400</v>
      </c>
      <c r="O3421" s="73" t="s">
        <v>503</v>
      </c>
      <c r="P3421" s="396">
        <v>6300</v>
      </c>
      <c r="Q3421" s="385">
        <v>82</v>
      </c>
      <c r="R3421" s="386">
        <f t="shared" si="110"/>
        <v>516600</v>
      </c>
      <c r="S3421" s="279">
        <v>202304</v>
      </c>
      <c r="T3421" s="184" t="s">
        <v>4493</v>
      </c>
      <c r="U3421" s="213"/>
      <c r="V3421" s="387"/>
      <c r="W3421" s="214"/>
      <c r="X3421" s="388">
        <v>44347</v>
      </c>
      <c r="Y3421" s="388">
        <v>46537</v>
      </c>
    </row>
    <row r="3422" s="5" customFormat="1" customHeight="1" spans="1:25">
      <c r="A3422" s="203" t="s">
        <v>446</v>
      </c>
      <c r="B3422" s="204" t="s">
        <v>4284</v>
      </c>
      <c r="C3422" s="204" t="s">
        <v>63</v>
      </c>
      <c r="D3422" s="204" t="s">
        <v>3038</v>
      </c>
      <c r="E3422" s="205" t="s">
        <v>4285</v>
      </c>
      <c r="F3422" s="203" t="s">
        <v>4286</v>
      </c>
      <c r="G3422" s="203" t="s">
        <v>88</v>
      </c>
      <c r="H3422" s="25" t="s">
        <v>4477</v>
      </c>
      <c r="I3422" s="46" t="e">
        <f>VLOOKUP(H3422,'合同高级查询数据-4月返'!A:A,1,FALSE)</f>
        <v>#N/A</v>
      </c>
      <c r="J3422" s="47" t="s">
        <v>3488</v>
      </c>
      <c r="K3422" s="203" t="s">
        <v>4478</v>
      </c>
      <c r="L3422" s="206"/>
      <c r="M3422" s="49" t="s">
        <v>4369</v>
      </c>
      <c r="N3422" s="73">
        <v>44402</v>
      </c>
      <c r="O3422" s="73" t="s">
        <v>503</v>
      </c>
      <c r="P3422" s="396">
        <v>6300</v>
      </c>
      <c r="Q3422" s="385">
        <v>35</v>
      </c>
      <c r="R3422" s="386">
        <f t="shared" si="110"/>
        <v>220500</v>
      </c>
      <c r="S3422" s="279">
        <v>202304</v>
      </c>
      <c r="T3422" s="184" t="s">
        <v>4494</v>
      </c>
      <c r="U3422" s="213"/>
      <c r="V3422" s="387"/>
      <c r="W3422" s="214"/>
      <c r="X3422" s="388">
        <v>44347</v>
      </c>
      <c r="Y3422" s="388">
        <v>46537</v>
      </c>
    </row>
    <row r="3423" s="5" customFormat="1" customHeight="1" spans="1:25">
      <c r="A3423" s="203" t="s">
        <v>446</v>
      </c>
      <c r="B3423" s="204" t="s">
        <v>4284</v>
      </c>
      <c r="C3423" s="204" t="s">
        <v>63</v>
      </c>
      <c r="D3423" s="204" t="s">
        <v>3038</v>
      </c>
      <c r="E3423" s="205" t="s">
        <v>4285</v>
      </c>
      <c r="F3423" s="203" t="s">
        <v>4286</v>
      </c>
      <c r="G3423" s="203" t="s">
        <v>88</v>
      </c>
      <c r="H3423" s="25" t="s">
        <v>4477</v>
      </c>
      <c r="I3423" s="46" t="e">
        <f>VLOOKUP(H3423,'合同高级查询数据-4月返'!A:A,1,FALSE)</f>
        <v>#N/A</v>
      </c>
      <c r="J3423" s="47" t="s">
        <v>3488</v>
      </c>
      <c r="K3423" s="203" t="s">
        <v>4478</v>
      </c>
      <c r="L3423" s="206"/>
      <c r="M3423" s="49" t="s">
        <v>4369</v>
      </c>
      <c r="N3423" s="73">
        <v>44403</v>
      </c>
      <c r="O3423" s="73" t="s">
        <v>503</v>
      </c>
      <c r="P3423" s="396">
        <v>6300</v>
      </c>
      <c r="Q3423" s="385">
        <v>54</v>
      </c>
      <c r="R3423" s="386">
        <f t="shared" si="110"/>
        <v>340200</v>
      </c>
      <c r="S3423" s="279">
        <v>202304</v>
      </c>
      <c r="T3423" s="184" t="s">
        <v>4495</v>
      </c>
      <c r="U3423" s="213"/>
      <c r="V3423" s="387"/>
      <c r="W3423" s="214"/>
      <c r="X3423" s="388">
        <v>44347</v>
      </c>
      <c r="Y3423" s="388">
        <v>46537</v>
      </c>
    </row>
    <row r="3424" s="5" customFormat="1" customHeight="1" spans="1:25">
      <c r="A3424" s="203" t="s">
        <v>446</v>
      </c>
      <c r="B3424" s="204" t="s">
        <v>4284</v>
      </c>
      <c r="C3424" s="204" t="s">
        <v>63</v>
      </c>
      <c r="D3424" s="204" t="s">
        <v>3038</v>
      </c>
      <c r="E3424" s="205" t="s">
        <v>4285</v>
      </c>
      <c r="F3424" s="203" t="s">
        <v>4286</v>
      </c>
      <c r="G3424" s="203" t="s">
        <v>88</v>
      </c>
      <c r="H3424" s="25" t="s">
        <v>4477</v>
      </c>
      <c r="I3424" s="46" t="e">
        <f>VLOOKUP(H3424,'合同高级查询数据-4月返'!A:A,1,FALSE)</f>
        <v>#N/A</v>
      </c>
      <c r="J3424" s="47" t="s">
        <v>3488</v>
      </c>
      <c r="K3424" s="203" t="s">
        <v>4478</v>
      </c>
      <c r="L3424" s="206"/>
      <c r="M3424" s="49" t="s">
        <v>4369</v>
      </c>
      <c r="N3424" s="73">
        <v>44404</v>
      </c>
      <c r="O3424" s="73" t="s">
        <v>503</v>
      </c>
      <c r="P3424" s="396">
        <v>6300</v>
      </c>
      <c r="Q3424" s="385">
        <v>4</v>
      </c>
      <c r="R3424" s="386">
        <f t="shared" si="110"/>
        <v>25200</v>
      </c>
      <c r="S3424" s="279">
        <v>202304</v>
      </c>
      <c r="T3424" s="184" t="s">
        <v>4496</v>
      </c>
      <c r="U3424" s="213"/>
      <c r="V3424" s="387"/>
      <c r="W3424" s="214"/>
      <c r="X3424" s="388">
        <v>44347</v>
      </c>
      <c r="Y3424" s="388">
        <v>46537</v>
      </c>
    </row>
    <row r="3425" s="5" customFormat="1" customHeight="1" spans="1:25">
      <c r="A3425" s="203" t="s">
        <v>446</v>
      </c>
      <c r="B3425" s="204" t="s">
        <v>4284</v>
      </c>
      <c r="C3425" s="204" t="s">
        <v>63</v>
      </c>
      <c r="D3425" s="204" t="s">
        <v>3038</v>
      </c>
      <c r="E3425" s="205" t="s">
        <v>4285</v>
      </c>
      <c r="F3425" s="203" t="s">
        <v>4286</v>
      </c>
      <c r="G3425" s="203" t="s">
        <v>88</v>
      </c>
      <c r="H3425" s="25" t="s">
        <v>4477</v>
      </c>
      <c r="I3425" s="46" t="e">
        <f>VLOOKUP(H3425,'合同高级查询数据-4月返'!A:A,1,FALSE)</f>
        <v>#N/A</v>
      </c>
      <c r="J3425" s="47" t="s">
        <v>3488</v>
      </c>
      <c r="K3425" s="203" t="s">
        <v>4478</v>
      </c>
      <c r="L3425" s="206"/>
      <c r="M3425" s="49" t="s">
        <v>4369</v>
      </c>
      <c r="N3425" s="73">
        <v>44406</v>
      </c>
      <c r="O3425" s="73" t="s">
        <v>503</v>
      </c>
      <c r="P3425" s="396">
        <v>6300</v>
      </c>
      <c r="Q3425" s="385">
        <v>5</v>
      </c>
      <c r="R3425" s="386">
        <f t="shared" si="110"/>
        <v>31500</v>
      </c>
      <c r="S3425" s="279">
        <v>202304</v>
      </c>
      <c r="T3425" s="184" t="s">
        <v>4497</v>
      </c>
      <c r="U3425" s="213"/>
      <c r="V3425" s="387"/>
      <c r="W3425" s="214"/>
      <c r="X3425" s="388">
        <v>44347</v>
      </c>
      <c r="Y3425" s="388">
        <v>46537</v>
      </c>
    </row>
    <row r="3426" s="5" customFormat="1" customHeight="1" spans="1:25">
      <c r="A3426" s="203" t="s">
        <v>446</v>
      </c>
      <c r="B3426" s="204" t="s">
        <v>4284</v>
      </c>
      <c r="C3426" s="204" t="s">
        <v>63</v>
      </c>
      <c r="D3426" s="204" t="s">
        <v>3038</v>
      </c>
      <c r="E3426" s="205" t="s">
        <v>4285</v>
      </c>
      <c r="F3426" s="203" t="s">
        <v>4286</v>
      </c>
      <c r="G3426" s="203" t="s">
        <v>88</v>
      </c>
      <c r="H3426" s="25" t="s">
        <v>4477</v>
      </c>
      <c r="I3426" s="46" t="e">
        <f>VLOOKUP(H3426,'合同高级查询数据-4月返'!A:A,1,FALSE)</f>
        <v>#N/A</v>
      </c>
      <c r="J3426" s="47" t="s">
        <v>3488</v>
      </c>
      <c r="K3426" s="203" t="s">
        <v>4478</v>
      </c>
      <c r="L3426" s="206"/>
      <c r="M3426" s="49" t="s">
        <v>4369</v>
      </c>
      <c r="N3426" s="73">
        <v>44411</v>
      </c>
      <c r="O3426" s="73" t="s">
        <v>503</v>
      </c>
      <c r="P3426" s="396">
        <v>6300</v>
      </c>
      <c r="Q3426" s="385">
        <v>3</v>
      </c>
      <c r="R3426" s="386">
        <f t="shared" si="110"/>
        <v>18900</v>
      </c>
      <c r="S3426" s="279">
        <v>202304</v>
      </c>
      <c r="T3426" s="184" t="s">
        <v>4498</v>
      </c>
      <c r="U3426" s="213"/>
      <c r="V3426" s="387"/>
      <c r="W3426" s="214"/>
      <c r="X3426" s="388">
        <v>44347</v>
      </c>
      <c r="Y3426" s="388">
        <v>46537</v>
      </c>
    </row>
    <row r="3427" s="5" customFormat="1" customHeight="1" spans="1:25">
      <c r="A3427" s="203" t="s">
        <v>446</v>
      </c>
      <c r="B3427" s="204" t="s">
        <v>4284</v>
      </c>
      <c r="C3427" s="204" t="s">
        <v>63</v>
      </c>
      <c r="D3427" s="204" t="s">
        <v>3038</v>
      </c>
      <c r="E3427" s="205" t="s">
        <v>4285</v>
      </c>
      <c r="F3427" s="203" t="s">
        <v>4286</v>
      </c>
      <c r="G3427" s="203" t="s">
        <v>88</v>
      </c>
      <c r="H3427" s="25" t="s">
        <v>4477</v>
      </c>
      <c r="I3427" s="46" t="e">
        <f>VLOOKUP(H3427,'合同高级查询数据-4月返'!A:A,1,FALSE)</f>
        <v>#N/A</v>
      </c>
      <c r="J3427" s="47" t="s">
        <v>3488</v>
      </c>
      <c r="K3427" s="203" t="s">
        <v>4478</v>
      </c>
      <c r="L3427" s="206"/>
      <c r="M3427" s="49" t="s">
        <v>4369</v>
      </c>
      <c r="N3427" s="73">
        <v>44412</v>
      </c>
      <c r="O3427" s="73" t="s">
        <v>503</v>
      </c>
      <c r="P3427" s="396">
        <v>6300</v>
      </c>
      <c r="Q3427" s="385">
        <v>5</v>
      </c>
      <c r="R3427" s="386">
        <f t="shared" si="110"/>
        <v>31500</v>
      </c>
      <c r="S3427" s="279">
        <v>202304</v>
      </c>
      <c r="T3427" s="184" t="s">
        <v>4499</v>
      </c>
      <c r="U3427" s="213"/>
      <c r="V3427" s="387"/>
      <c r="W3427" s="214"/>
      <c r="X3427" s="388">
        <v>44347</v>
      </c>
      <c r="Y3427" s="388">
        <v>46537</v>
      </c>
    </row>
    <row r="3428" s="5" customFormat="1" customHeight="1" spans="1:25">
      <c r="A3428" s="203" t="s">
        <v>446</v>
      </c>
      <c r="B3428" s="204" t="s">
        <v>4284</v>
      </c>
      <c r="C3428" s="204" t="s">
        <v>63</v>
      </c>
      <c r="D3428" s="204" t="s">
        <v>3038</v>
      </c>
      <c r="E3428" s="205" t="s">
        <v>4285</v>
      </c>
      <c r="F3428" s="203" t="s">
        <v>4286</v>
      </c>
      <c r="G3428" s="203" t="s">
        <v>88</v>
      </c>
      <c r="H3428" s="25" t="s">
        <v>4477</v>
      </c>
      <c r="I3428" s="46" t="e">
        <f>VLOOKUP(H3428,'合同高级查询数据-4月返'!A:A,1,FALSE)</f>
        <v>#N/A</v>
      </c>
      <c r="J3428" s="47" t="s">
        <v>3488</v>
      </c>
      <c r="K3428" s="203" t="s">
        <v>4478</v>
      </c>
      <c r="L3428" s="206"/>
      <c r="M3428" s="49" t="s">
        <v>4369</v>
      </c>
      <c r="N3428" s="73">
        <v>44418</v>
      </c>
      <c r="O3428" s="73" t="s">
        <v>503</v>
      </c>
      <c r="P3428" s="396">
        <v>6300</v>
      </c>
      <c r="Q3428" s="385">
        <v>7</v>
      </c>
      <c r="R3428" s="386">
        <f t="shared" si="110"/>
        <v>44100</v>
      </c>
      <c r="S3428" s="279">
        <v>202304</v>
      </c>
      <c r="T3428" s="184" t="s">
        <v>4500</v>
      </c>
      <c r="U3428" s="213"/>
      <c r="V3428" s="387"/>
      <c r="W3428" s="214"/>
      <c r="X3428" s="388">
        <v>44347</v>
      </c>
      <c r="Y3428" s="388">
        <v>46537</v>
      </c>
    </row>
    <row r="3429" s="5" customFormat="1" customHeight="1" spans="1:25">
      <c r="A3429" s="203" t="s">
        <v>446</v>
      </c>
      <c r="B3429" s="204" t="s">
        <v>4284</v>
      </c>
      <c r="C3429" s="204" t="s">
        <v>63</v>
      </c>
      <c r="D3429" s="204" t="s">
        <v>3038</v>
      </c>
      <c r="E3429" s="205" t="s">
        <v>4285</v>
      </c>
      <c r="F3429" s="203" t="s">
        <v>4286</v>
      </c>
      <c r="G3429" s="203" t="s">
        <v>88</v>
      </c>
      <c r="H3429" s="25" t="s">
        <v>4477</v>
      </c>
      <c r="I3429" s="46" t="e">
        <f>VLOOKUP(H3429,'合同高级查询数据-4月返'!A:A,1,FALSE)</f>
        <v>#N/A</v>
      </c>
      <c r="J3429" s="47" t="s">
        <v>3488</v>
      </c>
      <c r="K3429" s="203" t="s">
        <v>4478</v>
      </c>
      <c r="L3429" s="206"/>
      <c r="M3429" s="49" t="s">
        <v>4369</v>
      </c>
      <c r="N3429" s="73">
        <v>44420</v>
      </c>
      <c r="O3429" s="73" t="s">
        <v>503</v>
      </c>
      <c r="P3429" s="396">
        <v>6300</v>
      </c>
      <c r="Q3429" s="385">
        <v>18</v>
      </c>
      <c r="R3429" s="386">
        <f t="shared" si="110"/>
        <v>113400</v>
      </c>
      <c r="S3429" s="279">
        <v>202304</v>
      </c>
      <c r="T3429" s="184" t="s">
        <v>4501</v>
      </c>
      <c r="U3429" s="213"/>
      <c r="V3429" s="387"/>
      <c r="W3429" s="214"/>
      <c r="X3429" s="388">
        <v>44347</v>
      </c>
      <c r="Y3429" s="388">
        <v>46537</v>
      </c>
    </row>
    <row r="3430" s="5" customFormat="1" customHeight="1" spans="1:25">
      <c r="A3430" s="203" t="s">
        <v>446</v>
      </c>
      <c r="B3430" s="204" t="s">
        <v>4284</v>
      </c>
      <c r="C3430" s="204" t="s">
        <v>63</v>
      </c>
      <c r="D3430" s="204" t="s">
        <v>3038</v>
      </c>
      <c r="E3430" s="205" t="s">
        <v>4285</v>
      </c>
      <c r="F3430" s="203" t="s">
        <v>4286</v>
      </c>
      <c r="G3430" s="203" t="s">
        <v>88</v>
      </c>
      <c r="H3430" s="25" t="s">
        <v>4477</v>
      </c>
      <c r="I3430" s="46" t="e">
        <f>VLOOKUP(H3430,'合同高级查询数据-4月返'!A:A,1,FALSE)</f>
        <v>#N/A</v>
      </c>
      <c r="J3430" s="47" t="s">
        <v>3488</v>
      </c>
      <c r="K3430" s="203" t="s">
        <v>4478</v>
      </c>
      <c r="L3430" s="206"/>
      <c r="M3430" s="49" t="s">
        <v>4369</v>
      </c>
      <c r="N3430" s="73">
        <v>44421</v>
      </c>
      <c r="O3430" s="73" t="s">
        <v>503</v>
      </c>
      <c r="P3430" s="396">
        <v>6300</v>
      </c>
      <c r="Q3430" s="385">
        <v>72</v>
      </c>
      <c r="R3430" s="386">
        <f t="shared" si="110"/>
        <v>453600</v>
      </c>
      <c r="S3430" s="279">
        <v>202304</v>
      </c>
      <c r="T3430" s="184" t="s">
        <v>4502</v>
      </c>
      <c r="U3430" s="213"/>
      <c r="V3430" s="387"/>
      <c r="W3430" s="214"/>
      <c r="X3430" s="388">
        <v>44347</v>
      </c>
      <c r="Y3430" s="388">
        <v>46537</v>
      </c>
    </row>
    <row r="3431" s="5" customFormat="1" customHeight="1" spans="1:25">
      <c r="A3431" s="203" t="s">
        <v>446</v>
      </c>
      <c r="B3431" s="204" t="s">
        <v>4284</v>
      </c>
      <c r="C3431" s="204" t="s">
        <v>63</v>
      </c>
      <c r="D3431" s="204" t="s">
        <v>3038</v>
      </c>
      <c r="E3431" s="205" t="s">
        <v>4285</v>
      </c>
      <c r="F3431" s="203" t="s">
        <v>4286</v>
      </c>
      <c r="G3431" s="203" t="s">
        <v>88</v>
      </c>
      <c r="H3431" s="25" t="s">
        <v>4477</v>
      </c>
      <c r="I3431" s="46" t="e">
        <f>VLOOKUP(H3431,'合同高级查询数据-4月返'!A:A,1,FALSE)</f>
        <v>#N/A</v>
      </c>
      <c r="J3431" s="47" t="s">
        <v>3488</v>
      </c>
      <c r="K3431" s="203" t="s">
        <v>4478</v>
      </c>
      <c r="L3431" s="206"/>
      <c r="M3431" s="49" t="s">
        <v>4369</v>
      </c>
      <c r="N3431" s="73">
        <v>44441</v>
      </c>
      <c r="O3431" s="73" t="s">
        <v>503</v>
      </c>
      <c r="P3431" s="396">
        <v>6300</v>
      </c>
      <c r="Q3431" s="385">
        <v>23</v>
      </c>
      <c r="R3431" s="386">
        <f t="shared" si="110"/>
        <v>144900</v>
      </c>
      <c r="S3431" s="279">
        <v>202304</v>
      </c>
      <c r="T3431" s="184" t="s">
        <v>4503</v>
      </c>
      <c r="U3431" s="213"/>
      <c r="V3431" s="387"/>
      <c r="W3431" s="214"/>
      <c r="X3431" s="388">
        <v>44347</v>
      </c>
      <c r="Y3431" s="388">
        <v>46537</v>
      </c>
    </row>
    <row r="3432" s="5" customFormat="1" customHeight="1" spans="1:25">
      <c r="A3432" s="203" t="s">
        <v>446</v>
      </c>
      <c r="B3432" s="204" t="s">
        <v>4284</v>
      </c>
      <c r="C3432" s="204" t="s">
        <v>63</v>
      </c>
      <c r="D3432" s="204" t="s">
        <v>3038</v>
      </c>
      <c r="E3432" s="205" t="s">
        <v>4285</v>
      </c>
      <c r="F3432" s="203" t="s">
        <v>4286</v>
      </c>
      <c r="G3432" s="203" t="s">
        <v>88</v>
      </c>
      <c r="H3432" s="25" t="s">
        <v>4477</v>
      </c>
      <c r="I3432" s="46" t="e">
        <f>VLOOKUP(H3432,'合同高级查询数据-4月返'!A:A,1,FALSE)</f>
        <v>#N/A</v>
      </c>
      <c r="J3432" s="47" t="s">
        <v>3488</v>
      </c>
      <c r="K3432" s="203" t="s">
        <v>4478</v>
      </c>
      <c r="L3432" s="206"/>
      <c r="M3432" s="49" t="s">
        <v>4369</v>
      </c>
      <c r="N3432" s="73">
        <v>44442</v>
      </c>
      <c r="O3432" s="73" t="s">
        <v>503</v>
      </c>
      <c r="P3432" s="396">
        <v>6300</v>
      </c>
      <c r="Q3432" s="385">
        <v>13</v>
      </c>
      <c r="R3432" s="386">
        <f t="shared" si="110"/>
        <v>81900</v>
      </c>
      <c r="S3432" s="279">
        <v>202304</v>
      </c>
      <c r="T3432" s="184" t="s">
        <v>4504</v>
      </c>
      <c r="U3432" s="213"/>
      <c r="V3432" s="387"/>
      <c r="W3432" s="214"/>
      <c r="X3432" s="388">
        <v>44347</v>
      </c>
      <c r="Y3432" s="388">
        <v>46537</v>
      </c>
    </row>
    <row r="3433" s="5" customFormat="1" customHeight="1" spans="1:25">
      <c r="A3433" s="203" t="s">
        <v>446</v>
      </c>
      <c r="B3433" s="204" t="s">
        <v>4284</v>
      </c>
      <c r="C3433" s="204" t="s">
        <v>63</v>
      </c>
      <c r="D3433" s="204" t="s">
        <v>3038</v>
      </c>
      <c r="E3433" s="205" t="s">
        <v>4285</v>
      </c>
      <c r="F3433" s="203" t="s">
        <v>4286</v>
      </c>
      <c r="G3433" s="203" t="s">
        <v>88</v>
      </c>
      <c r="H3433" s="25" t="s">
        <v>4477</v>
      </c>
      <c r="I3433" s="46" t="e">
        <f>VLOOKUP(H3433,'合同高级查询数据-4月返'!A:A,1,FALSE)</f>
        <v>#N/A</v>
      </c>
      <c r="J3433" s="47" t="s">
        <v>3488</v>
      </c>
      <c r="K3433" s="203" t="s">
        <v>4478</v>
      </c>
      <c r="L3433" s="206"/>
      <c r="M3433" s="49" t="s">
        <v>4369</v>
      </c>
      <c r="N3433" s="73">
        <v>44445</v>
      </c>
      <c r="O3433" s="73" t="s">
        <v>503</v>
      </c>
      <c r="P3433" s="396">
        <v>6300</v>
      </c>
      <c r="Q3433" s="385">
        <v>8</v>
      </c>
      <c r="R3433" s="386">
        <f t="shared" si="110"/>
        <v>50400</v>
      </c>
      <c r="S3433" s="279">
        <v>202304</v>
      </c>
      <c r="T3433" s="184" t="s">
        <v>4505</v>
      </c>
      <c r="U3433" s="213"/>
      <c r="V3433" s="387"/>
      <c r="W3433" s="214"/>
      <c r="X3433" s="388">
        <v>44347</v>
      </c>
      <c r="Y3433" s="388">
        <v>46537</v>
      </c>
    </row>
    <row r="3434" s="5" customFormat="1" customHeight="1" spans="1:25">
      <c r="A3434" s="203" t="s">
        <v>446</v>
      </c>
      <c r="B3434" s="204" t="s">
        <v>4284</v>
      </c>
      <c r="C3434" s="204" t="s">
        <v>63</v>
      </c>
      <c r="D3434" s="204" t="s">
        <v>3038</v>
      </c>
      <c r="E3434" s="205" t="s">
        <v>4285</v>
      </c>
      <c r="F3434" s="203" t="s">
        <v>4286</v>
      </c>
      <c r="G3434" s="203" t="s">
        <v>88</v>
      </c>
      <c r="H3434" s="25" t="s">
        <v>4477</v>
      </c>
      <c r="I3434" s="46" t="e">
        <f>VLOOKUP(H3434,'合同高级查询数据-4月返'!A:A,1,FALSE)</f>
        <v>#N/A</v>
      </c>
      <c r="J3434" s="47" t="s">
        <v>3488</v>
      </c>
      <c r="K3434" s="203" t="s">
        <v>4478</v>
      </c>
      <c r="L3434" s="206"/>
      <c r="M3434" s="49" t="s">
        <v>4369</v>
      </c>
      <c r="N3434" s="73">
        <v>44446</v>
      </c>
      <c r="O3434" s="73" t="s">
        <v>503</v>
      </c>
      <c r="P3434" s="396">
        <v>6300</v>
      </c>
      <c r="Q3434" s="385">
        <v>6</v>
      </c>
      <c r="R3434" s="386">
        <f t="shared" si="110"/>
        <v>37800</v>
      </c>
      <c r="S3434" s="279">
        <v>202304</v>
      </c>
      <c r="T3434" s="184" t="s">
        <v>4506</v>
      </c>
      <c r="U3434" s="213"/>
      <c r="V3434" s="387"/>
      <c r="W3434" s="214"/>
      <c r="X3434" s="388">
        <v>44347</v>
      </c>
      <c r="Y3434" s="388">
        <v>46537</v>
      </c>
    </row>
    <row r="3435" s="5" customFormat="1" customHeight="1" spans="1:25">
      <c r="A3435" s="203" t="s">
        <v>446</v>
      </c>
      <c r="B3435" s="204" t="s">
        <v>4284</v>
      </c>
      <c r="C3435" s="204" t="s">
        <v>63</v>
      </c>
      <c r="D3435" s="204" t="s">
        <v>3038</v>
      </c>
      <c r="E3435" s="205" t="s">
        <v>4285</v>
      </c>
      <c r="F3435" s="203" t="s">
        <v>4286</v>
      </c>
      <c r="G3435" s="203" t="s">
        <v>88</v>
      </c>
      <c r="H3435" s="25" t="s">
        <v>4477</v>
      </c>
      <c r="I3435" s="46" t="e">
        <f>VLOOKUP(H3435,'合同高级查询数据-4月返'!A:A,1,FALSE)</f>
        <v>#N/A</v>
      </c>
      <c r="J3435" s="47" t="s">
        <v>3488</v>
      </c>
      <c r="K3435" s="203" t="s">
        <v>4478</v>
      </c>
      <c r="L3435" s="206"/>
      <c r="M3435" s="49" t="s">
        <v>4369</v>
      </c>
      <c r="N3435" s="73">
        <v>44449</v>
      </c>
      <c r="O3435" s="73" t="s">
        <v>503</v>
      </c>
      <c r="P3435" s="396">
        <v>6300</v>
      </c>
      <c r="Q3435" s="385">
        <v>21</v>
      </c>
      <c r="R3435" s="386">
        <f t="shared" si="110"/>
        <v>132300</v>
      </c>
      <c r="S3435" s="279">
        <v>202304</v>
      </c>
      <c r="T3435" s="184" t="s">
        <v>4507</v>
      </c>
      <c r="U3435" s="213"/>
      <c r="V3435" s="387"/>
      <c r="W3435" s="214"/>
      <c r="X3435" s="388">
        <v>44347</v>
      </c>
      <c r="Y3435" s="388">
        <v>46537</v>
      </c>
    </row>
    <row r="3436" s="5" customFormat="1" customHeight="1" spans="1:25">
      <c r="A3436" s="203" t="s">
        <v>446</v>
      </c>
      <c r="B3436" s="204" t="s">
        <v>4284</v>
      </c>
      <c r="C3436" s="204" t="s">
        <v>63</v>
      </c>
      <c r="D3436" s="204" t="s">
        <v>3038</v>
      </c>
      <c r="E3436" s="205" t="s">
        <v>4285</v>
      </c>
      <c r="F3436" s="203" t="s">
        <v>4286</v>
      </c>
      <c r="G3436" s="203" t="s">
        <v>88</v>
      </c>
      <c r="H3436" s="25" t="s">
        <v>4477</v>
      </c>
      <c r="I3436" s="46" t="e">
        <f>VLOOKUP(H3436,'合同高级查询数据-4月返'!A:A,1,FALSE)</f>
        <v>#N/A</v>
      </c>
      <c r="J3436" s="47" t="s">
        <v>3488</v>
      </c>
      <c r="K3436" s="203" t="s">
        <v>4478</v>
      </c>
      <c r="L3436" s="206"/>
      <c r="M3436" s="49" t="s">
        <v>4369</v>
      </c>
      <c r="N3436" s="73">
        <v>44454</v>
      </c>
      <c r="O3436" s="73" t="s">
        <v>503</v>
      </c>
      <c r="P3436" s="396">
        <v>6300</v>
      </c>
      <c r="Q3436" s="385">
        <v>13</v>
      </c>
      <c r="R3436" s="386">
        <f t="shared" si="110"/>
        <v>81900</v>
      </c>
      <c r="S3436" s="279">
        <v>202304</v>
      </c>
      <c r="T3436" s="184" t="s">
        <v>4508</v>
      </c>
      <c r="U3436" s="213"/>
      <c r="V3436" s="387"/>
      <c r="W3436" s="214"/>
      <c r="X3436" s="388">
        <v>44347</v>
      </c>
      <c r="Y3436" s="388">
        <v>46537</v>
      </c>
    </row>
    <row r="3437" s="5" customFormat="1" customHeight="1" spans="1:25">
      <c r="A3437" s="203" t="s">
        <v>446</v>
      </c>
      <c r="B3437" s="204" t="s">
        <v>4284</v>
      </c>
      <c r="C3437" s="204" t="s">
        <v>63</v>
      </c>
      <c r="D3437" s="204" t="s">
        <v>3038</v>
      </c>
      <c r="E3437" s="205" t="s">
        <v>4285</v>
      </c>
      <c r="F3437" s="203" t="s">
        <v>4286</v>
      </c>
      <c r="G3437" s="203" t="s">
        <v>88</v>
      </c>
      <c r="H3437" s="25" t="s">
        <v>4477</v>
      </c>
      <c r="I3437" s="46" t="e">
        <f>VLOOKUP(H3437,'合同高级查询数据-4月返'!A:A,1,FALSE)</f>
        <v>#N/A</v>
      </c>
      <c r="J3437" s="47" t="s">
        <v>3488</v>
      </c>
      <c r="K3437" s="203" t="s">
        <v>4478</v>
      </c>
      <c r="L3437" s="206"/>
      <c r="M3437" s="49" t="s">
        <v>4369</v>
      </c>
      <c r="N3437" s="73">
        <v>44456</v>
      </c>
      <c r="O3437" s="73" t="s">
        <v>503</v>
      </c>
      <c r="P3437" s="396">
        <v>6300</v>
      </c>
      <c r="Q3437" s="385">
        <v>14</v>
      </c>
      <c r="R3437" s="386">
        <f t="shared" si="110"/>
        <v>88200</v>
      </c>
      <c r="S3437" s="279">
        <v>202304</v>
      </c>
      <c r="T3437" s="184" t="s">
        <v>4509</v>
      </c>
      <c r="U3437" s="213"/>
      <c r="V3437" s="387"/>
      <c r="W3437" s="214"/>
      <c r="X3437" s="388">
        <v>44347</v>
      </c>
      <c r="Y3437" s="388">
        <v>46537</v>
      </c>
    </row>
    <row r="3438" s="5" customFormat="1" customHeight="1" spans="1:25">
      <c r="A3438" s="203" t="s">
        <v>446</v>
      </c>
      <c r="B3438" s="204" t="s">
        <v>4284</v>
      </c>
      <c r="C3438" s="204" t="s">
        <v>63</v>
      </c>
      <c r="D3438" s="204" t="s">
        <v>3038</v>
      </c>
      <c r="E3438" s="205" t="s">
        <v>4285</v>
      </c>
      <c r="F3438" s="203" t="s">
        <v>4286</v>
      </c>
      <c r="G3438" s="203" t="s">
        <v>88</v>
      </c>
      <c r="H3438" s="25" t="s">
        <v>4477</v>
      </c>
      <c r="I3438" s="46" t="e">
        <f>VLOOKUP(H3438,'合同高级查询数据-4月返'!A:A,1,FALSE)</f>
        <v>#N/A</v>
      </c>
      <c r="J3438" s="47" t="s">
        <v>3488</v>
      </c>
      <c r="K3438" s="203" t="s">
        <v>4478</v>
      </c>
      <c r="L3438" s="206"/>
      <c r="M3438" s="49" t="s">
        <v>4369</v>
      </c>
      <c r="N3438" s="73">
        <v>44465</v>
      </c>
      <c r="O3438" s="73" t="s">
        <v>503</v>
      </c>
      <c r="P3438" s="396">
        <v>6300</v>
      </c>
      <c r="Q3438" s="385">
        <v>36</v>
      </c>
      <c r="R3438" s="386">
        <f t="shared" si="110"/>
        <v>226800</v>
      </c>
      <c r="S3438" s="279">
        <v>202304</v>
      </c>
      <c r="T3438" s="184" t="s">
        <v>4510</v>
      </c>
      <c r="U3438" s="213"/>
      <c r="V3438" s="387"/>
      <c r="W3438" s="214"/>
      <c r="X3438" s="388">
        <v>44347</v>
      </c>
      <c r="Y3438" s="388">
        <v>46537</v>
      </c>
    </row>
    <row r="3439" s="5" customFormat="1" customHeight="1" spans="1:25">
      <c r="A3439" s="203" t="s">
        <v>446</v>
      </c>
      <c r="B3439" s="204" t="s">
        <v>4284</v>
      </c>
      <c r="C3439" s="204" t="s">
        <v>63</v>
      </c>
      <c r="D3439" s="204" t="s">
        <v>3038</v>
      </c>
      <c r="E3439" s="205" t="s">
        <v>4285</v>
      </c>
      <c r="F3439" s="203" t="s">
        <v>4286</v>
      </c>
      <c r="G3439" s="203" t="s">
        <v>88</v>
      </c>
      <c r="H3439" s="25" t="s">
        <v>4511</v>
      </c>
      <c r="I3439" s="46" t="e">
        <f>VLOOKUP(H3439,'合同高级查询数据-4月返'!A:A,1,FALSE)</f>
        <v>#N/A</v>
      </c>
      <c r="J3439" s="47" t="s">
        <v>3488</v>
      </c>
      <c r="K3439" s="203" t="s">
        <v>4512</v>
      </c>
      <c r="L3439" s="206"/>
      <c r="M3439" s="49" t="s">
        <v>4369</v>
      </c>
      <c r="N3439" s="73">
        <v>44470</v>
      </c>
      <c r="O3439" s="73" t="s">
        <v>503</v>
      </c>
      <c r="P3439" s="396">
        <v>6300</v>
      </c>
      <c r="Q3439" s="385">
        <v>164</v>
      </c>
      <c r="R3439" s="386">
        <f t="shared" si="110"/>
        <v>1033200</v>
      </c>
      <c r="S3439" s="279">
        <v>202304</v>
      </c>
      <c r="T3439" s="184" t="s">
        <v>4513</v>
      </c>
      <c r="U3439" s="213"/>
      <c r="V3439" s="387"/>
      <c r="W3439" s="214"/>
      <c r="X3439" s="388">
        <v>44470</v>
      </c>
      <c r="Y3439" s="388">
        <v>46660</v>
      </c>
    </row>
    <row r="3440" s="5" customFormat="1" customHeight="1" spans="1:25">
      <c r="A3440" s="203" t="s">
        <v>446</v>
      </c>
      <c r="B3440" s="204" t="s">
        <v>4284</v>
      </c>
      <c r="C3440" s="204" t="s">
        <v>63</v>
      </c>
      <c r="D3440" s="204" t="s">
        <v>3038</v>
      </c>
      <c r="E3440" s="205" t="s">
        <v>4285</v>
      </c>
      <c r="F3440" s="203" t="s">
        <v>4286</v>
      </c>
      <c r="G3440" s="203" t="s">
        <v>88</v>
      </c>
      <c r="H3440" s="25" t="s">
        <v>4511</v>
      </c>
      <c r="I3440" s="46" t="e">
        <f>VLOOKUP(H3440,'合同高级查询数据-4月返'!A:A,1,FALSE)</f>
        <v>#N/A</v>
      </c>
      <c r="J3440" s="47" t="s">
        <v>3488</v>
      </c>
      <c r="K3440" s="203" t="s">
        <v>4512</v>
      </c>
      <c r="L3440" s="206"/>
      <c r="M3440" s="49" t="s">
        <v>4369</v>
      </c>
      <c r="N3440" s="73">
        <v>44476</v>
      </c>
      <c r="O3440" s="73" t="s">
        <v>503</v>
      </c>
      <c r="P3440" s="396">
        <v>6300</v>
      </c>
      <c r="Q3440" s="385">
        <v>13</v>
      </c>
      <c r="R3440" s="386">
        <f t="shared" si="110"/>
        <v>81900</v>
      </c>
      <c r="S3440" s="279">
        <v>202304</v>
      </c>
      <c r="T3440" s="184" t="s">
        <v>4514</v>
      </c>
      <c r="U3440" s="213"/>
      <c r="V3440" s="387"/>
      <c r="W3440" s="214"/>
      <c r="X3440" s="388">
        <v>44470</v>
      </c>
      <c r="Y3440" s="388">
        <v>46660</v>
      </c>
    </row>
    <row r="3441" s="5" customFormat="1" customHeight="1" spans="1:25">
      <c r="A3441" s="203" t="s">
        <v>446</v>
      </c>
      <c r="B3441" s="204" t="s">
        <v>4284</v>
      </c>
      <c r="C3441" s="204" t="s">
        <v>63</v>
      </c>
      <c r="D3441" s="204" t="s">
        <v>3038</v>
      </c>
      <c r="E3441" s="205" t="s">
        <v>4285</v>
      </c>
      <c r="F3441" s="203" t="s">
        <v>4286</v>
      </c>
      <c r="G3441" s="203" t="s">
        <v>88</v>
      </c>
      <c r="H3441" s="25" t="s">
        <v>4511</v>
      </c>
      <c r="I3441" s="46" t="e">
        <f>VLOOKUP(H3441,'合同高级查询数据-4月返'!A:A,1,FALSE)</f>
        <v>#N/A</v>
      </c>
      <c r="J3441" s="47" t="s">
        <v>3488</v>
      </c>
      <c r="K3441" s="203" t="s">
        <v>4512</v>
      </c>
      <c r="L3441" s="206"/>
      <c r="M3441" s="49" t="s">
        <v>4369</v>
      </c>
      <c r="N3441" s="73">
        <v>44482</v>
      </c>
      <c r="O3441" s="73" t="s">
        <v>503</v>
      </c>
      <c r="P3441" s="396">
        <v>6300</v>
      </c>
      <c r="Q3441" s="385">
        <v>13</v>
      </c>
      <c r="R3441" s="386">
        <f t="shared" si="110"/>
        <v>81900</v>
      </c>
      <c r="S3441" s="279">
        <v>202304</v>
      </c>
      <c r="T3441" s="184" t="s">
        <v>4515</v>
      </c>
      <c r="U3441" s="213"/>
      <c r="V3441" s="387"/>
      <c r="W3441" s="214"/>
      <c r="X3441" s="388">
        <v>44470</v>
      </c>
      <c r="Y3441" s="388">
        <v>46660</v>
      </c>
    </row>
    <row r="3442" s="5" customFormat="1" customHeight="1" spans="1:25">
      <c r="A3442" s="203" t="s">
        <v>446</v>
      </c>
      <c r="B3442" s="204" t="s">
        <v>4284</v>
      </c>
      <c r="C3442" s="204" t="s">
        <v>63</v>
      </c>
      <c r="D3442" s="204" t="s">
        <v>3038</v>
      </c>
      <c r="E3442" s="205" t="s">
        <v>4285</v>
      </c>
      <c r="F3442" s="203" t="s">
        <v>4286</v>
      </c>
      <c r="G3442" s="203" t="s">
        <v>88</v>
      </c>
      <c r="H3442" s="25" t="s">
        <v>4511</v>
      </c>
      <c r="I3442" s="46" t="e">
        <f>VLOOKUP(H3442,'合同高级查询数据-4月返'!A:A,1,FALSE)</f>
        <v>#N/A</v>
      </c>
      <c r="J3442" s="47" t="s">
        <v>3488</v>
      </c>
      <c r="K3442" s="203" t="s">
        <v>4512</v>
      </c>
      <c r="L3442" s="206"/>
      <c r="M3442" s="49" t="s">
        <v>4369</v>
      </c>
      <c r="N3442" s="73">
        <v>44489</v>
      </c>
      <c r="O3442" s="73" t="s">
        <v>503</v>
      </c>
      <c r="P3442" s="396">
        <v>6300</v>
      </c>
      <c r="Q3442" s="385">
        <v>16</v>
      </c>
      <c r="R3442" s="386">
        <f t="shared" si="110"/>
        <v>100800</v>
      </c>
      <c r="S3442" s="279">
        <v>202304</v>
      </c>
      <c r="T3442" s="184" t="s">
        <v>4516</v>
      </c>
      <c r="U3442" s="213"/>
      <c r="V3442" s="387"/>
      <c r="W3442" s="214"/>
      <c r="X3442" s="388">
        <v>44470</v>
      </c>
      <c r="Y3442" s="388">
        <v>46660</v>
      </c>
    </row>
    <row r="3443" s="5" customFormat="1" customHeight="1" spans="1:25">
      <c r="A3443" s="203" t="s">
        <v>446</v>
      </c>
      <c r="B3443" s="204" t="s">
        <v>4284</v>
      </c>
      <c r="C3443" s="204" t="s">
        <v>63</v>
      </c>
      <c r="D3443" s="204" t="s">
        <v>3038</v>
      </c>
      <c r="E3443" s="205" t="s">
        <v>4285</v>
      </c>
      <c r="F3443" s="203" t="s">
        <v>4286</v>
      </c>
      <c r="G3443" s="203" t="s">
        <v>88</v>
      </c>
      <c r="H3443" s="25" t="s">
        <v>4511</v>
      </c>
      <c r="I3443" s="46" t="e">
        <f>VLOOKUP(H3443,'合同高级查询数据-4月返'!A:A,1,FALSE)</f>
        <v>#N/A</v>
      </c>
      <c r="J3443" s="47" t="s">
        <v>3488</v>
      </c>
      <c r="K3443" s="203" t="s">
        <v>4512</v>
      </c>
      <c r="L3443" s="206"/>
      <c r="M3443" s="49" t="s">
        <v>4369</v>
      </c>
      <c r="N3443" s="73">
        <v>44491</v>
      </c>
      <c r="O3443" s="73" t="s">
        <v>503</v>
      </c>
      <c r="P3443" s="396">
        <v>6300</v>
      </c>
      <c r="Q3443" s="385">
        <v>55</v>
      </c>
      <c r="R3443" s="386">
        <f t="shared" si="110"/>
        <v>346500</v>
      </c>
      <c r="S3443" s="279">
        <v>202304</v>
      </c>
      <c r="T3443" s="184" t="s">
        <v>4517</v>
      </c>
      <c r="U3443" s="213"/>
      <c r="V3443" s="387"/>
      <c r="W3443" s="214"/>
      <c r="X3443" s="388">
        <v>44470</v>
      </c>
      <c r="Y3443" s="388">
        <v>46660</v>
      </c>
    </row>
    <row r="3444" s="5" customFormat="1" customHeight="1" spans="1:25">
      <c r="A3444" s="203" t="s">
        <v>446</v>
      </c>
      <c r="B3444" s="204" t="s">
        <v>4284</v>
      </c>
      <c r="C3444" s="204" t="s">
        <v>63</v>
      </c>
      <c r="D3444" s="204" t="s">
        <v>3038</v>
      </c>
      <c r="E3444" s="205" t="s">
        <v>4285</v>
      </c>
      <c r="F3444" s="203" t="s">
        <v>4286</v>
      </c>
      <c r="G3444" s="203" t="s">
        <v>88</v>
      </c>
      <c r="H3444" s="25" t="s">
        <v>4511</v>
      </c>
      <c r="I3444" s="46" t="e">
        <f>VLOOKUP(H3444,'合同高级查询数据-4月返'!A:A,1,FALSE)</f>
        <v>#N/A</v>
      </c>
      <c r="J3444" s="47" t="s">
        <v>3488</v>
      </c>
      <c r="K3444" s="203" t="s">
        <v>4512</v>
      </c>
      <c r="L3444" s="206"/>
      <c r="M3444" s="49" t="s">
        <v>4518</v>
      </c>
      <c r="N3444" s="73">
        <v>44494</v>
      </c>
      <c r="O3444" s="73" t="s">
        <v>503</v>
      </c>
      <c r="P3444" s="396">
        <v>6300</v>
      </c>
      <c r="Q3444" s="385">
        <v>4</v>
      </c>
      <c r="R3444" s="386">
        <f t="shared" si="110"/>
        <v>25200</v>
      </c>
      <c r="S3444" s="279">
        <v>202304</v>
      </c>
      <c r="T3444" s="184" t="s">
        <v>4519</v>
      </c>
      <c r="U3444" s="213"/>
      <c r="V3444" s="387"/>
      <c r="W3444" s="214"/>
      <c r="X3444" s="388">
        <v>44470</v>
      </c>
      <c r="Y3444" s="388">
        <v>46660</v>
      </c>
    </row>
    <row r="3445" s="5" customFormat="1" customHeight="1" spans="1:25">
      <c r="A3445" s="203" t="s">
        <v>446</v>
      </c>
      <c r="B3445" s="204" t="s">
        <v>4284</v>
      </c>
      <c r="C3445" s="204" t="s">
        <v>63</v>
      </c>
      <c r="D3445" s="204" t="s">
        <v>3038</v>
      </c>
      <c r="E3445" s="205" t="s">
        <v>4285</v>
      </c>
      <c r="F3445" s="203" t="s">
        <v>4286</v>
      </c>
      <c r="G3445" s="203" t="s">
        <v>88</v>
      </c>
      <c r="H3445" s="25" t="s">
        <v>4511</v>
      </c>
      <c r="I3445" s="46" t="e">
        <f>VLOOKUP(H3445,'合同高级查询数据-4月返'!A:A,1,FALSE)</f>
        <v>#N/A</v>
      </c>
      <c r="J3445" s="47" t="s">
        <v>3488</v>
      </c>
      <c r="K3445" s="203" t="s">
        <v>4512</v>
      </c>
      <c r="L3445" s="206"/>
      <c r="M3445" s="49" t="s">
        <v>4369</v>
      </c>
      <c r="N3445" s="73">
        <v>44495</v>
      </c>
      <c r="O3445" s="73" t="s">
        <v>503</v>
      </c>
      <c r="P3445" s="396">
        <v>6300</v>
      </c>
      <c r="Q3445" s="385">
        <v>3</v>
      </c>
      <c r="R3445" s="386">
        <f t="shared" si="110"/>
        <v>18900</v>
      </c>
      <c r="S3445" s="279">
        <v>202304</v>
      </c>
      <c r="T3445" s="184" t="s">
        <v>4520</v>
      </c>
      <c r="U3445" s="213"/>
      <c r="V3445" s="387"/>
      <c r="W3445" s="214"/>
      <c r="X3445" s="388">
        <v>44470</v>
      </c>
      <c r="Y3445" s="388">
        <v>46660</v>
      </c>
    </row>
    <row r="3446" s="5" customFormat="1" customHeight="1" spans="1:25">
      <c r="A3446" s="203" t="s">
        <v>446</v>
      </c>
      <c r="B3446" s="204" t="s">
        <v>4284</v>
      </c>
      <c r="C3446" s="204" t="s">
        <v>63</v>
      </c>
      <c r="D3446" s="204" t="s">
        <v>3038</v>
      </c>
      <c r="E3446" s="205" t="s">
        <v>4285</v>
      </c>
      <c r="F3446" s="203" t="s">
        <v>4286</v>
      </c>
      <c r="G3446" s="203" t="s">
        <v>88</v>
      </c>
      <c r="H3446" s="25" t="s">
        <v>4511</v>
      </c>
      <c r="I3446" s="46" t="e">
        <f>VLOOKUP(H3446,'合同高级查询数据-4月返'!A:A,1,FALSE)</f>
        <v>#N/A</v>
      </c>
      <c r="J3446" s="47" t="s">
        <v>3488</v>
      </c>
      <c r="K3446" s="203" t="s">
        <v>4512</v>
      </c>
      <c r="L3446" s="206"/>
      <c r="M3446" s="49" t="s">
        <v>4369</v>
      </c>
      <c r="N3446" s="73">
        <v>44499</v>
      </c>
      <c r="O3446" s="73" t="s">
        <v>503</v>
      </c>
      <c r="P3446" s="396">
        <v>6300</v>
      </c>
      <c r="Q3446" s="385">
        <v>43</v>
      </c>
      <c r="R3446" s="386">
        <f t="shared" si="110"/>
        <v>270900</v>
      </c>
      <c r="S3446" s="279">
        <v>202304</v>
      </c>
      <c r="T3446" s="184" t="s">
        <v>4521</v>
      </c>
      <c r="U3446" s="213"/>
      <c r="V3446" s="387"/>
      <c r="W3446" s="214"/>
      <c r="X3446" s="388">
        <v>44470</v>
      </c>
      <c r="Y3446" s="388">
        <v>46660</v>
      </c>
    </row>
    <row r="3447" s="5" customFormat="1" customHeight="1" spans="1:25">
      <c r="A3447" s="203" t="s">
        <v>446</v>
      </c>
      <c r="B3447" s="204" t="s">
        <v>4284</v>
      </c>
      <c r="C3447" s="204" t="s">
        <v>63</v>
      </c>
      <c r="D3447" s="204" t="s">
        <v>3038</v>
      </c>
      <c r="E3447" s="205" t="s">
        <v>4285</v>
      </c>
      <c r="F3447" s="203" t="s">
        <v>4286</v>
      </c>
      <c r="G3447" s="203" t="s">
        <v>88</v>
      </c>
      <c r="H3447" s="25" t="s">
        <v>4511</v>
      </c>
      <c r="I3447" s="46" t="e">
        <f>VLOOKUP(H3447,'合同高级查询数据-4月返'!A:A,1,FALSE)</f>
        <v>#N/A</v>
      </c>
      <c r="J3447" s="47" t="s">
        <v>3488</v>
      </c>
      <c r="K3447" s="203" t="s">
        <v>4512</v>
      </c>
      <c r="L3447" s="206"/>
      <c r="M3447" s="49" t="s">
        <v>4369</v>
      </c>
      <c r="N3447" s="73">
        <v>44512</v>
      </c>
      <c r="O3447" s="73" t="s">
        <v>503</v>
      </c>
      <c r="P3447" s="396">
        <v>6300</v>
      </c>
      <c r="Q3447" s="385">
        <v>15</v>
      </c>
      <c r="R3447" s="386">
        <f t="shared" si="110"/>
        <v>94500</v>
      </c>
      <c r="S3447" s="279">
        <v>202304</v>
      </c>
      <c r="T3447" s="184" t="s">
        <v>4522</v>
      </c>
      <c r="U3447" s="213"/>
      <c r="V3447" s="387"/>
      <c r="W3447" s="214"/>
      <c r="X3447" s="388">
        <v>44470</v>
      </c>
      <c r="Y3447" s="388">
        <v>46660</v>
      </c>
    </row>
    <row r="3448" s="5" customFormat="1" customHeight="1" spans="1:25">
      <c r="A3448" s="203" t="s">
        <v>446</v>
      </c>
      <c r="B3448" s="204" t="s">
        <v>4284</v>
      </c>
      <c r="C3448" s="204" t="s">
        <v>63</v>
      </c>
      <c r="D3448" s="204" t="s">
        <v>3038</v>
      </c>
      <c r="E3448" s="205" t="s">
        <v>4285</v>
      </c>
      <c r="F3448" s="203" t="s">
        <v>4286</v>
      </c>
      <c r="G3448" s="203" t="s">
        <v>88</v>
      </c>
      <c r="H3448" s="25" t="s">
        <v>4511</v>
      </c>
      <c r="I3448" s="46" t="e">
        <f>VLOOKUP(H3448,'合同高级查询数据-4月返'!A:A,1,FALSE)</f>
        <v>#N/A</v>
      </c>
      <c r="J3448" s="47" t="s">
        <v>3488</v>
      </c>
      <c r="K3448" s="203" t="s">
        <v>4512</v>
      </c>
      <c r="L3448" s="206"/>
      <c r="M3448" s="49" t="s">
        <v>4369</v>
      </c>
      <c r="N3448" s="73">
        <v>44517</v>
      </c>
      <c r="O3448" s="73" t="s">
        <v>503</v>
      </c>
      <c r="P3448" s="396">
        <v>6300</v>
      </c>
      <c r="Q3448" s="385">
        <v>2</v>
      </c>
      <c r="R3448" s="386">
        <f t="shared" si="110"/>
        <v>12600</v>
      </c>
      <c r="S3448" s="279">
        <v>202304</v>
      </c>
      <c r="T3448" s="184" t="s">
        <v>4523</v>
      </c>
      <c r="U3448" s="213"/>
      <c r="V3448" s="387"/>
      <c r="W3448" s="214"/>
      <c r="X3448" s="388">
        <v>44470</v>
      </c>
      <c r="Y3448" s="388">
        <v>46660</v>
      </c>
    </row>
    <row r="3449" s="5" customFormat="1" customHeight="1" spans="1:25">
      <c r="A3449" s="203" t="s">
        <v>446</v>
      </c>
      <c r="B3449" s="204" t="s">
        <v>4284</v>
      </c>
      <c r="C3449" s="204" t="s">
        <v>63</v>
      </c>
      <c r="D3449" s="204" t="s">
        <v>3038</v>
      </c>
      <c r="E3449" s="205" t="s">
        <v>4285</v>
      </c>
      <c r="F3449" s="203" t="s">
        <v>4286</v>
      </c>
      <c r="G3449" s="203" t="s">
        <v>88</v>
      </c>
      <c r="H3449" s="25" t="s">
        <v>4511</v>
      </c>
      <c r="I3449" s="46" t="e">
        <f>VLOOKUP(H3449,'合同高级查询数据-4月返'!A:A,1,FALSE)</f>
        <v>#N/A</v>
      </c>
      <c r="J3449" s="47" t="s">
        <v>3488</v>
      </c>
      <c r="K3449" s="203" t="s">
        <v>4512</v>
      </c>
      <c r="L3449" s="206"/>
      <c r="M3449" s="49" t="s">
        <v>4369</v>
      </c>
      <c r="N3449" s="73">
        <v>44519</v>
      </c>
      <c r="O3449" s="73" t="s">
        <v>503</v>
      </c>
      <c r="P3449" s="396">
        <v>6300</v>
      </c>
      <c r="Q3449" s="385">
        <v>10</v>
      </c>
      <c r="R3449" s="386">
        <f t="shared" si="110"/>
        <v>63000</v>
      </c>
      <c r="S3449" s="279">
        <v>202304</v>
      </c>
      <c r="T3449" s="184" t="s">
        <v>4524</v>
      </c>
      <c r="U3449" s="213"/>
      <c r="V3449" s="387"/>
      <c r="W3449" s="214"/>
      <c r="X3449" s="388">
        <v>44470</v>
      </c>
      <c r="Y3449" s="388">
        <v>46660</v>
      </c>
    </row>
    <row r="3450" s="5" customFormat="1" customHeight="1" spans="1:25">
      <c r="A3450" s="203" t="s">
        <v>446</v>
      </c>
      <c r="B3450" s="204" t="s">
        <v>4284</v>
      </c>
      <c r="C3450" s="204" t="s">
        <v>63</v>
      </c>
      <c r="D3450" s="204" t="s">
        <v>3038</v>
      </c>
      <c r="E3450" s="205" t="s">
        <v>4285</v>
      </c>
      <c r="F3450" s="203" t="s">
        <v>4286</v>
      </c>
      <c r="G3450" s="203" t="s">
        <v>88</v>
      </c>
      <c r="H3450" s="25" t="s">
        <v>4511</v>
      </c>
      <c r="I3450" s="46" t="e">
        <f>VLOOKUP(H3450,'合同高级查询数据-4月返'!A:A,1,FALSE)</f>
        <v>#N/A</v>
      </c>
      <c r="J3450" s="47" t="s">
        <v>3488</v>
      </c>
      <c r="K3450" s="203" t="s">
        <v>4512</v>
      </c>
      <c r="L3450" s="206"/>
      <c r="M3450" s="49" t="s">
        <v>4369</v>
      </c>
      <c r="N3450" s="73">
        <v>44522</v>
      </c>
      <c r="O3450" s="73" t="s">
        <v>503</v>
      </c>
      <c r="P3450" s="396">
        <v>6300</v>
      </c>
      <c r="Q3450" s="385">
        <v>1</v>
      </c>
      <c r="R3450" s="386">
        <f t="shared" si="110"/>
        <v>6300</v>
      </c>
      <c r="S3450" s="279">
        <v>202304</v>
      </c>
      <c r="T3450" s="184" t="s">
        <v>4525</v>
      </c>
      <c r="U3450" s="213"/>
      <c r="V3450" s="387"/>
      <c r="W3450" s="214"/>
      <c r="X3450" s="388">
        <v>44470</v>
      </c>
      <c r="Y3450" s="388">
        <v>46660</v>
      </c>
    </row>
    <row r="3451" s="5" customFormat="1" customHeight="1" spans="1:25">
      <c r="A3451" s="203" t="s">
        <v>446</v>
      </c>
      <c r="B3451" s="204" t="s">
        <v>4284</v>
      </c>
      <c r="C3451" s="204" t="s">
        <v>63</v>
      </c>
      <c r="D3451" s="204" t="s">
        <v>3038</v>
      </c>
      <c r="E3451" s="205" t="s">
        <v>4285</v>
      </c>
      <c r="F3451" s="203" t="s">
        <v>4286</v>
      </c>
      <c r="G3451" s="203" t="s">
        <v>88</v>
      </c>
      <c r="H3451" s="25" t="s">
        <v>4511</v>
      </c>
      <c r="I3451" s="46" t="e">
        <f>VLOOKUP(H3451,'合同高级查询数据-4月返'!A:A,1,FALSE)</f>
        <v>#N/A</v>
      </c>
      <c r="J3451" s="47" t="s">
        <v>3488</v>
      </c>
      <c r="K3451" s="203" t="s">
        <v>4512</v>
      </c>
      <c r="L3451" s="206"/>
      <c r="M3451" s="49" t="s">
        <v>4369</v>
      </c>
      <c r="N3451" s="73">
        <v>44536</v>
      </c>
      <c r="O3451" s="73" t="s">
        <v>503</v>
      </c>
      <c r="P3451" s="396">
        <v>6300</v>
      </c>
      <c r="Q3451" s="385">
        <v>18</v>
      </c>
      <c r="R3451" s="386">
        <f t="shared" si="110"/>
        <v>113400</v>
      </c>
      <c r="S3451" s="279">
        <v>202304</v>
      </c>
      <c r="T3451" s="184" t="s">
        <v>4526</v>
      </c>
      <c r="U3451" s="213"/>
      <c r="V3451" s="387"/>
      <c r="W3451" s="214"/>
      <c r="X3451" s="388">
        <v>44470</v>
      </c>
      <c r="Y3451" s="388">
        <v>46660</v>
      </c>
    </row>
    <row r="3452" s="5" customFormat="1" customHeight="1" spans="1:25">
      <c r="A3452" s="203" t="s">
        <v>446</v>
      </c>
      <c r="B3452" s="204" t="s">
        <v>4284</v>
      </c>
      <c r="C3452" s="204" t="s">
        <v>63</v>
      </c>
      <c r="D3452" s="204" t="s">
        <v>3038</v>
      </c>
      <c r="E3452" s="205" t="s">
        <v>4285</v>
      </c>
      <c r="F3452" s="203" t="s">
        <v>4286</v>
      </c>
      <c r="G3452" s="203" t="s">
        <v>88</v>
      </c>
      <c r="H3452" s="25" t="s">
        <v>4511</v>
      </c>
      <c r="I3452" s="46" t="e">
        <f>VLOOKUP(H3452,'合同高级查询数据-4月返'!A:A,1,FALSE)</f>
        <v>#N/A</v>
      </c>
      <c r="J3452" s="47" t="s">
        <v>3488</v>
      </c>
      <c r="K3452" s="203" t="s">
        <v>4512</v>
      </c>
      <c r="L3452" s="206"/>
      <c r="M3452" s="49" t="s">
        <v>4369</v>
      </c>
      <c r="N3452" s="73">
        <v>44550</v>
      </c>
      <c r="O3452" s="73" t="s">
        <v>503</v>
      </c>
      <c r="P3452" s="396">
        <v>6300</v>
      </c>
      <c r="Q3452" s="385">
        <v>9</v>
      </c>
      <c r="R3452" s="386">
        <f t="shared" si="110"/>
        <v>56700</v>
      </c>
      <c r="S3452" s="279">
        <v>202304</v>
      </c>
      <c r="T3452" s="184" t="s">
        <v>4527</v>
      </c>
      <c r="U3452" s="213"/>
      <c r="V3452" s="387"/>
      <c r="W3452" s="214"/>
      <c r="X3452" s="388">
        <v>44470</v>
      </c>
      <c r="Y3452" s="388">
        <v>46660</v>
      </c>
    </row>
    <row r="3453" s="5" customFormat="1" customHeight="1" spans="1:25">
      <c r="A3453" s="203" t="s">
        <v>446</v>
      </c>
      <c r="B3453" s="204" t="s">
        <v>4284</v>
      </c>
      <c r="C3453" s="204" t="s">
        <v>63</v>
      </c>
      <c r="D3453" s="204" t="s">
        <v>3038</v>
      </c>
      <c r="E3453" s="205" t="s">
        <v>4285</v>
      </c>
      <c r="F3453" s="203" t="s">
        <v>4286</v>
      </c>
      <c r="G3453" s="203" t="s">
        <v>88</v>
      </c>
      <c r="H3453" s="25" t="s">
        <v>4511</v>
      </c>
      <c r="I3453" s="46" t="e">
        <f>VLOOKUP(H3453,'合同高级查询数据-4月返'!A:A,1,FALSE)</f>
        <v>#N/A</v>
      </c>
      <c r="J3453" s="47" t="s">
        <v>3488</v>
      </c>
      <c r="K3453" s="203" t="s">
        <v>4512</v>
      </c>
      <c r="L3453" s="206"/>
      <c r="M3453" s="49" t="s">
        <v>4518</v>
      </c>
      <c r="N3453" s="73">
        <v>44671</v>
      </c>
      <c r="O3453" s="73" t="s">
        <v>503</v>
      </c>
      <c r="P3453" s="396">
        <v>6300</v>
      </c>
      <c r="Q3453" s="385">
        <v>1</v>
      </c>
      <c r="R3453" s="386">
        <f t="shared" si="110"/>
        <v>6300</v>
      </c>
      <c r="S3453" s="279">
        <v>202304</v>
      </c>
      <c r="T3453" s="184" t="s">
        <v>4528</v>
      </c>
      <c r="U3453" s="213"/>
      <c r="V3453" s="387"/>
      <c r="W3453" s="214"/>
      <c r="X3453" s="388">
        <v>44470</v>
      </c>
      <c r="Y3453" s="388">
        <v>46660</v>
      </c>
    </row>
    <row r="3454" s="5" customFormat="1" customHeight="1" spans="1:25">
      <c r="A3454" s="203" t="s">
        <v>446</v>
      </c>
      <c r="B3454" s="204" t="s">
        <v>4284</v>
      </c>
      <c r="C3454" s="204" t="s">
        <v>63</v>
      </c>
      <c r="D3454" s="204" t="s">
        <v>3038</v>
      </c>
      <c r="E3454" s="205" t="s">
        <v>4285</v>
      </c>
      <c r="F3454" s="203" t="s">
        <v>4286</v>
      </c>
      <c r="G3454" s="203" t="s">
        <v>88</v>
      </c>
      <c r="H3454" s="25" t="s">
        <v>4511</v>
      </c>
      <c r="I3454" s="46" t="e">
        <f>VLOOKUP(H3454,'合同高级查询数据-4月返'!A:A,1,FALSE)</f>
        <v>#N/A</v>
      </c>
      <c r="J3454" s="47" t="s">
        <v>3488</v>
      </c>
      <c r="K3454" s="203" t="s">
        <v>4512</v>
      </c>
      <c r="L3454" s="206"/>
      <c r="M3454" s="49" t="s">
        <v>4369</v>
      </c>
      <c r="N3454" s="73">
        <v>45015</v>
      </c>
      <c r="O3454" s="73" t="s">
        <v>503</v>
      </c>
      <c r="P3454" s="396">
        <v>6300</v>
      </c>
      <c r="Q3454" s="385">
        <v>-4</v>
      </c>
      <c r="R3454" s="207">
        <f t="shared" si="110"/>
        <v>-25200</v>
      </c>
      <c r="S3454" s="279">
        <v>202304</v>
      </c>
      <c r="T3454" s="189" t="s">
        <v>4529</v>
      </c>
      <c r="U3454" s="213"/>
      <c r="V3454" s="387"/>
      <c r="W3454" s="214"/>
      <c r="X3454" s="388">
        <v>44470</v>
      </c>
      <c r="Y3454" s="388">
        <v>46660</v>
      </c>
    </row>
    <row r="3455" s="5" customFormat="1" customHeight="1" spans="1:25">
      <c r="A3455" s="203" t="s">
        <v>446</v>
      </c>
      <c r="B3455" s="204" t="s">
        <v>4284</v>
      </c>
      <c r="C3455" s="204" t="s">
        <v>63</v>
      </c>
      <c r="D3455" s="204" t="s">
        <v>3038</v>
      </c>
      <c r="E3455" s="205" t="s">
        <v>4285</v>
      </c>
      <c r="F3455" s="203" t="s">
        <v>4286</v>
      </c>
      <c r="G3455" s="203" t="s">
        <v>88</v>
      </c>
      <c r="H3455" s="25" t="s">
        <v>4511</v>
      </c>
      <c r="I3455" s="46" t="e">
        <f>VLOOKUP(H3455,'合同高级查询数据-4月返'!A:A,1,FALSE)</f>
        <v>#N/A</v>
      </c>
      <c r="J3455" s="47" t="s">
        <v>3488</v>
      </c>
      <c r="K3455" s="203" t="s">
        <v>4512</v>
      </c>
      <c r="L3455" s="206"/>
      <c r="M3455" s="49" t="s">
        <v>4369</v>
      </c>
      <c r="N3455" s="397">
        <v>45041</v>
      </c>
      <c r="O3455" s="73" t="s">
        <v>503</v>
      </c>
      <c r="P3455" s="396">
        <v>6300</v>
      </c>
      <c r="Q3455" s="385">
        <v>2</v>
      </c>
      <c r="R3455" s="207">
        <f>ROUND(P3455*Q3455*6/30,2)</f>
        <v>2520</v>
      </c>
      <c r="S3455" s="279">
        <v>202304</v>
      </c>
      <c r="T3455" s="398" t="s">
        <v>4530</v>
      </c>
      <c r="U3455" s="213"/>
      <c r="V3455" s="387"/>
      <c r="W3455" s="214"/>
      <c r="X3455" s="388">
        <v>44470</v>
      </c>
      <c r="Y3455" s="388">
        <v>46660</v>
      </c>
    </row>
    <row r="3456" s="5" customFormat="1" customHeight="1" spans="1:25">
      <c r="A3456" s="203" t="s">
        <v>446</v>
      </c>
      <c r="B3456" s="204" t="s">
        <v>4284</v>
      </c>
      <c r="C3456" s="204" t="s">
        <v>63</v>
      </c>
      <c r="D3456" s="204" t="s">
        <v>3038</v>
      </c>
      <c r="E3456" s="205" t="s">
        <v>4285</v>
      </c>
      <c r="F3456" s="203" t="s">
        <v>4286</v>
      </c>
      <c r="G3456" s="203" t="s">
        <v>88</v>
      </c>
      <c r="H3456" s="25" t="s">
        <v>4531</v>
      </c>
      <c r="I3456" s="46" t="e">
        <f>VLOOKUP(H3456,'合同高级查询数据-4月返'!A:A,1,FALSE)</f>
        <v>#N/A</v>
      </c>
      <c r="J3456" s="47" t="s">
        <v>3488</v>
      </c>
      <c r="K3456" s="290" t="s">
        <v>4532</v>
      </c>
      <c r="L3456" s="206"/>
      <c r="M3456" s="49" t="s">
        <v>4369</v>
      </c>
      <c r="N3456" s="73">
        <v>44531</v>
      </c>
      <c r="O3456" s="73" t="s">
        <v>503</v>
      </c>
      <c r="P3456" s="396">
        <v>6300</v>
      </c>
      <c r="Q3456" s="385">
        <v>209</v>
      </c>
      <c r="R3456" s="386">
        <f t="shared" ref="R3456:R3505" si="111">ROUND(P3456*Q3456,2)</f>
        <v>1316700</v>
      </c>
      <c r="S3456" s="279">
        <v>202304</v>
      </c>
      <c r="T3456" s="184" t="s">
        <v>4533</v>
      </c>
      <c r="U3456" s="213"/>
      <c r="V3456" s="387"/>
      <c r="W3456" s="214"/>
      <c r="X3456" s="388">
        <v>44531</v>
      </c>
      <c r="Y3456" s="388">
        <v>46721</v>
      </c>
    </row>
    <row r="3457" s="5" customFormat="1" customHeight="1" spans="1:25">
      <c r="A3457" s="203" t="s">
        <v>446</v>
      </c>
      <c r="B3457" s="204" t="s">
        <v>4284</v>
      </c>
      <c r="C3457" s="204" t="s">
        <v>63</v>
      </c>
      <c r="D3457" s="204" t="s">
        <v>3038</v>
      </c>
      <c r="E3457" s="205" t="s">
        <v>4285</v>
      </c>
      <c r="F3457" s="203" t="s">
        <v>4286</v>
      </c>
      <c r="G3457" s="203" t="s">
        <v>88</v>
      </c>
      <c r="H3457" s="25" t="s">
        <v>4531</v>
      </c>
      <c r="I3457" s="46" t="e">
        <f>VLOOKUP(H3457,'合同高级查询数据-4月返'!A:A,1,FALSE)</f>
        <v>#N/A</v>
      </c>
      <c r="J3457" s="47" t="s">
        <v>3488</v>
      </c>
      <c r="K3457" s="290" t="s">
        <v>4532</v>
      </c>
      <c r="L3457" s="206"/>
      <c r="M3457" s="49" t="s">
        <v>4369</v>
      </c>
      <c r="N3457" s="73">
        <v>44532</v>
      </c>
      <c r="O3457" s="73" t="s">
        <v>503</v>
      </c>
      <c r="P3457" s="396">
        <v>6300</v>
      </c>
      <c r="Q3457" s="385">
        <v>1</v>
      </c>
      <c r="R3457" s="386">
        <f t="shared" si="111"/>
        <v>6300</v>
      </c>
      <c r="S3457" s="279">
        <v>202304</v>
      </c>
      <c r="T3457" s="184" t="s">
        <v>4534</v>
      </c>
      <c r="U3457" s="213"/>
      <c r="V3457" s="387"/>
      <c r="W3457" s="214"/>
      <c r="X3457" s="388">
        <v>44531</v>
      </c>
      <c r="Y3457" s="388">
        <v>46721</v>
      </c>
    </row>
    <row r="3458" s="5" customFormat="1" customHeight="1" spans="1:25">
      <c r="A3458" s="203" t="s">
        <v>446</v>
      </c>
      <c r="B3458" s="204" t="s">
        <v>4284</v>
      </c>
      <c r="C3458" s="204" t="s">
        <v>63</v>
      </c>
      <c r="D3458" s="204" t="s">
        <v>3038</v>
      </c>
      <c r="E3458" s="205" t="s">
        <v>4285</v>
      </c>
      <c r="F3458" s="203" t="s">
        <v>4286</v>
      </c>
      <c r="G3458" s="203" t="s">
        <v>88</v>
      </c>
      <c r="H3458" s="25" t="s">
        <v>4531</v>
      </c>
      <c r="I3458" s="46" t="e">
        <f>VLOOKUP(H3458,'合同高级查询数据-4月返'!A:A,1,FALSE)</f>
        <v>#N/A</v>
      </c>
      <c r="J3458" s="47" t="s">
        <v>3488</v>
      </c>
      <c r="K3458" s="290" t="s">
        <v>4532</v>
      </c>
      <c r="L3458" s="206"/>
      <c r="M3458" s="49" t="s">
        <v>4369</v>
      </c>
      <c r="N3458" s="73">
        <v>44533</v>
      </c>
      <c r="O3458" s="73" t="s">
        <v>503</v>
      </c>
      <c r="P3458" s="396">
        <v>6300</v>
      </c>
      <c r="Q3458" s="385">
        <v>32</v>
      </c>
      <c r="R3458" s="386">
        <f t="shared" si="111"/>
        <v>201600</v>
      </c>
      <c r="S3458" s="279">
        <v>202304</v>
      </c>
      <c r="T3458" s="184" t="s">
        <v>4535</v>
      </c>
      <c r="U3458" s="213"/>
      <c r="V3458" s="387"/>
      <c r="W3458" s="214"/>
      <c r="X3458" s="388">
        <v>44531</v>
      </c>
      <c r="Y3458" s="388">
        <v>46721</v>
      </c>
    </row>
    <row r="3459" s="5" customFormat="1" customHeight="1" spans="1:25">
      <c r="A3459" s="203" t="s">
        <v>446</v>
      </c>
      <c r="B3459" s="204" t="s">
        <v>4284</v>
      </c>
      <c r="C3459" s="204" t="s">
        <v>63</v>
      </c>
      <c r="D3459" s="204" t="s">
        <v>3038</v>
      </c>
      <c r="E3459" s="205" t="s">
        <v>4285</v>
      </c>
      <c r="F3459" s="203" t="s">
        <v>4286</v>
      </c>
      <c r="G3459" s="203" t="s">
        <v>88</v>
      </c>
      <c r="H3459" s="25" t="s">
        <v>4531</v>
      </c>
      <c r="I3459" s="46" t="e">
        <f>VLOOKUP(H3459,'合同高级查询数据-4月返'!A:A,1,FALSE)</f>
        <v>#N/A</v>
      </c>
      <c r="J3459" s="47" t="s">
        <v>3488</v>
      </c>
      <c r="K3459" s="290" t="s">
        <v>4532</v>
      </c>
      <c r="L3459" s="206"/>
      <c r="M3459" s="49" t="s">
        <v>4369</v>
      </c>
      <c r="N3459" s="73">
        <v>44536</v>
      </c>
      <c r="O3459" s="73" t="s">
        <v>503</v>
      </c>
      <c r="P3459" s="396">
        <v>6300</v>
      </c>
      <c r="Q3459" s="385">
        <v>49</v>
      </c>
      <c r="R3459" s="386">
        <f t="shared" si="111"/>
        <v>308700</v>
      </c>
      <c r="S3459" s="279">
        <v>202304</v>
      </c>
      <c r="T3459" s="184" t="s">
        <v>4536</v>
      </c>
      <c r="U3459" s="213"/>
      <c r="V3459" s="387"/>
      <c r="W3459" s="214"/>
      <c r="X3459" s="388">
        <v>44531</v>
      </c>
      <c r="Y3459" s="388">
        <v>46721</v>
      </c>
    </row>
    <row r="3460" s="5" customFormat="1" customHeight="1" spans="1:25">
      <c r="A3460" s="203" t="s">
        <v>446</v>
      </c>
      <c r="B3460" s="204" t="s">
        <v>4284</v>
      </c>
      <c r="C3460" s="204" t="s">
        <v>63</v>
      </c>
      <c r="D3460" s="204" t="s">
        <v>3038</v>
      </c>
      <c r="E3460" s="205" t="s">
        <v>4285</v>
      </c>
      <c r="F3460" s="203" t="s">
        <v>4286</v>
      </c>
      <c r="G3460" s="203" t="s">
        <v>88</v>
      </c>
      <c r="H3460" s="25" t="s">
        <v>4531</v>
      </c>
      <c r="I3460" s="46" t="e">
        <f>VLOOKUP(H3460,'合同高级查询数据-4月返'!A:A,1,FALSE)</f>
        <v>#N/A</v>
      </c>
      <c r="J3460" s="47" t="s">
        <v>3488</v>
      </c>
      <c r="K3460" s="290" t="s">
        <v>4532</v>
      </c>
      <c r="L3460" s="206"/>
      <c r="M3460" s="49" t="s">
        <v>4369</v>
      </c>
      <c r="N3460" s="73">
        <v>44537</v>
      </c>
      <c r="O3460" s="73" t="s">
        <v>503</v>
      </c>
      <c r="P3460" s="396">
        <v>6300</v>
      </c>
      <c r="Q3460" s="385">
        <v>112</v>
      </c>
      <c r="R3460" s="386">
        <f t="shared" si="111"/>
        <v>705600</v>
      </c>
      <c r="S3460" s="279">
        <v>202304</v>
      </c>
      <c r="T3460" s="184" t="s">
        <v>4537</v>
      </c>
      <c r="U3460" s="213"/>
      <c r="V3460" s="387"/>
      <c r="W3460" s="214"/>
      <c r="X3460" s="388">
        <v>44531</v>
      </c>
      <c r="Y3460" s="388">
        <v>46721</v>
      </c>
    </row>
    <row r="3461" s="5" customFormat="1" customHeight="1" spans="1:25">
      <c r="A3461" s="203" t="s">
        <v>446</v>
      </c>
      <c r="B3461" s="204" t="s">
        <v>4284</v>
      </c>
      <c r="C3461" s="204" t="s">
        <v>63</v>
      </c>
      <c r="D3461" s="204" t="s">
        <v>3038</v>
      </c>
      <c r="E3461" s="205" t="s">
        <v>4285</v>
      </c>
      <c r="F3461" s="203" t="s">
        <v>4286</v>
      </c>
      <c r="G3461" s="203" t="s">
        <v>88</v>
      </c>
      <c r="H3461" s="25" t="s">
        <v>4531</v>
      </c>
      <c r="I3461" s="46" t="e">
        <f>VLOOKUP(H3461,'合同高级查询数据-4月返'!A:A,1,FALSE)</f>
        <v>#N/A</v>
      </c>
      <c r="J3461" s="47" t="s">
        <v>3488</v>
      </c>
      <c r="K3461" s="290" t="s">
        <v>4532</v>
      </c>
      <c r="L3461" s="206"/>
      <c r="M3461" s="49" t="s">
        <v>4369</v>
      </c>
      <c r="N3461" s="73">
        <v>44539</v>
      </c>
      <c r="O3461" s="73" t="s">
        <v>503</v>
      </c>
      <c r="P3461" s="396">
        <v>6300</v>
      </c>
      <c r="Q3461" s="385">
        <v>3</v>
      </c>
      <c r="R3461" s="386">
        <f t="shared" si="111"/>
        <v>18900</v>
      </c>
      <c r="S3461" s="279">
        <v>202304</v>
      </c>
      <c r="T3461" s="184" t="s">
        <v>4538</v>
      </c>
      <c r="U3461" s="213"/>
      <c r="V3461" s="387"/>
      <c r="W3461" s="214"/>
      <c r="X3461" s="388">
        <v>44531</v>
      </c>
      <c r="Y3461" s="388">
        <v>46721</v>
      </c>
    </row>
    <row r="3462" s="5" customFormat="1" customHeight="1" spans="1:25">
      <c r="A3462" s="203" t="s">
        <v>446</v>
      </c>
      <c r="B3462" s="204" t="s">
        <v>4284</v>
      </c>
      <c r="C3462" s="204" t="s">
        <v>63</v>
      </c>
      <c r="D3462" s="204" t="s">
        <v>3038</v>
      </c>
      <c r="E3462" s="205" t="s">
        <v>4285</v>
      </c>
      <c r="F3462" s="203" t="s">
        <v>4286</v>
      </c>
      <c r="G3462" s="203" t="s">
        <v>88</v>
      </c>
      <c r="H3462" s="25" t="s">
        <v>4531</v>
      </c>
      <c r="I3462" s="46" t="e">
        <f>VLOOKUP(H3462,'合同高级查询数据-4月返'!A:A,1,FALSE)</f>
        <v>#N/A</v>
      </c>
      <c r="J3462" s="47" t="s">
        <v>3488</v>
      </c>
      <c r="K3462" s="290" t="s">
        <v>4532</v>
      </c>
      <c r="L3462" s="206"/>
      <c r="M3462" s="49" t="s">
        <v>4369</v>
      </c>
      <c r="N3462" s="73">
        <v>44540</v>
      </c>
      <c r="O3462" s="73" t="s">
        <v>503</v>
      </c>
      <c r="P3462" s="396">
        <v>6300</v>
      </c>
      <c r="Q3462" s="385">
        <v>11</v>
      </c>
      <c r="R3462" s="386">
        <f t="shared" si="111"/>
        <v>69300</v>
      </c>
      <c r="S3462" s="279">
        <v>202304</v>
      </c>
      <c r="T3462" s="184" t="s">
        <v>4539</v>
      </c>
      <c r="U3462" s="213"/>
      <c r="V3462" s="387"/>
      <c r="W3462" s="214"/>
      <c r="X3462" s="388">
        <v>44531</v>
      </c>
      <c r="Y3462" s="388">
        <v>46721</v>
      </c>
    </row>
    <row r="3463" s="5" customFormat="1" customHeight="1" spans="1:25">
      <c r="A3463" s="203" t="s">
        <v>446</v>
      </c>
      <c r="B3463" s="204" t="s">
        <v>4284</v>
      </c>
      <c r="C3463" s="204" t="s">
        <v>63</v>
      </c>
      <c r="D3463" s="204" t="s">
        <v>3038</v>
      </c>
      <c r="E3463" s="205" t="s">
        <v>4285</v>
      </c>
      <c r="F3463" s="203" t="s">
        <v>4286</v>
      </c>
      <c r="G3463" s="203" t="s">
        <v>88</v>
      </c>
      <c r="H3463" s="25" t="s">
        <v>4531</v>
      </c>
      <c r="I3463" s="46" t="e">
        <f>VLOOKUP(H3463,'合同高级查询数据-4月返'!A:A,1,FALSE)</f>
        <v>#N/A</v>
      </c>
      <c r="J3463" s="47" t="s">
        <v>3488</v>
      </c>
      <c r="K3463" s="290" t="s">
        <v>4532</v>
      </c>
      <c r="L3463" s="206"/>
      <c r="M3463" s="49" t="s">
        <v>4369</v>
      </c>
      <c r="N3463" s="73">
        <v>44541</v>
      </c>
      <c r="O3463" s="73" t="s">
        <v>503</v>
      </c>
      <c r="P3463" s="396">
        <v>6300</v>
      </c>
      <c r="Q3463" s="385">
        <v>3</v>
      </c>
      <c r="R3463" s="386">
        <f t="shared" si="111"/>
        <v>18900</v>
      </c>
      <c r="S3463" s="279">
        <v>202304</v>
      </c>
      <c r="T3463" s="184" t="s">
        <v>4540</v>
      </c>
      <c r="U3463" s="213"/>
      <c r="V3463" s="387"/>
      <c r="W3463" s="214"/>
      <c r="X3463" s="388">
        <v>44531</v>
      </c>
      <c r="Y3463" s="388">
        <v>46721</v>
      </c>
    </row>
    <row r="3464" s="5" customFormat="1" customHeight="1" spans="1:25">
      <c r="A3464" s="203" t="s">
        <v>446</v>
      </c>
      <c r="B3464" s="204" t="s">
        <v>4284</v>
      </c>
      <c r="C3464" s="204" t="s">
        <v>63</v>
      </c>
      <c r="D3464" s="204" t="s">
        <v>3038</v>
      </c>
      <c r="E3464" s="205" t="s">
        <v>4285</v>
      </c>
      <c r="F3464" s="203" t="s">
        <v>4286</v>
      </c>
      <c r="G3464" s="203" t="s">
        <v>88</v>
      </c>
      <c r="H3464" s="25" t="s">
        <v>4531</v>
      </c>
      <c r="I3464" s="46" t="e">
        <f>VLOOKUP(H3464,'合同高级查询数据-4月返'!A:A,1,FALSE)</f>
        <v>#N/A</v>
      </c>
      <c r="J3464" s="47" t="s">
        <v>3488</v>
      </c>
      <c r="K3464" s="290" t="s">
        <v>4532</v>
      </c>
      <c r="L3464" s="206"/>
      <c r="M3464" s="49" t="s">
        <v>4369</v>
      </c>
      <c r="N3464" s="73">
        <v>44542</v>
      </c>
      <c r="O3464" s="73" t="s">
        <v>503</v>
      </c>
      <c r="P3464" s="396">
        <v>6300</v>
      </c>
      <c r="Q3464" s="385">
        <v>6</v>
      </c>
      <c r="R3464" s="386">
        <f t="shared" si="111"/>
        <v>37800</v>
      </c>
      <c r="S3464" s="279">
        <v>202304</v>
      </c>
      <c r="T3464" s="184" t="s">
        <v>4541</v>
      </c>
      <c r="U3464" s="213"/>
      <c r="V3464" s="387"/>
      <c r="W3464" s="214"/>
      <c r="X3464" s="388">
        <v>44531</v>
      </c>
      <c r="Y3464" s="388">
        <v>46721</v>
      </c>
    </row>
    <row r="3465" s="5" customFormat="1" customHeight="1" spans="1:25">
      <c r="A3465" s="203" t="s">
        <v>446</v>
      </c>
      <c r="B3465" s="204" t="s">
        <v>4284</v>
      </c>
      <c r="C3465" s="204" t="s">
        <v>63</v>
      </c>
      <c r="D3465" s="204" t="s">
        <v>3038</v>
      </c>
      <c r="E3465" s="205" t="s">
        <v>4285</v>
      </c>
      <c r="F3465" s="203" t="s">
        <v>4286</v>
      </c>
      <c r="G3465" s="203" t="s">
        <v>88</v>
      </c>
      <c r="H3465" s="25" t="s">
        <v>4531</v>
      </c>
      <c r="I3465" s="46" t="e">
        <f>VLOOKUP(H3465,'合同高级查询数据-4月返'!A:A,1,FALSE)</f>
        <v>#N/A</v>
      </c>
      <c r="J3465" s="47" t="s">
        <v>3488</v>
      </c>
      <c r="K3465" s="290" t="s">
        <v>4532</v>
      </c>
      <c r="L3465" s="206"/>
      <c r="M3465" s="49" t="s">
        <v>4369</v>
      </c>
      <c r="N3465" s="73">
        <v>44545</v>
      </c>
      <c r="O3465" s="73" t="s">
        <v>503</v>
      </c>
      <c r="P3465" s="396">
        <v>6300</v>
      </c>
      <c r="Q3465" s="385">
        <v>17</v>
      </c>
      <c r="R3465" s="386">
        <f t="shared" si="111"/>
        <v>107100</v>
      </c>
      <c r="S3465" s="279">
        <v>202304</v>
      </c>
      <c r="T3465" s="184" t="s">
        <v>4542</v>
      </c>
      <c r="U3465" s="213"/>
      <c r="V3465" s="387"/>
      <c r="W3465" s="214"/>
      <c r="X3465" s="388">
        <v>44531</v>
      </c>
      <c r="Y3465" s="388">
        <v>46721</v>
      </c>
    </row>
    <row r="3466" s="5" customFormat="1" customHeight="1" spans="1:25">
      <c r="A3466" s="203" t="s">
        <v>446</v>
      </c>
      <c r="B3466" s="204" t="s">
        <v>4284</v>
      </c>
      <c r="C3466" s="204" t="s">
        <v>63</v>
      </c>
      <c r="D3466" s="204" t="s">
        <v>3038</v>
      </c>
      <c r="E3466" s="205" t="s">
        <v>4285</v>
      </c>
      <c r="F3466" s="203" t="s">
        <v>4286</v>
      </c>
      <c r="G3466" s="203" t="s">
        <v>88</v>
      </c>
      <c r="H3466" s="25" t="s">
        <v>4531</v>
      </c>
      <c r="I3466" s="46" t="e">
        <f>VLOOKUP(H3466,'合同高级查询数据-4月返'!A:A,1,FALSE)</f>
        <v>#N/A</v>
      </c>
      <c r="J3466" s="47" t="s">
        <v>3488</v>
      </c>
      <c r="K3466" s="290" t="s">
        <v>4532</v>
      </c>
      <c r="L3466" s="206"/>
      <c r="M3466" s="49" t="s">
        <v>4369</v>
      </c>
      <c r="N3466" s="73">
        <v>44551</v>
      </c>
      <c r="O3466" s="73" t="s">
        <v>503</v>
      </c>
      <c r="P3466" s="396">
        <v>6300</v>
      </c>
      <c r="Q3466" s="385">
        <v>14</v>
      </c>
      <c r="R3466" s="386">
        <f t="shared" si="111"/>
        <v>88200</v>
      </c>
      <c r="S3466" s="279">
        <v>202304</v>
      </c>
      <c r="T3466" s="184" t="s">
        <v>4543</v>
      </c>
      <c r="U3466" s="213"/>
      <c r="V3466" s="387"/>
      <c r="W3466" s="214"/>
      <c r="X3466" s="388">
        <v>44531</v>
      </c>
      <c r="Y3466" s="388">
        <v>46721</v>
      </c>
    </row>
    <row r="3467" s="5" customFormat="1" customHeight="1" spans="1:25">
      <c r="A3467" s="203" t="s">
        <v>446</v>
      </c>
      <c r="B3467" s="204" t="s">
        <v>4284</v>
      </c>
      <c r="C3467" s="204" t="s">
        <v>63</v>
      </c>
      <c r="D3467" s="204" t="s">
        <v>3038</v>
      </c>
      <c r="E3467" s="205" t="s">
        <v>4285</v>
      </c>
      <c r="F3467" s="203" t="s">
        <v>4286</v>
      </c>
      <c r="G3467" s="203" t="s">
        <v>88</v>
      </c>
      <c r="H3467" s="25" t="s">
        <v>4531</v>
      </c>
      <c r="I3467" s="46" t="e">
        <f>VLOOKUP(H3467,'合同高级查询数据-4月返'!A:A,1,FALSE)</f>
        <v>#N/A</v>
      </c>
      <c r="J3467" s="47" t="s">
        <v>3488</v>
      </c>
      <c r="K3467" s="290" t="s">
        <v>4532</v>
      </c>
      <c r="L3467" s="206"/>
      <c r="M3467" s="49" t="s">
        <v>4369</v>
      </c>
      <c r="N3467" s="73">
        <v>44553</v>
      </c>
      <c r="O3467" s="73" t="s">
        <v>503</v>
      </c>
      <c r="P3467" s="396">
        <v>6300</v>
      </c>
      <c r="Q3467" s="385">
        <v>46</v>
      </c>
      <c r="R3467" s="386">
        <f t="shared" si="111"/>
        <v>289800</v>
      </c>
      <c r="S3467" s="279">
        <v>202304</v>
      </c>
      <c r="T3467" s="184" t="s">
        <v>4544</v>
      </c>
      <c r="U3467" s="213"/>
      <c r="V3467" s="387"/>
      <c r="W3467" s="214"/>
      <c r="X3467" s="388">
        <v>44531</v>
      </c>
      <c r="Y3467" s="388">
        <v>46721</v>
      </c>
    </row>
    <row r="3468" s="5" customFormat="1" customHeight="1" spans="1:25">
      <c r="A3468" s="203" t="s">
        <v>446</v>
      </c>
      <c r="B3468" s="204" t="s">
        <v>4284</v>
      </c>
      <c r="C3468" s="204" t="s">
        <v>63</v>
      </c>
      <c r="D3468" s="204" t="s">
        <v>3038</v>
      </c>
      <c r="E3468" s="205" t="s">
        <v>4285</v>
      </c>
      <c r="F3468" s="203" t="s">
        <v>4286</v>
      </c>
      <c r="G3468" s="203" t="s">
        <v>88</v>
      </c>
      <c r="H3468" s="25" t="s">
        <v>4531</v>
      </c>
      <c r="I3468" s="46" t="e">
        <f>VLOOKUP(H3468,'合同高级查询数据-4月返'!A:A,1,FALSE)</f>
        <v>#N/A</v>
      </c>
      <c r="J3468" s="47" t="s">
        <v>3488</v>
      </c>
      <c r="K3468" s="290" t="s">
        <v>4532</v>
      </c>
      <c r="L3468" s="206"/>
      <c r="M3468" s="49" t="s">
        <v>4369</v>
      </c>
      <c r="N3468" s="73">
        <v>44559</v>
      </c>
      <c r="O3468" s="73" t="s">
        <v>503</v>
      </c>
      <c r="P3468" s="396">
        <v>6300</v>
      </c>
      <c r="Q3468" s="385">
        <v>75</v>
      </c>
      <c r="R3468" s="386">
        <f t="shared" si="111"/>
        <v>472500</v>
      </c>
      <c r="S3468" s="279">
        <v>202304</v>
      </c>
      <c r="T3468" s="184" t="s">
        <v>4545</v>
      </c>
      <c r="U3468" s="213"/>
      <c r="V3468" s="387"/>
      <c r="W3468" s="214"/>
      <c r="X3468" s="388">
        <v>44531</v>
      </c>
      <c r="Y3468" s="388">
        <v>46721</v>
      </c>
    </row>
    <row r="3469" s="5" customFormat="1" customHeight="1" spans="1:25">
      <c r="A3469" s="203" t="s">
        <v>446</v>
      </c>
      <c r="B3469" s="204" t="s">
        <v>4284</v>
      </c>
      <c r="C3469" s="204" t="s">
        <v>63</v>
      </c>
      <c r="D3469" s="204" t="s">
        <v>3038</v>
      </c>
      <c r="E3469" s="205" t="s">
        <v>4285</v>
      </c>
      <c r="F3469" s="203" t="s">
        <v>4286</v>
      </c>
      <c r="G3469" s="203" t="s">
        <v>88</v>
      </c>
      <c r="H3469" s="25" t="s">
        <v>4531</v>
      </c>
      <c r="I3469" s="46" t="e">
        <f>VLOOKUP(H3469,'合同高级查询数据-4月返'!A:A,1,FALSE)</f>
        <v>#N/A</v>
      </c>
      <c r="J3469" s="47" t="s">
        <v>3488</v>
      </c>
      <c r="K3469" s="290" t="s">
        <v>4532</v>
      </c>
      <c r="L3469" s="206"/>
      <c r="M3469" s="49" t="s">
        <v>4369</v>
      </c>
      <c r="N3469" s="73">
        <v>44561</v>
      </c>
      <c r="O3469" s="73" t="s">
        <v>503</v>
      </c>
      <c r="P3469" s="396">
        <v>6300</v>
      </c>
      <c r="Q3469" s="385">
        <v>6</v>
      </c>
      <c r="R3469" s="386">
        <f t="shared" si="111"/>
        <v>37800</v>
      </c>
      <c r="S3469" s="279">
        <v>202304</v>
      </c>
      <c r="T3469" s="184" t="s">
        <v>4546</v>
      </c>
      <c r="U3469" s="213"/>
      <c r="V3469" s="387"/>
      <c r="W3469" s="214"/>
      <c r="X3469" s="388">
        <v>44531</v>
      </c>
      <c r="Y3469" s="388">
        <v>46721</v>
      </c>
    </row>
    <row r="3470" s="5" customFormat="1" customHeight="1" spans="1:25">
      <c r="A3470" s="203" t="s">
        <v>446</v>
      </c>
      <c r="B3470" s="204" t="s">
        <v>4284</v>
      </c>
      <c r="C3470" s="204" t="s">
        <v>63</v>
      </c>
      <c r="D3470" s="204" t="s">
        <v>3038</v>
      </c>
      <c r="E3470" s="205" t="s">
        <v>4285</v>
      </c>
      <c r="F3470" s="203" t="s">
        <v>4286</v>
      </c>
      <c r="G3470" s="203" t="s">
        <v>88</v>
      </c>
      <c r="H3470" s="25" t="s">
        <v>4531</v>
      </c>
      <c r="I3470" s="46" t="e">
        <f>VLOOKUP(H3470,'合同高级查询数据-4月返'!A:A,1,FALSE)</f>
        <v>#N/A</v>
      </c>
      <c r="J3470" s="47" t="s">
        <v>3488</v>
      </c>
      <c r="K3470" s="290" t="s">
        <v>4532</v>
      </c>
      <c r="L3470" s="206"/>
      <c r="M3470" s="49" t="s">
        <v>4369</v>
      </c>
      <c r="N3470" s="73">
        <v>44565</v>
      </c>
      <c r="O3470" s="73" t="s">
        <v>503</v>
      </c>
      <c r="P3470" s="396">
        <v>6300</v>
      </c>
      <c r="Q3470" s="385">
        <v>10</v>
      </c>
      <c r="R3470" s="207">
        <f t="shared" si="111"/>
        <v>63000</v>
      </c>
      <c r="S3470" s="279">
        <v>202304</v>
      </c>
      <c r="T3470" s="184" t="s">
        <v>4547</v>
      </c>
      <c r="U3470" s="213"/>
      <c r="V3470" s="387"/>
      <c r="W3470" s="214"/>
      <c r="X3470" s="388">
        <v>44531</v>
      </c>
      <c r="Y3470" s="388">
        <v>46721</v>
      </c>
    </row>
    <row r="3471" s="5" customFormat="1" customHeight="1" spans="1:25">
      <c r="A3471" s="203" t="s">
        <v>446</v>
      </c>
      <c r="B3471" s="204" t="s">
        <v>4284</v>
      </c>
      <c r="C3471" s="204" t="s">
        <v>63</v>
      </c>
      <c r="D3471" s="204" t="s">
        <v>3038</v>
      </c>
      <c r="E3471" s="205" t="s">
        <v>4285</v>
      </c>
      <c r="F3471" s="203" t="s">
        <v>4286</v>
      </c>
      <c r="G3471" s="203" t="s">
        <v>88</v>
      </c>
      <c r="H3471" s="25" t="s">
        <v>4531</v>
      </c>
      <c r="I3471" s="46" t="e">
        <f>VLOOKUP(H3471,'合同高级查询数据-4月返'!A:A,1,FALSE)</f>
        <v>#N/A</v>
      </c>
      <c r="J3471" s="47" t="s">
        <v>3488</v>
      </c>
      <c r="K3471" s="290" t="s">
        <v>4532</v>
      </c>
      <c r="L3471" s="206"/>
      <c r="M3471" s="49" t="s">
        <v>4369</v>
      </c>
      <c r="N3471" s="73">
        <v>44566</v>
      </c>
      <c r="O3471" s="73" t="s">
        <v>503</v>
      </c>
      <c r="P3471" s="396">
        <v>6300</v>
      </c>
      <c r="Q3471" s="385">
        <v>2</v>
      </c>
      <c r="R3471" s="207">
        <f t="shared" si="111"/>
        <v>12600</v>
      </c>
      <c r="S3471" s="279">
        <v>202304</v>
      </c>
      <c r="T3471" s="184" t="s">
        <v>4548</v>
      </c>
      <c r="U3471" s="213"/>
      <c r="V3471" s="387"/>
      <c r="W3471" s="214"/>
      <c r="X3471" s="388">
        <v>44531</v>
      </c>
      <c r="Y3471" s="388">
        <v>46721</v>
      </c>
    </row>
    <row r="3472" s="5" customFormat="1" customHeight="1" spans="1:25">
      <c r="A3472" s="203" t="s">
        <v>446</v>
      </c>
      <c r="B3472" s="204" t="s">
        <v>4284</v>
      </c>
      <c r="C3472" s="204" t="s">
        <v>63</v>
      </c>
      <c r="D3472" s="204" t="s">
        <v>3038</v>
      </c>
      <c r="E3472" s="205" t="s">
        <v>4285</v>
      </c>
      <c r="F3472" s="203" t="s">
        <v>4286</v>
      </c>
      <c r="G3472" s="203" t="s">
        <v>88</v>
      </c>
      <c r="H3472" s="25" t="s">
        <v>4531</v>
      </c>
      <c r="I3472" s="46" t="e">
        <f>VLOOKUP(H3472,'合同高级查询数据-4月返'!A:A,1,FALSE)</f>
        <v>#N/A</v>
      </c>
      <c r="J3472" s="47" t="s">
        <v>3488</v>
      </c>
      <c r="K3472" s="290" t="s">
        <v>4532</v>
      </c>
      <c r="L3472" s="206"/>
      <c r="M3472" s="49" t="s">
        <v>4369</v>
      </c>
      <c r="N3472" s="73">
        <v>44568</v>
      </c>
      <c r="O3472" s="73" t="s">
        <v>503</v>
      </c>
      <c r="P3472" s="396">
        <v>6300</v>
      </c>
      <c r="Q3472" s="385">
        <v>4</v>
      </c>
      <c r="R3472" s="207">
        <f t="shared" si="111"/>
        <v>25200</v>
      </c>
      <c r="S3472" s="279">
        <v>202304</v>
      </c>
      <c r="T3472" s="184" t="s">
        <v>4549</v>
      </c>
      <c r="U3472" s="213"/>
      <c r="V3472" s="387"/>
      <c r="W3472" s="214"/>
      <c r="X3472" s="388">
        <v>44531</v>
      </c>
      <c r="Y3472" s="388">
        <v>46721</v>
      </c>
    </row>
    <row r="3473" s="5" customFormat="1" customHeight="1" spans="1:25">
      <c r="A3473" s="203" t="s">
        <v>446</v>
      </c>
      <c r="B3473" s="204" t="s">
        <v>4284</v>
      </c>
      <c r="C3473" s="204" t="s">
        <v>63</v>
      </c>
      <c r="D3473" s="204" t="s">
        <v>3038</v>
      </c>
      <c r="E3473" s="205" t="s">
        <v>4285</v>
      </c>
      <c r="F3473" s="203" t="s">
        <v>4286</v>
      </c>
      <c r="G3473" s="203" t="s">
        <v>88</v>
      </c>
      <c r="H3473" s="25" t="s">
        <v>4531</v>
      </c>
      <c r="I3473" s="46" t="e">
        <f>VLOOKUP(H3473,'合同高级查询数据-4月返'!A:A,1,FALSE)</f>
        <v>#N/A</v>
      </c>
      <c r="J3473" s="47" t="s">
        <v>3488</v>
      </c>
      <c r="K3473" s="290" t="s">
        <v>4532</v>
      </c>
      <c r="L3473" s="206"/>
      <c r="M3473" s="49" t="s">
        <v>4369</v>
      </c>
      <c r="N3473" s="73">
        <v>44574</v>
      </c>
      <c r="O3473" s="73" t="s">
        <v>503</v>
      </c>
      <c r="P3473" s="396">
        <v>6300</v>
      </c>
      <c r="Q3473" s="385">
        <v>18</v>
      </c>
      <c r="R3473" s="207">
        <f t="shared" si="111"/>
        <v>113400</v>
      </c>
      <c r="S3473" s="279">
        <v>202304</v>
      </c>
      <c r="T3473" s="184" t="s">
        <v>4550</v>
      </c>
      <c r="U3473" s="213"/>
      <c r="V3473" s="387"/>
      <c r="W3473" s="214"/>
      <c r="X3473" s="388">
        <v>44531</v>
      </c>
      <c r="Y3473" s="388">
        <v>46721</v>
      </c>
    </row>
    <row r="3474" s="5" customFormat="1" customHeight="1" spans="1:25">
      <c r="A3474" s="203" t="s">
        <v>446</v>
      </c>
      <c r="B3474" s="204" t="s">
        <v>4284</v>
      </c>
      <c r="C3474" s="204" t="s">
        <v>63</v>
      </c>
      <c r="D3474" s="204" t="s">
        <v>3038</v>
      </c>
      <c r="E3474" s="205" t="s">
        <v>4285</v>
      </c>
      <c r="F3474" s="203" t="s">
        <v>4286</v>
      </c>
      <c r="G3474" s="203" t="s">
        <v>88</v>
      </c>
      <c r="H3474" s="25" t="s">
        <v>4531</v>
      </c>
      <c r="I3474" s="46" t="e">
        <f>VLOOKUP(H3474,'合同高级查询数据-4月返'!A:A,1,FALSE)</f>
        <v>#N/A</v>
      </c>
      <c r="J3474" s="47" t="s">
        <v>3488</v>
      </c>
      <c r="K3474" s="290" t="s">
        <v>4532</v>
      </c>
      <c r="L3474" s="206"/>
      <c r="M3474" s="49" t="s">
        <v>4369</v>
      </c>
      <c r="N3474" s="73">
        <v>44576</v>
      </c>
      <c r="O3474" s="73" t="s">
        <v>503</v>
      </c>
      <c r="P3474" s="396">
        <v>6300</v>
      </c>
      <c r="Q3474" s="385">
        <v>5</v>
      </c>
      <c r="R3474" s="207">
        <f t="shared" si="111"/>
        <v>31500</v>
      </c>
      <c r="S3474" s="279">
        <v>202304</v>
      </c>
      <c r="T3474" s="184" t="s">
        <v>4551</v>
      </c>
      <c r="U3474" s="213"/>
      <c r="V3474" s="387"/>
      <c r="W3474" s="214"/>
      <c r="X3474" s="388">
        <v>44531</v>
      </c>
      <c r="Y3474" s="388">
        <v>46721</v>
      </c>
    </row>
    <row r="3475" s="5" customFormat="1" customHeight="1" spans="1:25">
      <c r="A3475" s="203" t="s">
        <v>446</v>
      </c>
      <c r="B3475" s="204" t="s">
        <v>4284</v>
      </c>
      <c r="C3475" s="204" t="s">
        <v>63</v>
      </c>
      <c r="D3475" s="204" t="s">
        <v>3038</v>
      </c>
      <c r="E3475" s="205" t="s">
        <v>4285</v>
      </c>
      <c r="F3475" s="203" t="s">
        <v>4286</v>
      </c>
      <c r="G3475" s="203" t="s">
        <v>88</v>
      </c>
      <c r="H3475" s="25" t="s">
        <v>4531</v>
      </c>
      <c r="I3475" s="46" t="e">
        <f>VLOOKUP(H3475,'合同高级查询数据-4月返'!A:A,1,FALSE)</f>
        <v>#N/A</v>
      </c>
      <c r="J3475" s="47" t="s">
        <v>3488</v>
      </c>
      <c r="K3475" s="290" t="s">
        <v>4532</v>
      </c>
      <c r="L3475" s="206"/>
      <c r="M3475" s="49" t="s">
        <v>4369</v>
      </c>
      <c r="N3475" s="73">
        <v>44580</v>
      </c>
      <c r="O3475" s="73" t="s">
        <v>503</v>
      </c>
      <c r="P3475" s="396">
        <v>6300</v>
      </c>
      <c r="Q3475" s="385">
        <v>20</v>
      </c>
      <c r="R3475" s="207">
        <f t="shared" si="111"/>
        <v>126000</v>
      </c>
      <c r="S3475" s="279">
        <v>202304</v>
      </c>
      <c r="T3475" s="184" t="s">
        <v>4552</v>
      </c>
      <c r="U3475" s="213"/>
      <c r="V3475" s="387"/>
      <c r="W3475" s="214"/>
      <c r="X3475" s="388">
        <v>44531</v>
      </c>
      <c r="Y3475" s="388">
        <v>46721</v>
      </c>
    </row>
    <row r="3476" s="5" customFormat="1" customHeight="1" spans="1:25">
      <c r="A3476" s="203" t="s">
        <v>446</v>
      </c>
      <c r="B3476" s="204" t="s">
        <v>4284</v>
      </c>
      <c r="C3476" s="204" t="s">
        <v>63</v>
      </c>
      <c r="D3476" s="204" t="s">
        <v>3038</v>
      </c>
      <c r="E3476" s="205" t="s">
        <v>4285</v>
      </c>
      <c r="F3476" s="203" t="s">
        <v>4286</v>
      </c>
      <c r="G3476" s="203" t="s">
        <v>88</v>
      </c>
      <c r="H3476" s="25" t="s">
        <v>4531</v>
      </c>
      <c r="I3476" s="46" t="e">
        <f>VLOOKUP(H3476,'合同高级查询数据-4月返'!A:A,1,FALSE)</f>
        <v>#N/A</v>
      </c>
      <c r="J3476" s="47" t="s">
        <v>3488</v>
      </c>
      <c r="K3476" s="290" t="s">
        <v>4532</v>
      </c>
      <c r="L3476" s="206"/>
      <c r="M3476" s="49" t="s">
        <v>4369</v>
      </c>
      <c r="N3476" s="73">
        <v>44582</v>
      </c>
      <c r="O3476" s="73" t="s">
        <v>503</v>
      </c>
      <c r="P3476" s="396">
        <v>6300</v>
      </c>
      <c r="Q3476" s="385">
        <v>14</v>
      </c>
      <c r="R3476" s="207">
        <f t="shared" si="111"/>
        <v>88200</v>
      </c>
      <c r="S3476" s="279">
        <v>202304</v>
      </c>
      <c r="T3476" s="184" t="s">
        <v>4553</v>
      </c>
      <c r="U3476" s="213"/>
      <c r="V3476" s="387"/>
      <c r="W3476" s="214"/>
      <c r="X3476" s="388">
        <v>44531</v>
      </c>
      <c r="Y3476" s="388">
        <v>46721</v>
      </c>
    </row>
    <row r="3477" s="5" customFormat="1" customHeight="1" spans="1:25">
      <c r="A3477" s="203" t="s">
        <v>446</v>
      </c>
      <c r="B3477" s="204" t="s">
        <v>4284</v>
      </c>
      <c r="C3477" s="204" t="s">
        <v>63</v>
      </c>
      <c r="D3477" s="204" t="s">
        <v>3038</v>
      </c>
      <c r="E3477" s="205" t="s">
        <v>4285</v>
      </c>
      <c r="F3477" s="203" t="s">
        <v>4286</v>
      </c>
      <c r="G3477" s="203" t="s">
        <v>88</v>
      </c>
      <c r="H3477" s="25" t="s">
        <v>4531</v>
      </c>
      <c r="I3477" s="46" t="e">
        <f>VLOOKUP(H3477,'合同高级查询数据-4月返'!A:A,1,FALSE)</f>
        <v>#N/A</v>
      </c>
      <c r="J3477" s="47" t="s">
        <v>3488</v>
      </c>
      <c r="K3477" s="290" t="s">
        <v>4532</v>
      </c>
      <c r="L3477" s="206"/>
      <c r="M3477" s="49" t="s">
        <v>4369</v>
      </c>
      <c r="N3477" s="73">
        <v>44583</v>
      </c>
      <c r="O3477" s="73" t="s">
        <v>503</v>
      </c>
      <c r="P3477" s="396">
        <v>6300</v>
      </c>
      <c r="Q3477" s="385">
        <v>4</v>
      </c>
      <c r="R3477" s="207">
        <f t="shared" si="111"/>
        <v>25200</v>
      </c>
      <c r="S3477" s="279">
        <v>202304</v>
      </c>
      <c r="T3477" s="184" t="s">
        <v>4554</v>
      </c>
      <c r="U3477" s="213"/>
      <c r="V3477" s="387"/>
      <c r="W3477" s="214"/>
      <c r="X3477" s="388">
        <v>44531</v>
      </c>
      <c r="Y3477" s="388">
        <v>46721</v>
      </c>
    </row>
    <row r="3478" s="5" customFormat="1" customHeight="1" spans="1:25">
      <c r="A3478" s="203" t="s">
        <v>446</v>
      </c>
      <c r="B3478" s="204" t="s">
        <v>4284</v>
      </c>
      <c r="C3478" s="204" t="s">
        <v>63</v>
      </c>
      <c r="D3478" s="204" t="s">
        <v>3038</v>
      </c>
      <c r="E3478" s="205" t="s">
        <v>4285</v>
      </c>
      <c r="F3478" s="203" t="s">
        <v>4286</v>
      </c>
      <c r="G3478" s="203" t="s">
        <v>88</v>
      </c>
      <c r="H3478" s="25" t="s">
        <v>4531</v>
      </c>
      <c r="I3478" s="46" t="e">
        <f>VLOOKUP(H3478,'合同高级查询数据-4月返'!A:A,1,FALSE)</f>
        <v>#N/A</v>
      </c>
      <c r="J3478" s="47" t="s">
        <v>3488</v>
      </c>
      <c r="K3478" s="290" t="s">
        <v>4532</v>
      </c>
      <c r="L3478" s="206"/>
      <c r="M3478" s="49" t="s">
        <v>4369</v>
      </c>
      <c r="N3478" s="73">
        <v>44585</v>
      </c>
      <c r="O3478" s="73" t="s">
        <v>503</v>
      </c>
      <c r="P3478" s="396">
        <v>6300</v>
      </c>
      <c r="Q3478" s="385">
        <v>38</v>
      </c>
      <c r="R3478" s="207">
        <f t="shared" si="111"/>
        <v>239400</v>
      </c>
      <c r="S3478" s="279">
        <v>202304</v>
      </c>
      <c r="T3478" s="184" t="s">
        <v>4555</v>
      </c>
      <c r="U3478" s="213"/>
      <c r="V3478" s="387"/>
      <c r="W3478" s="214"/>
      <c r="X3478" s="388">
        <v>44531</v>
      </c>
      <c r="Y3478" s="388">
        <v>46721</v>
      </c>
    </row>
    <row r="3479" s="5" customFormat="1" customHeight="1" spans="1:25">
      <c r="A3479" s="203" t="s">
        <v>446</v>
      </c>
      <c r="B3479" s="204" t="s">
        <v>4284</v>
      </c>
      <c r="C3479" s="204" t="s">
        <v>63</v>
      </c>
      <c r="D3479" s="204" t="s">
        <v>3038</v>
      </c>
      <c r="E3479" s="205" t="s">
        <v>4285</v>
      </c>
      <c r="F3479" s="203" t="s">
        <v>4286</v>
      </c>
      <c r="G3479" s="203" t="s">
        <v>88</v>
      </c>
      <c r="H3479" s="25" t="s">
        <v>4531</v>
      </c>
      <c r="I3479" s="46" t="e">
        <f>VLOOKUP(H3479,'合同高级查询数据-4月返'!A:A,1,FALSE)</f>
        <v>#N/A</v>
      </c>
      <c r="J3479" s="47" t="s">
        <v>3488</v>
      </c>
      <c r="K3479" s="290" t="s">
        <v>4532</v>
      </c>
      <c r="L3479" s="206"/>
      <c r="M3479" s="49" t="s">
        <v>4369</v>
      </c>
      <c r="N3479" s="73">
        <v>44606</v>
      </c>
      <c r="O3479" s="73" t="s">
        <v>503</v>
      </c>
      <c r="P3479" s="396">
        <v>6300</v>
      </c>
      <c r="Q3479" s="385">
        <v>66</v>
      </c>
      <c r="R3479" s="386">
        <f t="shared" si="111"/>
        <v>415800</v>
      </c>
      <c r="S3479" s="279">
        <v>202304</v>
      </c>
      <c r="T3479" s="184" t="s">
        <v>4556</v>
      </c>
      <c r="U3479" s="213"/>
      <c r="V3479" s="387"/>
      <c r="W3479" s="214"/>
      <c r="X3479" s="388">
        <v>44531</v>
      </c>
      <c r="Y3479" s="388">
        <v>46721</v>
      </c>
    </row>
    <row r="3480" s="5" customFormat="1" customHeight="1" spans="1:25">
      <c r="A3480" s="203" t="s">
        <v>446</v>
      </c>
      <c r="B3480" s="204" t="s">
        <v>4284</v>
      </c>
      <c r="C3480" s="204" t="s">
        <v>63</v>
      </c>
      <c r="D3480" s="204" t="s">
        <v>3038</v>
      </c>
      <c r="E3480" s="205" t="s">
        <v>4285</v>
      </c>
      <c r="F3480" s="203" t="s">
        <v>4286</v>
      </c>
      <c r="G3480" s="203" t="s">
        <v>88</v>
      </c>
      <c r="H3480" s="25" t="s">
        <v>4531</v>
      </c>
      <c r="I3480" s="46" t="e">
        <f>VLOOKUP(H3480,'合同高级查询数据-4月返'!A:A,1,FALSE)</f>
        <v>#N/A</v>
      </c>
      <c r="J3480" s="47" t="s">
        <v>3488</v>
      </c>
      <c r="K3480" s="290" t="s">
        <v>4532</v>
      </c>
      <c r="L3480" s="206"/>
      <c r="M3480" s="49" t="s">
        <v>4369</v>
      </c>
      <c r="N3480" s="73">
        <v>44614</v>
      </c>
      <c r="O3480" s="73" t="s">
        <v>503</v>
      </c>
      <c r="P3480" s="396">
        <v>6300</v>
      </c>
      <c r="Q3480" s="385">
        <v>4</v>
      </c>
      <c r="R3480" s="386">
        <f t="shared" si="111"/>
        <v>25200</v>
      </c>
      <c r="S3480" s="279">
        <v>202304</v>
      </c>
      <c r="T3480" s="184" t="s">
        <v>4557</v>
      </c>
      <c r="U3480" s="213"/>
      <c r="V3480" s="387"/>
      <c r="W3480" s="214"/>
      <c r="X3480" s="388">
        <v>44531</v>
      </c>
      <c r="Y3480" s="388">
        <v>46721</v>
      </c>
    </row>
    <row r="3481" s="5" customFormat="1" customHeight="1" spans="1:25">
      <c r="A3481" s="203" t="s">
        <v>446</v>
      </c>
      <c r="B3481" s="204" t="s">
        <v>4284</v>
      </c>
      <c r="C3481" s="204" t="s">
        <v>63</v>
      </c>
      <c r="D3481" s="204" t="s">
        <v>3038</v>
      </c>
      <c r="E3481" s="205" t="s">
        <v>4285</v>
      </c>
      <c r="F3481" s="203" t="s">
        <v>4286</v>
      </c>
      <c r="G3481" s="203" t="s">
        <v>88</v>
      </c>
      <c r="H3481" s="25" t="s">
        <v>4531</v>
      </c>
      <c r="I3481" s="46" t="e">
        <f>VLOOKUP(H3481,'合同高级查询数据-4月返'!A:A,1,FALSE)</f>
        <v>#N/A</v>
      </c>
      <c r="J3481" s="47" t="s">
        <v>3488</v>
      </c>
      <c r="K3481" s="290" t="s">
        <v>4532</v>
      </c>
      <c r="L3481" s="206"/>
      <c r="M3481" s="49" t="s">
        <v>4369</v>
      </c>
      <c r="N3481" s="73">
        <v>44616</v>
      </c>
      <c r="O3481" s="73" t="s">
        <v>503</v>
      </c>
      <c r="P3481" s="396">
        <v>6300</v>
      </c>
      <c r="Q3481" s="385">
        <v>47</v>
      </c>
      <c r="R3481" s="386">
        <f t="shared" si="111"/>
        <v>296100</v>
      </c>
      <c r="S3481" s="279">
        <v>202304</v>
      </c>
      <c r="T3481" s="184" t="s">
        <v>4558</v>
      </c>
      <c r="U3481" s="213"/>
      <c r="V3481" s="387"/>
      <c r="W3481" s="214"/>
      <c r="X3481" s="388">
        <v>44531</v>
      </c>
      <c r="Y3481" s="388">
        <v>46721</v>
      </c>
    </row>
    <row r="3482" s="5" customFormat="1" customHeight="1" spans="1:25">
      <c r="A3482" s="203" t="s">
        <v>446</v>
      </c>
      <c r="B3482" s="204" t="s">
        <v>4284</v>
      </c>
      <c r="C3482" s="204" t="s">
        <v>63</v>
      </c>
      <c r="D3482" s="204" t="s">
        <v>3038</v>
      </c>
      <c r="E3482" s="205" t="s">
        <v>4285</v>
      </c>
      <c r="F3482" s="203" t="s">
        <v>4286</v>
      </c>
      <c r="G3482" s="203" t="s">
        <v>88</v>
      </c>
      <c r="H3482" s="25" t="s">
        <v>4531</v>
      </c>
      <c r="I3482" s="46" t="e">
        <f>VLOOKUP(H3482,'合同高级查询数据-4月返'!A:A,1,FALSE)</f>
        <v>#N/A</v>
      </c>
      <c r="J3482" s="47" t="s">
        <v>3488</v>
      </c>
      <c r="K3482" s="290" t="s">
        <v>4532</v>
      </c>
      <c r="L3482" s="206"/>
      <c r="M3482" s="49" t="s">
        <v>4369</v>
      </c>
      <c r="N3482" s="73">
        <v>44617</v>
      </c>
      <c r="O3482" s="73" t="s">
        <v>503</v>
      </c>
      <c r="P3482" s="396">
        <v>6300</v>
      </c>
      <c r="Q3482" s="385">
        <v>48</v>
      </c>
      <c r="R3482" s="386">
        <f t="shared" si="111"/>
        <v>302400</v>
      </c>
      <c r="S3482" s="279">
        <v>202304</v>
      </c>
      <c r="T3482" s="184" t="s">
        <v>4559</v>
      </c>
      <c r="U3482" s="213"/>
      <c r="V3482" s="387"/>
      <c r="W3482" s="214"/>
      <c r="X3482" s="388">
        <v>44531</v>
      </c>
      <c r="Y3482" s="388">
        <v>46721</v>
      </c>
    </row>
    <row r="3483" s="5" customFormat="1" customHeight="1" spans="1:25">
      <c r="A3483" s="203" t="s">
        <v>446</v>
      </c>
      <c r="B3483" s="204" t="s">
        <v>4284</v>
      </c>
      <c r="C3483" s="204" t="s">
        <v>63</v>
      </c>
      <c r="D3483" s="204" t="s">
        <v>3038</v>
      </c>
      <c r="E3483" s="205" t="s">
        <v>4285</v>
      </c>
      <c r="F3483" s="203" t="s">
        <v>4286</v>
      </c>
      <c r="G3483" s="203" t="s">
        <v>88</v>
      </c>
      <c r="H3483" s="25" t="s">
        <v>4531</v>
      </c>
      <c r="I3483" s="46" t="e">
        <f>VLOOKUP(H3483,'合同高级查询数据-4月返'!A:A,1,FALSE)</f>
        <v>#N/A</v>
      </c>
      <c r="J3483" s="47" t="s">
        <v>3488</v>
      </c>
      <c r="K3483" s="290" t="s">
        <v>4532</v>
      </c>
      <c r="L3483" s="206"/>
      <c r="M3483" s="49" t="s">
        <v>4369</v>
      </c>
      <c r="N3483" s="73">
        <v>44620</v>
      </c>
      <c r="O3483" s="73" t="s">
        <v>503</v>
      </c>
      <c r="P3483" s="396">
        <v>6300</v>
      </c>
      <c r="Q3483" s="385">
        <v>1</v>
      </c>
      <c r="R3483" s="386">
        <f t="shared" si="111"/>
        <v>6300</v>
      </c>
      <c r="S3483" s="279">
        <v>202304</v>
      </c>
      <c r="T3483" s="184" t="s">
        <v>4560</v>
      </c>
      <c r="U3483" s="213"/>
      <c r="V3483" s="387"/>
      <c r="W3483" s="214"/>
      <c r="X3483" s="388">
        <v>44531</v>
      </c>
      <c r="Y3483" s="388">
        <v>46721</v>
      </c>
    </row>
    <row r="3484" s="5" customFormat="1" customHeight="1" spans="1:25">
      <c r="A3484" s="203" t="s">
        <v>446</v>
      </c>
      <c r="B3484" s="204" t="s">
        <v>4284</v>
      </c>
      <c r="C3484" s="204" t="s">
        <v>63</v>
      </c>
      <c r="D3484" s="204" t="s">
        <v>3038</v>
      </c>
      <c r="E3484" s="205" t="s">
        <v>4285</v>
      </c>
      <c r="F3484" s="203" t="s">
        <v>4286</v>
      </c>
      <c r="G3484" s="203" t="s">
        <v>88</v>
      </c>
      <c r="H3484" s="25" t="s">
        <v>4531</v>
      </c>
      <c r="I3484" s="46" t="e">
        <f>VLOOKUP(H3484,'合同高级查询数据-4月返'!A:A,1,FALSE)</f>
        <v>#N/A</v>
      </c>
      <c r="J3484" s="47" t="s">
        <v>3488</v>
      </c>
      <c r="K3484" s="290" t="s">
        <v>4532</v>
      </c>
      <c r="L3484" s="206"/>
      <c r="M3484" s="49" t="s">
        <v>4369</v>
      </c>
      <c r="N3484" s="73">
        <v>44622</v>
      </c>
      <c r="O3484" s="73" t="s">
        <v>503</v>
      </c>
      <c r="P3484" s="396">
        <v>6300</v>
      </c>
      <c r="Q3484" s="385">
        <v>8</v>
      </c>
      <c r="R3484" s="386">
        <f t="shared" si="111"/>
        <v>50400</v>
      </c>
      <c r="S3484" s="279">
        <v>202304</v>
      </c>
      <c r="T3484" s="184" t="s">
        <v>4561</v>
      </c>
      <c r="U3484" s="213"/>
      <c r="V3484" s="387"/>
      <c r="W3484" s="214"/>
      <c r="X3484" s="388">
        <v>44531</v>
      </c>
      <c r="Y3484" s="388">
        <v>46721</v>
      </c>
    </row>
    <row r="3485" s="5" customFormat="1" customHeight="1" spans="1:25">
      <c r="A3485" s="203" t="s">
        <v>446</v>
      </c>
      <c r="B3485" s="204" t="s">
        <v>4284</v>
      </c>
      <c r="C3485" s="204" t="s">
        <v>63</v>
      </c>
      <c r="D3485" s="204" t="s">
        <v>3038</v>
      </c>
      <c r="E3485" s="205" t="s">
        <v>4285</v>
      </c>
      <c r="F3485" s="203" t="s">
        <v>4286</v>
      </c>
      <c r="G3485" s="203" t="s">
        <v>88</v>
      </c>
      <c r="H3485" s="25" t="s">
        <v>4531</v>
      </c>
      <c r="I3485" s="46" t="e">
        <f>VLOOKUP(H3485,'合同高级查询数据-4月返'!A:A,1,FALSE)</f>
        <v>#N/A</v>
      </c>
      <c r="J3485" s="47" t="s">
        <v>3488</v>
      </c>
      <c r="K3485" s="290" t="s">
        <v>4532</v>
      </c>
      <c r="L3485" s="206"/>
      <c r="M3485" s="49" t="s">
        <v>4369</v>
      </c>
      <c r="N3485" s="73">
        <v>44712</v>
      </c>
      <c r="O3485" s="73" t="s">
        <v>503</v>
      </c>
      <c r="P3485" s="396">
        <v>6300</v>
      </c>
      <c r="Q3485" s="385">
        <v>2</v>
      </c>
      <c r="R3485" s="386">
        <f t="shared" si="111"/>
        <v>12600</v>
      </c>
      <c r="S3485" s="279">
        <v>202304</v>
      </c>
      <c r="T3485" s="184" t="s">
        <v>4562</v>
      </c>
      <c r="U3485" s="213"/>
      <c r="V3485" s="387"/>
      <c r="W3485" s="214"/>
      <c r="X3485" s="388">
        <v>44531</v>
      </c>
      <c r="Y3485" s="388">
        <v>46721</v>
      </c>
    </row>
    <row r="3486" s="5" customFormat="1" customHeight="1" spans="1:25">
      <c r="A3486" s="203" t="s">
        <v>446</v>
      </c>
      <c r="B3486" s="204" t="s">
        <v>4284</v>
      </c>
      <c r="C3486" s="204" t="s">
        <v>63</v>
      </c>
      <c r="D3486" s="204" t="s">
        <v>3038</v>
      </c>
      <c r="E3486" s="205" t="s">
        <v>4285</v>
      </c>
      <c r="F3486" s="203" t="s">
        <v>4286</v>
      </c>
      <c r="G3486" s="203" t="s">
        <v>88</v>
      </c>
      <c r="H3486" s="25" t="s">
        <v>4531</v>
      </c>
      <c r="I3486" s="46" t="e">
        <f>VLOOKUP(H3486,'合同高级查询数据-4月返'!A:A,1,FALSE)</f>
        <v>#N/A</v>
      </c>
      <c r="J3486" s="47" t="s">
        <v>3488</v>
      </c>
      <c r="K3486" s="290" t="s">
        <v>4532</v>
      </c>
      <c r="L3486" s="206"/>
      <c r="M3486" s="49" t="s">
        <v>4369</v>
      </c>
      <c r="N3486" s="73">
        <v>44796</v>
      </c>
      <c r="O3486" s="73" t="s">
        <v>503</v>
      </c>
      <c r="P3486" s="396">
        <v>6300</v>
      </c>
      <c r="Q3486" s="385">
        <v>2</v>
      </c>
      <c r="R3486" s="386">
        <f t="shared" si="111"/>
        <v>12600</v>
      </c>
      <c r="S3486" s="279">
        <v>202304</v>
      </c>
      <c r="T3486" s="184" t="s">
        <v>4563</v>
      </c>
      <c r="U3486" s="213"/>
      <c r="V3486" s="387"/>
      <c r="W3486" s="214"/>
      <c r="X3486" s="388">
        <v>44531</v>
      </c>
      <c r="Y3486" s="388">
        <v>46721</v>
      </c>
    </row>
    <row r="3487" s="5" customFormat="1" customHeight="1" spans="1:25">
      <c r="A3487" s="203" t="s">
        <v>446</v>
      </c>
      <c r="B3487" s="204" t="s">
        <v>4284</v>
      </c>
      <c r="C3487" s="204" t="s">
        <v>63</v>
      </c>
      <c r="D3487" s="204" t="s">
        <v>3038</v>
      </c>
      <c r="E3487" s="205" t="s">
        <v>4285</v>
      </c>
      <c r="F3487" s="203" t="s">
        <v>4286</v>
      </c>
      <c r="G3487" s="203" t="s">
        <v>88</v>
      </c>
      <c r="H3487" s="25" t="s">
        <v>4531</v>
      </c>
      <c r="I3487" s="46" t="e">
        <f>VLOOKUP(H3487,'合同高级查询数据-4月返'!A:A,1,FALSE)</f>
        <v>#N/A</v>
      </c>
      <c r="J3487" s="47" t="s">
        <v>3488</v>
      </c>
      <c r="K3487" s="290" t="s">
        <v>4532</v>
      </c>
      <c r="L3487" s="206"/>
      <c r="M3487" s="49" t="s">
        <v>4369</v>
      </c>
      <c r="N3487" s="73">
        <v>44867</v>
      </c>
      <c r="O3487" s="73" t="s">
        <v>503</v>
      </c>
      <c r="P3487" s="396">
        <v>6300</v>
      </c>
      <c r="Q3487" s="385">
        <v>-1</v>
      </c>
      <c r="R3487" s="207">
        <f t="shared" si="111"/>
        <v>-6300</v>
      </c>
      <c r="S3487" s="279">
        <v>202304</v>
      </c>
      <c r="T3487" s="184" t="s">
        <v>4564</v>
      </c>
      <c r="U3487" s="213"/>
      <c r="V3487" s="387"/>
      <c r="W3487" s="214"/>
      <c r="X3487" s="388">
        <v>44531</v>
      </c>
      <c r="Y3487" s="388">
        <v>46721</v>
      </c>
    </row>
    <row r="3488" s="5" customFormat="1" customHeight="1" spans="1:25">
      <c r="A3488" s="203" t="s">
        <v>446</v>
      </c>
      <c r="B3488" s="204" t="s">
        <v>4284</v>
      </c>
      <c r="C3488" s="204" t="s">
        <v>63</v>
      </c>
      <c r="D3488" s="204" t="s">
        <v>3038</v>
      </c>
      <c r="E3488" s="205" t="s">
        <v>4285</v>
      </c>
      <c r="F3488" s="203" t="s">
        <v>4286</v>
      </c>
      <c r="G3488" s="203" t="s">
        <v>88</v>
      </c>
      <c r="H3488" s="25" t="s">
        <v>4531</v>
      </c>
      <c r="I3488" s="46" t="e">
        <f>VLOOKUP(H3488,'合同高级查询数据-4月返'!A:A,1,FALSE)</f>
        <v>#N/A</v>
      </c>
      <c r="J3488" s="47" t="s">
        <v>3488</v>
      </c>
      <c r="K3488" s="290" t="s">
        <v>4532</v>
      </c>
      <c r="L3488" s="206"/>
      <c r="M3488" s="49" t="s">
        <v>4369</v>
      </c>
      <c r="N3488" s="73">
        <v>44883</v>
      </c>
      <c r="O3488" s="73" t="s">
        <v>503</v>
      </c>
      <c r="P3488" s="396">
        <v>6300</v>
      </c>
      <c r="Q3488" s="385">
        <v>3</v>
      </c>
      <c r="R3488" s="207">
        <f t="shared" si="111"/>
        <v>18900</v>
      </c>
      <c r="S3488" s="279">
        <v>202304</v>
      </c>
      <c r="T3488" s="189" t="s">
        <v>4565</v>
      </c>
      <c r="U3488" s="213"/>
      <c r="V3488" s="387"/>
      <c r="W3488" s="214"/>
      <c r="X3488" s="388">
        <v>44531</v>
      </c>
      <c r="Y3488" s="388">
        <v>46721</v>
      </c>
    </row>
    <row r="3489" s="5" customFormat="1" customHeight="1" spans="1:25">
      <c r="A3489" s="203" t="s">
        <v>446</v>
      </c>
      <c r="B3489" s="204" t="s">
        <v>4284</v>
      </c>
      <c r="C3489" s="204" t="s">
        <v>63</v>
      </c>
      <c r="D3489" s="204" t="s">
        <v>3038</v>
      </c>
      <c r="E3489" s="205" t="s">
        <v>4285</v>
      </c>
      <c r="F3489" s="203" t="s">
        <v>4286</v>
      </c>
      <c r="G3489" s="203" t="s">
        <v>88</v>
      </c>
      <c r="H3489" s="25" t="s">
        <v>4531</v>
      </c>
      <c r="I3489" s="46" t="e">
        <f>VLOOKUP(H3489,'合同高级查询数据-4月返'!A:A,1,FALSE)</f>
        <v>#N/A</v>
      </c>
      <c r="J3489" s="47" t="s">
        <v>3488</v>
      </c>
      <c r="K3489" s="290" t="s">
        <v>4532</v>
      </c>
      <c r="L3489" s="206"/>
      <c r="M3489" s="49" t="s">
        <v>4369</v>
      </c>
      <c r="N3489" s="73">
        <v>45015</v>
      </c>
      <c r="O3489" s="73" t="s">
        <v>503</v>
      </c>
      <c r="P3489" s="396">
        <v>6300</v>
      </c>
      <c r="Q3489" s="385">
        <v>-4</v>
      </c>
      <c r="R3489" s="207">
        <f t="shared" si="111"/>
        <v>-25200</v>
      </c>
      <c r="S3489" s="279">
        <v>202304</v>
      </c>
      <c r="T3489" s="189" t="s">
        <v>4566</v>
      </c>
      <c r="U3489" s="213"/>
      <c r="V3489" s="387"/>
      <c r="W3489" s="214"/>
      <c r="X3489" s="388">
        <v>44531</v>
      </c>
      <c r="Y3489" s="388">
        <v>46721</v>
      </c>
    </row>
    <row r="3490" s="5" customFormat="1" customHeight="1" spans="1:25">
      <c r="A3490" s="203" t="s">
        <v>446</v>
      </c>
      <c r="B3490" s="204" t="s">
        <v>4284</v>
      </c>
      <c r="C3490" s="204" t="s">
        <v>63</v>
      </c>
      <c r="D3490" s="204" t="s">
        <v>3038</v>
      </c>
      <c r="E3490" s="205" t="s">
        <v>4285</v>
      </c>
      <c r="F3490" s="203" t="s">
        <v>4286</v>
      </c>
      <c r="G3490" s="203" t="s">
        <v>88</v>
      </c>
      <c r="H3490" s="25" t="s">
        <v>4567</v>
      </c>
      <c r="I3490" s="46" t="e">
        <f>VLOOKUP(H3490,'合同高级查询数据-4月返'!A:A,1,FALSE)</f>
        <v>#N/A</v>
      </c>
      <c r="J3490" s="47" t="s">
        <v>3488</v>
      </c>
      <c r="K3490" s="290" t="s">
        <v>4568</v>
      </c>
      <c r="L3490" s="206"/>
      <c r="M3490" s="49" t="s">
        <v>4369</v>
      </c>
      <c r="N3490" s="73">
        <v>44587</v>
      </c>
      <c r="O3490" s="73" t="s">
        <v>503</v>
      </c>
      <c r="P3490" s="396">
        <v>6300</v>
      </c>
      <c r="Q3490" s="385">
        <v>88</v>
      </c>
      <c r="R3490" s="207">
        <f t="shared" si="111"/>
        <v>554400</v>
      </c>
      <c r="S3490" s="279">
        <v>202304</v>
      </c>
      <c r="T3490" s="184" t="s">
        <v>4569</v>
      </c>
      <c r="U3490" s="213"/>
      <c r="V3490" s="387"/>
      <c r="W3490" s="214"/>
      <c r="X3490" s="388">
        <v>44593</v>
      </c>
      <c r="Y3490" s="388">
        <v>46783</v>
      </c>
    </row>
    <row r="3491" s="5" customFormat="1" customHeight="1" spans="1:25">
      <c r="A3491" s="203" t="s">
        <v>446</v>
      </c>
      <c r="B3491" s="204" t="s">
        <v>4284</v>
      </c>
      <c r="C3491" s="204" t="s">
        <v>63</v>
      </c>
      <c r="D3491" s="204" t="s">
        <v>3038</v>
      </c>
      <c r="E3491" s="205" t="s">
        <v>4285</v>
      </c>
      <c r="F3491" s="203" t="s">
        <v>4286</v>
      </c>
      <c r="G3491" s="203" t="s">
        <v>88</v>
      </c>
      <c r="H3491" s="25" t="s">
        <v>4567</v>
      </c>
      <c r="I3491" s="46" t="e">
        <f>VLOOKUP(H3491,'合同高级查询数据-4月返'!A:A,1,FALSE)</f>
        <v>#N/A</v>
      </c>
      <c r="J3491" s="47" t="s">
        <v>3488</v>
      </c>
      <c r="K3491" s="290" t="s">
        <v>4568</v>
      </c>
      <c r="L3491" s="206"/>
      <c r="M3491" s="49" t="s">
        <v>4369</v>
      </c>
      <c r="N3491" s="73">
        <v>44588</v>
      </c>
      <c r="O3491" s="73" t="s">
        <v>503</v>
      </c>
      <c r="P3491" s="396">
        <v>6300</v>
      </c>
      <c r="Q3491" s="385">
        <v>24</v>
      </c>
      <c r="R3491" s="207">
        <f t="shared" si="111"/>
        <v>151200</v>
      </c>
      <c r="S3491" s="279">
        <v>202304</v>
      </c>
      <c r="T3491" s="184" t="s">
        <v>4570</v>
      </c>
      <c r="U3491" s="213"/>
      <c r="V3491" s="387"/>
      <c r="W3491" s="214"/>
      <c r="X3491" s="388">
        <v>44593</v>
      </c>
      <c r="Y3491" s="388">
        <v>46783</v>
      </c>
    </row>
    <row r="3492" s="5" customFormat="1" customHeight="1" spans="1:25">
      <c r="A3492" s="203" t="s">
        <v>446</v>
      </c>
      <c r="B3492" s="204" t="s">
        <v>4284</v>
      </c>
      <c r="C3492" s="204" t="s">
        <v>63</v>
      </c>
      <c r="D3492" s="204" t="s">
        <v>3038</v>
      </c>
      <c r="E3492" s="205" t="s">
        <v>4285</v>
      </c>
      <c r="F3492" s="203" t="s">
        <v>4286</v>
      </c>
      <c r="G3492" s="203" t="s">
        <v>88</v>
      </c>
      <c r="H3492" s="25" t="s">
        <v>4567</v>
      </c>
      <c r="I3492" s="46" t="e">
        <f>VLOOKUP(H3492,'合同高级查询数据-4月返'!A:A,1,FALSE)</f>
        <v>#N/A</v>
      </c>
      <c r="J3492" s="47" t="s">
        <v>3488</v>
      </c>
      <c r="K3492" s="290" t="s">
        <v>4568</v>
      </c>
      <c r="L3492" s="206"/>
      <c r="M3492" s="49" t="s">
        <v>4369</v>
      </c>
      <c r="N3492" s="73">
        <v>44594</v>
      </c>
      <c r="O3492" s="73" t="s">
        <v>503</v>
      </c>
      <c r="P3492" s="396">
        <v>6300</v>
      </c>
      <c r="Q3492" s="385">
        <v>9</v>
      </c>
      <c r="R3492" s="386">
        <f t="shared" si="111"/>
        <v>56700</v>
      </c>
      <c r="S3492" s="279">
        <v>202304</v>
      </c>
      <c r="T3492" s="184" t="s">
        <v>4571</v>
      </c>
      <c r="U3492" s="213"/>
      <c r="V3492" s="387"/>
      <c r="W3492" s="214"/>
      <c r="X3492" s="388">
        <v>44593</v>
      </c>
      <c r="Y3492" s="388">
        <v>46783</v>
      </c>
    </row>
    <row r="3493" s="5" customFormat="1" customHeight="1" spans="1:25">
      <c r="A3493" s="203" t="s">
        <v>446</v>
      </c>
      <c r="B3493" s="204" t="s">
        <v>4284</v>
      </c>
      <c r="C3493" s="204" t="s">
        <v>63</v>
      </c>
      <c r="D3493" s="204" t="s">
        <v>3038</v>
      </c>
      <c r="E3493" s="205" t="s">
        <v>4285</v>
      </c>
      <c r="F3493" s="203" t="s">
        <v>4286</v>
      </c>
      <c r="G3493" s="203" t="s">
        <v>88</v>
      </c>
      <c r="H3493" s="25" t="s">
        <v>4567</v>
      </c>
      <c r="I3493" s="46" t="e">
        <f>VLOOKUP(H3493,'合同高级查询数据-4月返'!A:A,1,FALSE)</f>
        <v>#N/A</v>
      </c>
      <c r="J3493" s="47" t="s">
        <v>3488</v>
      </c>
      <c r="K3493" s="290" t="s">
        <v>4568</v>
      </c>
      <c r="L3493" s="206"/>
      <c r="M3493" s="49" t="s">
        <v>4369</v>
      </c>
      <c r="N3493" s="73">
        <v>44629</v>
      </c>
      <c r="O3493" s="73" t="s">
        <v>503</v>
      </c>
      <c r="P3493" s="396">
        <v>6300</v>
      </c>
      <c r="Q3493" s="385">
        <v>22</v>
      </c>
      <c r="R3493" s="386">
        <f t="shared" si="111"/>
        <v>138600</v>
      </c>
      <c r="S3493" s="279">
        <v>202304</v>
      </c>
      <c r="T3493" s="184" t="s">
        <v>4572</v>
      </c>
      <c r="U3493" s="213"/>
      <c r="V3493" s="387"/>
      <c r="W3493" s="214"/>
      <c r="X3493" s="388">
        <v>44593</v>
      </c>
      <c r="Y3493" s="388">
        <v>46783</v>
      </c>
    </row>
    <row r="3494" s="5" customFormat="1" customHeight="1" spans="1:25">
      <c r="A3494" s="203" t="s">
        <v>446</v>
      </c>
      <c r="B3494" s="204" t="s">
        <v>4284</v>
      </c>
      <c r="C3494" s="204" t="s">
        <v>63</v>
      </c>
      <c r="D3494" s="204" t="s">
        <v>3038</v>
      </c>
      <c r="E3494" s="205" t="s">
        <v>4285</v>
      </c>
      <c r="F3494" s="203" t="s">
        <v>4286</v>
      </c>
      <c r="G3494" s="203" t="s">
        <v>88</v>
      </c>
      <c r="H3494" s="25" t="s">
        <v>4567</v>
      </c>
      <c r="I3494" s="46" t="e">
        <f>VLOOKUP(H3494,'合同高级查询数据-4月返'!A:A,1,FALSE)</f>
        <v>#N/A</v>
      </c>
      <c r="J3494" s="47" t="s">
        <v>3488</v>
      </c>
      <c r="K3494" s="290" t="s">
        <v>4568</v>
      </c>
      <c r="L3494" s="206"/>
      <c r="M3494" s="49" t="s">
        <v>4369</v>
      </c>
      <c r="N3494" s="73">
        <v>44631</v>
      </c>
      <c r="O3494" s="73" t="s">
        <v>503</v>
      </c>
      <c r="P3494" s="396">
        <v>6300</v>
      </c>
      <c r="Q3494" s="385">
        <v>-20</v>
      </c>
      <c r="R3494" s="386">
        <f t="shared" si="111"/>
        <v>-126000</v>
      </c>
      <c r="S3494" s="279">
        <v>202304</v>
      </c>
      <c r="T3494" s="184" t="s">
        <v>4573</v>
      </c>
      <c r="U3494" s="213"/>
      <c r="V3494" s="387"/>
      <c r="W3494" s="214"/>
      <c r="X3494" s="388">
        <v>44593</v>
      </c>
      <c r="Y3494" s="388">
        <v>46783</v>
      </c>
    </row>
    <row r="3495" s="5" customFormat="1" customHeight="1" spans="1:25">
      <c r="A3495" s="203" t="s">
        <v>446</v>
      </c>
      <c r="B3495" s="204" t="s">
        <v>4284</v>
      </c>
      <c r="C3495" s="204" t="s">
        <v>63</v>
      </c>
      <c r="D3495" s="204" t="s">
        <v>3038</v>
      </c>
      <c r="E3495" s="205" t="s">
        <v>4285</v>
      </c>
      <c r="F3495" s="203" t="s">
        <v>4286</v>
      </c>
      <c r="G3495" s="203" t="s">
        <v>88</v>
      </c>
      <c r="H3495" s="25" t="s">
        <v>4567</v>
      </c>
      <c r="I3495" s="46" t="e">
        <f>VLOOKUP(H3495,'合同高级查询数据-4月返'!A:A,1,FALSE)</f>
        <v>#N/A</v>
      </c>
      <c r="J3495" s="47" t="s">
        <v>3488</v>
      </c>
      <c r="K3495" s="290" t="s">
        <v>4568</v>
      </c>
      <c r="L3495" s="206"/>
      <c r="M3495" s="49" t="s">
        <v>4369</v>
      </c>
      <c r="N3495" s="73">
        <v>44648</v>
      </c>
      <c r="O3495" s="73" t="s">
        <v>503</v>
      </c>
      <c r="P3495" s="396">
        <v>6300</v>
      </c>
      <c r="Q3495" s="385">
        <v>18</v>
      </c>
      <c r="R3495" s="386">
        <f t="shared" si="111"/>
        <v>113400</v>
      </c>
      <c r="S3495" s="279">
        <v>202304</v>
      </c>
      <c r="T3495" s="184" t="s">
        <v>4574</v>
      </c>
      <c r="U3495" s="213"/>
      <c r="V3495" s="387"/>
      <c r="W3495" s="214"/>
      <c r="X3495" s="388">
        <v>44593</v>
      </c>
      <c r="Y3495" s="388">
        <v>46783</v>
      </c>
    </row>
    <row r="3496" s="5" customFormat="1" customHeight="1" spans="1:25">
      <c r="A3496" s="203" t="s">
        <v>446</v>
      </c>
      <c r="B3496" s="204" t="s">
        <v>4284</v>
      </c>
      <c r="C3496" s="204" t="s">
        <v>63</v>
      </c>
      <c r="D3496" s="204" t="s">
        <v>3038</v>
      </c>
      <c r="E3496" s="205" t="s">
        <v>4285</v>
      </c>
      <c r="F3496" s="203" t="s">
        <v>4286</v>
      </c>
      <c r="G3496" s="203" t="s">
        <v>88</v>
      </c>
      <c r="H3496" s="25" t="s">
        <v>4567</v>
      </c>
      <c r="I3496" s="46" t="e">
        <f>VLOOKUP(H3496,'合同高级查询数据-4月返'!A:A,1,FALSE)</f>
        <v>#N/A</v>
      </c>
      <c r="J3496" s="47" t="s">
        <v>3488</v>
      </c>
      <c r="K3496" s="290" t="s">
        <v>4568</v>
      </c>
      <c r="L3496" s="206"/>
      <c r="M3496" s="49" t="s">
        <v>4369</v>
      </c>
      <c r="N3496" s="73">
        <v>44657</v>
      </c>
      <c r="O3496" s="73" t="s">
        <v>503</v>
      </c>
      <c r="P3496" s="396">
        <v>6300</v>
      </c>
      <c r="Q3496" s="385">
        <v>2</v>
      </c>
      <c r="R3496" s="386">
        <f t="shared" si="111"/>
        <v>12600</v>
      </c>
      <c r="S3496" s="279">
        <v>202304</v>
      </c>
      <c r="T3496" s="184" t="s">
        <v>4575</v>
      </c>
      <c r="U3496" s="213"/>
      <c r="V3496" s="387"/>
      <c r="W3496" s="214"/>
      <c r="X3496" s="388">
        <v>44593</v>
      </c>
      <c r="Y3496" s="388">
        <v>46783</v>
      </c>
    </row>
    <row r="3497" s="5" customFormat="1" customHeight="1" spans="1:25">
      <c r="A3497" s="203" t="s">
        <v>446</v>
      </c>
      <c r="B3497" s="204" t="s">
        <v>4284</v>
      </c>
      <c r="C3497" s="204" t="s">
        <v>63</v>
      </c>
      <c r="D3497" s="204" t="s">
        <v>3038</v>
      </c>
      <c r="E3497" s="205" t="s">
        <v>4285</v>
      </c>
      <c r="F3497" s="203" t="s">
        <v>4286</v>
      </c>
      <c r="G3497" s="203" t="s">
        <v>88</v>
      </c>
      <c r="H3497" s="25" t="s">
        <v>4567</v>
      </c>
      <c r="I3497" s="46" t="e">
        <f>VLOOKUP(H3497,'合同高级查询数据-4月返'!A:A,1,FALSE)</f>
        <v>#N/A</v>
      </c>
      <c r="J3497" s="47" t="s">
        <v>3488</v>
      </c>
      <c r="K3497" s="290" t="s">
        <v>4568</v>
      </c>
      <c r="L3497" s="206"/>
      <c r="M3497" s="49" t="s">
        <v>4369</v>
      </c>
      <c r="N3497" s="73">
        <v>44666</v>
      </c>
      <c r="O3497" s="73" t="s">
        <v>503</v>
      </c>
      <c r="P3497" s="396">
        <v>6300</v>
      </c>
      <c r="Q3497" s="385">
        <v>34</v>
      </c>
      <c r="R3497" s="386">
        <f t="shared" si="111"/>
        <v>214200</v>
      </c>
      <c r="S3497" s="279">
        <v>202304</v>
      </c>
      <c r="T3497" s="184" t="s">
        <v>4576</v>
      </c>
      <c r="U3497" s="213"/>
      <c r="V3497" s="387"/>
      <c r="W3497" s="214"/>
      <c r="X3497" s="388">
        <v>44593</v>
      </c>
      <c r="Y3497" s="388">
        <v>46783</v>
      </c>
    </row>
    <row r="3498" s="5" customFormat="1" customHeight="1" spans="1:25">
      <c r="A3498" s="203" t="s">
        <v>446</v>
      </c>
      <c r="B3498" s="204" t="s">
        <v>4284</v>
      </c>
      <c r="C3498" s="204" t="s">
        <v>63</v>
      </c>
      <c r="D3498" s="204" t="s">
        <v>3038</v>
      </c>
      <c r="E3498" s="205" t="s">
        <v>4285</v>
      </c>
      <c r="F3498" s="203" t="s">
        <v>4286</v>
      </c>
      <c r="G3498" s="203" t="s">
        <v>88</v>
      </c>
      <c r="H3498" s="25" t="s">
        <v>4567</v>
      </c>
      <c r="I3498" s="46" t="e">
        <f>VLOOKUP(H3498,'合同高级查询数据-4月返'!A:A,1,FALSE)</f>
        <v>#N/A</v>
      </c>
      <c r="J3498" s="47" t="s">
        <v>3488</v>
      </c>
      <c r="K3498" s="290" t="s">
        <v>4568</v>
      </c>
      <c r="L3498" s="206"/>
      <c r="M3498" s="49" t="s">
        <v>4369</v>
      </c>
      <c r="N3498" s="73">
        <v>44670</v>
      </c>
      <c r="O3498" s="73" t="s">
        <v>503</v>
      </c>
      <c r="P3498" s="396">
        <v>6300</v>
      </c>
      <c r="Q3498" s="385">
        <v>36</v>
      </c>
      <c r="R3498" s="386">
        <f t="shared" si="111"/>
        <v>226800</v>
      </c>
      <c r="S3498" s="279">
        <v>202304</v>
      </c>
      <c r="T3498" s="184" t="s">
        <v>4577</v>
      </c>
      <c r="U3498" s="213"/>
      <c r="V3498" s="387"/>
      <c r="W3498" s="214"/>
      <c r="X3498" s="388">
        <v>44593</v>
      </c>
      <c r="Y3498" s="388">
        <v>46783</v>
      </c>
    </row>
    <row r="3499" s="5" customFormat="1" customHeight="1" spans="1:25">
      <c r="A3499" s="203" t="s">
        <v>446</v>
      </c>
      <c r="B3499" s="204" t="s">
        <v>4284</v>
      </c>
      <c r="C3499" s="204" t="s">
        <v>63</v>
      </c>
      <c r="D3499" s="204" t="s">
        <v>3038</v>
      </c>
      <c r="E3499" s="205" t="s">
        <v>4285</v>
      </c>
      <c r="F3499" s="203" t="s">
        <v>4286</v>
      </c>
      <c r="G3499" s="203" t="s">
        <v>88</v>
      </c>
      <c r="H3499" s="25" t="s">
        <v>4567</v>
      </c>
      <c r="I3499" s="46" t="e">
        <f>VLOOKUP(H3499,'合同高级查询数据-4月返'!A:A,1,FALSE)</f>
        <v>#N/A</v>
      </c>
      <c r="J3499" s="47" t="s">
        <v>3488</v>
      </c>
      <c r="K3499" s="290" t="s">
        <v>4568</v>
      </c>
      <c r="L3499" s="206"/>
      <c r="M3499" s="49" t="s">
        <v>4369</v>
      </c>
      <c r="N3499" s="73">
        <v>44672</v>
      </c>
      <c r="O3499" s="73" t="s">
        <v>503</v>
      </c>
      <c r="P3499" s="396">
        <v>6300</v>
      </c>
      <c r="Q3499" s="385">
        <v>15</v>
      </c>
      <c r="R3499" s="386">
        <f t="shared" si="111"/>
        <v>94500</v>
      </c>
      <c r="S3499" s="279">
        <v>202304</v>
      </c>
      <c r="T3499" s="184" t="s">
        <v>4578</v>
      </c>
      <c r="U3499" s="213"/>
      <c r="V3499" s="387"/>
      <c r="W3499" s="214"/>
      <c r="X3499" s="388">
        <v>44593</v>
      </c>
      <c r="Y3499" s="388">
        <v>46783</v>
      </c>
    </row>
    <row r="3500" s="5" customFormat="1" customHeight="1" spans="1:25">
      <c r="A3500" s="203" t="s">
        <v>446</v>
      </c>
      <c r="B3500" s="204" t="s">
        <v>4284</v>
      </c>
      <c r="C3500" s="204" t="s">
        <v>63</v>
      </c>
      <c r="D3500" s="204" t="s">
        <v>3038</v>
      </c>
      <c r="E3500" s="205" t="s">
        <v>4285</v>
      </c>
      <c r="F3500" s="203" t="s">
        <v>4286</v>
      </c>
      <c r="G3500" s="203" t="s">
        <v>88</v>
      </c>
      <c r="H3500" s="25" t="s">
        <v>4567</v>
      </c>
      <c r="I3500" s="46" t="e">
        <f>VLOOKUP(H3500,'合同高级查询数据-4月返'!A:A,1,FALSE)</f>
        <v>#N/A</v>
      </c>
      <c r="J3500" s="47" t="s">
        <v>3488</v>
      </c>
      <c r="K3500" s="290" t="s">
        <v>4568</v>
      </c>
      <c r="L3500" s="206"/>
      <c r="M3500" s="49" t="s">
        <v>4369</v>
      </c>
      <c r="N3500" s="73">
        <v>44673</v>
      </c>
      <c r="O3500" s="73" t="s">
        <v>503</v>
      </c>
      <c r="P3500" s="396">
        <v>6300</v>
      </c>
      <c r="Q3500" s="385">
        <v>18</v>
      </c>
      <c r="R3500" s="386">
        <f t="shared" si="111"/>
        <v>113400</v>
      </c>
      <c r="S3500" s="279">
        <v>202304</v>
      </c>
      <c r="T3500" s="184" t="s">
        <v>4579</v>
      </c>
      <c r="U3500" s="213"/>
      <c r="V3500" s="387"/>
      <c r="W3500" s="214"/>
      <c r="X3500" s="388">
        <v>44593</v>
      </c>
      <c r="Y3500" s="388">
        <v>46783</v>
      </c>
    </row>
    <row r="3501" s="5" customFormat="1" customHeight="1" spans="1:25">
      <c r="A3501" s="203" t="s">
        <v>446</v>
      </c>
      <c r="B3501" s="204" t="s">
        <v>4284</v>
      </c>
      <c r="C3501" s="204" t="s">
        <v>63</v>
      </c>
      <c r="D3501" s="204" t="s">
        <v>3038</v>
      </c>
      <c r="E3501" s="205" t="s">
        <v>4285</v>
      </c>
      <c r="F3501" s="203" t="s">
        <v>4286</v>
      </c>
      <c r="G3501" s="203" t="s">
        <v>88</v>
      </c>
      <c r="H3501" s="25" t="s">
        <v>4567</v>
      </c>
      <c r="I3501" s="46" t="e">
        <f>VLOOKUP(H3501,'合同高级查询数据-4月返'!A:A,1,FALSE)</f>
        <v>#N/A</v>
      </c>
      <c r="J3501" s="47" t="s">
        <v>3488</v>
      </c>
      <c r="K3501" s="290" t="s">
        <v>4568</v>
      </c>
      <c r="L3501" s="206"/>
      <c r="M3501" s="49" t="s">
        <v>4369</v>
      </c>
      <c r="N3501" s="73">
        <v>44686</v>
      </c>
      <c r="O3501" s="73" t="s">
        <v>503</v>
      </c>
      <c r="P3501" s="396">
        <v>6300</v>
      </c>
      <c r="Q3501" s="385">
        <v>24</v>
      </c>
      <c r="R3501" s="386">
        <f t="shared" si="111"/>
        <v>151200</v>
      </c>
      <c r="S3501" s="279">
        <v>202304</v>
      </c>
      <c r="T3501" s="184" t="s">
        <v>4580</v>
      </c>
      <c r="U3501" s="213"/>
      <c r="V3501" s="387"/>
      <c r="W3501" s="214"/>
      <c r="X3501" s="388">
        <v>44593</v>
      </c>
      <c r="Y3501" s="388">
        <v>46783</v>
      </c>
    </row>
    <row r="3502" s="5" customFormat="1" customHeight="1" spans="1:25">
      <c r="A3502" s="203" t="s">
        <v>446</v>
      </c>
      <c r="B3502" s="204" t="s">
        <v>4284</v>
      </c>
      <c r="C3502" s="204" t="s">
        <v>63</v>
      </c>
      <c r="D3502" s="204" t="s">
        <v>3038</v>
      </c>
      <c r="E3502" s="205" t="s">
        <v>4285</v>
      </c>
      <c r="F3502" s="203" t="s">
        <v>4286</v>
      </c>
      <c r="G3502" s="203" t="s">
        <v>88</v>
      </c>
      <c r="H3502" s="25" t="s">
        <v>4567</v>
      </c>
      <c r="I3502" s="46" t="e">
        <f>VLOOKUP(H3502,'合同高级查询数据-4月返'!A:A,1,FALSE)</f>
        <v>#N/A</v>
      </c>
      <c r="J3502" s="47" t="s">
        <v>3488</v>
      </c>
      <c r="K3502" s="290" t="s">
        <v>4568</v>
      </c>
      <c r="L3502" s="206"/>
      <c r="M3502" s="49" t="s">
        <v>4369</v>
      </c>
      <c r="N3502" s="73">
        <v>44734</v>
      </c>
      <c r="O3502" s="73" t="s">
        <v>503</v>
      </c>
      <c r="P3502" s="396">
        <v>6300</v>
      </c>
      <c r="Q3502" s="385">
        <v>14</v>
      </c>
      <c r="R3502" s="117">
        <f t="shared" si="111"/>
        <v>88200</v>
      </c>
      <c r="S3502" s="279">
        <v>202304</v>
      </c>
      <c r="T3502" s="184" t="s">
        <v>4581</v>
      </c>
      <c r="U3502" s="213"/>
      <c r="V3502" s="387"/>
      <c r="W3502" s="214"/>
      <c r="X3502" s="388">
        <v>44593</v>
      </c>
      <c r="Y3502" s="388">
        <v>46783</v>
      </c>
    </row>
    <row r="3503" s="5" customFormat="1" customHeight="1" spans="1:25">
      <c r="A3503" s="203" t="s">
        <v>446</v>
      </c>
      <c r="B3503" s="204" t="s">
        <v>4284</v>
      </c>
      <c r="C3503" s="204" t="s">
        <v>63</v>
      </c>
      <c r="D3503" s="204" t="s">
        <v>3038</v>
      </c>
      <c r="E3503" s="205" t="s">
        <v>4285</v>
      </c>
      <c r="F3503" s="203" t="s">
        <v>4286</v>
      </c>
      <c r="G3503" s="203" t="s">
        <v>88</v>
      </c>
      <c r="H3503" s="25" t="s">
        <v>4567</v>
      </c>
      <c r="I3503" s="46" t="e">
        <f>VLOOKUP(H3503,'合同高级查询数据-4月返'!A:A,1,FALSE)</f>
        <v>#N/A</v>
      </c>
      <c r="J3503" s="47" t="s">
        <v>3488</v>
      </c>
      <c r="K3503" s="290" t="s">
        <v>4568</v>
      </c>
      <c r="L3503" s="206"/>
      <c r="M3503" s="49" t="s">
        <v>4369</v>
      </c>
      <c r="N3503" s="73">
        <v>44736</v>
      </c>
      <c r="O3503" s="73" t="s">
        <v>503</v>
      </c>
      <c r="P3503" s="396">
        <v>6300</v>
      </c>
      <c r="Q3503" s="385">
        <v>6</v>
      </c>
      <c r="R3503" s="117">
        <f t="shared" si="111"/>
        <v>37800</v>
      </c>
      <c r="S3503" s="279">
        <v>202304</v>
      </c>
      <c r="T3503" s="184" t="s">
        <v>4582</v>
      </c>
      <c r="U3503" s="213"/>
      <c r="V3503" s="387"/>
      <c r="W3503" s="214"/>
      <c r="X3503" s="388">
        <v>44593</v>
      </c>
      <c r="Y3503" s="388">
        <v>46783</v>
      </c>
    </row>
    <row r="3504" s="5" customFormat="1" customHeight="1" spans="1:25">
      <c r="A3504" s="203" t="s">
        <v>446</v>
      </c>
      <c r="B3504" s="204" t="s">
        <v>4284</v>
      </c>
      <c r="C3504" s="204" t="s">
        <v>63</v>
      </c>
      <c r="D3504" s="204" t="s">
        <v>3038</v>
      </c>
      <c r="E3504" s="205" t="s">
        <v>4285</v>
      </c>
      <c r="F3504" s="203" t="s">
        <v>4286</v>
      </c>
      <c r="G3504" s="203" t="s">
        <v>88</v>
      </c>
      <c r="H3504" s="25" t="s">
        <v>4567</v>
      </c>
      <c r="I3504" s="46" t="e">
        <f>VLOOKUP(H3504,'合同高级查询数据-4月返'!A:A,1,FALSE)</f>
        <v>#N/A</v>
      </c>
      <c r="J3504" s="47" t="s">
        <v>3488</v>
      </c>
      <c r="K3504" s="290" t="s">
        <v>4568</v>
      </c>
      <c r="L3504" s="206"/>
      <c r="M3504" s="49" t="s">
        <v>4369</v>
      </c>
      <c r="N3504" s="73">
        <v>44742</v>
      </c>
      <c r="O3504" s="73" t="s">
        <v>503</v>
      </c>
      <c r="P3504" s="396">
        <v>6300</v>
      </c>
      <c r="Q3504" s="395">
        <v>2</v>
      </c>
      <c r="R3504" s="117">
        <f t="shared" si="111"/>
        <v>12600</v>
      </c>
      <c r="S3504" s="279">
        <v>202304</v>
      </c>
      <c r="T3504" s="184" t="s">
        <v>4583</v>
      </c>
      <c r="U3504" s="213"/>
      <c r="V3504" s="387"/>
      <c r="W3504" s="214"/>
      <c r="X3504" s="388">
        <v>44593</v>
      </c>
      <c r="Y3504" s="388">
        <v>46783</v>
      </c>
    </row>
    <row r="3505" s="5" customFormat="1" customHeight="1" spans="1:25">
      <c r="A3505" s="203" t="s">
        <v>446</v>
      </c>
      <c r="B3505" s="204" t="s">
        <v>4284</v>
      </c>
      <c r="C3505" s="204" t="s">
        <v>63</v>
      </c>
      <c r="D3505" s="204" t="s">
        <v>3038</v>
      </c>
      <c r="E3505" s="205" t="s">
        <v>4285</v>
      </c>
      <c r="F3505" s="203" t="s">
        <v>4286</v>
      </c>
      <c r="G3505" s="203" t="s">
        <v>88</v>
      </c>
      <c r="H3505" s="25" t="s">
        <v>4567</v>
      </c>
      <c r="I3505" s="46" t="e">
        <f>VLOOKUP(H3505,'合同高级查询数据-4月返'!A:A,1,FALSE)</f>
        <v>#N/A</v>
      </c>
      <c r="J3505" s="47" t="s">
        <v>3488</v>
      </c>
      <c r="K3505" s="290" t="s">
        <v>4568</v>
      </c>
      <c r="L3505" s="206"/>
      <c r="M3505" s="49" t="s">
        <v>4369</v>
      </c>
      <c r="N3505" s="73">
        <v>44743</v>
      </c>
      <c r="O3505" s="73" t="s">
        <v>503</v>
      </c>
      <c r="P3505" s="396">
        <v>6300</v>
      </c>
      <c r="Q3505" s="385">
        <v>3</v>
      </c>
      <c r="R3505" s="117">
        <f t="shared" si="111"/>
        <v>18900</v>
      </c>
      <c r="S3505" s="279">
        <v>202304</v>
      </c>
      <c r="T3505" s="184" t="s">
        <v>4584</v>
      </c>
      <c r="U3505" s="213"/>
      <c r="V3505" s="387"/>
      <c r="W3505" s="214"/>
      <c r="X3505" s="388">
        <v>44593</v>
      </c>
      <c r="Y3505" s="388">
        <v>46783</v>
      </c>
    </row>
    <row r="3506" s="5" customFormat="1" customHeight="1" spans="1:25">
      <c r="A3506" s="203" t="s">
        <v>446</v>
      </c>
      <c r="B3506" s="204" t="s">
        <v>4284</v>
      </c>
      <c r="C3506" s="204" t="s">
        <v>63</v>
      </c>
      <c r="D3506" s="204" t="s">
        <v>3038</v>
      </c>
      <c r="E3506" s="205" t="s">
        <v>4285</v>
      </c>
      <c r="F3506" s="203" t="s">
        <v>4286</v>
      </c>
      <c r="G3506" s="203" t="s">
        <v>88</v>
      </c>
      <c r="H3506" s="25" t="s">
        <v>4567</v>
      </c>
      <c r="I3506" s="46" t="e">
        <f>VLOOKUP(H3506,'合同高级查询数据-4月返'!A:A,1,FALSE)</f>
        <v>#N/A</v>
      </c>
      <c r="J3506" s="47" t="s">
        <v>3488</v>
      </c>
      <c r="K3506" s="290" t="s">
        <v>4568</v>
      </c>
      <c r="L3506" s="206"/>
      <c r="M3506" s="49" t="s">
        <v>4369</v>
      </c>
      <c r="N3506" s="73">
        <v>44746</v>
      </c>
      <c r="O3506" s="73" t="s">
        <v>503</v>
      </c>
      <c r="P3506" s="396">
        <v>6300</v>
      </c>
      <c r="Q3506" s="385">
        <v>9</v>
      </c>
      <c r="R3506" s="117">
        <f t="shared" ref="R3506:R3515" si="112">ROUND(P3506*Q3506,2)</f>
        <v>56700</v>
      </c>
      <c r="S3506" s="279">
        <v>202304</v>
      </c>
      <c r="T3506" s="184" t="s">
        <v>4585</v>
      </c>
      <c r="U3506" s="213"/>
      <c r="V3506" s="387"/>
      <c r="W3506" s="214"/>
      <c r="X3506" s="388">
        <v>44593</v>
      </c>
      <c r="Y3506" s="388">
        <v>46783</v>
      </c>
    </row>
    <row r="3507" s="5" customFormat="1" customHeight="1" spans="1:25">
      <c r="A3507" s="203" t="s">
        <v>446</v>
      </c>
      <c r="B3507" s="204" t="s">
        <v>4284</v>
      </c>
      <c r="C3507" s="204" t="s">
        <v>63</v>
      </c>
      <c r="D3507" s="204" t="s">
        <v>3038</v>
      </c>
      <c r="E3507" s="205" t="s">
        <v>4285</v>
      </c>
      <c r="F3507" s="203" t="s">
        <v>4286</v>
      </c>
      <c r="G3507" s="203" t="s">
        <v>88</v>
      </c>
      <c r="H3507" s="25" t="s">
        <v>4567</v>
      </c>
      <c r="I3507" s="46" t="e">
        <f>VLOOKUP(H3507,'合同高级查询数据-4月返'!A:A,1,FALSE)</f>
        <v>#N/A</v>
      </c>
      <c r="J3507" s="47" t="s">
        <v>3488</v>
      </c>
      <c r="K3507" s="290" t="s">
        <v>4568</v>
      </c>
      <c r="L3507" s="206"/>
      <c r="M3507" s="49" t="s">
        <v>4369</v>
      </c>
      <c r="N3507" s="73">
        <v>44805</v>
      </c>
      <c r="O3507" s="73" t="s">
        <v>503</v>
      </c>
      <c r="P3507" s="396">
        <v>6300</v>
      </c>
      <c r="Q3507" s="385">
        <v>4</v>
      </c>
      <c r="R3507" s="117">
        <f t="shared" si="112"/>
        <v>25200</v>
      </c>
      <c r="S3507" s="279">
        <v>202304</v>
      </c>
      <c r="T3507" s="189" t="s">
        <v>4586</v>
      </c>
      <c r="U3507" s="213"/>
      <c r="V3507" s="387"/>
      <c r="W3507" s="214"/>
      <c r="X3507" s="388">
        <v>44593</v>
      </c>
      <c r="Y3507" s="388">
        <v>46783</v>
      </c>
    </row>
    <row r="3508" s="5" customFormat="1" customHeight="1" spans="1:25">
      <c r="A3508" s="203" t="s">
        <v>446</v>
      </c>
      <c r="B3508" s="204" t="s">
        <v>4284</v>
      </c>
      <c r="C3508" s="204" t="s">
        <v>63</v>
      </c>
      <c r="D3508" s="204" t="s">
        <v>3038</v>
      </c>
      <c r="E3508" s="205" t="s">
        <v>4285</v>
      </c>
      <c r="F3508" s="203" t="s">
        <v>4286</v>
      </c>
      <c r="G3508" s="203" t="s">
        <v>88</v>
      </c>
      <c r="H3508" s="25" t="s">
        <v>4567</v>
      </c>
      <c r="I3508" s="46" t="e">
        <f>VLOOKUP(H3508,'合同高级查询数据-4月返'!A:A,1,FALSE)</f>
        <v>#N/A</v>
      </c>
      <c r="J3508" s="47" t="s">
        <v>3488</v>
      </c>
      <c r="K3508" s="290" t="s">
        <v>4568</v>
      </c>
      <c r="L3508" s="206"/>
      <c r="M3508" s="49" t="s">
        <v>4369</v>
      </c>
      <c r="N3508" s="73">
        <v>44843</v>
      </c>
      <c r="O3508" s="73" t="s">
        <v>507</v>
      </c>
      <c r="P3508" s="396">
        <v>12601.6</v>
      </c>
      <c r="Q3508" s="385">
        <v>8</v>
      </c>
      <c r="R3508" s="117">
        <f t="shared" si="112"/>
        <v>100812.8</v>
      </c>
      <c r="S3508" s="279">
        <v>202304</v>
      </c>
      <c r="T3508" s="189" t="s">
        <v>4587</v>
      </c>
      <c r="U3508" s="213"/>
      <c r="V3508" s="387"/>
      <c r="W3508" s="214"/>
      <c r="X3508" s="388">
        <v>44593</v>
      </c>
      <c r="Y3508" s="388">
        <v>46783</v>
      </c>
    </row>
    <row r="3509" s="5" customFormat="1" customHeight="1" spans="1:25">
      <c r="A3509" s="203" t="s">
        <v>446</v>
      </c>
      <c r="B3509" s="204" t="s">
        <v>4284</v>
      </c>
      <c r="C3509" s="204" t="s">
        <v>63</v>
      </c>
      <c r="D3509" s="204" t="s">
        <v>3038</v>
      </c>
      <c r="E3509" s="205" t="s">
        <v>4285</v>
      </c>
      <c r="F3509" s="203" t="s">
        <v>4286</v>
      </c>
      <c r="G3509" s="203" t="s">
        <v>88</v>
      </c>
      <c r="H3509" s="25" t="s">
        <v>4567</v>
      </c>
      <c r="I3509" s="46" t="e">
        <f>VLOOKUP(H3509,'合同高级查询数据-4月返'!A:A,1,FALSE)</f>
        <v>#N/A</v>
      </c>
      <c r="J3509" s="47" t="s">
        <v>3488</v>
      </c>
      <c r="K3509" s="290" t="s">
        <v>4568</v>
      </c>
      <c r="L3509" s="206"/>
      <c r="M3509" s="49" t="s">
        <v>4369</v>
      </c>
      <c r="N3509" s="73">
        <v>44845</v>
      </c>
      <c r="O3509" s="73" t="s">
        <v>503</v>
      </c>
      <c r="P3509" s="396">
        <v>6300</v>
      </c>
      <c r="Q3509" s="385">
        <v>-36</v>
      </c>
      <c r="R3509" s="117">
        <f t="shared" si="112"/>
        <v>-226800</v>
      </c>
      <c r="S3509" s="279">
        <v>202304</v>
      </c>
      <c r="T3509" s="189" t="s">
        <v>4588</v>
      </c>
      <c r="U3509" s="213"/>
      <c r="V3509" s="387"/>
      <c r="W3509" s="214"/>
      <c r="X3509" s="388">
        <v>44593</v>
      </c>
      <c r="Y3509" s="388">
        <v>46783</v>
      </c>
    </row>
    <row r="3510" s="5" customFormat="1" customHeight="1" spans="1:25">
      <c r="A3510" s="203" t="s">
        <v>446</v>
      </c>
      <c r="B3510" s="204" t="s">
        <v>4284</v>
      </c>
      <c r="C3510" s="204" t="s">
        <v>63</v>
      </c>
      <c r="D3510" s="204" t="s">
        <v>3038</v>
      </c>
      <c r="E3510" s="205" t="s">
        <v>4285</v>
      </c>
      <c r="F3510" s="203" t="s">
        <v>4286</v>
      </c>
      <c r="G3510" s="203" t="s">
        <v>88</v>
      </c>
      <c r="H3510" s="25" t="s">
        <v>4567</v>
      </c>
      <c r="I3510" s="46" t="e">
        <f>VLOOKUP(H3510,'合同高级查询数据-4月返'!A:A,1,FALSE)</f>
        <v>#N/A</v>
      </c>
      <c r="J3510" s="47" t="s">
        <v>3488</v>
      </c>
      <c r="K3510" s="290" t="s">
        <v>4568</v>
      </c>
      <c r="L3510" s="206"/>
      <c r="M3510" s="49" t="s">
        <v>4369</v>
      </c>
      <c r="N3510" s="73">
        <v>44869</v>
      </c>
      <c r="O3510" s="73" t="s">
        <v>503</v>
      </c>
      <c r="P3510" s="396">
        <v>6300</v>
      </c>
      <c r="Q3510" s="385">
        <v>-3</v>
      </c>
      <c r="R3510" s="207">
        <f t="shared" si="112"/>
        <v>-18900</v>
      </c>
      <c r="S3510" s="279">
        <v>202304</v>
      </c>
      <c r="T3510" s="189" t="s">
        <v>4589</v>
      </c>
      <c r="U3510" s="213"/>
      <c r="V3510" s="387"/>
      <c r="W3510" s="214"/>
      <c r="X3510" s="388">
        <v>44593</v>
      </c>
      <c r="Y3510" s="388">
        <v>46783</v>
      </c>
    </row>
    <row r="3511" s="5" customFormat="1" customHeight="1" spans="1:25">
      <c r="A3511" s="203" t="s">
        <v>446</v>
      </c>
      <c r="B3511" s="204" t="s">
        <v>4284</v>
      </c>
      <c r="C3511" s="204" t="s">
        <v>63</v>
      </c>
      <c r="D3511" s="204" t="s">
        <v>3038</v>
      </c>
      <c r="E3511" s="205" t="s">
        <v>4285</v>
      </c>
      <c r="F3511" s="203" t="s">
        <v>4286</v>
      </c>
      <c r="G3511" s="203" t="s">
        <v>88</v>
      </c>
      <c r="H3511" s="25" t="s">
        <v>4567</v>
      </c>
      <c r="I3511" s="46" t="e">
        <f>VLOOKUP(H3511,'合同高级查询数据-4月返'!A:A,1,FALSE)</f>
        <v>#N/A</v>
      </c>
      <c r="J3511" s="47" t="s">
        <v>3488</v>
      </c>
      <c r="K3511" s="290" t="s">
        <v>4568</v>
      </c>
      <c r="L3511" s="206"/>
      <c r="M3511" s="49" t="s">
        <v>4369</v>
      </c>
      <c r="N3511" s="73">
        <v>44900</v>
      </c>
      <c r="O3511" s="73" t="s">
        <v>503</v>
      </c>
      <c r="P3511" s="396">
        <v>6300</v>
      </c>
      <c r="Q3511" s="385">
        <v>2</v>
      </c>
      <c r="R3511" s="117">
        <f t="shared" si="112"/>
        <v>12600</v>
      </c>
      <c r="S3511" s="279">
        <v>202304</v>
      </c>
      <c r="T3511" s="189" t="s">
        <v>4590</v>
      </c>
      <c r="U3511" s="213"/>
      <c r="V3511" s="387"/>
      <c r="W3511" s="214"/>
      <c r="X3511" s="388">
        <v>44593</v>
      </c>
      <c r="Y3511" s="388">
        <v>46783</v>
      </c>
    </row>
    <row r="3512" s="5" customFormat="1" customHeight="1" spans="1:25">
      <c r="A3512" s="203" t="s">
        <v>446</v>
      </c>
      <c r="B3512" s="204" t="s">
        <v>4284</v>
      </c>
      <c r="C3512" s="204" t="s">
        <v>63</v>
      </c>
      <c r="D3512" s="204" t="s">
        <v>3038</v>
      </c>
      <c r="E3512" s="205" t="s">
        <v>4285</v>
      </c>
      <c r="F3512" s="203" t="s">
        <v>4286</v>
      </c>
      <c r="G3512" s="203" t="s">
        <v>88</v>
      </c>
      <c r="H3512" s="25" t="s">
        <v>4567</v>
      </c>
      <c r="I3512" s="46" t="e">
        <f>VLOOKUP(H3512,'合同高级查询数据-4月返'!A:A,1,FALSE)</f>
        <v>#N/A</v>
      </c>
      <c r="J3512" s="47" t="s">
        <v>3488</v>
      </c>
      <c r="K3512" s="290" t="s">
        <v>4568</v>
      </c>
      <c r="L3512" s="206"/>
      <c r="M3512" s="49" t="s">
        <v>4369</v>
      </c>
      <c r="N3512" s="73">
        <v>44943</v>
      </c>
      <c r="O3512" s="73" t="s">
        <v>503</v>
      </c>
      <c r="P3512" s="396">
        <v>6300</v>
      </c>
      <c r="Q3512" s="385">
        <v>1</v>
      </c>
      <c r="R3512" s="117">
        <f t="shared" si="112"/>
        <v>6300</v>
      </c>
      <c r="S3512" s="279">
        <v>202304</v>
      </c>
      <c r="T3512" s="189" t="s">
        <v>4591</v>
      </c>
      <c r="U3512" s="213"/>
      <c r="V3512" s="387"/>
      <c r="W3512" s="214"/>
      <c r="X3512" s="388">
        <v>44593</v>
      </c>
      <c r="Y3512" s="388">
        <v>46783</v>
      </c>
    </row>
    <row r="3513" s="5" customFormat="1" customHeight="1" spans="1:25">
      <c r="A3513" s="203" t="s">
        <v>446</v>
      </c>
      <c r="B3513" s="204" t="s">
        <v>4284</v>
      </c>
      <c r="C3513" s="204" t="s">
        <v>63</v>
      </c>
      <c r="D3513" s="204" t="s">
        <v>3038</v>
      </c>
      <c r="E3513" s="205" t="s">
        <v>4285</v>
      </c>
      <c r="F3513" s="203" t="s">
        <v>4286</v>
      </c>
      <c r="G3513" s="203" t="s">
        <v>88</v>
      </c>
      <c r="H3513" s="25" t="s">
        <v>4567</v>
      </c>
      <c r="I3513" s="46" t="e">
        <f>VLOOKUP(H3513,'合同高级查询数据-4月返'!A:A,1,FALSE)</f>
        <v>#N/A</v>
      </c>
      <c r="J3513" s="47" t="s">
        <v>3488</v>
      </c>
      <c r="K3513" s="290" t="s">
        <v>4568</v>
      </c>
      <c r="L3513" s="206"/>
      <c r="M3513" s="49" t="s">
        <v>4369</v>
      </c>
      <c r="N3513" s="73">
        <v>44965</v>
      </c>
      <c r="O3513" s="73" t="s">
        <v>503</v>
      </c>
      <c r="P3513" s="396">
        <v>6300</v>
      </c>
      <c r="Q3513" s="385">
        <v>10</v>
      </c>
      <c r="R3513" s="117">
        <f t="shared" si="112"/>
        <v>63000</v>
      </c>
      <c r="S3513" s="279">
        <v>202304</v>
      </c>
      <c r="T3513" s="189" t="s">
        <v>4592</v>
      </c>
      <c r="U3513" s="213"/>
      <c r="V3513" s="387"/>
      <c r="W3513" s="214"/>
      <c r="X3513" s="388">
        <v>44593</v>
      </c>
      <c r="Y3513" s="388">
        <v>46783</v>
      </c>
    </row>
    <row r="3514" s="5" customFormat="1" customHeight="1" spans="1:25">
      <c r="A3514" s="203" t="s">
        <v>446</v>
      </c>
      <c r="B3514" s="204" t="s">
        <v>4284</v>
      </c>
      <c r="C3514" s="204" t="s">
        <v>63</v>
      </c>
      <c r="D3514" s="204" t="s">
        <v>3038</v>
      </c>
      <c r="E3514" s="205" t="s">
        <v>4285</v>
      </c>
      <c r="F3514" s="203" t="s">
        <v>4286</v>
      </c>
      <c r="G3514" s="203" t="s">
        <v>88</v>
      </c>
      <c r="H3514" s="25" t="s">
        <v>4567</v>
      </c>
      <c r="I3514" s="46" t="e">
        <f>VLOOKUP(H3514,'合同高级查询数据-4月返'!A:A,1,FALSE)</f>
        <v>#N/A</v>
      </c>
      <c r="J3514" s="47" t="s">
        <v>3488</v>
      </c>
      <c r="K3514" s="290" t="s">
        <v>4568</v>
      </c>
      <c r="L3514" s="206"/>
      <c r="M3514" s="49" t="s">
        <v>4369</v>
      </c>
      <c r="N3514" s="73">
        <v>44983</v>
      </c>
      <c r="O3514" s="73" t="s">
        <v>503</v>
      </c>
      <c r="P3514" s="396">
        <v>6300</v>
      </c>
      <c r="Q3514" s="385">
        <v>38</v>
      </c>
      <c r="R3514" s="117">
        <f t="shared" si="112"/>
        <v>239400</v>
      </c>
      <c r="S3514" s="279">
        <v>202304</v>
      </c>
      <c r="T3514" s="189" t="s">
        <v>4593</v>
      </c>
      <c r="U3514" s="213"/>
      <c r="V3514" s="387"/>
      <c r="W3514" s="214"/>
      <c r="X3514" s="388">
        <v>44593</v>
      </c>
      <c r="Y3514" s="388">
        <v>46783</v>
      </c>
    </row>
    <row r="3515" s="5" customFormat="1" customHeight="1" spans="1:25">
      <c r="A3515" s="203" t="s">
        <v>446</v>
      </c>
      <c r="B3515" s="204" t="s">
        <v>4284</v>
      </c>
      <c r="C3515" s="204" t="s">
        <v>63</v>
      </c>
      <c r="D3515" s="204" t="s">
        <v>3038</v>
      </c>
      <c r="E3515" s="205" t="s">
        <v>4285</v>
      </c>
      <c r="F3515" s="203" t="s">
        <v>4286</v>
      </c>
      <c r="G3515" s="203" t="s">
        <v>88</v>
      </c>
      <c r="H3515" s="25" t="s">
        <v>4567</v>
      </c>
      <c r="I3515" s="46" t="e">
        <f>VLOOKUP(H3515,'合同高级查询数据-4月返'!A:A,1,FALSE)</f>
        <v>#N/A</v>
      </c>
      <c r="J3515" s="47" t="s">
        <v>3488</v>
      </c>
      <c r="K3515" s="290" t="s">
        <v>4568</v>
      </c>
      <c r="L3515" s="206"/>
      <c r="M3515" s="49" t="s">
        <v>4369</v>
      </c>
      <c r="N3515" s="73">
        <v>45015</v>
      </c>
      <c r="O3515" s="73" t="s">
        <v>503</v>
      </c>
      <c r="P3515" s="396">
        <v>6300</v>
      </c>
      <c r="Q3515" s="385">
        <v>-5</v>
      </c>
      <c r="R3515" s="207">
        <f t="shared" si="112"/>
        <v>-31500</v>
      </c>
      <c r="S3515" s="279">
        <v>202304</v>
      </c>
      <c r="T3515" s="189" t="s">
        <v>4594</v>
      </c>
      <c r="U3515" s="213"/>
      <c r="V3515" s="387"/>
      <c r="W3515" s="214"/>
      <c r="X3515" s="388">
        <v>44593</v>
      </c>
      <c r="Y3515" s="388">
        <v>46783</v>
      </c>
    </row>
    <row r="3516" s="5" customFormat="1" customHeight="1" spans="1:25">
      <c r="A3516" s="203" t="s">
        <v>446</v>
      </c>
      <c r="B3516" s="204" t="s">
        <v>4284</v>
      </c>
      <c r="C3516" s="204" t="s">
        <v>63</v>
      </c>
      <c r="D3516" s="204" t="s">
        <v>3038</v>
      </c>
      <c r="E3516" s="205" t="s">
        <v>4285</v>
      </c>
      <c r="F3516" s="203" t="s">
        <v>4286</v>
      </c>
      <c r="G3516" s="203" t="s">
        <v>88</v>
      </c>
      <c r="H3516" s="25" t="s">
        <v>4567</v>
      </c>
      <c r="I3516" s="46" t="e">
        <f>VLOOKUP(H3516,'合同高级查询数据-4月返'!A:A,1,FALSE)</f>
        <v>#N/A</v>
      </c>
      <c r="J3516" s="47" t="s">
        <v>3488</v>
      </c>
      <c r="K3516" s="290" t="s">
        <v>4568</v>
      </c>
      <c r="L3516" s="206"/>
      <c r="M3516" s="49" t="s">
        <v>4369</v>
      </c>
      <c r="N3516" s="397">
        <v>45023</v>
      </c>
      <c r="O3516" s="73" t="s">
        <v>503</v>
      </c>
      <c r="P3516" s="396">
        <v>6300</v>
      </c>
      <c r="Q3516" s="385">
        <v>11</v>
      </c>
      <c r="R3516" s="207">
        <f>ROUND(P3516*Q3516*24/30,2)</f>
        <v>55440</v>
      </c>
      <c r="S3516" s="279">
        <v>202304</v>
      </c>
      <c r="T3516" s="398" t="s">
        <v>4595</v>
      </c>
      <c r="U3516" s="213"/>
      <c r="V3516" s="387"/>
      <c r="W3516" s="214"/>
      <c r="X3516" s="388">
        <v>44593</v>
      </c>
      <c r="Y3516" s="388">
        <v>46783</v>
      </c>
    </row>
    <row r="3517" s="5" customFormat="1" customHeight="1" spans="1:25">
      <c r="A3517" s="203" t="s">
        <v>446</v>
      </c>
      <c r="B3517" s="204" t="s">
        <v>4284</v>
      </c>
      <c r="C3517" s="204" t="s">
        <v>63</v>
      </c>
      <c r="D3517" s="204" t="s">
        <v>3038</v>
      </c>
      <c r="E3517" s="205" t="s">
        <v>4285</v>
      </c>
      <c r="F3517" s="203" t="s">
        <v>4286</v>
      </c>
      <c r="G3517" s="203" t="s">
        <v>88</v>
      </c>
      <c r="H3517" s="25" t="s">
        <v>4567</v>
      </c>
      <c r="I3517" s="46" t="e">
        <f>VLOOKUP(H3517,'合同高级查询数据-4月返'!A:A,1,FALSE)</f>
        <v>#N/A</v>
      </c>
      <c r="J3517" s="47" t="s">
        <v>3488</v>
      </c>
      <c r="K3517" s="290" t="s">
        <v>4568</v>
      </c>
      <c r="L3517" s="206"/>
      <c r="M3517" s="49" t="s">
        <v>4369</v>
      </c>
      <c r="N3517" s="397">
        <v>45033</v>
      </c>
      <c r="O3517" s="73" t="s">
        <v>503</v>
      </c>
      <c r="P3517" s="396">
        <v>6300</v>
      </c>
      <c r="Q3517" s="385">
        <v>14</v>
      </c>
      <c r="R3517" s="207">
        <f>ROUND(P3517*Q3517*14/30,2)</f>
        <v>41160</v>
      </c>
      <c r="S3517" s="279">
        <v>202304</v>
      </c>
      <c r="T3517" s="398" t="s">
        <v>4596</v>
      </c>
      <c r="U3517" s="213"/>
      <c r="V3517" s="387"/>
      <c r="W3517" s="214"/>
      <c r="X3517" s="388">
        <v>44593</v>
      </c>
      <c r="Y3517" s="388">
        <v>46783</v>
      </c>
    </row>
    <row r="3518" s="5" customFormat="1" customHeight="1" spans="1:25">
      <c r="A3518" s="203" t="s">
        <v>446</v>
      </c>
      <c r="B3518" s="204" t="s">
        <v>4284</v>
      </c>
      <c r="C3518" s="204" t="s">
        <v>63</v>
      </c>
      <c r="D3518" s="204" t="s">
        <v>3038</v>
      </c>
      <c r="E3518" s="205" t="s">
        <v>4285</v>
      </c>
      <c r="F3518" s="203" t="s">
        <v>4286</v>
      </c>
      <c r="G3518" s="203" t="s">
        <v>88</v>
      </c>
      <c r="H3518" s="25" t="s">
        <v>4597</v>
      </c>
      <c r="I3518" s="46" t="e">
        <f>VLOOKUP(H3518,'合同高级查询数据-4月返'!A:A,1,FALSE)</f>
        <v>#N/A</v>
      </c>
      <c r="J3518" s="47" t="s">
        <v>3488</v>
      </c>
      <c r="K3518" s="290" t="s">
        <v>4598</v>
      </c>
      <c r="L3518" s="206"/>
      <c r="M3518" s="49" t="s">
        <v>4369</v>
      </c>
      <c r="N3518" s="73">
        <v>44735</v>
      </c>
      <c r="O3518" s="73" t="s">
        <v>507</v>
      </c>
      <c r="P3518" s="396">
        <v>11500</v>
      </c>
      <c r="Q3518" s="385">
        <v>29</v>
      </c>
      <c r="R3518" s="117">
        <f>ROUND(P3518*Q3518,2)</f>
        <v>333500</v>
      </c>
      <c r="S3518" s="279">
        <v>202304</v>
      </c>
      <c r="T3518" s="184" t="s">
        <v>4599</v>
      </c>
      <c r="U3518" s="213"/>
      <c r="V3518" s="387"/>
      <c r="W3518" s="214"/>
      <c r="X3518" s="388">
        <v>44743</v>
      </c>
      <c r="Y3518" s="388">
        <v>46934</v>
      </c>
    </row>
    <row r="3519" s="5" customFormat="1" customHeight="1" spans="1:25">
      <c r="A3519" s="203" t="s">
        <v>446</v>
      </c>
      <c r="B3519" s="204" t="s">
        <v>4284</v>
      </c>
      <c r="C3519" s="204" t="s">
        <v>63</v>
      </c>
      <c r="D3519" s="204" t="s">
        <v>3038</v>
      </c>
      <c r="E3519" s="205" t="s">
        <v>4285</v>
      </c>
      <c r="F3519" s="203" t="s">
        <v>4286</v>
      </c>
      <c r="G3519" s="203" t="s">
        <v>88</v>
      </c>
      <c r="H3519" s="25" t="s">
        <v>4597</v>
      </c>
      <c r="I3519" s="46" t="e">
        <f>VLOOKUP(H3519,'合同高级查询数据-4月返'!A:A,1,FALSE)</f>
        <v>#N/A</v>
      </c>
      <c r="J3519" s="47" t="s">
        <v>3488</v>
      </c>
      <c r="K3519" s="290" t="s">
        <v>4598</v>
      </c>
      <c r="L3519" s="206"/>
      <c r="M3519" s="49" t="s">
        <v>4369</v>
      </c>
      <c r="N3519" s="73">
        <v>44740</v>
      </c>
      <c r="O3519" s="73" t="s">
        <v>507</v>
      </c>
      <c r="P3519" s="396">
        <v>11500</v>
      </c>
      <c r="Q3519" s="385">
        <v>14</v>
      </c>
      <c r="R3519" s="117">
        <f>ROUND(P3519*Q3519,2)</f>
        <v>161000</v>
      </c>
      <c r="S3519" s="279">
        <v>202304</v>
      </c>
      <c r="T3519" s="184" t="s">
        <v>4600</v>
      </c>
      <c r="U3519" s="213"/>
      <c r="V3519" s="387"/>
      <c r="W3519" s="214"/>
      <c r="X3519" s="388">
        <v>44743</v>
      </c>
      <c r="Y3519" s="388">
        <v>46934</v>
      </c>
    </row>
    <row r="3520" s="5" customFormat="1" customHeight="1" spans="1:25">
      <c r="A3520" s="203" t="s">
        <v>446</v>
      </c>
      <c r="B3520" s="204" t="s">
        <v>4284</v>
      </c>
      <c r="C3520" s="204" t="s">
        <v>63</v>
      </c>
      <c r="D3520" s="204" t="s">
        <v>3038</v>
      </c>
      <c r="E3520" s="205" t="s">
        <v>4285</v>
      </c>
      <c r="F3520" s="203" t="s">
        <v>4286</v>
      </c>
      <c r="G3520" s="203" t="s">
        <v>88</v>
      </c>
      <c r="H3520" s="25" t="s">
        <v>4597</v>
      </c>
      <c r="I3520" s="46" t="e">
        <f>VLOOKUP(H3520,'合同高级查询数据-4月返'!A:A,1,FALSE)</f>
        <v>#N/A</v>
      </c>
      <c r="J3520" s="47" t="s">
        <v>3488</v>
      </c>
      <c r="K3520" s="290" t="s">
        <v>4598</v>
      </c>
      <c r="L3520" s="206"/>
      <c r="M3520" s="49" t="s">
        <v>4369</v>
      </c>
      <c r="N3520" s="73">
        <v>44744</v>
      </c>
      <c r="O3520" s="73" t="s">
        <v>507</v>
      </c>
      <c r="P3520" s="396">
        <v>11500</v>
      </c>
      <c r="Q3520" s="385">
        <v>8</v>
      </c>
      <c r="R3520" s="117">
        <f t="shared" ref="R3520:R3559" si="113">ROUND(P3520*Q3520,2)</f>
        <v>92000</v>
      </c>
      <c r="S3520" s="279">
        <v>202304</v>
      </c>
      <c r="T3520" s="184" t="s">
        <v>4601</v>
      </c>
      <c r="U3520" s="213"/>
      <c r="V3520" s="387"/>
      <c r="W3520" s="214"/>
      <c r="X3520" s="388">
        <v>44743</v>
      </c>
      <c r="Y3520" s="388">
        <v>46934</v>
      </c>
    </row>
    <row r="3521" s="5" customFormat="1" customHeight="1" spans="1:25">
      <c r="A3521" s="203" t="s">
        <v>446</v>
      </c>
      <c r="B3521" s="204" t="s">
        <v>4284</v>
      </c>
      <c r="C3521" s="204" t="s">
        <v>63</v>
      </c>
      <c r="D3521" s="204" t="s">
        <v>3038</v>
      </c>
      <c r="E3521" s="205" t="s">
        <v>4285</v>
      </c>
      <c r="F3521" s="203" t="s">
        <v>4286</v>
      </c>
      <c r="G3521" s="203" t="s">
        <v>88</v>
      </c>
      <c r="H3521" s="25" t="s">
        <v>4597</v>
      </c>
      <c r="I3521" s="46" t="e">
        <f>VLOOKUP(H3521,'合同高级查询数据-4月返'!A:A,1,FALSE)</f>
        <v>#N/A</v>
      </c>
      <c r="J3521" s="47" t="s">
        <v>3488</v>
      </c>
      <c r="K3521" s="290" t="s">
        <v>4598</v>
      </c>
      <c r="L3521" s="206"/>
      <c r="M3521" s="49" t="s">
        <v>4369</v>
      </c>
      <c r="N3521" s="73">
        <v>44760</v>
      </c>
      <c r="O3521" s="73" t="s">
        <v>507</v>
      </c>
      <c r="P3521" s="396">
        <v>11500</v>
      </c>
      <c r="Q3521" s="385">
        <v>12</v>
      </c>
      <c r="R3521" s="117">
        <f t="shared" si="113"/>
        <v>138000</v>
      </c>
      <c r="S3521" s="279">
        <v>202304</v>
      </c>
      <c r="T3521" s="184" t="s">
        <v>4602</v>
      </c>
      <c r="U3521" s="213"/>
      <c r="V3521" s="387"/>
      <c r="W3521" s="214"/>
      <c r="X3521" s="388">
        <v>44743</v>
      </c>
      <c r="Y3521" s="388">
        <v>46934</v>
      </c>
    </row>
    <row r="3522" s="5" customFormat="1" customHeight="1" spans="1:25">
      <c r="A3522" s="203" t="s">
        <v>446</v>
      </c>
      <c r="B3522" s="204" t="s">
        <v>4284</v>
      </c>
      <c r="C3522" s="204" t="s">
        <v>63</v>
      </c>
      <c r="D3522" s="204" t="s">
        <v>3038</v>
      </c>
      <c r="E3522" s="205" t="s">
        <v>4285</v>
      </c>
      <c r="F3522" s="203" t="s">
        <v>4286</v>
      </c>
      <c r="G3522" s="203" t="s">
        <v>88</v>
      </c>
      <c r="H3522" s="25" t="s">
        <v>4597</v>
      </c>
      <c r="I3522" s="46" t="e">
        <f>VLOOKUP(H3522,'合同高级查询数据-4月返'!A:A,1,FALSE)</f>
        <v>#N/A</v>
      </c>
      <c r="J3522" s="47" t="s">
        <v>3488</v>
      </c>
      <c r="K3522" s="290" t="s">
        <v>4598</v>
      </c>
      <c r="L3522" s="206"/>
      <c r="M3522" s="49" t="s">
        <v>4369</v>
      </c>
      <c r="N3522" s="73">
        <v>44762</v>
      </c>
      <c r="O3522" s="73" t="s">
        <v>507</v>
      </c>
      <c r="P3522" s="396">
        <v>11500</v>
      </c>
      <c r="Q3522" s="385">
        <v>15</v>
      </c>
      <c r="R3522" s="117">
        <f t="shared" si="113"/>
        <v>172500</v>
      </c>
      <c r="S3522" s="279">
        <v>202304</v>
      </c>
      <c r="T3522" s="184" t="s">
        <v>4603</v>
      </c>
      <c r="U3522" s="213"/>
      <c r="V3522" s="387"/>
      <c r="W3522" s="214"/>
      <c r="X3522" s="388">
        <v>44743</v>
      </c>
      <c r="Y3522" s="388">
        <v>46934</v>
      </c>
    </row>
    <row r="3523" s="5" customFormat="1" customHeight="1" spans="1:25">
      <c r="A3523" s="203" t="s">
        <v>446</v>
      </c>
      <c r="B3523" s="204" t="s">
        <v>4284</v>
      </c>
      <c r="C3523" s="204" t="s">
        <v>63</v>
      </c>
      <c r="D3523" s="204" t="s">
        <v>3038</v>
      </c>
      <c r="E3523" s="205" t="s">
        <v>4285</v>
      </c>
      <c r="F3523" s="203" t="s">
        <v>4286</v>
      </c>
      <c r="G3523" s="203" t="s">
        <v>88</v>
      </c>
      <c r="H3523" s="25" t="s">
        <v>4597</v>
      </c>
      <c r="I3523" s="46" t="e">
        <f>VLOOKUP(H3523,'合同高级查询数据-4月返'!A:A,1,FALSE)</f>
        <v>#N/A</v>
      </c>
      <c r="J3523" s="47" t="s">
        <v>3488</v>
      </c>
      <c r="K3523" s="290" t="s">
        <v>4598</v>
      </c>
      <c r="L3523" s="206"/>
      <c r="M3523" s="49" t="s">
        <v>4369</v>
      </c>
      <c r="N3523" s="73">
        <v>44767</v>
      </c>
      <c r="O3523" s="73" t="s">
        <v>507</v>
      </c>
      <c r="P3523" s="396">
        <v>11500</v>
      </c>
      <c r="Q3523" s="385">
        <v>21</v>
      </c>
      <c r="R3523" s="117">
        <f t="shared" si="113"/>
        <v>241500</v>
      </c>
      <c r="S3523" s="279">
        <v>202304</v>
      </c>
      <c r="T3523" s="184" t="s">
        <v>4604</v>
      </c>
      <c r="U3523" s="213"/>
      <c r="V3523" s="387"/>
      <c r="W3523" s="214"/>
      <c r="X3523" s="388">
        <v>44743</v>
      </c>
      <c r="Y3523" s="388">
        <v>46934</v>
      </c>
    </row>
    <row r="3524" s="5" customFormat="1" customHeight="1" spans="1:25">
      <c r="A3524" s="203" t="s">
        <v>446</v>
      </c>
      <c r="B3524" s="204" t="s">
        <v>4284</v>
      </c>
      <c r="C3524" s="204" t="s">
        <v>63</v>
      </c>
      <c r="D3524" s="204" t="s">
        <v>3038</v>
      </c>
      <c r="E3524" s="205" t="s">
        <v>4285</v>
      </c>
      <c r="F3524" s="203" t="s">
        <v>4286</v>
      </c>
      <c r="G3524" s="203" t="s">
        <v>88</v>
      </c>
      <c r="H3524" s="25" t="s">
        <v>4597</v>
      </c>
      <c r="I3524" s="46" t="e">
        <f>VLOOKUP(H3524,'合同高级查询数据-4月返'!A:A,1,FALSE)</f>
        <v>#N/A</v>
      </c>
      <c r="J3524" s="47" t="s">
        <v>3488</v>
      </c>
      <c r="K3524" s="290" t="s">
        <v>4598</v>
      </c>
      <c r="L3524" s="206"/>
      <c r="M3524" s="49" t="s">
        <v>4369</v>
      </c>
      <c r="N3524" s="73">
        <v>44769</v>
      </c>
      <c r="O3524" s="73" t="s">
        <v>507</v>
      </c>
      <c r="P3524" s="396">
        <v>11500</v>
      </c>
      <c r="Q3524" s="385">
        <v>1</v>
      </c>
      <c r="R3524" s="117">
        <f t="shared" si="113"/>
        <v>11500</v>
      </c>
      <c r="S3524" s="279">
        <v>202304</v>
      </c>
      <c r="T3524" s="184" t="s">
        <v>4605</v>
      </c>
      <c r="U3524" s="213"/>
      <c r="V3524" s="387"/>
      <c r="W3524" s="214"/>
      <c r="X3524" s="388">
        <v>44743</v>
      </c>
      <c r="Y3524" s="388">
        <v>46934</v>
      </c>
    </row>
    <row r="3525" s="5" customFormat="1" customHeight="1" spans="1:25">
      <c r="A3525" s="203" t="s">
        <v>446</v>
      </c>
      <c r="B3525" s="204" t="s">
        <v>4284</v>
      </c>
      <c r="C3525" s="204" t="s">
        <v>63</v>
      </c>
      <c r="D3525" s="204" t="s">
        <v>3038</v>
      </c>
      <c r="E3525" s="205" t="s">
        <v>4285</v>
      </c>
      <c r="F3525" s="203" t="s">
        <v>4286</v>
      </c>
      <c r="G3525" s="203" t="s">
        <v>88</v>
      </c>
      <c r="H3525" s="25" t="s">
        <v>4597</v>
      </c>
      <c r="I3525" s="46" t="e">
        <f>VLOOKUP(H3525,'合同高级查询数据-4月返'!A:A,1,FALSE)</f>
        <v>#N/A</v>
      </c>
      <c r="J3525" s="47" t="s">
        <v>3488</v>
      </c>
      <c r="K3525" s="290" t="s">
        <v>4598</v>
      </c>
      <c r="L3525" s="206"/>
      <c r="M3525" s="49" t="s">
        <v>4369</v>
      </c>
      <c r="N3525" s="73">
        <v>44776</v>
      </c>
      <c r="O3525" s="73" t="s">
        <v>507</v>
      </c>
      <c r="P3525" s="396">
        <v>11500</v>
      </c>
      <c r="Q3525" s="385">
        <v>1</v>
      </c>
      <c r="R3525" s="386">
        <f t="shared" si="113"/>
        <v>11500</v>
      </c>
      <c r="S3525" s="279">
        <v>202304</v>
      </c>
      <c r="T3525" s="184" t="s">
        <v>4606</v>
      </c>
      <c r="U3525" s="213"/>
      <c r="V3525" s="387"/>
      <c r="W3525" s="214"/>
      <c r="X3525" s="388">
        <v>44743</v>
      </c>
      <c r="Y3525" s="388">
        <v>46934</v>
      </c>
    </row>
    <row r="3526" s="5" customFormat="1" customHeight="1" spans="1:25">
      <c r="A3526" s="203" t="s">
        <v>446</v>
      </c>
      <c r="B3526" s="204" t="s">
        <v>4284</v>
      </c>
      <c r="C3526" s="204" t="s">
        <v>63</v>
      </c>
      <c r="D3526" s="204" t="s">
        <v>3038</v>
      </c>
      <c r="E3526" s="205" t="s">
        <v>4285</v>
      </c>
      <c r="F3526" s="203" t="s">
        <v>4286</v>
      </c>
      <c r="G3526" s="203" t="s">
        <v>88</v>
      </c>
      <c r="H3526" s="25" t="s">
        <v>4597</v>
      </c>
      <c r="I3526" s="46" t="e">
        <f>VLOOKUP(H3526,'合同高级查询数据-4月返'!A:A,1,FALSE)</f>
        <v>#N/A</v>
      </c>
      <c r="J3526" s="47" t="s">
        <v>3488</v>
      </c>
      <c r="K3526" s="290" t="s">
        <v>4598</v>
      </c>
      <c r="L3526" s="206"/>
      <c r="M3526" s="49" t="s">
        <v>4369</v>
      </c>
      <c r="N3526" s="73">
        <v>44784</v>
      </c>
      <c r="O3526" s="73" t="s">
        <v>507</v>
      </c>
      <c r="P3526" s="396">
        <v>11500</v>
      </c>
      <c r="Q3526" s="385">
        <v>4</v>
      </c>
      <c r="R3526" s="386">
        <f t="shared" si="113"/>
        <v>46000</v>
      </c>
      <c r="S3526" s="279">
        <v>202304</v>
      </c>
      <c r="T3526" s="184" t="s">
        <v>4607</v>
      </c>
      <c r="U3526" s="213"/>
      <c r="V3526" s="387"/>
      <c r="W3526" s="214"/>
      <c r="X3526" s="388">
        <v>44743</v>
      </c>
      <c r="Y3526" s="388">
        <v>46934</v>
      </c>
    </row>
    <row r="3527" s="5" customFormat="1" customHeight="1" spans="1:25">
      <c r="A3527" s="203" t="s">
        <v>446</v>
      </c>
      <c r="B3527" s="204" t="s">
        <v>4284</v>
      </c>
      <c r="C3527" s="204" t="s">
        <v>63</v>
      </c>
      <c r="D3527" s="204" t="s">
        <v>3038</v>
      </c>
      <c r="E3527" s="205" t="s">
        <v>4285</v>
      </c>
      <c r="F3527" s="203" t="s">
        <v>4286</v>
      </c>
      <c r="G3527" s="203" t="s">
        <v>88</v>
      </c>
      <c r="H3527" s="25" t="s">
        <v>4597</v>
      </c>
      <c r="I3527" s="46" t="e">
        <f>VLOOKUP(H3527,'合同高级查询数据-4月返'!A:A,1,FALSE)</f>
        <v>#N/A</v>
      </c>
      <c r="J3527" s="47" t="s">
        <v>3488</v>
      </c>
      <c r="K3527" s="290" t="s">
        <v>4598</v>
      </c>
      <c r="L3527" s="206"/>
      <c r="M3527" s="49" t="s">
        <v>4369</v>
      </c>
      <c r="N3527" s="73">
        <v>44809</v>
      </c>
      <c r="O3527" s="73" t="s">
        <v>507</v>
      </c>
      <c r="P3527" s="396">
        <v>11500</v>
      </c>
      <c r="Q3527" s="385">
        <v>8</v>
      </c>
      <c r="R3527" s="386">
        <f t="shared" si="113"/>
        <v>92000</v>
      </c>
      <c r="S3527" s="279">
        <v>202304</v>
      </c>
      <c r="T3527" s="189" t="s">
        <v>4608</v>
      </c>
      <c r="U3527" s="213"/>
      <c r="V3527" s="387"/>
      <c r="W3527" s="214"/>
      <c r="X3527" s="388">
        <v>44743</v>
      </c>
      <c r="Y3527" s="388">
        <v>46934</v>
      </c>
    </row>
    <row r="3528" s="5" customFormat="1" customHeight="1" spans="1:25">
      <c r="A3528" s="203" t="s">
        <v>446</v>
      </c>
      <c r="B3528" s="204" t="s">
        <v>4284</v>
      </c>
      <c r="C3528" s="204" t="s">
        <v>63</v>
      </c>
      <c r="D3528" s="204" t="s">
        <v>3038</v>
      </c>
      <c r="E3528" s="205" t="s">
        <v>4285</v>
      </c>
      <c r="F3528" s="203" t="s">
        <v>4286</v>
      </c>
      <c r="G3528" s="203" t="s">
        <v>88</v>
      </c>
      <c r="H3528" s="25" t="s">
        <v>4597</v>
      </c>
      <c r="I3528" s="46" t="e">
        <f>VLOOKUP(H3528,'合同高级查询数据-4月返'!A:A,1,FALSE)</f>
        <v>#N/A</v>
      </c>
      <c r="J3528" s="47" t="s">
        <v>3488</v>
      </c>
      <c r="K3528" s="290" t="s">
        <v>4598</v>
      </c>
      <c r="L3528" s="206"/>
      <c r="M3528" s="49" t="s">
        <v>4369</v>
      </c>
      <c r="N3528" s="73">
        <v>44818</v>
      </c>
      <c r="O3528" s="73" t="s">
        <v>507</v>
      </c>
      <c r="P3528" s="396">
        <v>11500</v>
      </c>
      <c r="Q3528" s="385">
        <v>3</v>
      </c>
      <c r="R3528" s="386">
        <f t="shared" si="113"/>
        <v>34500</v>
      </c>
      <c r="S3528" s="279">
        <v>202304</v>
      </c>
      <c r="T3528" s="189" t="s">
        <v>4609</v>
      </c>
      <c r="U3528" s="213"/>
      <c r="V3528" s="387"/>
      <c r="W3528" s="214"/>
      <c r="X3528" s="388">
        <v>44743</v>
      </c>
      <c r="Y3528" s="388">
        <v>46934</v>
      </c>
    </row>
    <row r="3529" s="5" customFormat="1" customHeight="1" spans="1:25">
      <c r="A3529" s="203" t="s">
        <v>446</v>
      </c>
      <c r="B3529" s="204" t="s">
        <v>4284</v>
      </c>
      <c r="C3529" s="204" t="s">
        <v>63</v>
      </c>
      <c r="D3529" s="204" t="s">
        <v>3038</v>
      </c>
      <c r="E3529" s="205" t="s">
        <v>4285</v>
      </c>
      <c r="F3529" s="203" t="s">
        <v>4286</v>
      </c>
      <c r="G3529" s="203" t="s">
        <v>88</v>
      </c>
      <c r="H3529" s="25" t="s">
        <v>4597</v>
      </c>
      <c r="I3529" s="46" t="e">
        <f>VLOOKUP(H3529,'合同高级查询数据-4月返'!A:A,1,FALSE)</f>
        <v>#N/A</v>
      </c>
      <c r="J3529" s="47" t="s">
        <v>3488</v>
      </c>
      <c r="K3529" s="290" t="s">
        <v>4598</v>
      </c>
      <c r="L3529" s="206"/>
      <c r="M3529" s="49" t="s">
        <v>4369</v>
      </c>
      <c r="N3529" s="73">
        <v>44834</v>
      </c>
      <c r="O3529" s="73" t="s">
        <v>507</v>
      </c>
      <c r="P3529" s="396">
        <v>11500</v>
      </c>
      <c r="Q3529" s="385">
        <v>2</v>
      </c>
      <c r="R3529" s="386">
        <f t="shared" si="113"/>
        <v>23000</v>
      </c>
      <c r="S3529" s="279">
        <v>202304</v>
      </c>
      <c r="T3529" s="189" t="s">
        <v>4610</v>
      </c>
      <c r="U3529" s="213"/>
      <c r="V3529" s="387"/>
      <c r="W3529" s="214"/>
      <c r="X3529" s="388">
        <v>44743</v>
      </c>
      <c r="Y3529" s="388">
        <v>46934</v>
      </c>
    </row>
    <row r="3530" s="5" customFormat="1" customHeight="1" spans="1:25">
      <c r="A3530" s="203" t="s">
        <v>446</v>
      </c>
      <c r="B3530" s="204" t="s">
        <v>4284</v>
      </c>
      <c r="C3530" s="204" t="s">
        <v>63</v>
      </c>
      <c r="D3530" s="204" t="s">
        <v>3038</v>
      </c>
      <c r="E3530" s="205" t="s">
        <v>4285</v>
      </c>
      <c r="F3530" s="203" t="s">
        <v>4286</v>
      </c>
      <c r="G3530" s="203" t="s">
        <v>88</v>
      </c>
      <c r="H3530" s="25" t="s">
        <v>4597</v>
      </c>
      <c r="I3530" s="46" t="e">
        <f>VLOOKUP(H3530,'合同高级查询数据-4月返'!A:A,1,FALSE)</f>
        <v>#N/A</v>
      </c>
      <c r="J3530" s="47" t="s">
        <v>3488</v>
      </c>
      <c r="K3530" s="290" t="s">
        <v>4598</v>
      </c>
      <c r="L3530" s="206"/>
      <c r="M3530" s="49" t="s">
        <v>4369</v>
      </c>
      <c r="N3530" s="73">
        <v>44842</v>
      </c>
      <c r="O3530" s="73" t="s">
        <v>507</v>
      </c>
      <c r="P3530" s="396">
        <v>11500</v>
      </c>
      <c r="Q3530" s="385">
        <v>6</v>
      </c>
      <c r="R3530" s="386">
        <f t="shared" si="113"/>
        <v>69000</v>
      </c>
      <c r="S3530" s="279">
        <v>202304</v>
      </c>
      <c r="T3530" s="189" t="s">
        <v>4611</v>
      </c>
      <c r="U3530" s="213"/>
      <c r="V3530" s="387"/>
      <c r="W3530" s="214"/>
      <c r="X3530" s="388">
        <v>44743</v>
      </c>
      <c r="Y3530" s="388">
        <v>46934</v>
      </c>
    </row>
    <row r="3531" s="5" customFormat="1" customHeight="1" spans="1:25">
      <c r="A3531" s="203" t="s">
        <v>446</v>
      </c>
      <c r="B3531" s="204" t="s">
        <v>4284</v>
      </c>
      <c r="C3531" s="204" t="s">
        <v>63</v>
      </c>
      <c r="D3531" s="204" t="s">
        <v>3038</v>
      </c>
      <c r="E3531" s="205" t="s">
        <v>4285</v>
      </c>
      <c r="F3531" s="203" t="s">
        <v>4286</v>
      </c>
      <c r="G3531" s="203" t="s">
        <v>88</v>
      </c>
      <c r="H3531" s="25" t="s">
        <v>4597</v>
      </c>
      <c r="I3531" s="46" t="e">
        <f>VLOOKUP(H3531,'合同高级查询数据-4月返'!A:A,1,FALSE)</f>
        <v>#N/A</v>
      </c>
      <c r="J3531" s="47" t="s">
        <v>3488</v>
      </c>
      <c r="K3531" s="290" t="s">
        <v>4598</v>
      </c>
      <c r="L3531" s="206"/>
      <c r="M3531" s="49" t="s">
        <v>4369</v>
      </c>
      <c r="N3531" s="73">
        <v>44848</v>
      </c>
      <c r="O3531" s="73" t="s">
        <v>507</v>
      </c>
      <c r="P3531" s="396">
        <v>11500</v>
      </c>
      <c r="Q3531" s="385">
        <v>6</v>
      </c>
      <c r="R3531" s="386">
        <f t="shared" si="113"/>
        <v>69000</v>
      </c>
      <c r="S3531" s="279">
        <v>202304</v>
      </c>
      <c r="T3531" s="189" t="s">
        <v>4612</v>
      </c>
      <c r="U3531" s="213"/>
      <c r="V3531" s="387"/>
      <c r="W3531" s="214"/>
      <c r="X3531" s="388">
        <v>44743</v>
      </c>
      <c r="Y3531" s="388">
        <v>46934</v>
      </c>
    </row>
    <row r="3532" s="5" customFormat="1" customHeight="1" spans="1:25">
      <c r="A3532" s="203" t="s">
        <v>446</v>
      </c>
      <c r="B3532" s="204" t="s">
        <v>4284</v>
      </c>
      <c r="C3532" s="204" t="s">
        <v>63</v>
      </c>
      <c r="D3532" s="204" t="s">
        <v>3038</v>
      </c>
      <c r="E3532" s="205" t="s">
        <v>4285</v>
      </c>
      <c r="F3532" s="203" t="s">
        <v>4286</v>
      </c>
      <c r="G3532" s="203" t="s">
        <v>88</v>
      </c>
      <c r="H3532" s="25" t="s">
        <v>4597</v>
      </c>
      <c r="I3532" s="46" t="e">
        <f>VLOOKUP(H3532,'合同高级查询数据-4月返'!A:A,1,FALSE)</f>
        <v>#N/A</v>
      </c>
      <c r="J3532" s="47" t="s">
        <v>3488</v>
      </c>
      <c r="K3532" s="290" t="s">
        <v>4598</v>
      </c>
      <c r="L3532" s="206"/>
      <c r="M3532" s="49" t="s">
        <v>4369</v>
      </c>
      <c r="N3532" s="73">
        <v>44859</v>
      </c>
      <c r="O3532" s="73" t="s">
        <v>507</v>
      </c>
      <c r="P3532" s="396">
        <v>11500</v>
      </c>
      <c r="Q3532" s="385">
        <v>2</v>
      </c>
      <c r="R3532" s="386">
        <f t="shared" si="113"/>
        <v>23000</v>
      </c>
      <c r="S3532" s="279">
        <v>202304</v>
      </c>
      <c r="T3532" s="189" t="s">
        <v>4613</v>
      </c>
      <c r="U3532" s="213"/>
      <c r="V3532" s="387"/>
      <c r="W3532" s="214"/>
      <c r="X3532" s="388">
        <v>44743</v>
      </c>
      <c r="Y3532" s="388">
        <v>46934</v>
      </c>
    </row>
    <row r="3533" s="5" customFormat="1" customHeight="1" spans="1:25">
      <c r="A3533" s="203" t="s">
        <v>446</v>
      </c>
      <c r="B3533" s="204" t="s">
        <v>4284</v>
      </c>
      <c r="C3533" s="204" t="s">
        <v>63</v>
      </c>
      <c r="D3533" s="204" t="s">
        <v>3038</v>
      </c>
      <c r="E3533" s="205" t="s">
        <v>4285</v>
      </c>
      <c r="F3533" s="203" t="s">
        <v>4286</v>
      </c>
      <c r="G3533" s="203" t="s">
        <v>88</v>
      </c>
      <c r="H3533" s="25" t="s">
        <v>4597</v>
      </c>
      <c r="I3533" s="46" t="e">
        <f>VLOOKUP(H3533,'合同高级查询数据-4月返'!A:A,1,FALSE)</f>
        <v>#N/A</v>
      </c>
      <c r="J3533" s="47" t="s">
        <v>3488</v>
      </c>
      <c r="K3533" s="290" t="s">
        <v>4598</v>
      </c>
      <c r="L3533" s="206"/>
      <c r="M3533" s="49" t="s">
        <v>4369</v>
      </c>
      <c r="N3533" s="73">
        <v>44860</v>
      </c>
      <c r="O3533" s="73" t="s">
        <v>507</v>
      </c>
      <c r="P3533" s="396">
        <v>11500</v>
      </c>
      <c r="Q3533" s="385">
        <v>16</v>
      </c>
      <c r="R3533" s="386">
        <f t="shared" si="113"/>
        <v>184000</v>
      </c>
      <c r="S3533" s="279">
        <v>202304</v>
      </c>
      <c r="T3533" s="189" t="s">
        <v>4614</v>
      </c>
      <c r="U3533" s="213"/>
      <c r="V3533" s="387"/>
      <c r="W3533" s="214"/>
      <c r="X3533" s="388">
        <v>44743</v>
      </c>
      <c r="Y3533" s="388">
        <v>46934</v>
      </c>
    </row>
    <row r="3534" s="5" customFormat="1" customHeight="1" spans="1:25">
      <c r="A3534" s="203" t="s">
        <v>446</v>
      </c>
      <c r="B3534" s="204" t="s">
        <v>4284</v>
      </c>
      <c r="C3534" s="204" t="s">
        <v>63</v>
      </c>
      <c r="D3534" s="204" t="s">
        <v>3038</v>
      </c>
      <c r="E3534" s="205" t="s">
        <v>4285</v>
      </c>
      <c r="F3534" s="203" t="s">
        <v>4286</v>
      </c>
      <c r="G3534" s="203" t="s">
        <v>88</v>
      </c>
      <c r="H3534" s="25" t="s">
        <v>4597</v>
      </c>
      <c r="I3534" s="46" t="e">
        <f>VLOOKUP(H3534,'合同高级查询数据-4月返'!A:A,1,FALSE)</f>
        <v>#N/A</v>
      </c>
      <c r="J3534" s="47" t="s">
        <v>3488</v>
      </c>
      <c r="K3534" s="290" t="s">
        <v>4598</v>
      </c>
      <c r="L3534" s="206"/>
      <c r="M3534" s="49" t="s">
        <v>4369</v>
      </c>
      <c r="N3534" s="73">
        <v>44861</v>
      </c>
      <c r="O3534" s="73" t="s">
        <v>507</v>
      </c>
      <c r="P3534" s="396">
        <v>11500</v>
      </c>
      <c r="Q3534" s="385">
        <v>1</v>
      </c>
      <c r="R3534" s="386">
        <f t="shared" si="113"/>
        <v>11500</v>
      </c>
      <c r="S3534" s="279">
        <v>202304</v>
      </c>
      <c r="T3534" s="189" t="s">
        <v>4615</v>
      </c>
      <c r="U3534" s="213"/>
      <c r="V3534" s="387"/>
      <c r="W3534" s="214"/>
      <c r="X3534" s="388">
        <v>44743</v>
      </c>
      <c r="Y3534" s="388">
        <v>46934</v>
      </c>
    </row>
    <row r="3535" s="5" customFormat="1" customHeight="1" spans="1:25">
      <c r="A3535" s="203" t="s">
        <v>446</v>
      </c>
      <c r="B3535" s="204" t="s">
        <v>4284</v>
      </c>
      <c r="C3535" s="204" t="s">
        <v>63</v>
      </c>
      <c r="D3535" s="204" t="s">
        <v>3038</v>
      </c>
      <c r="E3535" s="205" t="s">
        <v>4285</v>
      </c>
      <c r="F3535" s="203" t="s">
        <v>4286</v>
      </c>
      <c r="G3535" s="203" t="s">
        <v>88</v>
      </c>
      <c r="H3535" s="25" t="s">
        <v>4597</v>
      </c>
      <c r="I3535" s="46" t="e">
        <f>VLOOKUP(H3535,'合同高级查询数据-4月返'!A:A,1,FALSE)</f>
        <v>#N/A</v>
      </c>
      <c r="J3535" s="47" t="s">
        <v>3488</v>
      </c>
      <c r="K3535" s="290" t="s">
        <v>4598</v>
      </c>
      <c r="L3535" s="206"/>
      <c r="M3535" s="49" t="s">
        <v>4369</v>
      </c>
      <c r="N3535" s="73">
        <v>44865</v>
      </c>
      <c r="O3535" s="73" t="s">
        <v>507</v>
      </c>
      <c r="P3535" s="396">
        <v>11500</v>
      </c>
      <c r="Q3535" s="385">
        <v>1</v>
      </c>
      <c r="R3535" s="386">
        <f t="shared" si="113"/>
        <v>11500</v>
      </c>
      <c r="S3535" s="279">
        <v>202304</v>
      </c>
      <c r="T3535" s="189" t="s">
        <v>4616</v>
      </c>
      <c r="U3535" s="213"/>
      <c r="V3535" s="387"/>
      <c r="W3535" s="214"/>
      <c r="X3535" s="388">
        <v>44743</v>
      </c>
      <c r="Y3535" s="388">
        <v>46934</v>
      </c>
    </row>
    <row r="3536" s="5" customFormat="1" customHeight="1" spans="1:25">
      <c r="A3536" s="203" t="s">
        <v>446</v>
      </c>
      <c r="B3536" s="204" t="s">
        <v>4284</v>
      </c>
      <c r="C3536" s="204" t="s">
        <v>63</v>
      </c>
      <c r="D3536" s="204" t="s">
        <v>3038</v>
      </c>
      <c r="E3536" s="205" t="s">
        <v>4285</v>
      </c>
      <c r="F3536" s="203" t="s">
        <v>4286</v>
      </c>
      <c r="G3536" s="203" t="s">
        <v>88</v>
      </c>
      <c r="H3536" s="25" t="s">
        <v>4597</v>
      </c>
      <c r="I3536" s="46" t="e">
        <f>VLOOKUP(H3536,'合同高级查询数据-4月返'!A:A,1,FALSE)</f>
        <v>#N/A</v>
      </c>
      <c r="J3536" s="47" t="s">
        <v>3488</v>
      </c>
      <c r="K3536" s="290" t="s">
        <v>4598</v>
      </c>
      <c r="L3536" s="206"/>
      <c r="M3536" s="49" t="s">
        <v>4369</v>
      </c>
      <c r="N3536" s="73">
        <v>44867</v>
      </c>
      <c r="O3536" s="73" t="s">
        <v>507</v>
      </c>
      <c r="P3536" s="396">
        <v>11500</v>
      </c>
      <c r="Q3536" s="385">
        <v>2</v>
      </c>
      <c r="R3536" s="207">
        <f t="shared" si="113"/>
        <v>23000</v>
      </c>
      <c r="S3536" s="279">
        <v>202304</v>
      </c>
      <c r="T3536" s="189" t="s">
        <v>4617</v>
      </c>
      <c r="U3536" s="213"/>
      <c r="V3536" s="387"/>
      <c r="W3536" s="214"/>
      <c r="X3536" s="388">
        <v>44743</v>
      </c>
      <c r="Y3536" s="388">
        <v>46934</v>
      </c>
    </row>
    <row r="3537" s="5" customFormat="1" customHeight="1" spans="1:25">
      <c r="A3537" s="203" t="s">
        <v>446</v>
      </c>
      <c r="B3537" s="204" t="s">
        <v>4284</v>
      </c>
      <c r="C3537" s="204" t="s">
        <v>63</v>
      </c>
      <c r="D3537" s="204" t="s">
        <v>3038</v>
      </c>
      <c r="E3537" s="205" t="s">
        <v>4285</v>
      </c>
      <c r="F3537" s="203" t="s">
        <v>4286</v>
      </c>
      <c r="G3537" s="203" t="s">
        <v>88</v>
      </c>
      <c r="H3537" s="25" t="s">
        <v>4597</v>
      </c>
      <c r="I3537" s="46" t="e">
        <f>VLOOKUP(H3537,'合同高级查询数据-4月返'!A:A,1,FALSE)</f>
        <v>#N/A</v>
      </c>
      <c r="J3537" s="47" t="s">
        <v>3488</v>
      </c>
      <c r="K3537" s="290" t="s">
        <v>4598</v>
      </c>
      <c r="L3537" s="206"/>
      <c r="M3537" s="49" t="s">
        <v>4369</v>
      </c>
      <c r="N3537" s="73">
        <v>44872</v>
      </c>
      <c r="O3537" s="73" t="s">
        <v>507</v>
      </c>
      <c r="P3537" s="396">
        <v>11500</v>
      </c>
      <c r="Q3537" s="385">
        <v>6</v>
      </c>
      <c r="R3537" s="207">
        <f t="shared" si="113"/>
        <v>69000</v>
      </c>
      <c r="S3537" s="279">
        <v>202304</v>
      </c>
      <c r="T3537" s="189" t="s">
        <v>4618</v>
      </c>
      <c r="U3537" s="213"/>
      <c r="V3537" s="387"/>
      <c r="W3537" s="214"/>
      <c r="X3537" s="388">
        <v>44743</v>
      </c>
      <c r="Y3537" s="388">
        <v>46934</v>
      </c>
    </row>
    <row r="3538" s="5" customFormat="1" customHeight="1" spans="1:25">
      <c r="A3538" s="203" t="s">
        <v>446</v>
      </c>
      <c r="B3538" s="204" t="s">
        <v>4284</v>
      </c>
      <c r="C3538" s="204" t="s">
        <v>63</v>
      </c>
      <c r="D3538" s="204" t="s">
        <v>3038</v>
      </c>
      <c r="E3538" s="205" t="s">
        <v>4285</v>
      </c>
      <c r="F3538" s="203" t="s">
        <v>4286</v>
      </c>
      <c r="G3538" s="203" t="s">
        <v>88</v>
      </c>
      <c r="H3538" s="25" t="s">
        <v>4597</v>
      </c>
      <c r="I3538" s="46" t="e">
        <f>VLOOKUP(H3538,'合同高级查询数据-4月返'!A:A,1,FALSE)</f>
        <v>#N/A</v>
      </c>
      <c r="J3538" s="47" t="s">
        <v>3488</v>
      </c>
      <c r="K3538" s="290" t="s">
        <v>4598</v>
      </c>
      <c r="L3538" s="206"/>
      <c r="M3538" s="49" t="s">
        <v>4369</v>
      </c>
      <c r="N3538" s="73">
        <v>44876</v>
      </c>
      <c r="O3538" s="73" t="s">
        <v>507</v>
      </c>
      <c r="P3538" s="396">
        <v>11500</v>
      </c>
      <c r="Q3538" s="385">
        <v>4</v>
      </c>
      <c r="R3538" s="207">
        <f t="shared" si="113"/>
        <v>46000</v>
      </c>
      <c r="S3538" s="279">
        <v>202304</v>
      </c>
      <c r="T3538" s="189" t="s">
        <v>4619</v>
      </c>
      <c r="U3538" s="213"/>
      <c r="V3538" s="387"/>
      <c r="W3538" s="214"/>
      <c r="X3538" s="388">
        <v>44743</v>
      </c>
      <c r="Y3538" s="388">
        <v>46934</v>
      </c>
    </row>
    <row r="3539" s="5" customFormat="1" customHeight="1" spans="1:25">
      <c r="A3539" s="203" t="s">
        <v>446</v>
      </c>
      <c r="B3539" s="204" t="s">
        <v>4284</v>
      </c>
      <c r="C3539" s="204" t="s">
        <v>63</v>
      </c>
      <c r="D3539" s="204" t="s">
        <v>3038</v>
      </c>
      <c r="E3539" s="205" t="s">
        <v>4285</v>
      </c>
      <c r="F3539" s="203" t="s">
        <v>4286</v>
      </c>
      <c r="G3539" s="203" t="s">
        <v>88</v>
      </c>
      <c r="H3539" s="25" t="s">
        <v>4597</v>
      </c>
      <c r="I3539" s="46" t="e">
        <f>VLOOKUP(H3539,'合同高级查询数据-4月返'!A:A,1,FALSE)</f>
        <v>#N/A</v>
      </c>
      <c r="J3539" s="47" t="s">
        <v>3488</v>
      </c>
      <c r="K3539" s="290" t="s">
        <v>4598</v>
      </c>
      <c r="L3539" s="206"/>
      <c r="M3539" s="49" t="s">
        <v>4369</v>
      </c>
      <c r="N3539" s="73">
        <v>44883</v>
      </c>
      <c r="O3539" s="73" t="s">
        <v>507</v>
      </c>
      <c r="P3539" s="396">
        <v>11500</v>
      </c>
      <c r="Q3539" s="385">
        <v>10</v>
      </c>
      <c r="R3539" s="207">
        <f t="shared" si="113"/>
        <v>115000</v>
      </c>
      <c r="S3539" s="279">
        <v>202304</v>
      </c>
      <c r="T3539" s="189" t="s">
        <v>4620</v>
      </c>
      <c r="U3539" s="213"/>
      <c r="V3539" s="387"/>
      <c r="W3539" s="214"/>
      <c r="X3539" s="388">
        <v>44743</v>
      </c>
      <c r="Y3539" s="388">
        <v>46934</v>
      </c>
    </row>
    <row r="3540" s="5" customFormat="1" customHeight="1" spans="1:25">
      <c r="A3540" s="203" t="s">
        <v>446</v>
      </c>
      <c r="B3540" s="204" t="s">
        <v>4284</v>
      </c>
      <c r="C3540" s="204" t="s">
        <v>63</v>
      </c>
      <c r="D3540" s="204" t="s">
        <v>3038</v>
      </c>
      <c r="E3540" s="205" t="s">
        <v>4285</v>
      </c>
      <c r="F3540" s="203" t="s">
        <v>4286</v>
      </c>
      <c r="G3540" s="203" t="s">
        <v>88</v>
      </c>
      <c r="H3540" s="25" t="s">
        <v>4597</v>
      </c>
      <c r="I3540" s="46" t="e">
        <f>VLOOKUP(H3540,'合同高级查询数据-4月返'!A:A,1,FALSE)</f>
        <v>#N/A</v>
      </c>
      <c r="J3540" s="47" t="s">
        <v>3488</v>
      </c>
      <c r="K3540" s="290" t="s">
        <v>4598</v>
      </c>
      <c r="L3540" s="206"/>
      <c r="M3540" s="49" t="s">
        <v>4369</v>
      </c>
      <c r="N3540" s="73">
        <v>44883</v>
      </c>
      <c r="O3540" s="73" t="s">
        <v>503</v>
      </c>
      <c r="P3540" s="396">
        <v>5750</v>
      </c>
      <c r="Q3540" s="385">
        <v>4</v>
      </c>
      <c r="R3540" s="386">
        <f t="shared" si="113"/>
        <v>23000</v>
      </c>
      <c r="S3540" s="279">
        <v>202304</v>
      </c>
      <c r="T3540" s="189" t="s">
        <v>4621</v>
      </c>
      <c r="U3540" s="213"/>
      <c r="V3540" s="387"/>
      <c r="W3540" s="214"/>
      <c r="X3540" s="388">
        <v>44743</v>
      </c>
      <c r="Y3540" s="388">
        <v>46934</v>
      </c>
    </row>
    <row r="3541" s="5" customFormat="1" customHeight="1" spans="1:25">
      <c r="A3541" s="203" t="s">
        <v>446</v>
      </c>
      <c r="B3541" s="204" t="s">
        <v>4284</v>
      </c>
      <c r="C3541" s="204" t="s">
        <v>63</v>
      </c>
      <c r="D3541" s="204" t="s">
        <v>3038</v>
      </c>
      <c r="E3541" s="205" t="s">
        <v>4285</v>
      </c>
      <c r="F3541" s="203" t="s">
        <v>4286</v>
      </c>
      <c r="G3541" s="203" t="s">
        <v>88</v>
      </c>
      <c r="H3541" s="25" t="s">
        <v>4597</v>
      </c>
      <c r="I3541" s="46" t="e">
        <f>VLOOKUP(H3541,'合同高级查询数据-4月返'!A:A,1,FALSE)</f>
        <v>#N/A</v>
      </c>
      <c r="J3541" s="47" t="s">
        <v>3488</v>
      </c>
      <c r="K3541" s="290" t="s">
        <v>4598</v>
      </c>
      <c r="L3541" s="206"/>
      <c r="M3541" s="49" t="s">
        <v>4369</v>
      </c>
      <c r="N3541" s="73">
        <v>44889</v>
      </c>
      <c r="O3541" s="73" t="s">
        <v>507</v>
      </c>
      <c r="P3541" s="396">
        <v>11500</v>
      </c>
      <c r="Q3541" s="385">
        <v>-10</v>
      </c>
      <c r="R3541" s="386">
        <f t="shared" si="113"/>
        <v>-115000</v>
      </c>
      <c r="S3541" s="279">
        <v>202304</v>
      </c>
      <c r="T3541" s="189" t="s">
        <v>4620</v>
      </c>
      <c r="U3541" s="213"/>
      <c r="V3541" s="387"/>
      <c r="W3541" s="214"/>
      <c r="X3541" s="388">
        <v>44743</v>
      </c>
      <c r="Y3541" s="388">
        <v>46934</v>
      </c>
    </row>
    <row r="3542" s="5" customFormat="1" customHeight="1" spans="1:25">
      <c r="A3542" s="203" t="s">
        <v>446</v>
      </c>
      <c r="B3542" s="204" t="s">
        <v>4284</v>
      </c>
      <c r="C3542" s="204" t="s">
        <v>63</v>
      </c>
      <c r="D3542" s="204" t="s">
        <v>3038</v>
      </c>
      <c r="E3542" s="205" t="s">
        <v>4285</v>
      </c>
      <c r="F3542" s="203" t="s">
        <v>4286</v>
      </c>
      <c r="G3542" s="203" t="s">
        <v>88</v>
      </c>
      <c r="H3542" s="25" t="s">
        <v>4597</v>
      </c>
      <c r="I3542" s="46" t="e">
        <f>VLOOKUP(H3542,'合同高级查询数据-4月返'!A:A,1,FALSE)</f>
        <v>#N/A</v>
      </c>
      <c r="J3542" s="47" t="s">
        <v>3488</v>
      </c>
      <c r="K3542" s="290" t="s">
        <v>4598</v>
      </c>
      <c r="L3542" s="206"/>
      <c r="M3542" s="49" t="s">
        <v>4369</v>
      </c>
      <c r="N3542" s="73">
        <v>44889</v>
      </c>
      <c r="O3542" s="73" t="s">
        <v>503</v>
      </c>
      <c r="P3542" s="396">
        <v>5750</v>
      </c>
      <c r="Q3542" s="385">
        <v>-4</v>
      </c>
      <c r="R3542" s="386">
        <f t="shared" si="113"/>
        <v>-23000</v>
      </c>
      <c r="S3542" s="279">
        <v>202304</v>
      </c>
      <c r="T3542" s="189" t="s">
        <v>4621</v>
      </c>
      <c r="U3542" s="213"/>
      <c r="V3542" s="387"/>
      <c r="W3542" s="214"/>
      <c r="X3542" s="388">
        <v>44743</v>
      </c>
      <c r="Y3542" s="388">
        <v>46934</v>
      </c>
    </row>
    <row r="3543" s="5" customFormat="1" customHeight="1" spans="1:25">
      <c r="A3543" s="203" t="s">
        <v>446</v>
      </c>
      <c r="B3543" s="204" t="s">
        <v>4284</v>
      </c>
      <c r="C3543" s="204" t="s">
        <v>63</v>
      </c>
      <c r="D3543" s="204" t="s">
        <v>3038</v>
      </c>
      <c r="E3543" s="205" t="s">
        <v>4285</v>
      </c>
      <c r="F3543" s="203" t="s">
        <v>4286</v>
      </c>
      <c r="G3543" s="203" t="s">
        <v>88</v>
      </c>
      <c r="H3543" s="25" t="s">
        <v>4597</v>
      </c>
      <c r="I3543" s="46" t="e">
        <f>VLOOKUP(H3543,'合同高级查询数据-4月返'!A:A,1,FALSE)</f>
        <v>#N/A</v>
      </c>
      <c r="J3543" s="47" t="s">
        <v>3488</v>
      </c>
      <c r="K3543" s="290" t="s">
        <v>4598</v>
      </c>
      <c r="L3543" s="206"/>
      <c r="M3543" s="49" t="s">
        <v>4369</v>
      </c>
      <c r="N3543" s="73">
        <v>44900</v>
      </c>
      <c r="O3543" s="73" t="s">
        <v>507</v>
      </c>
      <c r="P3543" s="396">
        <v>11500</v>
      </c>
      <c r="Q3543" s="385">
        <v>15</v>
      </c>
      <c r="R3543" s="386">
        <f t="shared" si="113"/>
        <v>172500</v>
      </c>
      <c r="S3543" s="279">
        <v>202304</v>
      </c>
      <c r="T3543" s="189" t="s">
        <v>4622</v>
      </c>
      <c r="U3543" s="213"/>
      <c r="V3543" s="387"/>
      <c r="W3543" s="214"/>
      <c r="X3543" s="388">
        <v>44743</v>
      </c>
      <c r="Y3543" s="388">
        <v>46934</v>
      </c>
    </row>
    <row r="3544" s="5" customFormat="1" customHeight="1" spans="1:25">
      <c r="A3544" s="203" t="s">
        <v>446</v>
      </c>
      <c r="B3544" s="204" t="s">
        <v>4284</v>
      </c>
      <c r="C3544" s="204" t="s">
        <v>63</v>
      </c>
      <c r="D3544" s="204" t="s">
        <v>3038</v>
      </c>
      <c r="E3544" s="205" t="s">
        <v>4285</v>
      </c>
      <c r="F3544" s="203" t="s">
        <v>4286</v>
      </c>
      <c r="G3544" s="203" t="s">
        <v>88</v>
      </c>
      <c r="H3544" s="25" t="s">
        <v>4597</v>
      </c>
      <c r="I3544" s="46" t="e">
        <f>VLOOKUP(H3544,'合同高级查询数据-4月返'!A:A,1,FALSE)</f>
        <v>#N/A</v>
      </c>
      <c r="J3544" s="47" t="s">
        <v>3488</v>
      </c>
      <c r="K3544" s="290" t="s">
        <v>4598</v>
      </c>
      <c r="L3544" s="206"/>
      <c r="M3544" s="49" t="s">
        <v>4369</v>
      </c>
      <c r="N3544" s="73">
        <v>44901</v>
      </c>
      <c r="O3544" s="73" t="s">
        <v>507</v>
      </c>
      <c r="P3544" s="396">
        <v>11500</v>
      </c>
      <c r="Q3544" s="385">
        <v>4</v>
      </c>
      <c r="R3544" s="386">
        <f t="shared" si="113"/>
        <v>46000</v>
      </c>
      <c r="S3544" s="279">
        <v>202304</v>
      </c>
      <c r="T3544" s="189" t="s">
        <v>4623</v>
      </c>
      <c r="U3544" s="213"/>
      <c r="V3544" s="387"/>
      <c r="W3544" s="214"/>
      <c r="X3544" s="388">
        <v>44743</v>
      </c>
      <c r="Y3544" s="388">
        <v>46934</v>
      </c>
    </row>
    <row r="3545" s="5" customFormat="1" customHeight="1" spans="1:25">
      <c r="A3545" s="203" t="s">
        <v>446</v>
      </c>
      <c r="B3545" s="204" t="s">
        <v>4284</v>
      </c>
      <c r="C3545" s="204" t="s">
        <v>63</v>
      </c>
      <c r="D3545" s="204" t="s">
        <v>3038</v>
      </c>
      <c r="E3545" s="205" t="s">
        <v>4285</v>
      </c>
      <c r="F3545" s="203" t="s">
        <v>4286</v>
      </c>
      <c r="G3545" s="203" t="s">
        <v>88</v>
      </c>
      <c r="H3545" s="25" t="s">
        <v>4597</v>
      </c>
      <c r="I3545" s="46" t="e">
        <f>VLOOKUP(H3545,'合同高级查询数据-4月返'!A:A,1,FALSE)</f>
        <v>#N/A</v>
      </c>
      <c r="J3545" s="47" t="s">
        <v>3488</v>
      </c>
      <c r="K3545" s="290" t="s">
        <v>4598</v>
      </c>
      <c r="L3545" s="206"/>
      <c r="M3545" s="49" t="s">
        <v>4369</v>
      </c>
      <c r="N3545" s="73">
        <v>44903</v>
      </c>
      <c r="O3545" s="73" t="s">
        <v>507</v>
      </c>
      <c r="P3545" s="396">
        <v>11500</v>
      </c>
      <c r="Q3545" s="385">
        <v>1</v>
      </c>
      <c r="R3545" s="386">
        <f t="shared" si="113"/>
        <v>11500</v>
      </c>
      <c r="S3545" s="279">
        <v>202304</v>
      </c>
      <c r="T3545" s="189" t="s">
        <v>4624</v>
      </c>
      <c r="U3545" s="213"/>
      <c r="V3545" s="387"/>
      <c r="W3545" s="214"/>
      <c r="X3545" s="388">
        <v>44743</v>
      </c>
      <c r="Y3545" s="388">
        <v>46934</v>
      </c>
    </row>
    <row r="3546" s="5" customFormat="1" customHeight="1" spans="1:25">
      <c r="A3546" s="203" t="s">
        <v>446</v>
      </c>
      <c r="B3546" s="204" t="s">
        <v>4284</v>
      </c>
      <c r="C3546" s="204" t="s">
        <v>63</v>
      </c>
      <c r="D3546" s="204" t="s">
        <v>3038</v>
      </c>
      <c r="E3546" s="205" t="s">
        <v>4285</v>
      </c>
      <c r="F3546" s="203" t="s">
        <v>4286</v>
      </c>
      <c r="G3546" s="203" t="s">
        <v>88</v>
      </c>
      <c r="H3546" s="25" t="s">
        <v>4597</v>
      </c>
      <c r="I3546" s="46" t="e">
        <f>VLOOKUP(H3546,'合同高级查询数据-4月返'!A:A,1,FALSE)</f>
        <v>#N/A</v>
      </c>
      <c r="J3546" s="47" t="s">
        <v>3488</v>
      </c>
      <c r="K3546" s="290" t="s">
        <v>4598</v>
      </c>
      <c r="L3546" s="206"/>
      <c r="M3546" s="49" t="s">
        <v>4369</v>
      </c>
      <c r="N3546" s="73">
        <v>44903</v>
      </c>
      <c r="O3546" s="73" t="s">
        <v>507</v>
      </c>
      <c r="P3546" s="396">
        <v>11500</v>
      </c>
      <c r="Q3546" s="385">
        <v>8</v>
      </c>
      <c r="R3546" s="386">
        <f t="shared" si="113"/>
        <v>92000</v>
      </c>
      <c r="S3546" s="279">
        <v>202304</v>
      </c>
      <c r="T3546" s="189" t="s">
        <v>4625</v>
      </c>
      <c r="U3546" s="213"/>
      <c r="V3546" s="387"/>
      <c r="W3546" s="214"/>
      <c r="X3546" s="388">
        <v>44743</v>
      </c>
      <c r="Y3546" s="388">
        <v>46934</v>
      </c>
    </row>
    <row r="3547" s="5" customFormat="1" customHeight="1" spans="1:25">
      <c r="A3547" s="203" t="s">
        <v>446</v>
      </c>
      <c r="B3547" s="204" t="s">
        <v>4284</v>
      </c>
      <c r="C3547" s="204" t="s">
        <v>63</v>
      </c>
      <c r="D3547" s="204" t="s">
        <v>3038</v>
      </c>
      <c r="E3547" s="205" t="s">
        <v>4285</v>
      </c>
      <c r="F3547" s="203" t="s">
        <v>4286</v>
      </c>
      <c r="G3547" s="203" t="s">
        <v>88</v>
      </c>
      <c r="H3547" s="25" t="s">
        <v>4597</v>
      </c>
      <c r="I3547" s="46" t="e">
        <f>VLOOKUP(H3547,'合同高级查询数据-4月返'!A:A,1,FALSE)</f>
        <v>#N/A</v>
      </c>
      <c r="J3547" s="47" t="s">
        <v>3488</v>
      </c>
      <c r="K3547" s="290" t="s">
        <v>4598</v>
      </c>
      <c r="L3547" s="206"/>
      <c r="M3547" s="49" t="s">
        <v>4369</v>
      </c>
      <c r="N3547" s="73">
        <v>44906</v>
      </c>
      <c r="O3547" s="73" t="s">
        <v>507</v>
      </c>
      <c r="P3547" s="396">
        <v>11500</v>
      </c>
      <c r="Q3547" s="385">
        <v>2</v>
      </c>
      <c r="R3547" s="386">
        <f t="shared" si="113"/>
        <v>23000</v>
      </c>
      <c r="S3547" s="279">
        <v>202304</v>
      </c>
      <c r="T3547" s="189" t="s">
        <v>4626</v>
      </c>
      <c r="U3547" s="213"/>
      <c r="V3547" s="387"/>
      <c r="W3547" s="214"/>
      <c r="X3547" s="388">
        <v>44743</v>
      </c>
      <c r="Y3547" s="388">
        <v>46934</v>
      </c>
    </row>
    <row r="3548" s="5" customFormat="1" customHeight="1" spans="1:25">
      <c r="A3548" s="203" t="s">
        <v>446</v>
      </c>
      <c r="B3548" s="204" t="s">
        <v>4284</v>
      </c>
      <c r="C3548" s="204" t="s">
        <v>63</v>
      </c>
      <c r="D3548" s="204" t="s">
        <v>3038</v>
      </c>
      <c r="E3548" s="205" t="s">
        <v>4285</v>
      </c>
      <c r="F3548" s="203" t="s">
        <v>4286</v>
      </c>
      <c r="G3548" s="203" t="s">
        <v>88</v>
      </c>
      <c r="H3548" s="25" t="s">
        <v>4597</v>
      </c>
      <c r="I3548" s="46" t="e">
        <f>VLOOKUP(H3548,'合同高级查询数据-4月返'!A:A,1,FALSE)</f>
        <v>#N/A</v>
      </c>
      <c r="J3548" s="47" t="s">
        <v>3488</v>
      </c>
      <c r="K3548" s="290" t="s">
        <v>4598</v>
      </c>
      <c r="L3548" s="206"/>
      <c r="M3548" s="49" t="s">
        <v>4369</v>
      </c>
      <c r="N3548" s="73">
        <v>44909</v>
      </c>
      <c r="O3548" s="73" t="s">
        <v>507</v>
      </c>
      <c r="P3548" s="396">
        <v>11500</v>
      </c>
      <c r="Q3548" s="385">
        <v>10</v>
      </c>
      <c r="R3548" s="386">
        <f t="shared" si="113"/>
        <v>115000</v>
      </c>
      <c r="S3548" s="279">
        <v>202304</v>
      </c>
      <c r="T3548" s="189" t="s">
        <v>4627</v>
      </c>
      <c r="U3548" s="213"/>
      <c r="V3548" s="387"/>
      <c r="W3548" s="214"/>
      <c r="X3548" s="388">
        <v>44743</v>
      </c>
      <c r="Y3548" s="388">
        <v>46934</v>
      </c>
    </row>
    <row r="3549" s="5" customFormat="1" customHeight="1" spans="1:25">
      <c r="A3549" s="203" t="s">
        <v>446</v>
      </c>
      <c r="B3549" s="204" t="s">
        <v>4284</v>
      </c>
      <c r="C3549" s="204" t="s">
        <v>63</v>
      </c>
      <c r="D3549" s="204" t="s">
        <v>3038</v>
      </c>
      <c r="E3549" s="205" t="s">
        <v>4285</v>
      </c>
      <c r="F3549" s="203" t="s">
        <v>4286</v>
      </c>
      <c r="G3549" s="203" t="s">
        <v>88</v>
      </c>
      <c r="H3549" s="25" t="s">
        <v>4597</v>
      </c>
      <c r="I3549" s="46" t="e">
        <f>VLOOKUP(H3549,'合同高级查询数据-4月返'!A:A,1,FALSE)</f>
        <v>#N/A</v>
      </c>
      <c r="J3549" s="47" t="s">
        <v>3488</v>
      </c>
      <c r="K3549" s="290" t="s">
        <v>4598</v>
      </c>
      <c r="L3549" s="206"/>
      <c r="M3549" s="49" t="s">
        <v>4369</v>
      </c>
      <c r="N3549" s="73">
        <v>44912</v>
      </c>
      <c r="O3549" s="73" t="s">
        <v>507</v>
      </c>
      <c r="P3549" s="396">
        <v>11500</v>
      </c>
      <c r="Q3549" s="385">
        <v>5</v>
      </c>
      <c r="R3549" s="386">
        <f t="shared" si="113"/>
        <v>57500</v>
      </c>
      <c r="S3549" s="279">
        <v>202304</v>
      </c>
      <c r="T3549" s="189" t="s">
        <v>4628</v>
      </c>
      <c r="U3549" s="213"/>
      <c r="V3549" s="387"/>
      <c r="W3549" s="214"/>
      <c r="X3549" s="388">
        <v>44743</v>
      </c>
      <c r="Y3549" s="388">
        <v>46934</v>
      </c>
    </row>
    <row r="3550" s="5" customFormat="1" customHeight="1" spans="1:25">
      <c r="A3550" s="203" t="s">
        <v>446</v>
      </c>
      <c r="B3550" s="204" t="s">
        <v>4284</v>
      </c>
      <c r="C3550" s="204" t="s">
        <v>63</v>
      </c>
      <c r="D3550" s="204" t="s">
        <v>3038</v>
      </c>
      <c r="E3550" s="205" t="s">
        <v>4285</v>
      </c>
      <c r="F3550" s="203" t="s">
        <v>4286</v>
      </c>
      <c r="G3550" s="203" t="s">
        <v>88</v>
      </c>
      <c r="H3550" s="25" t="s">
        <v>4597</v>
      </c>
      <c r="I3550" s="46" t="e">
        <f>VLOOKUP(H3550,'合同高级查询数据-4月返'!A:A,1,FALSE)</f>
        <v>#N/A</v>
      </c>
      <c r="J3550" s="47" t="s">
        <v>3488</v>
      </c>
      <c r="K3550" s="290" t="s">
        <v>4598</v>
      </c>
      <c r="L3550" s="206"/>
      <c r="M3550" s="49" t="s">
        <v>4369</v>
      </c>
      <c r="N3550" s="73">
        <v>44914</v>
      </c>
      <c r="O3550" s="73" t="s">
        <v>507</v>
      </c>
      <c r="P3550" s="396">
        <v>11500</v>
      </c>
      <c r="Q3550" s="385">
        <v>1</v>
      </c>
      <c r="R3550" s="386">
        <f t="shared" si="113"/>
        <v>11500</v>
      </c>
      <c r="S3550" s="279">
        <v>202304</v>
      </c>
      <c r="T3550" s="189" t="s">
        <v>4629</v>
      </c>
      <c r="U3550" s="213"/>
      <c r="V3550" s="387"/>
      <c r="W3550" s="214"/>
      <c r="X3550" s="388">
        <v>44743</v>
      </c>
      <c r="Y3550" s="388">
        <v>46934</v>
      </c>
    </row>
    <row r="3551" s="5" customFormat="1" customHeight="1" spans="1:25">
      <c r="A3551" s="203" t="s">
        <v>446</v>
      </c>
      <c r="B3551" s="204" t="s">
        <v>4284</v>
      </c>
      <c r="C3551" s="204" t="s">
        <v>63</v>
      </c>
      <c r="D3551" s="204" t="s">
        <v>3038</v>
      </c>
      <c r="E3551" s="205" t="s">
        <v>4285</v>
      </c>
      <c r="F3551" s="203" t="s">
        <v>4286</v>
      </c>
      <c r="G3551" s="203" t="s">
        <v>88</v>
      </c>
      <c r="H3551" s="25" t="s">
        <v>4597</v>
      </c>
      <c r="I3551" s="46" t="e">
        <f>VLOOKUP(H3551,'合同高级查询数据-4月返'!A:A,1,FALSE)</f>
        <v>#N/A</v>
      </c>
      <c r="J3551" s="47" t="s">
        <v>3488</v>
      </c>
      <c r="K3551" s="290" t="s">
        <v>4598</v>
      </c>
      <c r="L3551" s="206"/>
      <c r="M3551" s="49" t="s">
        <v>4369</v>
      </c>
      <c r="N3551" s="73">
        <v>44915</v>
      </c>
      <c r="O3551" s="73" t="s">
        <v>507</v>
      </c>
      <c r="P3551" s="396">
        <v>11500</v>
      </c>
      <c r="Q3551" s="385">
        <v>2</v>
      </c>
      <c r="R3551" s="386">
        <f t="shared" si="113"/>
        <v>23000</v>
      </c>
      <c r="S3551" s="279">
        <v>202304</v>
      </c>
      <c r="T3551" s="189" t="s">
        <v>4630</v>
      </c>
      <c r="U3551" s="213"/>
      <c r="V3551" s="387"/>
      <c r="W3551" s="214"/>
      <c r="X3551" s="388">
        <v>44743</v>
      </c>
      <c r="Y3551" s="388">
        <v>46934</v>
      </c>
    </row>
    <row r="3552" s="5" customFormat="1" customHeight="1" spans="1:25">
      <c r="A3552" s="203" t="s">
        <v>446</v>
      </c>
      <c r="B3552" s="204" t="s">
        <v>4284</v>
      </c>
      <c r="C3552" s="204" t="s">
        <v>63</v>
      </c>
      <c r="D3552" s="204" t="s">
        <v>3038</v>
      </c>
      <c r="E3552" s="205" t="s">
        <v>4285</v>
      </c>
      <c r="F3552" s="203" t="s">
        <v>4286</v>
      </c>
      <c r="G3552" s="203" t="s">
        <v>88</v>
      </c>
      <c r="H3552" s="25" t="s">
        <v>4597</v>
      </c>
      <c r="I3552" s="46" t="e">
        <f>VLOOKUP(H3552,'合同高级查询数据-4月返'!A:A,1,FALSE)</f>
        <v>#N/A</v>
      </c>
      <c r="J3552" s="47" t="s">
        <v>3488</v>
      </c>
      <c r="K3552" s="290" t="s">
        <v>4598</v>
      </c>
      <c r="L3552" s="206"/>
      <c r="M3552" s="49" t="s">
        <v>4369</v>
      </c>
      <c r="N3552" s="73">
        <v>44918</v>
      </c>
      <c r="O3552" s="73" t="s">
        <v>507</v>
      </c>
      <c r="P3552" s="396">
        <v>11500</v>
      </c>
      <c r="Q3552" s="385">
        <v>23</v>
      </c>
      <c r="R3552" s="386">
        <f t="shared" si="113"/>
        <v>264500</v>
      </c>
      <c r="S3552" s="279">
        <v>202304</v>
      </c>
      <c r="T3552" s="189" t="s">
        <v>4631</v>
      </c>
      <c r="U3552" s="213"/>
      <c r="V3552" s="387"/>
      <c r="W3552" s="214"/>
      <c r="X3552" s="388">
        <v>44743</v>
      </c>
      <c r="Y3552" s="388">
        <v>46934</v>
      </c>
    </row>
    <row r="3553" s="5" customFormat="1" customHeight="1" spans="1:25">
      <c r="A3553" s="203" t="s">
        <v>446</v>
      </c>
      <c r="B3553" s="204" t="s">
        <v>4284</v>
      </c>
      <c r="C3553" s="204" t="s">
        <v>63</v>
      </c>
      <c r="D3553" s="204" t="s">
        <v>3038</v>
      </c>
      <c r="E3553" s="205" t="s">
        <v>4285</v>
      </c>
      <c r="F3553" s="203" t="s">
        <v>4286</v>
      </c>
      <c r="G3553" s="203" t="s">
        <v>88</v>
      </c>
      <c r="H3553" s="25" t="s">
        <v>4597</v>
      </c>
      <c r="I3553" s="46" t="e">
        <f>VLOOKUP(H3553,'合同高级查询数据-4月返'!A:A,1,FALSE)</f>
        <v>#N/A</v>
      </c>
      <c r="J3553" s="47" t="s">
        <v>3488</v>
      </c>
      <c r="K3553" s="290" t="s">
        <v>4598</v>
      </c>
      <c r="L3553" s="206"/>
      <c r="M3553" s="49" t="s">
        <v>4369</v>
      </c>
      <c r="N3553" s="73">
        <v>44921</v>
      </c>
      <c r="O3553" s="73" t="s">
        <v>507</v>
      </c>
      <c r="P3553" s="396">
        <v>11500</v>
      </c>
      <c r="Q3553" s="385">
        <v>20</v>
      </c>
      <c r="R3553" s="386">
        <f t="shared" si="113"/>
        <v>230000</v>
      </c>
      <c r="S3553" s="279">
        <v>202304</v>
      </c>
      <c r="T3553" s="189" t="s">
        <v>4632</v>
      </c>
      <c r="U3553" s="213"/>
      <c r="V3553" s="387"/>
      <c r="W3553" s="214"/>
      <c r="X3553" s="388">
        <v>44743</v>
      </c>
      <c r="Y3553" s="388">
        <v>46934</v>
      </c>
    </row>
    <row r="3554" s="5" customFormat="1" customHeight="1" spans="1:25">
      <c r="A3554" s="203" t="s">
        <v>446</v>
      </c>
      <c r="B3554" s="204" t="s">
        <v>4284</v>
      </c>
      <c r="C3554" s="204" t="s">
        <v>63</v>
      </c>
      <c r="D3554" s="204" t="s">
        <v>3038</v>
      </c>
      <c r="E3554" s="205" t="s">
        <v>4285</v>
      </c>
      <c r="F3554" s="203" t="s">
        <v>4286</v>
      </c>
      <c r="G3554" s="203" t="s">
        <v>88</v>
      </c>
      <c r="H3554" s="25" t="s">
        <v>4597</v>
      </c>
      <c r="I3554" s="46" t="e">
        <f>VLOOKUP(H3554,'合同高级查询数据-4月返'!A:A,1,FALSE)</f>
        <v>#N/A</v>
      </c>
      <c r="J3554" s="47" t="s">
        <v>3488</v>
      </c>
      <c r="K3554" s="290" t="s">
        <v>4598</v>
      </c>
      <c r="L3554" s="206"/>
      <c r="M3554" s="49" t="s">
        <v>4369</v>
      </c>
      <c r="N3554" s="73">
        <v>44923</v>
      </c>
      <c r="O3554" s="73" t="s">
        <v>507</v>
      </c>
      <c r="P3554" s="396">
        <v>11500</v>
      </c>
      <c r="Q3554" s="385">
        <v>6</v>
      </c>
      <c r="R3554" s="386">
        <f t="shared" si="113"/>
        <v>69000</v>
      </c>
      <c r="S3554" s="279">
        <v>202304</v>
      </c>
      <c r="T3554" s="189" t="s">
        <v>4633</v>
      </c>
      <c r="U3554" s="213"/>
      <c r="V3554" s="387"/>
      <c r="W3554" s="214"/>
      <c r="X3554" s="388">
        <v>44743</v>
      </c>
      <c r="Y3554" s="388">
        <v>46934</v>
      </c>
    </row>
    <row r="3555" s="5" customFormat="1" customHeight="1" spans="1:25">
      <c r="A3555" s="203" t="s">
        <v>446</v>
      </c>
      <c r="B3555" s="204" t="s">
        <v>4284</v>
      </c>
      <c r="C3555" s="204" t="s">
        <v>63</v>
      </c>
      <c r="D3555" s="204" t="s">
        <v>3038</v>
      </c>
      <c r="E3555" s="205" t="s">
        <v>4285</v>
      </c>
      <c r="F3555" s="203" t="s">
        <v>4286</v>
      </c>
      <c r="G3555" s="203" t="s">
        <v>88</v>
      </c>
      <c r="H3555" s="25" t="s">
        <v>4597</v>
      </c>
      <c r="I3555" s="46" t="e">
        <f>VLOOKUP(H3555,'合同高级查询数据-4月返'!A:A,1,FALSE)</f>
        <v>#N/A</v>
      </c>
      <c r="J3555" s="47" t="s">
        <v>3488</v>
      </c>
      <c r="K3555" s="290" t="s">
        <v>4598</v>
      </c>
      <c r="L3555" s="206"/>
      <c r="M3555" s="49" t="s">
        <v>4369</v>
      </c>
      <c r="N3555" s="73">
        <v>44938</v>
      </c>
      <c r="O3555" s="73" t="s">
        <v>507</v>
      </c>
      <c r="P3555" s="396">
        <v>11500</v>
      </c>
      <c r="Q3555" s="385">
        <v>6</v>
      </c>
      <c r="R3555" s="117">
        <f t="shared" si="113"/>
        <v>69000</v>
      </c>
      <c r="S3555" s="279">
        <v>202304</v>
      </c>
      <c r="T3555" s="189" t="s">
        <v>4634</v>
      </c>
      <c r="U3555" s="213"/>
      <c r="V3555" s="387"/>
      <c r="W3555" s="214"/>
      <c r="X3555" s="388">
        <v>44743</v>
      </c>
      <c r="Y3555" s="388">
        <v>46934</v>
      </c>
    </row>
    <row r="3556" s="5" customFormat="1" customHeight="1" spans="1:25">
      <c r="A3556" s="203" t="s">
        <v>446</v>
      </c>
      <c r="B3556" s="204" t="s">
        <v>4284</v>
      </c>
      <c r="C3556" s="204" t="s">
        <v>63</v>
      </c>
      <c r="D3556" s="204" t="s">
        <v>3038</v>
      </c>
      <c r="E3556" s="205" t="s">
        <v>4285</v>
      </c>
      <c r="F3556" s="203" t="s">
        <v>4286</v>
      </c>
      <c r="G3556" s="203" t="s">
        <v>88</v>
      </c>
      <c r="H3556" s="25" t="s">
        <v>4597</v>
      </c>
      <c r="I3556" s="46" t="e">
        <f>VLOOKUP(H3556,'合同高级查询数据-4月返'!A:A,1,FALSE)</f>
        <v>#N/A</v>
      </c>
      <c r="J3556" s="47" t="s">
        <v>3488</v>
      </c>
      <c r="K3556" s="290" t="s">
        <v>4598</v>
      </c>
      <c r="L3556" s="206"/>
      <c r="M3556" s="49" t="s">
        <v>4369</v>
      </c>
      <c r="N3556" s="73">
        <v>44939</v>
      </c>
      <c r="O3556" s="73" t="s">
        <v>507</v>
      </c>
      <c r="P3556" s="396">
        <v>11500</v>
      </c>
      <c r="Q3556" s="385">
        <v>2</v>
      </c>
      <c r="R3556" s="117">
        <f t="shared" si="113"/>
        <v>23000</v>
      </c>
      <c r="S3556" s="279">
        <v>202304</v>
      </c>
      <c r="T3556" s="189" t="s">
        <v>4635</v>
      </c>
      <c r="U3556" s="213"/>
      <c r="V3556" s="387"/>
      <c r="W3556" s="214"/>
      <c r="X3556" s="388">
        <v>44743</v>
      </c>
      <c r="Y3556" s="388">
        <v>46934</v>
      </c>
    </row>
    <row r="3557" s="5" customFormat="1" customHeight="1" spans="1:25">
      <c r="A3557" s="203" t="s">
        <v>446</v>
      </c>
      <c r="B3557" s="204" t="s">
        <v>4284</v>
      </c>
      <c r="C3557" s="204" t="s">
        <v>63</v>
      </c>
      <c r="D3557" s="204" t="s">
        <v>3038</v>
      </c>
      <c r="E3557" s="205" t="s">
        <v>4285</v>
      </c>
      <c r="F3557" s="203" t="s">
        <v>4286</v>
      </c>
      <c r="G3557" s="203" t="s">
        <v>88</v>
      </c>
      <c r="H3557" s="25" t="s">
        <v>4597</v>
      </c>
      <c r="I3557" s="46" t="e">
        <f>VLOOKUP(H3557,'合同高级查询数据-4月返'!A:A,1,FALSE)</f>
        <v>#N/A</v>
      </c>
      <c r="J3557" s="47" t="s">
        <v>3488</v>
      </c>
      <c r="K3557" s="290" t="s">
        <v>4598</v>
      </c>
      <c r="L3557" s="206"/>
      <c r="M3557" s="49" t="s">
        <v>4369</v>
      </c>
      <c r="N3557" s="73">
        <v>44941</v>
      </c>
      <c r="O3557" s="73" t="s">
        <v>507</v>
      </c>
      <c r="P3557" s="396">
        <v>11500</v>
      </c>
      <c r="Q3557" s="385">
        <v>25</v>
      </c>
      <c r="R3557" s="117">
        <f t="shared" si="113"/>
        <v>287500</v>
      </c>
      <c r="S3557" s="279">
        <v>202304</v>
      </c>
      <c r="T3557" s="189" t="s">
        <v>4636</v>
      </c>
      <c r="U3557" s="213"/>
      <c r="V3557" s="387"/>
      <c r="W3557" s="214"/>
      <c r="X3557" s="388">
        <v>44743</v>
      </c>
      <c r="Y3557" s="388">
        <v>46934</v>
      </c>
    </row>
    <row r="3558" s="5" customFormat="1" customHeight="1" spans="1:25">
      <c r="A3558" s="203" t="s">
        <v>446</v>
      </c>
      <c r="B3558" s="204" t="s">
        <v>4284</v>
      </c>
      <c r="C3558" s="204" t="s">
        <v>63</v>
      </c>
      <c r="D3558" s="204" t="s">
        <v>3038</v>
      </c>
      <c r="E3558" s="205" t="s">
        <v>4285</v>
      </c>
      <c r="F3558" s="203" t="s">
        <v>4286</v>
      </c>
      <c r="G3558" s="203" t="s">
        <v>88</v>
      </c>
      <c r="H3558" s="25" t="s">
        <v>4597</v>
      </c>
      <c r="I3558" s="46" t="e">
        <f>VLOOKUP(H3558,'合同高级查询数据-4月返'!A:A,1,FALSE)</f>
        <v>#N/A</v>
      </c>
      <c r="J3558" s="47" t="s">
        <v>3488</v>
      </c>
      <c r="K3558" s="290" t="s">
        <v>4598</v>
      </c>
      <c r="L3558" s="206"/>
      <c r="M3558" s="49" t="s">
        <v>4369</v>
      </c>
      <c r="N3558" s="73">
        <v>44942</v>
      </c>
      <c r="O3558" s="73" t="s">
        <v>507</v>
      </c>
      <c r="P3558" s="396">
        <v>11500</v>
      </c>
      <c r="Q3558" s="385">
        <v>16</v>
      </c>
      <c r="R3558" s="117">
        <f t="shared" si="113"/>
        <v>184000</v>
      </c>
      <c r="S3558" s="279">
        <v>202304</v>
      </c>
      <c r="T3558" s="189" t="s">
        <v>4637</v>
      </c>
      <c r="U3558" s="213"/>
      <c r="V3558" s="387"/>
      <c r="W3558" s="214"/>
      <c r="X3558" s="388">
        <v>44743</v>
      </c>
      <c r="Y3558" s="388">
        <v>46934</v>
      </c>
    </row>
    <row r="3559" s="5" customFormat="1" customHeight="1" spans="1:25">
      <c r="A3559" s="203" t="s">
        <v>446</v>
      </c>
      <c r="B3559" s="204" t="s">
        <v>4284</v>
      </c>
      <c r="C3559" s="204" t="s">
        <v>63</v>
      </c>
      <c r="D3559" s="204" t="s">
        <v>3038</v>
      </c>
      <c r="E3559" s="205" t="s">
        <v>4285</v>
      </c>
      <c r="F3559" s="203" t="s">
        <v>4286</v>
      </c>
      <c r="G3559" s="203" t="s">
        <v>88</v>
      </c>
      <c r="H3559" s="25" t="s">
        <v>4597</v>
      </c>
      <c r="I3559" s="46" t="e">
        <f>VLOOKUP(H3559,'合同高级查询数据-4月返'!A:A,1,FALSE)</f>
        <v>#N/A</v>
      </c>
      <c r="J3559" s="47" t="s">
        <v>3488</v>
      </c>
      <c r="K3559" s="290" t="s">
        <v>4598</v>
      </c>
      <c r="L3559" s="206"/>
      <c r="M3559" s="49" t="s">
        <v>4369</v>
      </c>
      <c r="N3559" s="73">
        <v>44956</v>
      </c>
      <c r="O3559" s="73" t="s">
        <v>507</v>
      </c>
      <c r="P3559" s="396">
        <v>11500</v>
      </c>
      <c r="Q3559" s="385">
        <v>5</v>
      </c>
      <c r="R3559" s="117">
        <f t="shared" si="113"/>
        <v>57500</v>
      </c>
      <c r="S3559" s="279">
        <v>202304</v>
      </c>
      <c r="T3559" s="189" t="s">
        <v>4638</v>
      </c>
      <c r="U3559" s="213"/>
      <c r="V3559" s="387"/>
      <c r="W3559" s="214"/>
      <c r="X3559" s="388">
        <v>44743</v>
      </c>
      <c r="Y3559" s="388">
        <v>46934</v>
      </c>
    </row>
    <row r="3560" s="5" customFormat="1" customHeight="1" spans="1:25">
      <c r="A3560" s="203" t="s">
        <v>446</v>
      </c>
      <c r="B3560" s="204" t="s">
        <v>4284</v>
      </c>
      <c r="C3560" s="204" t="s">
        <v>63</v>
      </c>
      <c r="D3560" s="204" t="s">
        <v>3038</v>
      </c>
      <c r="E3560" s="205" t="s">
        <v>4285</v>
      </c>
      <c r="F3560" s="203" t="s">
        <v>4286</v>
      </c>
      <c r="G3560" s="203" t="s">
        <v>88</v>
      </c>
      <c r="H3560" s="25" t="s">
        <v>4597</v>
      </c>
      <c r="I3560" s="46" t="e">
        <f>VLOOKUP(H3560,'合同高级查询数据-4月返'!A:A,1,FALSE)</f>
        <v>#N/A</v>
      </c>
      <c r="J3560" s="47" t="s">
        <v>3488</v>
      </c>
      <c r="K3560" s="290" t="s">
        <v>4598</v>
      </c>
      <c r="L3560" s="206"/>
      <c r="M3560" s="49" t="s">
        <v>4369</v>
      </c>
      <c r="N3560" s="73">
        <v>44966</v>
      </c>
      <c r="O3560" s="73" t="s">
        <v>507</v>
      </c>
      <c r="P3560" s="396">
        <v>11500</v>
      </c>
      <c r="Q3560" s="385">
        <v>5</v>
      </c>
      <c r="R3560" s="117">
        <f t="shared" ref="R3560:R3569" si="114">ROUND(P3560*Q3560,2)</f>
        <v>57500</v>
      </c>
      <c r="S3560" s="279">
        <v>202304</v>
      </c>
      <c r="T3560" s="189" t="s">
        <v>4639</v>
      </c>
      <c r="U3560" s="213"/>
      <c r="V3560" s="387"/>
      <c r="W3560" s="214"/>
      <c r="X3560" s="388">
        <v>44743</v>
      </c>
      <c r="Y3560" s="388">
        <v>46934</v>
      </c>
    </row>
    <row r="3561" s="5" customFormat="1" customHeight="1" spans="1:25">
      <c r="A3561" s="203" t="s">
        <v>446</v>
      </c>
      <c r="B3561" s="204" t="s">
        <v>4284</v>
      </c>
      <c r="C3561" s="204" t="s">
        <v>63</v>
      </c>
      <c r="D3561" s="204" t="s">
        <v>3038</v>
      </c>
      <c r="E3561" s="205" t="s">
        <v>4285</v>
      </c>
      <c r="F3561" s="203" t="s">
        <v>4286</v>
      </c>
      <c r="G3561" s="203" t="s">
        <v>88</v>
      </c>
      <c r="H3561" s="25" t="s">
        <v>4597</v>
      </c>
      <c r="I3561" s="46" t="e">
        <f>VLOOKUP(H3561,'合同高级查询数据-4月返'!A:A,1,FALSE)</f>
        <v>#N/A</v>
      </c>
      <c r="J3561" s="47" t="s">
        <v>3488</v>
      </c>
      <c r="K3561" s="290" t="s">
        <v>4598</v>
      </c>
      <c r="L3561" s="206"/>
      <c r="M3561" s="49" t="s">
        <v>4369</v>
      </c>
      <c r="N3561" s="73">
        <v>44967</v>
      </c>
      <c r="O3561" s="73" t="s">
        <v>507</v>
      </c>
      <c r="P3561" s="396">
        <v>11500</v>
      </c>
      <c r="Q3561" s="385">
        <v>2</v>
      </c>
      <c r="R3561" s="117">
        <f t="shared" si="114"/>
        <v>23000</v>
      </c>
      <c r="S3561" s="279">
        <v>202304</v>
      </c>
      <c r="T3561" s="189" t="s">
        <v>4640</v>
      </c>
      <c r="U3561" s="213"/>
      <c r="V3561" s="387"/>
      <c r="W3561" s="214"/>
      <c r="X3561" s="388">
        <v>44743</v>
      </c>
      <c r="Y3561" s="388">
        <v>46934</v>
      </c>
    </row>
    <row r="3562" s="5" customFormat="1" customHeight="1" spans="1:25">
      <c r="A3562" s="203" t="s">
        <v>446</v>
      </c>
      <c r="B3562" s="204" t="s">
        <v>4284</v>
      </c>
      <c r="C3562" s="204" t="s">
        <v>63</v>
      </c>
      <c r="D3562" s="204" t="s">
        <v>3038</v>
      </c>
      <c r="E3562" s="205" t="s">
        <v>4285</v>
      </c>
      <c r="F3562" s="203" t="s">
        <v>4286</v>
      </c>
      <c r="G3562" s="203" t="s">
        <v>88</v>
      </c>
      <c r="H3562" s="25" t="s">
        <v>4597</v>
      </c>
      <c r="I3562" s="46" t="e">
        <f>VLOOKUP(H3562,'合同高级查询数据-4月返'!A:A,1,FALSE)</f>
        <v>#N/A</v>
      </c>
      <c r="J3562" s="47" t="s">
        <v>3488</v>
      </c>
      <c r="K3562" s="290" t="s">
        <v>4598</v>
      </c>
      <c r="L3562" s="206"/>
      <c r="M3562" s="49" t="s">
        <v>4369</v>
      </c>
      <c r="N3562" s="73">
        <v>44970</v>
      </c>
      <c r="O3562" s="73" t="s">
        <v>507</v>
      </c>
      <c r="P3562" s="396">
        <v>11500</v>
      </c>
      <c r="Q3562" s="385">
        <v>15</v>
      </c>
      <c r="R3562" s="117">
        <f t="shared" si="114"/>
        <v>172500</v>
      </c>
      <c r="S3562" s="279">
        <v>202304</v>
      </c>
      <c r="T3562" s="189" t="s">
        <v>4641</v>
      </c>
      <c r="U3562" s="213"/>
      <c r="V3562" s="387"/>
      <c r="W3562" s="214"/>
      <c r="X3562" s="388">
        <v>44743</v>
      </c>
      <c r="Y3562" s="388">
        <v>46934</v>
      </c>
    </row>
    <row r="3563" s="5" customFormat="1" customHeight="1" spans="1:25">
      <c r="A3563" s="203" t="s">
        <v>446</v>
      </c>
      <c r="B3563" s="204" t="s">
        <v>4284</v>
      </c>
      <c r="C3563" s="204" t="s">
        <v>63</v>
      </c>
      <c r="D3563" s="204" t="s">
        <v>3038</v>
      </c>
      <c r="E3563" s="205" t="s">
        <v>4285</v>
      </c>
      <c r="F3563" s="203" t="s">
        <v>4286</v>
      </c>
      <c r="G3563" s="203" t="s">
        <v>88</v>
      </c>
      <c r="H3563" s="25" t="s">
        <v>4597</v>
      </c>
      <c r="I3563" s="46" t="e">
        <f>VLOOKUP(H3563,'合同高级查询数据-4月返'!A:A,1,FALSE)</f>
        <v>#N/A</v>
      </c>
      <c r="J3563" s="47" t="s">
        <v>3488</v>
      </c>
      <c r="K3563" s="290" t="s">
        <v>4598</v>
      </c>
      <c r="L3563" s="206"/>
      <c r="M3563" s="49" t="s">
        <v>4369</v>
      </c>
      <c r="N3563" s="73">
        <v>44971</v>
      </c>
      <c r="O3563" s="73" t="s">
        <v>507</v>
      </c>
      <c r="P3563" s="396">
        <v>11500</v>
      </c>
      <c r="Q3563" s="385">
        <v>1</v>
      </c>
      <c r="R3563" s="117">
        <f t="shared" si="114"/>
        <v>11500</v>
      </c>
      <c r="S3563" s="279">
        <v>202304</v>
      </c>
      <c r="T3563" s="189" t="s">
        <v>4642</v>
      </c>
      <c r="U3563" s="213"/>
      <c r="V3563" s="387"/>
      <c r="W3563" s="214"/>
      <c r="X3563" s="388">
        <v>44743</v>
      </c>
      <c r="Y3563" s="388">
        <v>46934</v>
      </c>
    </row>
    <row r="3564" s="5" customFormat="1" customHeight="1" spans="1:25">
      <c r="A3564" s="203" t="s">
        <v>446</v>
      </c>
      <c r="B3564" s="204" t="s">
        <v>4284</v>
      </c>
      <c r="C3564" s="204" t="s">
        <v>63</v>
      </c>
      <c r="D3564" s="204" t="s">
        <v>3038</v>
      </c>
      <c r="E3564" s="205" t="s">
        <v>4285</v>
      </c>
      <c r="F3564" s="203" t="s">
        <v>4286</v>
      </c>
      <c r="G3564" s="203" t="s">
        <v>88</v>
      </c>
      <c r="H3564" s="25" t="s">
        <v>4597</v>
      </c>
      <c r="I3564" s="46" t="e">
        <f>VLOOKUP(H3564,'合同高级查询数据-4月返'!A:A,1,FALSE)</f>
        <v>#N/A</v>
      </c>
      <c r="J3564" s="47" t="s">
        <v>3488</v>
      </c>
      <c r="K3564" s="290" t="s">
        <v>4598</v>
      </c>
      <c r="L3564" s="206"/>
      <c r="M3564" s="49" t="s">
        <v>4369</v>
      </c>
      <c r="N3564" s="73">
        <v>44973</v>
      </c>
      <c r="O3564" s="73" t="s">
        <v>507</v>
      </c>
      <c r="P3564" s="396">
        <v>11500</v>
      </c>
      <c r="Q3564" s="385">
        <v>15</v>
      </c>
      <c r="R3564" s="117">
        <f t="shared" si="114"/>
        <v>172500</v>
      </c>
      <c r="S3564" s="279">
        <v>202304</v>
      </c>
      <c r="T3564" s="189" t="s">
        <v>4643</v>
      </c>
      <c r="U3564" s="213"/>
      <c r="V3564" s="387"/>
      <c r="W3564" s="214"/>
      <c r="X3564" s="388">
        <v>44743</v>
      </c>
      <c r="Y3564" s="388">
        <v>46934</v>
      </c>
    </row>
    <row r="3565" s="5" customFormat="1" customHeight="1" spans="1:25">
      <c r="A3565" s="203" t="s">
        <v>446</v>
      </c>
      <c r="B3565" s="204" t="s">
        <v>4284</v>
      </c>
      <c r="C3565" s="204" t="s">
        <v>63</v>
      </c>
      <c r="D3565" s="204" t="s">
        <v>3038</v>
      </c>
      <c r="E3565" s="205" t="s">
        <v>4285</v>
      </c>
      <c r="F3565" s="203" t="s">
        <v>4286</v>
      </c>
      <c r="G3565" s="203" t="s">
        <v>88</v>
      </c>
      <c r="H3565" s="25" t="s">
        <v>4597</v>
      </c>
      <c r="I3565" s="46" t="e">
        <f>VLOOKUP(H3565,'合同高级查询数据-4月返'!A:A,1,FALSE)</f>
        <v>#N/A</v>
      </c>
      <c r="J3565" s="47" t="s">
        <v>3488</v>
      </c>
      <c r="K3565" s="290" t="s">
        <v>4598</v>
      </c>
      <c r="L3565" s="206"/>
      <c r="M3565" s="49" t="s">
        <v>4369</v>
      </c>
      <c r="N3565" s="73">
        <v>44977</v>
      </c>
      <c r="O3565" s="73" t="s">
        <v>507</v>
      </c>
      <c r="P3565" s="396">
        <v>11500</v>
      </c>
      <c r="Q3565" s="385">
        <v>5</v>
      </c>
      <c r="R3565" s="117">
        <f t="shared" si="114"/>
        <v>57500</v>
      </c>
      <c r="S3565" s="279">
        <v>202304</v>
      </c>
      <c r="T3565" s="189" t="s">
        <v>4644</v>
      </c>
      <c r="U3565" s="213"/>
      <c r="V3565" s="387"/>
      <c r="W3565" s="214"/>
      <c r="X3565" s="388">
        <v>44743</v>
      </c>
      <c r="Y3565" s="388">
        <v>46934</v>
      </c>
    </row>
    <row r="3566" s="5" customFormat="1" customHeight="1" spans="1:25">
      <c r="A3566" s="203" t="s">
        <v>446</v>
      </c>
      <c r="B3566" s="204" t="s">
        <v>4284</v>
      </c>
      <c r="C3566" s="204" t="s">
        <v>63</v>
      </c>
      <c r="D3566" s="204" t="s">
        <v>3038</v>
      </c>
      <c r="E3566" s="205" t="s">
        <v>4285</v>
      </c>
      <c r="F3566" s="203" t="s">
        <v>4286</v>
      </c>
      <c r="G3566" s="203" t="s">
        <v>88</v>
      </c>
      <c r="H3566" s="25" t="s">
        <v>4597</v>
      </c>
      <c r="I3566" s="46" t="e">
        <f>VLOOKUP(H3566,'合同高级查询数据-4月返'!A:A,1,FALSE)</f>
        <v>#N/A</v>
      </c>
      <c r="J3566" s="47" t="s">
        <v>3488</v>
      </c>
      <c r="K3566" s="290" t="s">
        <v>4598</v>
      </c>
      <c r="L3566" s="206"/>
      <c r="M3566" s="49" t="s">
        <v>4369</v>
      </c>
      <c r="N3566" s="73">
        <v>44978</v>
      </c>
      <c r="O3566" s="73" t="s">
        <v>507</v>
      </c>
      <c r="P3566" s="396">
        <v>11500</v>
      </c>
      <c r="Q3566" s="385">
        <v>3</v>
      </c>
      <c r="R3566" s="117">
        <f t="shared" si="114"/>
        <v>34500</v>
      </c>
      <c r="S3566" s="279">
        <v>202304</v>
      </c>
      <c r="T3566" s="189" t="s">
        <v>4645</v>
      </c>
      <c r="U3566" s="213"/>
      <c r="V3566" s="387"/>
      <c r="W3566" s="214"/>
      <c r="X3566" s="388">
        <v>44743</v>
      </c>
      <c r="Y3566" s="388">
        <v>46934</v>
      </c>
    </row>
    <row r="3567" s="5" customFormat="1" customHeight="1" spans="1:25">
      <c r="A3567" s="203" t="s">
        <v>446</v>
      </c>
      <c r="B3567" s="204" t="s">
        <v>4284</v>
      </c>
      <c r="C3567" s="204" t="s">
        <v>63</v>
      </c>
      <c r="D3567" s="204" t="s">
        <v>3038</v>
      </c>
      <c r="E3567" s="205" t="s">
        <v>4285</v>
      </c>
      <c r="F3567" s="203" t="s">
        <v>4286</v>
      </c>
      <c r="G3567" s="203" t="s">
        <v>88</v>
      </c>
      <c r="H3567" s="25" t="s">
        <v>4597</v>
      </c>
      <c r="I3567" s="46" t="e">
        <f>VLOOKUP(H3567,'合同高级查询数据-4月返'!A:A,1,FALSE)</f>
        <v>#N/A</v>
      </c>
      <c r="J3567" s="47" t="s">
        <v>3488</v>
      </c>
      <c r="K3567" s="290" t="s">
        <v>4598</v>
      </c>
      <c r="L3567" s="206"/>
      <c r="M3567" s="49" t="s">
        <v>4369</v>
      </c>
      <c r="N3567" s="73">
        <v>44980</v>
      </c>
      <c r="O3567" s="73" t="s">
        <v>507</v>
      </c>
      <c r="P3567" s="396">
        <v>11500</v>
      </c>
      <c r="Q3567" s="385">
        <v>13</v>
      </c>
      <c r="R3567" s="117">
        <f t="shared" si="114"/>
        <v>149500</v>
      </c>
      <c r="S3567" s="279">
        <v>202304</v>
      </c>
      <c r="T3567" s="189" t="s">
        <v>4646</v>
      </c>
      <c r="U3567" s="213"/>
      <c r="V3567" s="387"/>
      <c r="W3567" s="214"/>
      <c r="X3567" s="388">
        <v>44743</v>
      </c>
      <c r="Y3567" s="388">
        <v>46934</v>
      </c>
    </row>
    <row r="3568" s="5" customFormat="1" customHeight="1" spans="1:25">
      <c r="A3568" s="203" t="s">
        <v>446</v>
      </c>
      <c r="B3568" s="204" t="s">
        <v>4284</v>
      </c>
      <c r="C3568" s="204" t="s">
        <v>63</v>
      </c>
      <c r="D3568" s="204" t="s">
        <v>3038</v>
      </c>
      <c r="E3568" s="205" t="s">
        <v>4285</v>
      </c>
      <c r="F3568" s="203" t="s">
        <v>4286</v>
      </c>
      <c r="G3568" s="203" t="s">
        <v>88</v>
      </c>
      <c r="H3568" s="25" t="s">
        <v>4597</v>
      </c>
      <c r="I3568" s="46" t="e">
        <f>VLOOKUP(H3568,'合同高级查询数据-4月返'!A:A,1,FALSE)</f>
        <v>#N/A</v>
      </c>
      <c r="J3568" s="47" t="s">
        <v>3488</v>
      </c>
      <c r="K3568" s="290" t="s">
        <v>4598</v>
      </c>
      <c r="L3568" s="206"/>
      <c r="M3568" s="49" t="s">
        <v>4369</v>
      </c>
      <c r="N3568" s="73">
        <v>44981</v>
      </c>
      <c r="O3568" s="73" t="s">
        <v>507</v>
      </c>
      <c r="P3568" s="396">
        <v>11500</v>
      </c>
      <c r="Q3568" s="385">
        <v>5</v>
      </c>
      <c r="R3568" s="117">
        <f t="shared" si="114"/>
        <v>57500</v>
      </c>
      <c r="S3568" s="279">
        <v>202304</v>
      </c>
      <c r="T3568" s="189" t="s">
        <v>4647</v>
      </c>
      <c r="U3568" s="213"/>
      <c r="V3568" s="387"/>
      <c r="W3568" s="214"/>
      <c r="X3568" s="388">
        <v>44743</v>
      </c>
      <c r="Y3568" s="388">
        <v>46934</v>
      </c>
    </row>
    <row r="3569" s="5" customFormat="1" customHeight="1" spans="1:25">
      <c r="A3569" s="203" t="s">
        <v>446</v>
      </c>
      <c r="B3569" s="204" t="s">
        <v>4284</v>
      </c>
      <c r="C3569" s="204" t="s">
        <v>63</v>
      </c>
      <c r="D3569" s="204" t="s">
        <v>3038</v>
      </c>
      <c r="E3569" s="205" t="s">
        <v>4285</v>
      </c>
      <c r="F3569" s="203" t="s">
        <v>4286</v>
      </c>
      <c r="G3569" s="203" t="s">
        <v>88</v>
      </c>
      <c r="H3569" s="25" t="s">
        <v>4597</v>
      </c>
      <c r="I3569" s="46" t="e">
        <f>VLOOKUP(H3569,'合同高级查询数据-4月返'!A:A,1,FALSE)</f>
        <v>#N/A</v>
      </c>
      <c r="J3569" s="47" t="s">
        <v>3488</v>
      </c>
      <c r="K3569" s="290" t="s">
        <v>4598</v>
      </c>
      <c r="L3569" s="206"/>
      <c r="M3569" s="49" t="s">
        <v>4369</v>
      </c>
      <c r="N3569" s="73">
        <v>44986</v>
      </c>
      <c r="O3569" s="73" t="s">
        <v>507</v>
      </c>
      <c r="P3569" s="396">
        <v>11500</v>
      </c>
      <c r="Q3569" s="385">
        <v>4</v>
      </c>
      <c r="R3569" s="117">
        <f t="shared" si="114"/>
        <v>46000</v>
      </c>
      <c r="S3569" s="279">
        <v>202304</v>
      </c>
      <c r="T3569" s="189" t="s">
        <v>4648</v>
      </c>
      <c r="U3569" s="213"/>
      <c r="V3569" s="387"/>
      <c r="W3569" s="214"/>
      <c r="X3569" s="388">
        <v>44743</v>
      </c>
      <c r="Y3569" s="388">
        <v>46934</v>
      </c>
    </row>
    <row r="3570" s="5" customFormat="1" customHeight="1" spans="1:25">
      <c r="A3570" s="203" t="s">
        <v>446</v>
      </c>
      <c r="B3570" s="204" t="s">
        <v>4284</v>
      </c>
      <c r="C3570" s="204" t="s">
        <v>63</v>
      </c>
      <c r="D3570" s="204" t="s">
        <v>3038</v>
      </c>
      <c r="E3570" s="205" t="s">
        <v>4285</v>
      </c>
      <c r="F3570" s="203" t="s">
        <v>4286</v>
      </c>
      <c r="G3570" s="203" t="s">
        <v>88</v>
      </c>
      <c r="H3570" s="25" t="s">
        <v>4597</v>
      </c>
      <c r="I3570" s="46" t="e">
        <f>VLOOKUP(H3570,'合同高级查询数据-4月返'!A:A,1,FALSE)</f>
        <v>#N/A</v>
      </c>
      <c r="J3570" s="47" t="s">
        <v>3488</v>
      </c>
      <c r="K3570" s="290" t="s">
        <v>4598</v>
      </c>
      <c r="L3570" s="206"/>
      <c r="M3570" s="49" t="s">
        <v>4369</v>
      </c>
      <c r="N3570" s="73">
        <v>44987</v>
      </c>
      <c r="O3570" s="73" t="s">
        <v>507</v>
      </c>
      <c r="P3570" s="396">
        <v>11500</v>
      </c>
      <c r="Q3570" s="385">
        <v>1</v>
      </c>
      <c r="R3570" s="117">
        <f t="shared" ref="R3570:R3578" si="115">ROUND(P3570*Q3570,2)</f>
        <v>11500</v>
      </c>
      <c r="S3570" s="279">
        <v>202304</v>
      </c>
      <c r="T3570" s="189" t="s">
        <v>4649</v>
      </c>
      <c r="U3570" s="213"/>
      <c r="V3570" s="387"/>
      <c r="W3570" s="214"/>
      <c r="X3570" s="388">
        <v>44743</v>
      </c>
      <c r="Y3570" s="388">
        <v>46934</v>
      </c>
    </row>
    <row r="3571" s="5" customFormat="1" customHeight="1" spans="1:25">
      <c r="A3571" s="203" t="s">
        <v>446</v>
      </c>
      <c r="B3571" s="204" t="s">
        <v>4284</v>
      </c>
      <c r="C3571" s="204" t="s">
        <v>63</v>
      </c>
      <c r="D3571" s="204" t="s">
        <v>3038</v>
      </c>
      <c r="E3571" s="205" t="s">
        <v>4285</v>
      </c>
      <c r="F3571" s="203" t="s">
        <v>4286</v>
      </c>
      <c r="G3571" s="203" t="s">
        <v>88</v>
      </c>
      <c r="H3571" s="25" t="s">
        <v>4597</v>
      </c>
      <c r="I3571" s="46" t="e">
        <f>VLOOKUP(H3571,'合同高级查询数据-4月返'!A:A,1,FALSE)</f>
        <v>#N/A</v>
      </c>
      <c r="J3571" s="47" t="s">
        <v>3488</v>
      </c>
      <c r="K3571" s="290" t="s">
        <v>4598</v>
      </c>
      <c r="L3571" s="206"/>
      <c r="M3571" s="49" t="s">
        <v>4369</v>
      </c>
      <c r="N3571" s="73">
        <v>44988</v>
      </c>
      <c r="O3571" s="73" t="s">
        <v>507</v>
      </c>
      <c r="P3571" s="396">
        <v>11500</v>
      </c>
      <c r="Q3571" s="385">
        <v>2</v>
      </c>
      <c r="R3571" s="117">
        <f t="shared" si="115"/>
        <v>23000</v>
      </c>
      <c r="S3571" s="279">
        <v>202304</v>
      </c>
      <c r="T3571" s="189" t="s">
        <v>4650</v>
      </c>
      <c r="U3571" s="213"/>
      <c r="V3571" s="387"/>
      <c r="W3571" s="214"/>
      <c r="X3571" s="388">
        <v>44743</v>
      </c>
      <c r="Y3571" s="388">
        <v>46934</v>
      </c>
    </row>
    <row r="3572" s="5" customFormat="1" customHeight="1" spans="1:25">
      <c r="A3572" s="203" t="s">
        <v>446</v>
      </c>
      <c r="B3572" s="204" t="s">
        <v>4284</v>
      </c>
      <c r="C3572" s="204" t="s">
        <v>63</v>
      </c>
      <c r="D3572" s="204" t="s">
        <v>3038</v>
      </c>
      <c r="E3572" s="205" t="s">
        <v>4285</v>
      </c>
      <c r="F3572" s="203" t="s">
        <v>4286</v>
      </c>
      <c r="G3572" s="203" t="s">
        <v>88</v>
      </c>
      <c r="H3572" s="25" t="s">
        <v>4597</v>
      </c>
      <c r="I3572" s="46" t="e">
        <f>VLOOKUP(H3572,'合同高级查询数据-4月返'!A:A,1,FALSE)</f>
        <v>#N/A</v>
      </c>
      <c r="J3572" s="47" t="s">
        <v>3488</v>
      </c>
      <c r="K3572" s="290" t="s">
        <v>4598</v>
      </c>
      <c r="L3572" s="206"/>
      <c r="M3572" s="49" t="s">
        <v>4369</v>
      </c>
      <c r="N3572" s="73">
        <v>44988</v>
      </c>
      <c r="O3572" s="73" t="s">
        <v>507</v>
      </c>
      <c r="P3572" s="396">
        <v>11500</v>
      </c>
      <c r="Q3572" s="385">
        <v>-2</v>
      </c>
      <c r="R3572" s="117">
        <f t="shared" si="115"/>
        <v>-23000</v>
      </c>
      <c r="S3572" s="279">
        <v>202304</v>
      </c>
      <c r="T3572" s="189" t="s">
        <v>4651</v>
      </c>
      <c r="U3572" s="213"/>
      <c r="V3572" s="387"/>
      <c r="W3572" s="214"/>
      <c r="X3572" s="388">
        <v>44743</v>
      </c>
      <c r="Y3572" s="388">
        <v>46934</v>
      </c>
    </row>
    <row r="3573" s="5" customFormat="1" customHeight="1" spans="1:25">
      <c r="A3573" s="203" t="s">
        <v>446</v>
      </c>
      <c r="B3573" s="204" t="s">
        <v>4284</v>
      </c>
      <c r="C3573" s="204" t="s">
        <v>63</v>
      </c>
      <c r="D3573" s="204" t="s">
        <v>3038</v>
      </c>
      <c r="E3573" s="205" t="s">
        <v>4285</v>
      </c>
      <c r="F3573" s="203" t="s">
        <v>4286</v>
      </c>
      <c r="G3573" s="203" t="s">
        <v>88</v>
      </c>
      <c r="H3573" s="25" t="s">
        <v>4597</v>
      </c>
      <c r="I3573" s="46" t="e">
        <f>VLOOKUP(H3573,'合同高级查询数据-4月返'!A:A,1,FALSE)</f>
        <v>#N/A</v>
      </c>
      <c r="J3573" s="47" t="s">
        <v>3488</v>
      </c>
      <c r="K3573" s="290" t="s">
        <v>4598</v>
      </c>
      <c r="L3573" s="206"/>
      <c r="M3573" s="49" t="s">
        <v>4369</v>
      </c>
      <c r="N3573" s="73">
        <v>44993</v>
      </c>
      <c r="O3573" s="73" t="s">
        <v>507</v>
      </c>
      <c r="P3573" s="396">
        <v>11500</v>
      </c>
      <c r="Q3573" s="385">
        <v>4</v>
      </c>
      <c r="R3573" s="117">
        <f t="shared" si="115"/>
        <v>46000</v>
      </c>
      <c r="S3573" s="279">
        <v>202304</v>
      </c>
      <c r="T3573" s="189" t="s">
        <v>4652</v>
      </c>
      <c r="U3573" s="213"/>
      <c r="V3573" s="387"/>
      <c r="W3573" s="214"/>
      <c r="X3573" s="388">
        <v>44743</v>
      </c>
      <c r="Y3573" s="388">
        <v>46934</v>
      </c>
    </row>
    <row r="3574" s="5" customFormat="1" customHeight="1" spans="1:25">
      <c r="A3574" s="203" t="s">
        <v>446</v>
      </c>
      <c r="B3574" s="204" t="s">
        <v>4284</v>
      </c>
      <c r="C3574" s="204" t="s">
        <v>63</v>
      </c>
      <c r="D3574" s="204" t="s">
        <v>3038</v>
      </c>
      <c r="E3574" s="205" t="s">
        <v>4285</v>
      </c>
      <c r="F3574" s="203" t="s">
        <v>4286</v>
      </c>
      <c r="G3574" s="203" t="s">
        <v>88</v>
      </c>
      <c r="H3574" s="25" t="s">
        <v>4597</v>
      </c>
      <c r="I3574" s="46" t="e">
        <f>VLOOKUP(H3574,'合同高级查询数据-4月返'!A:A,1,FALSE)</f>
        <v>#N/A</v>
      </c>
      <c r="J3574" s="47" t="s">
        <v>3488</v>
      </c>
      <c r="K3574" s="290" t="s">
        <v>4598</v>
      </c>
      <c r="L3574" s="206"/>
      <c r="M3574" s="49" t="s">
        <v>4369</v>
      </c>
      <c r="N3574" s="73">
        <v>44994</v>
      </c>
      <c r="O3574" s="73" t="s">
        <v>507</v>
      </c>
      <c r="P3574" s="396">
        <v>11500</v>
      </c>
      <c r="Q3574" s="385">
        <v>7</v>
      </c>
      <c r="R3574" s="117">
        <f t="shared" si="115"/>
        <v>80500</v>
      </c>
      <c r="S3574" s="279">
        <v>202304</v>
      </c>
      <c r="T3574" s="189" t="s">
        <v>4653</v>
      </c>
      <c r="U3574" s="213"/>
      <c r="V3574" s="387"/>
      <c r="W3574" s="214"/>
      <c r="X3574" s="388">
        <v>44743</v>
      </c>
      <c r="Y3574" s="388">
        <v>46934</v>
      </c>
    </row>
    <row r="3575" s="5" customFormat="1" customHeight="1" spans="1:25">
      <c r="A3575" s="203" t="s">
        <v>446</v>
      </c>
      <c r="B3575" s="204" t="s">
        <v>4284</v>
      </c>
      <c r="C3575" s="204" t="s">
        <v>63</v>
      </c>
      <c r="D3575" s="204" t="s">
        <v>3038</v>
      </c>
      <c r="E3575" s="205" t="s">
        <v>4285</v>
      </c>
      <c r="F3575" s="203" t="s">
        <v>4286</v>
      </c>
      <c r="G3575" s="203" t="s">
        <v>88</v>
      </c>
      <c r="H3575" s="25" t="s">
        <v>4597</v>
      </c>
      <c r="I3575" s="46" t="e">
        <f>VLOOKUP(H3575,'合同高级查询数据-4月返'!A:A,1,FALSE)</f>
        <v>#N/A</v>
      </c>
      <c r="J3575" s="47" t="s">
        <v>3488</v>
      </c>
      <c r="K3575" s="290" t="s">
        <v>4598</v>
      </c>
      <c r="L3575" s="206"/>
      <c r="M3575" s="49" t="s">
        <v>4369</v>
      </c>
      <c r="N3575" s="73">
        <v>45002</v>
      </c>
      <c r="O3575" s="73" t="s">
        <v>507</v>
      </c>
      <c r="P3575" s="396">
        <v>11500</v>
      </c>
      <c r="Q3575" s="385">
        <v>1</v>
      </c>
      <c r="R3575" s="117">
        <f t="shared" si="115"/>
        <v>11500</v>
      </c>
      <c r="S3575" s="279">
        <v>202304</v>
      </c>
      <c r="T3575" s="189" t="s">
        <v>4654</v>
      </c>
      <c r="U3575" s="213"/>
      <c r="V3575" s="387"/>
      <c r="W3575" s="214"/>
      <c r="X3575" s="388">
        <v>44743</v>
      </c>
      <c r="Y3575" s="388">
        <v>46934</v>
      </c>
    </row>
    <row r="3576" s="5" customFormat="1" customHeight="1" spans="1:25">
      <c r="A3576" s="203" t="s">
        <v>446</v>
      </c>
      <c r="B3576" s="204" t="s">
        <v>4284</v>
      </c>
      <c r="C3576" s="204" t="s">
        <v>63</v>
      </c>
      <c r="D3576" s="204" t="s">
        <v>3038</v>
      </c>
      <c r="E3576" s="205" t="s">
        <v>4285</v>
      </c>
      <c r="F3576" s="203" t="s">
        <v>4286</v>
      </c>
      <c r="G3576" s="203" t="s">
        <v>88</v>
      </c>
      <c r="H3576" s="25" t="s">
        <v>4597</v>
      </c>
      <c r="I3576" s="46" t="e">
        <f>VLOOKUP(H3576,'合同高级查询数据-4月返'!A:A,1,FALSE)</f>
        <v>#N/A</v>
      </c>
      <c r="J3576" s="47" t="s">
        <v>3488</v>
      </c>
      <c r="K3576" s="290" t="s">
        <v>4598</v>
      </c>
      <c r="L3576" s="206"/>
      <c r="M3576" s="49" t="s">
        <v>4369</v>
      </c>
      <c r="N3576" s="73">
        <v>45011</v>
      </c>
      <c r="O3576" s="73" t="s">
        <v>507</v>
      </c>
      <c r="P3576" s="396">
        <v>11500</v>
      </c>
      <c r="Q3576" s="385">
        <v>18</v>
      </c>
      <c r="R3576" s="117">
        <f t="shared" si="115"/>
        <v>207000</v>
      </c>
      <c r="S3576" s="279">
        <v>202304</v>
      </c>
      <c r="T3576" s="189" t="s">
        <v>4655</v>
      </c>
      <c r="U3576" s="213"/>
      <c r="V3576" s="387"/>
      <c r="W3576" s="214"/>
      <c r="X3576" s="388">
        <v>44743</v>
      </c>
      <c r="Y3576" s="388">
        <v>46934</v>
      </c>
    </row>
    <row r="3577" s="5" customFormat="1" customHeight="1" spans="1:25">
      <c r="A3577" s="203" t="s">
        <v>446</v>
      </c>
      <c r="B3577" s="204" t="s">
        <v>4284</v>
      </c>
      <c r="C3577" s="204" t="s">
        <v>63</v>
      </c>
      <c r="D3577" s="204" t="s">
        <v>3038</v>
      </c>
      <c r="E3577" s="205" t="s">
        <v>4285</v>
      </c>
      <c r="F3577" s="203" t="s">
        <v>4286</v>
      </c>
      <c r="G3577" s="203" t="s">
        <v>88</v>
      </c>
      <c r="H3577" s="25" t="s">
        <v>4597</v>
      </c>
      <c r="I3577" s="46" t="e">
        <f>VLOOKUP(H3577,'合同高级查询数据-4月返'!A:A,1,FALSE)</f>
        <v>#N/A</v>
      </c>
      <c r="J3577" s="47" t="s">
        <v>3488</v>
      </c>
      <c r="K3577" s="290" t="s">
        <v>4598</v>
      </c>
      <c r="L3577" s="206"/>
      <c r="M3577" s="49" t="s">
        <v>4369</v>
      </c>
      <c r="N3577" s="73">
        <v>45013.731875</v>
      </c>
      <c r="O3577" s="73" t="s">
        <v>507</v>
      </c>
      <c r="P3577" s="396">
        <v>11500</v>
      </c>
      <c r="Q3577" s="385">
        <v>1</v>
      </c>
      <c r="R3577" s="207">
        <f t="shared" si="115"/>
        <v>11500</v>
      </c>
      <c r="S3577" s="279">
        <v>202304</v>
      </c>
      <c r="T3577" s="189" t="s">
        <v>4656</v>
      </c>
      <c r="U3577" s="213"/>
      <c r="V3577" s="387"/>
      <c r="W3577" s="214"/>
      <c r="X3577" s="388">
        <v>44743</v>
      </c>
      <c r="Y3577" s="388">
        <v>46934</v>
      </c>
    </row>
    <row r="3578" s="5" customFormat="1" customHeight="1" spans="1:25">
      <c r="A3578" s="203" t="s">
        <v>446</v>
      </c>
      <c r="B3578" s="204" t="s">
        <v>4284</v>
      </c>
      <c r="C3578" s="204" t="s">
        <v>63</v>
      </c>
      <c r="D3578" s="204" t="s">
        <v>3038</v>
      </c>
      <c r="E3578" s="205" t="s">
        <v>4285</v>
      </c>
      <c r="F3578" s="203" t="s">
        <v>4286</v>
      </c>
      <c r="G3578" s="203" t="s">
        <v>88</v>
      </c>
      <c r="H3578" s="25" t="s">
        <v>4597</v>
      </c>
      <c r="I3578" s="46" t="e">
        <f>VLOOKUP(H3578,'合同高级查询数据-4月返'!A:A,1,FALSE)</f>
        <v>#N/A</v>
      </c>
      <c r="J3578" s="47" t="s">
        <v>3488</v>
      </c>
      <c r="K3578" s="290" t="s">
        <v>4598</v>
      </c>
      <c r="L3578" s="206"/>
      <c r="M3578" s="49" t="s">
        <v>4369</v>
      </c>
      <c r="N3578" s="73">
        <v>45015</v>
      </c>
      <c r="O3578" s="73" t="s">
        <v>507</v>
      </c>
      <c r="P3578" s="396">
        <v>11500</v>
      </c>
      <c r="Q3578" s="385">
        <v>-3</v>
      </c>
      <c r="R3578" s="207">
        <f t="shared" si="115"/>
        <v>-34500</v>
      </c>
      <c r="S3578" s="279">
        <v>202304</v>
      </c>
      <c r="T3578" s="189" t="s">
        <v>4657</v>
      </c>
      <c r="U3578" s="213"/>
      <c r="V3578" s="387"/>
      <c r="W3578" s="214"/>
      <c r="X3578" s="388">
        <v>44743</v>
      </c>
      <c r="Y3578" s="388">
        <v>46934</v>
      </c>
    </row>
    <row r="3579" s="5" customFormat="1" customHeight="1" spans="1:25">
      <c r="A3579" s="203" t="s">
        <v>446</v>
      </c>
      <c r="B3579" s="204" t="s">
        <v>4284</v>
      </c>
      <c r="C3579" s="204" t="s">
        <v>63</v>
      </c>
      <c r="D3579" s="204" t="s">
        <v>3038</v>
      </c>
      <c r="E3579" s="205" t="s">
        <v>4285</v>
      </c>
      <c r="F3579" s="203" t="s">
        <v>4286</v>
      </c>
      <c r="G3579" s="203" t="s">
        <v>88</v>
      </c>
      <c r="H3579" s="25" t="s">
        <v>4597</v>
      </c>
      <c r="I3579" s="46" t="e">
        <f>VLOOKUP(H3579,'合同高级查询数据-4月返'!A:A,1,FALSE)</f>
        <v>#N/A</v>
      </c>
      <c r="J3579" s="47" t="s">
        <v>3488</v>
      </c>
      <c r="K3579" s="290" t="s">
        <v>4598</v>
      </c>
      <c r="L3579" s="206"/>
      <c r="M3579" s="49" t="s">
        <v>4369</v>
      </c>
      <c r="N3579" s="397">
        <v>45019</v>
      </c>
      <c r="O3579" s="73" t="s">
        <v>507</v>
      </c>
      <c r="P3579" s="396">
        <v>11500</v>
      </c>
      <c r="Q3579" s="385">
        <v>1</v>
      </c>
      <c r="R3579" s="117">
        <f>ROUND(P3579*Q3579*28/30,2)</f>
        <v>10733.33</v>
      </c>
      <c r="S3579" s="279">
        <v>202304</v>
      </c>
      <c r="T3579" s="398" t="s">
        <v>4658</v>
      </c>
      <c r="U3579" s="213"/>
      <c r="V3579" s="387"/>
      <c r="W3579" s="214"/>
      <c r="X3579" s="388">
        <v>44743</v>
      </c>
      <c r="Y3579" s="388">
        <v>46934</v>
      </c>
    </row>
    <row r="3580" s="5" customFormat="1" customHeight="1" spans="1:25">
      <c r="A3580" s="203" t="s">
        <v>446</v>
      </c>
      <c r="B3580" s="204" t="s">
        <v>4284</v>
      </c>
      <c r="C3580" s="204" t="s">
        <v>63</v>
      </c>
      <c r="D3580" s="204" t="s">
        <v>3038</v>
      </c>
      <c r="E3580" s="205" t="s">
        <v>4285</v>
      </c>
      <c r="F3580" s="203" t="s">
        <v>4286</v>
      </c>
      <c r="G3580" s="203" t="s">
        <v>88</v>
      </c>
      <c r="H3580" s="25" t="s">
        <v>4597</v>
      </c>
      <c r="I3580" s="46" t="e">
        <f>VLOOKUP(H3580,'合同高级查询数据-4月返'!A:A,1,FALSE)</f>
        <v>#N/A</v>
      </c>
      <c r="J3580" s="47" t="s">
        <v>3488</v>
      </c>
      <c r="K3580" s="290" t="s">
        <v>4598</v>
      </c>
      <c r="L3580" s="206"/>
      <c r="M3580" s="49" t="s">
        <v>4369</v>
      </c>
      <c r="N3580" s="397">
        <v>45020</v>
      </c>
      <c r="O3580" s="73" t="s">
        <v>507</v>
      </c>
      <c r="P3580" s="396">
        <v>11500</v>
      </c>
      <c r="Q3580" s="385">
        <v>10</v>
      </c>
      <c r="R3580" s="117">
        <f>ROUND(P3580*Q3580*27/30,2)</f>
        <v>103500</v>
      </c>
      <c r="S3580" s="279">
        <v>202304</v>
      </c>
      <c r="T3580" s="398" t="s">
        <v>4659</v>
      </c>
      <c r="U3580" s="213"/>
      <c r="V3580" s="387"/>
      <c r="W3580" s="214"/>
      <c r="X3580" s="388">
        <v>44743</v>
      </c>
      <c r="Y3580" s="388">
        <v>46934</v>
      </c>
    </row>
    <row r="3581" s="5" customFormat="1" customHeight="1" spans="1:25">
      <c r="A3581" s="203" t="s">
        <v>446</v>
      </c>
      <c r="B3581" s="204" t="s">
        <v>4284</v>
      </c>
      <c r="C3581" s="204" t="s">
        <v>63</v>
      </c>
      <c r="D3581" s="204" t="s">
        <v>3038</v>
      </c>
      <c r="E3581" s="205" t="s">
        <v>4285</v>
      </c>
      <c r="F3581" s="203" t="s">
        <v>4286</v>
      </c>
      <c r="G3581" s="203" t="s">
        <v>88</v>
      </c>
      <c r="H3581" s="25" t="s">
        <v>4597</v>
      </c>
      <c r="I3581" s="46" t="e">
        <f>VLOOKUP(H3581,'合同高级查询数据-4月返'!A:A,1,FALSE)</f>
        <v>#N/A</v>
      </c>
      <c r="J3581" s="47" t="s">
        <v>3488</v>
      </c>
      <c r="K3581" s="290" t="s">
        <v>4598</v>
      </c>
      <c r="L3581" s="206"/>
      <c r="M3581" s="49" t="s">
        <v>4369</v>
      </c>
      <c r="N3581" s="397">
        <v>45027</v>
      </c>
      <c r="O3581" s="73" t="s">
        <v>507</v>
      </c>
      <c r="P3581" s="396">
        <v>11500</v>
      </c>
      <c r="Q3581" s="385">
        <v>1</v>
      </c>
      <c r="R3581" s="117">
        <f>ROUND(P3581*Q3581*20/30,2)</f>
        <v>7666.67</v>
      </c>
      <c r="S3581" s="279">
        <v>202304</v>
      </c>
      <c r="T3581" s="398" t="s">
        <v>4660</v>
      </c>
      <c r="U3581" s="213"/>
      <c r="V3581" s="387"/>
      <c r="W3581" s="214"/>
      <c r="X3581" s="388">
        <v>44743</v>
      </c>
      <c r="Y3581" s="388">
        <v>46934</v>
      </c>
    </row>
    <row r="3582" s="5" customFormat="1" customHeight="1" spans="1:25">
      <c r="A3582" s="203" t="s">
        <v>446</v>
      </c>
      <c r="B3582" s="204" t="s">
        <v>4284</v>
      </c>
      <c r="C3582" s="204" t="s">
        <v>63</v>
      </c>
      <c r="D3582" s="204" t="s">
        <v>3038</v>
      </c>
      <c r="E3582" s="205" t="s">
        <v>4285</v>
      </c>
      <c r="F3582" s="203" t="s">
        <v>4286</v>
      </c>
      <c r="G3582" s="203" t="s">
        <v>88</v>
      </c>
      <c r="H3582" s="25" t="s">
        <v>4597</v>
      </c>
      <c r="I3582" s="46" t="e">
        <f>VLOOKUP(H3582,'合同高级查询数据-4月返'!A:A,1,FALSE)</f>
        <v>#N/A</v>
      </c>
      <c r="J3582" s="47" t="s">
        <v>3488</v>
      </c>
      <c r="K3582" s="290" t="s">
        <v>4598</v>
      </c>
      <c r="L3582" s="206"/>
      <c r="M3582" s="49" t="s">
        <v>4369</v>
      </c>
      <c r="N3582" s="397">
        <v>45028</v>
      </c>
      <c r="O3582" s="73" t="s">
        <v>507</v>
      </c>
      <c r="P3582" s="396">
        <v>11500</v>
      </c>
      <c r="Q3582" s="385">
        <v>16</v>
      </c>
      <c r="R3582" s="117">
        <f>ROUND(P3582*Q3582*19/30,2)</f>
        <v>116533.33</v>
      </c>
      <c r="S3582" s="279">
        <v>202304</v>
      </c>
      <c r="T3582" s="398" t="s">
        <v>4661</v>
      </c>
      <c r="U3582" s="213"/>
      <c r="V3582" s="387"/>
      <c r="W3582" s="214"/>
      <c r="X3582" s="388">
        <v>44743</v>
      </c>
      <c r="Y3582" s="388">
        <v>46934</v>
      </c>
    </row>
    <row r="3583" s="5" customFormat="1" customHeight="1" spans="1:25">
      <c r="A3583" s="203" t="s">
        <v>446</v>
      </c>
      <c r="B3583" s="204" t="s">
        <v>4284</v>
      </c>
      <c r="C3583" s="204" t="s">
        <v>63</v>
      </c>
      <c r="D3583" s="204" t="s">
        <v>3038</v>
      </c>
      <c r="E3583" s="205" t="s">
        <v>4285</v>
      </c>
      <c r="F3583" s="203" t="s">
        <v>4286</v>
      </c>
      <c r="G3583" s="203" t="s">
        <v>88</v>
      </c>
      <c r="H3583" s="25" t="s">
        <v>4597</v>
      </c>
      <c r="I3583" s="46" t="e">
        <f>VLOOKUP(H3583,'合同高级查询数据-4月返'!A:A,1,FALSE)</f>
        <v>#N/A</v>
      </c>
      <c r="J3583" s="47" t="s">
        <v>3488</v>
      </c>
      <c r="K3583" s="290" t="s">
        <v>4598</v>
      </c>
      <c r="L3583" s="206"/>
      <c r="M3583" s="49" t="s">
        <v>4369</v>
      </c>
      <c r="N3583" s="397">
        <v>45029</v>
      </c>
      <c r="O3583" s="73" t="s">
        <v>507</v>
      </c>
      <c r="P3583" s="396">
        <v>11500</v>
      </c>
      <c r="Q3583" s="385">
        <v>2</v>
      </c>
      <c r="R3583" s="117">
        <f>ROUND(P3583*Q3583*18/30,2)</f>
        <v>13800</v>
      </c>
      <c r="S3583" s="279">
        <v>202304</v>
      </c>
      <c r="T3583" s="398" t="s">
        <v>4662</v>
      </c>
      <c r="U3583" s="213"/>
      <c r="V3583" s="387"/>
      <c r="W3583" s="214"/>
      <c r="X3583" s="388">
        <v>44743</v>
      </c>
      <c r="Y3583" s="388">
        <v>46934</v>
      </c>
    </row>
    <row r="3584" s="5" customFormat="1" customHeight="1" spans="1:25">
      <c r="A3584" s="203" t="s">
        <v>446</v>
      </c>
      <c r="B3584" s="204" t="s">
        <v>4284</v>
      </c>
      <c r="C3584" s="204" t="s">
        <v>63</v>
      </c>
      <c r="D3584" s="204" t="s">
        <v>3038</v>
      </c>
      <c r="E3584" s="205" t="s">
        <v>4285</v>
      </c>
      <c r="F3584" s="203" t="s">
        <v>4286</v>
      </c>
      <c r="G3584" s="203" t="s">
        <v>88</v>
      </c>
      <c r="H3584" s="25" t="s">
        <v>4597</v>
      </c>
      <c r="I3584" s="46" t="e">
        <f>VLOOKUP(H3584,'合同高级查询数据-4月返'!A:A,1,FALSE)</f>
        <v>#N/A</v>
      </c>
      <c r="J3584" s="47" t="s">
        <v>3488</v>
      </c>
      <c r="K3584" s="290" t="s">
        <v>4598</v>
      </c>
      <c r="L3584" s="206"/>
      <c r="M3584" s="49" t="s">
        <v>4369</v>
      </c>
      <c r="N3584" s="397">
        <v>45035</v>
      </c>
      <c r="O3584" s="73" t="s">
        <v>507</v>
      </c>
      <c r="P3584" s="396">
        <v>11500</v>
      </c>
      <c r="Q3584" s="385">
        <v>28</v>
      </c>
      <c r="R3584" s="117">
        <f>ROUND(P3584*Q3584*12/30,2)</f>
        <v>128800</v>
      </c>
      <c r="S3584" s="279">
        <v>202304</v>
      </c>
      <c r="T3584" s="398" t="s">
        <v>4663</v>
      </c>
      <c r="U3584" s="213"/>
      <c r="V3584" s="387"/>
      <c r="W3584" s="214"/>
      <c r="X3584" s="388">
        <v>44743</v>
      </c>
      <c r="Y3584" s="388">
        <v>46934</v>
      </c>
    </row>
    <row r="3585" s="5" customFormat="1" customHeight="1" spans="1:25">
      <c r="A3585" s="203" t="s">
        <v>446</v>
      </c>
      <c r="B3585" s="204" t="s">
        <v>4284</v>
      </c>
      <c r="C3585" s="204" t="s">
        <v>63</v>
      </c>
      <c r="D3585" s="204" t="s">
        <v>3038</v>
      </c>
      <c r="E3585" s="205" t="s">
        <v>4285</v>
      </c>
      <c r="F3585" s="203" t="s">
        <v>4286</v>
      </c>
      <c r="G3585" s="203" t="s">
        <v>88</v>
      </c>
      <c r="H3585" s="25" t="s">
        <v>4597</v>
      </c>
      <c r="I3585" s="46" t="e">
        <f>VLOOKUP(H3585,'合同高级查询数据-4月返'!A:A,1,FALSE)</f>
        <v>#N/A</v>
      </c>
      <c r="J3585" s="47" t="s">
        <v>3488</v>
      </c>
      <c r="K3585" s="290" t="s">
        <v>4598</v>
      </c>
      <c r="L3585" s="206"/>
      <c r="M3585" s="49" t="s">
        <v>4369</v>
      </c>
      <c r="N3585" s="397">
        <v>45036</v>
      </c>
      <c r="O3585" s="73" t="s">
        <v>507</v>
      </c>
      <c r="P3585" s="396">
        <v>11500</v>
      </c>
      <c r="Q3585" s="385">
        <v>12</v>
      </c>
      <c r="R3585" s="117">
        <f>ROUND(P3585*Q3585*11/30,2)</f>
        <v>50600</v>
      </c>
      <c r="S3585" s="279">
        <v>202304</v>
      </c>
      <c r="T3585" s="398" t="s">
        <v>4664</v>
      </c>
      <c r="U3585" s="213"/>
      <c r="V3585" s="387"/>
      <c r="W3585" s="214"/>
      <c r="X3585" s="388">
        <v>44743</v>
      </c>
      <c r="Y3585" s="388">
        <v>46934</v>
      </c>
    </row>
    <row r="3586" s="5" customFormat="1" customHeight="1" spans="1:25">
      <c r="A3586" s="203" t="s">
        <v>446</v>
      </c>
      <c r="B3586" s="204" t="s">
        <v>4284</v>
      </c>
      <c r="C3586" s="204" t="s">
        <v>63</v>
      </c>
      <c r="D3586" s="204" t="s">
        <v>3038</v>
      </c>
      <c r="E3586" s="205" t="s">
        <v>4285</v>
      </c>
      <c r="F3586" s="203" t="s">
        <v>4286</v>
      </c>
      <c r="G3586" s="203" t="s">
        <v>88</v>
      </c>
      <c r="H3586" s="25" t="s">
        <v>4597</v>
      </c>
      <c r="I3586" s="46" t="e">
        <f>VLOOKUP(H3586,'合同高级查询数据-4月返'!A:A,1,FALSE)</f>
        <v>#N/A</v>
      </c>
      <c r="J3586" s="47" t="s">
        <v>3488</v>
      </c>
      <c r="K3586" s="290" t="s">
        <v>4598</v>
      </c>
      <c r="L3586" s="206"/>
      <c r="M3586" s="49" t="s">
        <v>4369</v>
      </c>
      <c r="N3586" s="397">
        <v>45041</v>
      </c>
      <c r="O3586" s="73" t="s">
        <v>507</v>
      </c>
      <c r="P3586" s="396">
        <v>11500</v>
      </c>
      <c r="Q3586" s="385">
        <v>14</v>
      </c>
      <c r="R3586" s="117">
        <f>ROUND(P3586*Q3586*6/30,2)</f>
        <v>32200</v>
      </c>
      <c r="S3586" s="279">
        <v>202304</v>
      </c>
      <c r="T3586" s="398" t="s">
        <v>4665</v>
      </c>
      <c r="U3586" s="213"/>
      <c r="V3586" s="387"/>
      <c r="W3586" s="214"/>
      <c r="X3586" s="388">
        <v>44743</v>
      </c>
      <c r="Y3586" s="388">
        <v>46934</v>
      </c>
    </row>
    <row r="3587" s="5" customFormat="1" customHeight="1" spans="1:25">
      <c r="A3587" s="203" t="s">
        <v>446</v>
      </c>
      <c r="B3587" s="204" t="s">
        <v>4284</v>
      </c>
      <c r="C3587" s="204" t="s">
        <v>63</v>
      </c>
      <c r="D3587" s="204" t="s">
        <v>3038</v>
      </c>
      <c r="E3587" s="205" t="s">
        <v>4285</v>
      </c>
      <c r="F3587" s="203" t="s">
        <v>4286</v>
      </c>
      <c r="G3587" s="203" t="s">
        <v>88</v>
      </c>
      <c r="H3587" s="25" t="s">
        <v>4597</v>
      </c>
      <c r="I3587" s="46" t="e">
        <f>VLOOKUP(H3587,'合同高级查询数据-4月返'!A:A,1,FALSE)</f>
        <v>#N/A</v>
      </c>
      <c r="J3587" s="47" t="s">
        <v>3488</v>
      </c>
      <c r="K3587" s="290" t="s">
        <v>4598</v>
      </c>
      <c r="L3587" s="206"/>
      <c r="M3587" s="49" t="s">
        <v>4369</v>
      </c>
      <c r="N3587" s="73">
        <v>44842</v>
      </c>
      <c r="O3587" s="73" t="s">
        <v>507</v>
      </c>
      <c r="P3587" s="396">
        <v>11500</v>
      </c>
      <c r="Q3587" s="385">
        <v>6</v>
      </c>
      <c r="R3587" s="117">
        <f>ROUND(P3587*Q3587*1/31,2)</f>
        <v>2225.81</v>
      </c>
      <c r="S3587" s="279">
        <v>202210</v>
      </c>
      <c r="T3587" s="189" t="s">
        <v>4666</v>
      </c>
      <c r="U3587" s="213"/>
      <c r="V3587" s="387"/>
      <c r="W3587" s="214"/>
      <c r="X3587" s="388">
        <v>44743</v>
      </c>
      <c r="Y3587" s="388">
        <v>46934</v>
      </c>
    </row>
    <row r="3588" s="3" customFormat="1" customHeight="1" spans="1:25">
      <c r="A3588" s="154" t="s">
        <v>446</v>
      </c>
      <c r="B3588" s="292" t="s">
        <v>4284</v>
      </c>
      <c r="C3588" s="292" t="s">
        <v>63</v>
      </c>
      <c r="D3588" s="292" t="s">
        <v>3038</v>
      </c>
      <c r="E3588" s="153" t="s">
        <v>4285</v>
      </c>
      <c r="F3588" s="154" t="s">
        <v>4286</v>
      </c>
      <c r="G3588" s="154" t="s">
        <v>88</v>
      </c>
      <c r="H3588" s="110" t="s">
        <v>4667</v>
      </c>
      <c r="I3588" s="30" t="e">
        <f>VLOOKUP(H3588,'合同高级查询数据-4月返'!A:A,1,FALSE)</f>
        <v>#N/A</v>
      </c>
      <c r="J3588" s="31" t="s">
        <v>3488</v>
      </c>
      <c r="K3588" s="297" t="s">
        <v>4668</v>
      </c>
      <c r="L3588" s="293"/>
      <c r="M3588" s="113" t="s">
        <v>4369</v>
      </c>
      <c r="N3588" s="399">
        <v>45039</v>
      </c>
      <c r="O3588" s="146" t="s">
        <v>507</v>
      </c>
      <c r="P3588" s="400">
        <v>11500</v>
      </c>
      <c r="Q3588" s="389">
        <v>2</v>
      </c>
      <c r="R3588" s="126">
        <f>ROUND(P3588*Q3588*8/30,2)</f>
        <v>6133.33</v>
      </c>
      <c r="S3588" s="277">
        <v>202304</v>
      </c>
      <c r="T3588" s="401" t="s">
        <v>4669</v>
      </c>
      <c r="U3588" s="391"/>
      <c r="V3588" s="392"/>
      <c r="W3588" s="393"/>
      <c r="X3588" s="394"/>
      <c r="Y3588" s="394"/>
    </row>
    <row r="3589" s="3" customFormat="1" customHeight="1" spans="1:25">
      <c r="A3589" s="154" t="s">
        <v>446</v>
      </c>
      <c r="B3589" s="292" t="s">
        <v>4284</v>
      </c>
      <c r="C3589" s="292" t="s">
        <v>63</v>
      </c>
      <c r="D3589" s="292" t="s">
        <v>3038</v>
      </c>
      <c r="E3589" s="153" t="s">
        <v>4285</v>
      </c>
      <c r="F3589" s="154" t="s">
        <v>4286</v>
      </c>
      <c r="G3589" s="154" t="s">
        <v>88</v>
      </c>
      <c r="H3589" s="110" t="s">
        <v>4667</v>
      </c>
      <c r="I3589" s="30" t="e">
        <f>VLOOKUP(H3589,'合同高级查询数据-4月返'!A:A,1,FALSE)</f>
        <v>#N/A</v>
      </c>
      <c r="J3589" s="31" t="s">
        <v>3488</v>
      </c>
      <c r="K3589" s="297" t="s">
        <v>4668</v>
      </c>
      <c r="L3589" s="293"/>
      <c r="M3589" s="113" t="s">
        <v>4369</v>
      </c>
      <c r="N3589" s="399">
        <v>45040</v>
      </c>
      <c r="O3589" s="146" t="s">
        <v>507</v>
      </c>
      <c r="P3589" s="400">
        <v>11500</v>
      </c>
      <c r="Q3589" s="389">
        <v>2</v>
      </c>
      <c r="R3589" s="126">
        <f>ROUND(P3589*Q3589*7/30,2)</f>
        <v>5366.67</v>
      </c>
      <c r="S3589" s="277">
        <v>202304</v>
      </c>
      <c r="T3589" s="401" t="s">
        <v>4670</v>
      </c>
      <c r="U3589" s="391"/>
      <c r="V3589" s="392"/>
      <c r="W3589" s="393"/>
      <c r="X3589" s="394"/>
      <c r="Y3589" s="394"/>
    </row>
    <row r="3590" s="3" customFormat="1" customHeight="1" spans="1:25">
      <c r="A3590" s="154" t="s">
        <v>446</v>
      </c>
      <c r="B3590" s="292" t="s">
        <v>4284</v>
      </c>
      <c r="C3590" s="292" t="s">
        <v>63</v>
      </c>
      <c r="D3590" s="292" t="s">
        <v>3038</v>
      </c>
      <c r="E3590" s="153" t="s">
        <v>4285</v>
      </c>
      <c r="F3590" s="154" t="s">
        <v>4286</v>
      </c>
      <c r="G3590" s="154" t="s">
        <v>67</v>
      </c>
      <c r="H3590" s="110" t="s">
        <v>4671</v>
      </c>
      <c r="I3590" s="30" t="e">
        <f>VLOOKUP(H3590,'合同高级查询数据-4月返'!A:A,1,FALSE)</f>
        <v>#N/A</v>
      </c>
      <c r="J3590" s="31" t="s">
        <v>67</v>
      </c>
      <c r="K3590" s="154" t="s">
        <v>4672</v>
      </c>
      <c r="L3590" s="293"/>
      <c r="M3590" s="113"/>
      <c r="N3590" s="146">
        <v>39455</v>
      </c>
      <c r="O3590" s="146" t="s">
        <v>71</v>
      </c>
      <c r="P3590" s="384">
        <v>390</v>
      </c>
      <c r="Q3590" s="389">
        <v>18</v>
      </c>
      <c r="R3590" s="390">
        <f t="shared" ref="R3590:R3649" si="116">ROUND(P3590*Q3590,2)</f>
        <v>7020</v>
      </c>
      <c r="S3590" s="277">
        <v>202304</v>
      </c>
      <c r="T3590" s="198" t="s">
        <v>4673</v>
      </c>
      <c r="U3590" s="391"/>
      <c r="V3590" s="392"/>
      <c r="W3590" s="393"/>
      <c r="X3590" s="394"/>
      <c r="Y3590" s="394"/>
    </row>
    <row r="3591" s="3" customFormat="1" customHeight="1" spans="1:25">
      <c r="A3591" s="154" t="s">
        <v>446</v>
      </c>
      <c r="B3591" s="292" t="s">
        <v>4284</v>
      </c>
      <c r="C3591" s="292" t="s">
        <v>63</v>
      </c>
      <c r="D3591" s="292" t="s">
        <v>3038</v>
      </c>
      <c r="E3591" s="153" t="s">
        <v>4285</v>
      </c>
      <c r="F3591" s="154" t="s">
        <v>4286</v>
      </c>
      <c r="G3591" s="154" t="s">
        <v>67</v>
      </c>
      <c r="H3591" s="110" t="s">
        <v>4671</v>
      </c>
      <c r="I3591" s="30" t="e">
        <f>VLOOKUP(H3591,'合同高级查询数据-4月返'!A:A,1,FALSE)</f>
        <v>#N/A</v>
      </c>
      <c r="J3591" s="31" t="s">
        <v>67</v>
      </c>
      <c r="K3591" s="154" t="s">
        <v>4672</v>
      </c>
      <c r="L3591" s="293"/>
      <c r="M3591" s="113"/>
      <c r="N3591" s="146">
        <v>44286</v>
      </c>
      <c r="O3591" s="146" t="s">
        <v>71</v>
      </c>
      <c r="P3591" s="384">
        <v>390</v>
      </c>
      <c r="Q3591" s="389">
        <v>-18</v>
      </c>
      <c r="R3591" s="390">
        <f t="shared" si="116"/>
        <v>-7020</v>
      </c>
      <c r="S3591" s="277">
        <v>202304</v>
      </c>
      <c r="T3591" s="198" t="s">
        <v>4674</v>
      </c>
      <c r="U3591" s="391"/>
      <c r="V3591" s="392"/>
      <c r="W3591" s="393"/>
      <c r="X3591" s="394"/>
      <c r="Y3591" s="394"/>
    </row>
    <row r="3592" s="3" customFormat="1" customHeight="1" spans="1:25">
      <c r="A3592" s="154" t="s">
        <v>446</v>
      </c>
      <c r="B3592" s="292" t="s">
        <v>4284</v>
      </c>
      <c r="C3592" s="292" t="s">
        <v>63</v>
      </c>
      <c r="D3592" s="292" t="s">
        <v>3038</v>
      </c>
      <c r="E3592" s="153" t="s">
        <v>4285</v>
      </c>
      <c r="F3592" s="154" t="s">
        <v>4286</v>
      </c>
      <c r="G3592" s="154" t="s">
        <v>67</v>
      </c>
      <c r="H3592" s="110" t="s">
        <v>4671</v>
      </c>
      <c r="I3592" s="30" t="e">
        <f>VLOOKUP(H3592,'合同高级查询数据-4月返'!A:A,1,FALSE)</f>
        <v>#N/A</v>
      </c>
      <c r="J3592" s="31" t="s">
        <v>67</v>
      </c>
      <c r="K3592" s="154" t="s">
        <v>4675</v>
      </c>
      <c r="L3592" s="293"/>
      <c r="M3592" s="113"/>
      <c r="N3592" s="146">
        <v>40072</v>
      </c>
      <c r="O3592" s="146" t="s">
        <v>71</v>
      </c>
      <c r="P3592" s="384">
        <v>390</v>
      </c>
      <c r="Q3592" s="389">
        <v>45</v>
      </c>
      <c r="R3592" s="390">
        <f t="shared" si="116"/>
        <v>17550</v>
      </c>
      <c r="S3592" s="277">
        <v>202304</v>
      </c>
      <c r="T3592" s="198" t="s">
        <v>4676</v>
      </c>
      <c r="U3592" s="391"/>
      <c r="V3592" s="392"/>
      <c r="W3592" s="393"/>
      <c r="X3592" s="394"/>
      <c r="Y3592" s="394"/>
    </row>
    <row r="3593" s="3" customFormat="1" customHeight="1" spans="1:25">
      <c r="A3593" s="154" t="s">
        <v>446</v>
      </c>
      <c r="B3593" s="292" t="s">
        <v>4284</v>
      </c>
      <c r="C3593" s="292" t="s">
        <v>63</v>
      </c>
      <c r="D3593" s="292" t="s">
        <v>3038</v>
      </c>
      <c r="E3593" s="153" t="s">
        <v>4285</v>
      </c>
      <c r="F3593" s="154" t="s">
        <v>4286</v>
      </c>
      <c r="G3593" s="154" t="s">
        <v>67</v>
      </c>
      <c r="H3593" s="110" t="s">
        <v>4671</v>
      </c>
      <c r="I3593" s="30" t="e">
        <f>VLOOKUP(H3593,'合同高级查询数据-4月返'!A:A,1,FALSE)</f>
        <v>#N/A</v>
      </c>
      <c r="J3593" s="31" t="s">
        <v>67</v>
      </c>
      <c r="K3593" s="154" t="s">
        <v>4675</v>
      </c>
      <c r="L3593" s="293"/>
      <c r="M3593" s="113"/>
      <c r="N3593" s="146">
        <v>44246</v>
      </c>
      <c r="O3593" s="146" t="s">
        <v>71</v>
      </c>
      <c r="P3593" s="384">
        <v>390</v>
      </c>
      <c r="Q3593" s="389">
        <v>-45</v>
      </c>
      <c r="R3593" s="390">
        <f t="shared" si="116"/>
        <v>-17550</v>
      </c>
      <c r="S3593" s="277">
        <v>202304</v>
      </c>
      <c r="T3593" s="198" t="s">
        <v>4676</v>
      </c>
      <c r="U3593" s="391"/>
      <c r="V3593" s="392"/>
      <c r="W3593" s="393"/>
      <c r="X3593" s="394"/>
      <c r="Y3593" s="394"/>
    </row>
    <row r="3594" s="3" customFormat="1" customHeight="1" spans="1:25">
      <c r="A3594" s="154" t="s">
        <v>446</v>
      </c>
      <c r="B3594" s="292" t="s">
        <v>4284</v>
      </c>
      <c r="C3594" s="292" t="s">
        <v>63</v>
      </c>
      <c r="D3594" s="292" t="s">
        <v>3038</v>
      </c>
      <c r="E3594" s="153" t="s">
        <v>4285</v>
      </c>
      <c r="F3594" s="154" t="s">
        <v>4286</v>
      </c>
      <c r="G3594" s="154" t="s">
        <v>67</v>
      </c>
      <c r="H3594" s="110" t="s">
        <v>4671</v>
      </c>
      <c r="I3594" s="30" t="e">
        <f>VLOOKUP(H3594,'合同高级查询数据-4月返'!A:A,1,FALSE)</f>
        <v>#N/A</v>
      </c>
      <c r="J3594" s="31" t="s">
        <v>67</v>
      </c>
      <c r="K3594" s="154" t="s">
        <v>4675</v>
      </c>
      <c r="L3594" s="293"/>
      <c r="M3594" s="113"/>
      <c r="N3594" s="146">
        <v>40262</v>
      </c>
      <c r="O3594" s="146" t="s">
        <v>71</v>
      </c>
      <c r="P3594" s="384">
        <v>390</v>
      </c>
      <c r="Q3594" s="389">
        <v>18</v>
      </c>
      <c r="R3594" s="390">
        <f t="shared" si="116"/>
        <v>7020</v>
      </c>
      <c r="S3594" s="277">
        <v>202304</v>
      </c>
      <c r="T3594" s="198" t="s">
        <v>4677</v>
      </c>
      <c r="U3594" s="391"/>
      <c r="V3594" s="392"/>
      <c r="W3594" s="393"/>
      <c r="X3594" s="394"/>
      <c r="Y3594" s="394"/>
    </row>
    <row r="3595" s="3" customFormat="1" customHeight="1" spans="1:25">
      <c r="A3595" s="154" t="s">
        <v>446</v>
      </c>
      <c r="B3595" s="292" t="s">
        <v>4284</v>
      </c>
      <c r="C3595" s="292" t="s">
        <v>63</v>
      </c>
      <c r="D3595" s="292" t="s">
        <v>3038</v>
      </c>
      <c r="E3595" s="153" t="s">
        <v>4285</v>
      </c>
      <c r="F3595" s="154" t="s">
        <v>4286</v>
      </c>
      <c r="G3595" s="154" t="s">
        <v>67</v>
      </c>
      <c r="H3595" s="110" t="s">
        <v>4671</v>
      </c>
      <c r="I3595" s="30" t="e">
        <f>VLOOKUP(H3595,'合同高级查询数据-4月返'!A:A,1,FALSE)</f>
        <v>#N/A</v>
      </c>
      <c r="J3595" s="31" t="s">
        <v>67</v>
      </c>
      <c r="K3595" s="154" t="s">
        <v>4675</v>
      </c>
      <c r="L3595" s="293"/>
      <c r="M3595" s="113"/>
      <c r="N3595" s="146">
        <v>44246</v>
      </c>
      <c r="O3595" s="146" t="s">
        <v>71</v>
      </c>
      <c r="P3595" s="384">
        <v>390</v>
      </c>
      <c r="Q3595" s="389">
        <v>-18</v>
      </c>
      <c r="R3595" s="390">
        <f t="shared" si="116"/>
        <v>-7020</v>
      </c>
      <c r="S3595" s="277">
        <v>202304</v>
      </c>
      <c r="T3595" s="198" t="s">
        <v>4677</v>
      </c>
      <c r="U3595" s="391"/>
      <c r="V3595" s="392"/>
      <c r="W3595" s="393"/>
      <c r="X3595" s="394"/>
      <c r="Y3595" s="394"/>
    </row>
    <row r="3596" s="3" customFormat="1" customHeight="1" spans="1:25">
      <c r="A3596" s="154" t="s">
        <v>446</v>
      </c>
      <c r="B3596" s="292" t="s">
        <v>4284</v>
      </c>
      <c r="C3596" s="292" t="s">
        <v>63</v>
      </c>
      <c r="D3596" s="292" t="s">
        <v>3038</v>
      </c>
      <c r="E3596" s="153" t="s">
        <v>4285</v>
      </c>
      <c r="F3596" s="154" t="s">
        <v>4286</v>
      </c>
      <c r="G3596" s="154" t="s">
        <v>67</v>
      </c>
      <c r="H3596" s="110" t="s">
        <v>4671</v>
      </c>
      <c r="I3596" s="30" t="e">
        <f>VLOOKUP(H3596,'合同高级查询数据-4月返'!A:A,1,FALSE)</f>
        <v>#N/A</v>
      </c>
      <c r="J3596" s="31" t="s">
        <v>67</v>
      </c>
      <c r="K3596" s="154" t="s">
        <v>4678</v>
      </c>
      <c r="L3596" s="293"/>
      <c r="M3596" s="113"/>
      <c r="N3596" s="146">
        <v>40773</v>
      </c>
      <c r="O3596" s="146" t="s">
        <v>71</v>
      </c>
      <c r="P3596" s="384">
        <v>390</v>
      </c>
      <c r="Q3596" s="389">
        <v>31.3</v>
      </c>
      <c r="R3596" s="390">
        <f t="shared" si="116"/>
        <v>12207</v>
      </c>
      <c r="S3596" s="277">
        <v>202304</v>
      </c>
      <c r="T3596" s="198" t="s">
        <v>4679</v>
      </c>
      <c r="U3596" s="391"/>
      <c r="V3596" s="392"/>
      <c r="W3596" s="393"/>
      <c r="X3596" s="394"/>
      <c r="Y3596" s="394"/>
    </row>
    <row r="3597" s="3" customFormat="1" customHeight="1" spans="1:25">
      <c r="A3597" s="154" t="s">
        <v>446</v>
      </c>
      <c r="B3597" s="292" t="s">
        <v>4284</v>
      </c>
      <c r="C3597" s="292" t="s">
        <v>63</v>
      </c>
      <c r="D3597" s="292" t="s">
        <v>3038</v>
      </c>
      <c r="E3597" s="153" t="s">
        <v>4285</v>
      </c>
      <c r="F3597" s="154" t="s">
        <v>4286</v>
      </c>
      <c r="G3597" s="154" t="s">
        <v>67</v>
      </c>
      <c r="H3597" s="110" t="s">
        <v>4671</v>
      </c>
      <c r="I3597" s="30" t="e">
        <f>VLOOKUP(H3597,'合同高级查询数据-4月返'!A:A,1,FALSE)</f>
        <v>#N/A</v>
      </c>
      <c r="J3597" s="31" t="s">
        <v>67</v>
      </c>
      <c r="K3597" s="154" t="s">
        <v>4680</v>
      </c>
      <c r="L3597" s="293"/>
      <c r="M3597" s="113"/>
      <c r="N3597" s="146">
        <v>40773</v>
      </c>
      <c r="O3597" s="146" t="s">
        <v>71</v>
      </c>
      <c r="P3597" s="384">
        <v>390</v>
      </c>
      <c r="Q3597" s="389">
        <v>28.2</v>
      </c>
      <c r="R3597" s="390">
        <f t="shared" si="116"/>
        <v>10998</v>
      </c>
      <c r="S3597" s="277">
        <v>202304</v>
      </c>
      <c r="T3597" s="198" t="s">
        <v>4681</v>
      </c>
      <c r="U3597" s="391"/>
      <c r="V3597" s="392"/>
      <c r="W3597" s="393"/>
      <c r="X3597" s="394"/>
      <c r="Y3597" s="394"/>
    </row>
    <row r="3598" s="3" customFormat="1" customHeight="1" spans="1:25">
      <c r="A3598" s="154" t="s">
        <v>446</v>
      </c>
      <c r="B3598" s="292" t="s">
        <v>4284</v>
      </c>
      <c r="C3598" s="292" t="s">
        <v>63</v>
      </c>
      <c r="D3598" s="292" t="s">
        <v>3038</v>
      </c>
      <c r="E3598" s="153" t="s">
        <v>4285</v>
      </c>
      <c r="F3598" s="154" t="s">
        <v>4286</v>
      </c>
      <c r="G3598" s="154" t="s">
        <v>67</v>
      </c>
      <c r="H3598" s="110" t="s">
        <v>4671</v>
      </c>
      <c r="I3598" s="30" t="e">
        <f>VLOOKUP(H3598,'合同高级查询数据-4月返'!A:A,1,FALSE)</f>
        <v>#N/A</v>
      </c>
      <c r="J3598" s="31" t="s">
        <v>67</v>
      </c>
      <c r="K3598" s="154" t="s">
        <v>4680</v>
      </c>
      <c r="L3598" s="293"/>
      <c r="M3598" s="113"/>
      <c r="N3598" s="146">
        <v>44246</v>
      </c>
      <c r="O3598" s="146" t="s">
        <v>71</v>
      </c>
      <c r="P3598" s="384">
        <v>390</v>
      </c>
      <c r="Q3598" s="389">
        <v>-28.2</v>
      </c>
      <c r="R3598" s="390">
        <f t="shared" si="116"/>
        <v>-10998</v>
      </c>
      <c r="S3598" s="277">
        <v>202304</v>
      </c>
      <c r="T3598" s="198" t="s">
        <v>4681</v>
      </c>
      <c r="U3598" s="391"/>
      <c r="V3598" s="392"/>
      <c r="W3598" s="393"/>
      <c r="X3598" s="394"/>
      <c r="Y3598" s="394"/>
    </row>
    <row r="3599" s="3" customFormat="1" customHeight="1" spans="1:25">
      <c r="A3599" s="154" t="s">
        <v>446</v>
      </c>
      <c r="B3599" s="292" t="s">
        <v>4284</v>
      </c>
      <c r="C3599" s="292" t="s">
        <v>63</v>
      </c>
      <c r="D3599" s="292" t="s">
        <v>3038</v>
      </c>
      <c r="E3599" s="153" t="s">
        <v>4285</v>
      </c>
      <c r="F3599" s="154" t="s">
        <v>4286</v>
      </c>
      <c r="G3599" s="154" t="s">
        <v>67</v>
      </c>
      <c r="H3599" s="110" t="s">
        <v>4671</v>
      </c>
      <c r="I3599" s="30" t="e">
        <f>VLOOKUP(H3599,'合同高级查询数据-4月返'!A:A,1,FALSE)</f>
        <v>#N/A</v>
      </c>
      <c r="J3599" s="31" t="s">
        <v>67</v>
      </c>
      <c r="K3599" s="154" t="s">
        <v>4682</v>
      </c>
      <c r="L3599" s="293"/>
      <c r="M3599" s="113"/>
      <c r="N3599" s="146">
        <v>40773</v>
      </c>
      <c r="O3599" s="146" t="s">
        <v>71</v>
      </c>
      <c r="P3599" s="384">
        <v>390</v>
      </c>
      <c r="Q3599" s="389">
        <v>21</v>
      </c>
      <c r="R3599" s="390">
        <f t="shared" si="116"/>
        <v>8190</v>
      </c>
      <c r="S3599" s="277">
        <v>202304</v>
      </c>
      <c r="T3599" s="198" t="s">
        <v>4683</v>
      </c>
      <c r="U3599" s="391"/>
      <c r="V3599" s="392"/>
      <c r="W3599" s="393"/>
      <c r="X3599" s="394"/>
      <c r="Y3599" s="394"/>
    </row>
    <row r="3600" s="3" customFormat="1" customHeight="1" spans="1:25">
      <c r="A3600" s="154" t="s">
        <v>446</v>
      </c>
      <c r="B3600" s="292" t="s">
        <v>4284</v>
      </c>
      <c r="C3600" s="292" t="s">
        <v>63</v>
      </c>
      <c r="D3600" s="292" t="s">
        <v>3038</v>
      </c>
      <c r="E3600" s="153" t="s">
        <v>4285</v>
      </c>
      <c r="F3600" s="154" t="s">
        <v>4286</v>
      </c>
      <c r="G3600" s="154" t="s">
        <v>67</v>
      </c>
      <c r="H3600" s="110" t="s">
        <v>4671</v>
      </c>
      <c r="I3600" s="30" t="e">
        <f>VLOOKUP(H3600,'合同高级查询数据-4月返'!A:A,1,FALSE)</f>
        <v>#N/A</v>
      </c>
      <c r="J3600" s="31" t="s">
        <v>67</v>
      </c>
      <c r="K3600" s="154" t="s">
        <v>4682</v>
      </c>
      <c r="L3600" s="293"/>
      <c r="M3600" s="113"/>
      <c r="N3600" s="146">
        <v>44246</v>
      </c>
      <c r="O3600" s="146" t="s">
        <v>71</v>
      </c>
      <c r="P3600" s="384">
        <v>390</v>
      </c>
      <c r="Q3600" s="389">
        <v>-21</v>
      </c>
      <c r="R3600" s="390">
        <f t="shared" si="116"/>
        <v>-8190</v>
      </c>
      <c r="S3600" s="277">
        <v>202304</v>
      </c>
      <c r="T3600" s="198" t="s">
        <v>4683</v>
      </c>
      <c r="U3600" s="391"/>
      <c r="V3600" s="392"/>
      <c r="W3600" s="393"/>
      <c r="X3600" s="394"/>
      <c r="Y3600" s="394"/>
    </row>
    <row r="3601" s="3" customFormat="1" customHeight="1" spans="1:25">
      <c r="A3601" s="154" t="s">
        <v>446</v>
      </c>
      <c r="B3601" s="292" t="s">
        <v>4284</v>
      </c>
      <c r="C3601" s="292" t="s">
        <v>63</v>
      </c>
      <c r="D3601" s="292" t="s">
        <v>3038</v>
      </c>
      <c r="E3601" s="153" t="s">
        <v>4285</v>
      </c>
      <c r="F3601" s="154" t="s">
        <v>4286</v>
      </c>
      <c r="G3601" s="154" t="s">
        <v>67</v>
      </c>
      <c r="H3601" s="110" t="s">
        <v>4671</v>
      </c>
      <c r="I3601" s="30" t="e">
        <f>VLOOKUP(H3601,'合同高级查询数据-4月返'!A:A,1,FALSE)</f>
        <v>#N/A</v>
      </c>
      <c r="J3601" s="31" t="s">
        <v>67</v>
      </c>
      <c r="K3601" s="154" t="s">
        <v>4684</v>
      </c>
      <c r="L3601" s="293"/>
      <c r="M3601" s="113"/>
      <c r="N3601" s="146">
        <v>41426</v>
      </c>
      <c r="O3601" s="146" t="s">
        <v>71</v>
      </c>
      <c r="P3601" s="384">
        <v>390</v>
      </c>
      <c r="Q3601" s="389">
        <v>54.7</v>
      </c>
      <c r="R3601" s="390">
        <f t="shared" si="116"/>
        <v>21333</v>
      </c>
      <c r="S3601" s="277">
        <v>202304</v>
      </c>
      <c r="T3601" s="198" t="s">
        <v>4685</v>
      </c>
      <c r="U3601" s="391"/>
      <c r="V3601" s="392"/>
      <c r="W3601" s="393"/>
      <c r="X3601" s="394"/>
      <c r="Y3601" s="394"/>
    </row>
    <row r="3602" s="3" customFormat="1" customHeight="1" spans="1:25">
      <c r="A3602" s="154" t="s">
        <v>446</v>
      </c>
      <c r="B3602" s="292" t="s">
        <v>4284</v>
      </c>
      <c r="C3602" s="292" t="s">
        <v>63</v>
      </c>
      <c r="D3602" s="292" t="s">
        <v>3038</v>
      </c>
      <c r="E3602" s="153" t="s">
        <v>4285</v>
      </c>
      <c r="F3602" s="154" t="s">
        <v>4286</v>
      </c>
      <c r="G3602" s="154" t="s">
        <v>67</v>
      </c>
      <c r="H3602" s="110" t="s">
        <v>4671</v>
      </c>
      <c r="I3602" s="30" t="e">
        <f>VLOOKUP(H3602,'合同高级查询数据-4月返'!A:A,1,FALSE)</f>
        <v>#N/A</v>
      </c>
      <c r="J3602" s="31" t="s">
        <v>67</v>
      </c>
      <c r="K3602" s="154" t="s">
        <v>4684</v>
      </c>
      <c r="L3602" s="293"/>
      <c r="M3602" s="113"/>
      <c r="N3602" s="146">
        <v>44571</v>
      </c>
      <c r="O3602" s="146" t="s">
        <v>71</v>
      </c>
      <c r="P3602" s="384">
        <v>390</v>
      </c>
      <c r="Q3602" s="389">
        <v>-54.7</v>
      </c>
      <c r="R3602" s="157">
        <f t="shared" si="116"/>
        <v>-21333</v>
      </c>
      <c r="S3602" s="277">
        <v>202304</v>
      </c>
      <c r="T3602" s="198" t="s">
        <v>4686</v>
      </c>
      <c r="U3602" s="391"/>
      <c r="V3602" s="392"/>
      <c r="W3602" s="393"/>
      <c r="X3602" s="394"/>
      <c r="Y3602" s="394"/>
    </row>
    <row r="3603" s="3" customFormat="1" customHeight="1" spans="1:25">
      <c r="A3603" s="154" t="s">
        <v>446</v>
      </c>
      <c r="B3603" s="292" t="s">
        <v>4284</v>
      </c>
      <c r="C3603" s="292" t="s">
        <v>63</v>
      </c>
      <c r="D3603" s="292" t="s">
        <v>3038</v>
      </c>
      <c r="E3603" s="153" t="s">
        <v>4285</v>
      </c>
      <c r="F3603" s="154" t="s">
        <v>4286</v>
      </c>
      <c r="G3603" s="154" t="s">
        <v>67</v>
      </c>
      <c r="H3603" s="110" t="s">
        <v>4671</v>
      </c>
      <c r="I3603" s="30" t="e">
        <f>VLOOKUP(H3603,'合同高级查询数据-4月返'!A:A,1,FALSE)</f>
        <v>#N/A</v>
      </c>
      <c r="J3603" s="31" t="s">
        <v>67</v>
      </c>
      <c r="K3603" s="154" t="s">
        <v>4684</v>
      </c>
      <c r="L3603" s="293"/>
      <c r="M3603" s="113"/>
      <c r="N3603" s="146">
        <v>41426</v>
      </c>
      <c r="O3603" s="146" t="s">
        <v>71</v>
      </c>
      <c r="P3603" s="384">
        <v>390</v>
      </c>
      <c r="Q3603" s="389">
        <v>69</v>
      </c>
      <c r="R3603" s="390">
        <f t="shared" si="116"/>
        <v>26910</v>
      </c>
      <c r="S3603" s="277">
        <v>202304</v>
      </c>
      <c r="T3603" s="198" t="s">
        <v>4687</v>
      </c>
      <c r="U3603" s="391"/>
      <c r="V3603" s="392"/>
      <c r="W3603" s="393"/>
      <c r="X3603" s="394"/>
      <c r="Y3603" s="394"/>
    </row>
    <row r="3604" s="3" customFormat="1" customHeight="1" spans="1:25">
      <c r="A3604" s="154" t="s">
        <v>446</v>
      </c>
      <c r="B3604" s="292" t="s">
        <v>4284</v>
      </c>
      <c r="C3604" s="292" t="s">
        <v>63</v>
      </c>
      <c r="D3604" s="292" t="s">
        <v>3038</v>
      </c>
      <c r="E3604" s="153" t="s">
        <v>4285</v>
      </c>
      <c r="F3604" s="154" t="s">
        <v>4286</v>
      </c>
      <c r="G3604" s="154" t="s">
        <v>67</v>
      </c>
      <c r="H3604" s="110" t="s">
        <v>4671</v>
      </c>
      <c r="I3604" s="30" t="e">
        <f>VLOOKUP(H3604,'合同高级查询数据-4月返'!A:A,1,FALSE)</f>
        <v>#N/A</v>
      </c>
      <c r="J3604" s="31" t="s">
        <v>67</v>
      </c>
      <c r="K3604" s="154" t="s">
        <v>4684</v>
      </c>
      <c r="L3604" s="293"/>
      <c r="M3604" s="113"/>
      <c r="N3604" s="146">
        <v>44571</v>
      </c>
      <c r="O3604" s="146" t="s">
        <v>71</v>
      </c>
      <c r="P3604" s="384">
        <v>390</v>
      </c>
      <c r="Q3604" s="389">
        <v>-69</v>
      </c>
      <c r="R3604" s="157">
        <f t="shared" si="116"/>
        <v>-26910</v>
      </c>
      <c r="S3604" s="277">
        <v>202304</v>
      </c>
      <c r="T3604" s="198" t="s">
        <v>4686</v>
      </c>
      <c r="U3604" s="391"/>
      <c r="V3604" s="392"/>
      <c r="W3604" s="393"/>
      <c r="X3604" s="394"/>
      <c r="Y3604" s="394"/>
    </row>
    <row r="3605" s="3" customFormat="1" customHeight="1" spans="1:25">
      <c r="A3605" s="154" t="s">
        <v>446</v>
      </c>
      <c r="B3605" s="292" t="s">
        <v>4284</v>
      </c>
      <c r="C3605" s="292" t="s">
        <v>63</v>
      </c>
      <c r="D3605" s="292" t="s">
        <v>3038</v>
      </c>
      <c r="E3605" s="153" t="s">
        <v>4285</v>
      </c>
      <c r="F3605" s="154" t="s">
        <v>4286</v>
      </c>
      <c r="G3605" s="154" t="s">
        <v>67</v>
      </c>
      <c r="H3605" s="110" t="s">
        <v>4671</v>
      </c>
      <c r="I3605" s="30" t="e">
        <f>VLOOKUP(H3605,'合同高级查询数据-4月返'!A:A,1,FALSE)</f>
        <v>#N/A</v>
      </c>
      <c r="J3605" s="31" t="s">
        <v>67</v>
      </c>
      <c r="K3605" s="154" t="s">
        <v>4688</v>
      </c>
      <c r="L3605" s="293"/>
      <c r="M3605" s="113"/>
      <c r="N3605" s="146">
        <v>41426</v>
      </c>
      <c r="O3605" s="146" t="s">
        <v>71</v>
      </c>
      <c r="P3605" s="384">
        <v>390</v>
      </c>
      <c r="Q3605" s="389">
        <v>60.5</v>
      </c>
      <c r="R3605" s="390">
        <f t="shared" si="116"/>
        <v>23595</v>
      </c>
      <c r="S3605" s="277">
        <v>202304</v>
      </c>
      <c r="T3605" s="198" t="s">
        <v>4689</v>
      </c>
      <c r="U3605" s="391"/>
      <c r="V3605" s="392"/>
      <c r="W3605" s="393"/>
      <c r="X3605" s="394"/>
      <c r="Y3605" s="394"/>
    </row>
    <row r="3606" s="3" customFormat="1" customHeight="1" spans="1:25">
      <c r="A3606" s="154" t="s">
        <v>446</v>
      </c>
      <c r="B3606" s="292" t="s">
        <v>4284</v>
      </c>
      <c r="C3606" s="292" t="s">
        <v>63</v>
      </c>
      <c r="D3606" s="292" t="s">
        <v>3038</v>
      </c>
      <c r="E3606" s="153" t="s">
        <v>4285</v>
      </c>
      <c r="F3606" s="154" t="s">
        <v>4286</v>
      </c>
      <c r="G3606" s="154" t="s">
        <v>67</v>
      </c>
      <c r="H3606" s="110" t="s">
        <v>4671</v>
      </c>
      <c r="I3606" s="30" t="e">
        <f>VLOOKUP(H3606,'合同高级查询数据-4月返'!A:A,1,FALSE)</f>
        <v>#N/A</v>
      </c>
      <c r="J3606" s="31" t="s">
        <v>67</v>
      </c>
      <c r="K3606" s="154" t="s">
        <v>4688</v>
      </c>
      <c r="L3606" s="293"/>
      <c r="M3606" s="113"/>
      <c r="N3606" s="146">
        <v>44571</v>
      </c>
      <c r="O3606" s="146" t="s">
        <v>71</v>
      </c>
      <c r="P3606" s="384">
        <v>390</v>
      </c>
      <c r="Q3606" s="389">
        <v>-60.5</v>
      </c>
      <c r="R3606" s="157">
        <f t="shared" si="116"/>
        <v>-23595</v>
      </c>
      <c r="S3606" s="277">
        <v>202304</v>
      </c>
      <c r="T3606" s="198" t="s">
        <v>4686</v>
      </c>
      <c r="U3606" s="391"/>
      <c r="V3606" s="392"/>
      <c r="W3606" s="393"/>
      <c r="X3606" s="394"/>
      <c r="Y3606" s="394"/>
    </row>
    <row r="3607" s="3" customFormat="1" customHeight="1" spans="1:25">
      <c r="A3607" s="154" t="s">
        <v>446</v>
      </c>
      <c r="B3607" s="292" t="s">
        <v>4284</v>
      </c>
      <c r="C3607" s="292" t="s">
        <v>63</v>
      </c>
      <c r="D3607" s="292" t="s">
        <v>3038</v>
      </c>
      <c r="E3607" s="153" t="s">
        <v>4285</v>
      </c>
      <c r="F3607" s="154" t="s">
        <v>4286</v>
      </c>
      <c r="G3607" s="154" t="s">
        <v>67</v>
      </c>
      <c r="H3607" s="110" t="s">
        <v>4671</v>
      </c>
      <c r="I3607" s="30" t="e">
        <f>VLOOKUP(H3607,'合同高级查询数据-4月返'!A:A,1,FALSE)</f>
        <v>#N/A</v>
      </c>
      <c r="J3607" s="31" t="s">
        <v>67</v>
      </c>
      <c r="K3607" s="154" t="s">
        <v>4688</v>
      </c>
      <c r="L3607" s="293"/>
      <c r="M3607" s="113"/>
      <c r="N3607" s="146">
        <v>41426</v>
      </c>
      <c r="O3607" s="146" t="s">
        <v>71</v>
      </c>
      <c r="P3607" s="384">
        <v>390</v>
      </c>
      <c r="Q3607" s="389">
        <v>68.5</v>
      </c>
      <c r="R3607" s="390">
        <f t="shared" si="116"/>
        <v>26715</v>
      </c>
      <c r="S3607" s="277">
        <v>202304</v>
      </c>
      <c r="T3607" s="198" t="s">
        <v>4690</v>
      </c>
      <c r="U3607" s="391"/>
      <c r="V3607" s="392"/>
      <c r="W3607" s="393"/>
      <c r="X3607" s="394"/>
      <c r="Y3607" s="394"/>
    </row>
    <row r="3608" s="3" customFormat="1" customHeight="1" spans="1:25">
      <c r="A3608" s="154" t="s">
        <v>446</v>
      </c>
      <c r="B3608" s="292" t="s">
        <v>4284</v>
      </c>
      <c r="C3608" s="292" t="s">
        <v>63</v>
      </c>
      <c r="D3608" s="292" t="s">
        <v>3038</v>
      </c>
      <c r="E3608" s="153" t="s">
        <v>4285</v>
      </c>
      <c r="F3608" s="154" t="s">
        <v>4286</v>
      </c>
      <c r="G3608" s="154" t="s">
        <v>67</v>
      </c>
      <c r="H3608" s="110" t="s">
        <v>4671</v>
      </c>
      <c r="I3608" s="30" t="e">
        <f>VLOOKUP(H3608,'合同高级查询数据-4月返'!A:A,1,FALSE)</f>
        <v>#N/A</v>
      </c>
      <c r="J3608" s="31" t="s">
        <v>67</v>
      </c>
      <c r="K3608" s="154" t="s">
        <v>4688</v>
      </c>
      <c r="L3608" s="293"/>
      <c r="M3608" s="113"/>
      <c r="N3608" s="146">
        <v>44571</v>
      </c>
      <c r="O3608" s="146" t="s">
        <v>71</v>
      </c>
      <c r="P3608" s="384">
        <v>390</v>
      </c>
      <c r="Q3608" s="389">
        <v>-68.5</v>
      </c>
      <c r="R3608" s="157">
        <f t="shared" si="116"/>
        <v>-26715</v>
      </c>
      <c r="S3608" s="277">
        <v>202304</v>
      </c>
      <c r="T3608" s="198" t="s">
        <v>4686</v>
      </c>
      <c r="U3608" s="391"/>
      <c r="V3608" s="392"/>
      <c r="W3608" s="393"/>
      <c r="X3608" s="394"/>
      <c r="Y3608" s="394"/>
    </row>
    <row r="3609" s="5" customFormat="1" customHeight="1" spans="1:25">
      <c r="A3609" s="203" t="s">
        <v>446</v>
      </c>
      <c r="B3609" s="204" t="s">
        <v>4284</v>
      </c>
      <c r="C3609" s="204" t="s">
        <v>63</v>
      </c>
      <c r="D3609" s="204" t="s">
        <v>3038</v>
      </c>
      <c r="E3609" s="205" t="s">
        <v>4285</v>
      </c>
      <c r="F3609" s="203" t="s">
        <v>4286</v>
      </c>
      <c r="G3609" s="203" t="s">
        <v>346</v>
      </c>
      <c r="H3609" s="25" t="s">
        <v>4691</v>
      </c>
      <c r="I3609" s="46" t="e">
        <f>VLOOKUP(H3609,'合同高级查询数据-4月返'!A:A,1,FALSE)</f>
        <v>#N/A</v>
      </c>
      <c r="J3609" s="47" t="s">
        <v>4692</v>
      </c>
      <c r="K3609" s="203" t="s">
        <v>4693</v>
      </c>
      <c r="L3609" s="206"/>
      <c r="M3609" s="49"/>
      <c r="N3609" s="73">
        <v>43710</v>
      </c>
      <c r="O3609" s="73"/>
      <c r="P3609" s="383">
        <v>5800</v>
      </c>
      <c r="Q3609" s="385">
        <v>1</v>
      </c>
      <c r="R3609" s="386">
        <f t="shared" si="116"/>
        <v>5800</v>
      </c>
      <c r="S3609" s="279">
        <v>202304</v>
      </c>
      <c r="T3609" s="184" t="s">
        <v>4694</v>
      </c>
      <c r="U3609" s="213"/>
      <c r="V3609" s="387"/>
      <c r="W3609" s="214"/>
      <c r="X3609" s="388">
        <v>44501</v>
      </c>
      <c r="Y3609" s="388">
        <v>45230</v>
      </c>
    </row>
    <row r="3610" s="5" customFormat="1" customHeight="1" spans="1:25">
      <c r="A3610" s="203" t="s">
        <v>446</v>
      </c>
      <c r="B3610" s="204" t="s">
        <v>4284</v>
      </c>
      <c r="C3610" s="204" t="s">
        <v>63</v>
      </c>
      <c r="D3610" s="204" t="s">
        <v>3038</v>
      </c>
      <c r="E3610" s="205" t="s">
        <v>4285</v>
      </c>
      <c r="F3610" s="203" t="s">
        <v>4286</v>
      </c>
      <c r="G3610" s="203" t="s">
        <v>67</v>
      </c>
      <c r="H3610" s="25" t="s">
        <v>4695</v>
      </c>
      <c r="I3610" s="46" t="e">
        <f>VLOOKUP(H3610,'合同高级查询数据-4月返'!A:A,1,FALSE)</f>
        <v>#N/A</v>
      </c>
      <c r="J3610" s="47" t="s">
        <v>67</v>
      </c>
      <c r="K3610" s="203" t="s">
        <v>4696</v>
      </c>
      <c r="L3610" s="206"/>
      <c r="M3610" s="49"/>
      <c r="N3610" s="73">
        <v>43485</v>
      </c>
      <c r="O3610" s="73" t="s">
        <v>71</v>
      </c>
      <c r="P3610" s="383">
        <v>390</v>
      </c>
      <c r="Q3610" s="385">
        <v>83.02</v>
      </c>
      <c r="R3610" s="386">
        <f t="shared" si="116"/>
        <v>32377.8</v>
      </c>
      <c r="S3610" s="279">
        <v>202304</v>
      </c>
      <c r="T3610" s="184" t="s">
        <v>4697</v>
      </c>
      <c r="U3610" s="213"/>
      <c r="V3610" s="387"/>
      <c r="W3610" s="214"/>
      <c r="X3610" s="388">
        <v>43435</v>
      </c>
      <c r="Y3610" s="388">
        <v>45626</v>
      </c>
    </row>
    <row r="3611" s="5" customFormat="1" customHeight="1" spans="1:25">
      <c r="A3611" s="203" t="s">
        <v>446</v>
      </c>
      <c r="B3611" s="204" t="s">
        <v>4284</v>
      </c>
      <c r="C3611" s="204" t="s">
        <v>63</v>
      </c>
      <c r="D3611" s="204" t="s">
        <v>3038</v>
      </c>
      <c r="E3611" s="205" t="s">
        <v>4285</v>
      </c>
      <c r="F3611" s="203" t="s">
        <v>4286</v>
      </c>
      <c r="G3611" s="203" t="s">
        <v>67</v>
      </c>
      <c r="H3611" s="25" t="s">
        <v>4695</v>
      </c>
      <c r="I3611" s="46" t="e">
        <f>VLOOKUP(H3611,'合同高级查询数据-4月返'!A:A,1,FALSE)</f>
        <v>#N/A</v>
      </c>
      <c r="J3611" s="47" t="s">
        <v>67</v>
      </c>
      <c r="K3611" s="203" t="s">
        <v>4698</v>
      </c>
      <c r="L3611" s="206"/>
      <c r="M3611" s="49"/>
      <c r="N3611" s="73">
        <v>43521</v>
      </c>
      <c r="O3611" s="73" t="s">
        <v>71</v>
      </c>
      <c r="P3611" s="383">
        <v>390</v>
      </c>
      <c r="Q3611" s="385">
        <v>77.4</v>
      </c>
      <c r="R3611" s="386">
        <f t="shared" si="116"/>
        <v>30186</v>
      </c>
      <c r="S3611" s="279">
        <v>202304</v>
      </c>
      <c r="T3611" s="184" t="s">
        <v>4699</v>
      </c>
      <c r="U3611" s="213"/>
      <c r="V3611" s="387"/>
      <c r="W3611" s="214"/>
      <c r="X3611" s="388">
        <v>43435</v>
      </c>
      <c r="Y3611" s="388">
        <v>45626</v>
      </c>
    </row>
    <row r="3612" s="5" customFormat="1" customHeight="1" spans="1:25">
      <c r="A3612" s="203" t="s">
        <v>446</v>
      </c>
      <c r="B3612" s="204" t="s">
        <v>4284</v>
      </c>
      <c r="C3612" s="204" t="s">
        <v>63</v>
      </c>
      <c r="D3612" s="204" t="s">
        <v>3038</v>
      </c>
      <c r="E3612" s="205" t="s">
        <v>4285</v>
      </c>
      <c r="F3612" s="203" t="s">
        <v>4286</v>
      </c>
      <c r="G3612" s="203" t="s">
        <v>67</v>
      </c>
      <c r="H3612" s="25" t="s">
        <v>4700</v>
      </c>
      <c r="I3612" s="46" t="e">
        <f>VLOOKUP(H3612,'合同高级查询数据-4月返'!A:A,1,FALSE)</f>
        <v>#N/A</v>
      </c>
      <c r="J3612" s="47" t="s">
        <v>67</v>
      </c>
      <c r="K3612" s="203" t="s">
        <v>4696</v>
      </c>
      <c r="L3612" s="206"/>
      <c r="M3612" s="49"/>
      <c r="N3612" s="73">
        <v>43490</v>
      </c>
      <c r="O3612" s="73" t="s">
        <v>71</v>
      </c>
      <c r="P3612" s="383">
        <v>605</v>
      </c>
      <c r="Q3612" s="385">
        <v>89.8</v>
      </c>
      <c r="R3612" s="386">
        <f t="shared" si="116"/>
        <v>54329</v>
      </c>
      <c r="S3612" s="279">
        <v>202304</v>
      </c>
      <c r="T3612" s="184" t="s">
        <v>4701</v>
      </c>
      <c r="U3612" s="213"/>
      <c r="V3612" s="387"/>
      <c r="W3612" s="214"/>
      <c r="X3612" s="388">
        <v>43435</v>
      </c>
      <c r="Y3612" s="388">
        <v>45626</v>
      </c>
    </row>
    <row r="3613" s="5" customFormat="1" customHeight="1" spans="1:25">
      <c r="A3613" s="203" t="s">
        <v>446</v>
      </c>
      <c r="B3613" s="204" t="s">
        <v>4284</v>
      </c>
      <c r="C3613" s="204" t="s">
        <v>63</v>
      </c>
      <c r="D3613" s="204" t="s">
        <v>3038</v>
      </c>
      <c r="E3613" s="205" t="s">
        <v>4285</v>
      </c>
      <c r="F3613" s="203" t="s">
        <v>4286</v>
      </c>
      <c r="G3613" s="203" t="s">
        <v>67</v>
      </c>
      <c r="H3613" s="25" t="s">
        <v>4700</v>
      </c>
      <c r="I3613" s="46" t="e">
        <f>VLOOKUP(H3613,'合同高级查询数据-4月返'!A:A,1,FALSE)</f>
        <v>#N/A</v>
      </c>
      <c r="J3613" s="47" t="s">
        <v>67</v>
      </c>
      <c r="K3613" s="203" t="s">
        <v>4702</v>
      </c>
      <c r="L3613" s="206"/>
      <c r="M3613" s="49"/>
      <c r="N3613" s="73">
        <v>43460</v>
      </c>
      <c r="O3613" s="73" t="s">
        <v>71</v>
      </c>
      <c r="P3613" s="383">
        <v>605</v>
      </c>
      <c r="Q3613" s="385">
        <v>54.02</v>
      </c>
      <c r="R3613" s="386">
        <f t="shared" si="116"/>
        <v>32682.1</v>
      </c>
      <c r="S3613" s="279">
        <v>202304</v>
      </c>
      <c r="T3613" s="184" t="s">
        <v>4703</v>
      </c>
      <c r="U3613" s="213"/>
      <c r="V3613" s="387"/>
      <c r="W3613" s="214"/>
      <c r="X3613" s="388">
        <v>43435</v>
      </c>
      <c r="Y3613" s="388">
        <v>45626</v>
      </c>
    </row>
    <row r="3614" s="5" customFormat="1" customHeight="1" spans="1:25">
      <c r="A3614" s="203" t="s">
        <v>446</v>
      </c>
      <c r="B3614" s="204" t="s">
        <v>4284</v>
      </c>
      <c r="C3614" s="204" t="s">
        <v>63</v>
      </c>
      <c r="D3614" s="204" t="s">
        <v>3038</v>
      </c>
      <c r="E3614" s="205" t="s">
        <v>4285</v>
      </c>
      <c r="F3614" s="203" t="s">
        <v>4286</v>
      </c>
      <c r="G3614" s="203" t="s">
        <v>67</v>
      </c>
      <c r="H3614" s="25" t="s">
        <v>4700</v>
      </c>
      <c r="I3614" s="46" t="e">
        <f>VLOOKUP(H3614,'合同高级查询数据-4月返'!A:A,1,FALSE)</f>
        <v>#N/A</v>
      </c>
      <c r="J3614" s="47" t="s">
        <v>67</v>
      </c>
      <c r="K3614" s="203" t="s">
        <v>4702</v>
      </c>
      <c r="L3614" s="206"/>
      <c r="M3614" s="49"/>
      <c r="N3614" s="73">
        <v>43474</v>
      </c>
      <c r="O3614" s="73" t="s">
        <v>71</v>
      </c>
      <c r="P3614" s="383">
        <v>605</v>
      </c>
      <c r="Q3614" s="385">
        <v>84.17</v>
      </c>
      <c r="R3614" s="386">
        <f t="shared" si="116"/>
        <v>50922.85</v>
      </c>
      <c r="S3614" s="279">
        <v>202304</v>
      </c>
      <c r="T3614" s="184" t="s">
        <v>4704</v>
      </c>
      <c r="U3614" s="213"/>
      <c r="V3614" s="387"/>
      <c r="W3614" s="214"/>
      <c r="X3614" s="388">
        <v>43435</v>
      </c>
      <c r="Y3614" s="388">
        <v>45626</v>
      </c>
    </row>
    <row r="3615" s="5" customFormat="1" customHeight="1" spans="1:25">
      <c r="A3615" s="203" t="s">
        <v>446</v>
      </c>
      <c r="B3615" s="204" t="s">
        <v>4284</v>
      </c>
      <c r="C3615" s="204" t="s">
        <v>63</v>
      </c>
      <c r="D3615" s="204" t="s">
        <v>3038</v>
      </c>
      <c r="E3615" s="205" t="s">
        <v>4285</v>
      </c>
      <c r="F3615" s="203" t="s">
        <v>4286</v>
      </c>
      <c r="G3615" s="203" t="s">
        <v>67</v>
      </c>
      <c r="H3615" s="25" t="s">
        <v>4700</v>
      </c>
      <c r="I3615" s="46" t="e">
        <f>VLOOKUP(H3615,'合同高级查询数据-4月返'!A:A,1,FALSE)</f>
        <v>#N/A</v>
      </c>
      <c r="J3615" s="47" t="s">
        <v>67</v>
      </c>
      <c r="K3615" s="203" t="s">
        <v>4705</v>
      </c>
      <c r="L3615" s="206"/>
      <c r="M3615" s="49"/>
      <c r="N3615" s="73">
        <v>43460</v>
      </c>
      <c r="O3615" s="73" t="s">
        <v>71</v>
      </c>
      <c r="P3615" s="383">
        <v>605</v>
      </c>
      <c r="Q3615" s="385">
        <v>75.9</v>
      </c>
      <c r="R3615" s="386">
        <f t="shared" si="116"/>
        <v>45919.5</v>
      </c>
      <c r="S3615" s="279">
        <v>202304</v>
      </c>
      <c r="T3615" s="184" t="s">
        <v>4703</v>
      </c>
      <c r="U3615" s="213"/>
      <c r="V3615" s="387"/>
      <c r="W3615" s="214"/>
      <c r="X3615" s="388">
        <v>43435</v>
      </c>
      <c r="Y3615" s="388">
        <v>45626</v>
      </c>
    </row>
    <row r="3616" s="5" customFormat="1" customHeight="1" spans="1:25">
      <c r="A3616" s="203" t="s">
        <v>446</v>
      </c>
      <c r="B3616" s="204" t="s">
        <v>4284</v>
      </c>
      <c r="C3616" s="204" t="s">
        <v>63</v>
      </c>
      <c r="D3616" s="204" t="s">
        <v>3038</v>
      </c>
      <c r="E3616" s="205" t="s">
        <v>4285</v>
      </c>
      <c r="F3616" s="203" t="s">
        <v>4286</v>
      </c>
      <c r="G3616" s="203" t="s">
        <v>67</v>
      </c>
      <c r="H3616" s="25" t="s">
        <v>4700</v>
      </c>
      <c r="I3616" s="46" t="e">
        <f>VLOOKUP(H3616,'合同高级查询数据-4月返'!A:A,1,FALSE)</f>
        <v>#N/A</v>
      </c>
      <c r="J3616" s="47" t="s">
        <v>67</v>
      </c>
      <c r="K3616" s="203" t="s">
        <v>4705</v>
      </c>
      <c r="L3616" s="206"/>
      <c r="M3616" s="49"/>
      <c r="N3616" s="73">
        <v>44571</v>
      </c>
      <c r="O3616" s="73" t="s">
        <v>71</v>
      </c>
      <c r="P3616" s="383">
        <v>605</v>
      </c>
      <c r="Q3616" s="385">
        <v>-75.9</v>
      </c>
      <c r="R3616" s="207">
        <f t="shared" si="116"/>
        <v>-45919.5</v>
      </c>
      <c r="S3616" s="279">
        <v>202304</v>
      </c>
      <c r="T3616" s="184" t="s">
        <v>4686</v>
      </c>
      <c r="U3616" s="213"/>
      <c r="V3616" s="387"/>
      <c r="W3616" s="214"/>
      <c r="X3616" s="388">
        <v>43435</v>
      </c>
      <c r="Y3616" s="388">
        <v>45626</v>
      </c>
    </row>
    <row r="3617" s="5" customFormat="1" customHeight="1" spans="1:25">
      <c r="A3617" s="203" t="s">
        <v>446</v>
      </c>
      <c r="B3617" s="204" t="s">
        <v>4284</v>
      </c>
      <c r="C3617" s="204" t="s">
        <v>63</v>
      </c>
      <c r="D3617" s="204" t="s">
        <v>3038</v>
      </c>
      <c r="E3617" s="205" t="s">
        <v>4285</v>
      </c>
      <c r="F3617" s="203" t="s">
        <v>4286</v>
      </c>
      <c r="G3617" s="203" t="s">
        <v>67</v>
      </c>
      <c r="H3617" s="25" t="s">
        <v>4700</v>
      </c>
      <c r="I3617" s="46" t="e">
        <f>VLOOKUP(H3617,'合同高级查询数据-4月返'!A:A,1,FALSE)</f>
        <v>#N/A</v>
      </c>
      <c r="J3617" s="47" t="s">
        <v>67</v>
      </c>
      <c r="K3617" s="203" t="s">
        <v>4705</v>
      </c>
      <c r="L3617" s="206"/>
      <c r="M3617" s="49"/>
      <c r="N3617" s="73">
        <v>43523</v>
      </c>
      <c r="O3617" s="73" t="s">
        <v>71</v>
      </c>
      <c r="P3617" s="383">
        <v>605</v>
      </c>
      <c r="Q3617" s="385">
        <v>78.7</v>
      </c>
      <c r="R3617" s="386">
        <f t="shared" si="116"/>
        <v>47613.5</v>
      </c>
      <c r="S3617" s="279">
        <v>202304</v>
      </c>
      <c r="T3617" s="184" t="s">
        <v>4706</v>
      </c>
      <c r="U3617" s="213"/>
      <c r="V3617" s="387"/>
      <c r="W3617" s="214"/>
      <c r="X3617" s="388">
        <v>43435</v>
      </c>
      <c r="Y3617" s="388">
        <v>45626</v>
      </c>
    </row>
    <row r="3618" s="5" customFormat="1" customHeight="1" spans="1:25">
      <c r="A3618" s="203" t="s">
        <v>446</v>
      </c>
      <c r="B3618" s="204" t="s">
        <v>4284</v>
      </c>
      <c r="C3618" s="204" t="s">
        <v>63</v>
      </c>
      <c r="D3618" s="204" t="s">
        <v>3038</v>
      </c>
      <c r="E3618" s="205" t="s">
        <v>4285</v>
      </c>
      <c r="F3618" s="203" t="s">
        <v>4286</v>
      </c>
      <c r="G3618" s="203" t="s">
        <v>67</v>
      </c>
      <c r="H3618" s="25" t="s">
        <v>4700</v>
      </c>
      <c r="I3618" s="46" t="e">
        <f>VLOOKUP(H3618,'合同高级查询数据-4月返'!A:A,1,FALSE)</f>
        <v>#N/A</v>
      </c>
      <c r="J3618" s="47" t="s">
        <v>67</v>
      </c>
      <c r="K3618" s="203" t="s">
        <v>4705</v>
      </c>
      <c r="L3618" s="206"/>
      <c r="M3618" s="49"/>
      <c r="N3618" s="73">
        <v>44571</v>
      </c>
      <c r="O3618" s="73" t="s">
        <v>71</v>
      </c>
      <c r="P3618" s="383">
        <v>605</v>
      </c>
      <c r="Q3618" s="385">
        <v>-78.7</v>
      </c>
      <c r="R3618" s="207">
        <f t="shared" si="116"/>
        <v>-47613.5</v>
      </c>
      <c r="S3618" s="279">
        <v>202304</v>
      </c>
      <c r="T3618" s="184" t="s">
        <v>4686</v>
      </c>
      <c r="U3618" s="213"/>
      <c r="V3618" s="387"/>
      <c r="W3618" s="214"/>
      <c r="X3618" s="388">
        <v>43435</v>
      </c>
      <c r="Y3618" s="388">
        <v>45626</v>
      </c>
    </row>
    <row r="3619" s="5" customFormat="1" customHeight="1" spans="1:25">
      <c r="A3619" s="203" t="s">
        <v>446</v>
      </c>
      <c r="B3619" s="204" t="s">
        <v>4284</v>
      </c>
      <c r="C3619" s="204" t="s">
        <v>63</v>
      </c>
      <c r="D3619" s="204" t="s">
        <v>3038</v>
      </c>
      <c r="E3619" s="205" t="s">
        <v>4285</v>
      </c>
      <c r="F3619" s="203" t="s">
        <v>4286</v>
      </c>
      <c r="G3619" s="203" t="s">
        <v>67</v>
      </c>
      <c r="H3619" s="25" t="s">
        <v>4700</v>
      </c>
      <c r="I3619" s="46" t="e">
        <f>VLOOKUP(H3619,'合同高级查询数据-4月返'!A:A,1,FALSE)</f>
        <v>#N/A</v>
      </c>
      <c r="J3619" s="47" t="s">
        <v>67</v>
      </c>
      <c r="K3619" s="203" t="s">
        <v>4707</v>
      </c>
      <c r="L3619" s="206"/>
      <c r="M3619" s="49"/>
      <c r="N3619" s="73">
        <v>43460</v>
      </c>
      <c r="O3619" s="73" t="s">
        <v>71</v>
      </c>
      <c r="P3619" s="383">
        <v>605</v>
      </c>
      <c r="Q3619" s="385">
        <v>71.4</v>
      </c>
      <c r="R3619" s="386">
        <f t="shared" si="116"/>
        <v>43197</v>
      </c>
      <c r="S3619" s="279">
        <v>202304</v>
      </c>
      <c r="T3619" s="184" t="s">
        <v>4703</v>
      </c>
      <c r="U3619" s="213"/>
      <c r="V3619" s="387"/>
      <c r="W3619" s="214"/>
      <c r="X3619" s="388">
        <v>43435</v>
      </c>
      <c r="Y3619" s="388">
        <v>45626</v>
      </c>
    </row>
    <row r="3620" s="5" customFormat="1" customHeight="1" spans="1:25">
      <c r="A3620" s="203" t="s">
        <v>446</v>
      </c>
      <c r="B3620" s="204" t="s">
        <v>4284</v>
      </c>
      <c r="C3620" s="204" t="s">
        <v>63</v>
      </c>
      <c r="D3620" s="204" t="s">
        <v>3038</v>
      </c>
      <c r="E3620" s="205" t="s">
        <v>4285</v>
      </c>
      <c r="F3620" s="203" t="s">
        <v>4286</v>
      </c>
      <c r="G3620" s="203" t="s">
        <v>67</v>
      </c>
      <c r="H3620" s="25" t="s">
        <v>4700</v>
      </c>
      <c r="I3620" s="46" t="e">
        <f>VLOOKUP(H3620,'合同高级查询数据-4月返'!A:A,1,FALSE)</f>
        <v>#N/A</v>
      </c>
      <c r="J3620" s="47" t="s">
        <v>67</v>
      </c>
      <c r="K3620" s="203" t="s">
        <v>4707</v>
      </c>
      <c r="L3620" s="73"/>
      <c r="M3620" s="73"/>
      <c r="N3620" s="73">
        <v>44967</v>
      </c>
      <c r="O3620" s="73" t="s">
        <v>71</v>
      </c>
      <c r="P3620" s="383">
        <v>605</v>
      </c>
      <c r="Q3620" s="385">
        <v>-71.4</v>
      </c>
      <c r="R3620" s="386">
        <f t="shared" si="116"/>
        <v>-43197</v>
      </c>
      <c r="S3620" s="279">
        <v>202304</v>
      </c>
      <c r="T3620" s="184" t="s">
        <v>4708</v>
      </c>
      <c r="U3620" s="213"/>
      <c r="V3620" s="387"/>
      <c r="W3620" s="214"/>
      <c r="X3620" s="388">
        <v>43435</v>
      </c>
      <c r="Y3620" s="388">
        <v>45626</v>
      </c>
    </row>
    <row r="3621" s="5" customFormat="1" customHeight="1" spans="1:25">
      <c r="A3621" s="203" t="s">
        <v>446</v>
      </c>
      <c r="B3621" s="204" t="s">
        <v>4284</v>
      </c>
      <c r="C3621" s="204" t="s">
        <v>63</v>
      </c>
      <c r="D3621" s="204" t="s">
        <v>3038</v>
      </c>
      <c r="E3621" s="205" t="s">
        <v>4285</v>
      </c>
      <c r="F3621" s="203" t="s">
        <v>4286</v>
      </c>
      <c r="G3621" s="203" t="s">
        <v>67</v>
      </c>
      <c r="H3621" s="25" t="s">
        <v>4700</v>
      </c>
      <c r="I3621" s="46" t="e">
        <f>VLOOKUP(H3621,'合同高级查询数据-4月返'!A:A,1,FALSE)</f>
        <v>#N/A</v>
      </c>
      <c r="J3621" s="47" t="s">
        <v>67</v>
      </c>
      <c r="K3621" s="203" t="s">
        <v>4707</v>
      </c>
      <c r="L3621" s="206"/>
      <c r="M3621" s="49"/>
      <c r="N3621" s="73">
        <v>43474</v>
      </c>
      <c r="O3621" s="73" t="s">
        <v>71</v>
      </c>
      <c r="P3621" s="383">
        <v>605</v>
      </c>
      <c r="Q3621" s="385">
        <v>80</v>
      </c>
      <c r="R3621" s="386">
        <f t="shared" si="116"/>
        <v>48400</v>
      </c>
      <c r="S3621" s="279">
        <v>202304</v>
      </c>
      <c r="T3621" s="184" t="s">
        <v>4704</v>
      </c>
      <c r="U3621" s="213"/>
      <c r="V3621" s="387"/>
      <c r="W3621" s="214"/>
      <c r="X3621" s="388">
        <v>43435</v>
      </c>
      <c r="Y3621" s="388">
        <v>45626</v>
      </c>
    </row>
    <row r="3622" s="5" customFormat="1" customHeight="1" spans="1:25">
      <c r="A3622" s="203" t="s">
        <v>446</v>
      </c>
      <c r="B3622" s="204" t="s">
        <v>4284</v>
      </c>
      <c r="C3622" s="204" t="s">
        <v>63</v>
      </c>
      <c r="D3622" s="204" t="s">
        <v>3038</v>
      </c>
      <c r="E3622" s="205" t="s">
        <v>4285</v>
      </c>
      <c r="F3622" s="203" t="s">
        <v>4286</v>
      </c>
      <c r="G3622" s="203" t="s">
        <v>67</v>
      </c>
      <c r="H3622" s="25" t="s">
        <v>4700</v>
      </c>
      <c r="I3622" s="46" t="e">
        <f>VLOOKUP(H3622,'合同高级查询数据-4月返'!A:A,1,FALSE)</f>
        <v>#N/A</v>
      </c>
      <c r="J3622" s="47" t="s">
        <v>67</v>
      </c>
      <c r="K3622" s="203" t="s">
        <v>4707</v>
      </c>
      <c r="L3622" s="206"/>
      <c r="M3622" s="49"/>
      <c r="N3622" s="73">
        <v>44967</v>
      </c>
      <c r="O3622" s="73" t="s">
        <v>71</v>
      </c>
      <c r="P3622" s="383">
        <v>605</v>
      </c>
      <c r="Q3622" s="385">
        <v>-80</v>
      </c>
      <c r="R3622" s="386">
        <f t="shared" si="116"/>
        <v>-48400</v>
      </c>
      <c r="S3622" s="279">
        <v>202304</v>
      </c>
      <c r="T3622" s="184" t="s">
        <v>4708</v>
      </c>
      <c r="U3622" s="213"/>
      <c r="V3622" s="387"/>
      <c r="W3622" s="214"/>
      <c r="X3622" s="388">
        <v>43435</v>
      </c>
      <c r="Y3622" s="388">
        <v>45626</v>
      </c>
    </row>
    <row r="3623" s="5" customFormat="1" customHeight="1" spans="1:25">
      <c r="A3623" s="203" t="s">
        <v>446</v>
      </c>
      <c r="B3623" s="204" t="s">
        <v>4284</v>
      </c>
      <c r="C3623" s="204" t="s">
        <v>63</v>
      </c>
      <c r="D3623" s="204" t="s">
        <v>3038</v>
      </c>
      <c r="E3623" s="205" t="s">
        <v>4285</v>
      </c>
      <c r="F3623" s="203" t="s">
        <v>4286</v>
      </c>
      <c r="G3623" s="203" t="s">
        <v>67</v>
      </c>
      <c r="H3623" s="25" t="s">
        <v>4700</v>
      </c>
      <c r="I3623" s="46" t="e">
        <f>VLOOKUP(H3623,'合同高级查询数据-4月返'!A:A,1,FALSE)</f>
        <v>#N/A</v>
      </c>
      <c r="J3623" s="47" t="s">
        <v>67</v>
      </c>
      <c r="K3623" s="203" t="s">
        <v>4698</v>
      </c>
      <c r="L3623" s="206"/>
      <c r="M3623" s="49"/>
      <c r="N3623" s="73">
        <v>43523</v>
      </c>
      <c r="O3623" s="73" t="s">
        <v>71</v>
      </c>
      <c r="P3623" s="383">
        <v>605</v>
      </c>
      <c r="Q3623" s="385">
        <v>78.9</v>
      </c>
      <c r="R3623" s="386">
        <f t="shared" si="116"/>
        <v>47734.5</v>
      </c>
      <c r="S3623" s="279">
        <v>202304</v>
      </c>
      <c r="T3623" s="184" t="s">
        <v>4706</v>
      </c>
      <c r="U3623" s="213"/>
      <c r="V3623" s="387"/>
      <c r="W3623" s="214"/>
      <c r="X3623" s="388">
        <v>43435</v>
      </c>
      <c r="Y3623" s="388">
        <v>45626</v>
      </c>
    </row>
    <row r="3624" s="5" customFormat="1" customHeight="1" spans="1:25">
      <c r="A3624" s="203" t="s">
        <v>446</v>
      </c>
      <c r="B3624" s="204" t="s">
        <v>4284</v>
      </c>
      <c r="C3624" s="204" t="s">
        <v>63</v>
      </c>
      <c r="D3624" s="204" t="s">
        <v>3038</v>
      </c>
      <c r="E3624" s="205" t="s">
        <v>4285</v>
      </c>
      <c r="F3624" s="203" t="s">
        <v>4286</v>
      </c>
      <c r="G3624" s="203" t="s">
        <v>67</v>
      </c>
      <c r="H3624" s="25" t="s">
        <v>4709</v>
      </c>
      <c r="I3624" s="46" t="e">
        <f>VLOOKUP(H3624,'合同高级查询数据-4月返'!A:A,1,FALSE)</f>
        <v>#N/A</v>
      </c>
      <c r="J3624" s="47" t="s">
        <v>67</v>
      </c>
      <c r="K3624" s="203" t="s">
        <v>4710</v>
      </c>
      <c r="L3624" s="206"/>
      <c r="M3624" s="49"/>
      <c r="N3624" s="73">
        <v>43714</v>
      </c>
      <c r="O3624" s="73" t="s">
        <v>71</v>
      </c>
      <c r="P3624" s="383">
        <v>605</v>
      </c>
      <c r="Q3624" s="385">
        <v>65.79</v>
      </c>
      <c r="R3624" s="386">
        <f t="shared" si="116"/>
        <v>39802.95</v>
      </c>
      <c r="S3624" s="279">
        <v>202304</v>
      </c>
      <c r="T3624" s="184" t="s">
        <v>4711</v>
      </c>
      <c r="U3624" s="213"/>
      <c r="V3624" s="387"/>
      <c r="W3624" s="214"/>
      <c r="X3624" s="388">
        <v>43709</v>
      </c>
      <c r="Y3624" s="388">
        <v>45535</v>
      </c>
    </row>
    <row r="3625" s="5" customFormat="1" customHeight="1" spans="1:25">
      <c r="A3625" s="203" t="s">
        <v>446</v>
      </c>
      <c r="B3625" s="204" t="s">
        <v>4284</v>
      </c>
      <c r="C3625" s="204" t="s">
        <v>63</v>
      </c>
      <c r="D3625" s="204" t="s">
        <v>3038</v>
      </c>
      <c r="E3625" s="205" t="s">
        <v>4285</v>
      </c>
      <c r="F3625" s="203" t="s">
        <v>4286</v>
      </c>
      <c r="G3625" s="203" t="s">
        <v>67</v>
      </c>
      <c r="H3625" s="25" t="s">
        <v>4709</v>
      </c>
      <c r="I3625" s="46" t="e">
        <f>VLOOKUP(H3625,'合同高级查询数据-4月返'!A:A,1,FALSE)</f>
        <v>#N/A</v>
      </c>
      <c r="J3625" s="47" t="s">
        <v>67</v>
      </c>
      <c r="K3625" s="203" t="s">
        <v>4710</v>
      </c>
      <c r="L3625" s="206"/>
      <c r="M3625" s="49"/>
      <c r="N3625" s="73">
        <v>44571</v>
      </c>
      <c r="O3625" s="73" t="s">
        <v>71</v>
      </c>
      <c r="P3625" s="383">
        <v>605</v>
      </c>
      <c r="Q3625" s="385">
        <v>-65.79</v>
      </c>
      <c r="R3625" s="207">
        <f t="shared" si="116"/>
        <v>-39802.95</v>
      </c>
      <c r="S3625" s="279">
        <v>202304</v>
      </c>
      <c r="T3625" s="184" t="s">
        <v>4686</v>
      </c>
      <c r="U3625" s="213"/>
      <c r="V3625" s="387"/>
      <c r="W3625" s="214"/>
      <c r="X3625" s="388">
        <v>43709</v>
      </c>
      <c r="Y3625" s="388">
        <v>45535</v>
      </c>
    </row>
    <row r="3626" s="5" customFormat="1" customHeight="1" spans="1:25">
      <c r="A3626" s="203" t="s">
        <v>446</v>
      </c>
      <c r="B3626" s="204" t="s">
        <v>4284</v>
      </c>
      <c r="C3626" s="204" t="s">
        <v>63</v>
      </c>
      <c r="D3626" s="204" t="s">
        <v>3038</v>
      </c>
      <c r="E3626" s="205" t="s">
        <v>4285</v>
      </c>
      <c r="F3626" s="203" t="s">
        <v>4286</v>
      </c>
      <c r="G3626" s="203" t="s">
        <v>67</v>
      </c>
      <c r="H3626" s="25" t="s">
        <v>4709</v>
      </c>
      <c r="I3626" s="46" t="e">
        <f>VLOOKUP(H3626,'合同高级查询数据-4月返'!A:A,1,FALSE)</f>
        <v>#N/A</v>
      </c>
      <c r="J3626" s="47" t="s">
        <v>67</v>
      </c>
      <c r="K3626" s="203" t="s">
        <v>4710</v>
      </c>
      <c r="L3626" s="206"/>
      <c r="M3626" s="49"/>
      <c r="N3626" s="73">
        <v>43714</v>
      </c>
      <c r="O3626" s="73" t="s">
        <v>71</v>
      </c>
      <c r="P3626" s="383">
        <v>605</v>
      </c>
      <c r="Q3626" s="385">
        <v>30.01</v>
      </c>
      <c r="R3626" s="386">
        <f t="shared" si="116"/>
        <v>18156.05</v>
      </c>
      <c r="S3626" s="279">
        <v>202304</v>
      </c>
      <c r="T3626" s="184" t="s">
        <v>4711</v>
      </c>
      <c r="U3626" s="213"/>
      <c r="V3626" s="387"/>
      <c r="W3626" s="214"/>
      <c r="X3626" s="388">
        <v>43709</v>
      </c>
      <c r="Y3626" s="388">
        <v>45535</v>
      </c>
    </row>
    <row r="3627" s="5" customFormat="1" customHeight="1" spans="1:25">
      <c r="A3627" s="203" t="s">
        <v>446</v>
      </c>
      <c r="B3627" s="204" t="s">
        <v>4284</v>
      </c>
      <c r="C3627" s="204" t="s">
        <v>63</v>
      </c>
      <c r="D3627" s="204" t="s">
        <v>3038</v>
      </c>
      <c r="E3627" s="205" t="s">
        <v>4285</v>
      </c>
      <c r="F3627" s="203" t="s">
        <v>4286</v>
      </c>
      <c r="G3627" s="203" t="s">
        <v>67</v>
      </c>
      <c r="H3627" s="25" t="s">
        <v>4709</v>
      </c>
      <c r="I3627" s="46" t="e">
        <f>VLOOKUP(H3627,'合同高级查询数据-4月返'!A:A,1,FALSE)</f>
        <v>#N/A</v>
      </c>
      <c r="J3627" s="47" t="s">
        <v>67</v>
      </c>
      <c r="K3627" s="203" t="s">
        <v>4710</v>
      </c>
      <c r="L3627" s="206"/>
      <c r="M3627" s="49"/>
      <c r="N3627" s="73">
        <v>44571</v>
      </c>
      <c r="O3627" s="73" t="s">
        <v>71</v>
      </c>
      <c r="P3627" s="383">
        <v>605</v>
      </c>
      <c r="Q3627" s="385">
        <v>-30.01</v>
      </c>
      <c r="R3627" s="207">
        <f t="shared" si="116"/>
        <v>-18156.05</v>
      </c>
      <c r="S3627" s="279">
        <v>202304</v>
      </c>
      <c r="T3627" s="184" t="s">
        <v>4686</v>
      </c>
      <c r="U3627" s="213"/>
      <c r="V3627" s="387"/>
      <c r="W3627" s="214"/>
      <c r="X3627" s="388">
        <v>43709</v>
      </c>
      <c r="Y3627" s="388">
        <v>45535</v>
      </c>
    </row>
    <row r="3628" s="5" customFormat="1" customHeight="1" spans="1:25">
      <c r="A3628" s="203" t="s">
        <v>446</v>
      </c>
      <c r="B3628" s="204" t="s">
        <v>4284</v>
      </c>
      <c r="C3628" s="204" t="s">
        <v>63</v>
      </c>
      <c r="D3628" s="204" t="s">
        <v>3038</v>
      </c>
      <c r="E3628" s="205" t="s">
        <v>4285</v>
      </c>
      <c r="F3628" s="203" t="s">
        <v>4286</v>
      </c>
      <c r="G3628" s="203" t="s">
        <v>67</v>
      </c>
      <c r="H3628" s="25" t="s">
        <v>4709</v>
      </c>
      <c r="I3628" s="46" t="e">
        <f>VLOOKUP(H3628,'合同高级查询数据-4月返'!A:A,1,FALSE)</f>
        <v>#N/A</v>
      </c>
      <c r="J3628" s="47" t="s">
        <v>67</v>
      </c>
      <c r="K3628" s="203" t="s">
        <v>4710</v>
      </c>
      <c r="L3628" s="206"/>
      <c r="M3628" s="49"/>
      <c r="N3628" s="73">
        <v>43714</v>
      </c>
      <c r="O3628" s="73" t="s">
        <v>71</v>
      </c>
      <c r="P3628" s="383">
        <v>605</v>
      </c>
      <c r="Q3628" s="385">
        <v>30.01</v>
      </c>
      <c r="R3628" s="386">
        <f t="shared" si="116"/>
        <v>18156.05</v>
      </c>
      <c r="S3628" s="279">
        <v>202304</v>
      </c>
      <c r="T3628" s="184" t="s">
        <v>4711</v>
      </c>
      <c r="U3628" s="213"/>
      <c r="V3628" s="387"/>
      <c r="W3628" s="214"/>
      <c r="X3628" s="388">
        <v>43709</v>
      </c>
      <c r="Y3628" s="388">
        <v>45535</v>
      </c>
    </row>
    <row r="3629" s="5" customFormat="1" customHeight="1" spans="1:25">
      <c r="A3629" s="203" t="s">
        <v>446</v>
      </c>
      <c r="B3629" s="204" t="s">
        <v>4284</v>
      </c>
      <c r="C3629" s="204" t="s">
        <v>63</v>
      </c>
      <c r="D3629" s="204" t="s">
        <v>3038</v>
      </c>
      <c r="E3629" s="205" t="s">
        <v>4285</v>
      </c>
      <c r="F3629" s="203" t="s">
        <v>4286</v>
      </c>
      <c r="G3629" s="203" t="s">
        <v>67</v>
      </c>
      <c r="H3629" s="25" t="s">
        <v>4709</v>
      </c>
      <c r="I3629" s="46" t="e">
        <f>VLOOKUP(H3629,'合同高级查询数据-4月返'!A:A,1,FALSE)</f>
        <v>#N/A</v>
      </c>
      <c r="J3629" s="47" t="s">
        <v>67</v>
      </c>
      <c r="K3629" s="203" t="s">
        <v>4710</v>
      </c>
      <c r="L3629" s="206"/>
      <c r="M3629" s="49"/>
      <c r="N3629" s="73">
        <v>44571</v>
      </c>
      <c r="O3629" s="73" t="s">
        <v>71</v>
      </c>
      <c r="P3629" s="383">
        <v>605</v>
      </c>
      <c r="Q3629" s="385">
        <v>-30.01</v>
      </c>
      <c r="R3629" s="207">
        <f t="shared" si="116"/>
        <v>-18156.05</v>
      </c>
      <c r="S3629" s="279">
        <v>202304</v>
      </c>
      <c r="T3629" s="184" t="s">
        <v>4686</v>
      </c>
      <c r="U3629" s="213"/>
      <c r="V3629" s="387"/>
      <c r="W3629" s="214"/>
      <c r="X3629" s="388">
        <v>43709</v>
      </c>
      <c r="Y3629" s="388">
        <v>45535</v>
      </c>
    </row>
    <row r="3630" s="5" customFormat="1" customHeight="1" spans="1:25">
      <c r="A3630" s="203" t="s">
        <v>446</v>
      </c>
      <c r="B3630" s="204" t="s">
        <v>4284</v>
      </c>
      <c r="C3630" s="204" t="s">
        <v>63</v>
      </c>
      <c r="D3630" s="204" t="s">
        <v>3038</v>
      </c>
      <c r="E3630" s="205" t="s">
        <v>4285</v>
      </c>
      <c r="F3630" s="203" t="s">
        <v>4286</v>
      </c>
      <c r="G3630" s="203" t="s">
        <v>67</v>
      </c>
      <c r="H3630" s="25" t="s">
        <v>4709</v>
      </c>
      <c r="I3630" s="46" t="e">
        <f>VLOOKUP(H3630,'合同高级查询数据-4月返'!A:A,1,FALSE)</f>
        <v>#N/A</v>
      </c>
      <c r="J3630" s="47" t="s">
        <v>67</v>
      </c>
      <c r="K3630" s="203" t="s">
        <v>4710</v>
      </c>
      <c r="L3630" s="206"/>
      <c r="M3630" s="49"/>
      <c r="N3630" s="73">
        <v>43714</v>
      </c>
      <c r="O3630" s="73" t="s">
        <v>71</v>
      </c>
      <c r="P3630" s="383">
        <v>605</v>
      </c>
      <c r="Q3630" s="385">
        <v>29.39</v>
      </c>
      <c r="R3630" s="386">
        <f t="shared" si="116"/>
        <v>17780.95</v>
      </c>
      <c r="S3630" s="279">
        <v>202304</v>
      </c>
      <c r="T3630" s="184" t="s">
        <v>4711</v>
      </c>
      <c r="U3630" s="213"/>
      <c r="V3630" s="387"/>
      <c r="W3630" s="214"/>
      <c r="X3630" s="388">
        <v>43709</v>
      </c>
      <c r="Y3630" s="388">
        <v>45535</v>
      </c>
    </row>
    <row r="3631" s="5" customFormat="1" customHeight="1" spans="1:25">
      <c r="A3631" s="203" t="s">
        <v>446</v>
      </c>
      <c r="B3631" s="204" t="s">
        <v>4284</v>
      </c>
      <c r="C3631" s="204" t="s">
        <v>63</v>
      </c>
      <c r="D3631" s="204" t="s">
        <v>3038</v>
      </c>
      <c r="E3631" s="205" t="s">
        <v>4285</v>
      </c>
      <c r="F3631" s="203" t="s">
        <v>4286</v>
      </c>
      <c r="G3631" s="203" t="s">
        <v>67</v>
      </c>
      <c r="H3631" s="25" t="s">
        <v>4709</v>
      </c>
      <c r="I3631" s="46" t="e">
        <f>VLOOKUP(H3631,'合同高级查询数据-4月返'!A:A,1,FALSE)</f>
        <v>#N/A</v>
      </c>
      <c r="J3631" s="47" t="s">
        <v>67</v>
      </c>
      <c r="K3631" s="203" t="s">
        <v>4710</v>
      </c>
      <c r="L3631" s="206"/>
      <c r="M3631" s="49"/>
      <c r="N3631" s="73">
        <v>44571</v>
      </c>
      <c r="O3631" s="73" t="s">
        <v>71</v>
      </c>
      <c r="P3631" s="383">
        <v>605</v>
      </c>
      <c r="Q3631" s="385">
        <v>-29.39</v>
      </c>
      <c r="R3631" s="207">
        <f t="shared" si="116"/>
        <v>-17780.95</v>
      </c>
      <c r="S3631" s="279">
        <v>202304</v>
      </c>
      <c r="T3631" s="184" t="s">
        <v>4686</v>
      </c>
      <c r="U3631" s="213"/>
      <c r="V3631" s="387"/>
      <c r="W3631" s="214"/>
      <c r="X3631" s="388">
        <v>43709</v>
      </c>
      <c r="Y3631" s="388">
        <v>45535</v>
      </c>
    </row>
    <row r="3632" s="5" customFormat="1" customHeight="1" spans="1:25">
      <c r="A3632" s="203" t="s">
        <v>446</v>
      </c>
      <c r="B3632" s="204" t="s">
        <v>4284</v>
      </c>
      <c r="C3632" s="204" t="s">
        <v>63</v>
      </c>
      <c r="D3632" s="204" t="s">
        <v>3038</v>
      </c>
      <c r="E3632" s="205" t="s">
        <v>4285</v>
      </c>
      <c r="F3632" s="203" t="s">
        <v>4286</v>
      </c>
      <c r="G3632" s="203" t="s">
        <v>67</v>
      </c>
      <c r="H3632" s="25" t="s">
        <v>4712</v>
      </c>
      <c r="I3632" s="46" t="e">
        <f>VLOOKUP(H3632,'合同高级查询数据-4月返'!A:A,1,FALSE)</f>
        <v>#N/A</v>
      </c>
      <c r="J3632" s="47" t="s">
        <v>67</v>
      </c>
      <c r="K3632" s="203" t="s">
        <v>4713</v>
      </c>
      <c r="L3632" s="206"/>
      <c r="M3632" s="49"/>
      <c r="N3632" s="73">
        <v>44378</v>
      </c>
      <c r="O3632" s="73" t="s">
        <v>71</v>
      </c>
      <c r="P3632" s="383">
        <v>605</v>
      </c>
      <c r="Q3632" s="385">
        <v>92.2</v>
      </c>
      <c r="R3632" s="386">
        <f t="shared" si="116"/>
        <v>55781</v>
      </c>
      <c r="S3632" s="279">
        <v>202304</v>
      </c>
      <c r="T3632" s="184" t="s">
        <v>4714</v>
      </c>
      <c r="U3632" s="213"/>
      <c r="V3632" s="387"/>
      <c r="W3632" s="214"/>
      <c r="X3632" s="388">
        <v>44378</v>
      </c>
      <c r="Y3632" s="388">
        <v>46721</v>
      </c>
    </row>
    <row r="3633" s="5" customFormat="1" customHeight="1" spans="1:25">
      <c r="A3633" s="203" t="s">
        <v>446</v>
      </c>
      <c r="B3633" s="204" t="s">
        <v>4284</v>
      </c>
      <c r="C3633" s="204" t="s">
        <v>63</v>
      </c>
      <c r="D3633" s="204" t="s">
        <v>3038</v>
      </c>
      <c r="E3633" s="205" t="s">
        <v>4285</v>
      </c>
      <c r="F3633" s="203" t="s">
        <v>4286</v>
      </c>
      <c r="G3633" s="203" t="s">
        <v>67</v>
      </c>
      <c r="H3633" s="25" t="s">
        <v>4712</v>
      </c>
      <c r="I3633" s="46" t="e">
        <f>VLOOKUP(H3633,'合同高级查询数据-4月返'!A:A,1,FALSE)</f>
        <v>#N/A</v>
      </c>
      <c r="J3633" s="47" t="s">
        <v>67</v>
      </c>
      <c r="K3633" s="203" t="s">
        <v>4713</v>
      </c>
      <c r="L3633" s="206"/>
      <c r="M3633" s="49"/>
      <c r="N3633" s="73">
        <v>44378</v>
      </c>
      <c r="O3633" s="73" t="s">
        <v>71</v>
      </c>
      <c r="P3633" s="383">
        <v>605</v>
      </c>
      <c r="Q3633" s="385">
        <v>88</v>
      </c>
      <c r="R3633" s="386">
        <f t="shared" si="116"/>
        <v>53240</v>
      </c>
      <c r="S3633" s="279">
        <v>202304</v>
      </c>
      <c r="T3633" s="184" t="s">
        <v>4715</v>
      </c>
      <c r="U3633" s="213"/>
      <c r="V3633" s="387"/>
      <c r="W3633" s="214"/>
      <c r="X3633" s="388">
        <v>44378</v>
      </c>
      <c r="Y3633" s="388">
        <v>46721</v>
      </c>
    </row>
    <row r="3634" s="5" customFormat="1" customHeight="1" spans="1:25">
      <c r="A3634" s="203" t="s">
        <v>446</v>
      </c>
      <c r="B3634" s="204" t="s">
        <v>4284</v>
      </c>
      <c r="C3634" s="204" t="s">
        <v>63</v>
      </c>
      <c r="D3634" s="204" t="s">
        <v>3038</v>
      </c>
      <c r="E3634" s="205" t="s">
        <v>4285</v>
      </c>
      <c r="F3634" s="203" t="s">
        <v>4286</v>
      </c>
      <c r="G3634" s="203" t="s">
        <v>67</v>
      </c>
      <c r="H3634" s="25" t="s">
        <v>4712</v>
      </c>
      <c r="I3634" s="46" t="e">
        <f>VLOOKUP(H3634,'合同高级查询数据-4月返'!A:A,1,FALSE)</f>
        <v>#N/A</v>
      </c>
      <c r="J3634" s="47" t="s">
        <v>67</v>
      </c>
      <c r="K3634" s="203" t="s">
        <v>4713</v>
      </c>
      <c r="L3634" s="206"/>
      <c r="M3634" s="49"/>
      <c r="N3634" s="73">
        <v>44378</v>
      </c>
      <c r="O3634" s="73" t="s">
        <v>71</v>
      </c>
      <c r="P3634" s="383">
        <v>605</v>
      </c>
      <c r="Q3634" s="385">
        <v>43.1</v>
      </c>
      <c r="R3634" s="386">
        <f t="shared" si="116"/>
        <v>26075.5</v>
      </c>
      <c r="S3634" s="279">
        <v>202304</v>
      </c>
      <c r="T3634" s="184" t="s">
        <v>4716</v>
      </c>
      <c r="U3634" s="213"/>
      <c r="V3634" s="387"/>
      <c r="W3634" s="214"/>
      <c r="X3634" s="388">
        <v>44378</v>
      </c>
      <c r="Y3634" s="388">
        <v>46721</v>
      </c>
    </row>
    <row r="3635" s="5" customFormat="1" customHeight="1" spans="1:25">
      <c r="A3635" s="203" t="s">
        <v>446</v>
      </c>
      <c r="B3635" s="204" t="s">
        <v>4284</v>
      </c>
      <c r="C3635" s="204" t="s">
        <v>63</v>
      </c>
      <c r="D3635" s="204" t="s">
        <v>3038</v>
      </c>
      <c r="E3635" s="205" t="s">
        <v>4285</v>
      </c>
      <c r="F3635" s="203" t="s">
        <v>4286</v>
      </c>
      <c r="G3635" s="203" t="s">
        <v>67</v>
      </c>
      <c r="H3635" s="25" t="s">
        <v>4712</v>
      </c>
      <c r="I3635" s="46" t="e">
        <f>VLOOKUP(H3635,'合同高级查询数据-4月返'!A:A,1,FALSE)</f>
        <v>#N/A</v>
      </c>
      <c r="J3635" s="47" t="s">
        <v>67</v>
      </c>
      <c r="K3635" s="203" t="s">
        <v>4713</v>
      </c>
      <c r="L3635" s="206"/>
      <c r="M3635" s="49"/>
      <c r="N3635" s="73">
        <v>44378</v>
      </c>
      <c r="O3635" s="73" t="s">
        <v>71</v>
      </c>
      <c r="P3635" s="383">
        <v>605</v>
      </c>
      <c r="Q3635" s="385">
        <v>81.5</v>
      </c>
      <c r="R3635" s="386">
        <f t="shared" si="116"/>
        <v>49307.5</v>
      </c>
      <c r="S3635" s="279">
        <v>202304</v>
      </c>
      <c r="T3635" s="184" t="s">
        <v>4717</v>
      </c>
      <c r="U3635" s="213"/>
      <c r="V3635" s="387"/>
      <c r="W3635" s="214"/>
      <c r="X3635" s="388">
        <v>44378</v>
      </c>
      <c r="Y3635" s="388">
        <v>46721</v>
      </c>
    </row>
    <row r="3636" s="5" customFormat="1" customHeight="1" spans="1:25">
      <c r="A3636" s="203" t="s">
        <v>446</v>
      </c>
      <c r="B3636" s="204" t="s">
        <v>4284</v>
      </c>
      <c r="C3636" s="204" t="s">
        <v>63</v>
      </c>
      <c r="D3636" s="204" t="s">
        <v>3038</v>
      </c>
      <c r="E3636" s="205" t="s">
        <v>4285</v>
      </c>
      <c r="F3636" s="203" t="s">
        <v>4286</v>
      </c>
      <c r="G3636" s="203" t="s">
        <v>67</v>
      </c>
      <c r="H3636" s="25" t="s">
        <v>4712</v>
      </c>
      <c r="I3636" s="46" t="e">
        <f>VLOOKUP(H3636,'合同高级查询数据-4月返'!A:A,1,FALSE)</f>
        <v>#N/A</v>
      </c>
      <c r="J3636" s="47" t="s">
        <v>67</v>
      </c>
      <c r="K3636" s="203" t="s">
        <v>4713</v>
      </c>
      <c r="L3636" s="206"/>
      <c r="M3636" s="49"/>
      <c r="N3636" s="73">
        <v>44378</v>
      </c>
      <c r="O3636" s="73" t="s">
        <v>71</v>
      </c>
      <c r="P3636" s="383">
        <v>605</v>
      </c>
      <c r="Q3636" s="385">
        <v>76.2</v>
      </c>
      <c r="R3636" s="386">
        <f t="shared" si="116"/>
        <v>46101</v>
      </c>
      <c r="S3636" s="279">
        <v>202304</v>
      </c>
      <c r="T3636" s="184" t="s">
        <v>4718</v>
      </c>
      <c r="U3636" s="213"/>
      <c r="V3636" s="387"/>
      <c r="W3636" s="214"/>
      <c r="X3636" s="388">
        <v>44378</v>
      </c>
      <c r="Y3636" s="388">
        <v>46721</v>
      </c>
    </row>
    <row r="3637" s="5" customFormat="1" customHeight="1" spans="1:25">
      <c r="A3637" s="203" t="s">
        <v>446</v>
      </c>
      <c r="B3637" s="204" t="s">
        <v>4284</v>
      </c>
      <c r="C3637" s="204" t="s">
        <v>63</v>
      </c>
      <c r="D3637" s="204" t="s">
        <v>3038</v>
      </c>
      <c r="E3637" s="205" t="s">
        <v>4285</v>
      </c>
      <c r="F3637" s="203" t="s">
        <v>4286</v>
      </c>
      <c r="G3637" s="203" t="s">
        <v>67</v>
      </c>
      <c r="H3637" s="25" t="s">
        <v>4712</v>
      </c>
      <c r="I3637" s="46" t="e">
        <f>VLOOKUP(H3637,'合同高级查询数据-4月返'!A:A,1,FALSE)</f>
        <v>#N/A</v>
      </c>
      <c r="J3637" s="47" t="s">
        <v>67</v>
      </c>
      <c r="K3637" s="203" t="s">
        <v>4713</v>
      </c>
      <c r="L3637" s="206"/>
      <c r="M3637" s="49"/>
      <c r="N3637" s="73">
        <v>44378</v>
      </c>
      <c r="O3637" s="73" t="s">
        <v>71</v>
      </c>
      <c r="P3637" s="383">
        <v>605</v>
      </c>
      <c r="Q3637" s="385">
        <v>72.9</v>
      </c>
      <c r="R3637" s="386">
        <f t="shared" si="116"/>
        <v>44104.5</v>
      </c>
      <c r="S3637" s="279">
        <v>202304</v>
      </c>
      <c r="T3637" s="184" t="s">
        <v>4719</v>
      </c>
      <c r="U3637" s="213"/>
      <c r="V3637" s="387"/>
      <c r="W3637" s="214"/>
      <c r="X3637" s="388">
        <v>44378</v>
      </c>
      <c r="Y3637" s="388">
        <v>46721</v>
      </c>
    </row>
    <row r="3638" s="3" customFormat="1" customHeight="1" spans="1:25">
      <c r="A3638" s="154" t="s">
        <v>446</v>
      </c>
      <c r="B3638" s="292" t="s">
        <v>4284</v>
      </c>
      <c r="C3638" s="292" t="s">
        <v>63</v>
      </c>
      <c r="D3638" s="292" t="s">
        <v>3038</v>
      </c>
      <c r="E3638" s="153" t="s">
        <v>4285</v>
      </c>
      <c r="F3638" s="154" t="s">
        <v>4286</v>
      </c>
      <c r="G3638" s="154" t="s">
        <v>31</v>
      </c>
      <c r="H3638" s="110" t="s">
        <v>4720</v>
      </c>
      <c r="I3638" s="30" t="e">
        <f>VLOOKUP(H3638,'合同高级查询数据-4月返'!A:A,1,FALSE)</f>
        <v>#N/A</v>
      </c>
      <c r="J3638" s="31" t="s">
        <v>4721</v>
      </c>
      <c r="K3638" s="154"/>
      <c r="L3638" s="293"/>
      <c r="M3638" s="113"/>
      <c r="N3638" s="146">
        <v>43871</v>
      </c>
      <c r="O3638" s="146"/>
      <c r="P3638" s="384">
        <v>5000</v>
      </c>
      <c r="Q3638" s="389">
        <v>1</v>
      </c>
      <c r="R3638" s="390">
        <f t="shared" si="116"/>
        <v>5000</v>
      </c>
      <c r="S3638" s="277">
        <v>202304</v>
      </c>
      <c r="T3638" s="198" t="s">
        <v>4722</v>
      </c>
      <c r="U3638" s="391"/>
      <c r="V3638" s="392"/>
      <c r="W3638" s="393"/>
      <c r="X3638" s="394"/>
      <c r="Y3638" s="394"/>
    </row>
    <row r="3639" s="5" customFormat="1" customHeight="1" spans="1:25">
      <c r="A3639" s="203" t="s">
        <v>446</v>
      </c>
      <c r="B3639" s="204" t="s">
        <v>4284</v>
      </c>
      <c r="C3639" s="204" t="s">
        <v>63</v>
      </c>
      <c r="D3639" s="204" t="s">
        <v>3038</v>
      </c>
      <c r="E3639" s="205" t="s">
        <v>4285</v>
      </c>
      <c r="F3639" s="203" t="s">
        <v>4286</v>
      </c>
      <c r="G3639" s="203" t="s">
        <v>88</v>
      </c>
      <c r="H3639" s="25" t="s">
        <v>4318</v>
      </c>
      <c r="I3639" s="46" t="e">
        <f>VLOOKUP(H3639,'合同高级查询数据-4月返'!A:A,1,FALSE)</f>
        <v>#N/A</v>
      </c>
      <c r="J3639" s="47" t="s">
        <v>162</v>
      </c>
      <c r="K3639" s="203" t="s">
        <v>4723</v>
      </c>
      <c r="L3639" s="206" t="s">
        <v>4724</v>
      </c>
      <c r="M3639" s="49" t="s">
        <v>4725</v>
      </c>
      <c r="N3639" s="73">
        <v>43487</v>
      </c>
      <c r="O3639" s="73" t="s">
        <v>163</v>
      </c>
      <c r="P3639" s="383">
        <v>6030</v>
      </c>
      <c r="Q3639" s="385">
        <v>6</v>
      </c>
      <c r="R3639" s="207">
        <f t="shared" si="116"/>
        <v>36180</v>
      </c>
      <c r="S3639" s="279">
        <v>202304</v>
      </c>
      <c r="T3639" s="184" t="s">
        <v>4726</v>
      </c>
      <c r="U3639" s="213"/>
      <c r="V3639" s="387"/>
      <c r="W3639" s="214"/>
      <c r="X3639" s="388">
        <v>44593</v>
      </c>
      <c r="Y3639" s="402">
        <v>44834</v>
      </c>
    </row>
    <row r="3640" s="5" customFormat="1" customHeight="1" spans="1:25">
      <c r="A3640" s="203" t="s">
        <v>446</v>
      </c>
      <c r="B3640" s="204" t="s">
        <v>4284</v>
      </c>
      <c r="C3640" s="204" t="s">
        <v>63</v>
      </c>
      <c r="D3640" s="204" t="s">
        <v>3038</v>
      </c>
      <c r="E3640" s="205" t="s">
        <v>4285</v>
      </c>
      <c r="F3640" s="203" t="s">
        <v>4286</v>
      </c>
      <c r="G3640" s="203" t="s">
        <v>88</v>
      </c>
      <c r="H3640" s="25" t="s">
        <v>4318</v>
      </c>
      <c r="I3640" s="46" t="e">
        <f>VLOOKUP(H3640,'合同高级查询数据-4月返'!A:A,1,FALSE)</f>
        <v>#N/A</v>
      </c>
      <c r="J3640" s="47" t="s">
        <v>162</v>
      </c>
      <c r="K3640" s="203" t="s">
        <v>4723</v>
      </c>
      <c r="L3640" s="206" t="s">
        <v>4724</v>
      </c>
      <c r="M3640" s="49" t="s">
        <v>4725</v>
      </c>
      <c r="N3640" s="73">
        <v>44712</v>
      </c>
      <c r="O3640" s="73" t="s">
        <v>163</v>
      </c>
      <c r="P3640" s="383">
        <v>6030</v>
      </c>
      <c r="Q3640" s="385">
        <v>-6</v>
      </c>
      <c r="R3640" s="207">
        <f t="shared" si="116"/>
        <v>-36180</v>
      </c>
      <c r="S3640" s="279">
        <v>202304</v>
      </c>
      <c r="T3640" s="184" t="s">
        <v>4727</v>
      </c>
      <c r="U3640" s="213"/>
      <c r="V3640" s="387"/>
      <c r="W3640" s="214"/>
      <c r="X3640" s="388">
        <v>44593</v>
      </c>
      <c r="Y3640" s="402">
        <v>44834</v>
      </c>
    </row>
    <row r="3641" s="5" customFormat="1" customHeight="1" spans="1:25">
      <c r="A3641" s="24" t="s">
        <v>446</v>
      </c>
      <c r="B3641" s="204" t="s">
        <v>4284</v>
      </c>
      <c r="C3641" s="22" t="s">
        <v>63</v>
      </c>
      <c r="D3641" s="204" t="s">
        <v>3038</v>
      </c>
      <c r="E3641" s="23" t="s">
        <v>4285</v>
      </c>
      <c r="F3641" s="24" t="s">
        <v>4286</v>
      </c>
      <c r="G3641" s="24" t="s">
        <v>31</v>
      </c>
      <c r="H3641" s="25" t="s">
        <v>4318</v>
      </c>
      <c r="I3641" s="46" t="e">
        <f>VLOOKUP(H3641,'合同高级查询数据-4月返'!A:A,1,FALSE)</f>
        <v>#N/A</v>
      </c>
      <c r="J3641" s="47" t="s">
        <v>33</v>
      </c>
      <c r="K3641" s="203" t="s">
        <v>4723</v>
      </c>
      <c r="L3641" s="206" t="s">
        <v>4724</v>
      </c>
      <c r="M3641" s="49" t="s">
        <v>4725</v>
      </c>
      <c r="N3641" s="73" t="s">
        <v>1329</v>
      </c>
      <c r="O3641" s="73" t="s">
        <v>37</v>
      </c>
      <c r="P3641" s="383">
        <v>0</v>
      </c>
      <c r="Q3641" s="385">
        <v>288</v>
      </c>
      <c r="R3641" s="207">
        <f t="shared" si="116"/>
        <v>0</v>
      </c>
      <c r="S3641" s="279">
        <v>202304</v>
      </c>
      <c r="T3641" s="184" t="s">
        <v>4728</v>
      </c>
      <c r="U3641" s="213"/>
      <c r="V3641" s="387"/>
      <c r="W3641" s="214"/>
      <c r="X3641" s="388">
        <v>44593</v>
      </c>
      <c r="Y3641" s="402">
        <v>44834</v>
      </c>
    </row>
    <row r="3642" s="5" customFormat="1" customHeight="1" spans="1:25">
      <c r="A3642" s="24" t="s">
        <v>446</v>
      </c>
      <c r="B3642" s="204" t="s">
        <v>4284</v>
      </c>
      <c r="C3642" s="22" t="s">
        <v>63</v>
      </c>
      <c r="D3642" s="204" t="s">
        <v>3038</v>
      </c>
      <c r="E3642" s="23" t="s">
        <v>4285</v>
      </c>
      <c r="F3642" s="24" t="s">
        <v>4286</v>
      </c>
      <c r="G3642" s="24" t="s">
        <v>31</v>
      </c>
      <c r="H3642" s="25" t="s">
        <v>4318</v>
      </c>
      <c r="I3642" s="46" t="e">
        <f>VLOOKUP(H3642,'合同高级查询数据-4月返'!A:A,1,FALSE)</f>
        <v>#N/A</v>
      </c>
      <c r="J3642" s="47" t="s">
        <v>33</v>
      </c>
      <c r="K3642" s="203" t="s">
        <v>4723</v>
      </c>
      <c r="L3642" s="206" t="s">
        <v>4724</v>
      </c>
      <c r="M3642" s="49" t="s">
        <v>4725</v>
      </c>
      <c r="N3642" s="73">
        <v>44712</v>
      </c>
      <c r="O3642" s="73" t="s">
        <v>37</v>
      </c>
      <c r="P3642" s="383">
        <v>0</v>
      </c>
      <c r="Q3642" s="385">
        <v>-288</v>
      </c>
      <c r="R3642" s="207">
        <f t="shared" si="116"/>
        <v>0</v>
      </c>
      <c r="S3642" s="279">
        <v>202304</v>
      </c>
      <c r="T3642" s="184" t="s">
        <v>4729</v>
      </c>
      <c r="U3642" s="213"/>
      <c r="V3642" s="387"/>
      <c r="W3642" s="214"/>
      <c r="X3642" s="388">
        <v>44593</v>
      </c>
      <c r="Y3642" s="402">
        <v>44834</v>
      </c>
    </row>
    <row r="3643" s="5" customFormat="1" customHeight="1" spans="1:25">
      <c r="A3643" s="24" t="s">
        <v>446</v>
      </c>
      <c r="B3643" s="204" t="s">
        <v>4284</v>
      </c>
      <c r="C3643" s="22" t="s">
        <v>63</v>
      </c>
      <c r="D3643" s="204" t="s">
        <v>3038</v>
      </c>
      <c r="E3643" s="23" t="s">
        <v>4285</v>
      </c>
      <c r="F3643" s="24" t="s">
        <v>4286</v>
      </c>
      <c r="G3643" s="24" t="s">
        <v>31</v>
      </c>
      <c r="H3643" s="25" t="s">
        <v>4318</v>
      </c>
      <c r="I3643" s="46" t="e">
        <f>VLOOKUP(H3643,'合同高级查询数据-4月返'!A:A,1,FALSE)</f>
        <v>#N/A</v>
      </c>
      <c r="J3643" s="47" t="s">
        <v>33</v>
      </c>
      <c r="K3643" s="203" t="s">
        <v>4723</v>
      </c>
      <c r="L3643" s="206" t="s">
        <v>4286</v>
      </c>
      <c r="M3643" s="49"/>
      <c r="N3643" s="73" t="s">
        <v>1329</v>
      </c>
      <c r="O3643" s="73" t="s">
        <v>37</v>
      </c>
      <c r="P3643" s="383">
        <v>0</v>
      </c>
      <c r="Q3643" s="385">
        <v>640</v>
      </c>
      <c r="R3643" s="207">
        <f t="shared" si="116"/>
        <v>0</v>
      </c>
      <c r="S3643" s="279">
        <v>202304</v>
      </c>
      <c r="T3643" s="184" t="s">
        <v>4730</v>
      </c>
      <c r="U3643" s="213"/>
      <c r="V3643" s="387"/>
      <c r="W3643" s="214"/>
      <c r="X3643" s="388">
        <v>44593</v>
      </c>
      <c r="Y3643" s="402">
        <v>44834</v>
      </c>
    </row>
    <row r="3644" s="5" customFormat="1" customHeight="1" spans="1:25">
      <c r="A3644" s="24" t="s">
        <v>446</v>
      </c>
      <c r="B3644" s="204" t="s">
        <v>4284</v>
      </c>
      <c r="C3644" s="22" t="s">
        <v>63</v>
      </c>
      <c r="D3644" s="204" t="s">
        <v>3038</v>
      </c>
      <c r="E3644" s="23" t="s">
        <v>4285</v>
      </c>
      <c r="F3644" s="24" t="s">
        <v>4286</v>
      </c>
      <c r="G3644" s="24" t="s">
        <v>31</v>
      </c>
      <c r="H3644" s="25" t="s">
        <v>4318</v>
      </c>
      <c r="I3644" s="46" t="e">
        <f>VLOOKUP(H3644,'合同高级查询数据-4月返'!A:A,1,FALSE)</f>
        <v>#N/A</v>
      </c>
      <c r="J3644" s="47" t="s">
        <v>33</v>
      </c>
      <c r="K3644" s="203" t="s">
        <v>4723</v>
      </c>
      <c r="L3644" s="206" t="s">
        <v>4286</v>
      </c>
      <c r="M3644" s="49"/>
      <c r="N3644" s="73">
        <v>44712</v>
      </c>
      <c r="O3644" s="73" t="s">
        <v>37</v>
      </c>
      <c r="P3644" s="383">
        <v>0</v>
      </c>
      <c r="Q3644" s="385">
        <v>-640</v>
      </c>
      <c r="R3644" s="207">
        <f t="shared" si="116"/>
        <v>0</v>
      </c>
      <c r="S3644" s="279">
        <v>202304</v>
      </c>
      <c r="T3644" s="184" t="s">
        <v>4731</v>
      </c>
      <c r="U3644" s="213"/>
      <c r="V3644" s="387"/>
      <c r="W3644" s="214"/>
      <c r="X3644" s="388">
        <v>44593</v>
      </c>
      <c r="Y3644" s="402">
        <v>44834</v>
      </c>
    </row>
    <row r="3645" s="3" customFormat="1" customHeight="1" spans="1:25">
      <c r="A3645" s="154" t="s">
        <v>446</v>
      </c>
      <c r="B3645" s="292" t="s">
        <v>4284</v>
      </c>
      <c r="C3645" s="292" t="s">
        <v>63</v>
      </c>
      <c r="D3645" s="292" t="s">
        <v>3038</v>
      </c>
      <c r="E3645" s="153" t="s">
        <v>4285</v>
      </c>
      <c r="F3645" s="154" t="s">
        <v>4286</v>
      </c>
      <c r="G3645" s="154" t="s">
        <v>78</v>
      </c>
      <c r="H3645" s="110" t="s">
        <v>4732</v>
      </c>
      <c r="I3645" s="30" t="e">
        <f>VLOOKUP(H3645,'合同高级查询数据-4月返'!A:A,1,FALSE)</f>
        <v>#N/A</v>
      </c>
      <c r="J3645" s="31" t="s">
        <v>3046</v>
      </c>
      <c r="K3645" s="154"/>
      <c r="L3645" s="293"/>
      <c r="M3645" s="113"/>
      <c r="N3645" s="146"/>
      <c r="O3645" s="146"/>
      <c r="P3645" s="384">
        <v>2500</v>
      </c>
      <c r="Q3645" s="389">
        <v>4</v>
      </c>
      <c r="R3645" s="157">
        <f t="shared" si="116"/>
        <v>10000</v>
      </c>
      <c r="S3645" s="277">
        <v>202304</v>
      </c>
      <c r="T3645" s="198" t="s">
        <v>4733</v>
      </c>
      <c r="U3645" s="391"/>
      <c r="V3645" s="392"/>
      <c r="W3645" s="393"/>
      <c r="X3645" s="394"/>
      <c r="Y3645" s="403"/>
    </row>
    <row r="3646" s="3" customFormat="1" customHeight="1" spans="1:25">
      <c r="A3646" s="154" t="s">
        <v>446</v>
      </c>
      <c r="B3646" s="292" t="s">
        <v>4284</v>
      </c>
      <c r="C3646" s="292" t="s">
        <v>63</v>
      </c>
      <c r="D3646" s="292" t="s">
        <v>3038</v>
      </c>
      <c r="E3646" s="153" t="s">
        <v>4285</v>
      </c>
      <c r="F3646" s="154" t="s">
        <v>4286</v>
      </c>
      <c r="G3646" s="154" t="s">
        <v>78</v>
      </c>
      <c r="H3646" s="110" t="s">
        <v>4732</v>
      </c>
      <c r="I3646" s="30" t="e">
        <f>VLOOKUP(H3646,'合同高级查询数据-4月返'!A:A,1,FALSE)</f>
        <v>#N/A</v>
      </c>
      <c r="J3646" s="31" t="s">
        <v>3046</v>
      </c>
      <c r="K3646" s="154"/>
      <c r="L3646" s="293"/>
      <c r="M3646" s="113"/>
      <c r="N3646" s="146"/>
      <c r="O3646" s="146"/>
      <c r="P3646" s="384">
        <v>2500</v>
      </c>
      <c r="Q3646" s="389">
        <v>-2</v>
      </c>
      <c r="R3646" s="157">
        <f t="shared" si="116"/>
        <v>-5000</v>
      </c>
      <c r="S3646" s="277">
        <v>202304</v>
      </c>
      <c r="T3646" s="198" t="s">
        <v>4734</v>
      </c>
      <c r="U3646" s="391"/>
      <c r="V3646" s="392"/>
      <c r="W3646" s="393"/>
      <c r="X3646" s="394"/>
      <c r="Y3646" s="403"/>
    </row>
    <row r="3647" s="3" customFormat="1" customHeight="1" spans="1:25">
      <c r="A3647" s="154" t="s">
        <v>446</v>
      </c>
      <c r="B3647" s="292" t="s">
        <v>4284</v>
      </c>
      <c r="C3647" s="292" t="s">
        <v>63</v>
      </c>
      <c r="D3647" s="292" t="s">
        <v>3038</v>
      </c>
      <c r="E3647" s="153" t="s">
        <v>4285</v>
      </c>
      <c r="F3647" s="154" t="s">
        <v>4286</v>
      </c>
      <c r="G3647" s="154" t="s">
        <v>78</v>
      </c>
      <c r="H3647" s="110" t="s">
        <v>4735</v>
      </c>
      <c r="I3647" s="30" t="e">
        <f>VLOOKUP(H3647,'合同高级查询数据-4月返'!A:A,1,FALSE)</f>
        <v>#N/A</v>
      </c>
      <c r="J3647" s="31" t="s">
        <v>4736</v>
      </c>
      <c r="K3647" s="154" t="s">
        <v>4737</v>
      </c>
      <c r="L3647" s="293" t="s">
        <v>4738</v>
      </c>
      <c r="M3647" s="113"/>
      <c r="N3647" s="146" t="s">
        <v>4739</v>
      </c>
      <c r="O3647" s="146"/>
      <c r="P3647" s="384">
        <v>2500</v>
      </c>
      <c r="Q3647" s="389">
        <v>5</v>
      </c>
      <c r="R3647" s="157">
        <f t="shared" si="116"/>
        <v>12500</v>
      </c>
      <c r="S3647" s="277">
        <v>202304</v>
      </c>
      <c r="T3647" s="198" t="s">
        <v>4740</v>
      </c>
      <c r="U3647" s="391"/>
      <c r="V3647" s="392"/>
      <c r="W3647" s="393"/>
      <c r="X3647" s="394"/>
      <c r="Y3647" s="403"/>
    </row>
    <row r="3648" s="5" customFormat="1" customHeight="1" spans="1:25">
      <c r="A3648" s="203" t="s">
        <v>446</v>
      </c>
      <c r="B3648" s="204" t="s">
        <v>4284</v>
      </c>
      <c r="C3648" s="204" t="s">
        <v>63</v>
      </c>
      <c r="D3648" s="204" t="s">
        <v>3038</v>
      </c>
      <c r="E3648" s="205" t="s">
        <v>4285</v>
      </c>
      <c r="F3648" s="203" t="s">
        <v>4286</v>
      </c>
      <c r="G3648" s="160" t="s">
        <v>346</v>
      </c>
      <c r="H3648" s="25" t="s">
        <v>4691</v>
      </c>
      <c r="I3648" s="46" t="e">
        <f>VLOOKUP(H3648,'合同高级查询数据-4月返'!A:A,1,FALSE)</f>
        <v>#N/A</v>
      </c>
      <c r="J3648" s="160" t="s">
        <v>346</v>
      </c>
      <c r="K3648" s="165"/>
      <c r="L3648" s="165"/>
      <c r="M3648" s="165"/>
      <c r="N3648" s="267">
        <v>43958</v>
      </c>
      <c r="O3648" s="73" t="s">
        <v>353</v>
      </c>
      <c r="P3648" s="383">
        <v>400</v>
      </c>
      <c r="Q3648" s="395">
        <v>1</v>
      </c>
      <c r="R3648" s="207">
        <f t="shared" si="116"/>
        <v>400</v>
      </c>
      <c r="S3648" s="279">
        <v>202304</v>
      </c>
      <c r="T3648" s="184" t="s">
        <v>4741</v>
      </c>
      <c r="U3648" s="213"/>
      <c r="V3648" s="387"/>
      <c r="W3648" s="214"/>
      <c r="X3648" s="388">
        <v>44501</v>
      </c>
      <c r="Y3648" s="388">
        <v>45230</v>
      </c>
    </row>
    <row r="3649" s="5" customFormat="1" customHeight="1" spans="1:25">
      <c r="A3649" s="203" t="s">
        <v>446</v>
      </c>
      <c r="B3649" s="204" t="s">
        <v>4284</v>
      </c>
      <c r="C3649" s="204" t="s">
        <v>63</v>
      </c>
      <c r="D3649" s="204" t="s">
        <v>3038</v>
      </c>
      <c r="E3649" s="205" t="s">
        <v>4285</v>
      </c>
      <c r="F3649" s="203" t="s">
        <v>4286</v>
      </c>
      <c r="G3649" s="160" t="s">
        <v>346</v>
      </c>
      <c r="H3649" s="25" t="s">
        <v>4691</v>
      </c>
      <c r="I3649" s="46" t="e">
        <f>VLOOKUP(H3649,'合同高级查询数据-4月返'!A:A,1,FALSE)</f>
        <v>#N/A</v>
      </c>
      <c r="J3649" s="160" t="s">
        <v>346</v>
      </c>
      <c r="K3649" s="165"/>
      <c r="L3649" s="165"/>
      <c r="M3649" s="165"/>
      <c r="N3649" s="267">
        <v>44628</v>
      </c>
      <c r="O3649" s="73" t="s">
        <v>353</v>
      </c>
      <c r="P3649" s="383">
        <v>400</v>
      </c>
      <c r="Q3649" s="395">
        <v>-1</v>
      </c>
      <c r="R3649" s="207">
        <f t="shared" si="116"/>
        <v>-400</v>
      </c>
      <c r="S3649" s="279">
        <v>202304</v>
      </c>
      <c r="T3649" s="184" t="s">
        <v>4742</v>
      </c>
      <c r="U3649" s="213"/>
      <c r="V3649" s="387"/>
      <c r="W3649" s="214"/>
      <c r="X3649" s="388">
        <v>44501</v>
      </c>
      <c r="Y3649" s="388">
        <v>45230</v>
      </c>
    </row>
    <row r="3650" s="5" customFormat="1" customHeight="1" spans="1:25">
      <c r="A3650" s="203" t="s">
        <v>446</v>
      </c>
      <c r="B3650" s="204" t="s">
        <v>4284</v>
      </c>
      <c r="C3650" s="204" t="s">
        <v>63</v>
      </c>
      <c r="D3650" s="204" t="s">
        <v>3038</v>
      </c>
      <c r="E3650" s="205" t="s">
        <v>4285</v>
      </c>
      <c r="F3650" s="203" t="s">
        <v>4286</v>
      </c>
      <c r="G3650" s="160" t="s">
        <v>346</v>
      </c>
      <c r="H3650" s="25" t="s">
        <v>4691</v>
      </c>
      <c r="I3650" s="46" t="e">
        <f>VLOOKUP(H3650,'合同高级查询数据-4月返'!A:A,1,FALSE)</f>
        <v>#N/A</v>
      </c>
      <c r="J3650" s="160" t="s">
        <v>346</v>
      </c>
      <c r="K3650" s="165"/>
      <c r="L3650" s="165"/>
      <c r="M3650" s="165"/>
      <c r="N3650" s="267">
        <v>43958</v>
      </c>
      <c r="O3650" s="73" t="s">
        <v>356</v>
      </c>
      <c r="P3650" s="383">
        <v>1340</v>
      </c>
      <c r="Q3650" s="395">
        <v>1</v>
      </c>
      <c r="R3650" s="207">
        <f t="shared" ref="R3650:R3671" si="117">ROUND(P3650*Q3650,2)</f>
        <v>1340</v>
      </c>
      <c r="S3650" s="279">
        <v>202304</v>
      </c>
      <c r="T3650" s="184" t="s">
        <v>4743</v>
      </c>
      <c r="U3650" s="213"/>
      <c r="V3650" s="387"/>
      <c r="W3650" s="214"/>
      <c r="X3650" s="388">
        <v>44501</v>
      </c>
      <c r="Y3650" s="388">
        <v>45230</v>
      </c>
    </row>
    <row r="3651" s="5" customFormat="1" customHeight="1" spans="1:25">
      <c r="A3651" s="203" t="s">
        <v>446</v>
      </c>
      <c r="B3651" s="204" t="s">
        <v>4284</v>
      </c>
      <c r="C3651" s="204" t="s">
        <v>63</v>
      </c>
      <c r="D3651" s="204" t="s">
        <v>3038</v>
      </c>
      <c r="E3651" s="205" t="s">
        <v>4285</v>
      </c>
      <c r="F3651" s="203" t="s">
        <v>4286</v>
      </c>
      <c r="G3651" s="160" t="s">
        <v>346</v>
      </c>
      <c r="H3651" s="25" t="s">
        <v>4691</v>
      </c>
      <c r="I3651" s="46" t="e">
        <f>VLOOKUP(H3651,'合同高级查询数据-4月返'!A:A,1,FALSE)</f>
        <v>#N/A</v>
      </c>
      <c r="J3651" s="160" t="s">
        <v>346</v>
      </c>
      <c r="K3651" s="165"/>
      <c r="L3651" s="165"/>
      <c r="M3651" s="165"/>
      <c r="N3651" s="267">
        <v>43958</v>
      </c>
      <c r="O3651" s="73" t="s">
        <v>353</v>
      </c>
      <c r="P3651" s="383">
        <v>400</v>
      </c>
      <c r="Q3651" s="395">
        <v>1</v>
      </c>
      <c r="R3651" s="207">
        <f t="shared" si="117"/>
        <v>400</v>
      </c>
      <c r="S3651" s="279">
        <v>202304</v>
      </c>
      <c r="T3651" s="184" t="s">
        <v>4744</v>
      </c>
      <c r="U3651" s="213"/>
      <c r="V3651" s="387"/>
      <c r="W3651" s="214"/>
      <c r="X3651" s="388">
        <v>44501</v>
      </c>
      <c r="Y3651" s="388">
        <v>45230</v>
      </c>
    </row>
    <row r="3652" s="5" customFormat="1" customHeight="1" spans="1:25">
      <c r="A3652" s="203" t="s">
        <v>446</v>
      </c>
      <c r="B3652" s="204" t="s">
        <v>4284</v>
      </c>
      <c r="C3652" s="204" t="s">
        <v>63</v>
      </c>
      <c r="D3652" s="204" t="s">
        <v>3038</v>
      </c>
      <c r="E3652" s="205" t="s">
        <v>4285</v>
      </c>
      <c r="F3652" s="203" t="s">
        <v>4286</v>
      </c>
      <c r="G3652" s="160" t="s">
        <v>346</v>
      </c>
      <c r="H3652" s="25" t="s">
        <v>4691</v>
      </c>
      <c r="I3652" s="46" t="e">
        <f>VLOOKUP(H3652,'合同高级查询数据-4月返'!A:A,1,FALSE)</f>
        <v>#N/A</v>
      </c>
      <c r="J3652" s="160" t="s">
        <v>346</v>
      </c>
      <c r="K3652" s="165"/>
      <c r="L3652" s="165"/>
      <c r="M3652" s="165"/>
      <c r="N3652" s="267">
        <v>43958</v>
      </c>
      <c r="O3652" s="73" t="s">
        <v>353</v>
      </c>
      <c r="P3652" s="408">
        <v>400</v>
      </c>
      <c r="Q3652" s="395">
        <v>1</v>
      </c>
      <c r="R3652" s="207">
        <f t="shared" si="117"/>
        <v>400</v>
      </c>
      <c r="S3652" s="279">
        <v>202304</v>
      </c>
      <c r="T3652" s="184" t="s">
        <v>4745</v>
      </c>
      <c r="U3652" s="213"/>
      <c r="V3652" s="387"/>
      <c r="W3652" s="214"/>
      <c r="X3652" s="388">
        <v>44501</v>
      </c>
      <c r="Y3652" s="388">
        <v>45230</v>
      </c>
    </row>
    <row r="3653" s="5" customFormat="1" customHeight="1" spans="1:25">
      <c r="A3653" s="203" t="s">
        <v>446</v>
      </c>
      <c r="B3653" s="204" t="s">
        <v>4284</v>
      </c>
      <c r="C3653" s="204" t="s">
        <v>63</v>
      </c>
      <c r="D3653" s="204" t="s">
        <v>3038</v>
      </c>
      <c r="E3653" s="205" t="s">
        <v>4285</v>
      </c>
      <c r="F3653" s="203" t="s">
        <v>4286</v>
      </c>
      <c r="G3653" s="160" t="s">
        <v>346</v>
      </c>
      <c r="H3653" s="25" t="s">
        <v>4691</v>
      </c>
      <c r="I3653" s="46" t="e">
        <f>VLOOKUP(H3653,'合同高级查询数据-4月返'!A:A,1,FALSE)</f>
        <v>#N/A</v>
      </c>
      <c r="J3653" s="160" t="s">
        <v>346</v>
      </c>
      <c r="K3653" s="165"/>
      <c r="L3653" s="165"/>
      <c r="M3653" s="165"/>
      <c r="N3653" s="267">
        <v>44628</v>
      </c>
      <c r="O3653" s="73" t="s">
        <v>353</v>
      </c>
      <c r="P3653" s="408">
        <v>400</v>
      </c>
      <c r="Q3653" s="395">
        <v>-1</v>
      </c>
      <c r="R3653" s="207">
        <f t="shared" si="117"/>
        <v>-400</v>
      </c>
      <c r="S3653" s="279">
        <v>202304</v>
      </c>
      <c r="T3653" s="184" t="s">
        <v>4746</v>
      </c>
      <c r="U3653" s="213"/>
      <c r="V3653" s="387"/>
      <c r="W3653" s="214"/>
      <c r="X3653" s="388">
        <v>44501</v>
      </c>
      <c r="Y3653" s="388">
        <v>45230</v>
      </c>
    </row>
    <row r="3654" s="5" customFormat="1" customHeight="1" spans="1:25">
      <c r="A3654" s="203" t="s">
        <v>446</v>
      </c>
      <c r="B3654" s="204" t="s">
        <v>4284</v>
      </c>
      <c r="C3654" s="204" t="s">
        <v>63</v>
      </c>
      <c r="D3654" s="204" t="s">
        <v>3038</v>
      </c>
      <c r="E3654" s="205" t="s">
        <v>4285</v>
      </c>
      <c r="F3654" s="203" t="s">
        <v>4286</v>
      </c>
      <c r="G3654" s="160" t="s">
        <v>346</v>
      </c>
      <c r="H3654" s="25" t="s">
        <v>4691</v>
      </c>
      <c r="I3654" s="46" t="e">
        <f>VLOOKUP(H3654,'合同高级查询数据-4月返'!A:A,1,FALSE)</f>
        <v>#N/A</v>
      </c>
      <c r="J3654" s="160" t="s">
        <v>346</v>
      </c>
      <c r="K3654" s="165"/>
      <c r="L3654" s="165"/>
      <c r="M3654" s="165"/>
      <c r="N3654" s="267" t="s">
        <v>4747</v>
      </c>
      <c r="O3654" s="73" t="s">
        <v>4748</v>
      </c>
      <c r="P3654" s="408">
        <v>2120</v>
      </c>
      <c r="Q3654" s="395">
        <v>1</v>
      </c>
      <c r="R3654" s="207">
        <f t="shared" si="117"/>
        <v>2120</v>
      </c>
      <c r="S3654" s="279">
        <v>202304</v>
      </c>
      <c r="T3654" s="184" t="s">
        <v>4749</v>
      </c>
      <c r="U3654" s="213"/>
      <c r="V3654" s="387"/>
      <c r="W3654" s="214"/>
      <c r="X3654" s="388">
        <v>44501</v>
      </c>
      <c r="Y3654" s="388">
        <v>45230</v>
      </c>
    </row>
    <row r="3655" s="5" customFormat="1" customHeight="1" spans="1:25">
      <c r="A3655" s="203" t="s">
        <v>446</v>
      </c>
      <c r="B3655" s="204" t="s">
        <v>4284</v>
      </c>
      <c r="C3655" s="204" t="s">
        <v>63</v>
      </c>
      <c r="D3655" s="204" t="s">
        <v>3038</v>
      </c>
      <c r="E3655" s="205" t="s">
        <v>4285</v>
      </c>
      <c r="F3655" s="203" t="s">
        <v>4286</v>
      </c>
      <c r="G3655" s="160" t="s">
        <v>346</v>
      </c>
      <c r="H3655" s="25" t="s">
        <v>4691</v>
      </c>
      <c r="I3655" s="46" t="e">
        <f>VLOOKUP(H3655,'合同高级查询数据-4月返'!A:A,1,FALSE)</f>
        <v>#N/A</v>
      </c>
      <c r="J3655" s="160" t="s">
        <v>346</v>
      </c>
      <c r="K3655" s="165"/>
      <c r="L3655" s="165"/>
      <c r="M3655" s="165"/>
      <c r="N3655" s="267">
        <v>43958</v>
      </c>
      <c r="O3655" s="73" t="s">
        <v>353</v>
      </c>
      <c r="P3655" s="383">
        <v>2000</v>
      </c>
      <c r="Q3655" s="395">
        <v>1</v>
      </c>
      <c r="R3655" s="207">
        <f t="shared" si="117"/>
        <v>2000</v>
      </c>
      <c r="S3655" s="279">
        <v>202304</v>
      </c>
      <c r="T3655" s="184" t="s">
        <v>4750</v>
      </c>
      <c r="U3655" s="213"/>
      <c r="V3655" s="387"/>
      <c r="W3655" s="214"/>
      <c r="X3655" s="388">
        <v>44501</v>
      </c>
      <c r="Y3655" s="388">
        <v>45230</v>
      </c>
    </row>
    <row r="3656" s="5" customFormat="1" customHeight="1" spans="1:25">
      <c r="A3656" s="203" t="s">
        <v>446</v>
      </c>
      <c r="B3656" s="204" t="s">
        <v>4284</v>
      </c>
      <c r="C3656" s="204" t="s">
        <v>63</v>
      </c>
      <c r="D3656" s="204" t="s">
        <v>3038</v>
      </c>
      <c r="E3656" s="205" t="s">
        <v>4285</v>
      </c>
      <c r="F3656" s="203" t="s">
        <v>4286</v>
      </c>
      <c r="G3656" s="160" t="s">
        <v>346</v>
      </c>
      <c r="H3656" s="25" t="s">
        <v>4691</v>
      </c>
      <c r="I3656" s="46" t="e">
        <f>VLOOKUP(H3656,'合同高级查询数据-4月返'!A:A,1,FALSE)</f>
        <v>#N/A</v>
      </c>
      <c r="J3656" s="160" t="s">
        <v>346</v>
      </c>
      <c r="K3656" s="165"/>
      <c r="L3656" s="165"/>
      <c r="M3656" s="165"/>
      <c r="N3656" s="267" t="s">
        <v>4751</v>
      </c>
      <c r="O3656" s="73" t="s">
        <v>4752</v>
      </c>
      <c r="P3656" s="408">
        <v>2000</v>
      </c>
      <c r="Q3656" s="395">
        <v>1</v>
      </c>
      <c r="R3656" s="207">
        <f t="shared" si="117"/>
        <v>2000</v>
      </c>
      <c r="S3656" s="279">
        <v>202304</v>
      </c>
      <c r="T3656" s="184" t="s">
        <v>4753</v>
      </c>
      <c r="U3656" s="213"/>
      <c r="V3656" s="387"/>
      <c r="W3656" s="214"/>
      <c r="X3656" s="388">
        <v>44501</v>
      </c>
      <c r="Y3656" s="388">
        <v>45230</v>
      </c>
    </row>
    <row r="3657" s="5" customFormat="1" customHeight="1" spans="1:25">
      <c r="A3657" s="203" t="s">
        <v>446</v>
      </c>
      <c r="B3657" s="204" t="s">
        <v>4284</v>
      </c>
      <c r="C3657" s="204" t="s">
        <v>63</v>
      </c>
      <c r="D3657" s="204" t="s">
        <v>3038</v>
      </c>
      <c r="E3657" s="205" t="s">
        <v>4285</v>
      </c>
      <c r="F3657" s="203" t="s">
        <v>4286</v>
      </c>
      <c r="G3657" s="160" t="s">
        <v>346</v>
      </c>
      <c r="H3657" s="25" t="s">
        <v>4691</v>
      </c>
      <c r="I3657" s="46" t="e">
        <f>VLOOKUP(H3657,'合同高级查询数据-4月返'!A:A,1,FALSE)</f>
        <v>#N/A</v>
      </c>
      <c r="J3657" s="160" t="s">
        <v>346</v>
      </c>
      <c r="K3657" s="165"/>
      <c r="L3657" s="165"/>
      <c r="M3657" s="165"/>
      <c r="N3657" s="267" t="s">
        <v>4754</v>
      </c>
      <c r="O3657" s="73" t="s">
        <v>4752</v>
      </c>
      <c r="P3657" s="408">
        <v>2000</v>
      </c>
      <c r="Q3657" s="395">
        <v>1</v>
      </c>
      <c r="R3657" s="207">
        <f t="shared" si="117"/>
        <v>2000</v>
      </c>
      <c r="S3657" s="279">
        <v>202304</v>
      </c>
      <c r="T3657" s="184" t="s">
        <v>4755</v>
      </c>
      <c r="U3657" s="213"/>
      <c r="V3657" s="387"/>
      <c r="W3657" s="214"/>
      <c r="X3657" s="388">
        <v>44501</v>
      </c>
      <c r="Y3657" s="388">
        <v>45230</v>
      </c>
    </row>
    <row r="3658" s="5" customFormat="1" customHeight="1" spans="1:25">
      <c r="A3658" s="203" t="s">
        <v>446</v>
      </c>
      <c r="B3658" s="204" t="s">
        <v>4284</v>
      </c>
      <c r="C3658" s="204" t="s">
        <v>63</v>
      </c>
      <c r="D3658" s="204" t="s">
        <v>3038</v>
      </c>
      <c r="E3658" s="205" t="s">
        <v>4285</v>
      </c>
      <c r="F3658" s="203" t="s">
        <v>4286</v>
      </c>
      <c r="G3658" s="160" t="s">
        <v>346</v>
      </c>
      <c r="H3658" s="25" t="s">
        <v>4691</v>
      </c>
      <c r="I3658" s="46" t="e">
        <f>VLOOKUP(H3658,'合同高级查询数据-4月返'!A:A,1,FALSE)</f>
        <v>#N/A</v>
      </c>
      <c r="J3658" s="160" t="s">
        <v>346</v>
      </c>
      <c r="K3658" s="165"/>
      <c r="L3658" s="165"/>
      <c r="M3658" s="165"/>
      <c r="N3658" s="267">
        <v>43936</v>
      </c>
      <c r="O3658" s="73" t="s">
        <v>353</v>
      </c>
      <c r="P3658" s="383">
        <v>600</v>
      </c>
      <c r="Q3658" s="395">
        <v>1</v>
      </c>
      <c r="R3658" s="207">
        <f t="shared" si="117"/>
        <v>600</v>
      </c>
      <c r="S3658" s="279">
        <v>202304</v>
      </c>
      <c r="T3658" s="184" t="s">
        <v>4756</v>
      </c>
      <c r="U3658" s="213"/>
      <c r="V3658" s="387"/>
      <c r="W3658" s="214"/>
      <c r="X3658" s="388">
        <v>44501</v>
      </c>
      <c r="Y3658" s="388">
        <v>45230</v>
      </c>
    </row>
    <row r="3659" s="5" customFormat="1" customHeight="1" spans="1:25">
      <c r="A3659" s="203" t="s">
        <v>446</v>
      </c>
      <c r="B3659" s="204" t="s">
        <v>4284</v>
      </c>
      <c r="C3659" s="204" t="s">
        <v>63</v>
      </c>
      <c r="D3659" s="204" t="s">
        <v>3038</v>
      </c>
      <c r="E3659" s="205" t="s">
        <v>4285</v>
      </c>
      <c r="F3659" s="203" t="s">
        <v>4286</v>
      </c>
      <c r="G3659" s="160" t="s">
        <v>346</v>
      </c>
      <c r="H3659" s="25" t="s">
        <v>4691</v>
      </c>
      <c r="I3659" s="46" t="e">
        <f>VLOOKUP(H3659,'合同高级查询数据-4月返'!A:A,1,FALSE)</f>
        <v>#N/A</v>
      </c>
      <c r="J3659" s="160" t="s">
        <v>346</v>
      </c>
      <c r="K3659" s="165"/>
      <c r="L3659" s="165"/>
      <c r="M3659" s="165"/>
      <c r="N3659" s="267">
        <v>44783</v>
      </c>
      <c r="O3659" s="73" t="s">
        <v>353</v>
      </c>
      <c r="P3659" s="383">
        <v>600</v>
      </c>
      <c r="Q3659" s="395">
        <v>-1</v>
      </c>
      <c r="R3659" s="386">
        <f t="shared" si="117"/>
        <v>-600</v>
      </c>
      <c r="S3659" s="279">
        <v>202304</v>
      </c>
      <c r="T3659" s="184" t="s">
        <v>4757</v>
      </c>
      <c r="U3659" s="213"/>
      <c r="V3659" s="387"/>
      <c r="W3659" s="214"/>
      <c r="X3659" s="388">
        <v>44501</v>
      </c>
      <c r="Y3659" s="388">
        <v>45230</v>
      </c>
    </row>
    <row r="3660" s="5" customFormat="1" customHeight="1" spans="1:25">
      <c r="A3660" s="203" t="s">
        <v>446</v>
      </c>
      <c r="B3660" s="204" t="s">
        <v>4284</v>
      </c>
      <c r="C3660" s="204" t="s">
        <v>63</v>
      </c>
      <c r="D3660" s="204" t="s">
        <v>3038</v>
      </c>
      <c r="E3660" s="205" t="s">
        <v>4285</v>
      </c>
      <c r="F3660" s="203" t="s">
        <v>4286</v>
      </c>
      <c r="G3660" s="160" t="s">
        <v>346</v>
      </c>
      <c r="H3660" s="25" t="s">
        <v>4691</v>
      </c>
      <c r="I3660" s="46" t="e">
        <f>VLOOKUP(H3660,'合同高级查询数据-4月返'!A:A,1,FALSE)</f>
        <v>#N/A</v>
      </c>
      <c r="J3660" s="160" t="s">
        <v>346</v>
      </c>
      <c r="K3660" s="165"/>
      <c r="L3660" s="165"/>
      <c r="M3660" s="165"/>
      <c r="N3660" s="267">
        <v>43935</v>
      </c>
      <c r="O3660" s="73" t="s">
        <v>353</v>
      </c>
      <c r="P3660" s="383">
        <v>400</v>
      </c>
      <c r="Q3660" s="395">
        <v>1</v>
      </c>
      <c r="R3660" s="207">
        <f t="shared" si="117"/>
        <v>400</v>
      </c>
      <c r="S3660" s="279">
        <v>202304</v>
      </c>
      <c r="T3660" s="184" t="s">
        <v>4758</v>
      </c>
      <c r="U3660" s="213"/>
      <c r="V3660" s="387"/>
      <c r="W3660" s="214"/>
      <c r="X3660" s="388">
        <v>44501</v>
      </c>
      <c r="Y3660" s="388">
        <v>45230</v>
      </c>
    </row>
    <row r="3661" s="5" customFormat="1" customHeight="1" spans="1:25">
      <c r="A3661" s="203" t="s">
        <v>446</v>
      </c>
      <c r="B3661" s="204" t="s">
        <v>4284</v>
      </c>
      <c r="C3661" s="204" t="s">
        <v>63</v>
      </c>
      <c r="D3661" s="204" t="s">
        <v>3038</v>
      </c>
      <c r="E3661" s="205" t="s">
        <v>4285</v>
      </c>
      <c r="F3661" s="203" t="s">
        <v>4286</v>
      </c>
      <c r="G3661" s="160" t="s">
        <v>346</v>
      </c>
      <c r="H3661" s="25" t="s">
        <v>4691</v>
      </c>
      <c r="I3661" s="46" t="e">
        <f>VLOOKUP(H3661,'合同高级查询数据-4月返'!A:A,1,FALSE)</f>
        <v>#N/A</v>
      </c>
      <c r="J3661" s="160" t="s">
        <v>346</v>
      </c>
      <c r="K3661" s="165"/>
      <c r="L3661" s="165"/>
      <c r="M3661" s="165"/>
      <c r="N3661" s="267">
        <v>44671</v>
      </c>
      <c r="O3661" s="73" t="s">
        <v>353</v>
      </c>
      <c r="P3661" s="383">
        <v>400</v>
      </c>
      <c r="Q3661" s="395">
        <v>-1</v>
      </c>
      <c r="R3661" s="207">
        <f t="shared" si="117"/>
        <v>-400</v>
      </c>
      <c r="S3661" s="279">
        <v>202304</v>
      </c>
      <c r="T3661" s="184" t="s">
        <v>4759</v>
      </c>
      <c r="U3661" s="213"/>
      <c r="V3661" s="387"/>
      <c r="W3661" s="214"/>
      <c r="X3661" s="388">
        <v>44501</v>
      </c>
      <c r="Y3661" s="388">
        <v>45230</v>
      </c>
    </row>
    <row r="3662" s="5" customFormat="1" customHeight="1" spans="1:25">
      <c r="A3662" s="203" t="s">
        <v>446</v>
      </c>
      <c r="B3662" s="204" t="s">
        <v>4284</v>
      </c>
      <c r="C3662" s="204" t="s">
        <v>63</v>
      </c>
      <c r="D3662" s="204" t="s">
        <v>3038</v>
      </c>
      <c r="E3662" s="205" t="s">
        <v>4285</v>
      </c>
      <c r="F3662" s="203" t="s">
        <v>4286</v>
      </c>
      <c r="G3662" s="160" t="s">
        <v>346</v>
      </c>
      <c r="H3662" s="25" t="s">
        <v>4691</v>
      </c>
      <c r="I3662" s="46" t="e">
        <f>VLOOKUP(H3662,'合同高级查询数据-4月返'!A:A,1,FALSE)</f>
        <v>#N/A</v>
      </c>
      <c r="J3662" s="160" t="s">
        <v>346</v>
      </c>
      <c r="K3662" s="165"/>
      <c r="L3662" s="165"/>
      <c r="M3662" s="165"/>
      <c r="N3662" s="267">
        <v>44207</v>
      </c>
      <c r="O3662" s="73" t="s">
        <v>356</v>
      </c>
      <c r="P3662" s="383">
        <v>1340</v>
      </c>
      <c r="Q3662" s="395">
        <v>1</v>
      </c>
      <c r="R3662" s="207">
        <f t="shared" si="117"/>
        <v>1340</v>
      </c>
      <c r="S3662" s="279">
        <v>202304</v>
      </c>
      <c r="T3662" s="184" t="s">
        <v>4760</v>
      </c>
      <c r="U3662" s="213"/>
      <c r="V3662" s="387"/>
      <c r="W3662" s="214"/>
      <c r="X3662" s="388">
        <v>44501</v>
      </c>
      <c r="Y3662" s="388">
        <v>45230</v>
      </c>
    </row>
    <row r="3663" s="5" customFormat="1" customHeight="1" spans="1:25">
      <c r="A3663" s="203" t="s">
        <v>446</v>
      </c>
      <c r="B3663" s="204" t="s">
        <v>4284</v>
      </c>
      <c r="C3663" s="204" t="s">
        <v>63</v>
      </c>
      <c r="D3663" s="204" t="s">
        <v>3038</v>
      </c>
      <c r="E3663" s="205" t="s">
        <v>4285</v>
      </c>
      <c r="F3663" s="203" t="s">
        <v>4286</v>
      </c>
      <c r="G3663" s="160" t="s">
        <v>346</v>
      </c>
      <c r="H3663" s="25" t="s">
        <v>4691</v>
      </c>
      <c r="I3663" s="46" t="e">
        <f>VLOOKUP(H3663,'合同高级查询数据-4月返'!A:A,1,FALSE)</f>
        <v>#N/A</v>
      </c>
      <c r="J3663" s="160" t="s">
        <v>346</v>
      </c>
      <c r="K3663" s="165"/>
      <c r="L3663" s="165"/>
      <c r="M3663" s="165"/>
      <c r="N3663" s="267" t="s">
        <v>4761</v>
      </c>
      <c r="O3663" s="73" t="s">
        <v>4762</v>
      </c>
      <c r="P3663" s="383">
        <v>660</v>
      </c>
      <c r="Q3663" s="395">
        <v>1</v>
      </c>
      <c r="R3663" s="207">
        <f t="shared" si="117"/>
        <v>660</v>
      </c>
      <c r="S3663" s="279">
        <v>202304</v>
      </c>
      <c r="T3663" s="184" t="s">
        <v>4763</v>
      </c>
      <c r="U3663" s="213"/>
      <c r="V3663" s="387"/>
      <c r="W3663" s="214"/>
      <c r="X3663" s="388">
        <v>44501</v>
      </c>
      <c r="Y3663" s="388">
        <v>45230</v>
      </c>
    </row>
    <row r="3664" s="5" customFormat="1" customHeight="1" spans="1:25">
      <c r="A3664" s="203" t="s">
        <v>446</v>
      </c>
      <c r="B3664" s="204" t="s">
        <v>4284</v>
      </c>
      <c r="C3664" s="204" t="s">
        <v>63</v>
      </c>
      <c r="D3664" s="204" t="s">
        <v>3038</v>
      </c>
      <c r="E3664" s="205" t="s">
        <v>4285</v>
      </c>
      <c r="F3664" s="203" t="s">
        <v>4286</v>
      </c>
      <c r="G3664" s="160" t="s">
        <v>346</v>
      </c>
      <c r="H3664" s="25" t="s">
        <v>4691</v>
      </c>
      <c r="I3664" s="46" t="e">
        <f>VLOOKUP(H3664,'合同高级查询数据-4月返'!A:A,1,FALSE)</f>
        <v>#N/A</v>
      </c>
      <c r="J3664" s="160" t="s">
        <v>346</v>
      </c>
      <c r="K3664" s="165"/>
      <c r="L3664" s="165"/>
      <c r="M3664" s="165"/>
      <c r="N3664" s="267">
        <v>43935</v>
      </c>
      <c r="O3664" s="73" t="s">
        <v>356</v>
      </c>
      <c r="P3664" s="383">
        <v>1340</v>
      </c>
      <c r="Q3664" s="395">
        <v>1</v>
      </c>
      <c r="R3664" s="207">
        <f t="shared" si="117"/>
        <v>1340</v>
      </c>
      <c r="S3664" s="279">
        <v>202304</v>
      </c>
      <c r="T3664" s="184" t="s">
        <v>4764</v>
      </c>
      <c r="U3664" s="213"/>
      <c r="V3664" s="387"/>
      <c r="W3664" s="214"/>
      <c r="X3664" s="388">
        <v>44501</v>
      </c>
      <c r="Y3664" s="388">
        <v>45230</v>
      </c>
    </row>
    <row r="3665" s="5" customFormat="1" customHeight="1" spans="1:25">
      <c r="A3665" s="203" t="s">
        <v>446</v>
      </c>
      <c r="B3665" s="204" t="s">
        <v>4284</v>
      </c>
      <c r="C3665" s="204" t="s">
        <v>63</v>
      </c>
      <c r="D3665" s="204" t="s">
        <v>3038</v>
      </c>
      <c r="E3665" s="205" t="s">
        <v>4285</v>
      </c>
      <c r="F3665" s="203" t="s">
        <v>4286</v>
      </c>
      <c r="G3665" s="160" t="s">
        <v>346</v>
      </c>
      <c r="H3665" s="25" t="s">
        <v>4691</v>
      </c>
      <c r="I3665" s="46" t="e">
        <f>VLOOKUP(H3665,'合同高级查询数据-4月返'!A:A,1,FALSE)</f>
        <v>#N/A</v>
      </c>
      <c r="J3665" s="160" t="s">
        <v>346</v>
      </c>
      <c r="K3665" s="165"/>
      <c r="L3665" s="165"/>
      <c r="M3665" s="165"/>
      <c r="N3665" s="267">
        <v>43935</v>
      </c>
      <c r="O3665" s="73" t="s">
        <v>356</v>
      </c>
      <c r="P3665" s="383">
        <v>1340</v>
      </c>
      <c r="Q3665" s="395">
        <v>1</v>
      </c>
      <c r="R3665" s="207">
        <f t="shared" si="117"/>
        <v>1340</v>
      </c>
      <c r="S3665" s="279">
        <v>202304</v>
      </c>
      <c r="T3665" s="184" t="s">
        <v>4765</v>
      </c>
      <c r="U3665" s="213"/>
      <c r="V3665" s="387"/>
      <c r="W3665" s="214"/>
      <c r="X3665" s="388">
        <v>44501</v>
      </c>
      <c r="Y3665" s="388">
        <v>45230</v>
      </c>
    </row>
    <row r="3666" s="5" customFormat="1" customHeight="1" spans="1:25">
      <c r="A3666" s="203" t="s">
        <v>446</v>
      </c>
      <c r="B3666" s="204" t="s">
        <v>4284</v>
      </c>
      <c r="C3666" s="204" t="s">
        <v>63</v>
      </c>
      <c r="D3666" s="204" t="s">
        <v>3038</v>
      </c>
      <c r="E3666" s="205" t="s">
        <v>4285</v>
      </c>
      <c r="F3666" s="203" t="s">
        <v>4286</v>
      </c>
      <c r="G3666" s="160" t="s">
        <v>346</v>
      </c>
      <c r="H3666" s="25" t="s">
        <v>4691</v>
      </c>
      <c r="I3666" s="46" t="e">
        <f>VLOOKUP(H3666,'合同高级查询数据-4月返'!A:A,1,FALSE)</f>
        <v>#N/A</v>
      </c>
      <c r="J3666" s="160" t="s">
        <v>346</v>
      </c>
      <c r="K3666" s="165"/>
      <c r="L3666" s="165"/>
      <c r="M3666" s="165"/>
      <c r="N3666" s="267">
        <v>43935</v>
      </c>
      <c r="O3666" s="73" t="s">
        <v>356</v>
      </c>
      <c r="P3666" s="383">
        <v>1340</v>
      </c>
      <c r="Q3666" s="395">
        <v>1</v>
      </c>
      <c r="R3666" s="207">
        <f t="shared" si="117"/>
        <v>1340</v>
      </c>
      <c r="S3666" s="279">
        <v>202304</v>
      </c>
      <c r="T3666" s="184" t="s">
        <v>4766</v>
      </c>
      <c r="U3666" s="213"/>
      <c r="V3666" s="387"/>
      <c r="W3666" s="214"/>
      <c r="X3666" s="388">
        <v>44501</v>
      </c>
      <c r="Y3666" s="388">
        <v>45230</v>
      </c>
    </row>
    <row r="3667" s="5" customFormat="1" customHeight="1" spans="1:25">
      <c r="A3667" s="203" t="s">
        <v>446</v>
      </c>
      <c r="B3667" s="204" t="s">
        <v>4284</v>
      </c>
      <c r="C3667" s="204" t="s">
        <v>63</v>
      </c>
      <c r="D3667" s="204" t="s">
        <v>3038</v>
      </c>
      <c r="E3667" s="205" t="s">
        <v>4285</v>
      </c>
      <c r="F3667" s="203" t="s">
        <v>4286</v>
      </c>
      <c r="G3667" s="203" t="s">
        <v>31</v>
      </c>
      <c r="H3667" s="160" t="s">
        <v>4767</v>
      </c>
      <c r="I3667" s="46" t="e">
        <f>VLOOKUP(H3667,'合同高级查询数据-4月返'!A:A,1,FALSE)</f>
        <v>#N/A</v>
      </c>
      <c r="J3667" s="160" t="s">
        <v>497</v>
      </c>
      <c r="K3667" s="165"/>
      <c r="L3667" s="165"/>
      <c r="M3667" s="160" t="s">
        <v>4319</v>
      </c>
      <c r="N3667" s="267">
        <v>44022</v>
      </c>
      <c r="O3667" s="73" t="s">
        <v>37</v>
      </c>
      <c r="P3667" s="383">
        <v>0</v>
      </c>
      <c r="Q3667" s="395">
        <v>512</v>
      </c>
      <c r="R3667" s="207">
        <f t="shared" si="117"/>
        <v>0</v>
      </c>
      <c r="S3667" s="279">
        <v>202304</v>
      </c>
      <c r="T3667" s="184" t="s">
        <v>1221</v>
      </c>
      <c r="U3667" s="213"/>
      <c r="V3667" s="387"/>
      <c r="W3667" s="214"/>
      <c r="X3667" s="388">
        <v>44013</v>
      </c>
      <c r="Y3667" s="388">
        <v>45838</v>
      </c>
    </row>
    <row r="3668" s="3" customFormat="1" customHeight="1" spans="1:25">
      <c r="A3668" s="154" t="s">
        <v>446</v>
      </c>
      <c r="B3668" s="292" t="s">
        <v>4284</v>
      </c>
      <c r="C3668" s="292" t="s">
        <v>63</v>
      </c>
      <c r="D3668" s="292" t="s">
        <v>3038</v>
      </c>
      <c r="E3668" s="153" t="s">
        <v>4285</v>
      </c>
      <c r="F3668" s="154" t="s">
        <v>4286</v>
      </c>
      <c r="G3668" s="154" t="s">
        <v>31</v>
      </c>
      <c r="H3668" s="134" t="s">
        <v>4768</v>
      </c>
      <c r="I3668" s="30" t="e">
        <f>VLOOKUP(H3668,'合同高级查询数据-4月返'!A:A,1,FALSE)</f>
        <v>#N/A</v>
      </c>
      <c r="J3668" s="134" t="s">
        <v>4721</v>
      </c>
      <c r="K3668" s="149"/>
      <c r="L3668" s="149"/>
      <c r="M3668" s="134" t="s">
        <v>4369</v>
      </c>
      <c r="N3668" s="409">
        <v>44026</v>
      </c>
      <c r="O3668" s="146" t="s">
        <v>37</v>
      </c>
      <c r="P3668" s="384">
        <v>2500</v>
      </c>
      <c r="Q3668" s="410">
        <v>4</v>
      </c>
      <c r="R3668" s="157">
        <f t="shared" si="117"/>
        <v>10000</v>
      </c>
      <c r="S3668" s="277">
        <v>202304</v>
      </c>
      <c r="T3668" s="198" t="s">
        <v>4769</v>
      </c>
      <c r="U3668" s="391"/>
      <c r="V3668" s="392"/>
      <c r="W3668" s="393"/>
      <c r="X3668" s="394"/>
      <c r="Y3668" s="394"/>
    </row>
    <row r="3669" s="3" customFormat="1" customHeight="1" spans="1:25">
      <c r="A3669" s="404" t="s">
        <v>446</v>
      </c>
      <c r="B3669" s="292" t="s">
        <v>4284</v>
      </c>
      <c r="C3669" s="405" t="s">
        <v>63</v>
      </c>
      <c r="D3669" s="405" t="s">
        <v>3038</v>
      </c>
      <c r="E3669" s="406" t="s">
        <v>4285</v>
      </c>
      <c r="F3669" s="404" t="s">
        <v>4286</v>
      </c>
      <c r="G3669" s="404" t="s">
        <v>31</v>
      </c>
      <c r="H3669" s="407" t="s">
        <v>4770</v>
      </c>
      <c r="I3669" s="30" t="e">
        <f>VLOOKUP(H3669,'合同高级查询数据-4月返'!A:A,1,FALSE)</f>
        <v>#N/A</v>
      </c>
      <c r="J3669" s="407" t="s">
        <v>4721</v>
      </c>
      <c r="K3669" s="149"/>
      <c r="L3669" s="149"/>
      <c r="M3669" s="134" t="s">
        <v>4771</v>
      </c>
      <c r="N3669" s="409">
        <v>44103</v>
      </c>
      <c r="O3669" s="146" t="s">
        <v>37</v>
      </c>
      <c r="P3669" s="384">
        <v>0</v>
      </c>
      <c r="Q3669" s="410">
        <v>640</v>
      </c>
      <c r="R3669" s="157">
        <f t="shared" si="117"/>
        <v>0</v>
      </c>
      <c r="S3669" s="277">
        <v>202304</v>
      </c>
      <c r="T3669" s="198" t="s">
        <v>4772</v>
      </c>
      <c r="U3669" s="391"/>
      <c r="V3669" s="392"/>
      <c r="W3669" s="393"/>
      <c r="X3669" s="394"/>
      <c r="Y3669" s="394"/>
    </row>
    <row r="3670" s="3" customFormat="1" customHeight="1" spans="1:25">
      <c r="A3670" s="154" t="s">
        <v>446</v>
      </c>
      <c r="B3670" s="292" t="s">
        <v>4284</v>
      </c>
      <c r="C3670" s="292" t="s">
        <v>63</v>
      </c>
      <c r="D3670" s="292" t="s">
        <v>3038</v>
      </c>
      <c r="E3670" s="153" t="s">
        <v>4773</v>
      </c>
      <c r="F3670" s="154" t="s">
        <v>4774</v>
      </c>
      <c r="G3670" s="154" t="s">
        <v>78</v>
      </c>
      <c r="H3670" s="110" t="s">
        <v>4775</v>
      </c>
      <c r="I3670" s="30" t="e">
        <f>VLOOKUP(H3670,'合同高级查询数据-4月返'!A:A,1,FALSE)</f>
        <v>#N/A</v>
      </c>
      <c r="J3670" s="31" t="s">
        <v>948</v>
      </c>
      <c r="K3670" s="154"/>
      <c r="L3670" s="293"/>
      <c r="M3670" s="113"/>
      <c r="N3670" s="146">
        <v>43739</v>
      </c>
      <c r="O3670" s="146"/>
      <c r="P3670" s="384">
        <v>190400</v>
      </c>
      <c r="Q3670" s="389">
        <v>1</v>
      </c>
      <c r="R3670" s="390">
        <f t="shared" si="117"/>
        <v>190400</v>
      </c>
      <c r="S3670" s="277">
        <v>202304</v>
      </c>
      <c r="T3670" s="198" t="s">
        <v>4776</v>
      </c>
      <c r="U3670" s="391"/>
      <c r="V3670" s="392"/>
      <c r="W3670" s="393"/>
      <c r="X3670" s="394"/>
      <c r="Y3670" s="394"/>
    </row>
    <row r="3671" s="3" customFormat="1" customHeight="1" spans="1:25">
      <c r="A3671" s="154" t="s">
        <v>444</v>
      </c>
      <c r="B3671" s="292" t="s">
        <v>4284</v>
      </c>
      <c r="C3671" s="292" t="s">
        <v>63</v>
      </c>
      <c r="D3671" s="292" t="s">
        <v>3038</v>
      </c>
      <c r="E3671" s="153" t="s">
        <v>4777</v>
      </c>
      <c r="F3671" s="154" t="s">
        <v>4778</v>
      </c>
      <c r="G3671" s="154" t="s">
        <v>31</v>
      </c>
      <c r="H3671" s="110" t="s">
        <v>4779</v>
      </c>
      <c r="I3671" s="30" t="e">
        <f>VLOOKUP(H3671,'合同高级查询数据-4月返'!A:A,1,FALSE)</f>
        <v>#N/A</v>
      </c>
      <c r="J3671" s="31" t="s">
        <v>33</v>
      </c>
      <c r="K3671" s="154" t="s">
        <v>4780</v>
      </c>
      <c r="L3671" s="293" t="s">
        <v>4778</v>
      </c>
      <c r="M3671" s="134" t="s">
        <v>4781</v>
      </c>
      <c r="N3671" s="146" t="s">
        <v>1329</v>
      </c>
      <c r="O3671" s="146" t="s">
        <v>37</v>
      </c>
      <c r="P3671" s="384">
        <v>0</v>
      </c>
      <c r="Q3671" s="389">
        <v>288</v>
      </c>
      <c r="R3671" s="157">
        <f t="shared" si="117"/>
        <v>0</v>
      </c>
      <c r="S3671" s="277">
        <v>202304</v>
      </c>
      <c r="T3671" s="198" t="s">
        <v>4782</v>
      </c>
      <c r="U3671" s="391"/>
      <c r="V3671" s="392"/>
      <c r="W3671" s="393"/>
      <c r="X3671" s="394"/>
      <c r="Y3671" s="394"/>
    </row>
    <row r="3672" s="3" customFormat="1" customHeight="1" spans="1:25">
      <c r="A3672" s="154" t="s">
        <v>444</v>
      </c>
      <c r="B3672" s="292" t="s">
        <v>4284</v>
      </c>
      <c r="C3672" s="292" t="s">
        <v>63</v>
      </c>
      <c r="D3672" s="292" t="s">
        <v>3038</v>
      </c>
      <c r="E3672" s="153" t="s">
        <v>4777</v>
      </c>
      <c r="F3672" s="154" t="s">
        <v>4778</v>
      </c>
      <c r="G3672" s="154" t="s">
        <v>88</v>
      </c>
      <c r="H3672" s="110" t="s">
        <v>4779</v>
      </c>
      <c r="I3672" s="30" t="e">
        <f>VLOOKUP(H3672,'合同高级查询数据-4月返'!A:A,1,FALSE)</f>
        <v>#N/A</v>
      </c>
      <c r="J3672" s="31" t="s">
        <v>162</v>
      </c>
      <c r="K3672" s="154" t="s">
        <v>4780</v>
      </c>
      <c r="L3672" s="293"/>
      <c r="M3672" s="113" t="s">
        <v>4781</v>
      </c>
      <c r="N3672" s="146">
        <v>43491</v>
      </c>
      <c r="O3672" s="146" t="s">
        <v>92</v>
      </c>
      <c r="P3672" s="384">
        <v>4000</v>
      </c>
      <c r="Q3672" s="389">
        <v>6</v>
      </c>
      <c r="R3672" s="157">
        <f t="shared" ref="R3672:R3735" si="118">ROUND(P3672*Q3672,2)</f>
        <v>24000</v>
      </c>
      <c r="S3672" s="277">
        <v>202304</v>
      </c>
      <c r="T3672" s="198" t="s">
        <v>4783</v>
      </c>
      <c r="U3672" s="391"/>
      <c r="V3672" s="392"/>
      <c r="W3672" s="393"/>
      <c r="X3672" s="394"/>
      <c r="Y3672" s="394"/>
    </row>
    <row r="3673" s="3" customFormat="1" customHeight="1" spans="1:25">
      <c r="A3673" s="154" t="s">
        <v>444</v>
      </c>
      <c r="B3673" s="292" t="s">
        <v>4284</v>
      </c>
      <c r="C3673" s="292" t="s">
        <v>63</v>
      </c>
      <c r="D3673" s="292" t="s">
        <v>3038</v>
      </c>
      <c r="E3673" s="153" t="s">
        <v>4777</v>
      </c>
      <c r="F3673" s="154" t="s">
        <v>4778</v>
      </c>
      <c r="G3673" s="154" t="s">
        <v>88</v>
      </c>
      <c r="H3673" s="110" t="s">
        <v>4779</v>
      </c>
      <c r="I3673" s="30" t="e">
        <f>VLOOKUP(H3673,'合同高级查询数据-4月返'!A:A,1,FALSE)</f>
        <v>#N/A</v>
      </c>
      <c r="J3673" s="31" t="s">
        <v>162</v>
      </c>
      <c r="K3673" s="154" t="s">
        <v>4780</v>
      </c>
      <c r="L3673" s="293"/>
      <c r="M3673" s="113" t="s">
        <v>4781</v>
      </c>
      <c r="N3673" s="146">
        <v>44732</v>
      </c>
      <c r="O3673" s="146" t="s">
        <v>92</v>
      </c>
      <c r="P3673" s="384">
        <v>4000</v>
      </c>
      <c r="Q3673" s="389">
        <v>-5</v>
      </c>
      <c r="R3673" s="126">
        <f t="shared" si="118"/>
        <v>-20000</v>
      </c>
      <c r="S3673" s="277">
        <v>202304</v>
      </c>
      <c r="T3673" s="198" t="s">
        <v>4784</v>
      </c>
      <c r="U3673" s="391"/>
      <c r="V3673" s="392"/>
      <c r="W3673" s="393"/>
      <c r="X3673" s="394"/>
      <c r="Y3673" s="394"/>
    </row>
    <row r="3674" s="5" customFormat="1" customHeight="1" spans="1:25">
      <c r="A3674" s="203" t="s">
        <v>444</v>
      </c>
      <c r="B3674" s="204" t="s">
        <v>4284</v>
      </c>
      <c r="C3674" s="204" t="s">
        <v>63</v>
      </c>
      <c r="D3674" s="204" t="s">
        <v>3038</v>
      </c>
      <c r="E3674" s="205" t="s">
        <v>4777</v>
      </c>
      <c r="F3674" s="203" t="s">
        <v>4778</v>
      </c>
      <c r="G3674" s="203" t="s">
        <v>88</v>
      </c>
      <c r="H3674" s="25" t="s">
        <v>4785</v>
      </c>
      <c r="I3674" s="46" t="e">
        <f>VLOOKUP(H3674,'合同高级查询数据-4月返'!A:A,1,FALSE)</f>
        <v>#N/A</v>
      </c>
      <c r="J3674" s="47" t="s">
        <v>3488</v>
      </c>
      <c r="K3674" s="203" t="s">
        <v>4786</v>
      </c>
      <c r="L3674" s="206"/>
      <c r="M3674" s="49" t="s">
        <v>4787</v>
      </c>
      <c r="N3674" s="73">
        <v>43141</v>
      </c>
      <c r="O3674" s="73" t="s">
        <v>503</v>
      </c>
      <c r="P3674" s="383">
        <v>6200</v>
      </c>
      <c r="Q3674" s="385">
        <v>33</v>
      </c>
      <c r="R3674" s="207">
        <f t="shared" si="118"/>
        <v>204600</v>
      </c>
      <c r="S3674" s="279">
        <v>202304</v>
      </c>
      <c r="T3674" s="184"/>
      <c r="U3674" s="213"/>
      <c r="V3674" s="387"/>
      <c r="W3674" s="214"/>
      <c r="X3674" s="388">
        <v>43374</v>
      </c>
      <c r="Y3674" s="388">
        <v>45331</v>
      </c>
    </row>
    <row r="3675" s="5" customFormat="1" customHeight="1" spans="1:25">
      <c r="A3675" s="203" t="s">
        <v>444</v>
      </c>
      <c r="B3675" s="204" t="s">
        <v>4284</v>
      </c>
      <c r="C3675" s="204" t="s">
        <v>63</v>
      </c>
      <c r="D3675" s="204" t="s">
        <v>3038</v>
      </c>
      <c r="E3675" s="205" t="s">
        <v>4777</v>
      </c>
      <c r="F3675" s="203" t="s">
        <v>4778</v>
      </c>
      <c r="G3675" s="203" t="s">
        <v>88</v>
      </c>
      <c r="H3675" s="25" t="s">
        <v>4785</v>
      </c>
      <c r="I3675" s="46" t="e">
        <f>VLOOKUP(H3675,'合同高级查询数据-4月返'!A:A,1,FALSE)</f>
        <v>#N/A</v>
      </c>
      <c r="J3675" s="47" t="s">
        <v>3488</v>
      </c>
      <c r="K3675" s="203" t="s">
        <v>4786</v>
      </c>
      <c r="L3675" s="206"/>
      <c r="M3675" s="49" t="s">
        <v>4787</v>
      </c>
      <c r="N3675" s="73">
        <v>43141</v>
      </c>
      <c r="O3675" s="73" t="s">
        <v>4788</v>
      </c>
      <c r="P3675" s="383">
        <v>18600</v>
      </c>
      <c r="Q3675" s="385">
        <v>6</v>
      </c>
      <c r="R3675" s="207">
        <f t="shared" si="118"/>
        <v>111600</v>
      </c>
      <c r="S3675" s="279">
        <v>202304</v>
      </c>
      <c r="T3675" s="184"/>
      <c r="U3675" s="213"/>
      <c r="V3675" s="387"/>
      <c r="W3675" s="214"/>
      <c r="X3675" s="388">
        <v>43374</v>
      </c>
      <c r="Y3675" s="388">
        <v>45331</v>
      </c>
    </row>
    <row r="3676" s="5" customFormat="1" customHeight="1" spans="1:25">
      <c r="A3676" s="203" t="s">
        <v>444</v>
      </c>
      <c r="B3676" s="204" t="s">
        <v>4284</v>
      </c>
      <c r="C3676" s="204" t="s">
        <v>63</v>
      </c>
      <c r="D3676" s="204" t="s">
        <v>3038</v>
      </c>
      <c r="E3676" s="205" t="s">
        <v>4777</v>
      </c>
      <c r="F3676" s="203" t="s">
        <v>4778</v>
      </c>
      <c r="G3676" s="203" t="s">
        <v>88</v>
      </c>
      <c r="H3676" s="25" t="s">
        <v>4785</v>
      </c>
      <c r="I3676" s="46" t="e">
        <f>VLOOKUP(H3676,'合同高级查询数据-4月返'!A:A,1,FALSE)</f>
        <v>#N/A</v>
      </c>
      <c r="J3676" s="47" t="s">
        <v>3488</v>
      </c>
      <c r="K3676" s="203" t="s">
        <v>4786</v>
      </c>
      <c r="L3676" s="206"/>
      <c r="M3676" s="49" t="s">
        <v>4787</v>
      </c>
      <c r="N3676" s="73">
        <v>43141</v>
      </c>
      <c r="O3676" s="73" t="s">
        <v>507</v>
      </c>
      <c r="P3676" s="383">
        <v>12400</v>
      </c>
      <c r="Q3676" s="385">
        <v>2</v>
      </c>
      <c r="R3676" s="207">
        <f t="shared" si="118"/>
        <v>24800</v>
      </c>
      <c r="S3676" s="279">
        <v>202304</v>
      </c>
      <c r="T3676" s="184"/>
      <c r="U3676" s="213"/>
      <c r="V3676" s="387"/>
      <c r="W3676" s="214"/>
      <c r="X3676" s="388">
        <v>43374</v>
      </c>
      <c r="Y3676" s="388">
        <v>45331</v>
      </c>
    </row>
    <row r="3677" s="5" customFormat="1" customHeight="1" spans="1:25">
      <c r="A3677" s="203" t="s">
        <v>444</v>
      </c>
      <c r="B3677" s="204" t="s">
        <v>4284</v>
      </c>
      <c r="C3677" s="204" t="s">
        <v>63</v>
      </c>
      <c r="D3677" s="204" t="s">
        <v>3038</v>
      </c>
      <c r="E3677" s="205" t="s">
        <v>4777</v>
      </c>
      <c r="F3677" s="203" t="s">
        <v>4778</v>
      </c>
      <c r="G3677" s="203" t="s">
        <v>88</v>
      </c>
      <c r="H3677" s="25" t="s">
        <v>4785</v>
      </c>
      <c r="I3677" s="46" t="e">
        <f>VLOOKUP(H3677,'合同高级查询数据-4月返'!A:A,1,FALSE)</f>
        <v>#N/A</v>
      </c>
      <c r="J3677" s="47" t="s">
        <v>3488</v>
      </c>
      <c r="K3677" s="203" t="s">
        <v>4786</v>
      </c>
      <c r="L3677" s="206"/>
      <c r="M3677" s="49" t="s">
        <v>4787</v>
      </c>
      <c r="N3677" s="73">
        <v>43141</v>
      </c>
      <c r="O3677" s="73" t="s">
        <v>507</v>
      </c>
      <c r="P3677" s="383">
        <v>12400</v>
      </c>
      <c r="Q3677" s="385">
        <v>2</v>
      </c>
      <c r="R3677" s="207">
        <f t="shared" si="118"/>
        <v>24800</v>
      </c>
      <c r="S3677" s="279">
        <v>202304</v>
      </c>
      <c r="T3677" s="184"/>
      <c r="U3677" s="213"/>
      <c r="V3677" s="387"/>
      <c r="W3677" s="214"/>
      <c r="X3677" s="388">
        <v>43374</v>
      </c>
      <c r="Y3677" s="388">
        <v>45331</v>
      </c>
    </row>
    <row r="3678" s="5" customFormat="1" customHeight="1" spans="1:25">
      <c r="A3678" s="203" t="s">
        <v>444</v>
      </c>
      <c r="B3678" s="204" t="s">
        <v>4284</v>
      </c>
      <c r="C3678" s="204" t="s">
        <v>63</v>
      </c>
      <c r="D3678" s="204" t="s">
        <v>3038</v>
      </c>
      <c r="E3678" s="205" t="s">
        <v>4777</v>
      </c>
      <c r="F3678" s="203" t="s">
        <v>4778</v>
      </c>
      <c r="G3678" s="203" t="s">
        <v>88</v>
      </c>
      <c r="H3678" s="25" t="s">
        <v>4785</v>
      </c>
      <c r="I3678" s="46" t="e">
        <f>VLOOKUP(H3678,'合同高级查询数据-4月返'!A:A,1,FALSE)</f>
        <v>#N/A</v>
      </c>
      <c r="J3678" s="47" t="s">
        <v>3488</v>
      </c>
      <c r="K3678" s="203" t="s">
        <v>4786</v>
      </c>
      <c r="L3678" s="206"/>
      <c r="M3678" s="49" t="s">
        <v>4787</v>
      </c>
      <c r="N3678" s="73">
        <v>43208</v>
      </c>
      <c r="O3678" s="73" t="s">
        <v>503</v>
      </c>
      <c r="P3678" s="383">
        <v>6200</v>
      </c>
      <c r="Q3678" s="385">
        <v>3</v>
      </c>
      <c r="R3678" s="207">
        <f t="shared" si="118"/>
        <v>18600</v>
      </c>
      <c r="S3678" s="279">
        <v>202304</v>
      </c>
      <c r="T3678" s="184"/>
      <c r="U3678" s="213"/>
      <c r="V3678" s="387"/>
      <c r="W3678" s="214"/>
      <c r="X3678" s="388">
        <v>43374</v>
      </c>
      <c r="Y3678" s="388">
        <v>45331</v>
      </c>
    </row>
    <row r="3679" s="5" customFormat="1" customHeight="1" spans="1:25">
      <c r="A3679" s="203" t="s">
        <v>444</v>
      </c>
      <c r="B3679" s="204" t="s">
        <v>4284</v>
      </c>
      <c r="C3679" s="204" t="s">
        <v>63</v>
      </c>
      <c r="D3679" s="204" t="s">
        <v>3038</v>
      </c>
      <c r="E3679" s="205" t="s">
        <v>4777</v>
      </c>
      <c r="F3679" s="203" t="s">
        <v>4778</v>
      </c>
      <c r="G3679" s="203" t="s">
        <v>88</v>
      </c>
      <c r="H3679" s="25" t="s">
        <v>4785</v>
      </c>
      <c r="I3679" s="46" t="e">
        <f>VLOOKUP(H3679,'合同高级查询数据-4月返'!A:A,1,FALSE)</f>
        <v>#N/A</v>
      </c>
      <c r="J3679" s="47" t="s">
        <v>3488</v>
      </c>
      <c r="K3679" s="203" t="s">
        <v>4786</v>
      </c>
      <c r="L3679" s="206"/>
      <c r="M3679" s="49" t="s">
        <v>4787</v>
      </c>
      <c r="N3679" s="73">
        <v>43234</v>
      </c>
      <c r="O3679" s="73" t="s">
        <v>4788</v>
      </c>
      <c r="P3679" s="383">
        <v>18600</v>
      </c>
      <c r="Q3679" s="385">
        <v>4</v>
      </c>
      <c r="R3679" s="207">
        <f t="shared" si="118"/>
        <v>74400</v>
      </c>
      <c r="S3679" s="279">
        <v>202304</v>
      </c>
      <c r="T3679" s="184" t="s">
        <v>4789</v>
      </c>
      <c r="U3679" s="213"/>
      <c r="V3679" s="387"/>
      <c r="W3679" s="214"/>
      <c r="X3679" s="388">
        <v>43374</v>
      </c>
      <c r="Y3679" s="388">
        <v>45331</v>
      </c>
    </row>
    <row r="3680" s="5" customFormat="1" customHeight="1" spans="1:25">
      <c r="A3680" s="203" t="s">
        <v>444</v>
      </c>
      <c r="B3680" s="204" t="s">
        <v>4284</v>
      </c>
      <c r="C3680" s="204" t="s">
        <v>63</v>
      </c>
      <c r="D3680" s="204" t="s">
        <v>3038</v>
      </c>
      <c r="E3680" s="205" t="s">
        <v>4777</v>
      </c>
      <c r="F3680" s="203" t="s">
        <v>4778</v>
      </c>
      <c r="G3680" s="203" t="s">
        <v>88</v>
      </c>
      <c r="H3680" s="25" t="s">
        <v>4785</v>
      </c>
      <c r="I3680" s="46" t="e">
        <f>VLOOKUP(H3680,'合同高级查询数据-4月返'!A:A,1,FALSE)</f>
        <v>#N/A</v>
      </c>
      <c r="J3680" s="47" t="s">
        <v>3488</v>
      </c>
      <c r="K3680" s="203" t="s">
        <v>4786</v>
      </c>
      <c r="L3680" s="206"/>
      <c r="M3680" s="49" t="s">
        <v>4787</v>
      </c>
      <c r="N3680" s="73">
        <v>43237</v>
      </c>
      <c r="O3680" s="73" t="s">
        <v>503</v>
      </c>
      <c r="P3680" s="383">
        <v>6200</v>
      </c>
      <c r="Q3680" s="385">
        <v>9</v>
      </c>
      <c r="R3680" s="207">
        <f t="shared" si="118"/>
        <v>55800</v>
      </c>
      <c r="S3680" s="279">
        <v>202304</v>
      </c>
      <c r="T3680" s="184"/>
      <c r="U3680" s="213"/>
      <c r="V3680" s="387"/>
      <c r="W3680" s="214"/>
      <c r="X3680" s="388">
        <v>43374</v>
      </c>
      <c r="Y3680" s="388">
        <v>45331</v>
      </c>
    </row>
    <row r="3681" s="5" customFormat="1" customHeight="1" spans="1:25">
      <c r="A3681" s="203" t="s">
        <v>444</v>
      </c>
      <c r="B3681" s="204" t="s">
        <v>4284</v>
      </c>
      <c r="C3681" s="204" t="s">
        <v>63</v>
      </c>
      <c r="D3681" s="204" t="s">
        <v>3038</v>
      </c>
      <c r="E3681" s="205" t="s">
        <v>4777</v>
      </c>
      <c r="F3681" s="203" t="s">
        <v>4778</v>
      </c>
      <c r="G3681" s="203" t="s">
        <v>88</v>
      </c>
      <c r="H3681" s="25" t="s">
        <v>4785</v>
      </c>
      <c r="I3681" s="46" t="e">
        <f>VLOOKUP(H3681,'合同高级查询数据-4月返'!A:A,1,FALSE)</f>
        <v>#N/A</v>
      </c>
      <c r="J3681" s="47" t="s">
        <v>3488</v>
      </c>
      <c r="K3681" s="203" t="s">
        <v>4786</v>
      </c>
      <c r="L3681" s="206"/>
      <c r="M3681" s="49" t="s">
        <v>4787</v>
      </c>
      <c r="N3681" s="73">
        <v>43243</v>
      </c>
      <c r="O3681" s="73" t="s">
        <v>503</v>
      </c>
      <c r="P3681" s="383">
        <v>6200</v>
      </c>
      <c r="Q3681" s="385">
        <v>22</v>
      </c>
      <c r="R3681" s="207">
        <f t="shared" si="118"/>
        <v>136400</v>
      </c>
      <c r="S3681" s="279">
        <v>202304</v>
      </c>
      <c r="T3681" s="184"/>
      <c r="U3681" s="213"/>
      <c r="V3681" s="387"/>
      <c r="W3681" s="214"/>
      <c r="X3681" s="388">
        <v>43374</v>
      </c>
      <c r="Y3681" s="388">
        <v>45331</v>
      </c>
    </row>
    <row r="3682" s="5" customFormat="1" customHeight="1" spans="1:25">
      <c r="A3682" s="203" t="s">
        <v>444</v>
      </c>
      <c r="B3682" s="204" t="s">
        <v>4284</v>
      </c>
      <c r="C3682" s="204" t="s">
        <v>63</v>
      </c>
      <c r="D3682" s="204" t="s">
        <v>3038</v>
      </c>
      <c r="E3682" s="205" t="s">
        <v>4777</v>
      </c>
      <c r="F3682" s="203" t="s">
        <v>4778</v>
      </c>
      <c r="G3682" s="203" t="s">
        <v>88</v>
      </c>
      <c r="H3682" s="25" t="s">
        <v>4785</v>
      </c>
      <c r="I3682" s="46" t="e">
        <f>VLOOKUP(H3682,'合同高级查询数据-4月返'!A:A,1,FALSE)</f>
        <v>#N/A</v>
      </c>
      <c r="J3682" s="47" t="s">
        <v>3488</v>
      </c>
      <c r="K3682" s="203" t="s">
        <v>4786</v>
      </c>
      <c r="L3682" s="206"/>
      <c r="M3682" s="49" t="s">
        <v>4787</v>
      </c>
      <c r="N3682" s="73">
        <v>43252</v>
      </c>
      <c r="O3682" s="73" t="s">
        <v>503</v>
      </c>
      <c r="P3682" s="383">
        <v>6200</v>
      </c>
      <c r="Q3682" s="385">
        <v>3</v>
      </c>
      <c r="R3682" s="207">
        <f t="shared" si="118"/>
        <v>18600</v>
      </c>
      <c r="S3682" s="279">
        <v>202304</v>
      </c>
      <c r="T3682" s="184"/>
      <c r="U3682" s="213"/>
      <c r="V3682" s="387"/>
      <c r="W3682" s="214"/>
      <c r="X3682" s="388">
        <v>43374</v>
      </c>
      <c r="Y3682" s="388">
        <v>45331</v>
      </c>
    </row>
    <row r="3683" s="5" customFormat="1" customHeight="1" spans="1:25">
      <c r="A3683" s="203" t="s">
        <v>444</v>
      </c>
      <c r="B3683" s="204" t="s">
        <v>4284</v>
      </c>
      <c r="C3683" s="204" t="s">
        <v>63</v>
      </c>
      <c r="D3683" s="204" t="s">
        <v>3038</v>
      </c>
      <c r="E3683" s="205" t="s">
        <v>4777</v>
      </c>
      <c r="F3683" s="203" t="s">
        <v>4778</v>
      </c>
      <c r="G3683" s="203" t="s">
        <v>88</v>
      </c>
      <c r="H3683" s="25" t="s">
        <v>4785</v>
      </c>
      <c r="I3683" s="46" t="e">
        <f>VLOOKUP(H3683,'合同高级查询数据-4月返'!A:A,1,FALSE)</f>
        <v>#N/A</v>
      </c>
      <c r="J3683" s="47" t="s">
        <v>3488</v>
      </c>
      <c r="K3683" s="203" t="s">
        <v>4786</v>
      </c>
      <c r="L3683" s="206"/>
      <c r="M3683" s="49" t="s">
        <v>4787</v>
      </c>
      <c r="N3683" s="73">
        <v>43252</v>
      </c>
      <c r="O3683" s="73" t="s">
        <v>503</v>
      </c>
      <c r="P3683" s="383">
        <v>6200</v>
      </c>
      <c r="Q3683" s="385">
        <v>11</v>
      </c>
      <c r="R3683" s="207">
        <f t="shared" si="118"/>
        <v>68200</v>
      </c>
      <c r="S3683" s="279">
        <v>202304</v>
      </c>
      <c r="T3683" s="184"/>
      <c r="U3683" s="213"/>
      <c r="V3683" s="387"/>
      <c r="W3683" s="214"/>
      <c r="X3683" s="388">
        <v>43374</v>
      </c>
      <c r="Y3683" s="388">
        <v>45331</v>
      </c>
    </row>
    <row r="3684" s="5" customFormat="1" customHeight="1" spans="1:25">
      <c r="A3684" s="203" t="s">
        <v>444</v>
      </c>
      <c r="B3684" s="204" t="s">
        <v>4284</v>
      </c>
      <c r="C3684" s="204" t="s">
        <v>63</v>
      </c>
      <c r="D3684" s="204" t="s">
        <v>3038</v>
      </c>
      <c r="E3684" s="205" t="s">
        <v>4777</v>
      </c>
      <c r="F3684" s="203" t="s">
        <v>4778</v>
      </c>
      <c r="G3684" s="203" t="s">
        <v>88</v>
      </c>
      <c r="H3684" s="25" t="s">
        <v>4785</v>
      </c>
      <c r="I3684" s="46" t="e">
        <f>VLOOKUP(H3684,'合同高级查询数据-4月返'!A:A,1,FALSE)</f>
        <v>#N/A</v>
      </c>
      <c r="J3684" s="47" t="s">
        <v>3488</v>
      </c>
      <c r="K3684" s="203" t="s">
        <v>4786</v>
      </c>
      <c r="L3684" s="206"/>
      <c r="M3684" s="49" t="s">
        <v>4787</v>
      </c>
      <c r="N3684" s="73">
        <v>43252</v>
      </c>
      <c r="O3684" s="73" t="s">
        <v>503</v>
      </c>
      <c r="P3684" s="383">
        <v>6200</v>
      </c>
      <c r="Q3684" s="385">
        <v>1</v>
      </c>
      <c r="R3684" s="207">
        <f t="shared" si="118"/>
        <v>6200</v>
      </c>
      <c r="S3684" s="279">
        <v>202304</v>
      </c>
      <c r="T3684" s="184"/>
      <c r="U3684" s="213"/>
      <c r="V3684" s="387"/>
      <c r="W3684" s="214"/>
      <c r="X3684" s="388">
        <v>43374</v>
      </c>
      <c r="Y3684" s="388">
        <v>45331</v>
      </c>
    </row>
    <row r="3685" s="5" customFormat="1" customHeight="1" spans="1:25">
      <c r="A3685" s="203" t="s">
        <v>444</v>
      </c>
      <c r="B3685" s="204" t="s">
        <v>4284</v>
      </c>
      <c r="C3685" s="204" t="s">
        <v>63</v>
      </c>
      <c r="D3685" s="204" t="s">
        <v>3038</v>
      </c>
      <c r="E3685" s="205" t="s">
        <v>4777</v>
      </c>
      <c r="F3685" s="203" t="s">
        <v>4778</v>
      </c>
      <c r="G3685" s="203" t="s">
        <v>88</v>
      </c>
      <c r="H3685" s="25" t="s">
        <v>4785</v>
      </c>
      <c r="I3685" s="46" t="e">
        <f>VLOOKUP(H3685,'合同高级查询数据-4月返'!A:A,1,FALSE)</f>
        <v>#N/A</v>
      </c>
      <c r="J3685" s="47" t="s">
        <v>3488</v>
      </c>
      <c r="K3685" s="203" t="s">
        <v>4786</v>
      </c>
      <c r="L3685" s="206"/>
      <c r="M3685" s="49" t="s">
        <v>4787</v>
      </c>
      <c r="N3685" s="73">
        <v>43256</v>
      </c>
      <c r="O3685" s="73" t="s">
        <v>503</v>
      </c>
      <c r="P3685" s="383">
        <v>6200</v>
      </c>
      <c r="Q3685" s="385">
        <v>10</v>
      </c>
      <c r="R3685" s="207">
        <f t="shared" si="118"/>
        <v>62000</v>
      </c>
      <c r="S3685" s="279">
        <v>202304</v>
      </c>
      <c r="T3685" s="184"/>
      <c r="U3685" s="213"/>
      <c r="V3685" s="387"/>
      <c r="W3685" s="214"/>
      <c r="X3685" s="388">
        <v>43374</v>
      </c>
      <c r="Y3685" s="388">
        <v>45331</v>
      </c>
    </row>
    <row r="3686" s="5" customFormat="1" customHeight="1" spans="1:25">
      <c r="A3686" s="203" t="s">
        <v>444</v>
      </c>
      <c r="B3686" s="204" t="s">
        <v>4284</v>
      </c>
      <c r="C3686" s="204" t="s">
        <v>63</v>
      </c>
      <c r="D3686" s="204" t="s">
        <v>3038</v>
      </c>
      <c r="E3686" s="205" t="s">
        <v>4777</v>
      </c>
      <c r="F3686" s="203" t="s">
        <v>4778</v>
      </c>
      <c r="G3686" s="203" t="s">
        <v>88</v>
      </c>
      <c r="H3686" s="25" t="s">
        <v>4785</v>
      </c>
      <c r="I3686" s="46" t="e">
        <f>VLOOKUP(H3686,'合同高级查询数据-4月返'!A:A,1,FALSE)</f>
        <v>#N/A</v>
      </c>
      <c r="J3686" s="47" t="s">
        <v>3488</v>
      </c>
      <c r="K3686" s="203" t="s">
        <v>4786</v>
      </c>
      <c r="L3686" s="206"/>
      <c r="M3686" s="49" t="s">
        <v>4787</v>
      </c>
      <c r="N3686" s="73">
        <v>43259</v>
      </c>
      <c r="O3686" s="73" t="s">
        <v>503</v>
      </c>
      <c r="P3686" s="383">
        <v>6200</v>
      </c>
      <c r="Q3686" s="385">
        <v>11</v>
      </c>
      <c r="R3686" s="207">
        <f t="shared" si="118"/>
        <v>68200</v>
      </c>
      <c r="S3686" s="279">
        <v>202304</v>
      </c>
      <c r="T3686" s="184"/>
      <c r="U3686" s="213"/>
      <c r="V3686" s="387"/>
      <c r="W3686" s="214"/>
      <c r="X3686" s="388">
        <v>43374</v>
      </c>
      <c r="Y3686" s="388">
        <v>45331</v>
      </c>
    </row>
    <row r="3687" s="5" customFormat="1" customHeight="1" spans="1:25">
      <c r="A3687" s="203" t="s">
        <v>444</v>
      </c>
      <c r="B3687" s="204" t="s">
        <v>4284</v>
      </c>
      <c r="C3687" s="204" t="s">
        <v>63</v>
      </c>
      <c r="D3687" s="204" t="s">
        <v>3038</v>
      </c>
      <c r="E3687" s="205" t="s">
        <v>4777</v>
      </c>
      <c r="F3687" s="203" t="s">
        <v>4778</v>
      </c>
      <c r="G3687" s="203" t="s">
        <v>88</v>
      </c>
      <c r="H3687" s="25" t="s">
        <v>4785</v>
      </c>
      <c r="I3687" s="46" t="e">
        <f>VLOOKUP(H3687,'合同高级查询数据-4月返'!A:A,1,FALSE)</f>
        <v>#N/A</v>
      </c>
      <c r="J3687" s="47" t="s">
        <v>3488</v>
      </c>
      <c r="K3687" s="203" t="s">
        <v>4786</v>
      </c>
      <c r="L3687" s="206"/>
      <c r="M3687" s="49" t="s">
        <v>4787</v>
      </c>
      <c r="N3687" s="73">
        <v>43259</v>
      </c>
      <c r="O3687" s="73" t="s">
        <v>503</v>
      </c>
      <c r="P3687" s="383">
        <v>6200</v>
      </c>
      <c r="Q3687" s="385">
        <v>22</v>
      </c>
      <c r="R3687" s="207">
        <f t="shared" si="118"/>
        <v>136400</v>
      </c>
      <c r="S3687" s="279">
        <v>202304</v>
      </c>
      <c r="T3687" s="184"/>
      <c r="U3687" s="213"/>
      <c r="V3687" s="387"/>
      <c r="W3687" s="214"/>
      <c r="X3687" s="388">
        <v>43374</v>
      </c>
      <c r="Y3687" s="388">
        <v>45331</v>
      </c>
    </row>
    <row r="3688" s="5" customFormat="1" customHeight="1" spans="1:25">
      <c r="A3688" s="203" t="s">
        <v>444</v>
      </c>
      <c r="B3688" s="204" t="s">
        <v>4284</v>
      </c>
      <c r="C3688" s="204" t="s">
        <v>63</v>
      </c>
      <c r="D3688" s="204" t="s">
        <v>3038</v>
      </c>
      <c r="E3688" s="205" t="s">
        <v>4777</v>
      </c>
      <c r="F3688" s="203" t="s">
        <v>4778</v>
      </c>
      <c r="G3688" s="203" t="s">
        <v>88</v>
      </c>
      <c r="H3688" s="25" t="s">
        <v>4785</v>
      </c>
      <c r="I3688" s="46" t="e">
        <f>VLOOKUP(H3688,'合同高级查询数据-4月返'!A:A,1,FALSE)</f>
        <v>#N/A</v>
      </c>
      <c r="J3688" s="47" t="s">
        <v>3488</v>
      </c>
      <c r="K3688" s="203" t="s">
        <v>4786</v>
      </c>
      <c r="L3688" s="206"/>
      <c r="M3688" s="49" t="s">
        <v>4787</v>
      </c>
      <c r="N3688" s="73">
        <v>43262</v>
      </c>
      <c r="O3688" s="73" t="s">
        <v>503</v>
      </c>
      <c r="P3688" s="383">
        <v>6200</v>
      </c>
      <c r="Q3688" s="385">
        <v>31</v>
      </c>
      <c r="R3688" s="207">
        <f t="shared" si="118"/>
        <v>192200</v>
      </c>
      <c r="S3688" s="279">
        <v>202304</v>
      </c>
      <c r="T3688" s="184"/>
      <c r="U3688" s="213"/>
      <c r="V3688" s="387"/>
      <c r="W3688" s="214"/>
      <c r="X3688" s="388">
        <v>43374</v>
      </c>
      <c r="Y3688" s="388">
        <v>45331</v>
      </c>
    </row>
    <row r="3689" s="5" customFormat="1" customHeight="1" spans="1:25">
      <c r="A3689" s="203" t="s">
        <v>444</v>
      </c>
      <c r="B3689" s="204" t="s">
        <v>4284</v>
      </c>
      <c r="C3689" s="204" t="s">
        <v>63</v>
      </c>
      <c r="D3689" s="204" t="s">
        <v>3038</v>
      </c>
      <c r="E3689" s="205" t="s">
        <v>4777</v>
      </c>
      <c r="F3689" s="203" t="s">
        <v>4778</v>
      </c>
      <c r="G3689" s="203" t="s">
        <v>88</v>
      </c>
      <c r="H3689" s="25" t="s">
        <v>4785</v>
      </c>
      <c r="I3689" s="46" t="e">
        <f>VLOOKUP(H3689,'合同高级查询数据-4月返'!A:A,1,FALSE)</f>
        <v>#N/A</v>
      </c>
      <c r="J3689" s="47" t="s">
        <v>3488</v>
      </c>
      <c r="K3689" s="203" t="s">
        <v>4786</v>
      </c>
      <c r="L3689" s="206"/>
      <c r="M3689" s="49" t="s">
        <v>4787</v>
      </c>
      <c r="N3689" s="73">
        <v>43264</v>
      </c>
      <c r="O3689" s="73" t="s">
        <v>503</v>
      </c>
      <c r="P3689" s="383">
        <v>6200</v>
      </c>
      <c r="Q3689" s="385">
        <v>2</v>
      </c>
      <c r="R3689" s="207">
        <f t="shared" si="118"/>
        <v>12400</v>
      </c>
      <c r="S3689" s="279">
        <v>202304</v>
      </c>
      <c r="T3689" s="184"/>
      <c r="U3689" s="213"/>
      <c r="V3689" s="387"/>
      <c r="W3689" s="214"/>
      <c r="X3689" s="388">
        <v>43374</v>
      </c>
      <c r="Y3689" s="388">
        <v>45331</v>
      </c>
    </row>
    <row r="3690" s="5" customFormat="1" customHeight="1" spans="1:25">
      <c r="A3690" s="203" t="s">
        <v>444</v>
      </c>
      <c r="B3690" s="204" t="s">
        <v>4284</v>
      </c>
      <c r="C3690" s="204" t="s">
        <v>63</v>
      </c>
      <c r="D3690" s="204" t="s">
        <v>3038</v>
      </c>
      <c r="E3690" s="205" t="s">
        <v>4777</v>
      </c>
      <c r="F3690" s="203" t="s">
        <v>4778</v>
      </c>
      <c r="G3690" s="203" t="s">
        <v>88</v>
      </c>
      <c r="H3690" s="25" t="s">
        <v>4785</v>
      </c>
      <c r="I3690" s="46" t="e">
        <f>VLOOKUP(H3690,'合同高级查询数据-4月返'!A:A,1,FALSE)</f>
        <v>#N/A</v>
      </c>
      <c r="J3690" s="47" t="s">
        <v>3488</v>
      </c>
      <c r="K3690" s="203" t="s">
        <v>4786</v>
      </c>
      <c r="L3690" s="206"/>
      <c r="M3690" s="49" t="s">
        <v>4787</v>
      </c>
      <c r="N3690" s="73">
        <v>43266</v>
      </c>
      <c r="O3690" s="73" t="s">
        <v>503</v>
      </c>
      <c r="P3690" s="383">
        <v>6200</v>
      </c>
      <c r="Q3690" s="385">
        <v>40</v>
      </c>
      <c r="R3690" s="207">
        <f t="shared" si="118"/>
        <v>248000</v>
      </c>
      <c r="S3690" s="279">
        <v>202304</v>
      </c>
      <c r="T3690" s="184"/>
      <c r="U3690" s="213"/>
      <c r="V3690" s="387"/>
      <c r="W3690" s="214"/>
      <c r="X3690" s="388">
        <v>43374</v>
      </c>
      <c r="Y3690" s="388">
        <v>45331</v>
      </c>
    </row>
    <row r="3691" s="5" customFormat="1" customHeight="1" spans="1:25">
      <c r="A3691" s="203" t="s">
        <v>444</v>
      </c>
      <c r="B3691" s="204" t="s">
        <v>4284</v>
      </c>
      <c r="C3691" s="204" t="s">
        <v>63</v>
      </c>
      <c r="D3691" s="204" t="s">
        <v>3038</v>
      </c>
      <c r="E3691" s="205" t="s">
        <v>4777</v>
      </c>
      <c r="F3691" s="203" t="s">
        <v>4778</v>
      </c>
      <c r="G3691" s="203" t="s">
        <v>88</v>
      </c>
      <c r="H3691" s="25" t="s">
        <v>4785</v>
      </c>
      <c r="I3691" s="46" t="e">
        <f>VLOOKUP(H3691,'合同高级查询数据-4月返'!A:A,1,FALSE)</f>
        <v>#N/A</v>
      </c>
      <c r="J3691" s="47" t="s">
        <v>3488</v>
      </c>
      <c r="K3691" s="203" t="s">
        <v>4786</v>
      </c>
      <c r="L3691" s="206"/>
      <c r="M3691" s="49" t="s">
        <v>4787</v>
      </c>
      <c r="N3691" s="73">
        <v>43266</v>
      </c>
      <c r="O3691" s="73" t="s">
        <v>503</v>
      </c>
      <c r="P3691" s="383">
        <v>6200</v>
      </c>
      <c r="Q3691" s="385">
        <v>1</v>
      </c>
      <c r="R3691" s="207">
        <f t="shared" si="118"/>
        <v>6200</v>
      </c>
      <c r="S3691" s="279">
        <v>202304</v>
      </c>
      <c r="T3691" s="184"/>
      <c r="U3691" s="213"/>
      <c r="V3691" s="387"/>
      <c r="W3691" s="214"/>
      <c r="X3691" s="388">
        <v>43374</v>
      </c>
      <c r="Y3691" s="388">
        <v>45331</v>
      </c>
    </row>
    <row r="3692" s="5" customFormat="1" customHeight="1" spans="1:25">
      <c r="A3692" s="203" t="s">
        <v>444</v>
      </c>
      <c r="B3692" s="204" t="s">
        <v>4284</v>
      </c>
      <c r="C3692" s="204" t="s">
        <v>63</v>
      </c>
      <c r="D3692" s="204" t="s">
        <v>3038</v>
      </c>
      <c r="E3692" s="205" t="s">
        <v>4777</v>
      </c>
      <c r="F3692" s="203" t="s">
        <v>4778</v>
      </c>
      <c r="G3692" s="203" t="s">
        <v>88</v>
      </c>
      <c r="H3692" s="25" t="s">
        <v>4785</v>
      </c>
      <c r="I3692" s="46" t="e">
        <f>VLOOKUP(H3692,'合同高级查询数据-4月返'!A:A,1,FALSE)</f>
        <v>#N/A</v>
      </c>
      <c r="J3692" s="47" t="s">
        <v>3488</v>
      </c>
      <c r="K3692" s="203" t="s">
        <v>4786</v>
      </c>
      <c r="L3692" s="206"/>
      <c r="M3692" s="49" t="s">
        <v>4787</v>
      </c>
      <c r="N3692" s="73">
        <v>43273</v>
      </c>
      <c r="O3692" s="73" t="s">
        <v>503</v>
      </c>
      <c r="P3692" s="383">
        <v>6200</v>
      </c>
      <c r="Q3692" s="385">
        <v>5</v>
      </c>
      <c r="R3692" s="207">
        <f t="shared" si="118"/>
        <v>31000</v>
      </c>
      <c r="S3692" s="279">
        <v>202304</v>
      </c>
      <c r="T3692" s="184"/>
      <c r="U3692" s="213"/>
      <c r="V3692" s="387"/>
      <c r="W3692" s="214"/>
      <c r="X3692" s="388">
        <v>43374</v>
      </c>
      <c r="Y3692" s="388">
        <v>45331</v>
      </c>
    </row>
    <row r="3693" s="5" customFormat="1" customHeight="1" spans="1:25">
      <c r="A3693" s="203" t="s">
        <v>444</v>
      </c>
      <c r="B3693" s="204" t="s">
        <v>4284</v>
      </c>
      <c r="C3693" s="204" t="s">
        <v>63</v>
      </c>
      <c r="D3693" s="204" t="s">
        <v>3038</v>
      </c>
      <c r="E3693" s="205" t="s">
        <v>4777</v>
      </c>
      <c r="F3693" s="203" t="s">
        <v>4778</v>
      </c>
      <c r="G3693" s="203" t="s">
        <v>88</v>
      </c>
      <c r="H3693" s="25" t="s">
        <v>4785</v>
      </c>
      <c r="I3693" s="46" t="e">
        <f>VLOOKUP(H3693,'合同高级查询数据-4月返'!A:A,1,FALSE)</f>
        <v>#N/A</v>
      </c>
      <c r="J3693" s="47" t="s">
        <v>3488</v>
      </c>
      <c r="K3693" s="203" t="s">
        <v>4786</v>
      </c>
      <c r="L3693" s="206"/>
      <c r="M3693" s="49" t="s">
        <v>4787</v>
      </c>
      <c r="N3693" s="73">
        <v>43277</v>
      </c>
      <c r="O3693" s="73" t="s">
        <v>503</v>
      </c>
      <c r="P3693" s="383">
        <v>6200</v>
      </c>
      <c r="Q3693" s="385">
        <v>77</v>
      </c>
      <c r="R3693" s="207">
        <f t="shared" si="118"/>
        <v>477400</v>
      </c>
      <c r="S3693" s="279">
        <v>202304</v>
      </c>
      <c r="T3693" s="184"/>
      <c r="U3693" s="213"/>
      <c r="V3693" s="387"/>
      <c r="W3693" s="214"/>
      <c r="X3693" s="388">
        <v>43374</v>
      </c>
      <c r="Y3693" s="388">
        <v>45331</v>
      </c>
    </row>
    <row r="3694" s="5" customFormat="1" customHeight="1" spans="1:25">
      <c r="A3694" s="203" t="s">
        <v>444</v>
      </c>
      <c r="B3694" s="204" t="s">
        <v>4284</v>
      </c>
      <c r="C3694" s="204" t="s">
        <v>63</v>
      </c>
      <c r="D3694" s="204" t="s">
        <v>3038</v>
      </c>
      <c r="E3694" s="205" t="s">
        <v>4777</v>
      </c>
      <c r="F3694" s="203" t="s">
        <v>4778</v>
      </c>
      <c r="G3694" s="203" t="s">
        <v>88</v>
      </c>
      <c r="H3694" s="25" t="s">
        <v>4785</v>
      </c>
      <c r="I3694" s="46" t="e">
        <f>VLOOKUP(H3694,'合同高级查询数据-4月返'!A:A,1,FALSE)</f>
        <v>#N/A</v>
      </c>
      <c r="J3694" s="47" t="s">
        <v>3488</v>
      </c>
      <c r="K3694" s="203" t="s">
        <v>4786</v>
      </c>
      <c r="L3694" s="206"/>
      <c r="M3694" s="49" t="s">
        <v>4787</v>
      </c>
      <c r="N3694" s="73">
        <v>43282</v>
      </c>
      <c r="O3694" s="73" t="s">
        <v>503</v>
      </c>
      <c r="P3694" s="383">
        <v>6200</v>
      </c>
      <c r="Q3694" s="385">
        <v>29</v>
      </c>
      <c r="R3694" s="207">
        <f t="shared" si="118"/>
        <v>179800</v>
      </c>
      <c r="S3694" s="279">
        <v>202304</v>
      </c>
      <c r="T3694" s="184"/>
      <c r="U3694" s="213"/>
      <c r="V3694" s="387"/>
      <c r="W3694" s="214"/>
      <c r="X3694" s="388">
        <v>43374</v>
      </c>
      <c r="Y3694" s="388">
        <v>45331</v>
      </c>
    </row>
    <row r="3695" s="5" customFormat="1" customHeight="1" spans="1:25">
      <c r="A3695" s="203" t="s">
        <v>444</v>
      </c>
      <c r="B3695" s="204" t="s">
        <v>4284</v>
      </c>
      <c r="C3695" s="204" t="s">
        <v>63</v>
      </c>
      <c r="D3695" s="204" t="s">
        <v>3038</v>
      </c>
      <c r="E3695" s="205" t="s">
        <v>4777</v>
      </c>
      <c r="F3695" s="203" t="s">
        <v>4778</v>
      </c>
      <c r="G3695" s="203" t="s">
        <v>88</v>
      </c>
      <c r="H3695" s="25" t="s">
        <v>4785</v>
      </c>
      <c r="I3695" s="46" t="e">
        <f>VLOOKUP(H3695,'合同高级查询数据-4月返'!A:A,1,FALSE)</f>
        <v>#N/A</v>
      </c>
      <c r="J3695" s="47" t="s">
        <v>3488</v>
      </c>
      <c r="K3695" s="203" t="s">
        <v>4786</v>
      </c>
      <c r="L3695" s="206"/>
      <c r="M3695" s="49" t="s">
        <v>4787</v>
      </c>
      <c r="N3695" s="73">
        <v>43280</v>
      </c>
      <c r="O3695" s="73" t="s">
        <v>503</v>
      </c>
      <c r="P3695" s="383">
        <v>6200</v>
      </c>
      <c r="Q3695" s="385">
        <v>17</v>
      </c>
      <c r="R3695" s="207">
        <f t="shared" si="118"/>
        <v>105400</v>
      </c>
      <c r="S3695" s="279">
        <v>202304</v>
      </c>
      <c r="T3695" s="184"/>
      <c r="U3695" s="213"/>
      <c r="V3695" s="387"/>
      <c r="W3695" s="214"/>
      <c r="X3695" s="388">
        <v>43374</v>
      </c>
      <c r="Y3695" s="388">
        <v>45331</v>
      </c>
    </row>
    <row r="3696" s="5" customFormat="1" customHeight="1" spans="1:25">
      <c r="A3696" s="203" t="s">
        <v>444</v>
      </c>
      <c r="B3696" s="204" t="s">
        <v>4284</v>
      </c>
      <c r="C3696" s="204" t="s">
        <v>63</v>
      </c>
      <c r="D3696" s="204" t="s">
        <v>3038</v>
      </c>
      <c r="E3696" s="205" t="s">
        <v>4777</v>
      </c>
      <c r="F3696" s="203" t="s">
        <v>4778</v>
      </c>
      <c r="G3696" s="203" t="s">
        <v>88</v>
      </c>
      <c r="H3696" s="25" t="s">
        <v>4785</v>
      </c>
      <c r="I3696" s="46" t="e">
        <f>VLOOKUP(H3696,'合同高级查询数据-4月返'!A:A,1,FALSE)</f>
        <v>#N/A</v>
      </c>
      <c r="J3696" s="47" t="s">
        <v>3488</v>
      </c>
      <c r="K3696" s="203" t="s">
        <v>4786</v>
      </c>
      <c r="L3696" s="206"/>
      <c r="M3696" s="49" t="s">
        <v>4787</v>
      </c>
      <c r="N3696" s="73">
        <v>43283</v>
      </c>
      <c r="O3696" s="73" t="s">
        <v>503</v>
      </c>
      <c r="P3696" s="383">
        <v>6200</v>
      </c>
      <c r="Q3696" s="385">
        <v>56</v>
      </c>
      <c r="R3696" s="207">
        <f t="shared" si="118"/>
        <v>347200</v>
      </c>
      <c r="S3696" s="279">
        <v>202304</v>
      </c>
      <c r="T3696" s="184"/>
      <c r="U3696" s="213"/>
      <c r="V3696" s="387"/>
      <c r="W3696" s="214"/>
      <c r="X3696" s="388">
        <v>43374</v>
      </c>
      <c r="Y3696" s="388">
        <v>45331</v>
      </c>
    </row>
    <row r="3697" s="5" customFormat="1" customHeight="1" spans="1:25">
      <c r="A3697" s="203" t="s">
        <v>444</v>
      </c>
      <c r="B3697" s="204" t="s">
        <v>4284</v>
      </c>
      <c r="C3697" s="204" t="s">
        <v>63</v>
      </c>
      <c r="D3697" s="204" t="s">
        <v>3038</v>
      </c>
      <c r="E3697" s="205" t="s">
        <v>4777</v>
      </c>
      <c r="F3697" s="203" t="s">
        <v>4778</v>
      </c>
      <c r="G3697" s="203" t="s">
        <v>88</v>
      </c>
      <c r="H3697" s="25" t="s">
        <v>4785</v>
      </c>
      <c r="I3697" s="46" t="e">
        <f>VLOOKUP(H3697,'合同高级查询数据-4月返'!A:A,1,FALSE)</f>
        <v>#N/A</v>
      </c>
      <c r="J3697" s="47" t="s">
        <v>3488</v>
      </c>
      <c r="K3697" s="203" t="s">
        <v>4786</v>
      </c>
      <c r="L3697" s="206"/>
      <c r="M3697" s="49" t="s">
        <v>4787</v>
      </c>
      <c r="N3697" s="73">
        <v>43285</v>
      </c>
      <c r="O3697" s="73" t="s">
        <v>503</v>
      </c>
      <c r="P3697" s="383">
        <v>6200</v>
      </c>
      <c r="Q3697" s="385">
        <v>21</v>
      </c>
      <c r="R3697" s="207">
        <f t="shared" si="118"/>
        <v>130200</v>
      </c>
      <c r="S3697" s="279">
        <v>202304</v>
      </c>
      <c r="T3697" s="184"/>
      <c r="U3697" s="213"/>
      <c r="V3697" s="387"/>
      <c r="W3697" s="214"/>
      <c r="X3697" s="388">
        <v>43374</v>
      </c>
      <c r="Y3697" s="388">
        <v>45331</v>
      </c>
    </row>
    <row r="3698" s="5" customFormat="1" customHeight="1" spans="1:25">
      <c r="A3698" s="203" t="s">
        <v>444</v>
      </c>
      <c r="B3698" s="204" t="s">
        <v>4284</v>
      </c>
      <c r="C3698" s="204" t="s">
        <v>63</v>
      </c>
      <c r="D3698" s="204" t="s">
        <v>3038</v>
      </c>
      <c r="E3698" s="205" t="s">
        <v>4777</v>
      </c>
      <c r="F3698" s="203" t="s">
        <v>4778</v>
      </c>
      <c r="G3698" s="203" t="s">
        <v>88</v>
      </c>
      <c r="H3698" s="25" t="s">
        <v>4785</v>
      </c>
      <c r="I3698" s="46" t="e">
        <f>VLOOKUP(H3698,'合同高级查询数据-4月返'!A:A,1,FALSE)</f>
        <v>#N/A</v>
      </c>
      <c r="J3698" s="47" t="s">
        <v>3488</v>
      </c>
      <c r="K3698" s="203" t="s">
        <v>4786</v>
      </c>
      <c r="L3698" s="206"/>
      <c r="M3698" s="49" t="s">
        <v>4787</v>
      </c>
      <c r="N3698" s="73">
        <v>43297</v>
      </c>
      <c r="O3698" s="73" t="s">
        <v>503</v>
      </c>
      <c r="P3698" s="383">
        <v>6200</v>
      </c>
      <c r="Q3698" s="385">
        <v>16</v>
      </c>
      <c r="R3698" s="207">
        <f t="shared" si="118"/>
        <v>99200</v>
      </c>
      <c r="S3698" s="279">
        <v>202304</v>
      </c>
      <c r="T3698" s="184"/>
      <c r="U3698" s="213"/>
      <c r="V3698" s="387"/>
      <c r="W3698" s="214"/>
      <c r="X3698" s="388">
        <v>43374</v>
      </c>
      <c r="Y3698" s="388">
        <v>45331</v>
      </c>
    </row>
    <row r="3699" s="5" customFormat="1" customHeight="1" spans="1:25">
      <c r="A3699" s="203" t="s">
        <v>444</v>
      </c>
      <c r="B3699" s="204" t="s">
        <v>4284</v>
      </c>
      <c r="C3699" s="204" t="s">
        <v>63</v>
      </c>
      <c r="D3699" s="204" t="s">
        <v>3038</v>
      </c>
      <c r="E3699" s="205" t="s">
        <v>4777</v>
      </c>
      <c r="F3699" s="203" t="s">
        <v>4778</v>
      </c>
      <c r="G3699" s="203" t="s">
        <v>88</v>
      </c>
      <c r="H3699" s="25" t="s">
        <v>4785</v>
      </c>
      <c r="I3699" s="46" t="e">
        <f>VLOOKUP(H3699,'合同高级查询数据-4月返'!A:A,1,FALSE)</f>
        <v>#N/A</v>
      </c>
      <c r="J3699" s="47" t="s">
        <v>3488</v>
      </c>
      <c r="K3699" s="203" t="s">
        <v>4786</v>
      </c>
      <c r="L3699" s="206"/>
      <c r="M3699" s="49" t="s">
        <v>4787</v>
      </c>
      <c r="N3699" s="73">
        <v>43299</v>
      </c>
      <c r="O3699" s="73" t="s">
        <v>503</v>
      </c>
      <c r="P3699" s="383">
        <v>6200</v>
      </c>
      <c r="Q3699" s="385">
        <v>1</v>
      </c>
      <c r="R3699" s="207">
        <f t="shared" si="118"/>
        <v>6200</v>
      </c>
      <c r="S3699" s="279">
        <v>202304</v>
      </c>
      <c r="T3699" s="184"/>
      <c r="U3699" s="213"/>
      <c r="V3699" s="387"/>
      <c r="W3699" s="214"/>
      <c r="X3699" s="388">
        <v>43374</v>
      </c>
      <c r="Y3699" s="388">
        <v>45331</v>
      </c>
    </row>
    <row r="3700" s="5" customFormat="1" customHeight="1" spans="1:25">
      <c r="A3700" s="203" t="s">
        <v>444</v>
      </c>
      <c r="B3700" s="204" t="s">
        <v>4284</v>
      </c>
      <c r="C3700" s="204" t="s">
        <v>63</v>
      </c>
      <c r="D3700" s="204" t="s">
        <v>3038</v>
      </c>
      <c r="E3700" s="205" t="s">
        <v>4777</v>
      </c>
      <c r="F3700" s="203" t="s">
        <v>4778</v>
      </c>
      <c r="G3700" s="203" t="s">
        <v>88</v>
      </c>
      <c r="H3700" s="25" t="s">
        <v>4785</v>
      </c>
      <c r="I3700" s="46" t="e">
        <f>VLOOKUP(H3700,'合同高级查询数据-4月返'!A:A,1,FALSE)</f>
        <v>#N/A</v>
      </c>
      <c r="J3700" s="47" t="s">
        <v>3488</v>
      </c>
      <c r="K3700" s="203" t="s">
        <v>4786</v>
      </c>
      <c r="L3700" s="206"/>
      <c r="M3700" s="49" t="s">
        <v>4787</v>
      </c>
      <c r="N3700" s="73">
        <v>43308</v>
      </c>
      <c r="O3700" s="73" t="s">
        <v>503</v>
      </c>
      <c r="P3700" s="383">
        <v>6200</v>
      </c>
      <c r="Q3700" s="385">
        <v>15</v>
      </c>
      <c r="R3700" s="207">
        <f t="shared" si="118"/>
        <v>93000</v>
      </c>
      <c r="S3700" s="279">
        <v>202304</v>
      </c>
      <c r="T3700" s="184"/>
      <c r="U3700" s="213"/>
      <c r="V3700" s="387"/>
      <c r="W3700" s="214"/>
      <c r="X3700" s="388">
        <v>43374</v>
      </c>
      <c r="Y3700" s="388">
        <v>45331</v>
      </c>
    </row>
    <row r="3701" s="5" customFormat="1" customHeight="1" spans="1:25">
      <c r="A3701" s="203" t="s">
        <v>444</v>
      </c>
      <c r="B3701" s="204" t="s">
        <v>4284</v>
      </c>
      <c r="C3701" s="204" t="s">
        <v>63</v>
      </c>
      <c r="D3701" s="204" t="s">
        <v>3038</v>
      </c>
      <c r="E3701" s="205" t="s">
        <v>4777</v>
      </c>
      <c r="F3701" s="203" t="s">
        <v>4778</v>
      </c>
      <c r="G3701" s="203" t="s">
        <v>88</v>
      </c>
      <c r="H3701" s="25" t="s">
        <v>4785</v>
      </c>
      <c r="I3701" s="46" t="e">
        <f>VLOOKUP(H3701,'合同高级查询数据-4月返'!A:A,1,FALSE)</f>
        <v>#N/A</v>
      </c>
      <c r="J3701" s="47" t="s">
        <v>3488</v>
      </c>
      <c r="K3701" s="203" t="s">
        <v>4786</v>
      </c>
      <c r="L3701" s="206"/>
      <c r="M3701" s="49" t="s">
        <v>4787</v>
      </c>
      <c r="N3701" s="73">
        <v>43313</v>
      </c>
      <c r="O3701" s="73" t="s">
        <v>503</v>
      </c>
      <c r="P3701" s="383">
        <v>6200</v>
      </c>
      <c r="Q3701" s="385">
        <v>1</v>
      </c>
      <c r="R3701" s="207">
        <f t="shared" si="118"/>
        <v>6200</v>
      </c>
      <c r="S3701" s="279">
        <v>202304</v>
      </c>
      <c r="T3701" s="184"/>
      <c r="U3701" s="213"/>
      <c r="V3701" s="387"/>
      <c r="W3701" s="214"/>
      <c r="X3701" s="388">
        <v>43374</v>
      </c>
      <c r="Y3701" s="388">
        <v>45331</v>
      </c>
    </row>
    <row r="3702" s="5" customFormat="1" customHeight="1" spans="1:25">
      <c r="A3702" s="203" t="s">
        <v>444</v>
      </c>
      <c r="B3702" s="204" t="s">
        <v>4284</v>
      </c>
      <c r="C3702" s="204" t="s">
        <v>63</v>
      </c>
      <c r="D3702" s="204" t="s">
        <v>3038</v>
      </c>
      <c r="E3702" s="205" t="s">
        <v>4777</v>
      </c>
      <c r="F3702" s="203" t="s">
        <v>4778</v>
      </c>
      <c r="G3702" s="203" t="s">
        <v>88</v>
      </c>
      <c r="H3702" s="25" t="s">
        <v>4785</v>
      </c>
      <c r="I3702" s="46" t="e">
        <f>VLOOKUP(H3702,'合同高级查询数据-4月返'!A:A,1,FALSE)</f>
        <v>#N/A</v>
      </c>
      <c r="J3702" s="47" t="s">
        <v>3488</v>
      </c>
      <c r="K3702" s="203" t="s">
        <v>4786</v>
      </c>
      <c r="L3702" s="206"/>
      <c r="M3702" s="49" t="s">
        <v>4787</v>
      </c>
      <c r="N3702" s="73">
        <v>43314</v>
      </c>
      <c r="O3702" s="73" t="s">
        <v>503</v>
      </c>
      <c r="P3702" s="383">
        <v>6200</v>
      </c>
      <c r="Q3702" s="385">
        <v>6</v>
      </c>
      <c r="R3702" s="207">
        <f t="shared" si="118"/>
        <v>37200</v>
      </c>
      <c r="S3702" s="279">
        <v>202304</v>
      </c>
      <c r="T3702" s="184"/>
      <c r="U3702" s="213"/>
      <c r="V3702" s="387"/>
      <c r="W3702" s="214"/>
      <c r="X3702" s="388">
        <v>43374</v>
      </c>
      <c r="Y3702" s="388">
        <v>45331</v>
      </c>
    </row>
    <row r="3703" s="5" customFormat="1" customHeight="1" spans="1:25">
      <c r="A3703" s="203" t="s">
        <v>444</v>
      </c>
      <c r="B3703" s="204" t="s">
        <v>4284</v>
      </c>
      <c r="C3703" s="204" t="s">
        <v>63</v>
      </c>
      <c r="D3703" s="204" t="s">
        <v>3038</v>
      </c>
      <c r="E3703" s="205" t="s">
        <v>4777</v>
      </c>
      <c r="F3703" s="203" t="s">
        <v>4778</v>
      </c>
      <c r="G3703" s="203" t="s">
        <v>88</v>
      </c>
      <c r="H3703" s="25" t="s">
        <v>4785</v>
      </c>
      <c r="I3703" s="46" t="e">
        <f>VLOOKUP(H3703,'合同高级查询数据-4月返'!A:A,1,FALSE)</f>
        <v>#N/A</v>
      </c>
      <c r="J3703" s="47" t="s">
        <v>3488</v>
      </c>
      <c r="K3703" s="203" t="s">
        <v>4786</v>
      </c>
      <c r="L3703" s="206"/>
      <c r="M3703" s="49" t="s">
        <v>4787</v>
      </c>
      <c r="N3703" s="73">
        <v>43322</v>
      </c>
      <c r="O3703" s="73" t="s">
        <v>503</v>
      </c>
      <c r="P3703" s="383">
        <v>6200</v>
      </c>
      <c r="Q3703" s="385">
        <v>45</v>
      </c>
      <c r="R3703" s="207">
        <f t="shared" si="118"/>
        <v>279000</v>
      </c>
      <c r="S3703" s="279">
        <v>202304</v>
      </c>
      <c r="T3703" s="184"/>
      <c r="U3703" s="213"/>
      <c r="V3703" s="387"/>
      <c r="W3703" s="214"/>
      <c r="X3703" s="388">
        <v>43374</v>
      </c>
      <c r="Y3703" s="388">
        <v>45331</v>
      </c>
    </row>
    <row r="3704" s="5" customFormat="1" customHeight="1" spans="1:25">
      <c r="A3704" s="203" t="s">
        <v>444</v>
      </c>
      <c r="B3704" s="204" t="s">
        <v>4284</v>
      </c>
      <c r="C3704" s="204" t="s">
        <v>63</v>
      </c>
      <c r="D3704" s="204" t="s">
        <v>3038</v>
      </c>
      <c r="E3704" s="205" t="s">
        <v>4777</v>
      </c>
      <c r="F3704" s="203" t="s">
        <v>4778</v>
      </c>
      <c r="G3704" s="203" t="s">
        <v>88</v>
      </c>
      <c r="H3704" s="25" t="s">
        <v>4785</v>
      </c>
      <c r="I3704" s="46" t="e">
        <f>VLOOKUP(H3704,'合同高级查询数据-4月返'!A:A,1,FALSE)</f>
        <v>#N/A</v>
      </c>
      <c r="J3704" s="47" t="s">
        <v>3488</v>
      </c>
      <c r="K3704" s="203" t="s">
        <v>4786</v>
      </c>
      <c r="L3704" s="206"/>
      <c r="M3704" s="49" t="s">
        <v>4787</v>
      </c>
      <c r="N3704" s="73">
        <v>43325</v>
      </c>
      <c r="O3704" s="73" t="s">
        <v>503</v>
      </c>
      <c r="P3704" s="383">
        <v>6200</v>
      </c>
      <c r="Q3704" s="385">
        <v>9</v>
      </c>
      <c r="R3704" s="207">
        <f t="shared" si="118"/>
        <v>55800</v>
      </c>
      <c r="S3704" s="279">
        <v>202304</v>
      </c>
      <c r="T3704" s="184"/>
      <c r="U3704" s="213"/>
      <c r="V3704" s="387"/>
      <c r="W3704" s="214"/>
      <c r="X3704" s="388">
        <v>43374</v>
      </c>
      <c r="Y3704" s="388">
        <v>45331</v>
      </c>
    </row>
    <row r="3705" s="5" customFormat="1" customHeight="1" spans="1:25">
      <c r="A3705" s="203" t="s">
        <v>444</v>
      </c>
      <c r="B3705" s="204" t="s">
        <v>4284</v>
      </c>
      <c r="C3705" s="204" t="s">
        <v>63</v>
      </c>
      <c r="D3705" s="204" t="s">
        <v>3038</v>
      </c>
      <c r="E3705" s="205" t="s">
        <v>4777</v>
      </c>
      <c r="F3705" s="203" t="s">
        <v>4778</v>
      </c>
      <c r="G3705" s="203" t="s">
        <v>88</v>
      </c>
      <c r="H3705" s="25" t="s">
        <v>4785</v>
      </c>
      <c r="I3705" s="46" t="e">
        <f>VLOOKUP(H3705,'合同高级查询数据-4月返'!A:A,1,FALSE)</f>
        <v>#N/A</v>
      </c>
      <c r="J3705" s="47" t="s">
        <v>3488</v>
      </c>
      <c r="K3705" s="203" t="s">
        <v>4786</v>
      </c>
      <c r="L3705" s="206"/>
      <c r="M3705" s="49" t="s">
        <v>4787</v>
      </c>
      <c r="N3705" s="73">
        <v>43326</v>
      </c>
      <c r="O3705" s="73" t="s">
        <v>503</v>
      </c>
      <c r="P3705" s="383">
        <v>6200</v>
      </c>
      <c r="Q3705" s="385">
        <v>1</v>
      </c>
      <c r="R3705" s="207">
        <f t="shared" si="118"/>
        <v>6200</v>
      </c>
      <c r="S3705" s="279">
        <v>202304</v>
      </c>
      <c r="T3705" s="184"/>
      <c r="U3705" s="213"/>
      <c r="V3705" s="387"/>
      <c r="W3705" s="214"/>
      <c r="X3705" s="388">
        <v>43374</v>
      </c>
      <c r="Y3705" s="388">
        <v>45331</v>
      </c>
    </row>
    <row r="3706" s="5" customFormat="1" customHeight="1" spans="1:25">
      <c r="A3706" s="203" t="s">
        <v>444</v>
      </c>
      <c r="B3706" s="204" t="s">
        <v>4284</v>
      </c>
      <c r="C3706" s="204" t="s">
        <v>63</v>
      </c>
      <c r="D3706" s="204" t="s">
        <v>3038</v>
      </c>
      <c r="E3706" s="205" t="s">
        <v>4777</v>
      </c>
      <c r="F3706" s="203" t="s">
        <v>4778</v>
      </c>
      <c r="G3706" s="203" t="s">
        <v>88</v>
      </c>
      <c r="H3706" s="25" t="s">
        <v>4785</v>
      </c>
      <c r="I3706" s="46" t="e">
        <f>VLOOKUP(H3706,'合同高级查询数据-4月返'!A:A,1,FALSE)</f>
        <v>#N/A</v>
      </c>
      <c r="J3706" s="47" t="s">
        <v>3488</v>
      </c>
      <c r="K3706" s="203" t="s">
        <v>4786</v>
      </c>
      <c r="L3706" s="206"/>
      <c r="M3706" s="49" t="s">
        <v>4787</v>
      </c>
      <c r="N3706" s="73">
        <v>43327</v>
      </c>
      <c r="O3706" s="73" t="s">
        <v>503</v>
      </c>
      <c r="P3706" s="383">
        <v>6200</v>
      </c>
      <c r="Q3706" s="385">
        <v>3</v>
      </c>
      <c r="R3706" s="207">
        <f t="shared" si="118"/>
        <v>18600</v>
      </c>
      <c r="S3706" s="279">
        <v>202304</v>
      </c>
      <c r="T3706" s="184"/>
      <c r="U3706" s="213"/>
      <c r="V3706" s="387"/>
      <c r="W3706" s="214"/>
      <c r="X3706" s="388">
        <v>43374</v>
      </c>
      <c r="Y3706" s="388">
        <v>45331</v>
      </c>
    </row>
    <row r="3707" s="5" customFormat="1" customHeight="1" spans="1:25">
      <c r="A3707" s="203" t="s">
        <v>444</v>
      </c>
      <c r="B3707" s="204" t="s">
        <v>4284</v>
      </c>
      <c r="C3707" s="204" t="s">
        <v>63</v>
      </c>
      <c r="D3707" s="204" t="s">
        <v>3038</v>
      </c>
      <c r="E3707" s="205" t="s">
        <v>4777</v>
      </c>
      <c r="F3707" s="203" t="s">
        <v>4778</v>
      </c>
      <c r="G3707" s="203" t="s">
        <v>88</v>
      </c>
      <c r="H3707" s="25" t="s">
        <v>4785</v>
      </c>
      <c r="I3707" s="46" t="e">
        <f>VLOOKUP(H3707,'合同高级查询数据-4月返'!A:A,1,FALSE)</f>
        <v>#N/A</v>
      </c>
      <c r="J3707" s="47" t="s">
        <v>3488</v>
      </c>
      <c r="K3707" s="203" t="s">
        <v>4786</v>
      </c>
      <c r="L3707" s="206"/>
      <c r="M3707" s="49" t="s">
        <v>4787</v>
      </c>
      <c r="N3707" s="73">
        <v>43344</v>
      </c>
      <c r="O3707" s="73" t="s">
        <v>503</v>
      </c>
      <c r="P3707" s="383">
        <v>6200</v>
      </c>
      <c r="Q3707" s="385">
        <v>23</v>
      </c>
      <c r="R3707" s="207">
        <f t="shared" si="118"/>
        <v>142600</v>
      </c>
      <c r="S3707" s="279">
        <v>202304</v>
      </c>
      <c r="T3707" s="184"/>
      <c r="U3707" s="213"/>
      <c r="V3707" s="387"/>
      <c r="W3707" s="214"/>
      <c r="X3707" s="388">
        <v>43374</v>
      </c>
      <c r="Y3707" s="388">
        <v>45331</v>
      </c>
    </row>
    <row r="3708" s="5" customFormat="1" customHeight="1" spans="1:25">
      <c r="A3708" s="203" t="s">
        <v>444</v>
      </c>
      <c r="B3708" s="204" t="s">
        <v>4284</v>
      </c>
      <c r="C3708" s="204" t="s">
        <v>63</v>
      </c>
      <c r="D3708" s="204" t="s">
        <v>3038</v>
      </c>
      <c r="E3708" s="205" t="s">
        <v>4777</v>
      </c>
      <c r="F3708" s="203" t="s">
        <v>4778</v>
      </c>
      <c r="G3708" s="203" t="s">
        <v>88</v>
      </c>
      <c r="H3708" s="25" t="s">
        <v>4785</v>
      </c>
      <c r="I3708" s="46" t="e">
        <f>VLOOKUP(H3708,'合同高级查询数据-4月返'!A:A,1,FALSE)</f>
        <v>#N/A</v>
      </c>
      <c r="J3708" s="47" t="s">
        <v>3488</v>
      </c>
      <c r="K3708" s="203" t="s">
        <v>4786</v>
      </c>
      <c r="L3708" s="206"/>
      <c r="M3708" s="49" t="s">
        <v>4787</v>
      </c>
      <c r="N3708" s="73">
        <v>43346</v>
      </c>
      <c r="O3708" s="73" t="s">
        <v>503</v>
      </c>
      <c r="P3708" s="383">
        <v>6200</v>
      </c>
      <c r="Q3708" s="385">
        <v>14</v>
      </c>
      <c r="R3708" s="207">
        <f t="shared" si="118"/>
        <v>86800</v>
      </c>
      <c r="S3708" s="279">
        <v>202304</v>
      </c>
      <c r="T3708" s="184"/>
      <c r="U3708" s="213"/>
      <c r="V3708" s="387"/>
      <c r="W3708" s="214"/>
      <c r="X3708" s="388">
        <v>43374</v>
      </c>
      <c r="Y3708" s="388">
        <v>45331</v>
      </c>
    </row>
    <row r="3709" s="5" customFormat="1" customHeight="1" spans="1:25">
      <c r="A3709" s="203" t="s">
        <v>444</v>
      </c>
      <c r="B3709" s="204" t="s">
        <v>4284</v>
      </c>
      <c r="C3709" s="204" t="s">
        <v>63</v>
      </c>
      <c r="D3709" s="204" t="s">
        <v>3038</v>
      </c>
      <c r="E3709" s="205" t="s">
        <v>4777</v>
      </c>
      <c r="F3709" s="203" t="s">
        <v>4778</v>
      </c>
      <c r="G3709" s="203" t="s">
        <v>88</v>
      </c>
      <c r="H3709" s="25" t="s">
        <v>4785</v>
      </c>
      <c r="I3709" s="46" t="e">
        <f>VLOOKUP(H3709,'合同高级查询数据-4月返'!A:A,1,FALSE)</f>
        <v>#N/A</v>
      </c>
      <c r="J3709" s="47" t="s">
        <v>3488</v>
      </c>
      <c r="K3709" s="203" t="s">
        <v>4786</v>
      </c>
      <c r="L3709" s="206"/>
      <c r="M3709" s="49" t="s">
        <v>4787</v>
      </c>
      <c r="N3709" s="73">
        <v>43369</v>
      </c>
      <c r="O3709" s="73" t="s">
        <v>503</v>
      </c>
      <c r="P3709" s="383">
        <v>6200</v>
      </c>
      <c r="Q3709" s="385">
        <v>2</v>
      </c>
      <c r="R3709" s="207">
        <f t="shared" si="118"/>
        <v>12400</v>
      </c>
      <c r="S3709" s="279">
        <v>202304</v>
      </c>
      <c r="T3709" s="184"/>
      <c r="U3709" s="213"/>
      <c r="V3709" s="387"/>
      <c r="W3709" s="214"/>
      <c r="X3709" s="388">
        <v>43374</v>
      </c>
      <c r="Y3709" s="388">
        <v>45331</v>
      </c>
    </row>
    <row r="3710" s="5" customFormat="1" customHeight="1" spans="1:25">
      <c r="A3710" s="203" t="s">
        <v>444</v>
      </c>
      <c r="B3710" s="204" t="s">
        <v>4284</v>
      </c>
      <c r="C3710" s="204" t="s">
        <v>63</v>
      </c>
      <c r="D3710" s="204" t="s">
        <v>3038</v>
      </c>
      <c r="E3710" s="205" t="s">
        <v>4777</v>
      </c>
      <c r="F3710" s="203" t="s">
        <v>4778</v>
      </c>
      <c r="G3710" s="203" t="s">
        <v>88</v>
      </c>
      <c r="H3710" s="25" t="s">
        <v>4785</v>
      </c>
      <c r="I3710" s="46" t="e">
        <f>VLOOKUP(H3710,'合同高级查询数据-4月返'!A:A,1,FALSE)</f>
        <v>#N/A</v>
      </c>
      <c r="J3710" s="47" t="s">
        <v>3488</v>
      </c>
      <c r="K3710" s="203" t="s">
        <v>4786</v>
      </c>
      <c r="L3710" s="206"/>
      <c r="M3710" s="49" t="s">
        <v>4787</v>
      </c>
      <c r="N3710" s="73">
        <v>43369</v>
      </c>
      <c r="O3710" s="73" t="s">
        <v>503</v>
      </c>
      <c r="P3710" s="383">
        <v>6200</v>
      </c>
      <c r="Q3710" s="385">
        <v>23</v>
      </c>
      <c r="R3710" s="207">
        <f t="shared" si="118"/>
        <v>142600</v>
      </c>
      <c r="S3710" s="279">
        <v>202304</v>
      </c>
      <c r="T3710" s="184"/>
      <c r="U3710" s="213"/>
      <c r="V3710" s="387"/>
      <c r="W3710" s="214"/>
      <c r="X3710" s="388">
        <v>43374</v>
      </c>
      <c r="Y3710" s="388">
        <v>45331</v>
      </c>
    </row>
    <row r="3711" s="5" customFormat="1" customHeight="1" spans="1:25">
      <c r="A3711" s="203" t="s">
        <v>444</v>
      </c>
      <c r="B3711" s="204" t="s">
        <v>4284</v>
      </c>
      <c r="C3711" s="204" t="s">
        <v>63</v>
      </c>
      <c r="D3711" s="204" t="s">
        <v>3038</v>
      </c>
      <c r="E3711" s="205" t="s">
        <v>4777</v>
      </c>
      <c r="F3711" s="203" t="s">
        <v>4778</v>
      </c>
      <c r="G3711" s="203" t="s">
        <v>88</v>
      </c>
      <c r="H3711" s="25" t="s">
        <v>4785</v>
      </c>
      <c r="I3711" s="46" t="e">
        <f>VLOOKUP(H3711,'合同高级查询数据-4月返'!A:A,1,FALSE)</f>
        <v>#N/A</v>
      </c>
      <c r="J3711" s="47" t="s">
        <v>3488</v>
      </c>
      <c r="K3711" s="203" t="s">
        <v>4786</v>
      </c>
      <c r="L3711" s="206"/>
      <c r="M3711" s="49" t="s">
        <v>4787</v>
      </c>
      <c r="N3711" s="73">
        <v>43370</v>
      </c>
      <c r="O3711" s="73" t="s">
        <v>503</v>
      </c>
      <c r="P3711" s="383">
        <v>6200</v>
      </c>
      <c r="Q3711" s="385">
        <v>38</v>
      </c>
      <c r="R3711" s="207">
        <f t="shared" si="118"/>
        <v>235600</v>
      </c>
      <c r="S3711" s="279">
        <v>202304</v>
      </c>
      <c r="T3711" s="184"/>
      <c r="U3711" s="213"/>
      <c r="V3711" s="387"/>
      <c r="W3711" s="214"/>
      <c r="X3711" s="388">
        <v>43374</v>
      </c>
      <c r="Y3711" s="388">
        <v>45331</v>
      </c>
    </row>
    <row r="3712" s="5" customFormat="1" customHeight="1" spans="1:25">
      <c r="A3712" s="203" t="s">
        <v>444</v>
      </c>
      <c r="B3712" s="204" t="s">
        <v>4284</v>
      </c>
      <c r="C3712" s="204" t="s">
        <v>63</v>
      </c>
      <c r="D3712" s="204" t="s">
        <v>3038</v>
      </c>
      <c r="E3712" s="205" t="s">
        <v>4777</v>
      </c>
      <c r="F3712" s="203" t="s">
        <v>4778</v>
      </c>
      <c r="G3712" s="203" t="s">
        <v>88</v>
      </c>
      <c r="H3712" s="25" t="s">
        <v>4785</v>
      </c>
      <c r="I3712" s="46" t="e">
        <f>VLOOKUP(H3712,'合同高级查询数据-4月返'!A:A,1,FALSE)</f>
        <v>#N/A</v>
      </c>
      <c r="J3712" s="47" t="s">
        <v>3488</v>
      </c>
      <c r="K3712" s="203" t="s">
        <v>4786</v>
      </c>
      <c r="L3712" s="206"/>
      <c r="M3712" s="49" t="s">
        <v>4787</v>
      </c>
      <c r="N3712" s="73">
        <v>43372</v>
      </c>
      <c r="O3712" s="73" t="s">
        <v>503</v>
      </c>
      <c r="P3712" s="383">
        <v>6200</v>
      </c>
      <c r="Q3712" s="385">
        <v>12</v>
      </c>
      <c r="R3712" s="207">
        <f t="shared" si="118"/>
        <v>74400</v>
      </c>
      <c r="S3712" s="279">
        <v>202304</v>
      </c>
      <c r="T3712" s="184"/>
      <c r="U3712" s="213"/>
      <c r="V3712" s="387"/>
      <c r="W3712" s="214"/>
      <c r="X3712" s="388">
        <v>43374</v>
      </c>
      <c r="Y3712" s="388">
        <v>45331</v>
      </c>
    </row>
    <row r="3713" s="5" customFormat="1" customHeight="1" spans="1:25">
      <c r="A3713" s="203" t="s">
        <v>444</v>
      </c>
      <c r="B3713" s="204" t="s">
        <v>4284</v>
      </c>
      <c r="C3713" s="204" t="s">
        <v>63</v>
      </c>
      <c r="D3713" s="204" t="s">
        <v>3038</v>
      </c>
      <c r="E3713" s="205" t="s">
        <v>4777</v>
      </c>
      <c r="F3713" s="203" t="s">
        <v>4778</v>
      </c>
      <c r="G3713" s="203" t="s">
        <v>88</v>
      </c>
      <c r="H3713" s="25" t="s">
        <v>4785</v>
      </c>
      <c r="I3713" s="46" t="e">
        <f>VLOOKUP(H3713,'合同高级查询数据-4月返'!A:A,1,FALSE)</f>
        <v>#N/A</v>
      </c>
      <c r="J3713" s="47" t="s">
        <v>3488</v>
      </c>
      <c r="K3713" s="203" t="s">
        <v>4786</v>
      </c>
      <c r="L3713" s="206"/>
      <c r="M3713" s="49" t="s">
        <v>4787</v>
      </c>
      <c r="N3713" s="73">
        <v>43370</v>
      </c>
      <c r="O3713" s="73" t="s">
        <v>503</v>
      </c>
      <c r="P3713" s="383">
        <v>6200</v>
      </c>
      <c r="Q3713" s="385">
        <v>6</v>
      </c>
      <c r="R3713" s="207">
        <f t="shared" si="118"/>
        <v>37200</v>
      </c>
      <c r="S3713" s="279">
        <v>202304</v>
      </c>
      <c r="T3713" s="184"/>
      <c r="U3713" s="213"/>
      <c r="V3713" s="387"/>
      <c r="W3713" s="214"/>
      <c r="X3713" s="388">
        <v>43374</v>
      </c>
      <c r="Y3713" s="388">
        <v>45331</v>
      </c>
    </row>
    <row r="3714" s="5" customFormat="1" customHeight="1" spans="1:25">
      <c r="A3714" s="203" t="s">
        <v>444</v>
      </c>
      <c r="B3714" s="204" t="s">
        <v>4284</v>
      </c>
      <c r="C3714" s="204" t="s">
        <v>63</v>
      </c>
      <c r="D3714" s="204" t="s">
        <v>3038</v>
      </c>
      <c r="E3714" s="205" t="s">
        <v>4777</v>
      </c>
      <c r="F3714" s="203" t="s">
        <v>4778</v>
      </c>
      <c r="G3714" s="203" t="s">
        <v>88</v>
      </c>
      <c r="H3714" s="25" t="s">
        <v>4785</v>
      </c>
      <c r="I3714" s="46" t="e">
        <f>VLOOKUP(H3714,'合同高级查询数据-4月返'!A:A,1,FALSE)</f>
        <v>#N/A</v>
      </c>
      <c r="J3714" s="47" t="s">
        <v>3488</v>
      </c>
      <c r="K3714" s="203" t="s">
        <v>4786</v>
      </c>
      <c r="L3714" s="206"/>
      <c r="M3714" s="49" t="s">
        <v>4787</v>
      </c>
      <c r="N3714" s="73">
        <v>43370</v>
      </c>
      <c r="O3714" s="73" t="s">
        <v>503</v>
      </c>
      <c r="P3714" s="383">
        <v>6200</v>
      </c>
      <c r="Q3714" s="385">
        <v>26</v>
      </c>
      <c r="R3714" s="207">
        <f t="shared" si="118"/>
        <v>161200</v>
      </c>
      <c r="S3714" s="279">
        <v>202304</v>
      </c>
      <c r="T3714" s="184"/>
      <c r="U3714" s="213"/>
      <c r="V3714" s="387"/>
      <c r="W3714" s="214"/>
      <c r="X3714" s="388">
        <v>43374</v>
      </c>
      <c r="Y3714" s="388">
        <v>45331</v>
      </c>
    </row>
    <row r="3715" s="5" customFormat="1" customHeight="1" spans="1:25">
      <c r="A3715" s="203" t="s">
        <v>444</v>
      </c>
      <c r="B3715" s="204" t="s">
        <v>4284</v>
      </c>
      <c r="C3715" s="204" t="s">
        <v>63</v>
      </c>
      <c r="D3715" s="204" t="s">
        <v>3038</v>
      </c>
      <c r="E3715" s="205" t="s">
        <v>4777</v>
      </c>
      <c r="F3715" s="203" t="s">
        <v>4778</v>
      </c>
      <c r="G3715" s="203" t="s">
        <v>88</v>
      </c>
      <c r="H3715" s="25" t="s">
        <v>4785</v>
      </c>
      <c r="I3715" s="46" t="e">
        <f>VLOOKUP(H3715,'合同高级查询数据-4月返'!A:A,1,FALSE)</f>
        <v>#N/A</v>
      </c>
      <c r="J3715" s="47" t="s">
        <v>3488</v>
      </c>
      <c r="K3715" s="203" t="s">
        <v>4786</v>
      </c>
      <c r="L3715" s="206"/>
      <c r="M3715" s="49" t="s">
        <v>4787</v>
      </c>
      <c r="N3715" s="73">
        <v>43373</v>
      </c>
      <c r="O3715" s="73" t="s">
        <v>503</v>
      </c>
      <c r="P3715" s="383">
        <v>6200</v>
      </c>
      <c r="Q3715" s="385">
        <v>11</v>
      </c>
      <c r="R3715" s="207">
        <f t="shared" si="118"/>
        <v>68200</v>
      </c>
      <c r="S3715" s="279">
        <v>202304</v>
      </c>
      <c r="T3715" s="184"/>
      <c r="U3715" s="213"/>
      <c r="V3715" s="387"/>
      <c r="W3715" s="214"/>
      <c r="X3715" s="388">
        <v>43374</v>
      </c>
      <c r="Y3715" s="388">
        <v>45331</v>
      </c>
    </row>
    <row r="3716" s="5" customFormat="1" customHeight="1" spans="1:25">
      <c r="A3716" s="203" t="s">
        <v>444</v>
      </c>
      <c r="B3716" s="204" t="s">
        <v>4284</v>
      </c>
      <c r="C3716" s="204" t="s">
        <v>63</v>
      </c>
      <c r="D3716" s="204" t="s">
        <v>3038</v>
      </c>
      <c r="E3716" s="205" t="s">
        <v>4777</v>
      </c>
      <c r="F3716" s="203" t="s">
        <v>4778</v>
      </c>
      <c r="G3716" s="203" t="s">
        <v>88</v>
      </c>
      <c r="H3716" s="25" t="s">
        <v>4785</v>
      </c>
      <c r="I3716" s="46" t="e">
        <f>VLOOKUP(H3716,'合同高级查询数据-4月返'!A:A,1,FALSE)</f>
        <v>#N/A</v>
      </c>
      <c r="J3716" s="47" t="s">
        <v>3488</v>
      </c>
      <c r="K3716" s="203" t="s">
        <v>4786</v>
      </c>
      <c r="L3716" s="206"/>
      <c r="M3716" s="49" t="s">
        <v>4787</v>
      </c>
      <c r="N3716" s="73">
        <v>43371</v>
      </c>
      <c r="O3716" s="73" t="s">
        <v>503</v>
      </c>
      <c r="P3716" s="383">
        <v>6200</v>
      </c>
      <c r="Q3716" s="385">
        <v>2</v>
      </c>
      <c r="R3716" s="207">
        <f t="shared" si="118"/>
        <v>12400</v>
      </c>
      <c r="S3716" s="279">
        <v>202304</v>
      </c>
      <c r="T3716" s="184"/>
      <c r="U3716" s="213"/>
      <c r="V3716" s="387"/>
      <c r="W3716" s="214"/>
      <c r="X3716" s="388">
        <v>43374</v>
      </c>
      <c r="Y3716" s="388">
        <v>45331</v>
      </c>
    </row>
    <row r="3717" s="5" customFormat="1" customHeight="1" spans="1:25">
      <c r="A3717" s="203" t="s">
        <v>444</v>
      </c>
      <c r="B3717" s="204" t="s">
        <v>4284</v>
      </c>
      <c r="C3717" s="204" t="s">
        <v>63</v>
      </c>
      <c r="D3717" s="204" t="s">
        <v>3038</v>
      </c>
      <c r="E3717" s="205" t="s">
        <v>4777</v>
      </c>
      <c r="F3717" s="203" t="s">
        <v>4778</v>
      </c>
      <c r="G3717" s="203" t="s">
        <v>88</v>
      </c>
      <c r="H3717" s="25" t="s">
        <v>4785</v>
      </c>
      <c r="I3717" s="46" t="e">
        <f>VLOOKUP(H3717,'合同高级查询数据-4月返'!A:A,1,FALSE)</f>
        <v>#N/A</v>
      </c>
      <c r="J3717" s="47" t="s">
        <v>3488</v>
      </c>
      <c r="K3717" s="203" t="s">
        <v>4786</v>
      </c>
      <c r="L3717" s="206"/>
      <c r="M3717" s="49" t="s">
        <v>4787</v>
      </c>
      <c r="N3717" s="73">
        <v>43372</v>
      </c>
      <c r="O3717" s="73" t="s">
        <v>503</v>
      </c>
      <c r="P3717" s="383">
        <v>6200</v>
      </c>
      <c r="Q3717" s="385">
        <v>14</v>
      </c>
      <c r="R3717" s="207">
        <f t="shared" si="118"/>
        <v>86800</v>
      </c>
      <c r="S3717" s="279">
        <v>202304</v>
      </c>
      <c r="T3717" s="184"/>
      <c r="U3717" s="213"/>
      <c r="V3717" s="387"/>
      <c r="W3717" s="214"/>
      <c r="X3717" s="388">
        <v>43374</v>
      </c>
      <c r="Y3717" s="388">
        <v>45331</v>
      </c>
    </row>
    <row r="3718" s="5" customFormat="1" customHeight="1" spans="1:25">
      <c r="A3718" s="203" t="s">
        <v>444</v>
      </c>
      <c r="B3718" s="204" t="s">
        <v>4284</v>
      </c>
      <c r="C3718" s="204" t="s">
        <v>63</v>
      </c>
      <c r="D3718" s="204" t="s">
        <v>3038</v>
      </c>
      <c r="E3718" s="205" t="s">
        <v>4777</v>
      </c>
      <c r="F3718" s="203" t="s">
        <v>4778</v>
      </c>
      <c r="G3718" s="203" t="s">
        <v>88</v>
      </c>
      <c r="H3718" s="25" t="s">
        <v>4785</v>
      </c>
      <c r="I3718" s="46" t="e">
        <f>VLOOKUP(H3718,'合同高级查询数据-4月返'!A:A,1,FALSE)</f>
        <v>#N/A</v>
      </c>
      <c r="J3718" s="47" t="s">
        <v>3488</v>
      </c>
      <c r="K3718" s="203" t="s">
        <v>4786</v>
      </c>
      <c r="L3718" s="206"/>
      <c r="M3718" s="49" t="s">
        <v>4787</v>
      </c>
      <c r="N3718" s="73">
        <v>43376</v>
      </c>
      <c r="O3718" s="73" t="s">
        <v>503</v>
      </c>
      <c r="P3718" s="383">
        <v>6200</v>
      </c>
      <c r="Q3718" s="385">
        <v>13</v>
      </c>
      <c r="R3718" s="207">
        <f t="shared" si="118"/>
        <v>80600</v>
      </c>
      <c r="S3718" s="279">
        <v>202304</v>
      </c>
      <c r="T3718" s="184"/>
      <c r="U3718" s="213"/>
      <c r="V3718" s="387"/>
      <c r="W3718" s="214"/>
      <c r="X3718" s="388">
        <v>43374</v>
      </c>
      <c r="Y3718" s="388">
        <v>45331</v>
      </c>
    </row>
    <row r="3719" s="5" customFormat="1" customHeight="1" spans="1:25">
      <c r="A3719" s="203" t="s">
        <v>444</v>
      </c>
      <c r="B3719" s="204" t="s">
        <v>4284</v>
      </c>
      <c r="C3719" s="204" t="s">
        <v>63</v>
      </c>
      <c r="D3719" s="204" t="s">
        <v>3038</v>
      </c>
      <c r="E3719" s="205" t="s">
        <v>4777</v>
      </c>
      <c r="F3719" s="203" t="s">
        <v>4778</v>
      </c>
      <c r="G3719" s="203" t="s">
        <v>88</v>
      </c>
      <c r="H3719" s="25" t="s">
        <v>4785</v>
      </c>
      <c r="I3719" s="46" t="e">
        <f>VLOOKUP(H3719,'合同高级查询数据-4月返'!A:A,1,FALSE)</f>
        <v>#N/A</v>
      </c>
      <c r="J3719" s="47" t="s">
        <v>3488</v>
      </c>
      <c r="K3719" s="203" t="s">
        <v>4786</v>
      </c>
      <c r="L3719" s="206"/>
      <c r="M3719" s="49" t="s">
        <v>4787</v>
      </c>
      <c r="N3719" s="73">
        <v>43389</v>
      </c>
      <c r="O3719" s="73" t="s">
        <v>503</v>
      </c>
      <c r="P3719" s="383">
        <v>6200</v>
      </c>
      <c r="Q3719" s="385">
        <v>45</v>
      </c>
      <c r="R3719" s="207">
        <f t="shared" si="118"/>
        <v>279000</v>
      </c>
      <c r="S3719" s="279">
        <v>202304</v>
      </c>
      <c r="T3719" s="184"/>
      <c r="U3719" s="213"/>
      <c r="V3719" s="387"/>
      <c r="W3719" s="214"/>
      <c r="X3719" s="388">
        <v>43374</v>
      </c>
      <c r="Y3719" s="388">
        <v>45331</v>
      </c>
    </row>
    <row r="3720" s="5" customFormat="1" customHeight="1" spans="1:25">
      <c r="A3720" s="203" t="s">
        <v>444</v>
      </c>
      <c r="B3720" s="204" t="s">
        <v>4284</v>
      </c>
      <c r="C3720" s="204" t="s">
        <v>63</v>
      </c>
      <c r="D3720" s="204" t="s">
        <v>3038</v>
      </c>
      <c r="E3720" s="205" t="s">
        <v>4777</v>
      </c>
      <c r="F3720" s="203" t="s">
        <v>4778</v>
      </c>
      <c r="G3720" s="203" t="s">
        <v>88</v>
      </c>
      <c r="H3720" s="25" t="s">
        <v>4785</v>
      </c>
      <c r="I3720" s="46" t="e">
        <f>VLOOKUP(H3720,'合同高级查询数据-4月返'!A:A,1,FALSE)</f>
        <v>#N/A</v>
      </c>
      <c r="J3720" s="47" t="s">
        <v>3488</v>
      </c>
      <c r="K3720" s="203" t="s">
        <v>4786</v>
      </c>
      <c r="L3720" s="206"/>
      <c r="M3720" s="49" t="s">
        <v>4787</v>
      </c>
      <c r="N3720" s="73">
        <v>43402</v>
      </c>
      <c r="O3720" s="73" t="s">
        <v>503</v>
      </c>
      <c r="P3720" s="383">
        <v>6200</v>
      </c>
      <c r="Q3720" s="385">
        <v>3</v>
      </c>
      <c r="R3720" s="207">
        <f t="shared" si="118"/>
        <v>18600</v>
      </c>
      <c r="S3720" s="279">
        <v>202304</v>
      </c>
      <c r="T3720" s="184"/>
      <c r="U3720" s="213"/>
      <c r="V3720" s="387"/>
      <c r="W3720" s="214"/>
      <c r="X3720" s="388">
        <v>43374</v>
      </c>
      <c r="Y3720" s="388">
        <v>45331</v>
      </c>
    </row>
    <row r="3721" s="5" customFormat="1" customHeight="1" spans="1:25">
      <c r="A3721" s="203" t="s">
        <v>444</v>
      </c>
      <c r="B3721" s="204" t="s">
        <v>4284</v>
      </c>
      <c r="C3721" s="204" t="s">
        <v>63</v>
      </c>
      <c r="D3721" s="204" t="s">
        <v>3038</v>
      </c>
      <c r="E3721" s="205" t="s">
        <v>4777</v>
      </c>
      <c r="F3721" s="203" t="s">
        <v>4778</v>
      </c>
      <c r="G3721" s="203" t="s">
        <v>88</v>
      </c>
      <c r="H3721" s="25" t="s">
        <v>4785</v>
      </c>
      <c r="I3721" s="46" t="e">
        <f>VLOOKUP(H3721,'合同高级查询数据-4月返'!A:A,1,FALSE)</f>
        <v>#N/A</v>
      </c>
      <c r="J3721" s="47" t="s">
        <v>3488</v>
      </c>
      <c r="K3721" s="203" t="s">
        <v>4786</v>
      </c>
      <c r="L3721" s="206"/>
      <c r="M3721" s="49" t="s">
        <v>4787</v>
      </c>
      <c r="N3721" s="73">
        <v>43453</v>
      </c>
      <c r="O3721" s="73" t="s">
        <v>4788</v>
      </c>
      <c r="P3721" s="383">
        <v>18600</v>
      </c>
      <c r="Q3721" s="385">
        <v>2</v>
      </c>
      <c r="R3721" s="207">
        <f t="shared" si="118"/>
        <v>37200</v>
      </c>
      <c r="S3721" s="279">
        <v>202304</v>
      </c>
      <c r="T3721" s="184"/>
      <c r="U3721" s="213"/>
      <c r="V3721" s="387"/>
      <c r="W3721" s="214"/>
      <c r="X3721" s="388">
        <v>43374</v>
      </c>
      <c r="Y3721" s="388">
        <v>45331</v>
      </c>
    </row>
    <row r="3722" s="5" customFormat="1" customHeight="1" spans="1:25">
      <c r="A3722" s="203" t="s">
        <v>444</v>
      </c>
      <c r="B3722" s="204" t="s">
        <v>4284</v>
      </c>
      <c r="C3722" s="204" t="s">
        <v>63</v>
      </c>
      <c r="D3722" s="204" t="s">
        <v>3038</v>
      </c>
      <c r="E3722" s="205" t="s">
        <v>4777</v>
      </c>
      <c r="F3722" s="203" t="s">
        <v>4778</v>
      </c>
      <c r="G3722" s="203" t="s">
        <v>88</v>
      </c>
      <c r="H3722" s="25" t="s">
        <v>4785</v>
      </c>
      <c r="I3722" s="46" t="e">
        <f>VLOOKUP(H3722,'合同高级查询数据-4月返'!A:A,1,FALSE)</f>
        <v>#N/A</v>
      </c>
      <c r="J3722" s="47" t="s">
        <v>3488</v>
      </c>
      <c r="K3722" s="203" t="s">
        <v>4786</v>
      </c>
      <c r="L3722" s="206"/>
      <c r="M3722" s="49" t="s">
        <v>4787</v>
      </c>
      <c r="N3722" s="73">
        <v>43455</v>
      </c>
      <c r="O3722" s="73" t="s">
        <v>4788</v>
      </c>
      <c r="P3722" s="383">
        <v>18600</v>
      </c>
      <c r="Q3722" s="385">
        <v>2</v>
      </c>
      <c r="R3722" s="207">
        <f t="shared" si="118"/>
        <v>37200</v>
      </c>
      <c r="S3722" s="279">
        <v>202304</v>
      </c>
      <c r="T3722" s="184"/>
      <c r="U3722" s="213"/>
      <c r="V3722" s="387"/>
      <c r="W3722" s="214"/>
      <c r="X3722" s="388">
        <v>43374</v>
      </c>
      <c r="Y3722" s="388">
        <v>45331</v>
      </c>
    </row>
    <row r="3723" s="5" customFormat="1" customHeight="1" spans="1:25">
      <c r="A3723" s="203" t="s">
        <v>444</v>
      </c>
      <c r="B3723" s="204" t="s">
        <v>4284</v>
      </c>
      <c r="C3723" s="204" t="s">
        <v>63</v>
      </c>
      <c r="D3723" s="204" t="s">
        <v>3038</v>
      </c>
      <c r="E3723" s="205" t="s">
        <v>4777</v>
      </c>
      <c r="F3723" s="203" t="s">
        <v>4778</v>
      </c>
      <c r="G3723" s="203" t="s">
        <v>88</v>
      </c>
      <c r="H3723" s="25" t="s">
        <v>4790</v>
      </c>
      <c r="I3723" s="46" t="e">
        <f>VLOOKUP(H3723,'合同高级查询数据-4月返'!A:A,1,FALSE)</f>
        <v>#N/A</v>
      </c>
      <c r="J3723" s="47" t="s">
        <v>3488</v>
      </c>
      <c r="K3723" s="203" t="s">
        <v>4786</v>
      </c>
      <c r="L3723" s="206"/>
      <c r="M3723" s="49" t="s">
        <v>4787</v>
      </c>
      <c r="N3723" s="73">
        <v>43432</v>
      </c>
      <c r="O3723" s="73" t="s">
        <v>503</v>
      </c>
      <c r="P3723" s="383">
        <v>6200</v>
      </c>
      <c r="Q3723" s="385">
        <v>46</v>
      </c>
      <c r="R3723" s="207">
        <f t="shared" si="118"/>
        <v>285200</v>
      </c>
      <c r="S3723" s="279">
        <v>202304</v>
      </c>
      <c r="T3723" s="184" t="s">
        <v>4791</v>
      </c>
      <c r="U3723" s="213"/>
      <c r="V3723" s="387"/>
      <c r="W3723" s="214"/>
      <c r="X3723" s="388">
        <v>43405</v>
      </c>
      <c r="Y3723" s="388">
        <v>45331</v>
      </c>
    </row>
    <row r="3724" s="5" customFormat="1" customHeight="1" spans="1:25">
      <c r="A3724" s="203" t="s">
        <v>444</v>
      </c>
      <c r="B3724" s="204" t="s">
        <v>4284</v>
      </c>
      <c r="C3724" s="204" t="s">
        <v>63</v>
      </c>
      <c r="D3724" s="204" t="s">
        <v>3038</v>
      </c>
      <c r="E3724" s="205" t="s">
        <v>4777</v>
      </c>
      <c r="F3724" s="203" t="s">
        <v>4778</v>
      </c>
      <c r="G3724" s="203" t="s">
        <v>88</v>
      </c>
      <c r="H3724" s="25" t="s">
        <v>4790</v>
      </c>
      <c r="I3724" s="46" t="e">
        <f>VLOOKUP(H3724,'合同高级查询数据-4月返'!A:A,1,FALSE)</f>
        <v>#N/A</v>
      </c>
      <c r="J3724" s="47" t="s">
        <v>3488</v>
      </c>
      <c r="K3724" s="203" t="s">
        <v>4786</v>
      </c>
      <c r="L3724" s="206"/>
      <c r="M3724" s="49" t="s">
        <v>4787</v>
      </c>
      <c r="N3724" s="73">
        <v>43462</v>
      </c>
      <c r="O3724" s="73" t="s">
        <v>503</v>
      </c>
      <c r="P3724" s="383">
        <v>6200</v>
      </c>
      <c r="Q3724" s="385">
        <v>2</v>
      </c>
      <c r="R3724" s="207">
        <f t="shared" si="118"/>
        <v>12400</v>
      </c>
      <c r="S3724" s="279">
        <v>202304</v>
      </c>
      <c r="T3724" s="184" t="s">
        <v>4792</v>
      </c>
      <c r="U3724" s="213"/>
      <c r="V3724" s="387"/>
      <c r="W3724" s="214"/>
      <c r="X3724" s="388">
        <v>43405</v>
      </c>
      <c r="Y3724" s="388">
        <v>45331</v>
      </c>
    </row>
    <row r="3725" s="5" customFormat="1" customHeight="1" spans="1:25">
      <c r="A3725" s="203" t="s">
        <v>444</v>
      </c>
      <c r="B3725" s="204" t="s">
        <v>4284</v>
      </c>
      <c r="C3725" s="204" t="s">
        <v>63</v>
      </c>
      <c r="D3725" s="204" t="s">
        <v>3038</v>
      </c>
      <c r="E3725" s="205" t="s">
        <v>4777</v>
      </c>
      <c r="F3725" s="203" t="s">
        <v>4778</v>
      </c>
      <c r="G3725" s="203" t="s">
        <v>88</v>
      </c>
      <c r="H3725" s="25" t="s">
        <v>4785</v>
      </c>
      <c r="I3725" s="46" t="e">
        <f>VLOOKUP(H3725,'合同高级查询数据-4月返'!A:A,1,FALSE)</f>
        <v>#N/A</v>
      </c>
      <c r="J3725" s="47" t="s">
        <v>3488</v>
      </c>
      <c r="K3725" s="203" t="s">
        <v>4786</v>
      </c>
      <c r="L3725" s="206"/>
      <c r="M3725" s="49" t="s">
        <v>4793</v>
      </c>
      <c r="N3725" s="73">
        <v>44551</v>
      </c>
      <c r="O3725" s="73" t="s">
        <v>503</v>
      </c>
      <c r="P3725" s="383">
        <v>6200</v>
      </c>
      <c r="Q3725" s="385">
        <v>-10</v>
      </c>
      <c r="R3725" s="386">
        <f t="shared" si="118"/>
        <v>-62000</v>
      </c>
      <c r="S3725" s="279">
        <v>202304</v>
      </c>
      <c r="T3725" s="184" t="s">
        <v>4794</v>
      </c>
      <c r="U3725" s="213"/>
      <c r="V3725" s="387"/>
      <c r="W3725" s="214"/>
      <c r="X3725" s="388">
        <v>43374</v>
      </c>
      <c r="Y3725" s="388">
        <v>45331</v>
      </c>
    </row>
    <row r="3726" s="5" customFormat="1" customHeight="1" spans="1:25">
      <c r="A3726" s="203" t="s">
        <v>444</v>
      </c>
      <c r="B3726" s="204" t="s">
        <v>4284</v>
      </c>
      <c r="C3726" s="204" t="s">
        <v>63</v>
      </c>
      <c r="D3726" s="204" t="s">
        <v>3038</v>
      </c>
      <c r="E3726" s="205" t="s">
        <v>4777</v>
      </c>
      <c r="F3726" s="203" t="s">
        <v>4778</v>
      </c>
      <c r="G3726" s="203" t="s">
        <v>88</v>
      </c>
      <c r="H3726" s="25" t="s">
        <v>4790</v>
      </c>
      <c r="I3726" s="46" t="e">
        <f>VLOOKUP(H3726,'合同高级查询数据-4月返'!A:A,1,FALSE)</f>
        <v>#N/A</v>
      </c>
      <c r="J3726" s="47" t="s">
        <v>3488</v>
      </c>
      <c r="K3726" s="203" t="s">
        <v>4786</v>
      </c>
      <c r="L3726" s="206"/>
      <c r="M3726" s="49" t="s">
        <v>4793</v>
      </c>
      <c r="N3726" s="73">
        <v>44551</v>
      </c>
      <c r="O3726" s="73" t="s">
        <v>503</v>
      </c>
      <c r="P3726" s="383">
        <v>6200</v>
      </c>
      <c r="Q3726" s="385">
        <v>-12</v>
      </c>
      <c r="R3726" s="386">
        <f t="shared" si="118"/>
        <v>-74400</v>
      </c>
      <c r="S3726" s="279">
        <v>202304</v>
      </c>
      <c r="T3726" s="184" t="s">
        <v>4795</v>
      </c>
      <c r="U3726" s="213"/>
      <c r="V3726" s="387"/>
      <c r="W3726" s="214"/>
      <c r="X3726" s="388">
        <v>43405</v>
      </c>
      <c r="Y3726" s="388">
        <v>45331</v>
      </c>
    </row>
    <row r="3727" s="5" customFormat="1" customHeight="1" spans="1:25">
      <c r="A3727" s="203" t="s">
        <v>444</v>
      </c>
      <c r="B3727" s="204" t="s">
        <v>4284</v>
      </c>
      <c r="C3727" s="204" t="s">
        <v>63</v>
      </c>
      <c r="D3727" s="204" t="s">
        <v>3038</v>
      </c>
      <c r="E3727" s="205" t="s">
        <v>4777</v>
      </c>
      <c r="F3727" s="203" t="s">
        <v>4778</v>
      </c>
      <c r="G3727" s="203" t="s">
        <v>88</v>
      </c>
      <c r="H3727" s="25" t="s">
        <v>4785</v>
      </c>
      <c r="I3727" s="46" t="e">
        <f>VLOOKUP(H3727,'合同高级查询数据-4月返'!A:A,1,FALSE)</f>
        <v>#N/A</v>
      </c>
      <c r="J3727" s="47" t="s">
        <v>3488</v>
      </c>
      <c r="K3727" s="203" t="s">
        <v>4786</v>
      </c>
      <c r="L3727" s="206"/>
      <c r="M3727" s="49" t="s">
        <v>4793</v>
      </c>
      <c r="N3727" s="73">
        <v>44610</v>
      </c>
      <c r="O3727" s="73" t="s">
        <v>503</v>
      </c>
      <c r="P3727" s="383">
        <v>6200</v>
      </c>
      <c r="Q3727" s="385">
        <v>-28</v>
      </c>
      <c r="R3727" s="386">
        <f t="shared" si="118"/>
        <v>-173600</v>
      </c>
      <c r="S3727" s="279">
        <v>202304</v>
      </c>
      <c r="T3727" s="184" t="s">
        <v>4796</v>
      </c>
      <c r="U3727" s="213"/>
      <c r="V3727" s="387"/>
      <c r="W3727" s="214"/>
      <c r="X3727" s="388">
        <v>43374</v>
      </c>
      <c r="Y3727" s="388">
        <v>45331</v>
      </c>
    </row>
    <row r="3728" s="5" customFormat="1" customHeight="1" spans="1:25">
      <c r="A3728" s="203" t="s">
        <v>444</v>
      </c>
      <c r="B3728" s="204" t="s">
        <v>4284</v>
      </c>
      <c r="C3728" s="204" t="s">
        <v>63</v>
      </c>
      <c r="D3728" s="204" t="s">
        <v>3038</v>
      </c>
      <c r="E3728" s="205" t="s">
        <v>4777</v>
      </c>
      <c r="F3728" s="203" t="s">
        <v>4778</v>
      </c>
      <c r="G3728" s="203" t="s">
        <v>88</v>
      </c>
      <c r="H3728" s="25" t="s">
        <v>4785</v>
      </c>
      <c r="I3728" s="46" t="e">
        <f>VLOOKUP(H3728,'合同高级查询数据-4月返'!A:A,1,FALSE)</f>
        <v>#N/A</v>
      </c>
      <c r="J3728" s="47" t="s">
        <v>3488</v>
      </c>
      <c r="K3728" s="203" t="s">
        <v>4786</v>
      </c>
      <c r="L3728" s="206"/>
      <c r="M3728" s="49" t="s">
        <v>4793</v>
      </c>
      <c r="N3728" s="73">
        <v>44610</v>
      </c>
      <c r="O3728" s="73" t="s">
        <v>503</v>
      </c>
      <c r="P3728" s="383">
        <v>6200</v>
      </c>
      <c r="Q3728" s="385">
        <v>-35</v>
      </c>
      <c r="R3728" s="386">
        <f t="shared" si="118"/>
        <v>-217000</v>
      </c>
      <c r="S3728" s="279">
        <v>202304</v>
      </c>
      <c r="T3728" s="184" t="s">
        <v>4797</v>
      </c>
      <c r="U3728" s="213"/>
      <c r="V3728" s="387"/>
      <c r="W3728" s="214"/>
      <c r="X3728" s="388">
        <v>43374</v>
      </c>
      <c r="Y3728" s="388">
        <v>45331</v>
      </c>
    </row>
    <row r="3729" s="5" customFormat="1" customHeight="1" spans="1:25">
      <c r="A3729" s="203" t="s">
        <v>444</v>
      </c>
      <c r="B3729" s="204" t="s">
        <v>4284</v>
      </c>
      <c r="C3729" s="204" t="s">
        <v>63</v>
      </c>
      <c r="D3729" s="204" t="s">
        <v>3038</v>
      </c>
      <c r="E3729" s="205" t="s">
        <v>4777</v>
      </c>
      <c r="F3729" s="203" t="s">
        <v>4778</v>
      </c>
      <c r="G3729" s="203" t="s">
        <v>88</v>
      </c>
      <c r="H3729" s="25" t="s">
        <v>4790</v>
      </c>
      <c r="I3729" s="46" t="e">
        <f>VLOOKUP(H3729,'合同高级查询数据-4月返'!A:A,1,FALSE)</f>
        <v>#N/A</v>
      </c>
      <c r="J3729" s="47" t="s">
        <v>3488</v>
      </c>
      <c r="K3729" s="203" t="s">
        <v>4786</v>
      </c>
      <c r="L3729" s="206"/>
      <c r="M3729" s="49" t="s">
        <v>4793</v>
      </c>
      <c r="N3729" s="73">
        <v>44610</v>
      </c>
      <c r="O3729" s="73" t="s">
        <v>503</v>
      </c>
      <c r="P3729" s="383">
        <v>6200</v>
      </c>
      <c r="Q3729" s="385">
        <v>-21</v>
      </c>
      <c r="R3729" s="386">
        <f t="shared" si="118"/>
        <v>-130200</v>
      </c>
      <c r="S3729" s="279">
        <v>202304</v>
      </c>
      <c r="T3729" s="184" t="s">
        <v>4798</v>
      </c>
      <c r="U3729" s="213"/>
      <c r="V3729" s="387"/>
      <c r="W3729" s="214"/>
      <c r="X3729" s="388">
        <v>43405</v>
      </c>
      <c r="Y3729" s="388">
        <v>45331</v>
      </c>
    </row>
    <row r="3730" s="5" customFormat="1" customHeight="1" spans="1:25">
      <c r="A3730" s="203" t="s">
        <v>444</v>
      </c>
      <c r="B3730" s="204" t="s">
        <v>4284</v>
      </c>
      <c r="C3730" s="204" t="s">
        <v>63</v>
      </c>
      <c r="D3730" s="204" t="s">
        <v>3038</v>
      </c>
      <c r="E3730" s="205" t="s">
        <v>4777</v>
      </c>
      <c r="F3730" s="203" t="s">
        <v>4778</v>
      </c>
      <c r="G3730" s="203" t="s">
        <v>88</v>
      </c>
      <c r="H3730" s="25" t="s">
        <v>4790</v>
      </c>
      <c r="I3730" s="46" t="e">
        <f>VLOOKUP(H3730,'合同高级查询数据-4月返'!A:A,1,FALSE)</f>
        <v>#N/A</v>
      </c>
      <c r="J3730" s="47" t="s">
        <v>3488</v>
      </c>
      <c r="K3730" s="203" t="s">
        <v>4786</v>
      </c>
      <c r="L3730" s="206"/>
      <c r="M3730" s="49" t="s">
        <v>4793</v>
      </c>
      <c r="N3730" s="73">
        <v>44613</v>
      </c>
      <c r="O3730" s="73" t="s">
        <v>503</v>
      </c>
      <c r="P3730" s="383">
        <v>6200</v>
      </c>
      <c r="Q3730" s="385">
        <v>-15</v>
      </c>
      <c r="R3730" s="386">
        <f t="shared" si="118"/>
        <v>-93000</v>
      </c>
      <c r="S3730" s="279">
        <v>202304</v>
      </c>
      <c r="T3730" s="184" t="s">
        <v>4799</v>
      </c>
      <c r="U3730" s="213"/>
      <c r="V3730" s="387"/>
      <c r="W3730" s="214"/>
      <c r="X3730" s="388">
        <v>43405</v>
      </c>
      <c r="Y3730" s="388">
        <v>45331</v>
      </c>
    </row>
    <row r="3731" s="5" customFormat="1" customHeight="1" spans="1:25">
      <c r="A3731" s="203" t="s">
        <v>444</v>
      </c>
      <c r="B3731" s="204" t="s">
        <v>4284</v>
      </c>
      <c r="C3731" s="204" t="s">
        <v>63</v>
      </c>
      <c r="D3731" s="204" t="s">
        <v>3038</v>
      </c>
      <c r="E3731" s="205" t="s">
        <v>4777</v>
      </c>
      <c r="F3731" s="203" t="s">
        <v>4778</v>
      </c>
      <c r="G3731" s="203" t="s">
        <v>88</v>
      </c>
      <c r="H3731" s="25" t="s">
        <v>4785</v>
      </c>
      <c r="I3731" s="46" t="e">
        <f>VLOOKUP(H3731,'合同高级查询数据-4月返'!A:A,1,FALSE)</f>
        <v>#N/A</v>
      </c>
      <c r="J3731" s="47" t="s">
        <v>3488</v>
      </c>
      <c r="K3731" s="203" t="s">
        <v>4786</v>
      </c>
      <c r="L3731" s="206"/>
      <c r="M3731" s="49" t="s">
        <v>4800</v>
      </c>
      <c r="N3731" s="73">
        <v>44673</v>
      </c>
      <c r="O3731" s="73" t="s">
        <v>503</v>
      </c>
      <c r="P3731" s="383">
        <v>6200</v>
      </c>
      <c r="Q3731" s="385">
        <v>1</v>
      </c>
      <c r="R3731" s="386">
        <f t="shared" si="118"/>
        <v>6200</v>
      </c>
      <c r="S3731" s="279">
        <v>202304</v>
      </c>
      <c r="T3731" s="184" t="s">
        <v>4801</v>
      </c>
      <c r="U3731" s="213"/>
      <c r="V3731" s="387"/>
      <c r="W3731" s="214"/>
      <c r="X3731" s="388">
        <v>43374</v>
      </c>
      <c r="Y3731" s="388">
        <v>45331</v>
      </c>
    </row>
    <row r="3732" s="5" customFormat="1" customHeight="1" spans="1:25">
      <c r="A3732" s="203" t="s">
        <v>444</v>
      </c>
      <c r="B3732" s="204" t="s">
        <v>4284</v>
      </c>
      <c r="C3732" s="204" t="s">
        <v>63</v>
      </c>
      <c r="D3732" s="204" t="s">
        <v>3038</v>
      </c>
      <c r="E3732" s="205" t="s">
        <v>4777</v>
      </c>
      <c r="F3732" s="203" t="s">
        <v>4778</v>
      </c>
      <c r="G3732" s="203" t="s">
        <v>88</v>
      </c>
      <c r="H3732" s="25" t="s">
        <v>4785</v>
      </c>
      <c r="I3732" s="46" t="e">
        <f>VLOOKUP(H3732,'合同高级查询数据-4月返'!A:A,1,FALSE)</f>
        <v>#N/A</v>
      </c>
      <c r="J3732" s="47" t="s">
        <v>3488</v>
      </c>
      <c r="K3732" s="203" t="s">
        <v>4786</v>
      </c>
      <c r="L3732" s="206"/>
      <c r="M3732" s="49" t="s">
        <v>4793</v>
      </c>
      <c r="N3732" s="73">
        <v>44673</v>
      </c>
      <c r="O3732" s="73" t="s">
        <v>503</v>
      </c>
      <c r="P3732" s="383">
        <v>6200</v>
      </c>
      <c r="Q3732" s="385">
        <v>-187</v>
      </c>
      <c r="R3732" s="386">
        <f t="shared" si="118"/>
        <v>-1159400</v>
      </c>
      <c r="S3732" s="279">
        <v>202304</v>
      </c>
      <c r="T3732" s="184" t="s">
        <v>4802</v>
      </c>
      <c r="U3732" s="213"/>
      <c r="V3732" s="387"/>
      <c r="W3732" s="214"/>
      <c r="X3732" s="388">
        <v>43374</v>
      </c>
      <c r="Y3732" s="388">
        <v>45331</v>
      </c>
    </row>
    <row r="3733" s="5" customFormat="1" customHeight="1" spans="1:25">
      <c r="A3733" s="203" t="s">
        <v>444</v>
      </c>
      <c r="B3733" s="204" t="s">
        <v>4284</v>
      </c>
      <c r="C3733" s="204" t="s">
        <v>63</v>
      </c>
      <c r="D3733" s="204" t="s">
        <v>3038</v>
      </c>
      <c r="E3733" s="205" t="s">
        <v>4777</v>
      </c>
      <c r="F3733" s="203" t="s">
        <v>4778</v>
      </c>
      <c r="G3733" s="203" t="s">
        <v>88</v>
      </c>
      <c r="H3733" s="25" t="s">
        <v>4785</v>
      </c>
      <c r="I3733" s="46" t="e">
        <f>VLOOKUP(H3733,'合同高级查询数据-4月返'!A:A,1,FALSE)</f>
        <v>#N/A</v>
      </c>
      <c r="J3733" s="47" t="s">
        <v>3488</v>
      </c>
      <c r="K3733" s="203" t="s">
        <v>4786</v>
      </c>
      <c r="L3733" s="206"/>
      <c r="M3733" s="49" t="s">
        <v>4800</v>
      </c>
      <c r="N3733" s="73">
        <v>44687</v>
      </c>
      <c r="O3733" s="73" t="s">
        <v>503</v>
      </c>
      <c r="P3733" s="383">
        <v>6200</v>
      </c>
      <c r="Q3733" s="385">
        <v>25</v>
      </c>
      <c r="R3733" s="386">
        <f t="shared" si="118"/>
        <v>155000</v>
      </c>
      <c r="S3733" s="279">
        <v>202304</v>
      </c>
      <c r="T3733" s="184" t="s">
        <v>4803</v>
      </c>
      <c r="U3733" s="213"/>
      <c r="V3733" s="387"/>
      <c r="W3733" s="214"/>
      <c r="X3733" s="388">
        <v>43374</v>
      </c>
      <c r="Y3733" s="388">
        <v>45331</v>
      </c>
    </row>
    <row r="3734" s="5" customFormat="1" customHeight="1" spans="1:25">
      <c r="A3734" s="203" t="s">
        <v>444</v>
      </c>
      <c r="B3734" s="204" t="s">
        <v>4284</v>
      </c>
      <c r="C3734" s="204" t="s">
        <v>63</v>
      </c>
      <c r="D3734" s="204" t="s">
        <v>3038</v>
      </c>
      <c r="E3734" s="205" t="s">
        <v>4777</v>
      </c>
      <c r="F3734" s="203" t="s">
        <v>4778</v>
      </c>
      <c r="G3734" s="203" t="s">
        <v>88</v>
      </c>
      <c r="H3734" s="25" t="s">
        <v>4785</v>
      </c>
      <c r="I3734" s="46" t="e">
        <f>VLOOKUP(H3734,'合同高级查询数据-4月返'!A:A,1,FALSE)</f>
        <v>#N/A</v>
      </c>
      <c r="J3734" s="47" t="s">
        <v>3488</v>
      </c>
      <c r="K3734" s="203" t="s">
        <v>4786</v>
      </c>
      <c r="L3734" s="206"/>
      <c r="M3734" s="49" t="s">
        <v>4800</v>
      </c>
      <c r="N3734" s="73">
        <v>44690</v>
      </c>
      <c r="O3734" s="73" t="s">
        <v>503</v>
      </c>
      <c r="P3734" s="383">
        <v>6200</v>
      </c>
      <c r="Q3734" s="385">
        <v>4</v>
      </c>
      <c r="R3734" s="386">
        <f t="shared" si="118"/>
        <v>24800</v>
      </c>
      <c r="S3734" s="279">
        <v>202304</v>
      </c>
      <c r="T3734" s="184" t="s">
        <v>4804</v>
      </c>
      <c r="U3734" s="213"/>
      <c r="V3734" s="387"/>
      <c r="W3734" s="214"/>
      <c r="X3734" s="388">
        <v>43374</v>
      </c>
      <c r="Y3734" s="388">
        <v>45331</v>
      </c>
    </row>
    <row r="3735" s="5" customFormat="1" customHeight="1" spans="1:25">
      <c r="A3735" s="203" t="s">
        <v>444</v>
      </c>
      <c r="B3735" s="204" t="s">
        <v>4284</v>
      </c>
      <c r="C3735" s="204" t="s">
        <v>63</v>
      </c>
      <c r="D3735" s="204" t="s">
        <v>3038</v>
      </c>
      <c r="E3735" s="205" t="s">
        <v>4777</v>
      </c>
      <c r="F3735" s="203" t="s">
        <v>4778</v>
      </c>
      <c r="G3735" s="203" t="s">
        <v>88</v>
      </c>
      <c r="H3735" s="25" t="s">
        <v>4785</v>
      </c>
      <c r="I3735" s="46" t="e">
        <f>VLOOKUP(H3735,'合同高级查询数据-4月返'!A:A,1,FALSE)</f>
        <v>#N/A</v>
      </c>
      <c r="J3735" s="47" t="s">
        <v>3488</v>
      </c>
      <c r="K3735" s="203" t="s">
        <v>4786</v>
      </c>
      <c r="L3735" s="206"/>
      <c r="M3735" s="49" t="s">
        <v>4793</v>
      </c>
      <c r="N3735" s="73">
        <v>44692</v>
      </c>
      <c r="O3735" s="73" t="s">
        <v>503</v>
      </c>
      <c r="P3735" s="383">
        <v>6200</v>
      </c>
      <c r="Q3735" s="385">
        <v>-4</v>
      </c>
      <c r="R3735" s="386">
        <f t="shared" si="118"/>
        <v>-24800</v>
      </c>
      <c r="S3735" s="279">
        <v>202304</v>
      </c>
      <c r="T3735" s="184" t="s">
        <v>4805</v>
      </c>
      <c r="U3735" s="213"/>
      <c r="V3735" s="387"/>
      <c r="W3735" s="214"/>
      <c r="X3735" s="388">
        <v>43374</v>
      </c>
      <c r="Y3735" s="388">
        <v>45331</v>
      </c>
    </row>
    <row r="3736" s="5" customFormat="1" customHeight="1" spans="1:25">
      <c r="A3736" s="203" t="s">
        <v>444</v>
      </c>
      <c r="B3736" s="204" t="s">
        <v>4284</v>
      </c>
      <c r="C3736" s="204" t="s">
        <v>63</v>
      </c>
      <c r="D3736" s="204" t="s">
        <v>3038</v>
      </c>
      <c r="E3736" s="205" t="s">
        <v>4777</v>
      </c>
      <c r="F3736" s="203" t="s">
        <v>4778</v>
      </c>
      <c r="G3736" s="203" t="s">
        <v>88</v>
      </c>
      <c r="H3736" s="25" t="s">
        <v>4785</v>
      </c>
      <c r="I3736" s="46" t="e">
        <f>VLOOKUP(H3736,'合同高级查询数据-4月返'!A:A,1,FALSE)</f>
        <v>#N/A</v>
      </c>
      <c r="J3736" s="47" t="s">
        <v>3488</v>
      </c>
      <c r="K3736" s="203" t="s">
        <v>4786</v>
      </c>
      <c r="L3736" s="206"/>
      <c r="M3736" s="49" t="s">
        <v>4793</v>
      </c>
      <c r="N3736" s="73">
        <v>44709</v>
      </c>
      <c r="O3736" s="73" t="s">
        <v>503</v>
      </c>
      <c r="P3736" s="383">
        <v>6200</v>
      </c>
      <c r="Q3736" s="385">
        <v>-258</v>
      </c>
      <c r="R3736" s="386">
        <f t="shared" ref="R3736:R3746" si="119">ROUND(P3736*Q3736,2)</f>
        <v>-1599600</v>
      </c>
      <c r="S3736" s="279">
        <v>202304</v>
      </c>
      <c r="T3736" s="184" t="s">
        <v>4806</v>
      </c>
      <c r="U3736" s="213"/>
      <c r="V3736" s="387"/>
      <c r="W3736" s="214"/>
      <c r="X3736" s="388">
        <v>43374</v>
      </c>
      <c r="Y3736" s="388">
        <v>45331</v>
      </c>
    </row>
    <row r="3737" s="5" customFormat="1" customHeight="1" spans="1:25">
      <c r="A3737" s="203" t="s">
        <v>444</v>
      </c>
      <c r="B3737" s="204" t="s">
        <v>4284</v>
      </c>
      <c r="C3737" s="204" t="s">
        <v>63</v>
      </c>
      <c r="D3737" s="204" t="s">
        <v>3038</v>
      </c>
      <c r="E3737" s="205" t="s">
        <v>4777</v>
      </c>
      <c r="F3737" s="203" t="s">
        <v>4778</v>
      </c>
      <c r="G3737" s="203" t="s">
        <v>88</v>
      </c>
      <c r="H3737" s="25" t="s">
        <v>4785</v>
      </c>
      <c r="I3737" s="46" t="e">
        <f>VLOOKUP(H3737,'合同高级查询数据-4月返'!A:A,1,FALSE)</f>
        <v>#N/A</v>
      </c>
      <c r="J3737" s="47" t="s">
        <v>3488</v>
      </c>
      <c r="K3737" s="203" t="s">
        <v>4786</v>
      </c>
      <c r="L3737" s="206"/>
      <c r="M3737" s="49" t="s">
        <v>4800</v>
      </c>
      <c r="N3737" s="73">
        <v>44714</v>
      </c>
      <c r="O3737" s="73" t="s">
        <v>503</v>
      </c>
      <c r="P3737" s="383">
        <v>6200</v>
      </c>
      <c r="Q3737" s="385">
        <v>5</v>
      </c>
      <c r="R3737" s="117">
        <f t="shared" si="119"/>
        <v>31000</v>
      </c>
      <c r="S3737" s="279">
        <v>202304</v>
      </c>
      <c r="T3737" s="184" t="s">
        <v>4807</v>
      </c>
      <c r="U3737" s="213"/>
      <c r="V3737" s="387"/>
      <c r="W3737" s="214"/>
      <c r="X3737" s="388">
        <v>43374</v>
      </c>
      <c r="Y3737" s="388">
        <v>45331</v>
      </c>
    </row>
    <row r="3738" s="5" customFormat="1" customHeight="1" spans="1:25">
      <c r="A3738" s="203" t="s">
        <v>444</v>
      </c>
      <c r="B3738" s="204" t="s">
        <v>4284</v>
      </c>
      <c r="C3738" s="204" t="s">
        <v>63</v>
      </c>
      <c r="D3738" s="204" t="s">
        <v>3038</v>
      </c>
      <c r="E3738" s="205" t="s">
        <v>4777</v>
      </c>
      <c r="F3738" s="203" t="s">
        <v>4778</v>
      </c>
      <c r="G3738" s="203" t="s">
        <v>88</v>
      </c>
      <c r="H3738" s="25" t="s">
        <v>4785</v>
      </c>
      <c r="I3738" s="46" t="e">
        <f>VLOOKUP(H3738,'合同高级查询数据-4月返'!A:A,1,FALSE)</f>
        <v>#N/A</v>
      </c>
      <c r="J3738" s="47" t="s">
        <v>3488</v>
      </c>
      <c r="K3738" s="203" t="s">
        <v>4786</v>
      </c>
      <c r="L3738" s="206"/>
      <c r="M3738" s="49" t="s">
        <v>4800</v>
      </c>
      <c r="N3738" s="73">
        <v>44806</v>
      </c>
      <c r="O3738" s="73" t="s">
        <v>503</v>
      </c>
      <c r="P3738" s="383">
        <v>6200</v>
      </c>
      <c r="Q3738" s="385">
        <v>1</v>
      </c>
      <c r="R3738" s="117">
        <f t="shared" si="119"/>
        <v>6200</v>
      </c>
      <c r="S3738" s="279">
        <v>202304</v>
      </c>
      <c r="T3738" s="184" t="s">
        <v>4808</v>
      </c>
      <c r="U3738" s="213"/>
      <c r="V3738" s="387"/>
      <c r="W3738" s="214"/>
      <c r="X3738" s="388">
        <v>43374</v>
      </c>
      <c r="Y3738" s="388">
        <v>45331</v>
      </c>
    </row>
    <row r="3739" s="5" customFormat="1" customHeight="1" spans="1:25">
      <c r="A3739" s="203" t="s">
        <v>444</v>
      </c>
      <c r="B3739" s="204" t="s">
        <v>4284</v>
      </c>
      <c r="C3739" s="204" t="s">
        <v>63</v>
      </c>
      <c r="D3739" s="204" t="s">
        <v>3038</v>
      </c>
      <c r="E3739" s="205" t="s">
        <v>4777</v>
      </c>
      <c r="F3739" s="203" t="s">
        <v>4778</v>
      </c>
      <c r="G3739" s="203" t="s">
        <v>88</v>
      </c>
      <c r="H3739" s="25" t="s">
        <v>4785</v>
      </c>
      <c r="I3739" s="46" t="e">
        <f>VLOOKUP(H3739,'合同高级查询数据-4月返'!A:A,1,FALSE)</f>
        <v>#N/A</v>
      </c>
      <c r="J3739" s="47" t="s">
        <v>3488</v>
      </c>
      <c r="K3739" s="203" t="s">
        <v>4786</v>
      </c>
      <c r="L3739" s="206"/>
      <c r="M3739" s="49" t="s">
        <v>4800</v>
      </c>
      <c r="N3739" s="73">
        <v>44833</v>
      </c>
      <c r="O3739" s="73" t="s">
        <v>503</v>
      </c>
      <c r="P3739" s="383">
        <v>6200</v>
      </c>
      <c r="Q3739" s="385">
        <v>7</v>
      </c>
      <c r="R3739" s="117">
        <f t="shared" si="119"/>
        <v>43400</v>
      </c>
      <c r="S3739" s="279">
        <v>202304</v>
      </c>
      <c r="T3739" s="189" t="s">
        <v>4809</v>
      </c>
      <c r="U3739" s="213"/>
      <c r="V3739" s="387"/>
      <c r="W3739" s="214"/>
      <c r="X3739" s="388">
        <v>43374</v>
      </c>
      <c r="Y3739" s="388">
        <v>45331</v>
      </c>
    </row>
    <row r="3740" s="5" customFormat="1" customHeight="1" spans="1:25">
      <c r="A3740" s="203" t="s">
        <v>444</v>
      </c>
      <c r="B3740" s="204" t="s">
        <v>4284</v>
      </c>
      <c r="C3740" s="204" t="s">
        <v>63</v>
      </c>
      <c r="D3740" s="204" t="s">
        <v>3038</v>
      </c>
      <c r="E3740" s="205" t="s">
        <v>4777</v>
      </c>
      <c r="F3740" s="203" t="s">
        <v>4778</v>
      </c>
      <c r="G3740" s="203" t="s">
        <v>88</v>
      </c>
      <c r="H3740" s="25" t="s">
        <v>4785</v>
      </c>
      <c r="I3740" s="46" t="e">
        <f>VLOOKUP(H3740,'合同高级查询数据-4月返'!A:A,1,FALSE)</f>
        <v>#N/A</v>
      </c>
      <c r="J3740" s="47" t="s">
        <v>3488</v>
      </c>
      <c r="K3740" s="203" t="s">
        <v>4786</v>
      </c>
      <c r="L3740" s="206"/>
      <c r="M3740" s="49" t="s">
        <v>4800</v>
      </c>
      <c r="N3740" s="73">
        <v>44847</v>
      </c>
      <c r="O3740" s="73" t="s">
        <v>503</v>
      </c>
      <c r="P3740" s="383">
        <v>6200</v>
      </c>
      <c r="Q3740" s="385">
        <v>4</v>
      </c>
      <c r="R3740" s="117">
        <f t="shared" si="119"/>
        <v>24800</v>
      </c>
      <c r="S3740" s="279">
        <v>202304</v>
      </c>
      <c r="T3740" s="189" t="s">
        <v>4810</v>
      </c>
      <c r="U3740" s="213"/>
      <c r="V3740" s="387"/>
      <c r="W3740" s="214"/>
      <c r="X3740" s="388">
        <v>43374</v>
      </c>
      <c r="Y3740" s="388">
        <v>45331</v>
      </c>
    </row>
    <row r="3741" s="5" customFormat="1" customHeight="1" spans="1:25">
      <c r="A3741" s="203" t="s">
        <v>444</v>
      </c>
      <c r="B3741" s="204" t="s">
        <v>4284</v>
      </c>
      <c r="C3741" s="204" t="s">
        <v>63</v>
      </c>
      <c r="D3741" s="204" t="s">
        <v>3038</v>
      </c>
      <c r="E3741" s="205" t="s">
        <v>4777</v>
      </c>
      <c r="F3741" s="203" t="s">
        <v>4778</v>
      </c>
      <c r="G3741" s="203" t="s">
        <v>88</v>
      </c>
      <c r="H3741" s="25" t="s">
        <v>4785</v>
      </c>
      <c r="I3741" s="46" t="e">
        <f>VLOOKUP(H3741,'合同高级查询数据-4月返'!A:A,1,FALSE)</f>
        <v>#N/A</v>
      </c>
      <c r="J3741" s="47" t="s">
        <v>3488</v>
      </c>
      <c r="K3741" s="203" t="s">
        <v>4786</v>
      </c>
      <c r="L3741" s="206"/>
      <c r="M3741" s="49" t="s">
        <v>4800</v>
      </c>
      <c r="N3741" s="73">
        <v>44848</v>
      </c>
      <c r="O3741" s="73" t="s">
        <v>503</v>
      </c>
      <c r="P3741" s="383">
        <v>6200</v>
      </c>
      <c r="Q3741" s="385">
        <v>1</v>
      </c>
      <c r="R3741" s="117">
        <f t="shared" si="119"/>
        <v>6200</v>
      </c>
      <c r="S3741" s="279">
        <v>202304</v>
      </c>
      <c r="T3741" s="189" t="s">
        <v>4811</v>
      </c>
      <c r="U3741" s="213"/>
      <c r="V3741" s="387"/>
      <c r="W3741" s="214"/>
      <c r="X3741" s="388">
        <v>43374</v>
      </c>
      <c r="Y3741" s="388">
        <v>45331</v>
      </c>
    </row>
    <row r="3742" s="5" customFormat="1" customHeight="1" spans="1:25">
      <c r="A3742" s="203" t="s">
        <v>444</v>
      </c>
      <c r="B3742" s="204" t="s">
        <v>4284</v>
      </c>
      <c r="C3742" s="204" t="s">
        <v>63</v>
      </c>
      <c r="D3742" s="204" t="s">
        <v>3038</v>
      </c>
      <c r="E3742" s="205" t="s">
        <v>4777</v>
      </c>
      <c r="F3742" s="203" t="s">
        <v>4778</v>
      </c>
      <c r="G3742" s="203" t="s">
        <v>88</v>
      </c>
      <c r="H3742" s="25" t="s">
        <v>4785</v>
      </c>
      <c r="I3742" s="46" t="e">
        <f>VLOOKUP(H3742,'合同高级查询数据-4月返'!A:A,1,FALSE)</f>
        <v>#N/A</v>
      </c>
      <c r="J3742" s="47" t="s">
        <v>3488</v>
      </c>
      <c r="K3742" s="203" t="s">
        <v>4786</v>
      </c>
      <c r="L3742" s="206"/>
      <c r="M3742" s="49" t="s">
        <v>4800</v>
      </c>
      <c r="N3742" s="73">
        <v>44866</v>
      </c>
      <c r="O3742" s="73" t="s">
        <v>503</v>
      </c>
      <c r="P3742" s="383">
        <v>6200</v>
      </c>
      <c r="Q3742" s="385">
        <v>4</v>
      </c>
      <c r="R3742" s="117">
        <f t="shared" si="119"/>
        <v>24800</v>
      </c>
      <c r="S3742" s="279">
        <v>202304</v>
      </c>
      <c r="T3742" s="189" t="s">
        <v>4812</v>
      </c>
      <c r="U3742" s="213"/>
      <c r="V3742" s="387"/>
      <c r="W3742" s="214"/>
      <c r="X3742" s="388">
        <v>43374</v>
      </c>
      <c r="Y3742" s="388">
        <v>45331</v>
      </c>
    </row>
    <row r="3743" s="5" customFormat="1" customHeight="1" spans="1:25">
      <c r="A3743" s="203" t="s">
        <v>444</v>
      </c>
      <c r="B3743" s="204" t="s">
        <v>4284</v>
      </c>
      <c r="C3743" s="204" t="s">
        <v>63</v>
      </c>
      <c r="D3743" s="204" t="s">
        <v>3038</v>
      </c>
      <c r="E3743" s="205" t="s">
        <v>4777</v>
      </c>
      <c r="F3743" s="203" t="s">
        <v>4778</v>
      </c>
      <c r="G3743" s="203" t="s">
        <v>88</v>
      </c>
      <c r="H3743" s="25" t="s">
        <v>4785</v>
      </c>
      <c r="I3743" s="46" t="e">
        <f>VLOOKUP(H3743,'合同高级查询数据-4月返'!A:A,1,FALSE)</f>
        <v>#N/A</v>
      </c>
      <c r="J3743" s="47" t="s">
        <v>3488</v>
      </c>
      <c r="K3743" s="203" t="s">
        <v>4786</v>
      </c>
      <c r="L3743" s="206"/>
      <c r="M3743" s="49" t="s">
        <v>4800</v>
      </c>
      <c r="N3743" s="73">
        <v>44867</v>
      </c>
      <c r="O3743" s="73" t="s">
        <v>503</v>
      </c>
      <c r="P3743" s="383">
        <v>6200</v>
      </c>
      <c r="Q3743" s="385">
        <v>2</v>
      </c>
      <c r="R3743" s="117">
        <f t="shared" si="119"/>
        <v>12400</v>
      </c>
      <c r="S3743" s="279">
        <v>202304</v>
      </c>
      <c r="T3743" s="189" t="s">
        <v>4813</v>
      </c>
      <c r="U3743" s="213"/>
      <c r="V3743" s="387"/>
      <c r="W3743" s="214"/>
      <c r="X3743" s="388">
        <v>43374</v>
      </c>
      <c r="Y3743" s="388">
        <v>45331</v>
      </c>
    </row>
    <row r="3744" s="5" customFormat="1" customHeight="1" spans="1:25">
      <c r="A3744" s="203" t="s">
        <v>444</v>
      </c>
      <c r="B3744" s="204" t="s">
        <v>4284</v>
      </c>
      <c r="C3744" s="204" t="s">
        <v>63</v>
      </c>
      <c r="D3744" s="204" t="s">
        <v>3038</v>
      </c>
      <c r="E3744" s="205" t="s">
        <v>4777</v>
      </c>
      <c r="F3744" s="203" t="s">
        <v>4778</v>
      </c>
      <c r="G3744" s="203" t="s">
        <v>88</v>
      </c>
      <c r="H3744" s="25" t="s">
        <v>4785</v>
      </c>
      <c r="I3744" s="46" t="e">
        <f>VLOOKUP(H3744,'合同高级查询数据-4月返'!A:A,1,FALSE)</f>
        <v>#N/A</v>
      </c>
      <c r="J3744" s="47" t="s">
        <v>3488</v>
      </c>
      <c r="K3744" s="203" t="s">
        <v>4786</v>
      </c>
      <c r="L3744" s="206"/>
      <c r="M3744" s="49" t="s">
        <v>4800</v>
      </c>
      <c r="N3744" s="73">
        <v>44879</v>
      </c>
      <c r="O3744" s="73" t="s">
        <v>503</v>
      </c>
      <c r="P3744" s="383">
        <v>6200</v>
      </c>
      <c r="Q3744" s="385">
        <v>2</v>
      </c>
      <c r="R3744" s="117">
        <f t="shared" si="119"/>
        <v>12400</v>
      </c>
      <c r="S3744" s="279">
        <v>202304</v>
      </c>
      <c r="T3744" s="189" t="s">
        <v>4814</v>
      </c>
      <c r="U3744" s="213"/>
      <c r="V3744" s="387"/>
      <c r="W3744" s="214"/>
      <c r="X3744" s="388">
        <v>43374</v>
      </c>
      <c r="Y3744" s="388">
        <v>45331</v>
      </c>
    </row>
    <row r="3745" s="5" customFormat="1" customHeight="1" spans="1:25">
      <c r="A3745" s="203" t="s">
        <v>444</v>
      </c>
      <c r="B3745" s="204" t="s">
        <v>4284</v>
      </c>
      <c r="C3745" s="204" t="s">
        <v>63</v>
      </c>
      <c r="D3745" s="204" t="s">
        <v>3038</v>
      </c>
      <c r="E3745" s="205" t="s">
        <v>4777</v>
      </c>
      <c r="F3745" s="203" t="s">
        <v>4778</v>
      </c>
      <c r="G3745" s="203" t="s">
        <v>88</v>
      </c>
      <c r="H3745" s="25" t="s">
        <v>4785</v>
      </c>
      <c r="I3745" s="46" t="e">
        <f>VLOOKUP(H3745,'合同高级查询数据-4月返'!A:A,1,FALSE)</f>
        <v>#N/A</v>
      </c>
      <c r="J3745" s="47" t="s">
        <v>3488</v>
      </c>
      <c r="K3745" s="203" t="s">
        <v>4786</v>
      </c>
      <c r="L3745" s="206"/>
      <c r="M3745" s="49" t="s">
        <v>4800</v>
      </c>
      <c r="N3745" s="73">
        <v>44901</v>
      </c>
      <c r="O3745" s="73" t="s">
        <v>503</v>
      </c>
      <c r="P3745" s="383">
        <v>6200</v>
      </c>
      <c r="Q3745" s="385">
        <v>3</v>
      </c>
      <c r="R3745" s="386">
        <f t="shared" si="119"/>
        <v>18600</v>
      </c>
      <c r="S3745" s="279">
        <v>202304</v>
      </c>
      <c r="T3745" s="189" t="s">
        <v>4815</v>
      </c>
      <c r="U3745" s="213"/>
      <c r="V3745" s="387"/>
      <c r="W3745" s="214"/>
      <c r="X3745" s="388">
        <v>43374</v>
      </c>
      <c r="Y3745" s="388">
        <v>45331</v>
      </c>
    </row>
    <row r="3746" s="5" customFormat="1" customHeight="1" spans="1:25">
      <c r="A3746" s="203" t="s">
        <v>444</v>
      </c>
      <c r="B3746" s="204" t="s">
        <v>4284</v>
      </c>
      <c r="C3746" s="204" t="s">
        <v>63</v>
      </c>
      <c r="D3746" s="204" t="s">
        <v>3038</v>
      </c>
      <c r="E3746" s="205" t="s">
        <v>4777</v>
      </c>
      <c r="F3746" s="203" t="s">
        <v>4778</v>
      </c>
      <c r="G3746" s="203" t="s">
        <v>88</v>
      </c>
      <c r="H3746" s="25" t="s">
        <v>4785</v>
      </c>
      <c r="I3746" s="46" t="e">
        <f>VLOOKUP(H3746,'合同高级查询数据-4月返'!A:A,1,FALSE)</f>
        <v>#N/A</v>
      </c>
      <c r="J3746" s="47" t="s">
        <v>3488</v>
      </c>
      <c r="K3746" s="203" t="s">
        <v>4786</v>
      </c>
      <c r="L3746" s="206"/>
      <c r="M3746" s="49" t="s">
        <v>4800</v>
      </c>
      <c r="N3746" s="73">
        <v>44918</v>
      </c>
      <c r="O3746" s="73" t="s">
        <v>503</v>
      </c>
      <c r="P3746" s="383">
        <v>6200</v>
      </c>
      <c r="Q3746" s="385">
        <v>5</v>
      </c>
      <c r="R3746" s="386">
        <f t="shared" si="119"/>
        <v>31000</v>
      </c>
      <c r="S3746" s="279">
        <v>202304</v>
      </c>
      <c r="T3746" s="189" t="s">
        <v>4816</v>
      </c>
      <c r="U3746" s="213"/>
      <c r="V3746" s="387"/>
      <c r="W3746" s="214"/>
      <c r="X3746" s="388">
        <v>43374</v>
      </c>
      <c r="Y3746" s="388">
        <v>45331</v>
      </c>
    </row>
    <row r="3747" s="5" customFormat="1" customHeight="1" spans="1:25">
      <c r="A3747" s="203" t="s">
        <v>444</v>
      </c>
      <c r="B3747" s="204" t="s">
        <v>4284</v>
      </c>
      <c r="C3747" s="204" t="s">
        <v>63</v>
      </c>
      <c r="D3747" s="204" t="s">
        <v>3038</v>
      </c>
      <c r="E3747" s="205" t="s">
        <v>4777</v>
      </c>
      <c r="F3747" s="203" t="s">
        <v>4778</v>
      </c>
      <c r="G3747" s="203" t="s">
        <v>78</v>
      </c>
      <c r="H3747" s="25" t="s">
        <v>4785</v>
      </c>
      <c r="I3747" s="46" t="e">
        <f>VLOOKUP(H3747,'合同高级查询数据-4月返'!A:A,1,FALSE)</f>
        <v>#N/A</v>
      </c>
      <c r="J3747" s="47" t="s">
        <v>530</v>
      </c>
      <c r="K3747" s="203" t="s">
        <v>4786</v>
      </c>
      <c r="L3747" s="206"/>
      <c r="M3747" s="49"/>
      <c r="N3747" s="73"/>
      <c r="O3747" s="73"/>
      <c r="P3747" s="383">
        <v>3200</v>
      </c>
      <c r="Q3747" s="385">
        <v>29</v>
      </c>
      <c r="R3747" s="207">
        <f t="shared" ref="R3747:R3786" si="120">ROUND(P3747*Q3747,2)</f>
        <v>92800</v>
      </c>
      <c r="S3747" s="279">
        <v>202304</v>
      </c>
      <c r="T3747" s="184" t="s">
        <v>4817</v>
      </c>
      <c r="U3747" s="213"/>
      <c r="V3747" s="387"/>
      <c r="W3747" s="214"/>
      <c r="X3747" s="388">
        <v>43374</v>
      </c>
      <c r="Y3747" s="388">
        <v>45331</v>
      </c>
    </row>
    <row r="3748" s="5" customFormat="1" customHeight="1" spans="1:25">
      <c r="A3748" s="203" t="s">
        <v>444</v>
      </c>
      <c r="B3748" s="204" t="s">
        <v>4284</v>
      </c>
      <c r="C3748" s="204" t="s">
        <v>63</v>
      </c>
      <c r="D3748" s="204" t="s">
        <v>3038</v>
      </c>
      <c r="E3748" s="205" t="s">
        <v>4777</v>
      </c>
      <c r="F3748" s="203" t="s">
        <v>4778</v>
      </c>
      <c r="G3748" s="203" t="s">
        <v>78</v>
      </c>
      <c r="H3748" s="25" t="s">
        <v>4785</v>
      </c>
      <c r="I3748" s="46" t="e">
        <f>VLOOKUP(H3748,'合同高级查询数据-4月返'!A:A,1,FALSE)</f>
        <v>#N/A</v>
      </c>
      <c r="J3748" s="47" t="s">
        <v>530</v>
      </c>
      <c r="K3748" s="203" t="s">
        <v>4786</v>
      </c>
      <c r="L3748" s="206"/>
      <c r="M3748" s="49"/>
      <c r="N3748" s="73"/>
      <c r="O3748" s="73"/>
      <c r="P3748" s="383">
        <v>3200</v>
      </c>
      <c r="Q3748" s="385">
        <v>-29</v>
      </c>
      <c r="R3748" s="207">
        <f t="shared" si="120"/>
        <v>-92800</v>
      </c>
      <c r="S3748" s="279">
        <v>202304</v>
      </c>
      <c r="T3748" s="184" t="s">
        <v>4818</v>
      </c>
      <c r="U3748" s="213"/>
      <c r="V3748" s="387"/>
      <c r="W3748" s="214"/>
      <c r="X3748" s="388">
        <v>43374</v>
      </c>
      <c r="Y3748" s="388">
        <v>45331</v>
      </c>
    </row>
    <row r="3749" s="5" customFormat="1" customHeight="1" spans="1:25">
      <c r="A3749" s="203" t="s">
        <v>444</v>
      </c>
      <c r="B3749" s="204" t="s">
        <v>4284</v>
      </c>
      <c r="C3749" s="204" t="s">
        <v>63</v>
      </c>
      <c r="D3749" s="204" t="s">
        <v>3038</v>
      </c>
      <c r="E3749" s="205" t="s">
        <v>4777</v>
      </c>
      <c r="F3749" s="203" t="s">
        <v>4778</v>
      </c>
      <c r="G3749" s="203" t="s">
        <v>78</v>
      </c>
      <c r="H3749" s="25" t="s">
        <v>4790</v>
      </c>
      <c r="I3749" s="46" t="e">
        <f>VLOOKUP(H3749,'合同高级查询数据-4月返'!A:A,1,FALSE)</f>
        <v>#N/A</v>
      </c>
      <c r="J3749" s="47" t="s">
        <v>530</v>
      </c>
      <c r="K3749" s="203" t="s">
        <v>4786</v>
      </c>
      <c r="L3749" s="206"/>
      <c r="M3749" s="49"/>
      <c r="N3749" s="73"/>
      <c r="O3749" s="73"/>
      <c r="P3749" s="383">
        <v>0</v>
      </c>
      <c r="Q3749" s="395">
        <v>0</v>
      </c>
      <c r="R3749" s="207">
        <f t="shared" si="120"/>
        <v>0</v>
      </c>
      <c r="S3749" s="279">
        <v>202304</v>
      </c>
      <c r="T3749" s="184" t="s">
        <v>4819</v>
      </c>
      <c r="U3749" s="213"/>
      <c r="V3749" s="387"/>
      <c r="W3749" s="214"/>
      <c r="X3749" s="388">
        <v>43405</v>
      </c>
      <c r="Y3749" s="388">
        <v>45331</v>
      </c>
    </row>
    <row r="3750" s="5" customFormat="1" customHeight="1" spans="1:25">
      <c r="A3750" s="203" t="s">
        <v>444</v>
      </c>
      <c r="B3750" s="204" t="s">
        <v>4284</v>
      </c>
      <c r="C3750" s="204" t="s">
        <v>63</v>
      </c>
      <c r="D3750" s="204" t="s">
        <v>3038</v>
      </c>
      <c r="E3750" s="205" t="s">
        <v>4777</v>
      </c>
      <c r="F3750" s="203" t="s">
        <v>4778</v>
      </c>
      <c r="G3750" s="203" t="s">
        <v>67</v>
      </c>
      <c r="H3750" s="25" t="s">
        <v>4785</v>
      </c>
      <c r="I3750" s="46" t="e">
        <f>VLOOKUP(H3750,'合同高级查询数据-4月返'!A:A,1,FALSE)</f>
        <v>#N/A</v>
      </c>
      <c r="J3750" s="47" t="s">
        <v>67</v>
      </c>
      <c r="K3750" s="203"/>
      <c r="L3750" s="206"/>
      <c r="M3750" s="49"/>
      <c r="N3750" s="73">
        <v>43577</v>
      </c>
      <c r="O3750" s="73" t="s">
        <v>71</v>
      </c>
      <c r="P3750" s="383">
        <v>390</v>
      </c>
      <c r="Q3750" s="385">
        <v>125</v>
      </c>
      <c r="R3750" s="207">
        <f t="shared" si="120"/>
        <v>48750</v>
      </c>
      <c r="S3750" s="279">
        <v>202304</v>
      </c>
      <c r="T3750" s="184"/>
      <c r="U3750" s="213"/>
      <c r="V3750" s="387"/>
      <c r="W3750" s="214"/>
      <c r="X3750" s="388">
        <v>43374</v>
      </c>
      <c r="Y3750" s="388">
        <v>45331</v>
      </c>
    </row>
    <row r="3751" s="5" customFormat="1" customHeight="1" spans="1:25">
      <c r="A3751" s="203" t="s">
        <v>444</v>
      </c>
      <c r="B3751" s="204" t="s">
        <v>4284</v>
      </c>
      <c r="C3751" s="204" t="s">
        <v>63</v>
      </c>
      <c r="D3751" s="204" t="s">
        <v>3038</v>
      </c>
      <c r="E3751" s="205" t="s">
        <v>4777</v>
      </c>
      <c r="F3751" s="203" t="s">
        <v>4778</v>
      </c>
      <c r="G3751" s="203" t="s">
        <v>67</v>
      </c>
      <c r="H3751" s="25" t="s">
        <v>4785</v>
      </c>
      <c r="I3751" s="46" t="e">
        <f>VLOOKUP(H3751,'合同高级查询数据-4月返'!A:A,1,FALSE)</f>
        <v>#N/A</v>
      </c>
      <c r="J3751" s="47" t="s">
        <v>67</v>
      </c>
      <c r="K3751" s="203"/>
      <c r="L3751" s="73"/>
      <c r="M3751" s="73"/>
      <c r="N3751" s="73">
        <v>44985</v>
      </c>
      <c r="O3751" s="73" t="s">
        <v>71</v>
      </c>
      <c r="P3751" s="383">
        <v>390</v>
      </c>
      <c r="Q3751" s="385">
        <v>-125</v>
      </c>
      <c r="R3751" s="207">
        <f t="shared" si="120"/>
        <v>-48750</v>
      </c>
      <c r="S3751" s="279">
        <v>202304</v>
      </c>
      <c r="T3751" s="184" t="s">
        <v>4820</v>
      </c>
      <c r="U3751" s="213"/>
      <c r="V3751" s="387"/>
      <c r="W3751" s="214"/>
      <c r="X3751" s="388">
        <v>43374</v>
      </c>
      <c r="Y3751" s="388">
        <v>45331</v>
      </c>
    </row>
    <row r="3752" s="5" customFormat="1" customHeight="1" spans="1:25">
      <c r="A3752" s="203" t="s">
        <v>444</v>
      </c>
      <c r="B3752" s="204" t="s">
        <v>4284</v>
      </c>
      <c r="C3752" s="204" t="s">
        <v>63</v>
      </c>
      <c r="D3752" s="204" t="s">
        <v>3038</v>
      </c>
      <c r="E3752" s="205" t="s">
        <v>4777</v>
      </c>
      <c r="F3752" s="203" t="s">
        <v>4778</v>
      </c>
      <c r="G3752" s="203" t="s">
        <v>67</v>
      </c>
      <c r="H3752" s="25" t="s">
        <v>4785</v>
      </c>
      <c r="I3752" s="46" t="e">
        <f>VLOOKUP(H3752,'合同高级查询数据-4月返'!A:A,1,FALSE)</f>
        <v>#N/A</v>
      </c>
      <c r="J3752" s="47" t="s">
        <v>67</v>
      </c>
      <c r="K3752" s="203"/>
      <c r="L3752" s="206"/>
      <c r="M3752" s="49"/>
      <c r="N3752" s="73">
        <v>43577</v>
      </c>
      <c r="O3752" s="73" t="s">
        <v>71</v>
      </c>
      <c r="P3752" s="383">
        <v>390</v>
      </c>
      <c r="Q3752" s="385">
        <v>78</v>
      </c>
      <c r="R3752" s="207">
        <f t="shared" si="120"/>
        <v>30420</v>
      </c>
      <c r="S3752" s="279">
        <v>202304</v>
      </c>
      <c r="T3752" s="184"/>
      <c r="U3752" s="213"/>
      <c r="V3752" s="387"/>
      <c r="W3752" s="214"/>
      <c r="X3752" s="388">
        <v>43374</v>
      </c>
      <c r="Y3752" s="388">
        <v>45331</v>
      </c>
    </row>
    <row r="3753" s="5" customFormat="1" customHeight="1" spans="1:25">
      <c r="A3753" s="203" t="s">
        <v>444</v>
      </c>
      <c r="B3753" s="204" t="s">
        <v>4284</v>
      </c>
      <c r="C3753" s="204" t="s">
        <v>63</v>
      </c>
      <c r="D3753" s="204" t="s">
        <v>3038</v>
      </c>
      <c r="E3753" s="205" t="s">
        <v>4777</v>
      </c>
      <c r="F3753" s="203" t="s">
        <v>4778</v>
      </c>
      <c r="G3753" s="203" t="s">
        <v>31</v>
      </c>
      <c r="H3753" s="25" t="s">
        <v>4821</v>
      </c>
      <c r="I3753" s="46" t="e">
        <f>VLOOKUP(H3753,'合同高级查询数据-4月返'!A:A,1,FALSE)</f>
        <v>#N/A</v>
      </c>
      <c r="J3753" s="47" t="s">
        <v>497</v>
      </c>
      <c r="K3753" s="203" t="s">
        <v>4822</v>
      </c>
      <c r="L3753" s="206" t="s">
        <v>4823</v>
      </c>
      <c r="M3753" s="49"/>
      <c r="N3753" s="73">
        <v>40330</v>
      </c>
      <c r="O3753" s="73" t="s">
        <v>37</v>
      </c>
      <c r="P3753" s="383">
        <v>0</v>
      </c>
      <c r="Q3753" s="385">
        <v>5120</v>
      </c>
      <c r="R3753" s="207">
        <f t="shared" si="120"/>
        <v>0</v>
      </c>
      <c r="S3753" s="279">
        <v>202304</v>
      </c>
      <c r="T3753" s="184" t="s">
        <v>4824</v>
      </c>
      <c r="U3753" s="213"/>
      <c r="V3753" s="387"/>
      <c r="W3753" s="214"/>
      <c r="X3753" s="388">
        <v>43466</v>
      </c>
      <c r="Y3753" s="388">
        <v>45657</v>
      </c>
    </row>
    <row r="3754" s="5" customFormat="1" customHeight="1" spans="1:25">
      <c r="A3754" s="203" t="s">
        <v>444</v>
      </c>
      <c r="B3754" s="204" t="s">
        <v>4284</v>
      </c>
      <c r="C3754" s="204" t="s">
        <v>63</v>
      </c>
      <c r="D3754" s="204" t="s">
        <v>3038</v>
      </c>
      <c r="E3754" s="205" t="s">
        <v>4777</v>
      </c>
      <c r="F3754" s="203" t="s">
        <v>4778</v>
      </c>
      <c r="G3754" s="203" t="s">
        <v>88</v>
      </c>
      <c r="H3754" s="25" t="s">
        <v>4821</v>
      </c>
      <c r="I3754" s="46" t="e">
        <f>VLOOKUP(H3754,'合同高级查询数据-4月返'!A:A,1,FALSE)</f>
        <v>#N/A</v>
      </c>
      <c r="J3754" s="47" t="s">
        <v>3488</v>
      </c>
      <c r="K3754" s="203" t="s">
        <v>4825</v>
      </c>
      <c r="L3754" s="206"/>
      <c r="M3754" s="49" t="s">
        <v>3096</v>
      </c>
      <c r="N3754" s="73">
        <v>43473</v>
      </c>
      <c r="O3754" s="73" t="s">
        <v>3120</v>
      </c>
      <c r="P3754" s="383">
        <v>32812.5</v>
      </c>
      <c r="Q3754" s="385">
        <v>20</v>
      </c>
      <c r="R3754" s="386">
        <f t="shared" si="120"/>
        <v>656250</v>
      </c>
      <c r="S3754" s="279">
        <v>202304</v>
      </c>
      <c r="T3754" s="184" t="s">
        <v>4826</v>
      </c>
      <c r="U3754" s="213"/>
      <c r="V3754" s="387"/>
      <c r="W3754" s="214"/>
      <c r="X3754" s="388">
        <v>43466</v>
      </c>
      <c r="Y3754" s="388">
        <v>45657</v>
      </c>
    </row>
    <row r="3755" s="5" customFormat="1" customHeight="1" spans="1:25">
      <c r="A3755" s="203" t="s">
        <v>444</v>
      </c>
      <c r="B3755" s="204" t="s">
        <v>4284</v>
      </c>
      <c r="C3755" s="204" t="s">
        <v>63</v>
      </c>
      <c r="D3755" s="204" t="s">
        <v>3038</v>
      </c>
      <c r="E3755" s="205" t="s">
        <v>4777</v>
      </c>
      <c r="F3755" s="203" t="s">
        <v>4778</v>
      </c>
      <c r="G3755" s="203" t="s">
        <v>88</v>
      </c>
      <c r="H3755" s="25" t="s">
        <v>4821</v>
      </c>
      <c r="I3755" s="46" t="e">
        <f>VLOOKUP(H3755,'合同高级查询数据-4月返'!A:A,1,FALSE)</f>
        <v>#N/A</v>
      </c>
      <c r="J3755" s="47" t="s">
        <v>3488</v>
      </c>
      <c r="K3755" s="203" t="s">
        <v>4825</v>
      </c>
      <c r="L3755" s="206"/>
      <c r="M3755" s="49" t="s">
        <v>3096</v>
      </c>
      <c r="N3755" s="73">
        <v>43473</v>
      </c>
      <c r="O3755" s="73" t="s">
        <v>507</v>
      </c>
      <c r="P3755" s="383">
        <v>12761.7</v>
      </c>
      <c r="Q3755" s="385">
        <v>8</v>
      </c>
      <c r="R3755" s="386">
        <f t="shared" si="120"/>
        <v>102093.6</v>
      </c>
      <c r="S3755" s="279">
        <v>202304</v>
      </c>
      <c r="T3755" s="184" t="s">
        <v>4827</v>
      </c>
      <c r="U3755" s="213"/>
      <c r="V3755" s="387"/>
      <c r="W3755" s="214"/>
      <c r="X3755" s="388">
        <v>43466</v>
      </c>
      <c r="Y3755" s="388">
        <v>45657</v>
      </c>
    </row>
    <row r="3756" s="5" customFormat="1" customHeight="1" spans="1:25">
      <c r="A3756" s="203" t="s">
        <v>444</v>
      </c>
      <c r="B3756" s="204" t="s">
        <v>4284</v>
      </c>
      <c r="C3756" s="204" t="s">
        <v>63</v>
      </c>
      <c r="D3756" s="204" t="s">
        <v>3038</v>
      </c>
      <c r="E3756" s="205" t="s">
        <v>4777</v>
      </c>
      <c r="F3756" s="203" t="s">
        <v>4778</v>
      </c>
      <c r="G3756" s="203" t="s">
        <v>88</v>
      </c>
      <c r="H3756" s="25" t="s">
        <v>4821</v>
      </c>
      <c r="I3756" s="46" t="e">
        <f>VLOOKUP(H3756,'合同高级查询数据-4月返'!A:A,1,FALSE)</f>
        <v>#N/A</v>
      </c>
      <c r="J3756" s="47" t="s">
        <v>3488</v>
      </c>
      <c r="K3756" s="203" t="s">
        <v>4825</v>
      </c>
      <c r="L3756" s="206"/>
      <c r="M3756" s="49" t="s">
        <v>3096</v>
      </c>
      <c r="N3756" s="73">
        <v>43473</v>
      </c>
      <c r="O3756" s="73" t="s">
        <v>503</v>
      </c>
      <c r="P3756" s="383">
        <v>6510</v>
      </c>
      <c r="Q3756" s="385">
        <v>25</v>
      </c>
      <c r="R3756" s="386">
        <f t="shared" si="120"/>
        <v>162750</v>
      </c>
      <c r="S3756" s="279">
        <v>202304</v>
      </c>
      <c r="T3756" s="184" t="s">
        <v>4828</v>
      </c>
      <c r="U3756" s="213"/>
      <c r="V3756" s="387"/>
      <c r="W3756" s="214"/>
      <c r="X3756" s="388">
        <v>43466</v>
      </c>
      <c r="Y3756" s="388">
        <v>45657</v>
      </c>
    </row>
    <row r="3757" s="5" customFormat="1" customHeight="1" spans="1:25">
      <c r="A3757" s="203" t="s">
        <v>444</v>
      </c>
      <c r="B3757" s="204" t="s">
        <v>4284</v>
      </c>
      <c r="C3757" s="204" t="s">
        <v>63</v>
      </c>
      <c r="D3757" s="204" t="s">
        <v>3038</v>
      </c>
      <c r="E3757" s="205" t="s">
        <v>4777</v>
      </c>
      <c r="F3757" s="203" t="s">
        <v>4778</v>
      </c>
      <c r="G3757" s="203" t="s">
        <v>88</v>
      </c>
      <c r="H3757" s="25" t="s">
        <v>4821</v>
      </c>
      <c r="I3757" s="46" t="e">
        <f>VLOOKUP(H3757,'合同高级查询数据-4月返'!A:A,1,FALSE)</f>
        <v>#N/A</v>
      </c>
      <c r="J3757" s="47" t="s">
        <v>3488</v>
      </c>
      <c r="K3757" s="203" t="s">
        <v>4825</v>
      </c>
      <c r="L3757" s="206"/>
      <c r="M3757" s="49" t="s">
        <v>3096</v>
      </c>
      <c r="N3757" s="73">
        <v>43473</v>
      </c>
      <c r="O3757" s="73" t="s">
        <v>503</v>
      </c>
      <c r="P3757" s="383">
        <v>6510</v>
      </c>
      <c r="Q3757" s="385">
        <v>8</v>
      </c>
      <c r="R3757" s="386">
        <f t="shared" si="120"/>
        <v>52080</v>
      </c>
      <c r="S3757" s="279">
        <v>202304</v>
      </c>
      <c r="T3757" s="184" t="s">
        <v>4829</v>
      </c>
      <c r="U3757" s="213"/>
      <c r="V3757" s="387"/>
      <c r="W3757" s="214"/>
      <c r="X3757" s="388">
        <v>43466</v>
      </c>
      <c r="Y3757" s="388">
        <v>45657</v>
      </c>
    </row>
    <row r="3758" s="5" customFormat="1" customHeight="1" spans="1:25">
      <c r="A3758" s="203" t="s">
        <v>444</v>
      </c>
      <c r="B3758" s="204" t="s">
        <v>4284</v>
      </c>
      <c r="C3758" s="204" t="s">
        <v>63</v>
      </c>
      <c r="D3758" s="204" t="s">
        <v>3038</v>
      </c>
      <c r="E3758" s="205" t="s">
        <v>4777</v>
      </c>
      <c r="F3758" s="203" t="s">
        <v>4778</v>
      </c>
      <c r="G3758" s="203" t="s">
        <v>88</v>
      </c>
      <c r="H3758" s="25" t="s">
        <v>4821</v>
      </c>
      <c r="I3758" s="46" t="e">
        <f>VLOOKUP(H3758,'合同高级查询数据-4月返'!A:A,1,FALSE)</f>
        <v>#N/A</v>
      </c>
      <c r="J3758" s="47" t="s">
        <v>3488</v>
      </c>
      <c r="K3758" s="203" t="s">
        <v>4825</v>
      </c>
      <c r="L3758" s="206"/>
      <c r="M3758" s="49" t="s">
        <v>3096</v>
      </c>
      <c r="N3758" s="73">
        <v>43473</v>
      </c>
      <c r="O3758" s="73" t="s">
        <v>600</v>
      </c>
      <c r="P3758" s="383">
        <v>3255</v>
      </c>
      <c r="Q3758" s="385">
        <v>28</v>
      </c>
      <c r="R3758" s="386">
        <f t="shared" si="120"/>
        <v>91140</v>
      </c>
      <c r="S3758" s="279">
        <v>202304</v>
      </c>
      <c r="T3758" s="184" t="s">
        <v>4830</v>
      </c>
      <c r="U3758" s="213"/>
      <c r="V3758" s="387"/>
      <c r="W3758" s="214"/>
      <c r="X3758" s="388">
        <v>43466</v>
      </c>
      <c r="Y3758" s="388">
        <v>45657</v>
      </c>
    </row>
    <row r="3759" s="5" customFormat="1" customHeight="1" spans="1:25">
      <c r="A3759" s="203" t="s">
        <v>444</v>
      </c>
      <c r="B3759" s="204" t="s">
        <v>4284</v>
      </c>
      <c r="C3759" s="204" t="s">
        <v>63</v>
      </c>
      <c r="D3759" s="204" t="s">
        <v>3038</v>
      </c>
      <c r="E3759" s="205" t="s">
        <v>4777</v>
      </c>
      <c r="F3759" s="203" t="s">
        <v>4778</v>
      </c>
      <c r="G3759" s="203" t="s">
        <v>88</v>
      </c>
      <c r="H3759" s="25" t="s">
        <v>4821</v>
      </c>
      <c r="I3759" s="46" t="e">
        <f>VLOOKUP(H3759,'合同高级查询数据-4月返'!A:A,1,FALSE)</f>
        <v>#N/A</v>
      </c>
      <c r="J3759" s="47" t="s">
        <v>3488</v>
      </c>
      <c r="K3759" s="203" t="s">
        <v>4825</v>
      </c>
      <c r="L3759" s="206"/>
      <c r="M3759" s="49" t="s">
        <v>3096</v>
      </c>
      <c r="N3759" s="73">
        <v>44043</v>
      </c>
      <c r="O3759" s="73" t="s">
        <v>600</v>
      </c>
      <c r="P3759" s="383">
        <v>3255</v>
      </c>
      <c r="Q3759" s="385">
        <v>-2</v>
      </c>
      <c r="R3759" s="386">
        <f t="shared" si="120"/>
        <v>-6510</v>
      </c>
      <c r="S3759" s="279">
        <v>202304</v>
      </c>
      <c r="T3759" s="184" t="s">
        <v>4831</v>
      </c>
      <c r="U3759" s="213"/>
      <c r="V3759" s="387"/>
      <c r="W3759" s="214"/>
      <c r="X3759" s="388">
        <v>43466</v>
      </c>
      <c r="Y3759" s="388">
        <v>45657</v>
      </c>
    </row>
    <row r="3760" s="5" customFormat="1" customHeight="1" spans="1:25">
      <c r="A3760" s="203" t="s">
        <v>444</v>
      </c>
      <c r="B3760" s="204" t="s">
        <v>4284</v>
      </c>
      <c r="C3760" s="204" t="s">
        <v>63</v>
      </c>
      <c r="D3760" s="204" t="s">
        <v>3038</v>
      </c>
      <c r="E3760" s="205" t="s">
        <v>4777</v>
      </c>
      <c r="F3760" s="203" t="s">
        <v>4778</v>
      </c>
      <c r="G3760" s="203" t="s">
        <v>88</v>
      </c>
      <c r="H3760" s="25" t="s">
        <v>4821</v>
      </c>
      <c r="I3760" s="46" t="e">
        <f>VLOOKUP(H3760,'合同高级查询数据-4月返'!A:A,1,FALSE)</f>
        <v>#N/A</v>
      </c>
      <c r="J3760" s="47" t="s">
        <v>3488</v>
      </c>
      <c r="K3760" s="203" t="s">
        <v>4825</v>
      </c>
      <c r="L3760" s="206"/>
      <c r="M3760" s="49" t="s">
        <v>3096</v>
      </c>
      <c r="N3760" s="73">
        <v>43473</v>
      </c>
      <c r="O3760" s="73" t="s">
        <v>507</v>
      </c>
      <c r="P3760" s="383">
        <v>12495</v>
      </c>
      <c r="Q3760" s="385">
        <v>58</v>
      </c>
      <c r="R3760" s="386">
        <f t="shared" si="120"/>
        <v>724710</v>
      </c>
      <c r="S3760" s="279">
        <v>202304</v>
      </c>
      <c r="T3760" s="184" t="s">
        <v>4832</v>
      </c>
      <c r="U3760" s="213"/>
      <c r="V3760" s="387"/>
      <c r="W3760" s="214"/>
      <c r="X3760" s="388">
        <v>43466</v>
      </c>
      <c r="Y3760" s="388">
        <v>45657</v>
      </c>
    </row>
    <row r="3761" s="5" customFormat="1" customHeight="1" spans="1:25">
      <c r="A3761" s="203" t="s">
        <v>444</v>
      </c>
      <c r="B3761" s="204" t="s">
        <v>4284</v>
      </c>
      <c r="C3761" s="204" t="s">
        <v>63</v>
      </c>
      <c r="D3761" s="204" t="s">
        <v>3038</v>
      </c>
      <c r="E3761" s="205" t="s">
        <v>4777</v>
      </c>
      <c r="F3761" s="203" t="s">
        <v>4778</v>
      </c>
      <c r="G3761" s="203" t="s">
        <v>88</v>
      </c>
      <c r="H3761" s="25" t="s">
        <v>4821</v>
      </c>
      <c r="I3761" s="46" t="e">
        <f>VLOOKUP(H3761,'合同高级查询数据-4月返'!A:A,1,FALSE)</f>
        <v>#N/A</v>
      </c>
      <c r="J3761" s="47" t="s">
        <v>3488</v>
      </c>
      <c r="K3761" s="203" t="s">
        <v>4825</v>
      </c>
      <c r="L3761" s="206"/>
      <c r="M3761" s="49" t="s">
        <v>3096</v>
      </c>
      <c r="N3761" s="73">
        <v>43473</v>
      </c>
      <c r="O3761" s="73" t="s">
        <v>507</v>
      </c>
      <c r="P3761" s="383">
        <v>12495</v>
      </c>
      <c r="Q3761" s="385">
        <v>335</v>
      </c>
      <c r="R3761" s="386">
        <f t="shared" si="120"/>
        <v>4185825</v>
      </c>
      <c r="S3761" s="279">
        <v>202304</v>
      </c>
      <c r="T3761" s="184" t="s">
        <v>4833</v>
      </c>
      <c r="U3761" s="213"/>
      <c r="V3761" s="387"/>
      <c r="W3761" s="214"/>
      <c r="X3761" s="388">
        <v>43466</v>
      </c>
      <c r="Y3761" s="388">
        <v>45657</v>
      </c>
    </row>
    <row r="3762" s="5" customFormat="1" customHeight="1" spans="1:25">
      <c r="A3762" s="203" t="s">
        <v>444</v>
      </c>
      <c r="B3762" s="204" t="s">
        <v>4284</v>
      </c>
      <c r="C3762" s="204" t="s">
        <v>63</v>
      </c>
      <c r="D3762" s="204" t="s">
        <v>3038</v>
      </c>
      <c r="E3762" s="205" t="s">
        <v>4777</v>
      </c>
      <c r="F3762" s="203" t="s">
        <v>4778</v>
      </c>
      <c r="G3762" s="203" t="s">
        <v>88</v>
      </c>
      <c r="H3762" s="25" t="s">
        <v>4821</v>
      </c>
      <c r="I3762" s="46" t="e">
        <f>VLOOKUP(H3762,'合同高级查询数据-4月返'!A:A,1,FALSE)</f>
        <v>#N/A</v>
      </c>
      <c r="J3762" s="47" t="s">
        <v>3488</v>
      </c>
      <c r="K3762" s="203" t="s">
        <v>4825</v>
      </c>
      <c r="L3762" s="206"/>
      <c r="M3762" s="49" t="s">
        <v>3096</v>
      </c>
      <c r="N3762" s="73">
        <v>43474</v>
      </c>
      <c r="O3762" s="73" t="s">
        <v>507</v>
      </c>
      <c r="P3762" s="383">
        <v>12495</v>
      </c>
      <c r="Q3762" s="385">
        <v>262</v>
      </c>
      <c r="R3762" s="386">
        <f t="shared" si="120"/>
        <v>3273690</v>
      </c>
      <c r="S3762" s="279">
        <v>202304</v>
      </c>
      <c r="T3762" s="184" t="s">
        <v>4833</v>
      </c>
      <c r="U3762" s="213"/>
      <c r="V3762" s="387"/>
      <c r="W3762" s="214"/>
      <c r="X3762" s="388">
        <v>43466</v>
      </c>
      <c r="Y3762" s="388">
        <v>45657</v>
      </c>
    </row>
    <row r="3763" s="5" customFormat="1" customHeight="1" spans="1:25">
      <c r="A3763" s="203" t="s">
        <v>444</v>
      </c>
      <c r="B3763" s="204" t="s">
        <v>4284</v>
      </c>
      <c r="C3763" s="204" t="s">
        <v>63</v>
      </c>
      <c r="D3763" s="204" t="s">
        <v>3038</v>
      </c>
      <c r="E3763" s="205" t="s">
        <v>4777</v>
      </c>
      <c r="F3763" s="203" t="s">
        <v>4778</v>
      </c>
      <c r="G3763" s="203" t="s">
        <v>88</v>
      </c>
      <c r="H3763" s="25" t="s">
        <v>4821</v>
      </c>
      <c r="I3763" s="46" t="e">
        <f>VLOOKUP(H3763,'合同高级查询数据-4月返'!A:A,1,FALSE)</f>
        <v>#N/A</v>
      </c>
      <c r="J3763" s="47" t="s">
        <v>3488</v>
      </c>
      <c r="K3763" s="203" t="s">
        <v>4825</v>
      </c>
      <c r="L3763" s="206"/>
      <c r="M3763" s="49" t="s">
        <v>3096</v>
      </c>
      <c r="N3763" s="73">
        <v>43475</v>
      </c>
      <c r="O3763" s="73" t="s">
        <v>507</v>
      </c>
      <c r="P3763" s="383">
        <v>12495</v>
      </c>
      <c r="Q3763" s="385">
        <v>358</v>
      </c>
      <c r="R3763" s="386">
        <f t="shared" si="120"/>
        <v>4473210</v>
      </c>
      <c r="S3763" s="279">
        <v>202304</v>
      </c>
      <c r="T3763" s="184" t="s">
        <v>4833</v>
      </c>
      <c r="U3763" s="213"/>
      <c r="V3763" s="387"/>
      <c r="W3763" s="214"/>
      <c r="X3763" s="388">
        <v>43466</v>
      </c>
      <c r="Y3763" s="388">
        <v>45657</v>
      </c>
    </row>
    <row r="3764" s="5" customFormat="1" customHeight="1" spans="1:25">
      <c r="A3764" s="203" t="s">
        <v>444</v>
      </c>
      <c r="B3764" s="204" t="s">
        <v>4284</v>
      </c>
      <c r="C3764" s="204" t="s">
        <v>63</v>
      </c>
      <c r="D3764" s="204" t="s">
        <v>3038</v>
      </c>
      <c r="E3764" s="205" t="s">
        <v>4777</v>
      </c>
      <c r="F3764" s="203" t="s">
        <v>4778</v>
      </c>
      <c r="G3764" s="203" t="s">
        <v>88</v>
      </c>
      <c r="H3764" s="25" t="s">
        <v>4821</v>
      </c>
      <c r="I3764" s="46" t="e">
        <f>VLOOKUP(H3764,'合同高级查询数据-4月返'!A:A,1,FALSE)</f>
        <v>#N/A</v>
      </c>
      <c r="J3764" s="47" t="s">
        <v>3488</v>
      </c>
      <c r="K3764" s="203" t="s">
        <v>4825</v>
      </c>
      <c r="L3764" s="206"/>
      <c r="M3764" s="49" t="s">
        <v>3096</v>
      </c>
      <c r="N3764" s="73">
        <v>43476</v>
      </c>
      <c r="O3764" s="73" t="s">
        <v>507</v>
      </c>
      <c r="P3764" s="383">
        <v>12495</v>
      </c>
      <c r="Q3764" s="385">
        <v>65</v>
      </c>
      <c r="R3764" s="386">
        <f t="shared" si="120"/>
        <v>812175</v>
      </c>
      <c r="S3764" s="279">
        <v>202304</v>
      </c>
      <c r="T3764" s="184" t="s">
        <v>4833</v>
      </c>
      <c r="U3764" s="213"/>
      <c r="V3764" s="387"/>
      <c r="W3764" s="214"/>
      <c r="X3764" s="388">
        <v>43466</v>
      </c>
      <c r="Y3764" s="388">
        <v>45657</v>
      </c>
    </row>
    <row r="3765" s="5" customFormat="1" customHeight="1" spans="1:25">
      <c r="A3765" s="203" t="s">
        <v>444</v>
      </c>
      <c r="B3765" s="204" t="s">
        <v>4284</v>
      </c>
      <c r="C3765" s="204" t="s">
        <v>63</v>
      </c>
      <c r="D3765" s="204" t="s">
        <v>3038</v>
      </c>
      <c r="E3765" s="205" t="s">
        <v>4777</v>
      </c>
      <c r="F3765" s="203" t="s">
        <v>4778</v>
      </c>
      <c r="G3765" s="203" t="s">
        <v>88</v>
      </c>
      <c r="H3765" s="25" t="s">
        <v>4821</v>
      </c>
      <c r="I3765" s="46" t="e">
        <f>VLOOKUP(H3765,'合同高级查询数据-4月返'!A:A,1,FALSE)</f>
        <v>#N/A</v>
      </c>
      <c r="J3765" s="47" t="s">
        <v>3488</v>
      </c>
      <c r="K3765" s="203" t="s">
        <v>4825</v>
      </c>
      <c r="L3765" s="206"/>
      <c r="M3765" s="49" t="s">
        <v>3096</v>
      </c>
      <c r="N3765" s="73">
        <v>43477</v>
      </c>
      <c r="O3765" s="73" t="s">
        <v>507</v>
      </c>
      <c r="P3765" s="383">
        <v>12495</v>
      </c>
      <c r="Q3765" s="385">
        <v>40</v>
      </c>
      <c r="R3765" s="386">
        <f t="shared" si="120"/>
        <v>499800</v>
      </c>
      <c r="S3765" s="279">
        <v>202304</v>
      </c>
      <c r="T3765" s="184" t="s">
        <v>4833</v>
      </c>
      <c r="U3765" s="213"/>
      <c r="V3765" s="387"/>
      <c r="W3765" s="214"/>
      <c r="X3765" s="388">
        <v>43466</v>
      </c>
      <c r="Y3765" s="388">
        <v>45657</v>
      </c>
    </row>
    <row r="3766" s="5" customFormat="1" customHeight="1" spans="1:25">
      <c r="A3766" s="203" t="s">
        <v>444</v>
      </c>
      <c r="B3766" s="204" t="s">
        <v>4284</v>
      </c>
      <c r="C3766" s="204" t="s">
        <v>63</v>
      </c>
      <c r="D3766" s="204" t="s">
        <v>3038</v>
      </c>
      <c r="E3766" s="205" t="s">
        <v>4777</v>
      </c>
      <c r="F3766" s="203" t="s">
        <v>4778</v>
      </c>
      <c r="G3766" s="203" t="s">
        <v>88</v>
      </c>
      <c r="H3766" s="25" t="s">
        <v>4821</v>
      </c>
      <c r="I3766" s="46" t="e">
        <f>VLOOKUP(H3766,'合同高级查询数据-4月返'!A:A,1,FALSE)</f>
        <v>#N/A</v>
      </c>
      <c r="J3766" s="47" t="s">
        <v>3488</v>
      </c>
      <c r="K3766" s="203" t="s">
        <v>4825</v>
      </c>
      <c r="L3766" s="206"/>
      <c r="M3766" s="49" t="s">
        <v>3096</v>
      </c>
      <c r="N3766" s="73">
        <v>43479</v>
      </c>
      <c r="O3766" s="73" t="s">
        <v>507</v>
      </c>
      <c r="P3766" s="383">
        <v>12495</v>
      </c>
      <c r="Q3766" s="385">
        <v>23</v>
      </c>
      <c r="R3766" s="386">
        <f t="shared" si="120"/>
        <v>287385</v>
      </c>
      <c r="S3766" s="279">
        <v>202304</v>
      </c>
      <c r="T3766" s="184" t="s">
        <v>4833</v>
      </c>
      <c r="U3766" s="213"/>
      <c r="V3766" s="387"/>
      <c r="W3766" s="214"/>
      <c r="X3766" s="388">
        <v>43466</v>
      </c>
      <c r="Y3766" s="388">
        <v>45657</v>
      </c>
    </row>
    <row r="3767" s="5" customFormat="1" customHeight="1" spans="1:25">
      <c r="A3767" s="203" t="s">
        <v>444</v>
      </c>
      <c r="B3767" s="204" t="s">
        <v>4284</v>
      </c>
      <c r="C3767" s="204" t="s">
        <v>63</v>
      </c>
      <c r="D3767" s="204" t="s">
        <v>3038</v>
      </c>
      <c r="E3767" s="205" t="s">
        <v>4777</v>
      </c>
      <c r="F3767" s="203" t="s">
        <v>4778</v>
      </c>
      <c r="G3767" s="203" t="s">
        <v>88</v>
      </c>
      <c r="H3767" s="25" t="s">
        <v>4821</v>
      </c>
      <c r="I3767" s="46" t="e">
        <f>VLOOKUP(H3767,'合同高级查询数据-4月返'!A:A,1,FALSE)</f>
        <v>#N/A</v>
      </c>
      <c r="J3767" s="47" t="s">
        <v>3488</v>
      </c>
      <c r="K3767" s="203" t="s">
        <v>4825</v>
      </c>
      <c r="L3767" s="206"/>
      <c r="M3767" s="49" t="s">
        <v>3096</v>
      </c>
      <c r="N3767" s="73">
        <v>43480</v>
      </c>
      <c r="O3767" s="73" t="s">
        <v>507</v>
      </c>
      <c r="P3767" s="383">
        <v>12495</v>
      </c>
      <c r="Q3767" s="385">
        <v>5</v>
      </c>
      <c r="R3767" s="386">
        <f t="shared" si="120"/>
        <v>62475</v>
      </c>
      <c r="S3767" s="279">
        <v>202304</v>
      </c>
      <c r="T3767" s="184" t="s">
        <v>4833</v>
      </c>
      <c r="U3767" s="213"/>
      <c r="V3767" s="387"/>
      <c r="W3767" s="214"/>
      <c r="X3767" s="388">
        <v>43466</v>
      </c>
      <c r="Y3767" s="388">
        <v>45657</v>
      </c>
    </row>
    <row r="3768" s="5" customFormat="1" customHeight="1" spans="1:25">
      <c r="A3768" s="203" t="s">
        <v>444</v>
      </c>
      <c r="B3768" s="204" t="s">
        <v>4284</v>
      </c>
      <c r="C3768" s="204" t="s">
        <v>63</v>
      </c>
      <c r="D3768" s="204" t="s">
        <v>3038</v>
      </c>
      <c r="E3768" s="205" t="s">
        <v>4777</v>
      </c>
      <c r="F3768" s="203" t="s">
        <v>4778</v>
      </c>
      <c r="G3768" s="203" t="s">
        <v>88</v>
      </c>
      <c r="H3768" s="25" t="s">
        <v>4821</v>
      </c>
      <c r="I3768" s="46" t="e">
        <f>VLOOKUP(H3768,'合同高级查询数据-4月返'!A:A,1,FALSE)</f>
        <v>#N/A</v>
      </c>
      <c r="J3768" s="47" t="s">
        <v>3488</v>
      </c>
      <c r="K3768" s="203" t="s">
        <v>4825</v>
      </c>
      <c r="L3768" s="206"/>
      <c r="M3768" s="49" t="s">
        <v>3096</v>
      </c>
      <c r="N3768" s="73">
        <v>43485</v>
      </c>
      <c r="O3768" s="73" t="s">
        <v>507</v>
      </c>
      <c r="P3768" s="383">
        <v>12495</v>
      </c>
      <c r="Q3768" s="385">
        <v>1</v>
      </c>
      <c r="R3768" s="386">
        <f t="shared" si="120"/>
        <v>12495</v>
      </c>
      <c r="S3768" s="279">
        <v>202304</v>
      </c>
      <c r="T3768" s="184" t="s">
        <v>4833</v>
      </c>
      <c r="U3768" s="213"/>
      <c r="V3768" s="387"/>
      <c r="W3768" s="214"/>
      <c r="X3768" s="388">
        <v>43466</v>
      </c>
      <c r="Y3768" s="388">
        <v>45657</v>
      </c>
    </row>
    <row r="3769" s="5" customFormat="1" customHeight="1" spans="1:25">
      <c r="A3769" s="203" t="s">
        <v>444</v>
      </c>
      <c r="B3769" s="204" t="s">
        <v>4284</v>
      </c>
      <c r="C3769" s="204" t="s">
        <v>63</v>
      </c>
      <c r="D3769" s="204" t="s">
        <v>3038</v>
      </c>
      <c r="E3769" s="205" t="s">
        <v>4777</v>
      </c>
      <c r="F3769" s="203" t="s">
        <v>4778</v>
      </c>
      <c r="G3769" s="203" t="s">
        <v>88</v>
      </c>
      <c r="H3769" s="25" t="s">
        <v>4821</v>
      </c>
      <c r="I3769" s="46" t="e">
        <f>VLOOKUP(H3769,'合同高级查询数据-4月返'!A:A,1,FALSE)</f>
        <v>#N/A</v>
      </c>
      <c r="J3769" s="47" t="s">
        <v>3488</v>
      </c>
      <c r="K3769" s="203" t="s">
        <v>4825</v>
      </c>
      <c r="L3769" s="206"/>
      <c r="M3769" s="49" t="s">
        <v>3096</v>
      </c>
      <c r="N3769" s="73">
        <v>43559</v>
      </c>
      <c r="O3769" s="73" t="s">
        <v>507</v>
      </c>
      <c r="P3769" s="383">
        <v>12495</v>
      </c>
      <c r="Q3769" s="385">
        <v>4</v>
      </c>
      <c r="R3769" s="386">
        <f t="shared" si="120"/>
        <v>49980</v>
      </c>
      <c r="S3769" s="279">
        <v>202304</v>
      </c>
      <c r="T3769" s="184" t="s">
        <v>4834</v>
      </c>
      <c r="U3769" s="213"/>
      <c r="V3769" s="387"/>
      <c r="W3769" s="214"/>
      <c r="X3769" s="388">
        <v>43466</v>
      </c>
      <c r="Y3769" s="388">
        <v>45657</v>
      </c>
    </row>
    <row r="3770" s="5" customFormat="1" customHeight="1" spans="1:25">
      <c r="A3770" s="203" t="s">
        <v>444</v>
      </c>
      <c r="B3770" s="204" t="s">
        <v>4284</v>
      </c>
      <c r="C3770" s="204" t="s">
        <v>63</v>
      </c>
      <c r="D3770" s="204" t="s">
        <v>3038</v>
      </c>
      <c r="E3770" s="205" t="s">
        <v>4777</v>
      </c>
      <c r="F3770" s="203" t="s">
        <v>4778</v>
      </c>
      <c r="G3770" s="203" t="s">
        <v>88</v>
      </c>
      <c r="H3770" s="25" t="s">
        <v>4821</v>
      </c>
      <c r="I3770" s="46" t="e">
        <f>VLOOKUP(H3770,'合同高级查询数据-4月返'!A:A,1,FALSE)</f>
        <v>#N/A</v>
      </c>
      <c r="J3770" s="47" t="s">
        <v>3488</v>
      </c>
      <c r="K3770" s="203" t="s">
        <v>4825</v>
      </c>
      <c r="L3770" s="206"/>
      <c r="M3770" s="49" t="s">
        <v>3096</v>
      </c>
      <c r="N3770" s="73">
        <v>43574</v>
      </c>
      <c r="O3770" s="73" t="s">
        <v>507</v>
      </c>
      <c r="P3770" s="383">
        <v>12495</v>
      </c>
      <c r="Q3770" s="385">
        <v>4</v>
      </c>
      <c r="R3770" s="386">
        <f t="shared" si="120"/>
        <v>49980</v>
      </c>
      <c r="S3770" s="279">
        <v>202304</v>
      </c>
      <c r="T3770" s="184" t="s">
        <v>4835</v>
      </c>
      <c r="U3770" s="213"/>
      <c r="V3770" s="387"/>
      <c r="W3770" s="214"/>
      <c r="X3770" s="388">
        <v>43466</v>
      </c>
      <c r="Y3770" s="388">
        <v>45657</v>
      </c>
    </row>
    <row r="3771" s="5" customFormat="1" customHeight="1" spans="1:25">
      <c r="A3771" s="203" t="s">
        <v>444</v>
      </c>
      <c r="B3771" s="204" t="s">
        <v>4284</v>
      </c>
      <c r="C3771" s="204" t="s">
        <v>63</v>
      </c>
      <c r="D3771" s="204" t="s">
        <v>3038</v>
      </c>
      <c r="E3771" s="205" t="s">
        <v>4777</v>
      </c>
      <c r="F3771" s="203" t="s">
        <v>4778</v>
      </c>
      <c r="G3771" s="203" t="s">
        <v>88</v>
      </c>
      <c r="H3771" s="25" t="s">
        <v>4821</v>
      </c>
      <c r="I3771" s="46" t="e">
        <f>VLOOKUP(H3771,'合同高级查询数据-4月返'!A:A,1,FALSE)</f>
        <v>#N/A</v>
      </c>
      <c r="J3771" s="47" t="s">
        <v>3488</v>
      </c>
      <c r="K3771" s="203" t="s">
        <v>4825</v>
      </c>
      <c r="L3771" s="206"/>
      <c r="M3771" s="49" t="s">
        <v>3096</v>
      </c>
      <c r="N3771" s="73">
        <v>43629</v>
      </c>
      <c r="O3771" s="73" t="s">
        <v>507</v>
      </c>
      <c r="P3771" s="383">
        <v>12495</v>
      </c>
      <c r="Q3771" s="385">
        <v>1</v>
      </c>
      <c r="R3771" s="386">
        <f t="shared" si="120"/>
        <v>12495</v>
      </c>
      <c r="S3771" s="279">
        <v>202304</v>
      </c>
      <c r="T3771" s="184" t="s">
        <v>4836</v>
      </c>
      <c r="U3771" s="213"/>
      <c r="V3771" s="387"/>
      <c r="W3771" s="214"/>
      <c r="X3771" s="388">
        <v>43466</v>
      </c>
      <c r="Y3771" s="388">
        <v>45657</v>
      </c>
    </row>
    <row r="3772" s="5" customFormat="1" customHeight="1" spans="1:25">
      <c r="A3772" s="203" t="s">
        <v>444</v>
      </c>
      <c r="B3772" s="204" t="s">
        <v>4284</v>
      </c>
      <c r="C3772" s="204" t="s">
        <v>63</v>
      </c>
      <c r="D3772" s="204" t="s">
        <v>3038</v>
      </c>
      <c r="E3772" s="205" t="s">
        <v>4777</v>
      </c>
      <c r="F3772" s="203" t="s">
        <v>4778</v>
      </c>
      <c r="G3772" s="203" t="s">
        <v>88</v>
      </c>
      <c r="H3772" s="25" t="s">
        <v>4821</v>
      </c>
      <c r="I3772" s="46" t="e">
        <f>VLOOKUP(H3772,'合同高级查询数据-4月返'!A:A,1,FALSE)</f>
        <v>#N/A</v>
      </c>
      <c r="J3772" s="47" t="s">
        <v>3488</v>
      </c>
      <c r="K3772" s="203" t="s">
        <v>4825</v>
      </c>
      <c r="L3772" s="206"/>
      <c r="M3772" s="49" t="s">
        <v>3096</v>
      </c>
      <c r="N3772" s="73">
        <v>43630</v>
      </c>
      <c r="O3772" s="73" t="s">
        <v>507</v>
      </c>
      <c r="P3772" s="383">
        <v>12495</v>
      </c>
      <c r="Q3772" s="385">
        <v>1</v>
      </c>
      <c r="R3772" s="386">
        <f t="shared" si="120"/>
        <v>12495</v>
      </c>
      <c r="S3772" s="279">
        <v>202304</v>
      </c>
      <c r="T3772" s="184" t="s">
        <v>4837</v>
      </c>
      <c r="U3772" s="213"/>
      <c r="V3772" s="387"/>
      <c r="W3772" s="214"/>
      <c r="X3772" s="388">
        <v>43466</v>
      </c>
      <c r="Y3772" s="388">
        <v>45657</v>
      </c>
    </row>
    <row r="3773" s="5" customFormat="1" customHeight="1" spans="1:25">
      <c r="A3773" s="203" t="s">
        <v>444</v>
      </c>
      <c r="B3773" s="204" t="s">
        <v>4284</v>
      </c>
      <c r="C3773" s="204" t="s">
        <v>63</v>
      </c>
      <c r="D3773" s="204" t="s">
        <v>3038</v>
      </c>
      <c r="E3773" s="205" t="s">
        <v>4777</v>
      </c>
      <c r="F3773" s="203" t="s">
        <v>4778</v>
      </c>
      <c r="G3773" s="203" t="s">
        <v>88</v>
      </c>
      <c r="H3773" s="25" t="s">
        <v>4821</v>
      </c>
      <c r="I3773" s="46" t="e">
        <f>VLOOKUP(H3773,'合同高级查询数据-4月返'!A:A,1,FALSE)</f>
        <v>#N/A</v>
      </c>
      <c r="J3773" s="47" t="s">
        <v>3488</v>
      </c>
      <c r="K3773" s="203" t="s">
        <v>4825</v>
      </c>
      <c r="L3773" s="206"/>
      <c r="M3773" s="49" t="s">
        <v>3096</v>
      </c>
      <c r="N3773" s="73">
        <v>43643</v>
      </c>
      <c r="O3773" s="73" t="s">
        <v>507</v>
      </c>
      <c r="P3773" s="383">
        <v>12495</v>
      </c>
      <c r="Q3773" s="385">
        <v>4</v>
      </c>
      <c r="R3773" s="386">
        <f t="shared" si="120"/>
        <v>49980</v>
      </c>
      <c r="S3773" s="279">
        <v>202304</v>
      </c>
      <c r="T3773" s="184" t="s">
        <v>4838</v>
      </c>
      <c r="U3773" s="213"/>
      <c r="V3773" s="387"/>
      <c r="W3773" s="214"/>
      <c r="X3773" s="388">
        <v>43466</v>
      </c>
      <c r="Y3773" s="388">
        <v>45657</v>
      </c>
    </row>
    <row r="3774" s="5" customFormat="1" customHeight="1" spans="1:25">
      <c r="A3774" s="203" t="s">
        <v>444</v>
      </c>
      <c r="B3774" s="204" t="s">
        <v>4284</v>
      </c>
      <c r="C3774" s="204" t="s">
        <v>63</v>
      </c>
      <c r="D3774" s="204" t="s">
        <v>3038</v>
      </c>
      <c r="E3774" s="205" t="s">
        <v>4777</v>
      </c>
      <c r="F3774" s="203" t="s">
        <v>4778</v>
      </c>
      <c r="G3774" s="203" t="s">
        <v>88</v>
      </c>
      <c r="H3774" s="25" t="s">
        <v>4821</v>
      </c>
      <c r="I3774" s="46" t="e">
        <f>VLOOKUP(H3774,'合同高级查询数据-4月返'!A:A,1,FALSE)</f>
        <v>#N/A</v>
      </c>
      <c r="J3774" s="47" t="s">
        <v>3488</v>
      </c>
      <c r="K3774" s="203" t="s">
        <v>4825</v>
      </c>
      <c r="L3774" s="206"/>
      <c r="M3774" s="49" t="s">
        <v>3096</v>
      </c>
      <c r="N3774" s="73">
        <v>43648</v>
      </c>
      <c r="O3774" s="73" t="s">
        <v>507</v>
      </c>
      <c r="P3774" s="383">
        <v>12495</v>
      </c>
      <c r="Q3774" s="385">
        <v>82</v>
      </c>
      <c r="R3774" s="386">
        <f t="shared" si="120"/>
        <v>1024590</v>
      </c>
      <c r="S3774" s="279">
        <v>202304</v>
      </c>
      <c r="T3774" s="184" t="s">
        <v>4838</v>
      </c>
      <c r="U3774" s="213"/>
      <c r="V3774" s="387"/>
      <c r="W3774" s="214"/>
      <c r="X3774" s="388">
        <v>43466</v>
      </c>
      <c r="Y3774" s="388">
        <v>45657</v>
      </c>
    </row>
    <row r="3775" s="5" customFormat="1" customHeight="1" spans="1:25">
      <c r="A3775" s="203" t="s">
        <v>444</v>
      </c>
      <c r="B3775" s="204" t="s">
        <v>4284</v>
      </c>
      <c r="C3775" s="204" t="s">
        <v>63</v>
      </c>
      <c r="D3775" s="204" t="s">
        <v>3038</v>
      </c>
      <c r="E3775" s="205" t="s">
        <v>4777</v>
      </c>
      <c r="F3775" s="203" t="s">
        <v>4778</v>
      </c>
      <c r="G3775" s="203" t="s">
        <v>88</v>
      </c>
      <c r="H3775" s="25" t="s">
        <v>4821</v>
      </c>
      <c r="I3775" s="46" t="e">
        <f>VLOOKUP(H3775,'合同高级查询数据-4月返'!A:A,1,FALSE)</f>
        <v>#N/A</v>
      </c>
      <c r="J3775" s="47" t="s">
        <v>3488</v>
      </c>
      <c r="K3775" s="203" t="s">
        <v>4825</v>
      </c>
      <c r="L3775" s="206"/>
      <c r="M3775" s="49" t="s">
        <v>3096</v>
      </c>
      <c r="N3775" s="73">
        <v>43650</v>
      </c>
      <c r="O3775" s="73" t="s">
        <v>507</v>
      </c>
      <c r="P3775" s="383">
        <v>12495</v>
      </c>
      <c r="Q3775" s="385">
        <v>10</v>
      </c>
      <c r="R3775" s="386">
        <f t="shared" si="120"/>
        <v>124950</v>
      </c>
      <c r="S3775" s="279">
        <v>202304</v>
      </c>
      <c r="T3775" s="184" t="s">
        <v>4838</v>
      </c>
      <c r="U3775" s="213"/>
      <c r="V3775" s="387"/>
      <c r="W3775" s="214"/>
      <c r="X3775" s="388">
        <v>43466</v>
      </c>
      <c r="Y3775" s="388">
        <v>45657</v>
      </c>
    </row>
    <row r="3776" s="5" customFormat="1" customHeight="1" spans="1:25">
      <c r="A3776" s="203" t="s">
        <v>444</v>
      </c>
      <c r="B3776" s="204" t="s">
        <v>4284</v>
      </c>
      <c r="C3776" s="204" t="s">
        <v>63</v>
      </c>
      <c r="D3776" s="204" t="s">
        <v>3038</v>
      </c>
      <c r="E3776" s="205" t="s">
        <v>4777</v>
      </c>
      <c r="F3776" s="203" t="s">
        <v>4778</v>
      </c>
      <c r="G3776" s="203" t="s">
        <v>88</v>
      </c>
      <c r="H3776" s="25" t="s">
        <v>4821</v>
      </c>
      <c r="I3776" s="46" t="e">
        <f>VLOOKUP(H3776,'合同高级查询数据-4月返'!A:A,1,FALSE)</f>
        <v>#N/A</v>
      </c>
      <c r="J3776" s="47" t="s">
        <v>3488</v>
      </c>
      <c r="K3776" s="203" t="s">
        <v>4825</v>
      </c>
      <c r="L3776" s="206"/>
      <c r="M3776" s="49" t="s">
        <v>3096</v>
      </c>
      <c r="N3776" s="73">
        <v>43693</v>
      </c>
      <c r="O3776" s="73" t="s">
        <v>507</v>
      </c>
      <c r="P3776" s="383">
        <v>12495</v>
      </c>
      <c r="Q3776" s="385">
        <v>1</v>
      </c>
      <c r="R3776" s="386">
        <f t="shared" si="120"/>
        <v>12495</v>
      </c>
      <c r="S3776" s="279">
        <v>202304</v>
      </c>
      <c r="T3776" s="184" t="s">
        <v>4839</v>
      </c>
      <c r="U3776" s="213"/>
      <c r="V3776" s="387"/>
      <c r="W3776" s="214"/>
      <c r="X3776" s="388">
        <v>43466</v>
      </c>
      <c r="Y3776" s="388">
        <v>45657</v>
      </c>
    </row>
    <row r="3777" s="5" customFormat="1" customHeight="1" spans="1:25">
      <c r="A3777" s="203" t="s">
        <v>444</v>
      </c>
      <c r="B3777" s="204" t="s">
        <v>4284</v>
      </c>
      <c r="C3777" s="204" t="s">
        <v>63</v>
      </c>
      <c r="D3777" s="204" t="s">
        <v>3038</v>
      </c>
      <c r="E3777" s="205" t="s">
        <v>4777</v>
      </c>
      <c r="F3777" s="203" t="s">
        <v>4778</v>
      </c>
      <c r="G3777" s="203" t="s">
        <v>88</v>
      </c>
      <c r="H3777" s="25" t="s">
        <v>4821</v>
      </c>
      <c r="I3777" s="46" t="e">
        <f>VLOOKUP(H3777,'合同高级查询数据-4月返'!A:A,1,FALSE)</f>
        <v>#N/A</v>
      </c>
      <c r="J3777" s="47" t="s">
        <v>3488</v>
      </c>
      <c r="K3777" s="203" t="s">
        <v>4825</v>
      </c>
      <c r="L3777" s="206"/>
      <c r="M3777" s="49" t="s">
        <v>3096</v>
      </c>
      <c r="N3777" s="73">
        <v>43712</v>
      </c>
      <c r="O3777" s="73" t="s">
        <v>507</v>
      </c>
      <c r="P3777" s="383">
        <v>12495</v>
      </c>
      <c r="Q3777" s="385">
        <v>52</v>
      </c>
      <c r="R3777" s="386">
        <f t="shared" si="120"/>
        <v>649740</v>
      </c>
      <c r="S3777" s="279">
        <v>202304</v>
      </c>
      <c r="T3777" s="184" t="s">
        <v>3118</v>
      </c>
      <c r="U3777" s="213"/>
      <c r="V3777" s="387"/>
      <c r="W3777" s="214"/>
      <c r="X3777" s="388">
        <v>43466</v>
      </c>
      <c r="Y3777" s="388">
        <v>45657</v>
      </c>
    </row>
    <row r="3778" s="5" customFormat="1" customHeight="1" spans="1:25">
      <c r="A3778" s="203" t="s">
        <v>444</v>
      </c>
      <c r="B3778" s="204" t="s">
        <v>4284</v>
      </c>
      <c r="C3778" s="204" t="s">
        <v>63</v>
      </c>
      <c r="D3778" s="204" t="s">
        <v>3038</v>
      </c>
      <c r="E3778" s="205" t="s">
        <v>4777</v>
      </c>
      <c r="F3778" s="203" t="s">
        <v>4778</v>
      </c>
      <c r="G3778" s="203" t="s">
        <v>88</v>
      </c>
      <c r="H3778" s="25" t="s">
        <v>4821</v>
      </c>
      <c r="I3778" s="46" t="e">
        <f>VLOOKUP(H3778,'合同高级查询数据-4月返'!A:A,1,FALSE)</f>
        <v>#N/A</v>
      </c>
      <c r="J3778" s="47" t="s">
        <v>3488</v>
      </c>
      <c r="K3778" s="203" t="s">
        <v>4825</v>
      </c>
      <c r="L3778" s="206"/>
      <c r="M3778" s="49" t="s">
        <v>3096</v>
      </c>
      <c r="N3778" s="73">
        <v>43758</v>
      </c>
      <c r="O3778" s="73" t="s">
        <v>507</v>
      </c>
      <c r="P3778" s="383">
        <v>12495</v>
      </c>
      <c r="Q3778" s="385">
        <v>18</v>
      </c>
      <c r="R3778" s="386">
        <f t="shared" si="120"/>
        <v>224910</v>
      </c>
      <c r="S3778" s="279">
        <v>202304</v>
      </c>
      <c r="T3778" s="184" t="s">
        <v>4840</v>
      </c>
      <c r="U3778" s="213"/>
      <c r="V3778" s="387"/>
      <c r="W3778" s="214"/>
      <c r="X3778" s="388">
        <v>43466</v>
      </c>
      <c r="Y3778" s="388">
        <v>45657</v>
      </c>
    </row>
    <row r="3779" s="5" customFormat="1" customHeight="1" spans="1:25">
      <c r="A3779" s="203" t="s">
        <v>444</v>
      </c>
      <c r="B3779" s="204" t="s">
        <v>4284</v>
      </c>
      <c r="C3779" s="204" t="s">
        <v>63</v>
      </c>
      <c r="D3779" s="204" t="s">
        <v>3038</v>
      </c>
      <c r="E3779" s="205" t="s">
        <v>4777</v>
      </c>
      <c r="F3779" s="203" t="s">
        <v>4778</v>
      </c>
      <c r="G3779" s="203" t="s">
        <v>88</v>
      </c>
      <c r="H3779" s="25" t="s">
        <v>4821</v>
      </c>
      <c r="I3779" s="46" t="e">
        <f>VLOOKUP(H3779,'合同高级查询数据-4月返'!A:A,1,FALSE)</f>
        <v>#N/A</v>
      </c>
      <c r="J3779" s="47" t="s">
        <v>3488</v>
      </c>
      <c r="K3779" s="203" t="s">
        <v>4825</v>
      </c>
      <c r="L3779" s="206"/>
      <c r="M3779" s="49" t="s">
        <v>3096</v>
      </c>
      <c r="N3779" s="73">
        <v>43804</v>
      </c>
      <c r="O3779" s="73" t="s">
        <v>507</v>
      </c>
      <c r="P3779" s="383">
        <v>12495</v>
      </c>
      <c r="Q3779" s="385">
        <v>18</v>
      </c>
      <c r="R3779" s="386">
        <f t="shared" si="120"/>
        <v>224910</v>
      </c>
      <c r="S3779" s="279">
        <v>202304</v>
      </c>
      <c r="T3779" s="184" t="s">
        <v>4841</v>
      </c>
      <c r="U3779" s="213"/>
      <c r="V3779" s="387"/>
      <c r="W3779" s="214"/>
      <c r="X3779" s="388">
        <v>43466</v>
      </c>
      <c r="Y3779" s="388">
        <v>45657</v>
      </c>
    </row>
    <row r="3780" s="5" customFormat="1" customHeight="1" spans="1:25">
      <c r="A3780" s="203" t="s">
        <v>444</v>
      </c>
      <c r="B3780" s="204" t="s">
        <v>4284</v>
      </c>
      <c r="C3780" s="204" t="s">
        <v>63</v>
      </c>
      <c r="D3780" s="204" t="s">
        <v>3038</v>
      </c>
      <c r="E3780" s="205" t="s">
        <v>4777</v>
      </c>
      <c r="F3780" s="203" t="s">
        <v>4778</v>
      </c>
      <c r="G3780" s="203" t="s">
        <v>88</v>
      </c>
      <c r="H3780" s="25" t="s">
        <v>4821</v>
      </c>
      <c r="I3780" s="46" t="e">
        <f>VLOOKUP(H3780,'合同高级查询数据-4月返'!A:A,1,FALSE)</f>
        <v>#N/A</v>
      </c>
      <c r="J3780" s="47" t="s">
        <v>3488</v>
      </c>
      <c r="K3780" s="203" t="s">
        <v>4825</v>
      </c>
      <c r="L3780" s="206"/>
      <c r="M3780" s="49" t="s">
        <v>3096</v>
      </c>
      <c r="N3780" s="73">
        <v>43804</v>
      </c>
      <c r="O3780" s="73" t="s">
        <v>503</v>
      </c>
      <c r="P3780" s="383">
        <v>6510</v>
      </c>
      <c r="Q3780" s="385">
        <v>13</v>
      </c>
      <c r="R3780" s="386">
        <f t="shared" si="120"/>
        <v>84630</v>
      </c>
      <c r="S3780" s="279">
        <v>202304</v>
      </c>
      <c r="T3780" s="184" t="s">
        <v>4842</v>
      </c>
      <c r="U3780" s="213"/>
      <c r="V3780" s="387"/>
      <c r="W3780" s="214"/>
      <c r="X3780" s="388">
        <v>43466</v>
      </c>
      <c r="Y3780" s="388">
        <v>45657</v>
      </c>
    </row>
    <row r="3781" s="5" customFormat="1" customHeight="1" spans="1:25">
      <c r="A3781" s="203" t="s">
        <v>444</v>
      </c>
      <c r="B3781" s="204" t="s">
        <v>4284</v>
      </c>
      <c r="C3781" s="204" t="s">
        <v>63</v>
      </c>
      <c r="D3781" s="204" t="s">
        <v>3038</v>
      </c>
      <c r="E3781" s="205" t="s">
        <v>4777</v>
      </c>
      <c r="F3781" s="203" t="s">
        <v>4778</v>
      </c>
      <c r="G3781" s="203" t="s">
        <v>88</v>
      </c>
      <c r="H3781" s="25" t="s">
        <v>4821</v>
      </c>
      <c r="I3781" s="46" t="e">
        <f>VLOOKUP(H3781,'合同高级查询数据-4月返'!A:A,1,FALSE)</f>
        <v>#N/A</v>
      </c>
      <c r="J3781" s="47" t="s">
        <v>3488</v>
      </c>
      <c r="K3781" s="203" t="s">
        <v>4825</v>
      </c>
      <c r="L3781" s="206"/>
      <c r="M3781" s="49" t="s">
        <v>3096</v>
      </c>
      <c r="N3781" s="73">
        <v>43797</v>
      </c>
      <c r="O3781" s="73" t="s">
        <v>503</v>
      </c>
      <c r="P3781" s="383">
        <v>6510</v>
      </c>
      <c r="Q3781" s="385">
        <v>3</v>
      </c>
      <c r="R3781" s="386">
        <f t="shared" si="120"/>
        <v>19530</v>
      </c>
      <c r="S3781" s="279">
        <v>202304</v>
      </c>
      <c r="T3781" s="184" t="s">
        <v>4843</v>
      </c>
      <c r="U3781" s="213"/>
      <c r="V3781" s="387"/>
      <c r="W3781" s="214"/>
      <c r="X3781" s="388">
        <v>43466</v>
      </c>
      <c r="Y3781" s="388">
        <v>45657</v>
      </c>
    </row>
    <row r="3782" s="5" customFormat="1" customHeight="1" spans="1:25">
      <c r="A3782" s="203" t="s">
        <v>444</v>
      </c>
      <c r="B3782" s="204" t="s">
        <v>4284</v>
      </c>
      <c r="C3782" s="204" t="s">
        <v>63</v>
      </c>
      <c r="D3782" s="204" t="s">
        <v>3038</v>
      </c>
      <c r="E3782" s="205" t="s">
        <v>4777</v>
      </c>
      <c r="F3782" s="203" t="s">
        <v>4778</v>
      </c>
      <c r="G3782" s="203" t="s">
        <v>88</v>
      </c>
      <c r="H3782" s="25" t="s">
        <v>4821</v>
      </c>
      <c r="I3782" s="46" t="e">
        <f>VLOOKUP(H3782,'合同高级查询数据-4月返'!A:A,1,FALSE)</f>
        <v>#N/A</v>
      </c>
      <c r="J3782" s="47" t="s">
        <v>3488</v>
      </c>
      <c r="K3782" s="203" t="s">
        <v>4825</v>
      </c>
      <c r="L3782" s="206"/>
      <c r="M3782" s="49" t="s">
        <v>3096</v>
      </c>
      <c r="N3782" s="73">
        <v>43798</v>
      </c>
      <c r="O3782" s="73" t="s">
        <v>503</v>
      </c>
      <c r="P3782" s="383">
        <v>6510</v>
      </c>
      <c r="Q3782" s="385">
        <v>5</v>
      </c>
      <c r="R3782" s="386">
        <f t="shared" si="120"/>
        <v>32550</v>
      </c>
      <c r="S3782" s="279">
        <v>202304</v>
      </c>
      <c r="T3782" s="184" t="s">
        <v>4843</v>
      </c>
      <c r="U3782" s="213"/>
      <c r="V3782" s="387"/>
      <c r="W3782" s="214"/>
      <c r="X3782" s="388">
        <v>43466</v>
      </c>
      <c r="Y3782" s="388">
        <v>45657</v>
      </c>
    </row>
    <row r="3783" s="5" customFormat="1" customHeight="1" spans="1:25">
      <c r="A3783" s="203" t="s">
        <v>444</v>
      </c>
      <c r="B3783" s="204" t="s">
        <v>4284</v>
      </c>
      <c r="C3783" s="204" t="s">
        <v>63</v>
      </c>
      <c r="D3783" s="204" t="s">
        <v>3038</v>
      </c>
      <c r="E3783" s="205" t="s">
        <v>4777</v>
      </c>
      <c r="F3783" s="203" t="s">
        <v>4778</v>
      </c>
      <c r="G3783" s="203" t="s">
        <v>88</v>
      </c>
      <c r="H3783" s="25" t="s">
        <v>4821</v>
      </c>
      <c r="I3783" s="46" t="e">
        <f>VLOOKUP(H3783,'合同高级查询数据-4月返'!A:A,1,FALSE)</f>
        <v>#N/A</v>
      </c>
      <c r="J3783" s="47" t="s">
        <v>3488</v>
      </c>
      <c r="K3783" s="203" t="s">
        <v>4825</v>
      </c>
      <c r="L3783" s="206"/>
      <c r="M3783" s="49" t="s">
        <v>3096</v>
      </c>
      <c r="N3783" s="73" t="s">
        <v>4844</v>
      </c>
      <c r="O3783" s="73" t="s">
        <v>503</v>
      </c>
      <c r="P3783" s="383">
        <v>6510</v>
      </c>
      <c r="Q3783" s="385">
        <v>-7</v>
      </c>
      <c r="R3783" s="386">
        <f t="shared" si="120"/>
        <v>-45570</v>
      </c>
      <c r="S3783" s="279">
        <v>202304</v>
      </c>
      <c r="T3783" s="184" t="s">
        <v>4845</v>
      </c>
      <c r="U3783" s="213"/>
      <c r="V3783" s="387"/>
      <c r="W3783" s="214"/>
      <c r="X3783" s="388">
        <v>43466</v>
      </c>
      <c r="Y3783" s="388">
        <v>45657</v>
      </c>
    </row>
    <row r="3784" s="5" customFormat="1" customHeight="1" spans="1:25">
      <c r="A3784" s="203" t="s">
        <v>444</v>
      </c>
      <c r="B3784" s="204" t="s">
        <v>4284</v>
      </c>
      <c r="C3784" s="204" t="s">
        <v>63</v>
      </c>
      <c r="D3784" s="204" t="s">
        <v>3038</v>
      </c>
      <c r="E3784" s="205" t="s">
        <v>4777</v>
      </c>
      <c r="F3784" s="203" t="s">
        <v>4778</v>
      </c>
      <c r="G3784" s="203" t="s">
        <v>88</v>
      </c>
      <c r="H3784" s="25" t="s">
        <v>4846</v>
      </c>
      <c r="I3784" s="46" t="e">
        <f>VLOOKUP(H3784,'合同高级查询数据-4月返'!A:A,1,FALSE)</f>
        <v>#N/A</v>
      </c>
      <c r="J3784" s="47" t="s">
        <v>3488</v>
      </c>
      <c r="K3784" s="203" t="s">
        <v>4825</v>
      </c>
      <c r="L3784" s="206"/>
      <c r="M3784" s="49" t="s">
        <v>3096</v>
      </c>
      <c r="N3784" s="73">
        <v>43805</v>
      </c>
      <c r="O3784" s="204" t="s">
        <v>507</v>
      </c>
      <c r="P3784" s="396">
        <v>7300</v>
      </c>
      <c r="Q3784" s="385">
        <v>10</v>
      </c>
      <c r="R3784" s="207">
        <f t="shared" si="120"/>
        <v>73000</v>
      </c>
      <c r="S3784" s="279">
        <v>202304</v>
      </c>
      <c r="T3784" s="412" t="s">
        <v>4847</v>
      </c>
      <c r="U3784" s="213"/>
      <c r="V3784" s="387"/>
      <c r="W3784" s="214"/>
      <c r="X3784" s="388">
        <v>44287</v>
      </c>
      <c r="Y3784" s="388">
        <v>45657</v>
      </c>
    </row>
    <row r="3785" s="5" customFormat="1" customHeight="1" spans="1:25">
      <c r="A3785" s="203" t="s">
        <v>444</v>
      </c>
      <c r="B3785" s="204" t="s">
        <v>4284</v>
      </c>
      <c r="C3785" s="204" t="s">
        <v>63</v>
      </c>
      <c r="D3785" s="204" t="s">
        <v>3038</v>
      </c>
      <c r="E3785" s="205" t="s">
        <v>4777</v>
      </c>
      <c r="F3785" s="203" t="s">
        <v>4778</v>
      </c>
      <c r="G3785" s="203" t="s">
        <v>88</v>
      </c>
      <c r="H3785" s="25" t="s">
        <v>4821</v>
      </c>
      <c r="I3785" s="46" t="e">
        <f>VLOOKUP(H3785,'合同高级查询数据-4月返'!A:A,1,FALSE)</f>
        <v>#N/A</v>
      </c>
      <c r="J3785" s="47" t="s">
        <v>3488</v>
      </c>
      <c r="K3785" s="203" t="s">
        <v>4825</v>
      </c>
      <c r="L3785" s="206"/>
      <c r="M3785" s="49" t="s">
        <v>3096</v>
      </c>
      <c r="N3785" s="73">
        <v>44077</v>
      </c>
      <c r="O3785" s="204" t="s">
        <v>503</v>
      </c>
      <c r="P3785" s="396">
        <v>6510</v>
      </c>
      <c r="Q3785" s="385">
        <v>-7</v>
      </c>
      <c r="R3785" s="386">
        <f t="shared" si="120"/>
        <v>-45570</v>
      </c>
      <c r="S3785" s="279">
        <v>202304</v>
      </c>
      <c r="T3785" s="412" t="s">
        <v>4848</v>
      </c>
      <c r="U3785" s="213"/>
      <c r="V3785" s="387"/>
      <c r="W3785" s="214"/>
      <c r="X3785" s="388">
        <v>43466</v>
      </c>
      <c r="Y3785" s="388">
        <v>45657</v>
      </c>
    </row>
    <row r="3786" s="5" customFormat="1" customHeight="1" spans="1:25">
      <c r="A3786" s="203" t="s">
        <v>444</v>
      </c>
      <c r="B3786" s="204" t="s">
        <v>4284</v>
      </c>
      <c r="C3786" s="204" t="s">
        <v>63</v>
      </c>
      <c r="D3786" s="204" t="s">
        <v>3038</v>
      </c>
      <c r="E3786" s="205" t="s">
        <v>4777</v>
      </c>
      <c r="F3786" s="203" t="s">
        <v>4778</v>
      </c>
      <c r="G3786" s="203" t="s">
        <v>88</v>
      </c>
      <c r="H3786" s="25" t="s">
        <v>4821</v>
      </c>
      <c r="I3786" s="46" t="e">
        <f>VLOOKUP(H3786,'合同高级查询数据-4月返'!A:A,1,FALSE)</f>
        <v>#N/A</v>
      </c>
      <c r="J3786" s="47" t="s">
        <v>3488</v>
      </c>
      <c r="K3786" s="203" t="s">
        <v>4825</v>
      </c>
      <c r="L3786" s="206"/>
      <c r="M3786" s="49" t="s">
        <v>3096</v>
      </c>
      <c r="N3786" s="73">
        <v>44095</v>
      </c>
      <c r="O3786" s="204" t="s">
        <v>507</v>
      </c>
      <c r="P3786" s="396">
        <v>12495</v>
      </c>
      <c r="Q3786" s="385">
        <v>-6</v>
      </c>
      <c r="R3786" s="386">
        <f t="shared" si="120"/>
        <v>-74970</v>
      </c>
      <c r="S3786" s="279">
        <v>202304</v>
      </c>
      <c r="T3786" s="412" t="s">
        <v>4849</v>
      </c>
      <c r="U3786" s="213"/>
      <c r="V3786" s="387"/>
      <c r="W3786" s="214"/>
      <c r="X3786" s="388">
        <v>43466</v>
      </c>
      <c r="Y3786" s="388">
        <v>45657</v>
      </c>
    </row>
    <row r="3787" s="5" customFormat="1" customHeight="1" spans="1:25">
      <c r="A3787" s="203" t="s">
        <v>444</v>
      </c>
      <c r="B3787" s="204" t="s">
        <v>4284</v>
      </c>
      <c r="C3787" s="204" t="s">
        <v>63</v>
      </c>
      <c r="D3787" s="204" t="s">
        <v>3038</v>
      </c>
      <c r="E3787" s="205" t="s">
        <v>4777</v>
      </c>
      <c r="F3787" s="203" t="s">
        <v>4778</v>
      </c>
      <c r="G3787" s="203" t="s">
        <v>88</v>
      </c>
      <c r="H3787" s="25" t="s">
        <v>4821</v>
      </c>
      <c r="I3787" s="46" t="e">
        <f>VLOOKUP(H3787,'合同高级查询数据-4月返'!A:A,1,FALSE)</f>
        <v>#N/A</v>
      </c>
      <c r="J3787" s="47" t="s">
        <v>3488</v>
      </c>
      <c r="K3787" s="203" t="s">
        <v>4825</v>
      </c>
      <c r="L3787" s="206"/>
      <c r="M3787" s="49" t="s">
        <v>3096</v>
      </c>
      <c r="N3787" s="73">
        <v>44167</v>
      </c>
      <c r="O3787" s="204" t="s">
        <v>503</v>
      </c>
      <c r="P3787" s="396">
        <v>6510</v>
      </c>
      <c r="Q3787" s="385">
        <v>2</v>
      </c>
      <c r="R3787" s="207">
        <f>ROUND(Q3787*P3787,2)</f>
        <v>13020</v>
      </c>
      <c r="S3787" s="279">
        <v>202304</v>
      </c>
      <c r="T3787" s="412" t="s">
        <v>4850</v>
      </c>
      <c r="U3787" s="213"/>
      <c r="V3787" s="387"/>
      <c r="W3787" s="214"/>
      <c r="X3787" s="388">
        <v>43466</v>
      </c>
      <c r="Y3787" s="388">
        <v>45657</v>
      </c>
    </row>
    <row r="3788" s="5" customFormat="1" customHeight="1" spans="1:25">
      <c r="A3788" s="203" t="s">
        <v>444</v>
      </c>
      <c r="B3788" s="204" t="s">
        <v>4284</v>
      </c>
      <c r="C3788" s="204" t="s">
        <v>63</v>
      </c>
      <c r="D3788" s="204" t="s">
        <v>3038</v>
      </c>
      <c r="E3788" s="205" t="s">
        <v>4777</v>
      </c>
      <c r="F3788" s="203" t="s">
        <v>4778</v>
      </c>
      <c r="G3788" s="203" t="s">
        <v>88</v>
      </c>
      <c r="H3788" s="25" t="s">
        <v>4821</v>
      </c>
      <c r="I3788" s="46" t="e">
        <f>VLOOKUP(H3788,'合同高级查询数据-4月返'!A:A,1,FALSE)</f>
        <v>#N/A</v>
      </c>
      <c r="J3788" s="47" t="s">
        <v>3488</v>
      </c>
      <c r="K3788" s="203" t="s">
        <v>4825</v>
      </c>
      <c r="L3788" s="206"/>
      <c r="M3788" s="49" t="s">
        <v>3096</v>
      </c>
      <c r="N3788" s="73">
        <v>44190</v>
      </c>
      <c r="O3788" s="204" t="s">
        <v>507</v>
      </c>
      <c r="P3788" s="396">
        <v>12495</v>
      </c>
      <c r="Q3788" s="385">
        <v>6</v>
      </c>
      <c r="R3788" s="207">
        <f>ROUND(Q3788*P3788,2)</f>
        <v>74970</v>
      </c>
      <c r="S3788" s="279">
        <v>202304</v>
      </c>
      <c r="T3788" s="412" t="s">
        <v>4851</v>
      </c>
      <c r="U3788" s="213"/>
      <c r="V3788" s="387"/>
      <c r="W3788" s="214"/>
      <c r="X3788" s="388">
        <v>43466</v>
      </c>
      <c r="Y3788" s="388">
        <v>45657</v>
      </c>
    </row>
    <row r="3789" s="5" customFormat="1" customHeight="1" spans="1:25">
      <c r="A3789" s="203" t="s">
        <v>444</v>
      </c>
      <c r="B3789" s="204" t="s">
        <v>4284</v>
      </c>
      <c r="C3789" s="204" t="s">
        <v>63</v>
      </c>
      <c r="D3789" s="204" t="s">
        <v>3038</v>
      </c>
      <c r="E3789" s="205" t="s">
        <v>4777</v>
      </c>
      <c r="F3789" s="203" t="s">
        <v>4778</v>
      </c>
      <c r="G3789" s="203" t="s">
        <v>88</v>
      </c>
      <c r="H3789" s="25" t="s">
        <v>4821</v>
      </c>
      <c r="I3789" s="46" t="e">
        <f>VLOOKUP(H3789,'合同高级查询数据-4月返'!A:A,1,FALSE)</f>
        <v>#N/A</v>
      </c>
      <c r="J3789" s="47" t="s">
        <v>3488</v>
      </c>
      <c r="K3789" s="203" t="s">
        <v>4825</v>
      </c>
      <c r="L3789" s="206"/>
      <c r="M3789" s="49" t="s">
        <v>3096</v>
      </c>
      <c r="N3789" s="73">
        <v>44274</v>
      </c>
      <c r="O3789" s="204" t="s">
        <v>503</v>
      </c>
      <c r="P3789" s="396">
        <v>6510</v>
      </c>
      <c r="Q3789" s="385">
        <v>3</v>
      </c>
      <c r="R3789" s="207">
        <f>ROUND(Q3789*P3789,2)</f>
        <v>19530</v>
      </c>
      <c r="S3789" s="279">
        <v>202304</v>
      </c>
      <c r="T3789" s="412" t="s">
        <v>4852</v>
      </c>
      <c r="U3789" s="213"/>
      <c r="V3789" s="387"/>
      <c r="W3789" s="214"/>
      <c r="X3789" s="388">
        <v>43466</v>
      </c>
      <c r="Y3789" s="388">
        <v>45657</v>
      </c>
    </row>
    <row r="3790" s="5" customFormat="1" customHeight="1" spans="1:25">
      <c r="A3790" s="203" t="s">
        <v>444</v>
      </c>
      <c r="B3790" s="204" t="s">
        <v>4284</v>
      </c>
      <c r="C3790" s="204" t="s">
        <v>63</v>
      </c>
      <c r="D3790" s="204" t="s">
        <v>3038</v>
      </c>
      <c r="E3790" s="205" t="s">
        <v>4777</v>
      </c>
      <c r="F3790" s="203" t="s">
        <v>4778</v>
      </c>
      <c r="G3790" s="203" t="s">
        <v>88</v>
      </c>
      <c r="H3790" s="25" t="s">
        <v>4821</v>
      </c>
      <c r="I3790" s="46" t="e">
        <f>VLOOKUP(H3790,'合同高级查询数据-4月返'!A:A,1,FALSE)</f>
        <v>#N/A</v>
      </c>
      <c r="J3790" s="47" t="s">
        <v>3488</v>
      </c>
      <c r="K3790" s="203" t="s">
        <v>4825</v>
      </c>
      <c r="L3790" s="206"/>
      <c r="M3790" s="49" t="s">
        <v>3096</v>
      </c>
      <c r="N3790" s="73">
        <v>44284</v>
      </c>
      <c r="O3790" s="204" t="s">
        <v>507</v>
      </c>
      <c r="P3790" s="396">
        <v>12495</v>
      </c>
      <c r="Q3790" s="385">
        <v>1</v>
      </c>
      <c r="R3790" s="207">
        <f>ROUND(Q3790*P3790,2)</f>
        <v>12495</v>
      </c>
      <c r="S3790" s="279">
        <v>202304</v>
      </c>
      <c r="T3790" s="412" t="s">
        <v>4853</v>
      </c>
      <c r="U3790" s="213"/>
      <c r="V3790" s="387"/>
      <c r="W3790" s="214"/>
      <c r="X3790" s="388">
        <v>43466</v>
      </c>
      <c r="Y3790" s="388">
        <v>45657</v>
      </c>
    </row>
    <row r="3791" s="5" customFormat="1" customHeight="1" spans="1:25">
      <c r="A3791" s="203" t="s">
        <v>444</v>
      </c>
      <c r="B3791" s="204" t="s">
        <v>4284</v>
      </c>
      <c r="C3791" s="204" t="s">
        <v>63</v>
      </c>
      <c r="D3791" s="204" t="s">
        <v>3038</v>
      </c>
      <c r="E3791" s="205" t="s">
        <v>4777</v>
      </c>
      <c r="F3791" s="203" t="s">
        <v>4778</v>
      </c>
      <c r="G3791" s="203" t="s">
        <v>88</v>
      </c>
      <c r="H3791" s="25" t="s">
        <v>4821</v>
      </c>
      <c r="I3791" s="46" t="e">
        <f>VLOOKUP(H3791,'合同高级查询数据-4月返'!A:A,1,FALSE)</f>
        <v>#N/A</v>
      </c>
      <c r="J3791" s="47" t="s">
        <v>3488</v>
      </c>
      <c r="K3791" s="203" t="s">
        <v>4825</v>
      </c>
      <c r="L3791" s="206"/>
      <c r="M3791" s="49" t="s">
        <v>3096</v>
      </c>
      <c r="N3791" s="73">
        <v>44487.4461689815</v>
      </c>
      <c r="O3791" s="204" t="s">
        <v>503</v>
      </c>
      <c r="P3791" s="396">
        <v>6510</v>
      </c>
      <c r="Q3791" s="385">
        <v>-6</v>
      </c>
      <c r="R3791" s="386">
        <f>ROUND(P3791*Q3791,2)</f>
        <v>-39060</v>
      </c>
      <c r="S3791" s="279">
        <v>202304</v>
      </c>
      <c r="T3791" s="412" t="s">
        <v>4854</v>
      </c>
      <c r="U3791" s="213"/>
      <c r="V3791" s="387"/>
      <c r="W3791" s="214"/>
      <c r="X3791" s="388">
        <v>43466</v>
      </c>
      <c r="Y3791" s="388">
        <v>45657</v>
      </c>
    </row>
    <row r="3792" s="5" customFormat="1" customHeight="1" spans="1:25">
      <c r="A3792" s="203" t="s">
        <v>444</v>
      </c>
      <c r="B3792" s="204" t="s">
        <v>4284</v>
      </c>
      <c r="C3792" s="204" t="s">
        <v>63</v>
      </c>
      <c r="D3792" s="204" t="s">
        <v>3038</v>
      </c>
      <c r="E3792" s="205" t="s">
        <v>4777</v>
      </c>
      <c r="F3792" s="203" t="s">
        <v>4778</v>
      </c>
      <c r="G3792" s="203" t="s">
        <v>88</v>
      </c>
      <c r="H3792" s="25" t="s">
        <v>4846</v>
      </c>
      <c r="I3792" s="46" t="e">
        <f>VLOOKUP(H3792,'合同高级查询数据-4月返'!A:A,1,FALSE)</f>
        <v>#N/A</v>
      </c>
      <c r="J3792" s="47" t="s">
        <v>3488</v>
      </c>
      <c r="K3792" s="203" t="s">
        <v>4825</v>
      </c>
      <c r="L3792" s="206"/>
      <c r="M3792" s="49" t="s">
        <v>3096</v>
      </c>
      <c r="N3792" s="73">
        <v>44284</v>
      </c>
      <c r="O3792" s="204" t="s">
        <v>507</v>
      </c>
      <c r="P3792" s="396">
        <v>7300</v>
      </c>
      <c r="Q3792" s="385">
        <v>14</v>
      </c>
      <c r="R3792" s="207">
        <f>ROUND(Q3792*P3792,2)</f>
        <v>102200</v>
      </c>
      <c r="S3792" s="279">
        <v>202304</v>
      </c>
      <c r="T3792" s="412" t="s">
        <v>4855</v>
      </c>
      <c r="U3792" s="213"/>
      <c r="V3792" s="387"/>
      <c r="W3792" s="214"/>
      <c r="X3792" s="388">
        <v>44287</v>
      </c>
      <c r="Y3792" s="388">
        <v>45657</v>
      </c>
    </row>
    <row r="3793" s="5" customFormat="1" customHeight="1" spans="1:25">
      <c r="A3793" s="203" t="s">
        <v>444</v>
      </c>
      <c r="B3793" s="204" t="s">
        <v>4284</v>
      </c>
      <c r="C3793" s="204" t="s">
        <v>63</v>
      </c>
      <c r="D3793" s="204" t="s">
        <v>3038</v>
      </c>
      <c r="E3793" s="205" t="s">
        <v>4777</v>
      </c>
      <c r="F3793" s="203" t="s">
        <v>4778</v>
      </c>
      <c r="G3793" s="203" t="s">
        <v>88</v>
      </c>
      <c r="H3793" s="25" t="s">
        <v>4821</v>
      </c>
      <c r="I3793" s="46" t="e">
        <f>VLOOKUP(H3793,'合同高级查询数据-4月返'!A:A,1,FALSE)</f>
        <v>#N/A</v>
      </c>
      <c r="J3793" s="47" t="s">
        <v>3488</v>
      </c>
      <c r="K3793" s="203" t="s">
        <v>4825</v>
      </c>
      <c r="L3793" s="206"/>
      <c r="M3793" s="49" t="s">
        <v>3096</v>
      </c>
      <c r="N3793" s="73">
        <v>44707</v>
      </c>
      <c r="O3793" s="204" t="s">
        <v>507</v>
      </c>
      <c r="P3793" s="396">
        <v>12495</v>
      </c>
      <c r="Q3793" s="385">
        <v>-3</v>
      </c>
      <c r="R3793" s="207">
        <f>ROUND(Q3793*P3793,2)</f>
        <v>-37485</v>
      </c>
      <c r="S3793" s="279">
        <v>202304</v>
      </c>
      <c r="T3793" s="412" t="s">
        <v>4856</v>
      </c>
      <c r="U3793" s="213"/>
      <c r="V3793" s="387"/>
      <c r="W3793" s="214"/>
      <c r="X3793" s="388">
        <v>43466</v>
      </c>
      <c r="Y3793" s="388">
        <v>45657</v>
      </c>
    </row>
    <row r="3794" s="3" customFormat="1" customHeight="1" spans="1:25">
      <c r="A3794" s="154" t="s">
        <v>444</v>
      </c>
      <c r="B3794" s="292" t="s">
        <v>4284</v>
      </c>
      <c r="C3794" s="292" t="s">
        <v>63</v>
      </c>
      <c r="D3794" s="292" t="s">
        <v>3038</v>
      </c>
      <c r="E3794" s="153" t="s">
        <v>4777</v>
      </c>
      <c r="F3794" s="154" t="s">
        <v>4778</v>
      </c>
      <c r="G3794" s="154" t="s">
        <v>88</v>
      </c>
      <c r="H3794" s="110" t="s">
        <v>4857</v>
      </c>
      <c r="I3794" s="30" t="e">
        <f>VLOOKUP(H3794,'合同高级查询数据-4月返'!A:A,1,FALSE)</f>
        <v>#N/A</v>
      </c>
      <c r="J3794" s="31" t="s">
        <v>3488</v>
      </c>
      <c r="K3794" s="154" t="s">
        <v>4825</v>
      </c>
      <c r="L3794" s="293"/>
      <c r="M3794" s="113" t="s">
        <v>3096</v>
      </c>
      <c r="N3794" s="146">
        <v>45000</v>
      </c>
      <c r="O3794" s="292" t="s">
        <v>1426</v>
      </c>
      <c r="P3794" s="400">
        <v>26040</v>
      </c>
      <c r="Q3794" s="389">
        <v>2</v>
      </c>
      <c r="R3794" s="413">
        <f>ROUND(Q3794*P3794,2)</f>
        <v>52080</v>
      </c>
      <c r="S3794" s="277">
        <v>202304</v>
      </c>
      <c r="T3794" s="414" t="s">
        <v>4858</v>
      </c>
      <c r="U3794" s="391"/>
      <c r="V3794" s="392"/>
      <c r="W3794" s="393"/>
      <c r="X3794" s="394"/>
      <c r="Y3794" s="394"/>
    </row>
    <row r="3795" s="3" customFormat="1" customHeight="1" spans="1:25">
      <c r="A3795" s="154" t="s">
        <v>444</v>
      </c>
      <c r="B3795" s="292" t="s">
        <v>4284</v>
      </c>
      <c r="C3795" s="292" t="s">
        <v>63</v>
      </c>
      <c r="D3795" s="292" t="s">
        <v>3038</v>
      </c>
      <c r="E3795" s="153" t="s">
        <v>4777</v>
      </c>
      <c r="F3795" s="154" t="s">
        <v>4778</v>
      </c>
      <c r="G3795" s="154" t="s">
        <v>88</v>
      </c>
      <c r="H3795" s="110" t="s">
        <v>4857</v>
      </c>
      <c r="I3795" s="30" t="e">
        <f>VLOOKUP(H3795,'合同高级查询数据-4月返'!A:A,1,FALSE)</f>
        <v>#N/A</v>
      </c>
      <c r="J3795" s="31" t="s">
        <v>3488</v>
      </c>
      <c r="K3795" s="154" t="s">
        <v>4825</v>
      </c>
      <c r="L3795" s="293"/>
      <c r="M3795" s="113" t="s">
        <v>3096</v>
      </c>
      <c r="N3795" s="146">
        <v>45005</v>
      </c>
      <c r="O3795" s="292" t="s">
        <v>574</v>
      </c>
      <c r="P3795" s="400">
        <v>19530</v>
      </c>
      <c r="Q3795" s="389">
        <v>2</v>
      </c>
      <c r="R3795" s="413">
        <f>ROUND(Q3795*P3795,2)</f>
        <v>39060</v>
      </c>
      <c r="S3795" s="277">
        <v>202304</v>
      </c>
      <c r="T3795" s="414" t="s">
        <v>4859</v>
      </c>
      <c r="U3795" s="391"/>
      <c r="V3795" s="392"/>
      <c r="W3795" s="393"/>
      <c r="X3795" s="394"/>
      <c r="Y3795" s="394"/>
    </row>
    <row r="3796" s="5" customFormat="1" customHeight="1" spans="1:25">
      <c r="A3796" s="203" t="s">
        <v>444</v>
      </c>
      <c r="B3796" s="204" t="s">
        <v>4284</v>
      </c>
      <c r="C3796" s="204" t="s">
        <v>63</v>
      </c>
      <c r="D3796" s="204" t="s">
        <v>3038</v>
      </c>
      <c r="E3796" s="205" t="s">
        <v>4777</v>
      </c>
      <c r="F3796" s="203" t="s">
        <v>4778</v>
      </c>
      <c r="G3796" s="203" t="s">
        <v>78</v>
      </c>
      <c r="H3796" s="25" t="s">
        <v>4821</v>
      </c>
      <c r="I3796" s="46" t="e">
        <f>VLOOKUP(H3796,'合同高级查询数据-4月返'!A:A,1,FALSE)</f>
        <v>#N/A</v>
      </c>
      <c r="J3796" s="47" t="s">
        <v>530</v>
      </c>
      <c r="K3796" s="203" t="s">
        <v>4825</v>
      </c>
      <c r="L3796" s="206"/>
      <c r="M3796" s="49"/>
      <c r="N3796" s="73"/>
      <c r="O3796" s="73"/>
      <c r="P3796" s="383"/>
      <c r="Q3796" s="385"/>
      <c r="R3796" s="386"/>
      <c r="S3796" s="279">
        <v>202304</v>
      </c>
      <c r="T3796" s="184" t="s">
        <v>4860</v>
      </c>
      <c r="U3796" s="213"/>
      <c r="V3796" s="387"/>
      <c r="W3796" s="214"/>
      <c r="X3796" s="388">
        <v>43466</v>
      </c>
      <c r="Y3796" s="388">
        <v>45657</v>
      </c>
    </row>
    <row r="3797" s="5" customFormat="1" customHeight="1" spans="1:25">
      <c r="A3797" s="203" t="s">
        <v>444</v>
      </c>
      <c r="B3797" s="204" t="s">
        <v>4284</v>
      </c>
      <c r="C3797" s="204" t="s">
        <v>63</v>
      </c>
      <c r="D3797" s="204" t="s">
        <v>3038</v>
      </c>
      <c r="E3797" s="205" t="s">
        <v>4777</v>
      </c>
      <c r="F3797" s="203" t="s">
        <v>4778</v>
      </c>
      <c r="G3797" s="203" t="s">
        <v>67</v>
      </c>
      <c r="H3797" s="25" t="s">
        <v>4821</v>
      </c>
      <c r="I3797" s="46" t="e">
        <f>VLOOKUP(H3797,'合同高级查询数据-4月返'!A:A,1,FALSE)</f>
        <v>#N/A</v>
      </c>
      <c r="J3797" s="47" t="s">
        <v>67</v>
      </c>
      <c r="K3797" s="203" t="s">
        <v>4861</v>
      </c>
      <c r="L3797" s="206"/>
      <c r="M3797" s="49"/>
      <c r="N3797" s="73">
        <v>43454</v>
      </c>
      <c r="O3797" s="73" t="s">
        <v>71</v>
      </c>
      <c r="P3797" s="383">
        <v>390</v>
      </c>
      <c r="Q3797" s="385">
        <v>63</v>
      </c>
      <c r="R3797" s="386">
        <f t="shared" ref="R3797:R3804" si="121">ROUND(P3797*Q3797,2)</f>
        <v>24570</v>
      </c>
      <c r="S3797" s="279">
        <v>202304</v>
      </c>
      <c r="T3797" s="184"/>
      <c r="U3797" s="213"/>
      <c r="V3797" s="387"/>
      <c r="W3797" s="214"/>
      <c r="X3797" s="388">
        <v>43466</v>
      </c>
      <c r="Y3797" s="388">
        <v>45657</v>
      </c>
    </row>
    <row r="3798" s="5" customFormat="1" customHeight="1" spans="1:25">
      <c r="A3798" s="203" t="s">
        <v>444</v>
      </c>
      <c r="B3798" s="204" t="s">
        <v>4284</v>
      </c>
      <c r="C3798" s="204" t="s">
        <v>63</v>
      </c>
      <c r="D3798" s="204" t="s">
        <v>3038</v>
      </c>
      <c r="E3798" s="205" t="s">
        <v>4777</v>
      </c>
      <c r="F3798" s="203" t="s">
        <v>4778</v>
      </c>
      <c r="G3798" s="203" t="s">
        <v>67</v>
      </c>
      <c r="H3798" s="25" t="s">
        <v>4821</v>
      </c>
      <c r="I3798" s="46" t="e">
        <f>VLOOKUP(H3798,'合同高级查询数据-4月返'!A:A,1,FALSE)</f>
        <v>#N/A</v>
      </c>
      <c r="J3798" s="47" t="s">
        <v>67</v>
      </c>
      <c r="K3798" s="203" t="s">
        <v>4862</v>
      </c>
      <c r="L3798" s="206"/>
      <c r="M3798" s="49"/>
      <c r="N3798" s="73">
        <v>43454</v>
      </c>
      <c r="O3798" s="73" t="s">
        <v>71</v>
      </c>
      <c r="P3798" s="383">
        <v>390</v>
      </c>
      <c r="Q3798" s="385">
        <v>82</v>
      </c>
      <c r="R3798" s="386">
        <f t="shared" si="121"/>
        <v>31980</v>
      </c>
      <c r="S3798" s="279">
        <v>202304</v>
      </c>
      <c r="T3798" s="184"/>
      <c r="U3798" s="213"/>
      <c r="V3798" s="387"/>
      <c r="W3798" s="214"/>
      <c r="X3798" s="388">
        <v>43466</v>
      </c>
      <c r="Y3798" s="388">
        <v>45657</v>
      </c>
    </row>
    <row r="3799" s="5" customFormat="1" customHeight="1" spans="1:25">
      <c r="A3799" s="203" t="s">
        <v>444</v>
      </c>
      <c r="B3799" s="204" t="s">
        <v>4284</v>
      </c>
      <c r="C3799" s="204" t="s">
        <v>63</v>
      </c>
      <c r="D3799" s="204" t="s">
        <v>3038</v>
      </c>
      <c r="E3799" s="205" t="s">
        <v>4777</v>
      </c>
      <c r="F3799" s="203" t="s">
        <v>4778</v>
      </c>
      <c r="G3799" s="203" t="s">
        <v>67</v>
      </c>
      <c r="H3799" s="25" t="s">
        <v>4821</v>
      </c>
      <c r="I3799" s="46" t="e">
        <f>VLOOKUP(H3799,'合同高级查询数据-4月返'!A:A,1,FALSE)</f>
        <v>#N/A</v>
      </c>
      <c r="J3799" s="47" t="s">
        <v>67</v>
      </c>
      <c r="K3799" s="203" t="s">
        <v>4863</v>
      </c>
      <c r="L3799" s="206"/>
      <c r="M3799" s="49"/>
      <c r="N3799" s="73">
        <v>43454</v>
      </c>
      <c r="O3799" s="73" t="s">
        <v>71</v>
      </c>
      <c r="P3799" s="383">
        <v>390</v>
      </c>
      <c r="Q3799" s="385">
        <v>81</v>
      </c>
      <c r="R3799" s="386">
        <f t="shared" si="121"/>
        <v>31590</v>
      </c>
      <c r="S3799" s="279">
        <v>202304</v>
      </c>
      <c r="T3799" s="184"/>
      <c r="U3799" s="213"/>
      <c r="V3799" s="387"/>
      <c r="W3799" s="214"/>
      <c r="X3799" s="388">
        <v>43466</v>
      </c>
      <c r="Y3799" s="388">
        <v>45657</v>
      </c>
    </row>
    <row r="3800" s="5" customFormat="1" customHeight="1" spans="1:25">
      <c r="A3800" s="203" t="s">
        <v>444</v>
      </c>
      <c r="B3800" s="204" t="s">
        <v>4284</v>
      </c>
      <c r="C3800" s="204" t="s">
        <v>63</v>
      </c>
      <c r="D3800" s="204" t="s">
        <v>3038</v>
      </c>
      <c r="E3800" s="205" t="s">
        <v>4777</v>
      </c>
      <c r="F3800" s="203" t="s">
        <v>4778</v>
      </c>
      <c r="G3800" s="203" t="s">
        <v>67</v>
      </c>
      <c r="H3800" s="25" t="s">
        <v>4821</v>
      </c>
      <c r="I3800" s="46" t="e">
        <f>VLOOKUP(H3800,'合同高级查询数据-4月返'!A:A,1,FALSE)</f>
        <v>#N/A</v>
      </c>
      <c r="J3800" s="47" t="s">
        <v>67</v>
      </c>
      <c r="K3800" s="203" t="s">
        <v>4864</v>
      </c>
      <c r="L3800" s="206"/>
      <c r="M3800" s="49"/>
      <c r="N3800" s="73">
        <v>43454</v>
      </c>
      <c r="O3800" s="73" t="s">
        <v>71</v>
      </c>
      <c r="P3800" s="383">
        <v>390</v>
      </c>
      <c r="Q3800" s="385">
        <v>68</v>
      </c>
      <c r="R3800" s="386">
        <f t="shared" si="121"/>
        <v>26520</v>
      </c>
      <c r="S3800" s="279">
        <v>202304</v>
      </c>
      <c r="T3800" s="184"/>
      <c r="U3800" s="213"/>
      <c r="V3800" s="387"/>
      <c r="W3800" s="214"/>
      <c r="X3800" s="388">
        <v>43466</v>
      </c>
      <c r="Y3800" s="388">
        <v>45657</v>
      </c>
    </row>
    <row r="3801" s="3" customFormat="1" customHeight="1" spans="1:25">
      <c r="A3801" s="154" t="s">
        <v>444</v>
      </c>
      <c r="B3801" s="292" t="s">
        <v>4284</v>
      </c>
      <c r="C3801" s="292" t="s">
        <v>63</v>
      </c>
      <c r="D3801" s="292" t="s">
        <v>3038</v>
      </c>
      <c r="E3801" s="153" t="s">
        <v>4777</v>
      </c>
      <c r="F3801" s="154" t="s">
        <v>4778</v>
      </c>
      <c r="G3801" s="154" t="s">
        <v>78</v>
      </c>
      <c r="H3801" s="110" t="s">
        <v>4865</v>
      </c>
      <c r="I3801" s="30" t="e">
        <f>VLOOKUP(H3801,'合同高级查询数据-4月返'!A:A,1,FALSE)</f>
        <v>#N/A</v>
      </c>
      <c r="J3801" s="31" t="s">
        <v>4866</v>
      </c>
      <c r="K3801" s="154"/>
      <c r="L3801" s="293" t="s">
        <v>4867</v>
      </c>
      <c r="M3801" s="113"/>
      <c r="N3801" s="146">
        <v>42583</v>
      </c>
      <c r="O3801" s="146"/>
      <c r="P3801" s="384">
        <v>25000</v>
      </c>
      <c r="Q3801" s="389">
        <v>1</v>
      </c>
      <c r="R3801" s="390">
        <f t="shared" si="121"/>
        <v>25000</v>
      </c>
      <c r="S3801" s="277">
        <v>202304</v>
      </c>
      <c r="T3801" s="198" t="s">
        <v>4866</v>
      </c>
      <c r="U3801" s="391"/>
      <c r="V3801" s="392"/>
      <c r="W3801" s="393"/>
      <c r="X3801" s="394"/>
      <c r="Y3801" s="394"/>
    </row>
    <row r="3802" s="3" customFormat="1" customHeight="1" spans="1:25">
      <c r="A3802" s="154" t="s">
        <v>444</v>
      </c>
      <c r="B3802" s="292" t="s">
        <v>4284</v>
      </c>
      <c r="C3802" s="292" t="s">
        <v>63</v>
      </c>
      <c r="D3802" s="292" t="s">
        <v>3038</v>
      </c>
      <c r="E3802" s="153" t="s">
        <v>4777</v>
      </c>
      <c r="F3802" s="154" t="s">
        <v>4778</v>
      </c>
      <c r="G3802" s="154" t="s">
        <v>88</v>
      </c>
      <c r="H3802" s="110" t="s">
        <v>4868</v>
      </c>
      <c r="I3802" s="30" t="e">
        <f>VLOOKUP(H3802,'合同高级查询数据-4月返'!A:A,1,FALSE)</f>
        <v>#N/A</v>
      </c>
      <c r="J3802" s="31" t="s">
        <v>3488</v>
      </c>
      <c r="K3802" s="154" t="s">
        <v>4869</v>
      </c>
      <c r="L3802" s="293"/>
      <c r="M3802" s="113" t="s">
        <v>4870</v>
      </c>
      <c r="N3802" s="146" t="s">
        <v>558</v>
      </c>
      <c r="O3802" s="146" t="s">
        <v>92</v>
      </c>
      <c r="P3802" s="384">
        <v>4290</v>
      </c>
      <c r="Q3802" s="389">
        <v>1039</v>
      </c>
      <c r="R3802" s="390">
        <f t="shared" si="121"/>
        <v>4457310</v>
      </c>
      <c r="S3802" s="277">
        <v>202304</v>
      </c>
      <c r="T3802" s="198" t="s">
        <v>4871</v>
      </c>
      <c r="U3802" s="391"/>
      <c r="V3802" s="392"/>
      <c r="W3802" s="393"/>
      <c r="X3802" s="394"/>
      <c r="Y3802" s="394"/>
    </row>
    <row r="3803" s="3" customFormat="1" customHeight="1" spans="1:25">
      <c r="A3803" s="154" t="s">
        <v>444</v>
      </c>
      <c r="B3803" s="292" t="s">
        <v>4284</v>
      </c>
      <c r="C3803" s="292" t="s">
        <v>63</v>
      </c>
      <c r="D3803" s="292" t="s">
        <v>3038</v>
      </c>
      <c r="E3803" s="153" t="s">
        <v>4777</v>
      </c>
      <c r="F3803" s="154" t="s">
        <v>4778</v>
      </c>
      <c r="G3803" s="154" t="s">
        <v>88</v>
      </c>
      <c r="H3803" s="110" t="s">
        <v>4868</v>
      </c>
      <c r="I3803" s="30" t="e">
        <f>VLOOKUP(H3803,'合同高级查询数据-4月返'!A:A,1,FALSE)</f>
        <v>#N/A</v>
      </c>
      <c r="J3803" s="31" t="s">
        <v>3488</v>
      </c>
      <c r="K3803" s="154" t="s">
        <v>4869</v>
      </c>
      <c r="L3803" s="293"/>
      <c r="M3803" s="113" t="s">
        <v>4870</v>
      </c>
      <c r="N3803" s="146">
        <v>41092</v>
      </c>
      <c r="O3803" s="146" t="s">
        <v>3054</v>
      </c>
      <c r="P3803" s="384">
        <v>17160</v>
      </c>
      <c r="Q3803" s="389">
        <v>2</v>
      </c>
      <c r="R3803" s="390">
        <f t="shared" si="121"/>
        <v>34320</v>
      </c>
      <c r="S3803" s="277">
        <v>202304</v>
      </c>
      <c r="T3803" s="198" t="s">
        <v>4872</v>
      </c>
      <c r="U3803" s="391"/>
      <c r="V3803" s="392"/>
      <c r="W3803" s="393"/>
      <c r="X3803" s="394"/>
      <c r="Y3803" s="394"/>
    </row>
    <row r="3804" s="3" customFormat="1" customHeight="1" spans="1:25">
      <c r="A3804" s="154" t="s">
        <v>444</v>
      </c>
      <c r="B3804" s="292" t="s">
        <v>4284</v>
      </c>
      <c r="C3804" s="292" t="s">
        <v>63</v>
      </c>
      <c r="D3804" s="292" t="s">
        <v>3038</v>
      </c>
      <c r="E3804" s="153" t="s">
        <v>4777</v>
      </c>
      <c r="F3804" s="154" t="s">
        <v>4778</v>
      </c>
      <c r="G3804" s="154" t="s">
        <v>88</v>
      </c>
      <c r="H3804" s="110" t="s">
        <v>4868</v>
      </c>
      <c r="I3804" s="30" t="e">
        <f>VLOOKUP(H3804,'合同高级查询数据-4月返'!A:A,1,FALSE)</f>
        <v>#N/A</v>
      </c>
      <c r="J3804" s="31" t="s">
        <v>3488</v>
      </c>
      <c r="K3804" s="154" t="s">
        <v>4869</v>
      </c>
      <c r="L3804" s="293"/>
      <c r="M3804" s="113" t="s">
        <v>4870</v>
      </c>
      <c r="N3804" s="146">
        <v>41092</v>
      </c>
      <c r="O3804" s="146" t="s">
        <v>507</v>
      </c>
      <c r="P3804" s="384">
        <v>12870</v>
      </c>
      <c r="Q3804" s="389">
        <v>2</v>
      </c>
      <c r="R3804" s="390">
        <f t="shared" si="121"/>
        <v>25740</v>
      </c>
      <c r="S3804" s="277">
        <v>202304</v>
      </c>
      <c r="T3804" s="198" t="s">
        <v>4873</v>
      </c>
      <c r="U3804" s="391"/>
      <c r="V3804" s="392"/>
      <c r="W3804" s="393"/>
      <c r="X3804" s="394"/>
      <c r="Y3804" s="394"/>
    </row>
    <row r="3805" s="3" customFormat="1" customHeight="1" spans="1:25">
      <c r="A3805" s="154" t="s">
        <v>444</v>
      </c>
      <c r="B3805" s="292" t="s">
        <v>4284</v>
      </c>
      <c r="C3805" s="292" t="s">
        <v>63</v>
      </c>
      <c r="D3805" s="292" t="s">
        <v>3038</v>
      </c>
      <c r="E3805" s="153" t="s">
        <v>4777</v>
      </c>
      <c r="F3805" s="154" t="s">
        <v>4778</v>
      </c>
      <c r="G3805" s="154" t="s">
        <v>88</v>
      </c>
      <c r="H3805" s="110" t="s">
        <v>4868</v>
      </c>
      <c r="I3805" s="30" t="e">
        <f>VLOOKUP(H3805,'合同高级查询数据-4月返'!A:A,1,FALSE)</f>
        <v>#N/A</v>
      </c>
      <c r="J3805" s="31" t="s">
        <v>3488</v>
      </c>
      <c r="K3805" s="154" t="s">
        <v>4869</v>
      </c>
      <c r="L3805" s="293"/>
      <c r="M3805" s="113" t="s">
        <v>4870</v>
      </c>
      <c r="N3805" s="146">
        <v>43618</v>
      </c>
      <c r="O3805" s="146" t="s">
        <v>4874</v>
      </c>
      <c r="P3805" s="384">
        <v>4290</v>
      </c>
      <c r="Q3805" s="389">
        <v>-4</v>
      </c>
      <c r="R3805" s="390">
        <f t="shared" ref="R3805:R3823" si="122">ROUND(P3805*Q3805,2)</f>
        <v>-17160</v>
      </c>
      <c r="S3805" s="277">
        <v>202304</v>
      </c>
      <c r="T3805" s="198" t="s">
        <v>4875</v>
      </c>
      <c r="U3805" s="391"/>
      <c r="V3805" s="392"/>
      <c r="W3805" s="393"/>
      <c r="X3805" s="394"/>
      <c r="Y3805" s="394"/>
    </row>
    <row r="3806" s="3" customFormat="1" customHeight="1" spans="1:25">
      <c r="A3806" s="154" t="s">
        <v>444</v>
      </c>
      <c r="B3806" s="292" t="s">
        <v>4284</v>
      </c>
      <c r="C3806" s="292" t="s">
        <v>63</v>
      </c>
      <c r="D3806" s="292" t="s">
        <v>3038</v>
      </c>
      <c r="E3806" s="153" t="s">
        <v>4777</v>
      </c>
      <c r="F3806" s="154" t="s">
        <v>4778</v>
      </c>
      <c r="G3806" s="154" t="s">
        <v>88</v>
      </c>
      <c r="H3806" s="110" t="s">
        <v>4868</v>
      </c>
      <c r="I3806" s="30" t="e">
        <f>VLOOKUP(H3806,'合同高级查询数据-4月返'!A:A,1,FALSE)</f>
        <v>#N/A</v>
      </c>
      <c r="J3806" s="31" t="s">
        <v>3488</v>
      </c>
      <c r="K3806" s="154" t="s">
        <v>4869</v>
      </c>
      <c r="L3806" s="293"/>
      <c r="M3806" s="113" t="s">
        <v>4870</v>
      </c>
      <c r="N3806" s="146">
        <v>43633</v>
      </c>
      <c r="O3806" s="146" t="s">
        <v>4874</v>
      </c>
      <c r="P3806" s="384">
        <v>4290</v>
      </c>
      <c r="Q3806" s="389">
        <v>-67</v>
      </c>
      <c r="R3806" s="390">
        <f t="shared" si="122"/>
        <v>-287430</v>
      </c>
      <c r="S3806" s="277">
        <v>202304</v>
      </c>
      <c r="T3806" s="198" t="s">
        <v>4875</v>
      </c>
      <c r="U3806" s="391"/>
      <c r="V3806" s="392"/>
      <c r="W3806" s="393"/>
      <c r="X3806" s="394"/>
      <c r="Y3806" s="394"/>
    </row>
    <row r="3807" s="3" customFormat="1" customHeight="1" spans="1:25">
      <c r="A3807" s="154" t="s">
        <v>444</v>
      </c>
      <c r="B3807" s="292" t="s">
        <v>4284</v>
      </c>
      <c r="C3807" s="292" t="s">
        <v>63</v>
      </c>
      <c r="D3807" s="292" t="s">
        <v>3038</v>
      </c>
      <c r="E3807" s="153" t="s">
        <v>4777</v>
      </c>
      <c r="F3807" s="154" t="s">
        <v>4778</v>
      </c>
      <c r="G3807" s="154" t="s">
        <v>88</v>
      </c>
      <c r="H3807" s="110" t="s">
        <v>4868</v>
      </c>
      <c r="I3807" s="30" t="e">
        <f>VLOOKUP(H3807,'合同高级查询数据-4月返'!A:A,1,FALSE)</f>
        <v>#N/A</v>
      </c>
      <c r="J3807" s="31" t="s">
        <v>3488</v>
      </c>
      <c r="K3807" s="154" t="s">
        <v>4869</v>
      </c>
      <c r="L3807" s="293"/>
      <c r="M3807" s="113" t="s">
        <v>4870</v>
      </c>
      <c r="N3807" s="146">
        <v>43637</v>
      </c>
      <c r="O3807" s="146" t="s">
        <v>4874</v>
      </c>
      <c r="P3807" s="384">
        <v>4290</v>
      </c>
      <c r="Q3807" s="389">
        <v>-43</v>
      </c>
      <c r="R3807" s="390">
        <f t="shared" si="122"/>
        <v>-184470</v>
      </c>
      <c r="S3807" s="277">
        <v>202304</v>
      </c>
      <c r="T3807" s="198" t="s">
        <v>4875</v>
      </c>
      <c r="U3807" s="391"/>
      <c r="V3807" s="392"/>
      <c r="W3807" s="393"/>
      <c r="X3807" s="394"/>
      <c r="Y3807" s="394"/>
    </row>
    <row r="3808" s="3" customFormat="1" customHeight="1" spans="1:25">
      <c r="A3808" s="154" t="s">
        <v>444</v>
      </c>
      <c r="B3808" s="292" t="s">
        <v>4284</v>
      </c>
      <c r="C3808" s="292" t="s">
        <v>63</v>
      </c>
      <c r="D3808" s="292" t="s">
        <v>3038</v>
      </c>
      <c r="E3808" s="153" t="s">
        <v>4777</v>
      </c>
      <c r="F3808" s="154" t="s">
        <v>4778</v>
      </c>
      <c r="G3808" s="154" t="s">
        <v>88</v>
      </c>
      <c r="H3808" s="110" t="s">
        <v>4868</v>
      </c>
      <c r="I3808" s="30" t="e">
        <f>VLOOKUP(H3808,'合同高级查询数据-4月返'!A:A,1,FALSE)</f>
        <v>#N/A</v>
      </c>
      <c r="J3808" s="31" t="s">
        <v>3488</v>
      </c>
      <c r="K3808" s="154" t="s">
        <v>4869</v>
      </c>
      <c r="L3808" s="293"/>
      <c r="M3808" s="113" t="s">
        <v>4870</v>
      </c>
      <c r="N3808" s="146">
        <v>43640</v>
      </c>
      <c r="O3808" s="146" t="s">
        <v>4874</v>
      </c>
      <c r="P3808" s="384">
        <v>4290</v>
      </c>
      <c r="Q3808" s="389">
        <v>-25</v>
      </c>
      <c r="R3808" s="390">
        <f t="shared" si="122"/>
        <v>-107250</v>
      </c>
      <c r="S3808" s="277">
        <v>202304</v>
      </c>
      <c r="T3808" s="198" t="s">
        <v>4875</v>
      </c>
      <c r="U3808" s="391"/>
      <c r="V3808" s="392"/>
      <c r="W3808" s="393"/>
      <c r="X3808" s="394"/>
      <c r="Y3808" s="394"/>
    </row>
    <row r="3809" s="3" customFormat="1" customHeight="1" spans="1:25">
      <c r="A3809" s="154" t="s">
        <v>444</v>
      </c>
      <c r="B3809" s="292" t="s">
        <v>4284</v>
      </c>
      <c r="C3809" s="292" t="s">
        <v>63</v>
      </c>
      <c r="D3809" s="292" t="s">
        <v>3038</v>
      </c>
      <c r="E3809" s="153" t="s">
        <v>4777</v>
      </c>
      <c r="F3809" s="154" t="s">
        <v>4778</v>
      </c>
      <c r="G3809" s="154" t="s">
        <v>88</v>
      </c>
      <c r="H3809" s="110" t="s">
        <v>4868</v>
      </c>
      <c r="I3809" s="30" t="e">
        <f>VLOOKUP(H3809,'合同高级查询数据-4月返'!A:A,1,FALSE)</f>
        <v>#N/A</v>
      </c>
      <c r="J3809" s="31" t="s">
        <v>3488</v>
      </c>
      <c r="K3809" s="154" t="s">
        <v>4869</v>
      </c>
      <c r="L3809" s="293"/>
      <c r="M3809" s="113" t="s">
        <v>4870</v>
      </c>
      <c r="N3809" s="146">
        <v>43641</v>
      </c>
      <c r="O3809" s="146" t="s">
        <v>4874</v>
      </c>
      <c r="P3809" s="384">
        <v>4290</v>
      </c>
      <c r="Q3809" s="389">
        <v>-423</v>
      </c>
      <c r="R3809" s="390">
        <f t="shared" si="122"/>
        <v>-1814670</v>
      </c>
      <c r="S3809" s="277">
        <v>202304</v>
      </c>
      <c r="T3809" s="198" t="s">
        <v>4875</v>
      </c>
      <c r="U3809" s="391"/>
      <c r="V3809" s="392"/>
      <c r="W3809" s="393"/>
      <c r="X3809" s="394"/>
      <c r="Y3809" s="394"/>
    </row>
    <row r="3810" s="3" customFormat="1" customHeight="1" spans="1:25">
      <c r="A3810" s="154" t="s">
        <v>444</v>
      </c>
      <c r="B3810" s="292" t="s">
        <v>4284</v>
      </c>
      <c r="C3810" s="292" t="s">
        <v>63</v>
      </c>
      <c r="D3810" s="292" t="s">
        <v>3038</v>
      </c>
      <c r="E3810" s="153" t="s">
        <v>4777</v>
      </c>
      <c r="F3810" s="154" t="s">
        <v>4778</v>
      </c>
      <c r="G3810" s="154" t="s">
        <v>88</v>
      </c>
      <c r="H3810" s="110" t="s">
        <v>4868</v>
      </c>
      <c r="I3810" s="30" t="e">
        <f>VLOOKUP(H3810,'合同高级查询数据-4月返'!A:A,1,FALSE)</f>
        <v>#N/A</v>
      </c>
      <c r="J3810" s="31" t="s">
        <v>3488</v>
      </c>
      <c r="K3810" s="154" t="s">
        <v>4869</v>
      </c>
      <c r="L3810" s="293"/>
      <c r="M3810" s="113" t="s">
        <v>4870</v>
      </c>
      <c r="N3810" s="146">
        <v>43642</v>
      </c>
      <c r="O3810" s="146" t="s">
        <v>4874</v>
      </c>
      <c r="P3810" s="384">
        <v>4290</v>
      </c>
      <c r="Q3810" s="389">
        <v>-187</v>
      </c>
      <c r="R3810" s="390">
        <f t="shared" si="122"/>
        <v>-802230</v>
      </c>
      <c r="S3810" s="277">
        <v>202304</v>
      </c>
      <c r="T3810" s="198" t="s">
        <v>4875</v>
      </c>
      <c r="U3810" s="391"/>
      <c r="V3810" s="392"/>
      <c r="W3810" s="393"/>
      <c r="X3810" s="394"/>
      <c r="Y3810" s="394"/>
    </row>
    <row r="3811" s="3" customFormat="1" customHeight="1" spans="1:25">
      <c r="A3811" s="154" t="s">
        <v>444</v>
      </c>
      <c r="B3811" s="292" t="s">
        <v>4284</v>
      </c>
      <c r="C3811" s="292" t="s">
        <v>63</v>
      </c>
      <c r="D3811" s="292" t="s">
        <v>3038</v>
      </c>
      <c r="E3811" s="153" t="s">
        <v>4777</v>
      </c>
      <c r="F3811" s="154" t="s">
        <v>4778</v>
      </c>
      <c r="G3811" s="154" t="s">
        <v>88</v>
      </c>
      <c r="H3811" s="110" t="s">
        <v>4868</v>
      </c>
      <c r="I3811" s="30" t="e">
        <f>VLOOKUP(H3811,'合同高级查询数据-4月返'!A:A,1,FALSE)</f>
        <v>#N/A</v>
      </c>
      <c r="J3811" s="31" t="s">
        <v>3488</v>
      </c>
      <c r="K3811" s="154" t="s">
        <v>4869</v>
      </c>
      <c r="L3811" s="293"/>
      <c r="M3811" s="113" t="s">
        <v>4870</v>
      </c>
      <c r="N3811" s="146">
        <v>43643</v>
      </c>
      <c r="O3811" s="146" t="s">
        <v>4874</v>
      </c>
      <c r="P3811" s="384">
        <v>4290</v>
      </c>
      <c r="Q3811" s="389">
        <v>-33</v>
      </c>
      <c r="R3811" s="390">
        <f t="shared" si="122"/>
        <v>-141570</v>
      </c>
      <c r="S3811" s="277">
        <v>202304</v>
      </c>
      <c r="T3811" s="198" t="s">
        <v>4875</v>
      </c>
      <c r="U3811" s="391"/>
      <c r="V3811" s="392"/>
      <c r="W3811" s="393"/>
      <c r="X3811" s="394"/>
      <c r="Y3811" s="394"/>
    </row>
    <row r="3812" s="3" customFormat="1" customHeight="1" spans="1:25">
      <c r="A3812" s="154" t="s">
        <v>444</v>
      </c>
      <c r="B3812" s="292" t="s">
        <v>4284</v>
      </c>
      <c r="C3812" s="292" t="s">
        <v>63</v>
      </c>
      <c r="D3812" s="292" t="s">
        <v>3038</v>
      </c>
      <c r="E3812" s="153" t="s">
        <v>4777</v>
      </c>
      <c r="F3812" s="154" t="s">
        <v>4778</v>
      </c>
      <c r="G3812" s="154" t="s">
        <v>88</v>
      </c>
      <c r="H3812" s="110" t="s">
        <v>4868</v>
      </c>
      <c r="I3812" s="30" t="e">
        <f>VLOOKUP(H3812,'合同高级查询数据-4月返'!A:A,1,FALSE)</f>
        <v>#N/A</v>
      </c>
      <c r="J3812" s="31" t="s">
        <v>3488</v>
      </c>
      <c r="K3812" s="154" t="s">
        <v>4869</v>
      </c>
      <c r="L3812" s="293"/>
      <c r="M3812" s="113" t="s">
        <v>4870</v>
      </c>
      <c r="N3812" s="146">
        <v>43644</v>
      </c>
      <c r="O3812" s="146" t="s">
        <v>4874</v>
      </c>
      <c r="P3812" s="384">
        <v>4290</v>
      </c>
      <c r="Q3812" s="389">
        <v>-106</v>
      </c>
      <c r="R3812" s="390">
        <f t="shared" si="122"/>
        <v>-454740</v>
      </c>
      <c r="S3812" s="277">
        <v>202304</v>
      </c>
      <c r="T3812" s="198" t="s">
        <v>4875</v>
      </c>
      <c r="U3812" s="391"/>
      <c r="V3812" s="392"/>
      <c r="W3812" s="393"/>
      <c r="X3812" s="394"/>
      <c r="Y3812" s="394"/>
    </row>
    <row r="3813" s="3" customFormat="1" customHeight="1" spans="1:25">
      <c r="A3813" s="154" t="s">
        <v>444</v>
      </c>
      <c r="B3813" s="292" t="s">
        <v>4284</v>
      </c>
      <c r="C3813" s="292" t="s">
        <v>63</v>
      </c>
      <c r="D3813" s="292" t="s">
        <v>3038</v>
      </c>
      <c r="E3813" s="153" t="s">
        <v>4777</v>
      </c>
      <c r="F3813" s="154" t="s">
        <v>4778</v>
      </c>
      <c r="G3813" s="154" t="s">
        <v>88</v>
      </c>
      <c r="H3813" s="110" t="s">
        <v>4868</v>
      </c>
      <c r="I3813" s="30" t="e">
        <f>VLOOKUP(H3813,'合同高级查询数据-4月返'!A:A,1,FALSE)</f>
        <v>#N/A</v>
      </c>
      <c r="J3813" s="31" t="s">
        <v>3488</v>
      </c>
      <c r="K3813" s="154" t="s">
        <v>4869</v>
      </c>
      <c r="L3813" s="293"/>
      <c r="M3813" s="113" t="s">
        <v>4870</v>
      </c>
      <c r="N3813" s="146">
        <v>43647</v>
      </c>
      <c r="O3813" s="146" t="s">
        <v>4874</v>
      </c>
      <c r="P3813" s="384">
        <v>4290</v>
      </c>
      <c r="Q3813" s="389">
        <v>-71</v>
      </c>
      <c r="R3813" s="390">
        <f t="shared" si="122"/>
        <v>-304590</v>
      </c>
      <c r="S3813" s="277">
        <v>202304</v>
      </c>
      <c r="T3813" s="198" t="s">
        <v>4875</v>
      </c>
      <c r="U3813" s="391"/>
      <c r="V3813" s="392"/>
      <c r="W3813" s="393"/>
      <c r="X3813" s="394"/>
      <c r="Y3813" s="394"/>
    </row>
    <row r="3814" s="3" customFormat="1" customHeight="1" spans="1:25">
      <c r="A3814" s="154" t="s">
        <v>444</v>
      </c>
      <c r="B3814" s="292" t="s">
        <v>4284</v>
      </c>
      <c r="C3814" s="292" t="s">
        <v>63</v>
      </c>
      <c r="D3814" s="292" t="s">
        <v>3038</v>
      </c>
      <c r="E3814" s="153" t="s">
        <v>4777</v>
      </c>
      <c r="F3814" s="154" t="s">
        <v>4778</v>
      </c>
      <c r="G3814" s="154" t="s">
        <v>88</v>
      </c>
      <c r="H3814" s="110" t="s">
        <v>4868</v>
      </c>
      <c r="I3814" s="30" t="e">
        <f>VLOOKUP(H3814,'合同高级查询数据-4月返'!A:A,1,FALSE)</f>
        <v>#N/A</v>
      </c>
      <c r="J3814" s="31" t="s">
        <v>3488</v>
      </c>
      <c r="K3814" s="154" t="s">
        <v>4869</v>
      </c>
      <c r="L3814" s="293"/>
      <c r="M3814" s="113" t="s">
        <v>4870</v>
      </c>
      <c r="N3814" s="146">
        <v>43649</v>
      </c>
      <c r="O3814" s="146" t="s">
        <v>4874</v>
      </c>
      <c r="P3814" s="384">
        <v>4290</v>
      </c>
      <c r="Q3814" s="389">
        <v>-8</v>
      </c>
      <c r="R3814" s="390">
        <f t="shared" si="122"/>
        <v>-34320</v>
      </c>
      <c r="S3814" s="277">
        <v>202304</v>
      </c>
      <c r="T3814" s="198" t="s">
        <v>4875</v>
      </c>
      <c r="U3814" s="391"/>
      <c r="V3814" s="392"/>
      <c r="W3814" s="393"/>
      <c r="X3814" s="394"/>
      <c r="Y3814" s="394"/>
    </row>
    <row r="3815" s="3" customFormat="1" customHeight="1" spans="1:25">
      <c r="A3815" s="154" t="s">
        <v>444</v>
      </c>
      <c r="B3815" s="292" t="s">
        <v>4284</v>
      </c>
      <c r="C3815" s="292" t="s">
        <v>63</v>
      </c>
      <c r="D3815" s="292" t="s">
        <v>3038</v>
      </c>
      <c r="E3815" s="153" t="s">
        <v>4777</v>
      </c>
      <c r="F3815" s="154" t="s">
        <v>4778</v>
      </c>
      <c r="G3815" s="154" t="s">
        <v>88</v>
      </c>
      <c r="H3815" s="110" t="s">
        <v>4868</v>
      </c>
      <c r="I3815" s="30" t="e">
        <f>VLOOKUP(H3815,'合同高级查询数据-4月返'!A:A,1,FALSE)</f>
        <v>#N/A</v>
      </c>
      <c r="J3815" s="31" t="s">
        <v>3488</v>
      </c>
      <c r="K3815" s="154" t="s">
        <v>4869</v>
      </c>
      <c r="L3815" s="293"/>
      <c r="M3815" s="113" t="s">
        <v>4870</v>
      </c>
      <c r="N3815" s="146">
        <v>43651</v>
      </c>
      <c r="O3815" s="146" t="s">
        <v>4874</v>
      </c>
      <c r="P3815" s="384">
        <v>4290</v>
      </c>
      <c r="Q3815" s="389">
        <v>-3</v>
      </c>
      <c r="R3815" s="390">
        <f t="shared" si="122"/>
        <v>-12870</v>
      </c>
      <c r="S3815" s="277">
        <v>202304</v>
      </c>
      <c r="T3815" s="198" t="s">
        <v>4875</v>
      </c>
      <c r="U3815" s="391"/>
      <c r="V3815" s="392"/>
      <c r="W3815" s="393"/>
      <c r="X3815" s="394"/>
      <c r="Y3815" s="394"/>
    </row>
    <row r="3816" s="3" customFormat="1" customHeight="1" spans="1:25">
      <c r="A3816" s="154" t="s">
        <v>444</v>
      </c>
      <c r="B3816" s="292" t="s">
        <v>4284</v>
      </c>
      <c r="C3816" s="292" t="s">
        <v>63</v>
      </c>
      <c r="D3816" s="292" t="s">
        <v>3038</v>
      </c>
      <c r="E3816" s="153" t="s">
        <v>4777</v>
      </c>
      <c r="F3816" s="154" t="s">
        <v>4778</v>
      </c>
      <c r="G3816" s="154" t="s">
        <v>88</v>
      </c>
      <c r="H3816" s="110" t="s">
        <v>4868</v>
      </c>
      <c r="I3816" s="30" t="e">
        <f>VLOOKUP(H3816,'合同高级查询数据-4月返'!A:A,1,FALSE)</f>
        <v>#N/A</v>
      </c>
      <c r="J3816" s="31" t="s">
        <v>3488</v>
      </c>
      <c r="K3816" s="154" t="s">
        <v>4869</v>
      </c>
      <c r="L3816" s="293"/>
      <c r="M3816" s="113" t="s">
        <v>4870</v>
      </c>
      <c r="N3816" s="146">
        <v>43654</v>
      </c>
      <c r="O3816" s="146" t="s">
        <v>4874</v>
      </c>
      <c r="P3816" s="384">
        <v>4290</v>
      </c>
      <c r="Q3816" s="389">
        <v>-41</v>
      </c>
      <c r="R3816" s="390">
        <f t="shared" si="122"/>
        <v>-175890</v>
      </c>
      <c r="S3816" s="277">
        <v>202304</v>
      </c>
      <c r="T3816" s="198" t="s">
        <v>4875</v>
      </c>
      <c r="U3816" s="391"/>
      <c r="V3816" s="392"/>
      <c r="W3816" s="393"/>
      <c r="X3816" s="394"/>
      <c r="Y3816" s="394"/>
    </row>
    <row r="3817" s="3" customFormat="1" customHeight="1" spans="1:25">
      <c r="A3817" s="154" t="s">
        <v>444</v>
      </c>
      <c r="B3817" s="292" t="s">
        <v>4284</v>
      </c>
      <c r="C3817" s="292" t="s">
        <v>63</v>
      </c>
      <c r="D3817" s="292" t="s">
        <v>3038</v>
      </c>
      <c r="E3817" s="153" t="s">
        <v>4777</v>
      </c>
      <c r="F3817" s="154" t="s">
        <v>4778</v>
      </c>
      <c r="G3817" s="154" t="s">
        <v>88</v>
      </c>
      <c r="H3817" s="110" t="s">
        <v>4868</v>
      </c>
      <c r="I3817" s="30" t="e">
        <f>VLOOKUP(H3817,'合同高级查询数据-4月返'!A:A,1,FALSE)</f>
        <v>#N/A</v>
      </c>
      <c r="J3817" s="31" t="s">
        <v>3488</v>
      </c>
      <c r="K3817" s="154" t="s">
        <v>4869</v>
      </c>
      <c r="L3817" s="293"/>
      <c r="M3817" s="113" t="s">
        <v>4870</v>
      </c>
      <c r="N3817" s="146">
        <v>43661</v>
      </c>
      <c r="O3817" s="146" t="s">
        <v>4874</v>
      </c>
      <c r="P3817" s="384">
        <v>4290</v>
      </c>
      <c r="Q3817" s="389">
        <v>-1</v>
      </c>
      <c r="R3817" s="390">
        <f t="shared" si="122"/>
        <v>-4290</v>
      </c>
      <c r="S3817" s="277">
        <v>202304</v>
      </c>
      <c r="T3817" s="198" t="s">
        <v>4875</v>
      </c>
      <c r="U3817" s="391"/>
      <c r="V3817" s="392"/>
      <c r="W3817" s="393"/>
      <c r="X3817" s="394"/>
      <c r="Y3817" s="394"/>
    </row>
    <row r="3818" s="3" customFormat="1" customHeight="1" spans="1:25">
      <c r="A3818" s="154" t="s">
        <v>444</v>
      </c>
      <c r="B3818" s="292" t="s">
        <v>4284</v>
      </c>
      <c r="C3818" s="292" t="s">
        <v>63</v>
      </c>
      <c r="D3818" s="292" t="s">
        <v>3038</v>
      </c>
      <c r="E3818" s="153" t="s">
        <v>4777</v>
      </c>
      <c r="F3818" s="154" t="s">
        <v>4778</v>
      </c>
      <c r="G3818" s="154" t="s">
        <v>88</v>
      </c>
      <c r="H3818" s="110" t="s">
        <v>4868</v>
      </c>
      <c r="I3818" s="30" t="e">
        <f>VLOOKUP(H3818,'合同高级查询数据-4月返'!A:A,1,FALSE)</f>
        <v>#N/A</v>
      </c>
      <c r="J3818" s="31" t="s">
        <v>3488</v>
      </c>
      <c r="K3818" s="154" t="s">
        <v>4869</v>
      </c>
      <c r="L3818" s="293"/>
      <c r="M3818" s="113" t="s">
        <v>4870</v>
      </c>
      <c r="N3818" s="146" t="s">
        <v>4876</v>
      </c>
      <c r="O3818" s="146" t="s">
        <v>4874</v>
      </c>
      <c r="P3818" s="384">
        <v>4290</v>
      </c>
      <c r="Q3818" s="389">
        <v>-3</v>
      </c>
      <c r="R3818" s="390">
        <f t="shared" si="122"/>
        <v>-12870</v>
      </c>
      <c r="S3818" s="277">
        <v>202304</v>
      </c>
      <c r="T3818" s="198"/>
      <c r="U3818" s="391"/>
      <c r="V3818" s="392"/>
      <c r="W3818" s="393"/>
      <c r="X3818" s="394"/>
      <c r="Y3818" s="394"/>
    </row>
    <row r="3819" s="3" customFormat="1" customHeight="1" spans="1:25">
      <c r="A3819" s="154" t="s">
        <v>444</v>
      </c>
      <c r="B3819" s="292" t="s">
        <v>4284</v>
      </c>
      <c r="C3819" s="292" t="s">
        <v>63</v>
      </c>
      <c r="D3819" s="292" t="s">
        <v>3038</v>
      </c>
      <c r="E3819" s="153" t="s">
        <v>4777</v>
      </c>
      <c r="F3819" s="154" t="s">
        <v>4778</v>
      </c>
      <c r="G3819" s="154" t="s">
        <v>88</v>
      </c>
      <c r="H3819" s="110" t="s">
        <v>4868</v>
      </c>
      <c r="I3819" s="30" t="e">
        <f>VLOOKUP(H3819,'合同高级查询数据-4月返'!A:A,1,FALSE)</f>
        <v>#N/A</v>
      </c>
      <c r="J3819" s="31" t="s">
        <v>3488</v>
      </c>
      <c r="K3819" s="154" t="s">
        <v>4869</v>
      </c>
      <c r="L3819" s="293"/>
      <c r="M3819" s="113" t="s">
        <v>4870</v>
      </c>
      <c r="N3819" s="146">
        <v>43830</v>
      </c>
      <c r="O3819" s="146" t="s">
        <v>4874</v>
      </c>
      <c r="P3819" s="384">
        <v>4290</v>
      </c>
      <c r="Q3819" s="389">
        <v>-2</v>
      </c>
      <c r="R3819" s="390">
        <f t="shared" si="122"/>
        <v>-8580</v>
      </c>
      <c r="S3819" s="277">
        <v>202304</v>
      </c>
      <c r="T3819" s="198"/>
      <c r="U3819" s="391"/>
      <c r="V3819" s="392"/>
      <c r="W3819" s="393"/>
      <c r="X3819" s="394"/>
      <c r="Y3819" s="394"/>
    </row>
    <row r="3820" s="3" customFormat="1" customHeight="1" spans="1:25">
      <c r="A3820" s="154" t="s">
        <v>444</v>
      </c>
      <c r="B3820" s="292" t="s">
        <v>4284</v>
      </c>
      <c r="C3820" s="292" t="s">
        <v>63</v>
      </c>
      <c r="D3820" s="292" t="s">
        <v>3038</v>
      </c>
      <c r="E3820" s="153" t="s">
        <v>4777</v>
      </c>
      <c r="F3820" s="154" t="s">
        <v>4778</v>
      </c>
      <c r="G3820" s="154" t="s">
        <v>88</v>
      </c>
      <c r="H3820" s="110" t="s">
        <v>4868</v>
      </c>
      <c r="I3820" s="30" t="e">
        <f>VLOOKUP(H3820,'合同高级查询数据-4月返'!A:A,1,FALSE)</f>
        <v>#N/A</v>
      </c>
      <c r="J3820" s="31" t="s">
        <v>3488</v>
      </c>
      <c r="K3820" s="154" t="s">
        <v>4869</v>
      </c>
      <c r="L3820" s="293"/>
      <c r="M3820" s="113" t="s">
        <v>4870</v>
      </c>
      <c r="N3820" s="146">
        <v>43831</v>
      </c>
      <c r="O3820" s="146" t="s">
        <v>3054</v>
      </c>
      <c r="P3820" s="384">
        <v>17160</v>
      </c>
      <c r="Q3820" s="389">
        <v>2</v>
      </c>
      <c r="R3820" s="390">
        <f t="shared" si="122"/>
        <v>34320</v>
      </c>
      <c r="S3820" s="277">
        <v>202304</v>
      </c>
      <c r="T3820" s="198" t="s">
        <v>4877</v>
      </c>
      <c r="U3820" s="391"/>
      <c r="V3820" s="392"/>
      <c r="W3820" s="393"/>
      <c r="X3820" s="394"/>
      <c r="Y3820" s="394"/>
    </row>
    <row r="3821" s="3" customFormat="1" customHeight="1" spans="1:25">
      <c r="A3821" s="154" t="s">
        <v>444</v>
      </c>
      <c r="B3821" s="292" t="s">
        <v>4284</v>
      </c>
      <c r="C3821" s="292" t="s">
        <v>63</v>
      </c>
      <c r="D3821" s="292" t="s">
        <v>3038</v>
      </c>
      <c r="E3821" s="153" t="s">
        <v>4777</v>
      </c>
      <c r="F3821" s="154" t="s">
        <v>4778</v>
      </c>
      <c r="G3821" s="154" t="s">
        <v>88</v>
      </c>
      <c r="H3821" s="110" t="s">
        <v>4868</v>
      </c>
      <c r="I3821" s="30" t="e">
        <f>VLOOKUP(H3821,'合同高级查询数据-4月返'!A:A,1,FALSE)</f>
        <v>#N/A</v>
      </c>
      <c r="J3821" s="31" t="s">
        <v>3488</v>
      </c>
      <c r="K3821" s="154" t="s">
        <v>4869</v>
      </c>
      <c r="L3821" s="293"/>
      <c r="M3821" s="113" t="s">
        <v>4870</v>
      </c>
      <c r="N3821" s="146">
        <v>43853</v>
      </c>
      <c r="O3821" s="146" t="s">
        <v>4874</v>
      </c>
      <c r="P3821" s="384">
        <v>4290</v>
      </c>
      <c r="Q3821" s="389">
        <v>-4</v>
      </c>
      <c r="R3821" s="390">
        <f t="shared" si="122"/>
        <v>-17160</v>
      </c>
      <c r="S3821" s="277">
        <v>202304</v>
      </c>
      <c r="T3821" s="198" t="s">
        <v>4878</v>
      </c>
      <c r="U3821" s="391"/>
      <c r="V3821" s="392"/>
      <c r="W3821" s="393"/>
      <c r="X3821" s="394"/>
      <c r="Y3821" s="394"/>
    </row>
    <row r="3822" s="3" customFormat="1" customHeight="1" spans="1:25">
      <c r="A3822" s="154" t="s">
        <v>444</v>
      </c>
      <c r="B3822" s="292" t="s">
        <v>4284</v>
      </c>
      <c r="C3822" s="292" t="s">
        <v>63</v>
      </c>
      <c r="D3822" s="292" t="s">
        <v>3038</v>
      </c>
      <c r="E3822" s="153" t="s">
        <v>4777</v>
      </c>
      <c r="F3822" s="154" t="s">
        <v>4778</v>
      </c>
      <c r="G3822" s="154" t="s">
        <v>88</v>
      </c>
      <c r="H3822" s="110" t="s">
        <v>4868</v>
      </c>
      <c r="I3822" s="30" t="e">
        <f>VLOOKUP(H3822,'合同高级查询数据-4月返'!A:A,1,FALSE)</f>
        <v>#N/A</v>
      </c>
      <c r="J3822" s="31" t="s">
        <v>3488</v>
      </c>
      <c r="K3822" s="154" t="s">
        <v>4869</v>
      </c>
      <c r="L3822" s="293"/>
      <c r="M3822" s="113" t="s">
        <v>4870</v>
      </c>
      <c r="N3822" s="146">
        <v>43853</v>
      </c>
      <c r="O3822" s="146" t="s">
        <v>507</v>
      </c>
      <c r="P3822" s="384">
        <v>12870</v>
      </c>
      <c r="Q3822" s="389">
        <v>-2</v>
      </c>
      <c r="R3822" s="390">
        <f t="shared" si="122"/>
        <v>-25740</v>
      </c>
      <c r="S3822" s="277">
        <v>202304</v>
      </c>
      <c r="T3822" s="198" t="s">
        <v>4879</v>
      </c>
      <c r="U3822" s="391"/>
      <c r="V3822" s="392"/>
      <c r="W3822" s="393"/>
      <c r="X3822" s="394"/>
      <c r="Y3822" s="394"/>
    </row>
    <row r="3823" s="3" customFormat="1" customHeight="1" spans="1:25">
      <c r="A3823" s="154" t="s">
        <v>444</v>
      </c>
      <c r="B3823" s="292" t="s">
        <v>4284</v>
      </c>
      <c r="C3823" s="292" t="s">
        <v>63</v>
      </c>
      <c r="D3823" s="292" t="s">
        <v>3038</v>
      </c>
      <c r="E3823" s="153" t="s">
        <v>4777</v>
      </c>
      <c r="F3823" s="154" t="s">
        <v>4778</v>
      </c>
      <c r="G3823" s="154" t="s">
        <v>88</v>
      </c>
      <c r="H3823" s="110" t="s">
        <v>4868</v>
      </c>
      <c r="I3823" s="30" t="e">
        <f>VLOOKUP(H3823,'合同高级查询数据-4月返'!A:A,1,FALSE)</f>
        <v>#N/A</v>
      </c>
      <c r="J3823" s="31" t="s">
        <v>3488</v>
      </c>
      <c r="K3823" s="154" t="s">
        <v>4880</v>
      </c>
      <c r="L3823" s="293"/>
      <c r="M3823" s="113" t="s">
        <v>4870</v>
      </c>
      <c r="N3823" s="146" t="s">
        <v>558</v>
      </c>
      <c r="O3823" s="146" t="s">
        <v>92</v>
      </c>
      <c r="P3823" s="384">
        <v>4100</v>
      </c>
      <c r="Q3823" s="389">
        <v>700</v>
      </c>
      <c r="R3823" s="390">
        <f t="shared" si="122"/>
        <v>2870000</v>
      </c>
      <c r="S3823" s="277">
        <v>202304</v>
      </c>
      <c r="T3823" s="198"/>
      <c r="U3823" s="391"/>
      <c r="V3823" s="392"/>
      <c r="W3823" s="393"/>
      <c r="X3823" s="394"/>
      <c r="Y3823" s="394"/>
    </row>
    <row r="3824" s="3" customFormat="1" customHeight="1" spans="1:25">
      <c r="A3824" s="154" t="s">
        <v>444</v>
      </c>
      <c r="B3824" s="292" t="s">
        <v>4284</v>
      </c>
      <c r="C3824" s="292" t="s">
        <v>63</v>
      </c>
      <c r="D3824" s="292" t="s">
        <v>3038</v>
      </c>
      <c r="E3824" s="153" t="s">
        <v>4777</v>
      </c>
      <c r="F3824" s="154" t="s">
        <v>4778</v>
      </c>
      <c r="G3824" s="154" t="s">
        <v>88</v>
      </c>
      <c r="H3824" s="110" t="s">
        <v>4868</v>
      </c>
      <c r="I3824" s="30" t="e">
        <f>VLOOKUP(H3824,'合同高级查询数据-4月返'!A:A,1,FALSE)</f>
        <v>#N/A</v>
      </c>
      <c r="J3824" s="31" t="s">
        <v>3488</v>
      </c>
      <c r="K3824" s="154" t="s">
        <v>4880</v>
      </c>
      <c r="L3824" s="293"/>
      <c r="M3824" s="113" t="s">
        <v>4870</v>
      </c>
      <c r="N3824" s="146">
        <v>43445</v>
      </c>
      <c r="O3824" s="146" t="s">
        <v>92</v>
      </c>
      <c r="P3824" s="384">
        <v>4100</v>
      </c>
      <c r="Q3824" s="389">
        <v>1</v>
      </c>
      <c r="R3824" s="390">
        <f t="shared" ref="R3824:R3835" si="123">ROUND(Q3824*P3824,2)</f>
        <v>4100</v>
      </c>
      <c r="S3824" s="277">
        <v>202304</v>
      </c>
      <c r="T3824" s="198"/>
      <c r="U3824" s="391"/>
      <c r="V3824" s="392"/>
      <c r="W3824" s="393"/>
      <c r="X3824" s="394"/>
      <c r="Y3824" s="394"/>
    </row>
    <row r="3825" s="3" customFormat="1" customHeight="1" spans="1:25">
      <c r="A3825" s="154" t="s">
        <v>444</v>
      </c>
      <c r="B3825" s="292" t="s">
        <v>4284</v>
      </c>
      <c r="C3825" s="292" t="s">
        <v>63</v>
      </c>
      <c r="D3825" s="292" t="s">
        <v>3038</v>
      </c>
      <c r="E3825" s="153" t="s">
        <v>4777</v>
      </c>
      <c r="F3825" s="154" t="s">
        <v>4778</v>
      </c>
      <c r="G3825" s="154" t="s">
        <v>88</v>
      </c>
      <c r="H3825" s="110" t="s">
        <v>4868</v>
      </c>
      <c r="I3825" s="30" t="e">
        <f>VLOOKUP(H3825,'合同高级查询数据-4月返'!A:A,1,FALSE)</f>
        <v>#N/A</v>
      </c>
      <c r="J3825" s="31" t="s">
        <v>3488</v>
      </c>
      <c r="K3825" s="154" t="s">
        <v>4880</v>
      </c>
      <c r="L3825" s="293"/>
      <c r="M3825" s="113" t="s">
        <v>4870</v>
      </c>
      <c r="N3825" s="146">
        <v>43521</v>
      </c>
      <c r="O3825" s="146" t="s">
        <v>92</v>
      </c>
      <c r="P3825" s="384">
        <v>4100</v>
      </c>
      <c r="Q3825" s="389">
        <v>1</v>
      </c>
      <c r="R3825" s="390">
        <f t="shared" si="123"/>
        <v>4100</v>
      </c>
      <c r="S3825" s="277">
        <v>202304</v>
      </c>
      <c r="T3825" s="198" t="s">
        <v>4881</v>
      </c>
      <c r="U3825" s="391"/>
      <c r="V3825" s="392"/>
      <c r="W3825" s="393"/>
      <c r="X3825" s="394"/>
      <c r="Y3825" s="394"/>
    </row>
    <row r="3826" s="3" customFormat="1" customHeight="1" spans="1:25">
      <c r="A3826" s="154" t="s">
        <v>444</v>
      </c>
      <c r="B3826" s="292" t="s">
        <v>4284</v>
      </c>
      <c r="C3826" s="292" t="s">
        <v>63</v>
      </c>
      <c r="D3826" s="292" t="s">
        <v>3038</v>
      </c>
      <c r="E3826" s="153" t="s">
        <v>4777</v>
      </c>
      <c r="F3826" s="154" t="s">
        <v>4778</v>
      </c>
      <c r="G3826" s="154" t="s">
        <v>88</v>
      </c>
      <c r="H3826" s="110" t="s">
        <v>4868</v>
      </c>
      <c r="I3826" s="30" t="e">
        <f>VLOOKUP(H3826,'合同高级查询数据-4月返'!A:A,1,FALSE)</f>
        <v>#N/A</v>
      </c>
      <c r="J3826" s="31" t="s">
        <v>3488</v>
      </c>
      <c r="K3826" s="154" t="s">
        <v>4880</v>
      </c>
      <c r="L3826" s="293"/>
      <c r="M3826" s="113" t="s">
        <v>4870</v>
      </c>
      <c r="N3826" s="146" t="s">
        <v>4882</v>
      </c>
      <c r="O3826" s="146" t="s">
        <v>92</v>
      </c>
      <c r="P3826" s="384">
        <v>4100</v>
      </c>
      <c r="Q3826" s="389">
        <v>-2</v>
      </c>
      <c r="R3826" s="390">
        <f t="shared" si="123"/>
        <v>-8200</v>
      </c>
      <c r="S3826" s="277">
        <v>202304</v>
      </c>
      <c r="T3826" s="198" t="s">
        <v>4883</v>
      </c>
      <c r="U3826" s="391"/>
      <c r="V3826" s="392"/>
      <c r="W3826" s="393"/>
      <c r="X3826" s="394"/>
      <c r="Y3826" s="394"/>
    </row>
    <row r="3827" s="3" customFormat="1" customHeight="1" spans="1:25">
      <c r="A3827" s="154" t="s">
        <v>444</v>
      </c>
      <c r="B3827" s="292" t="s">
        <v>4284</v>
      </c>
      <c r="C3827" s="292" t="s">
        <v>63</v>
      </c>
      <c r="D3827" s="292" t="s">
        <v>3038</v>
      </c>
      <c r="E3827" s="153" t="s">
        <v>4777</v>
      </c>
      <c r="F3827" s="154" t="s">
        <v>4778</v>
      </c>
      <c r="G3827" s="154" t="s">
        <v>88</v>
      </c>
      <c r="H3827" s="110" t="s">
        <v>4868</v>
      </c>
      <c r="I3827" s="30" t="e">
        <f>VLOOKUP(H3827,'合同高级查询数据-4月返'!A:A,1,FALSE)</f>
        <v>#N/A</v>
      </c>
      <c r="J3827" s="31" t="s">
        <v>3488</v>
      </c>
      <c r="K3827" s="154" t="s">
        <v>4869</v>
      </c>
      <c r="L3827" s="293"/>
      <c r="M3827" s="113" t="s">
        <v>4870</v>
      </c>
      <c r="N3827" s="146">
        <v>43678</v>
      </c>
      <c r="O3827" s="146" t="s">
        <v>4874</v>
      </c>
      <c r="P3827" s="384">
        <v>4290</v>
      </c>
      <c r="Q3827" s="389">
        <v>-1</v>
      </c>
      <c r="R3827" s="390">
        <f t="shared" si="123"/>
        <v>-4290</v>
      </c>
      <c r="S3827" s="277">
        <v>202304</v>
      </c>
      <c r="T3827" s="198" t="s">
        <v>4884</v>
      </c>
      <c r="U3827" s="391"/>
      <c r="V3827" s="392"/>
      <c r="W3827" s="393"/>
      <c r="X3827" s="394"/>
      <c r="Y3827" s="394"/>
    </row>
    <row r="3828" s="3" customFormat="1" customHeight="1" spans="1:25">
      <c r="A3828" s="154" t="s">
        <v>444</v>
      </c>
      <c r="B3828" s="292" t="s">
        <v>4284</v>
      </c>
      <c r="C3828" s="292" t="s">
        <v>63</v>
      </c>
      <c r="D3828" s="292" t="s">
        <v>3038</v>
      </c>
      <c r="E3828" s="153" t="s">
        <v>4777</v>
      </c>
      <c r="F3828" s="154" t="s">
        <v>4778</v>
      </c>
      <c r="G3828" s="154" t="s">
        <v>88</v>
      </c>
      <c r="H3828" s="110" t="s">
        <v>4868</v>
      </c>
      <c r="I3828" s="30" t="e">
        <f>VLOOKUP(H3828,'合同高级查询数据-4月返'!A:A,1,FALSE)</f>
        <v>#N/A</v>
      </c>
      <c r="J3828" s="31" t="s">
        <v>3488</v>
      </c>
      <c r="K3828" s="154" t="s">
        <v>4880</v>
      </c>
      <c r="L3828" s="293"/>
      <c r="M3828" s="113" t="s">
        <v>4870</v>
      </c>
      <c r="N3828" s="146">
        <v>43686</v>
      </c>
      <c r="O3828" s="146" t="s">
        <v>4874</v>
      </c>
      <c r="P3828" s="384">
        <v>4100</v>
      </c>
      <c r="Q3828" s="389">
        <v>-84</v>
      </c>
      <c r="R3828" s="390">
        <f t="shared" si="123"/>
        <v>-344400</v>
      </c>
      <c r="S3828" s="277">
        <v>202304</v>
      </c>
      <c r="T3828" s="198" t="s">
        <v>4885</v>
      </c>
      <c r="U3828" s="391"/>
      <c r="V3828" s="392"/>
      <c r="W3828" s="393"/>
      <c r="X3828" s="394"/>
      <c r="Y3828" s="394"/>
    </row>
    <row r="3829" s="3" customFormat="1" customHeight="1" spans="1:25">
      <c r="A3829" s="154" t="s">
        <v>444</v>
      </c>
      <c r="B3829" s="292" t="s">
        <v>4284</v>
      </c>
      <c r="C3829" s="292" t="s">
        <v>63</v>
      </c>
      <c r="D3829" s="292" t="s">
        <v>3038</v>
      </c>
      <c r="E3829" s="153" t="s">
        <v>4777</v>
      </c>
      <c r="F3829" s="154" t="s">
        <v>4778</v>
      </c>
      <c r="G3829" s="154" t="s">
        <v>88</v>
      </c>
      <c r="H3829" s="110" t="s">
        <v>4868</v>
      </c>
      <c r="I3829" s="30" t="e">
        <f>VLOOKUP(H3829,'合同高级查询数据-4月返'!A:A,1,FALSE)</f>
        <v>#N/A</v>
      </c>
      <c r="J3829" s="31" t="s">
        <v>3488</v>
      </c>
      <c r="K3829" s="154" t="s">
        <v>4880</v>
      </c>
      <c r="L3829" s="293"/>
      <c r="M3829" s="113" t="s">
        <v>4870</v>
      </c>
      <c r="N3829" s="146">
        <v>43832</v>
      </c>
      <c r="O3829" s="146" t="s">
        <v>4874</v>
      </c>
      <c r="P3829" s="384">
        <v>4100</v>
      </c>
      <c r="Q3829" s="389">
        <v>1</v>
      </c>
      <c r="R3829" s="390">
        <f t="shared" si="123"/>
        <v>4100</v>
      </c>
      <c r="S3829" s="277">
        <v>202304</v>
      </c>
      <c r="T3829" s="198"/>
      <c r="U3829" s="391"/>
      <c r="V3829" s="392"/>
      <c r="W3829" s="393"/>
      <c r="X3829" s="394"/>
      <c r="Y3829" s="394"/>
    </row>
    <row r="3830" s="3" customFormat="1" customHeight="1" spans="1:25">
      <c r="A3830" s="154" t="s">
        <v>444</v>
      </c>
      <c r="B3830" s="292" t="s">
        <v>4284</v>
      </c>
      <c r="C3830" s="292" t="s">
        <v>63</v>
      </c>
      <c r="D3830" s="292" t="s">
        <v>3038</v>
      </c>
      <c r="E3830" s="153" t="s">
        <v>4777</v>
      </c>
      <c r="F3830" s="154" t="s">
        <v>4778</v>
      </c>
      <c r="G3830" s="154" t="s">
        <v>88</v>
      </c>
      <c r="H3830" s="110" t="s">
        <v>4868</v>
      </c>
      <c r="I3830" s="30" t="e">
        <f>VLOOKUP(H3830,'合同高级查询数据-4月返'!A:A,1,FALSE)</f>
        <v>#N/A</v>
      </c>
      <c r="J3830" s="31" t="s">
        <v>3488</v>
      </c>
      <c r="K3830" s="154" t="s">
        <v>4880</v>
      </c>
      <c r="L3830" s="293"/>
      <c r="M3830" s="113" t="s">
        <v>4870</v>
      </c>
      <c r="N3830" s="146">
        <v>43833</v>
      </c>
      <c r="O3830" s="146" t="s">
        <v>4874</v>
      </c>
      <c r="P3830" s="384">
        <v>4100</v>
      </c>
      <c r="Q3830" s="389">
        <v>3</v>
      </c>
      <c r="R3830" s="390">
        <f t="shared" si="123"/>
        <v>12300</v>
      </c>
      <c r="S3830" s="277">
        <v>202304</v>
      </c>
      <c r="T3830" s="198"/>
      <c r="U3830" s="391"/>
      <c r="V3830" s="392"/>
      <c r="W3830" s="393"/>
      <c r="X3830" s="394"/>
      <c r="Y3830" s="394"/>
    </row>
    <row r="3831" s="3" customFormat="1" customHeight="1" spans="1:25">
      <c r="A3831" s="154" t="s">
        <v>444</v>
      </c>
      <c r="B3831" s="292" t="s">
        <v>4284</v>
      </c>
      <c r="C3831" s="292" t="s">
        <v>63</v>
      </c>
      <c r="D3831" s="292" t="s">
        <v>3038</v>
      </c>
      <c r="E3831" s="153" t="s">
        <v>4777</v>
      </c>
      <c r="F3831" s="154" t="s">
        <v>4778</v>
      </c>
      <c r="G3831" s="154" t="s">
        <v>88</v>
      </c>
      <c r="H3831" s="110" t="s">
        <v>4868</v>
      </c>
      <c r="I3831" s="30" t="e">
        <f>VLOOKUP(H3831,'合同高级查询数据-4月返'!A:A,1,FALSE)</f>
        <v>#N/A</v>
      </c>
      <c r="J3831" s="31" t="s">
        <v>3488</v>
      </c>
      <c r="K3831" s="154" t="s">
        <v>4880</v>
      </c>
      <c r="L3831" s="293"/>
      <c r="M3831" s="113" t="s">
        <v>4870</v>
      </c>
      <c r="N3831" s="146">
        <v>43836</v>
      </c>
      <c r="O3831" s="146" t="s">
        <v>4874</v>
      </c>
      <c r="P3831" s="384">
        <v>4100</v>
      </c>
      <c r="Q3831" s="389">
        <v>1</v>
      </c>
      <c r="R3831" s="390">
        <f t="shared" si="123"/>
        <v>4100</v>
      </c>
      <c r="S3831" s="277">
        <v>202304</v>
      </c>
      <c r="T3831" s="198"/>
      <c r="U3831" s="391"/>
      <c r="V3831" s="392"/>
      <c r="W3831" s="393"/>
      <c r="X3831" s="394"/>
      <c r="Y3831" s="394"/>
    </row>
    <row r="3832" s="3" customFormat="1" customHeight="1" spans="1:25">
      <c r="A3832" s="154" t="s">
        <v>444</v>
      </c>
      <c r="B3832" s="292" t="s">
        <v>4284</v>
      </c>
      <c r="C3832" s="292" t="s">
        <v>63</v>
      </c>
      <c r="D3832" s="292" t="s">
        <v>3038</v>
      </c>
      <c r="E3832" s="153" t="s">
        <v>4777</v>
      </c>
      <c r="F3832" s="154" t="s">
        <v>4778</v>
      </c>
      <c r="G3832" s="154" t="s">
        <v>88</v>
      </c>
      <c r="H3832" s="110" t="s">
        <v>4868</v>
      </c>
      <c r="I3832" s="30" t="e">
        <f>VLOOKUP(H3832,'合同高级查询数据-4月返'!A:A,1,FALSE)</f>
        <v>#N/A</v>
      </c>
      <c r="J3832" s="31" t="s">
        <v>3488</v>
      </c>
      <c r="K3832" s="154" t="s">
        <v>4880</v>
      </c>
      <c r="L3832" s="293"/>
      <c r="M3832" s="113" t="s">
        <v>4870</v>
      </c>
      <c r="N3832" s="146">
        <v>43812</v>
      </c>
      <c r="O3832" s="146" t="s">
        <v>4874</v>
      </c>
      <c r="P3832" s="384">
        <v>4100</v>
      </c>
      <c r="Q3832" s="389">
        <v>1</v>
      </c>
      <c r="R3832" s="390">
        <f t="shared" si="123"/>
        <v>4100</v>
      </c>
      <c r="S3832" s="277">
        <v>202304</v>
      </c>
      <c r="T3832" s="198"/>
      <c r="U3832" s="391"/>
      <c r="V3832" s="392"/>
      <c r="W3832" s="393"/>
      <c r="X3832" s="394"/>
      <c r="Y3832" s="394"/>
    </row>
    <row r="3833" s="3" customFormat="1" customHeight="1" spans="1:25">
      <c r="A3833" s="154" t="s">
        <v>444</v>
      </c>
      <c r="B3833" s="292" t="s">
        <v>4284</v>
      </c>
      <c r="C3833" s="292" t="s">
        <v>63</v>
      </c>
      <c r="D3833" s="292" t="s">
        <v>3038</v>
      </c>
      <c r="E3833" s="153" t="s">
        <v>4777</v>
      </c>
      <c r="F3833" s="154" t="s">
        <v>4778</v>
      </c>
      <c r="G3833" s="154" t="s">
        <v>88</v>
      </c>
      <c r="H3833" s="110" t="s">
        <v>4868</v>
      </c>
      <c r="I3833" s="30" t="e">
        <f>VLOOKUP(H3833,'合同高级查询数据-4月返'!A:A,1,FALSE)</f>
        <v>#N/A</v>
      </c>
      <c r="J3833" s="31" t="s">
        <v>3488</v>
      </c>
      <c r="K3833" s="154" t="s">
        <v>4880</v>
      </c>
      <c r="L3833" s="293"/>
      <c r="M3833" s="113" t="s">
        <v>4870</v>
      </c>
      <c r="N3833" s="146" t="s">
        <v>4886</v>
      </c>
      <c r="O3833" s="146" t="s">
        <v>4874</v>
      </c>
      <c r="P3833" s="384">
        <v>4100</v>
      </c>
      <c r="Q3833" s="389">
        <v>-1</v>
      </c>
      <c r="R3833" s="390">
        <f t="shared" si="123"/>
        <v>-4100</v>
      </c>
      <c r="S3833" s="277">
        <v>202304</v>
      </c>
      <c r="T3833" s="198"/>
      <c r="U3833" s="391"/>
      <c r="V3833" s="392"/>
      <c r="W3833" s="393"/>
      <c r="X3833" s="394"/>
      <c r="Y3833" s="394"/>
    </row>
    <row r="3834" s="3" customFormat="1" customHeight="1" spans="1:25">
      <c r="A3834" s="154" t="s">
        <v>444</v>
      </c>
      <c r="B3834" s="292" t="s">
        <v>4284</v>
      </c>
      <c r="C3834" s="292" t="s">
        <v>63</v>
      </c>
      <c r="D3834" s="292" t="s">
        <v>3038</v>
      </c>
      <c r="E3834" s="153" t="s">
        <v>4777</v>
      </c>
      <c r="F3834" s="154" t="s">
        <v>4778</v>
      </c>
      <c r="G3834" s="154" t="s">
        <v>88</v>
      </c>
      <c r="H3834" s="110" t="s">
        <v>4868</v>
      </c>
      <c r="I3834" s="30" t="e">
        <f>VLOOKUP(H3834,'合同高级查询数据-4月返'!A:A,1,FALSE)</f>
        <v>#N/A</v>
      </c>
      <c r="J3834" s="31" t="s">
        <v>3488</v>
      </c>
      <c r="K3834" s="154" t="s">
        <v>4880</v>
      </c>
      <c r="L3834" s="293"/>
      <c r="M3834" s="113" t="s">
        <v>4870</v>
      </c>
      <c r="N3834" s="146">
        <v>43945</v>
      </c>
      <c r="O3834" s="146" t="s">
        <v>4874</v>
      </c>
      <c r="P3834" s="384">
        <v>4100</v>
      </c>
      <c r="Q3834" s="389">
        <v>15</v>
      </c>
      <c r="R3834" s="390">
        <f t="shared" si="123"/>
        <v>61500</v>
      </c>
      <c r="S3834" s="277">
        <v>202304</v>
      </c>
      <c r="T3834" s="198"/>
      <c r="U3834" s="391"/>
      <c r="V3834" s="392"/>
      <c r="W3834" s="393"/>
      <c r="X3834" s="394"/>
      <c r="Y3834" s="394"/>
    </row>
    <row r="3835" s="3" customFormat="1" customHeight="1" spans="1:25">
      <c r="A3835" s="154" t="s">
        <v>444</v>
      </c>
      <c r="B3835" s="292" t="s">
        <v>4284</v>
      </c>
      <c r="C3835" s="292" t="s">
        <v>63</v>
      </c>
      <c r="D3835" s="292" t="s">
        <v>3038</v>
      </c>
      <c r="E3835" s="153" t="s">
        <v>4777</v>
      </c>
      <c r="F3835" s="154" t="s">
        <v>4778</v>
      </c>
      <c r="G3835" s="154" t="s">
        <v>88</v>
      </c>
      <c r="H3835" s="110" t="s">
        <v>4868</v>
      </c>
      <c r="I3835" s="30" t="e">
        <f>VLOOKUP(H3835,'合同高级查询数据-4月返'!A:A,1,FALSE)</f>
        <v>#N/A</v>
      </c>
      <c r="J3835" s="31" t="s">
        <v>3488</v>
      </c>
      <c r="K3835" s="154" t="s">
        <v>4880</v>
      </c>
      <c r="L3835" s="293"/>
      <c r="M3835" s="113" t="s">
        <v>4870</v>
      </c>
      <c r="N3835" s="146">
        <v>43944</v>
      </c>
      <c r="O3835" s="146" t="s">
        <v>4874</v>
      </c>
      <c r="P3835" s="384">
        <v>4100</v>
      </c>
      <c r="Q3835" s="389">
        <v>45</v>
      </c>
      <c r="R3835" s="390">
        <f t="shared" si="123"/>
        <v>184500</v>
      </c>
      <c r="S3835" s="277">
        <v>202304</v>
      </c>
      <c r="T3835" s="198"/>
      <c r="U3835" s="391"/>
      <c r="V3835" s="392"/>
      <c r="W3835" s="393"/>
      <c r="X3835" s="394"/>
      <c r="Y3835" s="394"/>
    </row>
    <row r="3836" s="3" customFormat="1" customHeight="1" spans="1:25">
      <c r="A3836" s="154" t="s">
        <v>444</v>
      </c>
      <c r="B3836" s="292" t="s">
        <v>4284</v>
      </c>
      <c r="C3836" s="292" t="s">
        <v>63</v>
      </c>
      <c r="D3836" s="292" t="s">
        <v>3038</v>
      </c>
      <c r="E3836" s="153" t="s">
        <v>4777</v>
      </c>
      <c r="F3836" s="154" t="s">
        <v>4778</v>
      </c>
      <c r="G3836" s="154" t="s">
        <v>88</v>
      </c>
      <c r="H3836" s="110" t="s">
        <v>4868</v>
      </c>
      <c r="I3836" s="30" t="e">
        <f>VLOOKUP(H3836,'合同高级查询数据-4月返'!A:A,1,FALSE)</f>
        <v>#N/A</v>
      </c>
      <c r="J3836" s="31" t="s">
        <v>3488</v>
      </c>
      <c r="K3836" s="154" t="s">
        <v>4880</v>
      </c>
      <c r="L3836" s="293"/>
      <c r="M3836" s="113" t="s">
        <v>4870</v>
      </c>
      <c r="N3836" s="146">
        <v>43952</v>
      </c>
      <c r="O3836" s="146" t="s">
        <v>4874</v>
      </c>
      <c r="P3836" s="384">
        <v>4100</v>
      </c>
      <c r="Q3836" s="389">
        <v>18</v>
      </c>
      <c r="R3836" s="390">
        <f>ROUND(P3836*Q3836,2)</f>
        <v>73800</v>
      </c>
      <c r="S3836" s="277">
        <v>202304</v>
      </c>
      <c r="T3836" s="198"/>
      <c r="U3836" s="391"/>
      <c r="V3836" s="392"/>
      <c r="W3836" s="393"/>
      <c r="X3836" s="394"/>
      <c r="Y3836" s="394"/>
    </row>
    <row r="3837" s="3" customFormat="1" customHeight="1" spans="1:25">
      <c r="A3837" s="154" t="s">
        <v>444</v>
      </c>
      <c r="B3837" s="292" t="s">
        <v>4284</v>
      </c>
      <c r="C3837" s="292" t="s">
        <v>63</v>
      </c>
      <c r="D3837" s="292" t="s">
        <v>3038</v>
      </c>
      <c r="E3837" s="153" t="s">
        <v>4777</v>
      </c>
      <c r="F3837" s="154" t="s">
        <v>4778</v>
      </c>
      <c r="G3837" s="154" t="s">
        <v>88</v>
      </c>
      <c r="H3837" s="110" t="s">
        <v>4868</v>
      </c>
      <c r="I3837" s="30" t="e">
        <f>VLOOKUP(H3837,'合同高级查询数据-4月返'!A:A,1,FALSE)</f>
        <v>#N/A</v>
      </c>
      <c r="J3837" s="31" t="s">
        <v>3488</v>
      </c>
      <c r="K3837" s="154" t="s">
        <v>4880</v>
      </c>
      <c r="L3837" s="293"/>
      <c r="M3837" s="113" t="s">
        <v>4870</v>
      </c>
      <c r="N3837" s="146">
        <v>44176</v>
      </c>
      <c r="O3837" s="146" t="s">
        <v>4874</v>
      </c>
      <c r="P3837" s="384">
        <v>4100</v>
      </c>
      <c r="Q3837" s="389">
        <v>1</v>
      </c>
      <c r="R3837" s="157">
        <f t="shared" ref="R3837:R3842" si="124">ROUND(Q3837*P3837,2)</f>
        <v>4100</v>
      </c>
      <c r="S3837" s="277">
        <v>202304</v>
      </c>
      <c r="T3837" s="198" t="s">
        <v>4887</v>
      </c>
      <c r="U3837" s="391"/>
      <c r="V3837" s="392"/>
      <c r="W3837" s="393"/>
      <c r="X3837" s="394"/>
      <c r="Y3837" s="394"/>
    </row>
    <row r="3838" s="3" customFormat="1" customHeight="1" spans="1:25">
      <c r="A3838" s="154" t="s">
        <v>444</v>
      </c>
      <c r="B3838" s="292" t="s">
        <v>4284</v>
      </c>
      <c r="C3838" s="292" t="s">
        <v>63</v>
      </c>
      <c r="D3838" s="292" t="s">
        <v>3038</v>
      </c>
      <c r="E3838" s="153" t="s">
        <v>4777</v>
      </c>
      <c r="F3838" s="154" t="s">
        <v>4778</v>
      </c>
      <c r="G3838" s="154" t="s">
        <v>88</v>
      </c>
      <c r="H3838" s="110" t="s">
        <v>4888</v>
      </c>
      <c r="I3838" s="30" t="e">
        <f>VLOOKUP(H3838,'合同高级查询数据-4月返'!A:A,1,FALSE)</f>
        <v>#N/A</v>
      </c>
      <c r="J3838" s="31" t="s">
        <v>3488</v>
      </c>
      <c r="K3838" s="154" t="s">
        <v>4880</v>
      </c>
      <c r="L3838" s="293"/>
      <c r="M3838" s="113" t="s">
        <v>4870</v>
      </c>
      <c r="N3838" s="146" t="s">
        <v>1329</v>
      </c>
      <c r="O3838" s="146" t="s">
        <v>1419</v>
      </c>
      <c r="P3838" s="411">
        <f>4100*5</f>
        <v>20500</v>
      </c>
      <c r="Q3838" s="389">
        <v>6</v>
      </c>
      <c r="R3838" s="413">
        <f t="shared" si="124"/>
        <v>123000</v>
      </c>
      <c r="S3838" s="277">
        <v>202304</v>
      </c>
      <c r="T3838" s="198" t="s">
        <v>4889</v>
      </c>
      <c r="U3838" s="391"/>
      <c r="V3838" s="392"/>
      <c r="W3838" s="393"/>
      <c r="X3838" s="394"/>
      <c r="Y3838" s="394"/>
    </row>
    <row r="3839" s="3" customFormat="1" customHeight="1" spans="1:25">
      <c r="A3839" s="154" t="s">
        <v>444</v>
      </c>
      <c r="B3839" s="292" t="s">
        <v>4284</v>
      </c>
      <c r="C3839" s="292" t="s">
        <v>63</v>
      </c>
      <c r="D3839" s="292" t="s">
        <v>3038</v>
      </c>
      <c r="E3839" s="153" t="s">
        <v>4777</v>
      </c>
      <c r="F3839" s="154" t="s">
        <v>4778</v>
      </c>
      <c r="G3839" s="154" t="s">
        <v>88</v>
      </c>
      <c r="H3839" s="110" t="s">
        <v>4888</v>
      </c>
      <c r="I3839" s="30" t="e">
        <f>VLOOKUP(H3839,'合同高级查询数据-4月返'!A:A,1,FALSE)</f>
        <v>#N/A</v>
      </c>
      <c r="J3839" s="31" t="s">
        <v>3488</v>
      </c>
      <c r="K3839" s="154" t="s">
        <v>4880</v>
      </c>
      <c r="L3839" s="293"/>
      <c r="M3839" s="113" t="s">
        <v>4870</v>
      </c>
      <c r="N3839" s="146" t="s">
        <v>1329</v>
      </c>
      <c r="O3839" s="146" t="s">
        <v>92</v>
      </c>
      <c r="P3839" s="384">
        <v>4100</v>
      </c>
      <c r="Q3839" s="389">
        <v>2</v>
      </c>
      <c r="R3839" s="157">
        <f t="shared" si="124"/>
        <v>8200</v>
      </c>
      <c r="S3839" s="277">
        <v>202304</v>
      </c>
      <c r="T3839" s="198" t="s">
        <v>4890</v>
      </c>
      <c r="U3839" s="391"/>
      <c r="V3839" s="392"/>
      <c r="W3839" s="393"/>
      <c r="X3839" s="394"/>
      <c r="Y3839" s="394"/>
    </row>
    <row r="3840" s="3" customFormat="1" customHeight="1" spans="1:25">
      <c r="A3840" s="154" t="s">
        <v>444</v>
      </c>
      <c r="B3840" s="292" t="s">
        <v>4284</v>
      </c>
      <c r="C3840" s="292" t="s">
        <v>63</v>
      </c>
      <c r="D3840" s="292" t="s">
        <v>3038</v>
      </c>
      <c r="E3840" s="153" t="s">
        <v>4777</v>
      </c>
      <c r="F3840" s="154" t="s">
        <v>4778</v>
      </c>
      <c r="G3840" s="154" t="s">
        <v>88</v>
      </c>
      <c r="H3840" s="110" t="s">
        <v>4888</v>
      </c>
      <c r="I3840" s="30" t="e">
        <f>VLOOKUP(H3840,'合同高级查询数据-4月返'!A:A,1,FALSE)</f>
        <v>#N/A</v>
      </c>
      <c r="J3840" s="31" t="s">
        <v>3488</v>
      </c>
      <c r="K3840" s="154" t="s">
        <v>4880</v>
      </c>
      <c r="L3840" s="293"/>
      <c r="M3840" s="113" t="s">
        <v>4870</v>
      </c>
      <c r="N3840" s="146" t="s">
        <v>1329</v>
      </c>
      <c r="O3840" s="146" t="s">
        <v>600</v>
      </c>
      <c r="P3840" s="384">
        <v>4100</v>
      </c>
      <c r="Q3840" s="389">
        <v>2</v>
      </c>
      <c r="R3840" s="157">
        <f t="shared" si="124"/>
        <v>8200</v>
      </c>
      <c r="S3840" s="277">
        <v>202304</v>
      </c>
      <c r="T3840" s="198" t="s">
        <v>4891</v>
      </c>
      <c r="U3840" s="391"/>
      <c r="V3840" s="392"/>
      <c r="W3840" s="393"/>
      <c r="X3840" s="394"/>
      <c r="Y3840" s="394"/>
    </row>
    <row r="3841" s="3" customFormat="1" customHeight="1" spans="1:25">
      <c r="A3841" s="154" t="s">
        <v>444</v>
      </c>
      <c r="B3841" s="292" t="s">
        <v>4284</v>
      </c>
      <c r="C3841" s="292" t="s">
        <v>63</v>
      </c>
      <c r="D3841" s="292" t="s">
        <v>3038</v>
      </c>
      <c r="E3841" s="153" t="s">
        <v>4777</v>
      </c>
      <c r="F3841" s="154" t="s">
        <v>4778</v>
      </c>
      <c r="G3841" s="154" t="s">
        <v>88</v>
      </c>
      <c r="H3841" s="110" t="s">
        <v>4888</v>
      </c>
      <c r="I3841" s="30" t="e">
        <f>VLOOKUP(H3841,'合同高级查询数据-4月返'!A:A,1,FALSE)</f>
        <v>#N/A</v>
      </c>
      <c r="J3841" s="31" t="s">
        <v>3488</v>
      </c>
      <c r="K3841" s="154" t="s">
        <v>4880</v>
      </c>
      <c r="L3841" s="293"/>
      <c r="M3841" s="113" t="s">
        <v>4870</v>
      </c>
      <c r="N3841" s="146">
        <v>44865.4563773148</v>
      </c>
      <c r="O3841" s="146" t="s">
        <v>4892</v>
      </c>
      <c r="P3841" s="384">
        <v>4100</v>
      </c>
      <c r="Q3841" s="389">
        <v>-1</v>
      </c>
      <c r="R3841" s="157">
        <f t="shared" si="124"/>
        <v>-4100</v>
      </c>
      <c r="S3841" s="277">
        <v>202304</v>
      </c>
      <c r="T3841" s="198" t="s">
        <v>4893</v>
      </c>
      <c r="U3841" s="391"/>
      <c r="V3841" s="392"/>
      <c r="W3841" s="393"/>
      <c r="X3841" s="394"/>
      <c r="Y3841" s="394"/>
    </row>
    <row r="3842" s="3" customFormat="1" customHeight="1" spans="1:25">
      <c r="A3842" s="154" t="s">
        <v>444</v>
      </c>
      <c r="B3842" s="292" t="s">
        <v>4284</v>
      </c>
      <c r="C3842" s="292" t="s">
        <v>63</v>
      </c>
      <c r="D3842" s="292" t="s">
        <v>3038</v>
      </c>
      <c r="E3842" s="153" t="s">
        <v>4777</v>
      </c>
      <c r="F3842" s="154" t="s">
        <v>4778</v>
      </c>
      <c r="G3842" s="154" t="s">
        <v>88</v>
      </c>
      <c r="H3842" s="110" t="s">
        <v>4868</v>
      </c>
      <c r="I3842" s="30" t="e">
        <f>VLOOKUP(H3842,'合同高级查询数据-4月返'!A:A,1,FALSE)</f>
        <v>#N/A</v>
      </c>
      <c r="J3842" s="31" t="s">
        <v>3488</v>
      </c>
      <c r="K3842" s="154" t="s">
        <v>4880</v>
      </c>
      <c r="L3842" s="293"/>
      <c r="M3842" s="113" t="s">
        <v>4870</v>
      </c>
      <c r="N3842" s="146">
        <v>44865.4563773148</v>
      </c>
      <c r="O3842" s="146" t="s">
        <v>4892</v>
      </c>
      <c r="P3842" s="384">
        <v>4100</v>
      </c>
      <c r="Q3842" s="389">
        <v>-1</v>
      </c>
      <c r="R3842" s="157">
        <f t="shared" si="124"/>
        <v>-4100</v>
      </c>
      <c r="S3842" s="277">
        <v>202304</v>
      </c>
      <c r="T3842" s="416" t="s">
        <v>4894</v>
      </c>
      <c r="U3842" s="391"/>
      <c r="V3842" s="392"/>
      <c r="W3842" s="393"/>
      <c r="X3842" s="394"/>
      <c r="Y3842" s="394"/>
    </row>
    <row r="3843" s="3" customFormat="1" customHeight="1" spans="1:25">
      <c r="A3843" s="154" t="s">
        <v>444</v>
      </c>
      <c r="B3843" s="292" t="s">
        <v>4284</v>
      </c>
      <c r="C3843" s="292" t="s">
        <v>63</v>
      </c>
      <c r="D3843" s="292" t="s">
        <v>3038</v>
      </c>
      <c r="E3843" s="153" t="s">
        <v>4777</v>
      </c>
      <c r="F3843" s="154" t="s">
        <v>4778</v>
      </c>
      <c r="G3843" s="154" t="s">
        <v>88</v>
      </c>
      <c r="H3843" s="110" t="s">
        <v>4868</v>
      </c>
      <c r="I3843" s="30" t="e">
        <f>VLOOKUP(H3843,'合同高级查询数据-4月返'!A:A,1,FALSE)</f>
        <v>#N/A</v>
      </c>
      <c r="J3843" s="31" t="s">
        <v>3488</v>
      </c>
      <c r="K3843" s="154" t="s">
        <v>4895</v>
      </c>
      <c r="L3843" s="293"/>
      <c r="M3843" s="113" t="s">
        <v>4896</v>
      </c>
      <c r="N3843" s="146" t="s">
        <v>558</v>
      </c>
      <c r="O3843" s="146" t="s">
        <v>92</v>
      </c>
      <c r="P3843" s="384">
        <v>4000</v>
      </c>
      <c r="Q3843" s="389">
        <v>279</v>
      </c>
      <c r="R3843" s="390">
        <f t="shared" ref="R3843:R3867" si="125">ROUND(P3843*Q3843,2)</f>
        <v>1116000</v>
      </c>
      <c r="S3843" s="277">
        <v>202304</v>
      </c>
      <c r="T3843" s="198"/>
      <c r="U3843" s="391"/>
      <c r="V3843" s="392"/>
      <c r="W3843" s="393"/>
      <c r="X3843" s="394"/>
      <c r="Y3843" s="394"/>
    </row>
    <row r="3844" s="3" customFormat="1" customHeight="1" spans="1:25">
      <c r="A3844" s="154" t="s">
        <v>444</v>
      </c>
      <c r="B3844" s="292" t="s">
        <v>4284</v>
      </c>
      <c r="C3844" s="292" t="s">
        <v>63</v>
      </c>
      <c r="D3844" s="292" t="s">
        <v>3038</v>
      </c>
      <c r="E3844" s="153" t="s">
        <v>4777</v>
      </c>
      <c r="F3844" s="154" t="s">
        <v>4778</v>
      </c>
      <c r="G3844" s="154" t="s">
        <v>88</v>
      </c>
      <c r="H3844" s="110" t="s">
        <v>4868</v>
      </c>
      <c r="I3844" s="30" t="e">
        <f>VLOOKUP(H3844,'合同高级查询数据-4月返'!A:A,1,FALSE)</f>
        <v>#N/A</v>
      </c>
      <c r="J3844" s="31" t="s">
        <v>3488</v>
      </c>
      <c r="K3844" s="154" t="s">
        <v>4895</v>
      </c>
      <c r="L3844" s="293"/>
      <c r="M3844" s="113" t="s">
        <v>4896</v>
      </c>
      <c r="N3844" s="146" t="s">
        <v>558</v>
      </c>
      <c r="O3844" s="146" t="s">
        <v>561</v>
      </c>
      <c r="P3844" s="384">
        <v>8000</v>
      </c>
      <c r="Q3844" s="389">
        <v>4</v>
      </c>
      <c r="R3844" s="390">
        <f t="shared" si="125"/>
        <v>32000</v>
      </c>
      <c r="S3844" s="277">
        <v>202304</v>
      </c>
      <c r="T3844" s="198" t="s">
        <v>4897</v>
      </c>
      <c r="U3844" s="391"/>
      <c r="V3844" s="392"/>
      <c r="W3844" s="393"/>
      <c r="X3844" s="394"/>
      <c r="Y3844" s="394"/>
    </row>
    <row r="3845" s="3" customFormat="1" customHeight="1" spans="1:25">
      <c r="A3845" s="154" t="s">
        <v>444</v>
      </c>
      <c r="B3845" s="292" t="s">
        <v>4284</v>
      </c>
      <c r="C3845" s="292" t="s">
        <v>63</v>
      </c>
      <c r="D3845" s="292" t="s">
        <v>3038</v>
      </c>
      <c r="E3845" s="153" t="s">
        <v>4777</v>
      </c>
      <c r="F3845" s="154" t="s">
        <v>4778</v>
      </c>
      <c r="G3845" s="154" t="s">
        <v>88</v>
      </c>
      <c r="H3845" s="110" t="s">
        <v>4868</v>
      </c>
      <c r="I3845" s="30" t="e">
        <f>VLOOKUP(H3845,'合同高级查询数据-4月返'!A:A,1,FALSE)</f>
        <v>#N/A</v>
      </c>
      <c r="J3845" s="31" t="s">
        <v>3488</v>
      </c>
      <c r="K3845" s="154" t="s">
        <v>4895</v>
      </c>
      <c r="L3845" s="293"/>
      <c r="M3845" s="113" t="s">
        <v>4896</v>
      </c>
      <c r="N3845" s="146" t="s">
        <v>558</v>
      </c>
      <c r="O3845" s="146" t="s">
        <v>574</v>
      </c>
      <c r="P3845" s="384">
        <v>18000</v>
      </c>
      <c r="Q3845" s="389">
        <v>6</v>
      </c>
      <c r="R3845" s="390">
        <f t="shared" si="125"/>
        <v>108000</v>
      </c>
      <c r="S3845" s="277">
        <v>202304</v>
      </c>
      <c r="T3845" s="198" t="s">
        <v>4898</v>
      </c>
      <c r="U3845" s="391"/>
      <c r="V3845" s="392"/>
      <c r="W3845" s="393"/>
      <c r="X3845" s="394"/>
      <c r="Y3845" s="394"/>
    </row>
    <row r="3846" s="3" customFormat="1" customHeight="1" spans="1:25">
      <c r="A3846" s="154" t="s">
        <v>444</v>
      </c>
      <c r="B3846" s="292" t="s">
        <v>4284</v>
      </c>
      <c r="C3846" s="292" t="s">
        <v>63</v>
      </c>
      <c r="D3846" s="292" t="s">
        <v>3038</v>
      </c>
      <c r="E3846" s="153" t="s">
        <v>4777</v>
      </c>
      <c r="F3846" s="154" t="s">
        <v>4778</v>
      </c>
      <c r="G3846" s="154" t="s">
        <v>88</v>
      </c>
      <c r="H3846" s="110" t="s">
        <v>4899</v>
      </c>
      <c r="I3846" s="30" t="e">
        <f>VLOOKUP(H3846,'合同高级查询数据-4月返'!A:A,1,FALSE)</f>
        <v>#N/A</v>
      </c>
      <c r="J3846" s="31" t="s">
        <v>3488</v>
      </c>
      <c r="K3846" s="154" t="s">
        <v>4895</v>
      </c>
      <c r="L3846" s="293"/>
      <c r="M3846" s="113" t="s">
        <v>4896</v>
      </c>
      <c r="N3846" s="146">
        <v>43922</v>
      </c>
      <c r="O3846" s="146" t="s">
        <v>600</v>
      </c>
      <c r="P3846" s="384">
        <v>3000</v>
      </c>
      <c r="Q3846" s="389">
        <v>4</v>
      </c>
      <c r="R3846" s="390">
        <f t="shared" si="125"/>
        <v>12000</v>
      </c>
      <c r="S3846" s="277">
        <v>202304</v>
      </c>
      <c r="T3846" s="198" t="s">
        <v>4900</v>
      </c>
      <c r="U3846" s="391"/>
      <c r="V3846" s="392"/>
      <c r="W3846" s="393"/>
      <c r="X3846" s="394"/>
      <c r="Y3846" s="394"/>
    </row>
    <row r="3847" s="3" customFormat="1" customHeight="1" spans="1:25">
      <c r="A3847" s="154" t="s">
        <v>444</v>
      </c>
      <c r="B3847" s="292" t="s">
        <v>4284</v>
      </c>
      <c r="C3847" s="292" t="s">
        <v>63</v>
      </c>
      <c r="D3847" s="292" t="s">
        <v>3038</v>
      </c>
      <c r="E3847" s="153" t="s">
        <v>4777</v>
      </c>
      <c r="F3847" s="154" t="s">
        <v>4778</v>
      </c>
      <c r="G3847" s="154" t="s">
        <v>88</v>
      </c>
      <c r="H3847" s="110" t="s">
        <v>4868</v>
      </c>
      <c r="I3847" s="30" t="e">
        <f>VLOOKUP(H3847,'合同高级查询数据-4月返'!A:A,1,FALSE)</f>
        <v>#N/A</v>
      </c>
      <c r="J3847" s="31" t="s">
        <v>3488</v>
      </c>
      <c r="K3847" s="154" t="s">
        <v>4895</v>
      </c>
      <c r="L3847" s="293"/>
      <c r="M3847" s="113" t="s">
        <v>4896</v>
      </c>
      <c r="N3847" s="146" t="s">
        <v>4901</v>
      </c>
      <c r="O3847" s="146" t="s">
        <v>92</v>
      </c>
      <c r="P3847" s="384">
        <v>4000</v>
      </c>
      <c r="Q3847" s="389">
        <v>-1</v>
      </c>
      <c r="R3847" s="390">
        <f t="shared" si="125"/>
        <v>-4000</v>
      </c>
      <c r="S3847" s="277">
        <v>202304</v>
      </c>
      <c r="T3847" s="198" t="s">
        <v>4902</v>
      </c>
      <c r="U3847" s="391"/>
      <c r="V3847" s="392"/>
      <c r="W3847" s="393"/>
      <c r="X3847" s="394"/>
      <c r="Y3847" s="394"/>
    </row>
    <row r="3848" s="3" customFormat="1" customHeight="1" spans="1:25">
      <c r="A3848" s="154" t="s">
        <v>444</v>
      </c>
      <c r="B3848" s="292" t="s">
        <v>4284</v>
      </c>
      <c r="C3848" s="292" t="s">
        <v>63</v>
      </c>
      <c r="D3848" s="292" t="s">
        <v>3038</v>
      </c>
      <c r="E3848" s="153" t="s">
        <v>4777</v>
      </c>
      <c r="F3848" s="154" t="s">
        <v>4778</v>
      </c>
      <c r="G3848" s="154" t="s">
        <v>88</v>
      </c>
      <c r="H3848" s="110" t="s">
        <v>4868</v>
      </c>
      <c r="I3848" s="30" t="e">
        <f>VLOOKUP(H3848,'合同高级查询数据-4月返'!A:A,1,FALSE)</f>
        <v>#N/A</v>
      </c>
      <c r="J3848" s="31" t="s">
        <v>3488</v>
      </c>
      <c r="K3848" s="154" t="s">
        <v>4895</v>
      </c>
      <c r="L3848" s="293"/>
      <c r="M3848" s="113" t="s">
        <v>4896</v>
      </c>
      <c r="N3848" s="146">
        <v>44930</v>
      </c>
      <c r="O3848" s="146" t="s">
        <v>92</v>
      </c>
      <c r="P3848" s="384">
        <v>4000</v>
      </c>
      <c r="Q3848" s="389">
        <v>-251</v>
      </c>
      <c r="R3848" s="126">
        <f t="shared" si="125"/>
        <v>-1004000</v>
      </c>
      <c r="S3848" s="277">
        <v>202304</v>
      </c>
      <c r="T3848" s="416" t="s">
        <v>4903</v>
      </c>
      <c r="U3848" s="391"/>
      <c r="V3848" s="392"/>
      <c r="W3848" s="393"/>
      <c r="X3848" s="394"/>
      <c r="Y3848" s="394"/>
    </row>
    <row r="3849" s="3" customFormat="1" customHeight="1" spans="1:25">
      <c r="A3849" s="154" t="s">
        <v>444</v>
      </c>
      <c r="B3849" s="292" t="s">
        <v>4284</v>
      </c>
      <c r="C3849" s="292" t="s">
        <v>63</v>
      </c>
      <c r="D3849" s="292" t="s">
        <v>3038</v>
      </c>
      <c r="E3849" s="153" t="s">
        <v>4777</v>
      </c>
      <c r="F3849" s="154" t="s">
        <v>4778</v>
      </c>
      <c r="G3849" s="154" t="s">
        <v>88</v>
      </c>
      <c r="H3849" s="110" t="s">
        <v>4899</v>
      </c>
      <c r="I3849" s="30" t="e">
        <f>VLOOKUP(H3849,'合同高级查询数据-4月返'!A:A,1,FALSE)</f>
        <v>#N/A</v>
      </c>
      <c r="J3849" s="31" t="s">
        <v>3488</v>
      </c>
      <c r="K3849" s="154" t="s">
        <v>4895</v>
      </c>
      <c r="L3849" s="293"/>
      <c r="M3849" s="113" t="s">
        <v>4896</v>
      </c>
      <c r="N3849" s="146">
        <v>44942</v>
      </c>
      <c r="O3849" s="146" t="s">
        <v>600</v>
      </c>
      <c r="P3849" s="384">
        <v>3000</v>
      </c>
      <c r="Q3849" s="389">
        <v>-4</v>
      </c>
      <c r="R3849" s="126">
        <f t="shared" si="125"/>
        <v>-12000</v>
      </c>
      <c r="S3849" s="277">
        <v>202304</v>
      </c>
      <c r="T3849" s="416" t="s">
        <v>4904</v>
      </c>
      <c r="U3849" s="391"/>
      <c r="V3849" s="392"/>
      <c r="W3849" s="393"/>
      <c r="X3849" s="394"/>
      <c r="Y3849" s="394"/>
    </row>
    <row r="3850" s="3" customFormat="1" customHeight="1" spans="1:25">
      <c r="A3850" s="154" t="s">
        <v>444</v>
      </c>
      <c r="B3850" s="292" t="s">
        <v>4284</v>
      </c>
      <c r="C3850" s="292" t="s">
        <v>63</v>
      </c>
      <c r="D3850" s="292" t="s">
        <v>3038</v>
      </c>
      <c r="E3850" s="153" t="s">
        <v>4777</v>
      </c>
      <c r="F3850" s="154" t="s">
        <v>4778</v>
      </c>
      <c r="G3850" s="154" t="s">
        <v>88</v>
      </c>
      <c r="H3850" s="110" t="s">
        <v>4868</v>
      </c>
      <c r="I3850" s="30" t="e">
        <f>VLOOKUP(H3850,'合同高级查询数据-4月返'!A:A,1,FALSE)</f>
        <v>#N/A</v>
      </c>
      <c r="J3850" s="31" t="s">
        <v>3488</v>
      </c>
      <c r="K3850" s="154" t="s">
        <v>4895</v>
      </c>
      <c r="L3850" s="293"/>
      <c r="M3850" s="113" t="s">
        <v>4896</v>
      </c>
      <c r="N3850" s="146">
        <v>44942</v>
      </c>
      <c r="O3850" s="146" t="s">
        <v>92</v>
      </c>
      <c r="P3850" s="384">
        <v>4000</v>
      </c>
      <c r="Q3850" s="389">
        <v>-27</v>
      </c>
      <c r="R3850" s="126">
        <f t="shared" si="125"/>
        <v>-108000</v>
      </c>
      <c r="S3850" s="277">
        <v>202304</v>
      </c>
      <c r="T3850" s="416" t="s">
        <v>4905</v>
      </c>
      <c r="U3850" s="391"/>
      <c r="V3850" s="392"/>
      <c r="W3850" s="393"/>
      <c r="X3850" s="394"/>
      <c r="Y3850" s="394"/>
    </row>
    <row r="3851" s="3" customFormat="1" customHeight="1" spans="1:25">
      <c r="A3851" s="154" t="s">
        <v>444</v>
      </c>
      <c r="B3851" s="292" t="s">
        <v>4284</v>
      </c>
      <c r="C3851" s="292" t="s">
        <v>63</v>
      </c>
      <c r="D3851" s="292" t="s">
        <v>3038</v>
      </c>
      <c r="E3851" s="153" t="s">
        <v>4777</v>
      </c>
      <c r="F3851" s="154" t="s">
        <v>4778</v>
      </c>
      <c r="G3851" s="154" t="s">
        <v>88</v>
      </c>
      <c r="H3851" s="110" t="s">
        <v>4868</v>
      </c>
      <c r="I3851" s="30" t="e">
        <f>VLOOKUP(H3851,'合同高级查询数据-4月返'!A:A,1,FALSE)</f>
        <v>#N/A</v>
      </c>
      <c r="J3851" s="31" t="s">
        <v>3488</v>
      </c>
      <c r="K3851" s="154" t="s">
        <v>4895</v>
      </c>
      <c r="L3851" s="293"/>
      <c r="M3851" s="113" t="s">
        <v>4896</v>
      </c>
      <c r="N3851" s="146">
        <v>44942</v>
      </c>
      <c r="O3851" s="146" t="s">
        <v>561</v>
      </c>
      <c r="P3851" s="384">
        <v>8000</v>
      </c>
      <c r="Q3851" s="389">
        <v>-2</v>
      </c>
      <c r="R3851" s="126">
        <f t="shared" si="125"/>
        <v>-16000</v>
      </c>
      <c r="S3851" s="277">
        <v>202304</v>
      </c>
      <c r="T3851" s="416" t="s">
        <v>4906</v>
      </c>
      <c r="U3851" s="391"/>
      <c r="V3851" s="392"/>
      <c r="W3851" s="393"/>
      <c r="X3851" s="394"/>
      <c r="Y3851" s="394"/>
    </row>
    <row r="3852" s="3" customFormat="1" customHeight="1" spans="1:25">
      <c r="A3852" s="154" t="s">
        <v>444</v>
      </c>
      <c r="B3852" s="292" t="s">
        <v>4284</v>
      </c>
      <c r="C3852" s="292" t="s">
        <v>63</v>
      </c>
      <c r="D3852" s="292" t="s">
        <v>3038</v>
      </c>
      <c r="E3852" s="153" t="s">
        <v>4777</v>
      </c>
      <c r="F3852" s="154" t="s">
        <v>4778</v>
      </c>
      <c r="G3852" s="154" t="s">
        <v>88</v>
      </c>
      <c r="H3852" s="110" t="s">
        <v>4868</v>
      </c>
      <c r="I3852" s="30" t="e">
        <f>VLOOKUP(H3852,'合同高级查询数据-4月返'!A:A,1,FALSE)</f>
        <v>#N/A</v>
      </c>
      <c r="J3852" s="31" t="s">
        <v>3488</v>
      </c>
      <c r="K3852" s="154" t="s">
        <v>4895</v>
      </c>
      <c r="L3852" s="293"/>
      <c r="M3852" s="113" t="s">
        <v>4896</v>
      </c>
      <c r="N3852" s="146">
        <v>44942</v>
      </c>
      <c r="O3852" s="146" t="s">
        <v>574</v>
      </c>
      <c r="P3852" s="384">
        <v>18000</v>
      </c>
      <c r="Q3852" s="389">
        <v>-2</v>
      </c>
      <c r="R3852" s="126">
        <f t="shared" si="125"/>
        <v>-36000</v>
      </c>
      <c r="S3852" s="277">
        <v>202304</v>
      </c>
      <c r="T3852" s="416" t="s">
        <v>4907</v>
      </c>
      <c r="U3852" s="391"/>
      <c r="V3852" s="392"/>
      <c r="W3852" s="393"/>
      <c r="X3852" s="394"/>
      <c r="Y3852" s="394"/>
    </row>
    <row r="3853" s="3" customFormat="1" customHeight="1" spans="1:25">
      <c r="A3853" s="135" t="s">
        <v>444</v>
      </c>
      <c r="B3853" s="292" t="s">
        <v>4284</v>
      </c>
      <c r="C3853" s="134" t="s">
        <v>63</v>
      </c>
      <c r="D3853" s="292" t="s">
        <v>3038</v>
      </c>
      <c r="E3853" s="170" t="s">
        <v>4777</v>
      </c>
      <c r="F3853" s="135" t="s">
        <v>4778</v>
      </c>
      <c r="G3853" s="135" t="s">
        <v>346</v>
      </c>
      <c r="H3853" s="110" t="s">
        <v>4908</v>
      </c>
      <c r="I3853" s="30" t="e">
        <f>VLOOKUP(H3853,'合同高级查询数据-4月返'!A:A,1,FALSE)</f>
        <v>#N/A</v>
      </c>
      <c r="J3853" s="31" t="s">
        <v>346</v>
      </c>
      <c r="K3853" s="135" t="s">
        <v>4909</v>
      </c>
      <c r="L3853" s="415"/>
      <c r="M3853" s="113"/>
      <c r="N3853" s="146">
        <v>44105</v>
      </c>
      <c r="O3853" s="146" t="s">
        <v>486</v>
      </c>
      <c r="P3853" s="384">
        <v>5800</v>
      </c>
      <c r="Q3853" s="410">
        <v>1</v>
      </c>
      <c r="R3853" s="157">
        <f t="shared" si="125"/>
        <v>5800</v>
      </c>
      <c r="S3853" s="277">
        <v>202304</v>
      </c>
      <c r="T3853" s="150" t="s">
        <v>4910</v>
      </c>
      <c r="U3853" s="391"/>
      <c r="V3853" s="392"/>
      <c r="W3853" s="391"/>
      <c r="X3853" s="394"/>
      <c r="Y3853" s="403"/>
    </row>
    <row r="3854" s="3" customFormat="1" customHeight="1" spans="1:25">
      <c r="A3854" s="135" t="s">
        <v>444</v>
      </c>
      <c r="B3854" s="292" t="s">
        <v>4284</v>
      </c>
      <c r="C3854" s="134" t="s">
        <v>63</v>
      </c>
      <c r="D3854" s="292" t="s">
        <v>3038</v>
      </c>
      <c r="E3854" s="170" t="s">
        <v>4777</v>
      </c>
      <c r="F3854" s="135" t="s">
        <v>4778</v>
      </c>
      <c r="G3854" s="135" t="s">
        <v>346</v>
      </c>
      <c r="H3854" s="110" t="s">
        <v>4911</v>
      </c>
      <c r="I3854" s="30" t="e">
        <f>VLOOKUP(H3854,'合同高级查询数据-4月返'!A:A,1,FALSE)</f>
        <v>#N/A</v>
      </c>
      <c r="J3854" s="31" t="s">
        <v>346</v>
      </c>
      <c r="K3854" s="135" t="s">
        <v>4912</v>
      </c>
      <c r="L3854" s="415"/>
      <c r="M3854" s="113"/>
      <c r="N3854" s="146">
        <v>44105</v>
      </c>
      <c r="O3854" s="146" t="s">
        <v>356</v>
      </c>
      <c r="P3854" s="384">
        <v>1200</v>
      </c>
      <c r="Q3854" s="410">
        <v>1</v>
      </c>
      <c r="R3854" s="157">
        <f t="shared" si="125"/>
        <v>1200</v>
      </c>
      <c r="S3854" s="277">
        <v>202304</v>
      </c>
      <c r="T3854" s="150" t="s">
        <v>4913</v>
      </c>
      <c r="U3854" s="391"/>
      <c r="V3854" s="392"/>
      <c r="W3854" s="391"/>
      <c r="X3854" s="394"/>
      <c r="Y3854" s="403"/>
    </row>
    <row r="3855" s="3" customFormat="1" customHeight="1" spans="1:25">
      <c r="A3855" s="135" t="s">
        <v>444</v>
      </c>
      <c r="B3855" s="292" t="s">
        <v>4284</v>
      </c>
      <c r="C3855" s="134" t="s">
        <v>63</v>
      </c>
      <c r="D3855" s="292" t="s">
        <v>3038</v>
      </c>
      <c r="E3855" s="170" t="s">
        <v>4777</v>
      </c>
      <c r="F3855" s="135" t="s">
        <v>4778</v>
      </c>
      <c r="G3855" s="135" t="s">
        <v>346</v>
      </c>
      <c r="H3855" s="110" t="s">
        <v>4911</v>
      </c>
      <c r="I3855" s="30" t="e">
        <f>VLOOKUP(H3855,'合同高级查询数据-4月返'!A:A,1,FALSE)</f>
        <v>#N/A</v>
      </c>
      <c r="J3855" s="31" t="s">
        <v>346</v>
      </c>
      <c r="K3855" s="135" t="s">
        <v>4912</v>
      </c>
      <c r="L3855" s="415"/>
      <c r="M3855" s="113"/>
      <c r="N3855" s="146">
        <v>44105</v>
      </c>
      <c r="O3855" s="146" t="s">
        <v>353</v>
      </c>
      <c r="P3855" s="384">
        <v>800</v>
      </c>
      <c r="Q3855" s="410">
        <v>1</v>
      </c>
      <c r="R3855" s="157">
        <f t="shared" si="125"/>
        <v>800</v>
      </c>
      <c r="S3855" s="277">
        <v>202304</v>
      </c>
      <c r="T3855" s="150" t="s">
        <v>4914</v>
      </c>
      <c r="U3855" s="391"/>
      <c r="V3855" s="392"/>
      <c r="W3855" s="391"/>
      <c r="X3855" s="394"/>
      <c r="Y3855" s="403"/>
    </row>
    <row r="3856" s="3" customFormat="1" customHeight="1" spans="1:25">
      <c r="A3856" s="135" t="s">
        <v>444</v>
      </c>
      <c r="B3856" s="292" t="s">
        <v>4284</v>
      </c>
      <c r="C3856" s="134" t="s">
        <v>63</v>
      </c>
      <c r="D3856" s="292" t="s">
        <v>3038</v>
      </c>
      <c r="E3856" s="170" t="s">
        <v>4777</v>
      </c>
      <c r="F3856" s="135" t="s">
        <v>4778</v>
      </c>
      <c r="G3856" s="135" t="s">
        <v>346</v>
      </c>
      <c r="H3856" s="110" t="s">
        <v>4911</v>
      </c>
      <c r="I3856" s="30" t="e">
        <f>VLOOKUP(H3856,'合同高级查询数据-4月返'!A:A,1,FALSE)</f>
        <v>#N/A</v>
      </c>
      <c r="J3856" s="31" t="s">
        <v>346</v>
      </c>
      <c r="K3856" s="135" t="s">
        <v>4912</v>
      </c>
      <c r="L3856" s="415"/>
      <c r="M3856" s="113"/>
      <c r="N3856" s="146">
        <v>44834</v>
      </c>
      <c r="O3856" s="146" t="s">
        <v>353</v>
      </c>
      <c r="P3856" s="384">
        <v>800</v>
      </c>
      <c r="Q3856" s="410">
        <v>-1</v>
      </c>
      <c r="R3856" s="157">
        <f t="shared" si="125"/>
        <v>-800</v>
      </c>
      <c r="S3856" s="277">
        <v>202304</v>
      </c>
      <c r="T3856" s="150" t="s">
        <v>4915</v>
      </c>
      <c r="U3856" s="391"/>
      <c r="V3856" s="392"/>
      <c r="W3856" s="391"/>
      <c r="X3856" s="394"/>
      <c r="Y3856" s="403"/>
    </row>
    <row r="3857" s="3" customFormat="1" customHeight="1" spans="1:25">
      <c r="A3857" s="135" t="s">
        <v>444</v>
      </c>
      <c r="B3857" s="292" t="s">
        <v>4284</v>
      </c>
      <c r="C3857" s="134" t="s">
        <v>63</v>
      </c>
      <c r="D3857" s="292" t="s">
        <v>3038</v>
      </c>
      <c r="E3857" s="170" t="s">
        <v>4777</v>
      </c>
      <c r="F3857" s="135" t="s">
        <v>4778</v>
      </c>
      <c r="G3857" s="135" t="s">
        <v>346</v>
      </c>
      <c r="H3857" s="110" t="s">
        <v>4911</v>
      </c>
      <c r="I3857" s="30" t="e">
        <f>VLOOKUP(H3857,'合同高级查询数据-4月返'!A:A,1,FALSE)</f>
        <v>#N/A</v>
      </c>
      <c r="J3857" s="31" t="s">
        <v>346</v>
      </c>
      <c r="K3857" s="135" t="s">
        <v>4916</v>
      </c>
      <c r="L3857" s="415"/>
      <c r="M3857" s="113"/>
      <c r="N3857" s="146">
        <v>45017</v>
      </c>
      <c r="O3857" s="146" t="s">
        <v>4917</v>
      </c>
      <c r="P3857" s="384">
        <v>4700</v>
      </c>
      <c r="Q3857" s="410">
        <v>1</v>
      </c>
      <c r="R3857" s="157">
        <f t="shared" si="125"/>
        <v>4700</v>
      </c>
      <c r="S3857" s="277">
        <v>202304</v>
      </c>
      <c r="T3857" s="150" t="s">
        <v>4918</v>
      </c>
      <c r="U3857" s="391"/>
      <c r="V3857" s="392"/>
      <c r="W3857" s="391"/>
      <c r="X3857" s="394"/>
      <c r="Y3857" s="403"/>
    </row>
    <row r="3858" s="5" customFormat="1" customHeight="1" spans="1:25">
      <c r="A3858" s="203" t="s">
        <v>444</v>
      </c>
      <c r="B3858" s="204" t="s">
        <v>4284</v>
      </c>
      <c r="C3858" s="204" t="s">
        <v>63</v>
      </c>
      <c r="D3858" s="204" t="s">
        <v>3038</v>
      </c>
      <c r="E3858" s="205" t="s">
        <v>4777</v>
      </c>
      <c r="F3858" s="203" t="s">
        <v>4778</v>
      </c>
      <c r="G3858" s="203" t="s">
        <v>346</v>
      </c>
      <c r="H3858" s="25" t="s">
        <v>4919</v>
      </c>
      <c r="I3858" s="46" t="e">
        <f>VLOOKUP(H3858,'合同高级查询数据-4月返'!A:A,1,FALSE)</f>
        <v>#N/A</v>
      </c>
      <c r="J3858" s="47" t="s">
        <v>346</v>
      </c>
      <c r="K3858" s="203" t="s">
        <v>4920</v>
      </c>
      <c r="L3858" s="206"/>
      <c r="M3858" s="49"/>
      <c r="N3858" s="73">
        <v>41950</v>
      </c>
      <c r="O3858" s="73" t="s">
        <v>1980</v>
      </c>
      <c r="P3858" s="383">
        <v>971090</v>
      </c>
      <c r="Q3858" s="385">
        <v>1</v>
      </c>
      <c r="R3858" s="207">
        <f t="shared" si="125"/>
        <v>971090</v>
      </c>
      <c r="S3858" s="279">
        <v>202304</v>
      </c>
      <c r="T3858" s="184" t="s">
        <v>4921</v>
      </c>
      <c r="U3858" s="213"/>
      <c r="V3858" s="387"/>
      <c r="W3858" s="214"/>
      <c r="X3858" s="388">
        <v>44197</v>
      </c>
      <c r="Y3858" s="388">
        <v>44561</v>
      </c>
    </row>
    <row r="3859" s="5" customFormat="1" customHeight="1" spans="1:25">
      <c r="A3859" s="203" t="s">
        <v>444</v>
      </c>
      <c r="B3859" s="204" t="s">
        <v>4284</v>
      </c>
      <c r="C3859" s="204" t="s">
        <v>63</v>
      </c>
      <c r="D3859" s="204" t="s">
        <v>3038</v>
      </c>
      <c r="E3859" s="205" t="s">
        <v>4777</v>
      </c>
      <c r="F3859" s="203" t="s">
        <v>4778</v>
      </c>
      <c r="G3859" s="203" t="s">
        <v>346</v>
      </c>
      <c r="H3859" s="25" t="s">
        <v>4919</v>
      </c>
      <c r="I3859" s="46" t="e">
        <f>VLOOKUP(H3859,'合同高级查询数据-4月返'!A:A,1,FALSE)</f>
        <v>#N/A</v>
      </c>
      <c r="J3859" s="47" t="s">
        <v>346</v>
      </c>
      <c r="K3859" s="203" t="s">
        <v>4920</v>
      </c>
      <c r="L3859" s="206"/>
      <c r="M3859" s="49"/>
      <c r="N3859" s="73">
        <v>44372</v>
      </c>
      <c r="O3859" s="73" t="s">
        <v>1980</v>
      </c>
      <c r="P3859" s="383">
        <v>971090</v>
      </c>
      <c r="Q3859" s="385">
        <v>-1</v>
      </c>
      <c r="R3859" s="207">
        <f t="shared" si="125"/>
        <v>-971090</v>
      </c>
      <c r="S3859" s="279">
        <v>202304</v>
      </c>
      <c r="T3859" s="184" t="s">
        <v>4922</v>
      </c>
      <c r="U3859" s="213"/>
      <c r="V3859" s="387"/>
      <c r="W3859" s="214"/>
      <c r="X3859" s="388">
        <v>44197</v>
      </c>
      <c r="Y3859" s="388">
        <v>44561</v>
      </c>
    </row>
    <row r="3860" s="5" customFormat="1" customHeight="1" spans="1:25">
      <c r="A3860" s="203" t="s">
        <v>444</v>
      </c>
      <c r="B3860" s="204" t="s">
        <v>4284</v>
      </c>
      <c r="C3860" s="204" t="s">
        <v>63</v>
      </c>
      <c r="D3860" s="204" t="s">
        <v>3038</v>
      </c>
      <c r="E3860" s="205" t="s">
        <v>4777</v>
      </c>
      <c r="F3860" s="203" t="s">
        <v>4923</v>
      </c>
      <c r="G3860" s="203" t="s">
        <v>88</v>
      </c>
      <c r="H3860" s="25" t="s">
        <v>4924</v>
      </c>
      <c r="I3860" s="46" t="e">
        <f>VLOOKUP(H3860,'合同高级查询数据-4月返'!A:A,1,FALSE)</f>
        <v>#N/A</v>
      </c>
      <c r="J3860" s="47" t="s">
        <v>90</v>
      </c>
      <c r="K3860" s="203" t="s">
        <v>4925</v>
      </c>
      <c r="L3860" s="206"/>
      <c r="M3860" s="49" t="s">
        <v>4926</v>
      </c>
      <c r="N3860" s="73" t="s">
        <v>558</v>
      </c>
      <c r="O3860" s="73" t="s">
        <v>507</v>
      </c>
      <c r="P3860" s="383">
        <v>1599</v>
      </c>
      <c r="Q3860" s="395">
        <v>1349</v>
      </c>
      <c r="R3860" s="207">
        <f t="shared" si="125"/>
        <v>2157051</v>
      </c>
      <c r="S3860" s="279">
        <v>202304</v>
      </c>
      <c r="T3860" s="184" t="s">
        <v>4927</v>
      </c>
      <c r="U3860" s="213"/>
      <c r="V3860" s="387"/>
      <c r="W3860" s="214"/>
      <c r="X3860" s="388">
        <v>44470</v>
      </c>
      <c r="Y3860" s="388">
        <v>46234</v>
      </c>
    </row>
    <row r="3861" s="5" customFormat="1" customHeight="1" spans="1:25">
      <c r="A3861" s="203" t="s">
        <v>444</v>
      </c>
      <c r="B3861" s="204" t="s">
        <v>4284</v>
      </c>
      <c r="C3861" s="204" t="s">
        <v>63</v>
      </c>
      <c r="D3861" s="204" t="s">
        <v>3038</v>
      </c>
      <c r="E3861" s="205" t="s">
        <v>4777</v>
      </c>
      <c r="F3861" s="203" t="s">
        <v>4923</v>
      </c>
      <c r="G3861" s="203" t="s">
        <v>88</v>
      </c>
      <c r="H3861" s="25" t="s">
        <v>4924</v>
      </c>
      <c r="I3861" s="46" t="e">
        <f>VLOOKUP(H3861,'合同高级查询数据-4月返'!A:A,1,FALSE)</f>
        <v>#N/A</v>
      </c>
      <c r="J3861" s="47" t="s">
        <v>90</v>
      </c>
      <c r="K3861" s="203" t="s">
        <v>4925</v>
      </c>
      <c r="L3861" s="206"/>
      <c r="M3861" s="49" t="s">
        <v>4926</v>
      </c>
      <c r="N3861" s="73">
        <v>43566.6820949074</v>
      </c>
      <c r="O3861" s="73" t="s">
        <v>507</v>
      </c>
      <c r="P3861" s="383">
        <v>1599</v>
      </c>
      <c r="Q3861" s="395">
        <v>2</v>
      </c>
      <c r="R3861" s="207">
        <f t="shared" si="125"/>
        <v>3198</v>
      </c>
      <c r="S3861" s="279">
        <v>202304</v>
      </c>
      <c r="T3861" s="184" t="s">
        <v>4928</v>
      </c>
      <c r="U3861" s="213"/>
      <c r="V3861" s="387"/>
      <c r="W3861" s="214"/>
      <c r="X3861" s="388">
        <v>44470</v>
      </c>
      <c r="Y3861" s="388">
        <v>46234</v>
      </c>
    </row>
    <row r="3862" s="5" customFormat="1" customHeight="1" spans="1:25">
      <c r="A3862" s="203" t="s">
        <v>444</v>
      </c>
      <c r="B3862" s="204" t="s">
        <v>4284</v>
      </c>
      <c r="C3862" s="204" t="s">
        <v>63</v>
      </c>
      <c r="D3862" s="204" t="s">
        <v>3038</v>
      </c>
      <c r="E3862" s="205" t="s">
        <v>4777</v>
      </c>
      <c r="F3862" s="203" t="s">
        <v>4923</v>
      </c>
      <c r="G3862" s="203" t="s">
        <v>88</v>
      </c>
      <c r="H3862" s="25" t="s">
        <v>4924</v>
      </c>
      <c r="I3862" s="46" t="e">
        <f>VLOOKUP(H3862,'合同高级查询数据-4月返'!A:A,1,FALSE)</f>
        <v>#N/A</v>
      </c>
      <c r="J3862" s="47" t="s">
        <v>90</v>
      </c>
      <c r="K3862" s="203" t="s">
        <v>4925</v>
      </c>
      <c r="L3862" s="206"/>
      <c r="M3862" s="49" t="s">
        <v>4926</v>
      </c>
      <c r="N3862" s="73">
        <v>43619.6820949074</v>
      </c>
      <c r="O3862" s="73" t="s">
        <v>507</v>
      </c>
      <c r="P3862" s="383">
        <v>1599</v>
      </c>
      <c r="Q3862" s="395">
        <v>8</v>
      </c>
      <c r="R3862" s="207">
        <f t="shared" si="125"/>
        <v>12792</v>
      </c>
      <c r="S3862" s="279">
        <v>202304</v>
      </c>
      <c r="T3862" s="184" t="s">
        <v>4929</v>
      </c>
      <c r="U3862" s="213"/>
      <c r="V3862" s="387"/>
      <c r="W3862" s="214"/>
      <c r="X3862" s="388">
        <v>44470</v>
      </c>
      <c r="Y3862" s="388">
        <v>46234</v>
      </c>
    </row>
    <row r="3863" s="5" customFormat="1" customHeight="1" spans="1:25">
      <c r="A3863" s="203" t="s">
        <v>444</v>
      </c>
      <c r="B3863" s="204" t="s">
        <v>4284</v>
      </c>
      <c r="C3863" s="204" t="s">
        <v>63</v>
      </c>
      <c r="D3863" s="204" t="s">
        <v>3038</v>
      </c>
      <c r="E3863" s="205" t="s">
        <v>4777</v>
      </c>
      <c r="F3863" s="203" t="s">
        <v>4923</v>
      </c>
      <c r="G3863" s="203" t="s">
        <v>88</v>
      </c>
      <c r="H3863" s="25" t="s">
        <v>4924</v>
      </c>
      <c r="I3863" s="46" t="e">
        <f>VLOOKUP(H3863,'合同高级查询数据-4月返'!A:A,1,FALSE)</f>
        <v>#N/A</v>
      </c>
      <c r="J3863" s="47" t="s">
        <v>90</v>
      </c>
      <c r="K3863" s="203" t="s">
        <v>4925</v>
      </c>
      <c r="L3863" s="206"/>
      <c r="M3863" s="49" t="s">
        <v>4926</v>
      </c>
      <c r="N3863" s="73">
        <v>43654</v>
      </c>
      <c r="O3863" s="73" t="s">
        <v>507</v>
      </c>
      <c r="P3863" s="383">
        <v>1599</v>
      </c>
      <c r="Q3863" s="395">
        <v>3</v>
      </c>
      <c r="R3863" s="207">
        <f t="shared" si="125"/>
        <v>4797</v>
      </c>
      <c r="S3863" s="279">
        <v>202304</v>
      </c>
      <c r="T3863" s="184" t="s">
        <v>4930</v>
      </c>
      <c r="U3863" s="213"/>
      <c r="V3863" s="387"/>
      <c r="W3863" s="214"/>
      <c r="X3863" s="388">
        <v>44470</v>
      </c>
      <c r="Y3863" s="388">
        <v>46234</v>
      </c>
    </row>
    <row r="3864" s="5" customFormat="1" customHeight="1" spans="1:25">
      <c r="A3864" s="203" t="s">
        <v>444</v>
      </c>
      <c r="B3864" s="204" t="s">
        <v>4284</v>
      </c>
      <c r="C3864" s="204" t="s">
        <v>63</v>
      </c>
      <c r="D3864" s="204" t="s">
        <v>3038</v>
      </c>
      <c r="E3864" s="205" t="s">
        <v>4777</v>
      </c>
      <c r="F3864" s="203" t="s">
        <v>4923</v>
      </c>
      <c r="G3864" s="203" t="s">
        <v>88</v>
      </c>
      <c r="H3864" s="25" t="s">
        <v>4924</v>
      </c>
      <c r="I3864" s="46" t="e">
        <f>VLOOKUP(H3864,'合同高级查询数据-4月返'!A:A,1,FALSE)</f>
        <v>#N/A</v>
      </c>
      <c r="J3864" s="47" t="s">
        <v>90</v>
      </c>
      <c r="K3864" s="203" t="s">
        <v>4925</v>
      </c>
      <c r="L3864" s="206"/>
      <c r="M3864" s="49" t="s">
        <v>4926</v>
      </c>
      <c r="N3864" s="73">
        <v>43692</v>
      </c>
      <c r="O3864" s="73" t="s">
        <v>507</v>
      </c>
      <c r="P3864" s="383">
        <v>1599</v>
      </c>
      <c r="Q3864" s="395">
        <v>1</v>
      </c>
      <c r="R3864" s="207">
        <f t="shared" si="125"/>
        <v>1599</v>
      </c>
      <c r="S3864" s="279">
        <v>202304</v>
      </c>
      <c r="T3864" s="184" t="s">
        <v>4931</v>
      </c>
      <c r="U3864" s="213"/>
      <c r="V3864" s="387"/>
      <c r="W3864" s="214"/>
      <c r="X3864" s="388">
        <v>44470</v>
      </c>
      <c r="Y3864" s="388">
        <v>46234</v>
      </c>
    </row>
    <row r="3865" s="5" customFormat="1" customHeight="1" spans="1:25">
      <c r="A3865" s="203" t="s">
        <v>444</v>
      </c>
      <c r="B3865" s="204" t="s">
        <v>4284</v>
      </c>
      <c r="C3865" s="204" t="s">
        <v>63</v>
      </c>
      <c r="D3865" s="204" t="s">
        <v>3038</v>
      </c>
      <c r="E3865" s="205" t="s">
        <v>4777</v>
      </c>
      <c r="F3865" s="203" t="s">
        <v>4923</v>
      </c>
      <c r="G3865" s="203" t="s">
        <v>88</v>
      </c>
      <c r="H3865" s="25" t="s">
        <v>4924</v>
      </c>
      <c r="I3865" s="46" t="e">
        <f>VLOOKUP(H3865,'合同高级查询数据-4月返'!A:A,1,FALSE)</f>
        <v>#N/A</v>
      </c>
      <c r="J3865" s="47" t="s">
        <v>90</v>
      </c>
      <c r="K3865" s="203" t="s">
        <v>4925</v>
      </c>
      <c r="L3865" s="206"/>
      <c r="M3865" s="49" t="s">
        <v>4926</v>
      </c>
      <c r="N3865" s="73">
        <v>43698</v>
      </c>
      <c r="O3865" s="73" t="s">
        <v>1419</v>
      </c>
      <c r="P3865" s="383">
        <v>0</v>
      </c>
      <c r="Q3865" s="395">
        <v>1</v>
      </c>
      <c r="R3865" s="207">
        <f t="shared" si="125"/>
        <v>0</v>
      </c>
      <c r="S3865" s="279">
        <v>202304</v>
      </c>
      <c r="T3865" s="184" t="s">
        <v>4932</v>
      </c>
      <c r="U3865" s="213"/>
      <c r="V3865" s="387"/>
      <c r="W3865" s="214"/>
      <c r="X3865" s="388">
        <v>44470</v>
      </c>
      <c r="Y3865" s="388">
        <v>46234</v>
      </c>
    </row>
    <row r="3866" s="5" customFormat="1" customHeight="1" spans="1:25">
      <c r="A3866" s="203" t="s">
        <v>444</v>
      </c>
      <c r="B3866" s="204" t="s">
        <v>4284</v>
      </c>
      <c r="C3866" s="204" t="s">
        <v>63</v>
      </c>
      <c r="D3866" s="204" t="s">
        <v>3038</v>
      </c>
      <c r="E3866" s="205" t="s">
        <v>4777</v>
      </c>
      <c r="F3866" s="203" t="s">
        <v>4923</v>
      </c>
      <c r="G3866" s="203" t="s">
        <v>88</v>
      </c>
      <c r="H3866" s="25" t="s">
        <v>4924</v>
      </c>
      <c r="I3866" s="46" t="e">
        <f>VLOOKUP(H3866,'合同高级查询数据-4月返'!A:A,1,FALSE)</f>
        <v>#N/A</v>
      </c>
      <c r="J3866" s="47" t="s">
        <v>90</v>
      </c>
      <c r="K3866" s="203" t="s">
        <v>4925</v>
      </c>
      <c r="L3866" s="206"/>
      <c r="M3866" s="49" t="s">
        <v>4926</v>
      </c>
      <c r="N3866" s="73">
        <v>43712</v>
      </c>
      <c r="O3866" s="73" t="s">
        <v>507</v>
      </c>
      <c r="P3866" s="383">
        <v>1599</v>
      </c>
      <c r="Q3866" s="395">
        <v>1</v>
      </c>
      <c r="R3866" s="207">
        <f t="shared" si="125"/>
        <v>1599</v>
      </c>
      <c r="S3866" s="279">
        <v>202304</v>
      </c>
      <c r="T3866" s="184" t="s">
        <v>4933</v>
      </c>
      <c r="U3866" s="213"/>
      <c r="V3866" s="387"/>
      <c r="W3866" s="214"/>
      <c r="X3866" s="388">
        <v>44470</v>
      </c>
      <c r="Y3866" s="388">
        <v>46234</v>
      </c>
    </row>
    <row r="3867" s="5" customFormat="1" customHeight="1" spans="1:25">
      <c r="A3867" s="203" t="s">
        <v>444</v>
      </c>
      <c r="B3867" s="204" t="s">
        <v>4284</v>
      </c>
      <c r="C3867" s="204" t="s">
        <v>63</v>
      </c>
      <c r="D3867" s="204" t="s">
        <v>3038</v>
      </c>
      <c r="E3867" s="205" t="s">
        <v>4777</v>
      </c>
      <c r="F3867" s="203" t="s">
        <v>4923</v>
      </c>
      <c r="G3867" s="203" t="s">
        <v>88</v>
      </c>
      <c r="H3867" s="25" t="s">
        <v>4924</v>
      </c>
      <c r="I3867" s="46" t="e">
        <f>VLOOKUP(H3867,'合同高级查询数据-4月返'!A:A,1,FALSE)</f>
        <v>#N/A</v>
      </c>
      <c r="J3867" s="47" t="s">
        <v>90</v>
      </c>
      <c r="K3867" s="203" t="s">
        <v>4925</v>
      </c>
      <c r="L3867" s="206"/>
      <c r="M3867" s="49" t="s">
        <v>4926</v>
      </c>
      <c r="N3867" s="73">
        <v>44091</v>
      </c>
      <c r="O3867" s="73" t="s">
        <v>507</v>
      </c>
      <c r="P3867" s="383">
        <v>1599</v>
      </c>
      <c r="Q3867" s="395">
        <v>2</v>
      </c>
      <c r="R3867" s="207">
        <f t="shared" si="125"/>
        <v>3198</v>
      </c>
      <c r="S3867" s="279">
        <v>202304</v>
      </c>
      <c r="T3867" s="184" t="s">
        <v>4934</v>
      </c>
      <c r="U3867" s="213"/>
      <c r="V3867" s="387"/>
      <c r="W3867" s="214"/>
      <c r="X3867" s="388">
        <v>44470</v>
      </c>
      <c r="Y3867" s="388">
        <v>46234</v>
      </c>
    </row>
    <row r="3868" s="5" customFormat="1" customHeight="1" spans="1:25">
      <c r="A3868" s="203" t="s">
        <v>444</v>
      </c>
      <c r="B3868" s="204" t="s">
        <v>4284</v>
      </c>
      <c r="C3868" s="204" t="s">
        <v>63</v>
      </c>
      <c r="D3868" s="204" t="s">
        <v>3038</v>
      </c>
      <c r="E3868" s="205" t="s">
        <v>4777</v>
      </c>
      <c r="F3868" s="203" t="s">
        <v>4923</v>
      </c>
      <c r="G3868" s="203" t="s">
        <v>88</v>
      </c>
      <c r="H3868" s="25" t="s">
        <v>4924</v>
      </c>
      <c r="I3868" s="46" t="e">
        <f>VLOOKUP(H3868,'合同高级查询数据-4月返'!A:A,1,FALSE)</f>
        <v>#N/A</v>
      </c>
      <c r="J3868" s="47" t="s">
        <v>90</v>
      </c>
      <c r="K3868" s="203" t="s">
        <v>4925</v>
      </c>
      <c r="L3868" s="206"/>
      <c r="M3868" s="49" t="s">
        <v>4926</v>
      </c>
      <c r="N3868" s="73">
        <v>44189</v>
      </c>
      <c r="O3868" s="73" t="s">
        <v>507</v>
      </c>
      <c r="P3868" s="383">
        <v>1599</v>
      </c>
      <c r="Q3868" s="395">
        <v>-1</v>
      </c>
      <c r="R3868" s="207">
        <f t="shared" ref="R3868:R3879" si="126">ROUND(Q3868*P3868,2)</f>
        <v>-1599</v>
      </c>
      <c r="S3868" s="279">
        <v>202304</v>
      </c>
      <c r="T3868" s="417" t="s">
        <v>4935</v>
      </c>
      <c r="U3868" s="213"/>
      <c r="V3868" s="387"/>
      <c r="W3868" s="214"/>
      <c r="X3868" s="388">
        <v>44470</v>
      </c>
      <c r="Y3868" s="388">
        <v>46234</v>
      </c>
    </row>
    <row r="3869" s="5" customFormat="1" customHeight="1" spans="1:25">
      <c r="A3869" s="203" t="s">
        <v>444</v>
      </c>
      <c r="B3869" s="204" t="s">
        <v>4284</v>
      </c>
      <c r="C3869" s="204" t="s">
        <v>63</v>
      </c>
      <c r="D3869" s="204" t="s">
        <v>3038</v>
      </c>
      <c r="E3869" s="205" t="s">
        <v>4777</v>
      </c>
      <c r="F3869" s="203" t="s">
        <v>4923</v>
      </c>
      <c r="G3869" s="203" t="s">
        <v>88</v>
      </c>
      <c r="H3869" s="25" t="s">
        <v>4924</v>
      </c>
      <c r="I3869" s="46" t="e">
        <f>VLOOKUP(H3869,'合同高级查询数据-4月返'!A:A,1,FALSE)</f>
        <v>#N/A</v>
      </c>
      <c r="J3869" s="47" t="s">
        <v>90</v>
      </c>
      <c r="K3869" s="203" t="s">
        <v>4925</v>
      </c>
      <c r="L3869" s="206"/>
      <c r="M3869" s="49" t="s">
        <v>4926</v>
      </c>
      <c r="N3869" s="73">
        <v>44200</v>
      </c>
      <c r="O3869" s="73" t="s">
        <v>507</v>
      </c>
      <c r="P3869" s="383">
        <v>1599</v>
      </c>
      <c r="Q3869" s="395">
        <v>-1</v>
      </c>
      <c r="R3869" s="207">
        <f t="shared" si="126"/>
        <v>-1599</v>
      </c>
      <c r="S3869" s="279">
        <v>202304</v>
      </c>
      <c r="T3869" s="184" t="s">
        <v>4936</v>
      </c>
      <c r="U3869" s="213"/>
      <c r="V3869" s="387"/>
      <c r="W3869" s="214"/>
      <c r="X3869" s="388">
        <v>44470</v>
      </c>
      <c r="Y3869" s="388">
        <v>46234</v>
      </c>
    </row>
    <row r="3870" s="5" customFormat="1" customHeight="1" spans="1:25">
      <c r="A3870" s="203" t="s">
        <v>444</v>
      </c>
      <c r="B3870" s="204" t="s">
        <v>4284</v>
      </c>
      <c r="C3870" s="204" t="s">
        <v>63</v>
      </c>
      <c r="D3870" s="204" t="s">
        <v>3038</v>
      </c>
      <c r="E3870" s="205" t="s">
        <v>4777</v>
      </c>
      <c r="F3870" s="203" t="s">
        <v>4923</v>
      </c>
      <c r="G3870" s="203" t="s">
        <v>88</v>
      </c>
      <c r="H3870" s="25" t="s">
        <v>4924</v>
      </c>
      <c r="I3870" s="46" t="e">
        <f>VLOOKUP(H3870,'合同高级查询数据-4月返'!A:A,1,FALSE)</f>
        <v>#N/A</v>
      </c>
      <c r="J3870" s="47" t="s">
        <v>90</v>
      </c>
      <c r="K3870" s="203" t="s">
        <v>4925</v>
      </c>
      <c r="L3870" s="206"/>
      <c r="M3870" s="49" t="s">
        <v>4926</v>
      </c>
      <c r="N3870" s="73">
        <v>44204</v>
      </c>
      <c r="O3870" s="73" t="s">
        <v>507</v>
      </c>
      <c r="P3870" s="383">
        <v>1599</v>
      </c>
      <c r="Q3870" s="395">
        <v>-6</v>
      </c>
      <c r="R3870" s="207">
        <f t="shared" si="126"/>
        <v>-9594</v>
      </c>
      <c r="S3870" s="279">
        <v>202304</v>
      </c>
      <c r="T3870" s="417" t="s">
        <v>4937</v>
      </c>
      <c r="U3870" s="213"/>
      <c r="V3870" s="387"/>
      <c r="W3870" s="214"/>
      <c r="X3870" s="388">
        <v>44470</v>
      </c>
      <c r="Y3870" s="388">
        <v>46234</v>
      </c>
    </row>
    <row r="3871" s="5" customFormat="1" customHeight="1" spans="1:25">
      <c r="A3871" s="203" t="s">
        <v>444</v>
      </c>
      <c r="B3871" s="204" t="s">
        <v>4284</v>
      </c>
      <c r="C3871" s="204" t="s">
        <v>63</v>
      </c>
      <c r="D3871" s="204" t="s">
        <v>3038</v>
      </c>
      <c r="E3871" s="205" t="s">
        <v>4777</v>
      </c>
      <c r="F3871" s="203" t="s">
        <v>4923</v>
      </c>
      <c r="G3871" s="203" t="s">
        <v>88</v>
      </c>
      <c r="H3871" s="25" t="s">
        <v>4924</v>
      </c>
      <c r="I3871" s="46" t="e">
        <f>VLOOKUP(H3871,'合同高级查询数据-4月返'!A:A,1,FALSE)</f>
        <v>#N/A</v>
      </c>
      <c r="J3871" s="47" t="s">
        <v>90</v>
      </c>
      <c r="K3871" s="203" t="s">
        <v>4925</v>
      </c>
      <c r="L3871" s="206"/>
      <c r="M3871" s="49" t="s">
        <v>4926</v>
      </c>
      <c r="N3871" s="73">
        <v>44215</v>
      </c>
      <c r="O3871" s="73" t="s">
        <v>507</v>
      </c>
      <c r="P3871" s="383">
        <v>1599</v>
      </c>
      <c r="Q3871" s="395">
        <v>-15</v>
      </c>
      <c r="R3871" s="207">
        <f t="shared" si="126"/>
        <v>-23985</v>
      </c>
      <c r="S3871" s="279">
        <v>202304</v>
      </c>
      <c r="T3871" s="417" t="s">
        <v>4938</v>
      </c>
      <c r="U3871" s="213"/>
      <c r="V3871" s="387"/>
      <c r="W3871" s="214"/>
      <c r="X3871" s="388">
        <v>44470</v>
      </c>
      <c r="Y3871" s="388">
        <v>46234</v>
      </c>
    </row>
    <row r="3872" s="5" customFormat="1" customHeight="1" spans="1:25">
      <c r="A3872" s="203" t="s">
        <v>444</v>
      </c>
      <c r="B3872" s="204" t="s">
        <v>4284</v>
      </c>
      <c r="C3872" s="204" t="s">
        <v>63</v>
      </c>
      <c r="D3872" s="204" t="s">
        <v>3038</v>
      </c>
      <c r="E3872" s="205" t="s">
        <v>4777</v>
      </c>
      <c r="F3872" s="203" t="s">
        <v>4923</v>
      </c>
      <c r="G3872" s="203" t="s">
        <v>88</v>
      </c>
      <c r="H3872" s="25" t="s">
        <v>4924</v>
      </c>
      <c r="I3872" s="46" t="e">
        <f>VLOOKUP(H3872,'合同高级查询数据-4月返'!A:A,1,FALSE)</f>
        <v>#N/A</v>
      </c>
      <c r="J3872" s="47" t="s">
        <v>90</v>
      </c>
      <c r="K3872" s="203" t="s">
        <v>4925</v>
      </c>
      <c r="L3872" s="206"/>
      <c r="M3872" s="49" t="s">
        <v>4926</v>
      </c>
      <c r="N3872" s="73">
        <v>44254</v>
      </c>
      <c r="O3872" s="73" t="s">
        <v>507</v>
      </c>
      <c r="P3872" s="383">
        <v>1599</v>
      </c>
      <c r="Q3872" s="395">
        <v>-5</v>
      </c>
      <c r="R3872" s="207">
        <f t="shared" si="126"/>
        <v>-7995</v>
      </c>
      <c r="S3872" s="279">
        <v>202304</v>
      </c>
      <c r="T3872" s="417" t="s">
        <v>4939</v>
      </c>
      <c r="U3872" s="213"/>
      <c r="V3872" s="387"/>
      <c r="W3872" s="214"/>
      <c r="X3872" s="388">
        <v>44470</v>
      </c>
      <c r="Y3872" s="388">
        <v>46234</v>
      </c>
    </row>
    <row r="3873" s="5" customFormat="1" customHeight="1" spans="1:25">
      <c r="A3873" s="203" t="s">
        <v>444</v>
      </c>
      <c r="B3873" s="204" t="s">
        <v>4284</v>
      </c>
      <c r="C3873" s="204" t="s">
        <v>63</v>
      </c>
      <c r="D3873" s="204" t="s">
        <v>3038</v>
      </c>
      <c r="E3873" s="205" t="s">
        <v>4777</v>
      </c>
      <c r="F3873" s="203" t="s">
        <v>4923</v>
      </c>
      <c r="G3873" s="203" t="s">
        <v>88</v>
      </c>
      <c r="H3873" s="25" t="s">
        <v>4924</v>
      </c>
      <c r="I3873" s="46" t="e">
        <f>VLOOKUP(H3873,'合同高级查询数据-4月返'!A:A,1,FALSE)</f>
        <v>#N/A</v>
      </c>
      <c r="J3873" s="47" t="s">
        <v>90</v>
      </c>
      <c r="K3873" s="203" t="s">
        <v>4925</v>
      </c>
      <c r="L3873" s="206"/>
      <c r="M3873" s="49" t="s">
        <v>4926</v>
      </c>
      <c r="N3873" s="73">
        <v>44252</v>
      </c>
      <c r="O3873" s="73" t="s">
        <v>507</v>
      </c>
      <c r="P3873" s="383">
        <v>1599</v>
      </c>
      <c r="Q3873" s="395">
        <v>2</v>
      </c>
      <c r="R3873" s="207">
        <f t="shared" si="126"/>
        <v>3198</v>
      </c>
      <c r="S3873" s="279">
        <v>202304</v>
      </c>
      <c r="T3873" s="417" t="s">
        <v>4940</v>
      </c>
      <c r="U3873" s="213"/>
      <c r="V3873" s="387"/>
      <c r="W3873" s="214"/>
      <c r="X3873" s="388">
        <v>44470</v>
      </c>
      <c r="Y3873" s="388">
        <v>46234</v>
      </c>
    </row>
    <row r="3874" s="5" customFormat="1" customHeight="1" spans="1:25">
      <c r="A3874" s="203" t="s">
        <v>444</v>
      </c>
      <c r="B3874" s="204" t="s">
        <v>4284</v>
      </c>
      <c r="C3874" s="204" t="s">
        <v>63</v>
      </c>
      <c r="D3874" s="204" t="s">
        <v>3038</v>
      </c>
      <c r="E3874" s="205" t="s">
        <v>4777</v>
      </c>
      <c r="F3874" s="203" t="s">
        <v>4923</v>
      </c>
      <c r="G3874" s="203" t="s">
        <v>88</v>
      </c>
      <c r="H3874" s="25" t="s">
        <v>4924</v>
      </c>
      <c r="I3874" s="46" t="e">
        <f>VLOOKUP(H3874,'合同高级查询数据-4月返'!A:A,1,FALSE)</f>
        <v>#N/A</v>
      </c>
      <c r="J3874" s="47" t="s">
        <v>90</v>
      </c>
      <c r="K3874" s="203" t="s">
        <v>4925</v>
      </c>
      <c r="L3874" s="206"/>
      <c r="M3874" s="49" t="s">
        <v>4926</v>
      </c>
      <c r="N3874" s="73">
        <v>44256</v>
      </c>
      <c r="O3874" s="73" t="s">
        <v>507</v>
      </c>
      <c r="P3874" s="383">
        <v>1599</v>
      </c>
      <c r="Q3874" s="395">
        <v>21</v>
      </c>
      <c r="R3874" s="207">
        <f t="shared" si="126"/>
        <v>33579</v>
      </c>
      <c r="S3874" s="279">
        <v>202304</v>
      </c>
      <c r="T3874" s="417" t="s">
        <v>4941</v>
      </c>
      <c r="U3874" s="213"/>
      <c r="V3874" s="387"/>
      <c r="W3874" s="214"/>
      <c r="X3874" s="388">
        <v>44470</v>
      </c>
      <c r="Y3874" s="388">
        <v>46234</v>
      </c>
    </row>
    <row r="3875" s="5" customFormat="1" customHeight="1" spans="1:25">
      <c r="A3875" s="203" t="s">
        <v>444</v>
      </c>
      <c r="B3875" s="204" t="s">
        <v>4284</v>
      </c>
      <c r="C3875" s="204" t="s">
        <v>63</v>
      </c>
      <c r="D3875" s="204" t="s">
        <v>3038</v>
      </c>
      <c r="E3875" s="205" t="s">
        <v>4777</v>
      </c>
      <c r="F3875" s="203" t="s">
        <v>4923</v>
      </c>
      <c r="G3875" s="203" t="s">
        <v>88</v>
      </c>
      <c r="H3875" s="25" t="s">
        <v>4924</v>
      </c>
      <c r="I3875" s="46" t="e">
        <f>VLOOKUP(H3875,'合同高级查询数据-4月返'!A:A,1,FALSE)</f>
        <v>#N/A</v>
      </c>
      <c r="J3875" s="47" t="s">
        <v>90</v>
      </c>
      <c r="K3875" s="203" t="s">
        <v>4925</v>
      </c>
      <c r="L3875" s="206"/>
      <c r="M3875" s="49" t="s">
        <v>4926</v>
      </c>
      <c r="N3875" s="73">
        <v>44257</v>
      </c>
      <c r="O3875" s="73" t="s">
        <v>507</v>
      </c>
      <c r="P3875" s="383">
        <v>1599</v>
      </c>
      <c r="Q3875" s="395">
        <v>7</v>
      </c>
      <c r="R3875" s="207">
        <f t="shared" si="126"/>
        <v>11193</v>
      </c>
      <c r="S3875" s="279">
        <v>202304</v>
      </c>
      <c r="T3875" s="417" t="s">
        <v>4942</v>
      </c>
      <c r="U3875" s="213"/>
      <c r="V3875" s="387"/>
      <c r="W3875" s="214"/>
      <c r="X3875" s="388">
        <v>44470</v>
      </c>
      <c r="Y3875" s="388">
        <v>46234</v>
      </c>
    </row>
    <row r="3876" s="5" customFormat="1" customHeight="1" spans="1:25">
      <c r="A3876" s="203" t="s">
        <v>444</v>
      </c>
      <c r="B3876" s="204" t="s">
        <v>4284</v>
      </c>
      <c r="C3876" s="204" t="s">
        <v>63</v>
      </c>
      <c r="D3876" s="204" t="s">
        <v>3038</v>
      </c>
      <c r="E3876" s="205" t="s">
        <v>4777</v>
      </c>
      <c r="F3876" s="203" t="s">
        <v>4923</v>
      </c>
      <c r="G3876" s="203" t="s">
        <v>88</v>
      </c>
      <c r="H3876" s="25" t="s">
        <v>4924</v>
      </c>
      <c r="I3876" s="46" t="e">
        <f>VLOOKUP(H3876,'合同高级查询数据-4月返'!A:A,1,FALSE)</f>
        <v>#N/A</v>
      </c>
      <c r="J3876" s="47" t="s">
        <v>90</v>
      </c>
      <c r="K3876" s="203" t="s">
        <v>4925</v>
      </c>
      <c r="L3876" s="206"/>
      <c r="M3876" s="49" t="s">
        <v>4926</v>
      </c>
      <c r="N3876" s="73">
        <v>44270</v>
      </c>
      <c r="O3876" s="73" t="s">
        <v>507</v>
      </c>
      <c r="P3876" s="383">
        <v>1599</v>
      </c>
      <c r="Q3876" s="395">
        <v>5</v>
      </c>
      <c r="R3876" s="207">
        <f t="shared" si="126"/>
        <v>7995</v>
      </c>
      <c r="S3876" s="279">
        <v>202304</v>
      </c>
      <c r="T3876" s="417" t="s">
        <v>4943</v>
      </c>
      <c r="U3876" s="213"/>
      <c r="V3876" s="387"/>
      <c r="W3876" s="214"/>
      <c r="X3876" s="388">
        <v>44470</v>
      </c>
      <c r="Y3876" s="388">
        <v>46234</v>
      </c>
    </row>
    <row r="3877" s="5" customFormat="1" customHeight="1" spans="1:25">
      <c r="A3877" s="203" t="s">
        <v>444</v>
      </c>
      <c r="B3877" s="204" t="s">
        <v>4284</v>
      </c>
      <c r="C3877" s="204" t="s">
        <v>63</v>
      </c>
      <c r="D3877" s="204" t="s">
        <v>3038</v>
      </c>
      <c r="E3877" s="205" t="s">
        <v>4777</v>
      </c>
      <c r="F3877" s="203" t="s">
        <v>4923</v>
      </c>
      <c r="G3877" s="203" t="s">
        <v>88</v>
      </c>
      <c r="H3877" s="25" t="s">
        <v>4924</v>
      </c>
      <c r="I3877" s="46" t="e">
        <f>VLOOKUP(H3877,'合同高级查询数据-4月返'!A:A,1,FALSE)</f>
        <v>#N/A</v>
      </c>
      <c r="J3877" s="47" t="s">
        <v>90</v>
      </c>
      <c r="K3877" s="203" t="s">
        <v>4925</v>
      </c>
      <c r="L3877" s="206"/>
      <c r="M3877" s="49" t="s">
        <v>4926</v>
      </c>
      <c r="N3877" s="73">
        <v>44258</v>
      </c>
      <c r="O3877" s="73" t="s">
        <v>1419</v>
      </c>
      <c r="P3877" s="383">
        <v>0</v>
      </c>
      <c r="Q3877" s="395">
        <v>1</v>
      </c>
      <c r="R3877" s="207">
        <f t="shared" si="126"/>
        <v>0</v>
      </c>
      <c r="S3877" s="279">
        <v>202304</v>
      </c>
      <c r="T3877" s="417" t="s">
        <v>4944</v>
      </c>
      <c r="U3877" s="213"/>
      <c r="V3877" s="387"/>
      <c r="W3877" s="214"/>
      <c r="X3877" s="388">
        <v>44470</v>
      </c>
      <c r="Y3877" s="388">
        <v>46234</v>
      </c>
    </row>
    <row r="3878" s="5" customFormat="1" customHeight="1" spans="1:25">
      <c r="A3878" s="203" t="s">
        <v>444</v>
      </c>
      <c r="B3878" s="204" t="s">
        <v>4284</v>
      </c>
      <c r="C3878" s="204" t="s">
        <v>63</v>
      </c>
      <c r="D3878" s="204" t="s">
        <v>3038</v>
      </c>
      <c r="E3878" s="205" t="s">
        <v>4777</v>
      </c>
      <c r="F3878" s="203" t="s">
        <v>4923</v>
      </c>
      <c r="G3878" s="203" t="s">
        <v>88</v>
      </c>
      <c r="H3878" s="25" t="s">
        <v>4924</v>
      </c>
      <c r="I3878" s="46" t="e">
        <f>VLOOKUP(H3878,'合同高级查询数据-4月返'!A:A,1,FALSE)</f>
        <v>#N/A</v>
      </c>
      <c r="J3878" s="47" t="s">
        <v>90</v>
      </c>
      <c r="K3878" s="203" t="s">
        <v>4925</v>
      </c>
      <c r="L3878" s="206"/>
      <c r="M3878" s="49" t="s">
        <v>4926</v>
      </c>
      <c r="N3878" s="73">
        <v>44286</v>
      </c>
      <c r="O3878" s="73" t="s">
        <v>507</v>
      </c>
      <c r="P3878" s="383">
        <v>1599</v>
      </c>
      <c r="Q3878" s="395">
        <v>1</v>
      </c>
      <c r="R3878" s="207">
        <f t="shared" si="126"/>
        <v>1599</v>
      </c>
      <c r="S3878" s="279">
        <v>202304</v>
      </c>
      <c r="T3878" s="417" t="s">
        <v>4945</v>
      </c>
      <c r="U3878" s="213"/>
      <c r="V3878" s="387"/>
      <c r="W3878" s="214"/>
      <c r="X3878" s="388">
        <v>44470</v>
      </c>
      <c r="Y3878" s="388">
        <v>46234</v>
      </c>
    </row>
    <row r="3879" s="5" customFormat="1" customHeight="1" spans="1:25">
      <c r="A3879" s="203" t="s">
        <v>444</v>
      </c>
      <c r="B3879" s="204" t="s">
        <v>4284</v>
      </c>
      <c r="C3879" s="204" t="s">
        <v>63</v>
      </c>
      <c r="D3879" s="204" t="s">
        <v>3038</v>
      </c>
      <c r="E3879" s="205" t="s">
        <v>4777</v>
      </c>
      <c r="F3879" s="203" t="s">
        <v>4923</v>
      </c>
      <c r="G3879" s="203" t="s">
        <v>88</v>
      </c>
      <c r="H3879" s="25" t="s">
        <v>4924</v>
      </c>
      <c r="I3879" s="46" t="e">
        <f>VLOOKUP(H3879,'合同高级查询数据-4月返'!A:A,1,FALSE)</f>
        <v>#N/A</v>
      </c>
      <c r="J3879" s="47" t="s">
        <v>90</v>
      </c>
      <c r="K3879" s="203" t="s">
        <v>4925</v>
      </c>
      <c r="L3879" s="206"/>
      <c r="M3879" s="49" t="s">
        <v>4926</v>
      </c>
      <c r="N3879" s="73">
        <v>44312</v>
      </c>
      <c r="O3879" s="73" t="s">
        <v>507</v>
      </c>
      <c r="P3879" s="383">
        <v>1599</v>
      </c>
      <c r="Q3879" s="385">
        <v>1</v>
      </c>
      <c r="R3879" s="386">
        <f t="shared" si="126"/>
        <v>1599</v>
      </c>
      <c r="S3879" s="279">
        <v>202304</v>
      </c>
      <c r="T3879" s="417" t="s">
        <v>4946</v>
      </c>
      <c r="U3879" s="213"/>
      <c r="V3879" s="387"/>
      <c r="W3879" s="214"/>
      <c r="X3879" s="388">
        <v>44470</v>
      </c>
      <c r="Y3879" s="388">
        <v>46234</v>
      </c>
    </row>
    <row r="3880" s="5" customFormat="1" customHeight="1" spans="1:25">
      <c r="A3880" s="203" t="s">
        <v>444</v>
      </c>
      <c r="B3880" s="204" t="s">
        <v>4284</v>
      </c>
      <c r="C3880" s="204" t="s">
        <v>63</v>
      </c>
      <c r="D3880" s="204" t="s">
        <v>3038</v>
      </c>
      <c r="E3880" s="205" t="s">
        <v>4777</v>
      </c>
      <c r="F3880" s="203" t="s">
        <v>4923</v>
      </c>
      <c r="G3880" s="203" t="s">
        <v>88</v>
      </c>
      <c r="H3880" s="25" t="s">
        <v>4924</v>
      </c>
      <c r="I3880" s="46" t="e">
        <f>VLOOKUP(H3880,'合同高级查询数据-4月返'!A:A,1,FALSE)</f>
        <v>#N/A</v>
      </c>
      <c r="J3880" s="47" t="s">
        <v>90</v>
      </c>
      <c r="K3880" s="203" t="s">
        <v>4925</v>
      </c>
      <c r="L3880" s="206"/>
      <c r="M3880" s="49" t="s">
        <v>4926</v>
      </c>
      <c r="N3880" s="73">
        <v>44369</v>
      </c>
      <c r="O3880" s="73" t="s">
        <v>507</v>
      </c>
      <c r="P3880" s="383">
        <v>1599</v>
      </c>
      <c r="Q3880" s="385">
        <v>-2</v>
      </c>
      <c r="R3880" s="386">
        <f t="shared" ref="R3880:R3892" si="127">ROUND(P3880*Q3880,2)</f>
        <v>-3198</v>
      </c>
      <c r="S3880" s="279">
        <v>202304</v>
      </c>
      <c r="T3880" s="417" t="s">
        <v>4947</v>
      </c>
      <c r="U3880" s="213"/>
      <c r="V3880" s="387"/>
      <c r="W3880" s="214"/>
      <c r="X3880" s="388">
        <v>44470</v>
      </c>
      <c r="Y3880" s="388">
        <v>46234</v>
      </c>
    </row>
    <row r="3881" s="5" customFormat="1" customHeight="1" spans="1:25">
      <c r="A3881" s="203" t="s">
        <v>444</v>
      </c>
      <c r="B3881" s="204" t="s">
        <v>4284</v>
      </c>
      <c r="C3881" s="204" t="s">
        <v>63</v>
      </c>
      <c r="D3881" s="204" t="s">
        <v>3038</v>
      </c>
      <c r="E3881" s="205" t="s">
        <v>4777</v>
      </c>
      <c r="F3881" s="203" t="s">
        <v>4923</v>
      </c>
      <c r="G3881" s="203" t="s">
        <v>88</v>
      </c>
      <c r="H3881" s="25" t="s">
        <v>4924</v>
      </c>
      <c r="I3881" s="46" t="e">
        <f>VLOOKUP(H3881,'合同高级查询数据-4月返'!A:A,1,FALSE)</f>
        <v>#N/A</v>
      </c>
      <c r="J3881" s="47" t="s">
        <v>90</v>
      </c>
      <c r="K3881" s="203" t="s">
        <v>4925</v>
      </c>
      <c r="L3881" s="206"/>
      <c r="M3881" s="49" t="s">
        <v>4926</v>
      </c>
      <c r="N3881" s="73">
        <v>44372</v>
      </c>
      <c r="O3881" s="73" t="s">
        <v>507</v>
      </c>
      <c r="P3881" s="383">
        <v>1599</v>
      </c>
      <c r="Q3881" s="385">
        <v>2</v>
      </c>
      <c r="R3881" s="386">
        <f t="shared" si="127"/>
        <v>3198</v>
      </c>
      <c r="S3881" s="279">
        <v>202304</v>
      </c>
      <c r="T3881" s="417" t="s">
        <v>4947</v>
      </c>
      <c r="U3881" s="213"/>
      <c r="V3881" s="387"/>
      <c r="W3881" s="214"/>
      <c r="X3881" s="388">
        <v>44470</v>
      </c>
      <c r="Y3881" s="388">
        <v>46234</v>
      </c>
    </row>
    <row r="3882" s="5" customFormat="1" customHeight="1" spans="1:25">
      <c r="A3882" s="203" t="s">
        <v>444</v>
      </c>
      <c r="B3882" s="204" t="s">
        <v>4284</v>
      </c>
      <c r="C3882" s="204" t="s">
        <v>63</v>
      </c>
      <c r="D3882" s="204" t="s">
        <v>3038</v>
      </c>
      <c r="E3882" s="205" t="s">
        <v>4777</v>
      </c>
      <c r="F3882" s="203" t="s">
        <v>4923</v>
      </c>
      <c r="G3882" s="203" t="s">
        <v>88</v>
      </c>
      <c r="H3882" s="25" t="s">
        <v>4924</v>
      </c>
      <c r="I3882" s="46" t="e">
        <f>VLOOKUP(H3882,'合同高级查询数据-4月返'!A:A,1,FALSE)</f>
        <v>#N/A</v>
      </c>
      <c r="J3882" s="47" t="s">
        <v>90</v>
      </c>
      <c r="K3882" s="203" t="s">
        <v>4925</v>
      </c>
      <c r="L3882" s="206"/>
      <c r="M3882" s="49" t="s">
        <v>4926</v>
      </c>
      <c r="N3882" s="73">
        <v>44440</v>
      </c>
      <c r="O3882" s="73" t="s">
        <v>507</v>
      </c>
      <c r="P3882" s="383">
        <v>1599</v>
      </c>
      <c r="Q3882" s="385">
        <v>5</v>
      </c>
      <c r="R3882" s="386">
        <f t="shared" si="127"/>
        <v>7995</v>
      </c>
      <c r="S3882" s="279">
        <v>202304</v>
      </c>
      <c r="T3882" s="417" t="s">
        <v>4948</v>
      </c>
      <c r="U3882" s="213"/>
      <c r="V3882" s="387"/>
      <c r="W3882" s="214"/>
      <c r="X3882" s="388">
        <v>44470</v>
      </c>
      <c r="Y3882" s="388">
        <v>46234</v>
      </c>
    </row>
    <row r="3883" s="5" customFormat="1" customHeight="1" spans="1:25">
      <c r="A3883" s="203" t="s">
        <v>444</v>
      </c>
      <c r="B3883" s="204" t="s">
        <v>4284</v>
      </c>
      <c r="C3883" s="204" t="s">
        <v>63</v>
      </c>
      <c r="D3883" s="204" t="s">
        <v>3038</v>
      </c>
      <c r="E3883" s="205" t="s">
        <v>4777</v>
      </c>
      <c r="F3883" s="203" t="s">
        <v>4923</v>
      </c>
      <c r="G3883" s="203" t="s">
        <v>88</v>
      </c>
      <c r="H3883" s="25" t="s">
        <v>4924</v>
      </c>
      <c r="I3883" s="46" t="e">
        <f>VLOOKUP(H3883,'合同高级查询数据-4月返'!A:A,1,FALSE)</f>
        <v>#N/A</v>
      </c>
      <c r="J3883" s="47" t="s">
        <v>90</v>
      </c>
      <c r="K3883" s="203" t="s">
        <v>4925</v>
      </c>
      <c r="L3883" s="206"/>
      <c r="M3883" s="49" t="s">
        <v>4926</v>
      </c>
      <c r="N3883" s="73">
        <v>44721</v>
      </c>
      <c r="O3883" s="73" t="s">
        <v>1419</v>
      </c>
      <c r="P3883" s="383">
        <v>0</v>
      </c>
      <c r="Q3883" s="385">
        <v>1</v>
      </c>
      <c r="R3883" s="117">
        <f t="shared" si="127"/>
        <v>0</v>
      </c>
      <c r="S3883" s="279">
        <v>202304</v>
      </c>
      <c r="T3883" s="417" t="s">
        <v>4949</v>
      </c>
      <c r="U3883" s="213"/>
      <c r="V3883" s="387"/>
      <c r="W3883" s="214"/>
      <c r="X3883" s="388">
        <v>44470</v>
      </c>
      <c r="Y3883" s="388">
        <v>46234</v>
      </c>
    </row>
    <row r="3884" s="5" customFormat="1" customHeight="1" spans="1:25">
      <c r="A3884" s="203" t="s">
        <v>444</v>
      </c>
      <c r="B3884" s="204" t="s">
        <v>4284</v>
      </c>
      <c r="C3884" s="204" t="s">
        <v>63</v>
      </c>
      <c r="D3884" s="204" t="s">
        <v>3038</v>
      </c>
      <c r="E3884" s="205" t="s">
        <v>4777</v>
      </c>
      <c r="F3884" s="203" t="s">
        <v>4923</v>
      </c>
      <c r="G3884" s="203" t="s">
        <v>88</v>
      </c>
      <c r="H3884" s="25" t="s">
        <v>4924</v>
      </c>
      <c r="I3884" s="46" t="e">
        <f>VLOOKUP(H3884,'合同高级查询数据-4月返'!A:A,1,FALSE)</f>
        <v>#N/A</v>
      </c>
      <c r="J3884" s="47" t="s">
        <v>90</v>
      </c>
      <c r="K3884" s="203" t="s">
        <v>4925</v>
      </c>
      <c r="L3884" s="206"/>
      <c r="M3884" s="49" t="s">
        <v>4926</v>
      </c>
      <c r="N3884" s="73">
        <v>44735</v>
      </c>
      <c r="O3884" s="73" t="s">
        <v>1419</v>
      </c>
      <c r="P3884" s="383">
        <v>0</v>
      </c>
      <c r="Q3884" s="385">
        <v>1</v>
      </c>
      <c r="R3884" s="117">
        <f t="shared" si="127"/>
        <v>0</v>
      </c>
      <c r="S3884" s="279">
        <v>202304</v>
      </c>
      <c r="T3884" s="417" t="s">
        <v>4950</v>
      </c>
      <c r="U3884" s="213"/>
      <c r="V3884" s="387"/>
      <c r="W3884" s="214"/>
      <c r="X3884" s="388">
        <v>44470</v>
      </c>
      <c r="Y3884" s="388">
        <v>46234</v>
      </c>
    </row>
    <row r="3885" s="5" customFormat="1" customHeight="1" spans="1:25">
      <c r="A3885" s="203" t="s">
        <v>444</v>
      </c>
      <c r="B3885" s="204" t="s">
        <v>4284</v>
      </c>
      <c r="C3885" s="204" t="s">
        <v>63</v>
      </c>
      <c r="D3885" s="204" t="s">
        <v>3038</v>
      </c>
      <c r="E3885" s="205" t="s">
        <v>4777</v>
      </c>
      <c r="F3885" s="203" t="s">
        <v>4923</v>
      </c>
      <c r="G3885" s="203" t="s">
        <v>88</v>
      </c>
      <c r="H3885" s="25" t="s">
        <v>4924</v>
      </c>
      <c r="I3885" s="46" t="e">
        <f>VLOOKUP(H3885,'合同高级查询数据-4月返'!A:A,1,FALSE)</f>
        <v>#N/A</v>
      </c>
      <c r="J3885" s="47" t="s">
        <v>90</v>
      </c>
      <c r="K3885" s="203" t="s">
        <v>4925</v>
      </c>
      <c r="L3885" s="206"/>
      <c r="M3885" s="49" t="s">
        <v>4926</v>
      </c>
      <c r="N3885" s="73">
        <v>44740</v>
      </c>
      <c r="O3885" s="73" t="s">
        <v>1419</v>
      </c>
      <c r="P3885" s="383">
        <v>0</v>
      </c>
      <c r="Q3885" s="385">
        <v>-1</v>
      </c>
      <c r="R3885" s="117">
        <f t="shared" si="127"/>
        <v>0</v>
      </c>
      <c r="S3885" s="279">
        <v>202304</v>
      </c>
      <c r="T3885" s="417" t="s">
        <v>4951</v>
      </c>
      <c r="U3885" s="213"/>
      <c r="V3885" s="387"/>
      <c r="W3885" s="214"/>
      <c r="X3885" s="388">
        <v>44470</v>
      </c>
      <c r="Y3885" s="388">
        <v>46234</v>
      </c>
    </row>
    <row r="3886" s="5" customFormat="1" customHeight="1" spans="1:25">
      <c r="A3886" s="203" t="s">
        <v>444</v>
      </c>
      <c r="B3886" s="204" t="s">
        <v>4284</v>
      </c>
      <c r="C3886" s="204" t="s">
        <v>63</v>
      </c>
      <c r="D3886" s="204" t="s">
        <v>3038</v>
      </c>
      <c r="E3886" s="205" t="s">
        <v>4777</v>
      </c>
      <c r="F3886" s="203" t="s">
        <v>4923</v>
      </c>
      <c r="G3886" s="203" t="s">
        <v>88</v>
      </c>
      <c r="H3886" s="25" t="s">
        <v>4924</v>
      </c>
      <c r="I3886" s="46" t="e">
        <f>VLOOKUP(H3886,'合同高级查询数据-4月返'!A:A,1,FALSE)</f>
        <v>#N/A</v>
      </c>
      <c r="J3886" s="47" t="s">
        <v>90</v>
      </c>
      <c r="K3886" s="203" t="s">
        <v>4925</v>
      </c>
      <c r="L3886" s="206"/>
      <c r="M3886" s="49" t="s">
        <v>4926</v>
      </c>
      <c r="N3886" s="73">
        <v>44743</v>
      </c>
      <c r="O3886" s="73" t="s">
        <v>1419</v>
      </c>
      <c r="P3886" s="383">
        <v>0</v>
      </c>
      <c r="Q3886" s="385">
        <v>2</v>
      </c>
      <c r="R3886" s="117">
        <f t="shared" si="127"/>
        <v>0</v>
      </c>
      <c r="S3886" s="279">
        <v>202304</v>
      </c>
      <c r="T3886" s="417" t="s">
        <v>4952</v>
      </c>
      <c r="U3886" s="213"/>
      <c r="V3886" s="387"/>
      <c r="W3886" s="214"/>
      <c r="X3886" s="388">
        <v>44470</v>
      </c>
      <c r="Y3886" s="388">
        <v>46234</v>
      </c>
    </row>
    <row r="3887" s="5" customFormat="1" customHeight="1" spans="1:25">
      <c r="A3887" s="203" t="s">
        <v>444</v>
      </c>
      <c r="B3887" s="204" t="s">
        <v>4284</v>
      </c>
      <c r="C3887" s="204" t="s">
        <v>63</v>
      </c>
      <c r="D3887" s="204" t="s">
        <v>3038</v>
      </c>
      <c r="E3887" s="205" t="s">
        <v>4777</v>
      </c>
      <c r="F3887" s="203" t="s">
        <v>4923</v>
      </c>
      <c r="G3887" s="203" t="s">
        <v>88</v>
      </c>
      <c r="H3887" s="25" t="s">
        <v>4924</v>
      </c>
      <c r="I3887" s="46" t="e">
        <f>VLOOKUP(H3887,'合同高级查询数据-4月返'!A:A,1,FALSE)</f>
        <v>#N/A</v>
      </c>
      <c r="J3887" s="47" t="s">
        <v>90</v>
      </c>
      <c r="K3887" s="203" t="s">
        <v>4925</v>
      </c>
      <c r="L3887" s="206"/>
      <c r="M3887" s="49" t="s">
        <v>4926</v>
      </c>
      <c r="N3887" s="73">
        <v>44749</v>
      </c>
      <c r="O3887" s="73" t="s">
        <v>1419</v>
      </c>
      <c r="P3887" s="383">
        <v>0</v>
      </c>
      <c r="Q3887" s="385">
        <v>1</v>
      </c>
      <c r="R3887" s="117">
        <f t="shared" si="127"/>
        <v>0</v>
      </c>
      <c r="S3887" s="279">
        <v>202304</v>
      </c>
      <c r="T3887" s="417" t="s">
        <v>4951</v>
      </c>
      <c r="U3887" s="213"/>
      <c r="V3887" s="387"/>
      <c r="W3887" s="214"/>
      <c r="X3887" s="388">
        <v>44470</v>
      </c>
      <c r="Y3887" s="388">
        <v>46234</v>
      </c>
    </row>
    <row r="3888" s="5" customFormat="1" customHeight="1" spans="1:25">
      <c r="A3888" s="203" t="s">
        <v>444</v>
      </c>
      <c r="B3888" s="204" t="s">
        <v>4284</v>
      </c>
      <c r="C3888" s="204" t="s">
        <v>63</v>
      </c>
      <c r="D3888" s="204" t="s">
        <v>3038</v>
      </c>
      <c r="E3888" s="205" t="s">
        <v>4777</v>
      </c>
      <c r="F3888" s="203" t="s">
        <v>4923</v>
      </c>
      <c r="G3888" s="203" t="s">
        <v>88</v>
      </c>
      <c r="H3888" s="25" t="s">
        <v>4924</v>
      </c>
      <c r="I3888" s="46" t="e">
        <f>VLOOKUP(H3888,'合同高级查询数据-4月返'!A:A,1,FALSE)</f>
        <v>#N/A</v>
      </c>
      <c r="J3888" s="47" t="s">
        <v>90</v>
      </c>
      <c r="K3888" s="203" t="s">
        <v>4925</v>
      </c>
      <c r="L3888" s="206"/>
      <c r="M3888" s="49" t="s">
        <v>4926</v>
      </c>
      <c r="N3888" s="73">
        <v>44753</v>
      </c>
      <c r="O3888" s="73" t="s">
        <v>1419</v>
      </c>
      <c r="P3888" s="383">
        <v>0</v>
      </c>
      <c r="Q3888" s="385">
        <v>1</v>
      </c>
      <c r="R3888" s="117">
        <f t="shared" si="127"/>
        <v>0</v>
      </c>
      <c r="S3888" s="279">
        <v>202304</v>
      </c>
      <c r="T3888" s="417" t="s">
        <v>4953</v>
      </c>
      <c r="U3888" s="213"/>
      <c r="V3888" s="387"/>
      <c r="W3888" s="214"/>
      <c r="X3888" s="388">
        <v>44470</v>
      </c>
      <c r="Y3888" s="388">
        <v>46234</v>
      </c>
    </row>
    <row r="3889" s="5" customFormat="1" customHeight="1" spans="1:25">
      <c r="A3889" s="203" t="s">
        <v>444</v>
      </c>
      <c r="B3889" s="204" t="s">
        <v>4284</v>
      </c>
      <c r="C3889" s="204" t="s">
        <v>63</v>
      </c>
      <c r="D3889" s="204" t="s">
        <v>3038</v>
      </c>
      <c r="E3889" s="205" t="s">
        <v>4777</v>
      </c>
      <c r="F3889" s="203" t="s">
        <v>4923</v>
      </c>
      <c r="G3889" s="203" t="s">
        <v>88</v>
      </c>
      <c r="H3889" s="25" t="s">
        <v>4924</v>
      </c>
      <c r="I3889" s="46" t="e">
        <f>VLOOKUP(H3889,'合同高级查询数据-4月返'!A:A,1,FALSE)</f>
        <v>#N/A</v>
      </c>
      <c r="J3889" s="47" t="s">
        <v>90</v>
      </c>
      <c r="K3889" s="203" t="s">
        <v>4925</v>
      </c>
      <c r="L3889" s="206"/>
      <c r="M3889" s="49" t="s">
        <v>4926</v>
      </c>
      <c r="N3889" s="73">
        <v>44980.6986921296</v>
      </c>
      <c r="O3889" s="73" t="s">
        <v>507</v>
      </c>
      <c r="P3889" s="383">
        <v>1599</v>
      </c>
      <c r="Q3889" s="385">
        <v>-1</v>
      </c>
      <c r="R3889" s="117">
        <f t="shared" si="127"/>
        <v>-1599</v>
      </c>
      <c r="S3889" s="279">
        <v>202304</v>
      </c>
      <c r="T3889" s="417" t="s">
        <v>4954</v>
      </c>
      <c r="U3889" s="213"/>
      <c r="V3889" s="387"/>
      <c r="W3889" s="214"/>
      <c r="X3889" s="388">
        <v>44470</v>
      </c>
      <c r="Y3889" s="388">
        <v>46234</v>
      </c>
    </row>
    <row r="3890" s="5" customFormat="1" customHeight="1" spans="1:25">
      <c r="A3890" s="203" t="s">
        <v>444</v>
      </c>
      <c r="B3890" s="204" t="s">
        <v>4284</v>
      </c>
      <c r="C3890" s="204" t="s">
        <v>63</v>
      </c>
      <c r="D3890" s="204" t="s">
        <v>3038</v>
      </c>
      <c r="E3890" s="205" t="s">
        <v>4955</v>
      </c>
      <c r="F3890" s="203" t="s">
        <v>4956</v>
      </c>
      <c r="G3890" s="203" t="s">
        <v>31</v>
      </c>
      <c r="H3890" s="25" t="s">
        <v>4957</v>
      </c>
      <c r="I3890" s="46" t="e">
        <f>VLOOKUP(H3890,'合同高级查询数据-4月返'!A:A,1,FALSE)</f>
        <v>#N/A</v>
      </c>
      <c r="J3890" s="47" t="s">
        <v>33</v>
      </c>
      <c r="K3890" s="203" t="s">
        <v>4956</v>
      </c>
      <c r="L3890" s="206" t="s">
        <v>4958</v>
      </c>
      <c r="M3890" s="49"/>
      <c r="N3890" s="73">
        <v>43343</v>
      </c>
      <c r="O3890" s="73" t="s">
        <v>37</v>
      </c>
      <c r="P3890" s="383">
        <v>0</v>
      </c>
      <c r="Q3890" s="395">
        <v>512</v>
      </c>
      <c r="R3890" s="207">
        <f t="shared" si="127"/>
        <v>0</v>
      </c>
      <c r="S3890" s="279">
        <v>202304</v>
      </c>
      <c r="T3890" s="184" t="s">
        <v>4959</v>
      </c>
      <c r="U3890" s="213"/>
      <c r="V3890" s="387"/>
      <c r="W3890" s="214"/>
      <c r="X3890" s="388">
        <v>44550</v>
      </c>
      <c r="Y3890" s="402">
        <v>45279</v>
      </c>
    </row>
    <row r="3891" s="5" customFormat="1" customHeight="1" spans="1:25">
      <c r="A3891" s="203" t="s">
        <v>444</v>
      </c>
      <c r="B3891" s="204" t="s">
        <v>4284</v>
      </c>
      <c r="C3891" s="204" t="s">
        <v>63</v>
      </c>
      <c r="D3891" s="204" t="s">
        <v>3038</v>
      </c>
      <c r="E3891" s="205" t="s">
        <v>4955</v>
      </c>
      <c r="F3891" s="203" t="s">
        <v>4956</v>
      </c>
      <c r="G3891" s="203" t="s">
        <v>88</v>
      </c>
      <c r="H3891" s="25" t="s">
        <v>4957</v>
      </c>
      <c r="I3891" s="46" t="e">
        <f>VLOOKUP(H3891,'合同高级查询数据-4月返'!A:A,1,FALSE)</f>
        <v>#N/A</v>
      </c>
      <c r="J3891" s="47" t="s">
        <v>162</v>
      </c>
      <c r="K3891" s="203" t="s">
        <v>4960</v>
      </c>
      <c r="L3891" s="206"/>
      <c r="M3891" s="49" t="s">
        <v>4961</v>
      </c>
      <c r="N3891" s="73">
        <v>43343</v>
      </c>
      <c r="O3891" s="73" t="s">
        <v>92</v>
      </c>
      <c r="P3891" s="383">
        <v>4000</v>
      </c>
      <c r="Q3891" s="395">
        <v>10</v>
      </c>
      <c r="R3891" s="207">
        <f t="shared" si="127"/>
        <v>40000</v>
      </c>
      <c r="S3891" s="279">
        <v>202304</v>
      </c>
      <c r="T3891" s="184"/>
      <c r="U3891" s="213"/>
      <c r="V3891" s="387"/>
      <c r="W3891" s="214"/>
      <c r="X3891" s="388">
        <v>44550</v>
      </c>
      <c r="Y3891" s="402">
        <v>45279</v>
      </c>
    </row>
    <row r="3892" s="5" customFormat="1" customHeight="1" spans="1:25">
      <c r="A3892" s="203" t="s">
        <v>444</v>
      </c>
      <c r="B3892" s="204" t="s">
        <v>4284</v>
      </c>
      <c r="C3892" s="204" t="s">
        <v>63</v>
      </c>
      <c r="D3892" s="204" t="s">
        <v>3038</v>
      </c>
      <c r="E3892" s="205" t="s">
        <v>4955</v>
      </c>
      <c r="F3892" s="203" t="s">
        <v>4956</v>
      </c>
      <c r="G3892" s="203" t="s">
        <v>88</v>
      </c>
      <c r="H3892" s="25" t="s">
        <v>4957</v>
      </c>
      <c r="I3892" s="46" t="e">
        <f>VLOOKUP(H3892,'合同高级查询数据-4月返'!A:A,1,FALSE)</f>
        <v>#N/A</v>
      </c>
      <c r="J3892" s="47" t="s">
        <v>162</v>
      </c>
      <c r="K3892" s="203" t="s">
        <v>4960</v>
      </c>
      <c r="L3892" s="206"/>
      <c r="M3892" s="49" t="s">
        <v>4961</v>
      </c>
      <c r="N3892" s="73">
        <v>44741</v>
      </c>
      <c r="O3892" s="73" t="s">
        <v>92</v>
      </c>
      <c r="P3892" s="383">
        <v>4000</v>
      </c>
      <c r="Q3892" s="395">
        <v>-4</v>
      </c>
      <c r="R3892" s="117">
        <f t="shared" si="127"/>
        <v>-16000</v>
      </c>
      <c r="S3892" s="279">
        <v>202304</v>
      </c>
      <c r="T3892" s="184" t="s">
        <v>4962</v>
      </c>
      <c r="U3892" s="213"/>
      <c r="V3892" s="387"/>
      <c r="W3892" s="214"/>
      <c r="X3892" s="388">
        <v>44550</v>
      </c>
      <c r="Y3892" s="402">
        <v>45279</v>
      </c>
    </row>
    <row r="3893" s="3" customFormat="1" customHeight="1" spans="1:25">
      <c r="A3893" s="154" t="s">
        <v>446</v>
      </c>
      <c r="B3893" s="292" t="s">
        <v>4284</v>
      </c>
      <c r="C3893" s="292" t="s">
        <v>63</v>
      </c>
      <c r="D3893" s="292" t="s">
        <v>75</v>
      </c>
      <c r="E3893" s="153" t="s">
        <v>4285</v>
      </c>
      <c r="F3893" s="154" t="s">
        <v>4286</v>
      </c>
      <c r="G3893" s="154" t="s">
        <v>346</v>
      </c>
      <c r="H3893" s="110" t="s">
        <v>4963</v>
      </c>
      <c r="I3893" s="30" t="e">
        <f>VLOOKUP(H3893,'合同高级查询数据-4月返'!A:A,1,FALSE)</f>
        <v>#N/A</v>
      </c>
      <c r="J3893" s="31" t="s">
        <v>346</v>
      </c>
      <c r="K3893" s="154" t="s">
        <v>4964</v>
      </c>
      <c r="L3893" s="293"/>
      <c r="M3893" s="113"/>
      <c r="N3893" s="146">
        <v>43891</v>
      </c>
      <c r="O3893" s="146" t="s">
        <v>2500</v>
      </c>
      <c r="P3893" s="384">
        <v>800000</v>
      </c>
      <c r="Q3893" s="389">
        <v>1</v>
      </c>
      <c r="R3893" s="157">
        <f t="shared" ref="R3893:R3900" si="128">ROUND(P3893*Q3893,2)</f>
        <v>800000</v>
      </c>
      <c r="S3893" s="277">
        <v>202304</v>
      </c>
      <c r="T3893" s="198" t="s">
        <v>4965</v>
      </c>
      <c r="U3893" s="391"/>
      <c r="V3893" s="392"/>
      <c r="W3893" s="393"/>
      <c r="X3893" s="394"/>
      <c r="Y3893" s="394"/>
    </row>
    <row r="3894" s="3" customFormat="1" customHeight="1" spans="1:25">
      <c r="A3894" s="154" t="s">
        <v>446</v>
      </c>
      <c r="B3894" s="292" t="s">
        <v>4284</v>
      </c>
      <c r="C3894" s="292" t="s">
        <v>63</v>
      </c>
      <c r="D3894" s="292" t="s">
        <v>75</v>
      </c>
      <c r="E3894" s="153" t="s">
        <v>4285</v>
      </c>
      <c r="F3894" s="154" t="s">
        <v>4286</v>
      </c>
      <c r="G3894" s="154" t="s">
        <v>346</v>
      </c>
      <c r="H3894" s="110" t="s">
        <v>4963</v>
      </c>
      <c r="I3894" s="30" t="e">
        <f>VLOOKUP(H3894,'合同高级查询数据-4月返'!A:A,1,FALSE)</f>
        <v>#N/A</v>
      </c>
      <c r="J3894" s="31" t="s">
        <v>346</v>
      </c>
      <c r="K3894" s="154" t="s">
        <v>4964</v>
      </c>
      <c r="L3894" s="293"/>
      <c r="M3894" s="113"/>
      <c r="N3894" s="146">
        <v>44985</v>
      </c>
      <c r="O3894" s="146" t="s">
        <v>1980</v>
      </c>
      <c r="P3894" s="384">
        <v>400000</v>
      </c>
      <c r="Q3894" s="389">
        <v>-1</v>
      </c>
      <c r="R3894" s="157">
        <f t="shared" si="128"/>
        <v>-400000</v>
      </c>
      <c r="S3894" s="277">
        <v>202304</v>
      </c>
      <c r="T3894" s="198" t="s">
        <v>4966</v>
      </c>
      <c r="U3894" s="391"/>
      <c r="V3894" s="392"/>
      <c r="W3894" s="393"/>
      <c r="X3894" s="394"/>
      <c r="Y3894" s="394"/>
    </row>
    <row r="3895" s="3" customFormat="1" customHeight="1" spans="1:25">
      <c r="A3895" s="154" t="s">
        <v>446</v>
      </c>
      <c r="B3895" s="292" t="s">
        <v>4284</v>
      </c>
      <c r="C3895" s="292" t="s">
        <v>63</v>
      </c>
      <c r="D3895" s="292" t="s">
        <v>75</v>
      </c>
      <c r="E3895" s="153" t="s">
        <v>4285</v>
      </c>
      <c r="F3895" s="154" t="s">
        <v>4286</v>
      </c>
      <c r="G3895" s="154" t="s">
        <v>346</v>
      </c>
      <c r="H3895" s="110" t="s">
        <v>4963</v>
      </c>
      <c r="I3895" s="30" t="e">
        <f>VLOOKUP(H3895,'合同高级查询数据-4月返'!A:A,1,FALSE)</f>
        <v>#N/A</v>
      </c>
      <c r="J3895" s="31" t="s">
        <v>346</v>
      </c>
      <c r="K3895" s="154" t="s">
        <v>4967</v>
      </c>
      <c r="L3895" s="293"/>
      <c r="M3895" s="113"/>
      <c r="N3895" s="146">
        <v>45020</v>
      </c>
      <c r="O3895" s="146" t="s">
        <v>1470</v>
      </c>
      <c r="P3895" s="384">
        <v>200000</v>
      </c>
      <c r="Q3895" s="389">
        <v>1</v>
      </c>
      <c r="R3895" s="157">
        <f>ROUND(P3895*Q3895*27/30,2)</f>
        <v>180000</v>
      </c>
      <c r="S3895" s="277">
        <v>202304</v>
      </c>
      <c r="T3895" s="198" t="s">
        <v>4968</v>
      </c>
      <c r="U3895" s="391"/>
      <c r="V3895" s="392"/>
      <c r="W3895" s="393"/>
      <c r="X3895" s="394"/>
      <c r="Y3895" s="394"/>
    </row>
    <row r="3896" s="5" customFormat="1" customHeight="1" spans="1:25">
      <c r="A3896" s="203" t="s">
        <v>446</v>
      </c>
      <c r="B3896" s="204" t="s">
        <v>4284</v>
      </c>
      <c r="C3896" s="204" t="s">
        <v>63</v>
      </c>
      <c r="D3896" s="204" t="s">
        <v>75</v>
      </c>
      <c r="E3896" s="205" t="s">
        <v>4773</v>
      </c>
      <c r="F3896" s="203" t="s">
        <v>4774</v>
      </c>
      <c r="G3896" s="203" t="s">
        <v>346</v>
      </c>
      <c r="H3896" s="25" t="s">
        <v>4969</v>
      </c>
      <c r="I3896" s="46" t="e">
        <f>VLOOKUP(H3896,'合同高级查询数据-4月返'!A:A,1,FALSE)</f>
        <v>#N/A</v>
      </c>
      <c r="J3896" s="47" t="s">
        <v>346</v>
      </c>
      <c r="K3896" s="203" t="s">
        <v>4970</v>
      </c>
      <c r="L3896" s="206"/>
      <c r="M3896" s="49"/>
      <c r="N3896" s="73">
        <v>43983</v>
      </c>
      <c r="O3896" s="73" t="s">
        <v>1470</v>
      </c>
      <c r="P3896" s="383">
        <v>200000</v>
      </c>
      <c r="Q3896" s="385">
        <v>1</v>
      </c>
      <c r="R3896" s="207">
        <f t="shared" si="128"/>
        <v>200000</v>
      </c>
      <c r="S3896" s="279">
        <v>202304</v>
      </c>
      <c r="T3896" s="184" t="s">
        <v>4971</v>
      </c>
      <c r="U3896" s="184" t="s">
        <v>4972</v>
      </c>
      <c r="V3896" s="387"/>
      <c r="W3896" s="214"/>
      <c r="X3896" s="388">
        <v>43647</v>
      </c>
      <c r="Y3896" s="388">
        <v>45107</v>
      </c>
    </row>
    <row r="3897" s="5" customFormat="1" customHeight="1" spans="1:25">
      <c r="A3897" s="203" t="s">
        <v>446</v>
      </c>
      <c r="B3897" s="204" t="s">
        <v>4284</v>
      </c>
      <c r="C3897" s="204" t="s">
        <v>63</v>
      </c>
      <c r="D3897" s="204" t="s">
        <v>75</v>
      </c>
      <c r="E3897" s="205" t="s">
        <v>4773</v>
      </c>
      <c r="F3897" s="203" t="s">
        <v>4774</v>
      </c>
      <c r="G3897" s="203" t="s">
        <v>346</v>
      </c>
      <c r="H3897" s="25" t="s">
        <v>4969</v>
      </c>
      <c r="I3897" s="46" t="e">
        <f>VLOOKUP(H3897,'合同高级查询数据-4月返'!A:A,1,FALSE)</f>
        <v>#N/A</v>
      </c>
      <c r="J3897" s="47" t="s">
        <v>346</v>
      </c>
      <c r="K3897" s="203" t="s">
        <v>4973</v>
      </c>
      <c r="L3897" s="206"/>
      <c r="M3897" s="49"/>
      <c r="N3897" s="73">
        <v>44069</v>
      </c>
      <c r="O3897" s="73" t="s">
        <v>1980</v>
      </c>
      <c r="P3897" s="383">
        <v>400000</v>
      </c>
      <c r="Q3897" s="385">
        <v>1</v>
      </c>
      <c r="R3897" s="207">
        <f t="shared" si="128"/>
        <v>400000</v>
      </c>
      <c r="S3897" s="279">
        <v>202304</v>
      </c>
      <c r="T3897" s="184" t="s">
        <v>4974</v>
      </c>
      <c r="U3897" s="184"/>
      <c r="V3897" s="387"/>
      <c r="W3897" s="214"/>
      <c r="X3897" s="388">
        <v>43647</v>
      </c>
      <c r="Y3897" s="388">
        <v>45107</v>
      </c>
    </row>
    <row r="3898" s="5" customFormat="1" customHeight="1" spans="1:25">
      <c r="A3898" s="203" t="s">
        <v>448</v>
      </c>
      <c r="B3898" s="204" t="s">
        <v>4284</v>
      </c>
      <c r="C3898" s="204" t="s">
        <v>196</v>
      </c>
      <c r="D3898" s="204" t="s">
        <v>3939</v>
      </c>
      <c r="E3898" s="205" t="s">
        <v>4975</v>
      </c>
      <c r="F3898" s="203" t="s">
        <v>4976</v>
      </c>
      <c r="G3898" s="203" t="s">
        <v>88</v>
      </c>
      <c r="H3898" s="25" t="s">
        <v>4977</v>
      </c>
      <c r="I3898" s="46" t="e">
        <f>VLOOKUP(H3898,'合同高级查询数据-4月返'!A:A,1,FALSE)</f>
        <v>#N/A</v>
      </c>
      <c r="J3898" s="47" t="s">
        <v>162</v>
      </c>
      <c r="K3898" s="203" t="s">
        <v>4978</v>
      </c>
      <c r="L3898" s="206" t="s">
        <v>4979</v>
      </c>
      <c r="M3898" s="49" t="s">
        <v>4980</v>
      </c>
      <c r="N3898" s="73" t="s">
        <v>1329</v>
      </c>
      <c r="O3898" s="73" t="s">
        <v>3012</v>
      </c>
      <c r="P3898" s="396"/>
      <c r="Q3898" s="212">
        <v>6</v>
      </c>
      <c r="R3898" s="118">
        <f t="shared" si="128"/>
        <v>0</v>
      </c>
      <c r="S3898" s="115">
        <v>202304</v>
      </c>
      <c r="T3898" s="184" t="s">
        <v>4981</v>
      </c>
      <c r="U3898" s="213"/>
      <c r="V3898" s="418"/>
      <c r="W3898" s="214"/>
      <c r="X3898" s="73" t="s">
        <v>4982</v>
      </c>
      <c r="Y3898" s="73" t="s">
        <v>4983</v>
      </c>
    </row>
    <row r="3899" s="5" customFormat="1" customHeight="1" spans="1:25">
      <c r="A3899" s="203" t="s">
        <v>448</v>
      </c>
      <c r="B3899" s="204" t="s">
        <v>4284</v>
      </c>
      <c r="C3899" s="204" t="s">
        <v>196</v>
      </c>
      <c r="D3899" s="204" t="s">
        <v>3939</v>
      </c>
      <c r="E3899" s="205" t="s">
        <v>4975</v>
      </c>
      <c r="F3899" s="203" t="s">
        <v>4976</v>
      </c>
      <c r="G3899" s="203" t="s">
        <v>88</v>
      </c>
      <c r="H3899" s="25" t="s">
        <v>4977</v>
      </c>
      <c r="I3899" s="46" t="e">
        <f>VLOOKUP(H3899,'合同高级查询数据-4月返'!A:A,1,FALSE)</f>
        <v>#N/A</v>
      </c>
      <c r="J3899" s="47" t="s">
        <v>162</v>
      </c>
      <c r="K3899" s="203" t="s">
        <v>4978</v>
      </c>
      <c r="L3899" s="206" t="s">
        <v>4984</v>
      </c>
      <c r="M3899" s="49" t="s">
        <v>4980</v>
      </c>
      <c r="N3899" s="73" t="s">
        <v>1329</v>
      </c>
      <c r="O3899" s="73" t="s">
        <v>3012</v>
      </c>
      <c r="P3899" s="396"/>
      <c r="Q3899" s="212">
        <v>4</v>
      </c>
      <c r="R3899" s="118">
        <f t="shared" si="128"/>
        <v>0</v>
      </c>
      <c r="S3899" s="115">
        <v>202304</v>
      </c>
      <c r="T3899" s="184" t="s">
        <v>4985</v>
      </c>
      <c r="U3899" s="213"/>
      <c r="V3899" s="418"/>
      <c r="W3899" s="214"/>
      <c r="X3899" s="73" t="s">
        <v>4982</v>
      </c>
      <c r="Y3899" s="73" t="s">
        <v>4983</v>
      </c>
    </row>
    <row r="3900" s="5" customFormat="1" customHeight="1" spans="1:25">
      <c r="A3900" s="203" t="s">
        <v>448</v>
      </c>
      <c r="B3900" s="204" t="s">
        <v>4284</v>
      </c>
      <c r="C3900" s="204" t="s">
        <v>196</v>
      </c>
      <c r="D3900" s="204" t="s">
        <v>3939</v>
      </c>
      <c r="E3900" s="205" t="s">
        <v>4975</v>
      </c>
      <c r="F3900" s="203" t="s">
        <v>4976</v>
      </c>
      <c r="G3900" s="203" t="s">
        <v>88</v>
      </c>
      <c r="H3900" s="25" t="s">
        <v>4977</v>
      </c>
      <c r="I3900" s="46" t="e">
        <f>VLOOKUP(H3900,'合同高级查询数据-4月返'!A:A,1,FALSE)</f>
        <v>#N/A</v>
      </c>
      <c r="J3900" s="47" t="s">
        <v>162</v>
      </c>
      <c r="K3900" s="203" t="s">
        <v>4978</v>
      </c>
      <c r="L3900" s="206" t="s">
        <v>4986</v>
      </c>
      <c r="M3900" s="49" t="s">
        <v>4980</v>
      </c>
      <c r="N3900" s="73" t="s">
        <v>1329</v>
      </c>
      <c r="O3900" s="73" t="s">
        <v>3012</v>
      </c>
      <c r="P3900" s="396"/>
      <c r="Q3900" s="212">
        <v>6</v>
      </c>
      <c r="R3900" s="118">
        <f t="shared" si="128"/>
        <v>0</v>
      </c>
      <c r="S3900" s="115">
        <v>202304</v>
      </c>
      <c r="T3900" s="184" t="s">
        <v>4987</v>
      </c>
      <c r="U3900" s="213"/>
      <c r="V3900" s="418"/>
      <c r="W3900" s="214"/>
      <c r="X3900" s="73" t="s">
        <v>4982</v>
      </c>
      <c r="Y3900" s="73" t="s">
        <v>4983</v>
      </c>
    </row>
    <row r="3901" s="5" customFormat="1" customHeight="1" spans="1:25">
      <c r="A3901" s="203" t="s">
        <v>448</v>
      </c>
      <c r="B3901" s="204" t="s">
        <v>4284</v>
      </c>
      <c r="C3901" s="204" t="s">
        <v>196</v>
      </c>
      <c r="D3901" s="204" t="s">
        <v>3939</v>
      </c>
      <c r="E3901" s="205" t="s">
        <v>4975</v>
      </c>
      <c r="F3901" s="203" t="s">
        <v>4976</v>
      </c>
      <c r="G3901" s="203" t="s">
        <v>88</v>
      </c>
      <c r="H3901" s="25" t="s">
        <v>4977</v>
      </c>
      <c r="I3901" s="46" t="e">
        <f>VLOOKUP(H3901,'合同高级查询数据-4月返'!A:A,1,FALSE)</f>
        <v>#N/A</v>
      </c>
      <c r="J3901" s="47" t="s">
        <v>162</v>
      </c>
      <c r="K3901" s="203" t="s">
        <v>4978</v>
      </c>
      <c r="L3901" s="206" t="s">
        <v>4986</v>
      </c>
      <c r="M3901" s="49" t="s">
        <v>4980</v>
      </c>
      <c r="N3901" s="73">
        <v>44341</v>
      </c>
      <c r="O3901" s="73" t="s">
        <v>3012</v>
      </c>
      <c r="P3901" s="396">
        <v>0</v>
      </c>
      <c r="Q3901" s="212">
        <v>-2</v>
      </c>
      <c r="R3901" s="386">
        <f>ROUND(Q3901*P3901,2)</f>
        <v>0</v>
      </c>
      <c r="S3901" s="115">
        <v>202304</v>
      </c>
      <c r="T3901" s="184" t="s">
        <v>4988</v>
      </c>
      <c r="U3901" s="213"/>
      <c r="V3901" s="418"/>
      <c r="W3901" s="214"/>
      <c r="X3901" s="73" t="s">
        <v>4982</v>
      </c>
      <c r="Y3901" s="73" t="s">
        <v>4983</v>
      </c>
    </row>
    <row r="3902" s="5" customFormat="1" customHeight="1" spans="1:25">
      <c r="A3902" s="203" t="s">
        <v>448</v>
      </c>
      <c r="B3902" s="204" t="s">
        <v>4284</v>
      </c>
      <c r="C3902" s="204" t="s">
        <v>196</v>
      </c>
      <c r="D3902" s="204" t="s">
        <v>3939</v>
      </c>
      <c r="E3902" s="205" t="s">
        <v>4975</v>
      </c>
      <c r="F3902" s="203" t="s">
        <v>4976</v>
      </c>
      <c r="G3902" s="203" t="s">
        <v>88</v>
      </c>
      <c r="H3902" s="25" t="s">
        <v>4977</v>
      </c>
      <c r="I3902" s="46" t="e">
        <f>VLOOKUP(H3902,'合同高级查询数据-4月返'!A:A,1,FALSE)</f>
        <v>#N/A</v>
      </c>
      <c r="J3902" s="47" t="s">
        <v>162</v>
      </c>
      <c r="K3902" s="203" t="s">
        <v>4978</v>
      </c>
      <c r="L3902" s="206" t="s">
        <v>4989</v>
      </c>
      <c r="M3902" s="49" t="s">
        <v>4990</v>
      </c>
      <c r="N3902" s="73" t="s">
        <v>1329</v>
      </c>
      <c r="O3902" s="73" t="s">
        <v>3012</v>
      </c>
      <c r="P3902" s="396">
        <v>0</v>
      </c>
      <c r="Q3902" s="212">
        <v>3</v>
      </c>
      <c r="R3902" s="386">
        <f t="shared" ref="R3902:R3965" si="129">ROUND(P3902*Q3902,2)</f>
        <v>0</v>
      </c>
      <c r="S3902" s="115">
        <v>202304</v>
      </c>
      <c r="T3902" s="184" t="s">
        <v>4991</v>
      </c>
      <c r="U3902" s="213"/>
      <c r="V3902" s="418"/>
      <c r="W3902" s="214"/>
      <c r="X3902" s="73" t="s">
        <v>4982</v>
      </c>
      <c r="Y3902" s="73" t="s">
        <v>4983</v>
      </c>
    </row>
    <row r="3903" s="5" customFormat="1" customHeight="1" spans="1:25">
      <c r="A3903" s="203" t="s">
        <v>448</v>
      </c>
      <c r="B3903" s="204" t="s">
        <v>4284</v>
      </c>
      <c r="C3903" s="204" t="s">
        <v>196</v>
      </c>
      <c r="D3903" s="204" t="s">
        <v>3939</v>
      </c>
      <c r="E3903" s="205" t="s">
        <v>4975</v>
      </c>
      <c r="F3903" s="203" t="s">
        <v>4976</v>
      </c>
      <c r="G3903" s="203" t="s">
        <v>88</v>
      </c>
      <c r="H3903" s="25" t="s">
        <v>4977</v>
      </c>
      <c r="I3903" s="46" t="e">
        <f>VLOOKUP(H3903,'合同高级查询数据-4月返'!A:A,1,FALSE)</f>
        <v>#N/A</v>
      </c>
      <c r="J3903" s="47" t="s">
        <v>162</v>
      </c>
      <c r="K3903" s="203" t="s">
        <v>4992</v>
      </c>
      <c r="L3903" s="206" t="s">
        <v>4993</v>
      </c>
      <c r="M3903" s="49" t="s">
        <v>4994</v>
      </c>
      <c r="N3903" s="73" t="s">
        <v>1329</v>
      </c>
      <c r="O3903" s="73" t="s">
        <v>3012</v>
      </c>
      <c r="P3903" s="396">
        <v>0</v>
      </c>
      <c r="Q3903" s="212">
        <v>6</v>
      </c>
      <c r="R3903" s="386">
        <f t="shared" si="129"/>
        <v>0</v>
      </c>
      <c r="S3903" s="115">
        <v>202304</v>
      </c>
      <c r="T3903" s="184" t="s">
        <v>4995</v>
      </c>
      <c r="U3903" s="213"/>
      <c r="V3903" s="418"/>
      <c r="W3903" s="214"/>
      <c r="X3903" s="73" t="s">
        <v>4982</v>
      </c>
      <c r="Y3903" s="73" t="s">
        <v>4983</v>
      </c>
    </row>
    <row r="3904" s="5" customFormat="1" customHeight="1" spans="1:25">
      <c r="A3904" s="203" t="s">
        <v>448</v>
      </c>
      <c r="B3904" s="204" t="s">
        <v>4284</v>
      </c>
      <c r="C3904" s="204" t="s">
        <v>196</v>
      </c>
      <c r="D3904" s="204" t="s">
        <v>3939</v>
      </c>
      <c r="E3904" s="205" t="s">
        <v>4975</v>
      </c>
      <c r="F3904" s="203" t="s">
        <v>4976</v>
      </c>
      <c r="G3904" s="203" t="s">
        <v>88</v>
      </c>
      <c r="H3904" s="25" t="s">
        <v>4977</v>
      </c>
      <c r="I3904" s="46" t="e">
        <f>VLOOKUP(H3904,'合同高级查询数据-4月返'!A:A,1,FALSE)</f>
        <v>#N/A</v>
      </c>
      <c r="J3904" s="47" t="s">
        <v>162</v>
      </c>
      <c r="K3904" s="203" t="s">
        <v>4992</v>
      </c>
      <c r="L3904" s="206" t="s">
        <v>4993</v>
      </c>
      <c r="M3904" s="49" t="s">
        <v>4994</v>
      </c>
      <c r="N3904" s="73">
        <v>44784</v>
      </c>
      <c r="O3904" s="73" t="s">
        <v>3012</v>
      </c>
      <c r="P3904" s="396">
        <v>0</v>
      </c>
      <c r="Q3904" s="212">
        <v>-3</v>
      </c>
      <c r="R3904" s="386">
        <f t="shared" si="129"/>
        <v>0</v>
      </c>
      <c r="S3904" s="115">
        <v>202304</v>
      </c>
      <c r="T3904" s="184" t="s">
        <v>4996</v>
      </c>
      <c r="U3904" s="213"/>
      <c r="V3904" s="418"/>
      <c r="W3904" s="214"/>
      <c r="X3904" s="73" t="s">
        <v>4982</v>
      </c>
      <c r="Y3904" s="73" t="s">
        <v>4983</v>
      </c>
    </row>
    <row r="3905" s="5" customFormat="1" customHeight="1" spans="1:25">
      <c r="A3905" s="203" t="s">
        <v>448</v>
      </c>
      <c r="B3905" s="204" t="s">
        <v>4284</v>
      </c>
      <c r="C3905" s="204" t="s">
        <v>196</v>
      </c>
      <c r="D3905" s="204" t="s">
        <v>3939</v>
      </c>
      <c r="E3905" s="205" t="s">
        <v>4975</v>
      </c>
      <c r="F3905" s="203" t="s">
        <v>4976</v>
      </c>
      <c r="G3905" s="203" t="s">
        <v>31</v>
      </c>
      <c r="H3905" s="25" t="s">
        <v>4977</v>
      </c>
      <c r="I3905" s="46" t="e">
        <f>VLOOKUP(H3905,'合同高级查询数据-4月返'!A:A,1,FALSE)</f>
        <v>#N/A</v>
      </c>
      <c r="J3905" s="47" t="s">
        <v>4997</v>
      </c>
      <c r="K3905" s="203" t="s">
        <v>198</v>
      </c>
      <c r="L3905" s="206" t="s">
        <v>4979</v>
      </c>
      <c r="M3905" s="49"/>
      <c r="N3905" s="73" t="s">
        <v>4998</v>
      </c>
      <c r="O3905" s="73" t="s">
        <v>37</v>
      </c>
      <c r="P3905" s="396">
        <v>0</v>
      </c>
      <c r="Q3905" s="212">
        <v>288</v>
      </c>
      <c r="R3905" s="386">
        <f t="shared" si="129"/>
        <v>0</v>
      </c>
      <c r="S3905" s="115">
        <v>202304</v>
      </c>
      <c r="T3905" s="184" t="s">
        <v>4999</v>
      </c>
      <c r="U3905" s="213"/>
      <c r="V3905" s="418"/>
      <c r="W3905" s="214"/>
      <c r="X3905" s="73" t="s">
        <v>4982</v>
      </c>
      <c r="Y3905" s="73" t="s">
        <v>4983</v>
      </c>
    </row>
    <row r="3906" s="5" customFormat="1" customHeight="1" spans="1:25">
      <c r="A3906" s="203" t="s">
        <v>448</v>
      </c>
      <c r="B3906" s="204" t="s">
        <v>4284</v>
      </c>
      <c r="C3906" s="204" t="s">
        <v>196</v>
      </c>
      <c r="D3906" s="204" t="s">
        <v>3939</v>
      </c>
      <c r="E3906" s="205" t="s">
        <v>4975</v>
      </c>
      <c r="F3906" s="203" t="s">
        <v>4976</v>
      </c>
      <c r="G3906" s="203" t="s">
        <v>31</v>
      </c>
      <c r="H3906" s="25" t="s">
        <v>4977</v>
      </c>
      <c r="I3906" s="46" t="e">
        <f>VLOOKUP(H3906,'合同高级查询数据-4月返'!A:A,1,FALSE)</f>
        <v>#N/A</v>
      </c>
      <c r="J3906" s="47" t="s">
        <v>4997</v>
      </c>
      <c r="K3906" s="203" t="s">
        <v>198</v>
      </c>
      <c r="L3906" s="206" t="s">
        <v>4986</v>
      </c>
      <c r="M3906" s="49"/>
      <c r="N3906" s="73" t="s">
        <v>4998</v>
      </c>
      <c r="O3906" s="73" t="s">
        <v>37</v>
      </c>
      <c r="P3906" s="396">
        <v>0</v>
      </c>
      <c r="Q3906" s="212">
        <v>288</v>
      </c>
      <c r="R3906" s="386">
        <f t="shared" si="129"/>
        <v>0</v>
      </c>
      <c r="S3906" s="115">
        <v>202304</v>
      </c>
      <c r="T3906" s="184" t="s">
        <v>5000</v>
      </c>
      <c r="U3906" s="213"/>
      <c r="V3906" s="418"/>
      <c r="W3906" s="214"/>
      <c r="X3906" s="73" t="s">
        <v>4982</v>
      </c>
      <c r="Y3906" s="73" t="s">
        <v>4983</v>
      </c>
    </row>
    <row r="3907" s="5" customFormat="1" customHeight="1" spans="1:25">
      <c r="A3907" s="203" t="s">
        <v>448</v>
      </c>
      <c r="B3907" s="204" t="s">
        <v>4284</v>
      </c>
      <c r="C3907" s="204" t="s">
        <v>196</v>
      </c>
      <c r="D3907" s="204" t="s">
        <v>3939</v>
      </c>
      <c r="E3907" s="205" t="s">
        <v>4975</v>
      </c>
      <c r="F3907" s="203" t="s">
        <v>4976</v>
      </c>
      <c r="G3907" s="203" t="s">
        <v>31</v>
      </c>
      <c r="H3907" s="25" t="s">
        <v>4977</v>
      </c>
      <c r="I3907" s="46" t="e">
        <f>VLOOKUP(H3907,'合同高级查询数据-4月返'!A:A,1,FALSE)</f>
        <v>#N/A</v>
      </c>
      <c r="J3907" s="47" t="s">
        <v>4997</v>
      </c>
      <c r="K3907" s="203" t="s">
        <v>198</v>
      </c>
      <c r="L3907" s="206" t="s">
        <v>4984</v>
      </c>
      <c r="M3907" s="49"/>
      <c r="N3907" s="73" t="s">
        <v>4998</v>
      </c>
      <c r="O3907" s="73" t="s">
        <v>37</v>
      </c>
      <c r="P3907" s="396">
        <v>0</v>
      </c>
      <c r="Q3907" s="212">
        <v>288</v>
      </c>
      <c r="R3907" s="386">
        <f t="shared" si="129"/>
        <v>0</v>
      </c>
      <c r="S3907" s="115">
        <v>202304</v>
      </c>
      <c r="T3907" s="184" t="s">
        <v>5001</v>
      </c>
      <c r="U3907" s="213"/>
      <c r="V3907" s="418"/>
      <c r="W3907" s="214"/>
      <c r="X3907" s="73" t="s">
        <v>4982</v>
      </c>
      <c r="Y3907" s="73" t="s">
        <v>4983</v>
      </c>
    </row>
    <row r="3908" s="5" customFormat="1" customHeight="1" spans="1:25">
      <c r="A3908" s="203" t="s">
        <v>448</v>
      </c>
      <c r="B3908" s="204" t="s">
        <v>4284</v>
      </c>
      <c r="C3908" s="204" t="s">
        <v>196</v>
      </c>
      <c r="D3908" s="204" t="s">
        <v>3939</v>
      </c>
      <c r="E3908" s="205" t="s">
        <v>4975</v>
      </c>
      <c r="F3908" s="203" t="s">
        <v>4976</v>
      </c>
      <c r="G3908" s="203" t="s">
        <v>31</v>
      </c>
      <c r="H3908" s="25" t="s">
        <v>4977</v>
      </c>
      <c r="I3908" s="46" t="e">
        <f>VLOOKUP(H3908,'合同高级查询数据-4月返'!A:A,1,FALSE)</f>
        <v>#N/A</v>
      </c>
      <c r="J3908" s="47" t="s">
        <v>4997</v>
      </c>
      <c r="K3908" s="203" t="s">
        <v>198</v>
      </c>
      <c r="L3908" s="206" t="s">
        <v>5002</v>
      </c>
      <c r="M3908" s="49"/>
      <c r="N3908" s="73" t="s">
        <v>4998</v>
      </c>
      <c r="O3908" s="73" t="s">
        <v>37</v>
      </c>
      <c r="P3908" s="396">
        <v>0</v>
      </c>
      <c r="Q3908" s="212">
        <v>128</v>
      </c>
      <c r="R3908" s="386">
        <f t="shared" si="129"/>
        <v>0</v>
      </c>
      <c r="S3908" s="115">
        <v>202304</v>
      </c>
      <c r="T3908" s="184" t="s">
        <v>5003</v>
      </c>
      <c r="U3908" s="213"/>
      <c r="V3908" s="418"/>
      <c r="W3908" s="214"/>
      <c r="X3908" s="73" t="s">
        <v>4982</v>
      </c>
      <c r="Y3908" s="73" t="s">
        <v>4983</v>
      </c>
    </row>
    <row r="3909" s="5" customFormat="1" customHeight="1" spans="1:25">
      <c r="A3909" s="203" t="s">
        <v>448</v>
      </c>
      <c r="B3909" s="204" t="s">
        <v>4284</v>
      </c>
      <c r="C3909" s="204" t="s">
        <v>196</v>
      </c>
      <c r="D3909" s="204" t="s">
        <v>3939</v>
      </c>
      <c r="E3909" s="205" t="s">
        <v>4975</v>
      </c>
      <c r="F3909" s="203" t="s">
        <v>4976</v>
      </c>
      <c r="G3909" s="203" t="s">
        <v>31</v>
      </c>
      <c r="H3909" s="25" t="s">
        <v>4977</v>
      </c>
      <c r="I3909" s="46" t="e">
        <f>VLOOKUP(H3909,'合同高级查询数据-4月返'!A:A,1,FALSE)</f>
        <v>#N/A</v>
      </c>
      <c r="J3909" s="47" t="s">
        <v>4997</v>
      </c>
      <c r="K3909" s="203" t="s">
        <v>5004</v>
      </c>
      <c r="L3909" s="206" t="s">
        <v>4993</v>
      </c>
      <c r="M3909" s="49"/>
      <c r="N3909" s="73" t="s">
        <v>4998</v>
      </c>
      <c r="O3909" s="73" t="s">
        <v>37</v>
      </c>
      <c r="P3909" s="396">
        <v>0</v>
      </c>
      <c r="Q3909" s="212">
        <v>288</v>
      </c>
      <c r="R3909" s="386">
        <f t="shared" si="129"/>
        <v>0</v>
      </c>
      <c r="S3909" s="115">
        <v>202304</v>
      </c>
      <c r="T3909" s="184" t="s">
        <v>5005</v>
      </c>
      <c r="U3909" s="213"/>
      <c r="V3909" s="418"/>
      <c r="W3909" s="214"/>
      <c r="X3909" s="73" t="s">
        <v>4982</v>
      </c>
      <c r="Y3909" s="73" t="s">
        <v>4983</v>
      </c>
    </row>
    <row r="3910" s="5" customFormat="1" customHeight="1" spans="1:25">
      <c r="A3910" s="203" t="s">
        <v>448</v>
      </c>
      <c r="B3910" s="204" t="s">
        <v>4284</v>
      </c>
      <c r="C3910" s="204" t="s">
        <v>196</v>
      </c>
      <c r="D3910" s="204" t="s">
        <v>3939</v>
      </c>
      <c r="E3910" s="205" t="s">
        <v>4975</v>
      </c>
      <c r="F3910" s="203" t="s">
        <v>4976</v>
      </c>
      <c r="G3910" s="203" t="s">
        <v>31</v>
      </c>
      <c r="H3910" s="25" t="s">
        <v>4977</v>
      </c>
      <c r="I3910" s="46" t="e">
        <f>VLOOKUP(H3910,'合同高级查询数据-4月返'!A:A,1,FALSE)</f>
        <v>#N/A</v>
      </c>
      <c r="J3910" s="47" t="s">
        <v>4997</v>
      </c>
      <c r="K3910" s="203" t="s">
        <v>5004</v>
      </c>
      <c r="L3910" s="206" t="s">
        <v>4993</v>
      </c>
      <c r="M3910" s="49"/>
      <c r="N3910" s="73">
        <v>44784</v>
      </c>
      <c r="O3910" s="73" t="s">
        <v>37</v>
      </c>
      <c r="P3910" s="396">
        <v>0</v>
      </c>
      <c r="Q3910" s="212">
        <v>-128</v>
      </c>
      <c r="R3910" s="386">
        <f t="shared" si="129"/>
        <v>0</v>
      </c>
      <c r="S3910" s="115">
        <v>202304</v>
      </c>
      <c r="T3910" s="184" t="s">
        <v>5006</v>
      </c>
      <c r="U3910" s="213"/>
      <c r="V3910" s="418"/>
      <c r="W3910" s="214"/>
      <c r="X3910" s="73" t="s">
        <v>4982</v>
      </c>
      <c r="Y3910" s="73" t="s">
        <v>4983</v>
      </c>
    </row>
    <row r="3911" s="3" customFormat="1" customHeight="1" spans="1:25">
      <c r="A3911" s="292" t="s">
        <v>448</v>
      </c>
      <c r="B3911" s="292" t="s">
        <v>5007</v>
      </c>
      <c r="C3911" s="292" t="s">
        <v>216</v>
      </c>
      <c r="D3911" s="292" t="s">
        <v>3939</v>
      </c>
      <c r="E3911" s="419" t="s">
        <v>5008</v>
      </c>
      <c r="F3911" s="292" t="s">
        <v>5009</v>
      </c>
      <c r="G3911" s="142" t="s">
        <v>88</v>
      </c>
      <c r="H3911" s="155" t="s">
        <v>5010</v>
      </c>
      <c r="I3911" s="30" t="e">
        <f>VLOOKUP(H3911,'合同高级查询数据-4月返'!A:A,1,FALSE)</f>
        <v>#N/A</v>
      </c>
      <c r="J3911" s="155" t="s">
        <v>162</v>
      </c>
      <c r="K3911" s="142" t="s">
        <v>5011</v>
      </c>
      <c r="L3911" s="142" t="s">
        <v>5012</v>
      </c>
      <c r="M3911" s="113" t="s">
        <v>5013</v>
      </c>
      <c r="N3911" s="146">
        <v>43568</v>
      </c>
      <c r="O3911" s="146" t="s">
        <v>702</v>
      </c>
      <c r="P3911" s="420">
        <v>0</v>
      </c>
      <c r="Q3911" s="295">
        <v>2</v>
      </c>
      <c r="R3911" s="156">
        <f t="shared" si="129"/>
        <v>0</v>
      </c>
      <c r="S3911" s="127">
        <v>202304</v>
      </c>
      <c r="T3911" s="196" t="s">
        <v>5014</v>
      </c>
      <c r="U3911" s="196"/>
      <c r="V3911" s="422"/>
      <c r="W3911" s="159"/>
      <c r="X3911" s="146"/>
      <c r="Y3911" s="146"/>
    </row>
    <row r="3912" s="3" customFormat="1" customHeight="1" spans="1:25">
      <c r="A3912" s="292" t="s">
        <v>448</v>
      </c>
      <c r="B3912" s="292" t="s">
        <v>5007</v>
      </c>
      <c r="C3912" s="292" t="s">
        <v>216</v>
      </c>
      <c r="D3912" s="292" t="s">
        <v>3939</v>
      </c>
      <c r="E3912" s="419" t="s">
        <v>5008</v>
      </c>
      <c r="F3912" s="292" t="s">
        <v>5009</v>
      </c>
      <c r="G3912" s="142" t="s">
        <v>88</v>
      </c>
      <c r="H3912" s="155" t="s">
        <v>5010</v>
      </c>
      <c r="I3912" s="30" t="e">
        <f>VLOOKUP(H3912,'合同高级查询数据-4月返'!A:A,1,FALSE)</f>
        <v>#N/A</v>
      </c>
      <c r="J3912" s="155" t="s">
        <v>162</v>
      </c>
      <c r="K3912" s="142" t="s">
        <v>5011</v>
      </c>
      <c r="L3912" s="142" t="s">
        <v>5012</v>
      </c>
      <c r="M3912" s="113" t="s">
        <v>5013</v>
      </c>
      <c r="N3912" s="146">
        <v>43568</v>
      </c>
      <c r="O3912" s="146" t="s">
        <v>702</v>
      </c>
      <c r="P3912" s="420">
        <v>5000</v>
      </c>
      <c r="Q3912" s="295">
        <v>1</v>
      </c>
      <c r="R3912" s="156">
        <f t="shared" si="129"/>
        <v>5000</v>
      </c>
      <c r="S3912" s="127">
        <v>202304</v>
      </c>
      <c r="T3912" s="196" t="s">
        <v>5015</v>
      </c>
      <c r="U3912" s="196"/>
      <c r="V3912" s="422"/>
      <c r="W3912" s="159"/>
      <c r="X3912" s="146"/>
      <c r="Y3912" s="146"/>
    </row>
    <row r="3913" s="3" customFormat="1" customHeight="1" spans="1:25">
      <c r="A3913" s="292" t="s">
        <v>448</v>
      </c>
      <c r="B3913" s="292" t="s">
        <v>5007</v>
      </c>
      <c r="C3913" s="292" t="s">
        <v>216</v>
      </c>
      <c r="D3913" s="292" t="s">
        <v>3939</v>
      </c>
      <c r="E3913" s="419" t="s">
        <v>5008</v>
      </c>
      <c r="F3913" s="292" t="s">
        <v>5009</v>
      </c>
      <c r="G3913" s="142" t="s">
        <v>31</v>
      </c>
      <c r="H3913" s="155" t="s">
        <v>5010</v>
      </c>
      <c r="I3913" s="30" t="e">
        <f>VLOOKUP(H3913,'合同高级查询数据-4月返'!A:A,1,FALSE)</f>
        <v>#N/A</v>
      </c>
      <c r="J3913" s="155" t="s">
        <v>33</v>
      </c>
      <c r="K3913" s="142" t="s">
        <v>5011</v>
      </c>
      <c r="L3913" s="142" t="s">
        <v>5012</v>
      </c>
      <c r="M3913" s="113" t="s">
        <v>5013</v>
      </c>
      <c r="N3913" s="146">
        <v>43568</v>
      </c>
      <c r="O3913" s="146" t="s">
        <v>37</v>
      </c>
      <c r="P3913" s="420">
        <v>0</v>
      </c>
      <c r="Q3913" s="295">
        <v>128</v>
      </c>
      <c r="R3913" s="156">
        <f t="shared" si="129"/>
        <v>0</v>
      </c>
      <c r="S3913" s="127">
        <v>202304</v>
      </c>
      <c r="T3913" s="196" t="s">
        <v>5016</v>
      </c>
      <c r="U3913" s="196"/>
      <c r="V3913" s="422"/>
      <c r="W3913" s="159"/>
      <c r="X3913" s="146"/>
      <c r="Y3913" s="146"/>
    </row>
    <row r="3914" s="3" customFormat="1" customHeight="1" spans="1:25">
      <c r="A3914" s="292" t="s">
        <v>448</v>
      </c>
      <c r="B3914" s="292" t="s">
        <v>5007</v>
      </c>
      <c r="C3914" s="292" t="s">
        <v>216</v>
      </c>
      <c r="D3914" s="292" t="s">
        <v>3939</v>
      </c>
      <c r="E3914" s="419" t="s">
        <v>5008</v>
      </c>
      <c r="F3914" s="292" t="s">
        <v>5009</v>
      </c>
      <c r="G3914" s="142" t="s">
        <v>31</v>
      </c>
      <c r="H3914" s="155" t="s">
        <v>5010</v>
      </c>
      <c r="I3914" s="30" t="e">
        <f>VLOOKUP(H3914,'合同高级查询数据-4月返'!A:A,1,FALSE)</f>
        <v>#N/A</v>
      </c>
      <c r="J3914" s="155" t="s">
        <v>33</v>
      </c>
      <c r="K3914" s="142" t="s">
        <v>5011</v>
      </c>
      <c r="L3914" s="142" t="s">
        <v>5012</v>
      </c>
      <c r="M3914" s="113" t="s">
        <v>5013</v>
      </c>
      <c r="N3914" s="146">
        <v>43568</v>
      </c>
      <c r="O3914" s="146" t="s">
        <v>37</v>
      </c>
      <c r="P3914" s="420">
        <v>50</v>
      </c>
      <c r="Q3914" s="295">
        <v>160</v>
      </c>
      <c r="R3914" s="156">
        <f t="shared" si="129"/>
        <v>8000</v>
      </c>
      <c r="S3914" s="127">
        <v>202304</v>
      </c>
      <c r="T3914" s="196" t="s">
        <v>5016</v>
      </c>
      <c r="U3914" s="196"/>
      <c r="V3914" s="422"/>
      <c r="W3914" s="159"/>
      <c r="X3914" s="146"/>
      <c r="Y3914" s="146"/>
    </row>
    <row r="3915" s="3" customFormat="1" customHeight="1" spans="1:25">
      <c r="A3915" s="154" t="s">
        <v>448</v>
      </c>
      <c r="B3915" s="292" t="s">
        <v>4284</v>
      </c>
      <c r="C3915" s="292" t="s">
        <v>5017</v>
      </c>
      <c r="D3915" s="292" t="s">
        <v>3939</v>
      </c>
      <c r="E3915" s="153" t="s">
        <v>5018</v>
      </c>
      <c r="F3915" s="154" t="s">
        <v>5019</v>
      </c>
      <c r="G3915" s="154" t="s">
        <v>88</v>
      </c>
      <c r="H3915" s="110" t="s">
        <v>5020</v>
      </c>
      <c r="I3915" s="30" t="e">
        <f>VLOOKUP(H3915,'合同高级查询数据-4月返'!A:A,1,FALSE)</f>
        <v>#N/A</v>
      </c>
      <c r="J3915" s="31" t="s">
        <v>162</v>
      </c>
      <c r="K3915" s="154" t="s">
        <v>5021</v>
      </c>
      <c r="L3915" s="293" t="s">
        <v>5022</v>
      </c>
      <c r="M3915" s="113" t="s">
        <v>5023</v>
      </c>
      <c r="N3915" s="146">
        <v>43398</v>
      </c>
      <c r="O3915" s="146" t="s">
        <v>163</v>
      </c>
      <c r="P3915" s="400">
        <v>0</v>
      </c>
      <c r="Q3915" s="295">
        <v>2</v>
      </c>
      <c r="R3915" s="390">
        <f t="shared" si="129"/>
        <v>0</v>
      </c>
      <c r="S3915" s="127">
        <v>202304</v>
      </c>
      <c r="T3915" s="198" t="s">
        <v>5024</v>
      </c>
      <c r="U3915" s="391"/>
      <c r="V3915" s="422"/>
      <c r="W3915" s="393"/>
      <c r="X3915" s="146"/>
      <c r="Y3915" s="146"/>
    </row>
    <row r="3916" s="3" customFormat="1" customHeight="1" spans="1:25">
      <c r="A3916" s="154" t="s">
        <v>448</v>
      </c>
      <c r="B3916" s="292" t="s">
        <v>4284</v>
      </c>
      <c r="C3916" s="292" t="s">
        <v>5017</v>
      </c>
      <c r="D3916" s="292" t="s">
        <v>3939</v>
      </c>
      <c r="E3916" s="153" t="s">
        <v>5018</v>
      </c>
      <c r="F3916" s="154" t="s">
        <v>5019</v>
      </c>
      <c r="G3916" s="154" t="s">
        <v>88</v>
      </c>
      <c r="H3916" s="110" t="s">
        <v>5020</v>
      </c>
      <c r="I3916" s="30" t="e">
        <f>VLOOKUP(H3916,'合同高级查询数据-4月返'!A:A,1,FALSE)</f>
        <v>#N/A</v>
      </c>
      <c r="J3916" s="31" t="s">
        <v>162</v>
      </c>
      <c r="K3916" s="154" t="s">
        <v>5021</v>
      </c>
      <c r="L3916" s="293" t="s">
        <v>5022</v>
      </c>
      <c r="M3916" s="113" t="s">
        <v>5023</v>
      </c>
      <c r="N3916" s="146">
        <v>44651</v>
      </c>
      <c r="O3916" s="146" t="s">
        <v>163</v>
      </c>
      <c r="P3916" s="400">
        <v>0</v>
      </c>
      <c r="Q3916" s="295">
        <v>-2</v>
      </c>
      <c r="R3916" s="390">
        <f t="shared" si="129"/>
        <v>0</v>
      </c>
      <c r="S3916" s="127">
        <v>202304</v>
      </c>
      <c r="T3916" s="198" t="s">
        <v>5025</v>
      </c>
      <c r="U3916" s="391"/>
      <c r="V3916" s="422"/>
      <c r="W3916" s="393"/>
      <c r="X3916" s="146"/>
      <c r="Y3916" s="146"/>
    </row>
    <row r="3917" s="3" customFormat="1" customHeight="1" spans="1:25">
      <c r="A3917" s="154" t="s">
        <v>448</v>
      </c>
      <c r="B3917" s="292" t="s">
        <v>4284</v>
      </c>
      <c r="C3917" s="292" t="s">
        <v>5017</v>
      </c>
      <c r="D3917" s="292" t="s">
        <v>3939</v>
      </c>
      <c r="E3917" s="153" t="s">
        <v>5018</v>
      </c>
      <c r="F3917" s="154" t="s">
        <v>5019</v>
      </c>
      <c r="G3917" s="154" t="s">
        <v>88</v>
      </c>
      <c r="H3917" s="110" t="s">
        <v>5020</v>
      </c>
      <c r="I3917" s="30" t="e">
        <f>VLOOKUP(H3917,'合同高级查询数据-4月返'!A:A,1,FALSE)</f>
        <v>#N/A</v>
      </c>
      <c r="J3917" s="31" t="s">
        <v>162</v>
      </c>
      <c r="K3917" s="154" t="s">
        <v>5026</v>
      </c>
      <c r="L3917" s="293" t="s">
        <v>5027</v>
      </c>
      <c r="M3917" s="113" t="s">
        <v>5028</v>
      </c>
      <c r="N3917" s="146">
        <v>43398</v>
      </c>
      <c r="O3917" s="146" t="s">
        <v>163</v>
      </c>
      <c r="P3917" s="400">
        <v>0</v>
      </c>
      <c r="Q3917" s="295">
        <v>2</v>
      </c>
      <c r="R3917" s="390">
        <f t="shared" si="129"/>
        <v>0</v>
      </c>
      <c r="S3917" s="127">
        <v>202304</v>
      </c>
      <c r="T3917" s="198" t="s">
        <v>5029</v>
      </c>
      <c r="U3917" s="391"/>
      <c r="V3917" s="422"/>
      <c r="W3917" s="393"/>
      <c r="X3917" s="146"/>
      <c r="Y3917" s="146"/>
    </row>
    <row r="3918" s="3" customFormat="1" customHeight="1" spans="1:25">
      <c r="A3918" s="154" t="s">
        <v>448</v>
      </c>
      <c r="B3918" s="292" t="s">
        <v>4284</v>
      </c>
      <c r="C3918" s="292" t="s">
        <v>5017</v>
      </c>
      <c r="D3918" s="292" t="s">
        <v>3939</v>
      </c>
      <c r="E3918" s="153" t="s">
        <v>5018</v>
      </c>
      <c r="F3918" s="154" t="s">
        <v>5019</v>
      </c>
      <c r="G3918" s="154" t="s">
        <v>88</v>
      </c>
      <c r="H3918" s="110" t="s">
        <v>5020</v>
      </c>
      <c r="I3918" s="30" t="e">
        <f>VLOOKUP(H3918,'合同高级查询数据-4月返'!A:A,1,FALSE)</f>
        <v>#N/A</v>
      </c>
      <c r="J3918" s="31" t="s">
        <v>162</v>
      </c>
      <c r="K3918" s="154" t="s">
        <v>5030</v>
      </c>
      <c r="L3918" s="293" t="s">
        <v>5031</v>
      </c>
      <c r="M3918" s="113" t="s">
        <v>5032</v>
      </c>
      <c r="N3918" s="146">
        <v>43214</v>
      </c>
      <c r="O3918" s="146" t="s">
        <v>163</v>
      </c>
      <c r="P3918" s="400">
        <v>0</v>
      </c>
      <c r="Q3918" s="295">
        <v>2</v>
      </c>
      <c r="R3918" s="390">
        <f t="shared" si="129"/>
        <v>0</v>
      </c>
      <c r="S3918" s="127">
        <v>202304</v>
      </c>
      <c r="T3918" s="198" t="s">
        <v>5033</v>
      </c>
      <c r="U3918" s="391"/>
      <c r="V3918" s="422"/>
      <c r="W3918" s="393"/>
      <c r="X3918" s="146"/>
      <c r="Y3918" s="146"/>
    </row>
    <row r="3919" s="3" customFormat="1" customHeight="1" spans="1:25">
      <c r="A3919" s="154" t="s">
        <v>448</v>
      </c>
      <c r="B3919" s="292" t="s">
        <v>4284</v>
      </c>
      <c r="C3919" s="292" t="s">
        <v>5017</v>
      </c>
      <c r="D3919" s="292" t="s">
        <v>3939</v>
      </c>
      <c r="E3919" s="153" t="s">
        <v>5018</v>
      </c>
      <c r="F3919" s="154" t="s">
        <v>5019</v>
      </c>
      <c r="G3919" s="154" t="s">
        <v>88</v>
      </c>
      <c r="H3919" s="110" t="s">
        <v>5020</v>
      </c>
      <c r="I3919" s="30" t="e">
        <f>VLOOKUP(H3919,'合同高级查询数据-4月返'!A:A,1,FALSE)</f>
        <v>#N/A</v>
      </c>
      <c r="J3919" s="31" t="s">
        <v>162</v>
      </c>
      <c r="K3919" s="154" t="s">
        <v>5030</v>
      </c>
      <c r="L3919" s="293" t="s">
        <v>5031</v>
      </c>
      <c r="M3919" s="113" t="s">
        <v>5032</v>
      </c>
      <c r="N3919" s="146">
        <v>44712</v>
      </c>
      <c r="O3919" s="146" t="s">
        <v>163</v>
      </c>
      <c r="P3919" s="400">
        <v>0</v>
      </c>
      <c r="Q3919" s="295">
        <v>-2</v>
      </c>
      <c r="R3919" s="390">
        <f t="shared" si="129"/>
        <v>0</v>
      </c>
      <c r="S3919" s="127">
        <v>202304</v>
      </c>
      <c r="T3919" s="198" t="s">
        <v>5033</v>
      </c>
      <c r="U3919" s="391"/>
      <c r="V3919" s="422"/>
      <c r="W3919" s="393"/>
      <c r="X3919" s="146"/>
      <c r="Y3919" s="146"/>
    </row>
    <row r="3920" s="3" customFormat="1" customHeight="1" spans="1:25">
      <c r="A3920" s="154" t="s">
        <v>448</v>
      </c>
      <c r="B3920" s="292" t="s">
        <v>4284</v>
      </c>
      <c r="C3920" s="292" t="s">
        <v>5017</v>
      </c>
      <c r="D3920" s="292" t="s">
        <v>3939</v>
      </c>
      <c r="E3920" s="153" t="s">
        <v>5018</v>
      </c>
      <c r="F3920" s="154" t="s">
        <v>5019</v>
      </c>
      <c r="G3920" s="154" t="s">
        <v>31</v>
      </c>
      <c r="H3920" s="110" t="s">
        <v>5020</v>
      </c>
      <c r="I3920" s="30" t="e">
        <f>VLOOKUP(H3920,'合同高级查询数据-4月返'!A:A,1,FALSE)</f>
        <v>#N/A</v>
      </c>
      <c r="J3920" s="31" t="s">
        <v>33</v>
      </c>
      <c r="K3920" s="154" t="s">
        <v>5034</v>
      </c>
      <c r="L3920" s="293" t="s">
        <v>5022</v>
      </c>
      <c r="M3920" s="113"/>
      <c r="N3920" s="146" t="s">
        <v>1329</v>
      </c>
      <c r="O3920" s="146" t="s">
        <v>37</v>
      </c>
      <c r="P3920" s="400">
        <v>0</v>
      </c>
      <c r="Q3920" s="295">
        <v>160</v>
      </c>
      <c r="R3920" s="390">
        <f t="shared" si="129"/>
        <v>0</v>
      </c>
      <c r="S3920" s="127">
        <v>202304</v>
      </c>
      <c r="T3920" s="198" t="s">
        <v>5035</v>
      </c>
      <c r="U3920" s="391"/>
      <c r="V3920" s="422"/>
      <c r="W3920" s="393"/>
      <c r="X3920" s="146"/>
      <c r="Y3920" s="146"/>
    </row>
    <row r="3921" s="3" customFormat="1" customHeight="1" spans="1:25">
      <c r="A3921" s="154" t="s">
        <v>448</v>
      </c>
      <c r="B3921" s="292" t="s">
        <v>4284</v>
      </c>
      <c r="C3921" s="292" t="s">
        <v>5017</v>
      </c>
      <c r="D3921" s="292" t="s">
        <v>3939</v>
      </c>
      <c r="E3921" s="153" t="s">
        <v>5018</v>
      </c>
      <c r="F3921" s="154" t="s">
        <v>5019</v>
      </c>
      <c r="G3921" s="154" t="s">
        <v>31</v>
      </c>
      <c r="H3921" s="110" t="s">
        <v>5020</v>
      </c>
      <c r="I3921" s="30" t="e">
        <f>VLOOKUP(H3921,'合同高级查询数据-4月返'!A:A,1,FALSE)</f>
        <v>#N/A</v>
      </c>
      <c r="J3921" s="31" t="s">
        <v>33</v>
      </c>
      <c r="K3921" s="154" t="s">
        <v>5034</v>
      </c>
      <c r="L3921" s="293" t="s">
        <v>5022</v>
      </c>
      <c r="M3921" s="113"/>
      <c r="N3921" s="146">
        <v>44651</v>
      </c>
      <c r="O3921" s="146" t="s">
        <v>37</v>
      </c>
      <c r="P3921" s="400">
        <v>0</v>
      </c>
      <c r="Q3921" s="295">
        <v>-160</v>
      </c>
      <c r="R3921" s="390">
        <f t="shared" si="129"/>
        <v>0</v>
      </c>
      <c r="S3921" s="127">
        <v>202304</v>
      </c>
      <c r="T3921" s="198" t="s">
        <v>5036</v>
      </c>
      <c r="U3921" s="391"/>
      <c r="V3921" s="422"/>
      <c r="W3921" s="393"/>
      <c r="X3921" s="146"/>
      <c r="Y3921" s="146"/>
    </row>
    <row r="3922" s="3" customFormat="1" customHeight="1" spans="1:25">
      <c r="A3922" s="154" t="s">
        <v>448</v>
      </c>
      <c r="B3922" s="292" t="s">
        <v>4284</v>
      </c>
      <c r="C3922" s="292" t="s">
        <v>5017</v>
      </c>
      <c r="D3922" s="292" t="s">
        <v>3939</v>
      </c>
      <c r="E3922" s="153" t="s">
        <v>5018</v>
      </c>
      <c r="F3922" s="154" t="s">
        <v>5019</v>
      </c>
      <c r="G3922" s="154" t="s">
        <v>31</v>
      </c>
      <c r="H3922" s="110" t="s">
        <v>5020</v>
      </c>
      <c r="I3922" s="30" t="e">
        <f>VLOOKUP(H3922,'合同高级查询数据-4月返'!A:A,1,FALSE)</f>
        <v>#N/A</v>
      </c>
      <c r="J3922" s="31" t="s">
        <v>33</v>
      </c>
      <c r="K3922" s="154" t="s">
        <v>5037</v>
      </c>
      <c r="L3922" s="293" t="s">
        <v>5027</v>
      </c>
      <c r="M3922" s="113"/>
      <c r="N3922" s="146" t="s">
        <v>1329</v>
      </c>
      <c r="O3922" s="146" t="s">
        <v>37</v>
      </c>
      <c r="P3922" s="400">
        <v>0</v>
      </c>
      <c r="Q3922" s="295">
        <v>160</v>
      </c>
      <c r="R3922" s="390">
        <f t="shared" si="129"/>
        <v>0</v>
      </c>
      <c r="S3922" s="127">
        <v>202304</v>
      </c>
      <c r="T3922" s="198" t="s">
        <v>5038</v>
      </c>
      <c r="U3922" s="391"/>
      <c r="V3922" s="422"/>
      <c r="W3922" s="393"/>
      <c r="X3922" s="146"/>
      <c r="Y3922" s="146"/>
    </row>
    <row r="3923" s="3" customFormat="1" customHeight="1" spans="1:25">
      <c r="A3923" s="154" t="s">
        <v>448</v>
      </c>
      <c r="B3923" s="292" t="s">
        <v>4284</v>
      </c>
      <c r="C3923" s="292" t="s">
        <v>5017</v>
      </c>
      <c r="D3923" s="292" t="s">
        <v>3939</v>
      </c>
      <c r="E3923" s="153" t="s">
        <v>5018</v>
      </c>
      <c r="F3923" s="154" t="s">
        <v>5019</v>
      </c>
      <c r="G3923" s="154" t="s">
        <v>31</v>
      </c>
      <c r="H3923" s="110" t="s">
        <v>5020</v>
      </c>
      <c r="I3923" s="30" t="e">
        <f>VLOOKUP(H3923,'合同高级查询数据-4月返'!A:A,1,FALSE)</f>
        <v>#N/A</v>
      </c>
      <c r="J3923" s="31" t="s">
        <v>33</v>
      </c>
      <c r="K3923" s="154" t="s">
        <v>5037</v>
      </c>
      <c r="L3923" s="293" t="s">
        <v>5031</v>
      </c>
      <c r="M3923" s="113"/>
      <c r="N3923" s="146">
        <v>43214</v>
      </c>
      <c r="O3923" s="146" t="s">
        <v>37</v>
      </c>
      <c r="P3923" s="400">
        <v>0</v>
      </c>
      <c r="Q3923" s="295">
        <v>160</v>
      </c>
      <c r="R3923" s="390">
        <f t="shared" si="129"/>
        <v>0</v>
      </c>
      <c r="S3923" s="127">
        <v>202304</v>
      </c>
      <c r="T3923" s="198" t="s">
        <v>5039</v>
      </c>
      <c r="U3923" s="391"/>
      <c r="V3923" s="422"/>
      <c r="W3923" s="393"/>
      <c r="X3923" s="146"/>
      <c r="Y3923" s="146"/>
    </row>
    <row r="3924" s="3" customFormat="1" customHeight="1" spans="1:25">
      <c r="A3924" s="154" t="s">
        <v>448</v>
      </c>
      <c r="B3924" s="292" t="s">
        <v>4284</v>
      </c>
      <c r="C3924" s="292" t="s">
        <v>5017</v>
      </c>
      <c r="D3924" s="292" t="s">
        <v>3939</v>
      </c>
      <c r="E3924" s="153" t="s">
        <v>5018</v>
      </c>
      <c r="F3924" s="154" t="s">
        <v>5019</v>
      </c>
      <c r="G3924" s="154" t="s">
        <v>31</v>
      </c>
      <c r="H3924" s="110" t="s">
        <v>5020</v>
      </c>
      <c r="I3924" s="30" t="e">
        <f>VLOOKUP(H3924,'合同高级查询数据-4月返'!A:A,1,FALSE)</f>
        <v>#N/A</v>
      </c>
      <c r="J3924" s="31" t="s">
        <v>33</v>
      </c>
      <c r="K3924" s="154" t="s">
        <v>5037</v>
      </c>
      <c r="L3924" s="293" t="s">
        <v>5031</v>
      </c>
      <c r="M3924" s="113"/>
      <c r="N3924" s="146">
        <v>44712</v>
      </c>
      <c r="O3924" s="146" t="s">
        <v>37</v>
      </c>
      <c r="P3924" s="400">
        <v>0</v>
      </c>
      <c r="Q3924" s="295">
        <v>-160</v>
      </c>
      <c r="R3924" s="390">
        <f t="shared" si="129"/>
        <v>0</v>
      </c>
      <c r="S3924" s="127">
        <v>202304</v>
      </c>
      <c r="T3924" s="198" t="s">
        <v>5040</v>
      </c>
      <c r="U3924" s="391"/>
      <c r="V3924" s="422"/>
      <c r="W3924" s="393"/>
      <c r="X3924" s="146"/>
      <c r="Y3924" s="146"/>
    </row>
    <row r="3925" s="3" customFormat="1" customHeight="1" spans="1:25">
      <c r="A3925" s="154" t="s">
        <v>448</v>
      </c>
      <c r="B3925" s="154" t="s">
        <v>5041</v>
      </c>
      <c r="C3925" s="154" t="s">
        <v>5042</v>
      </c>
      <c r="D3925" s="292" t="s">
        <v>3939</v>
      </c>
      <c r="E3925" s="153" t="s">
        <v>5043</v>
      </c>
      <c r="F3925" s="154" t="s">
        <v>5044</v>
      </c>
      <c r="G3925" s="154" t="s">
        <v>88</v>
      </c>
      <c r="H3925" s="110" t="s">
        <v>5045</v>
      </c>
      <c r="I3925" s="30" t="e">
        <f>VLOOKUP(H3925,'合同高级查询数据-4月返'!A:A,1,FALSE)</f>
        <v>#N/A</v>
      </c>
      <c r="J3925" s="31" t="s">
        <v>162</v>
      </c>
      <c r="K3925" s="154" t="s">
        <v>5046</v>
      </c>
      <c r="L3925" s="293" t="s">
        <v>5047</v>
      </c>
      <c r="M3925" s="113" t="s">
        <v>5048</v>
      </c>
      <c r="N3925" s="193">
        <v>43344</v>
      </c>
      <c r="O3925" s="154" t="s">
        <v>702</v>
      </c>
      <c r="P3925" s="400">
        <v>4790</v>
      </c>
      <c r="Q3925" s="156">
        <v>2</v>
      </c>
      <c r="R3925" s="390">
        <f t="shared" si="129"/>
        <v>9580</v>
      </c>
      <c r="S3925" s="127">
        <v>202304</v>
      </c>
      <c r="T3925" s="423" t="s">
        <v>5049</v>
      </c>
      <c r="U3925" s="292"/>
      <c r="V3925" s="422"/>
      <c r="W3925" s="391"/>
      <c r="X3925" s="146"/>
      <c r="Y3925" s="146"/>
    </row>
    <row r="3926" s="3" customFormat="1" customHeight="1" spans="1:25">
      <c r="A3926" s="154" t="s">
        <v>448</v>
      </c>
      <c r="B3926" s="154" t="s">
        <v>5041</v>
      </c>
      <c r="C3926" s="154" t="s">
        <v>5042</v>
      </c>
      <c r="D3926" s="292" t="s">
        <v>3939</v>
      </c>
      <c r="E3926" s="153" t="s">
        <v>5043</v>
      </c>
      <c r="F3926" s="154" t="s">
        <v>5044</v>
      </c>
      <c r="G3926" s="154" t="s">
        <v>88</v>
      </c>
      <c r="H3926" s="110" t="s">
        <v>5045</v>
      </c>
      <c r="I3926" s="30" t="e">
        <f>VLOOKUP(H3926,'合同高级查询数据-4月返'!A:A,1,FALSE)</f>
        <v>#N/A</v>
      </c>
      <c r="J3926" s="31" t="s">
        <v>162</v>
      </c>
      <c r="K3926" s="154" t="s">
        <v>5050</v>
      </c>
      <c r="L3926" s="293" t="s">
        <v>5047</v>
      </c>
      <c r="M3926" s="113" t="s">
        <v>5048</v>
      </c>
      <c r="N3926" s="193">
        <v>43990</v>
      </c>
      <c r="O3926" s="154" t="s">
        <v>702</v>
      </c>
      <c r="P3926" s="400">
        <v>4790</v>
      </c>
      <c r="Q3926" s="295">
        <v>-1</v>
      </c>
      <c r="R3926" s="390">
        <f t="shared" si="129"/>
        <v>-4790</v>
      </c>
      <c r="S3926" s="127">
        <v>202304</v>
      </c>
      <c r="T3926" s="423" t="s">
        <v>5051</v>
      </c>
      <c r="U3926" s="292"/>
      <c r="V3926" s="422"/>
      <c r="W3926" s="391"/>
      <c r="X3926" s="146"/>
      <c r="Y3926" s="146"/>
    </row>
    <row r="3927" s="3" customFormat="1" customHeight="1" spans="1:25">
      <c r="A3927" s="154" t="s">
        <v>448</v>
      </c>
      <c r="B3927" s="154" t="s">
        <v>5041</v>
      </c>
      <c r="C3927" s="154" t="s">
        <v>5042</v>
      </c>
      <c r="D3927" s="292" t="s">
        <v>3939</v>
      </c>
      <c r="E3927" s="153" t="s">
        <v>5043</v>
      </c>
      <c r="F3927" s="154" t="s">
        <v>5044</v>
      </c>
      <c r="G3927" s="154" t="s">
        <v>88</v>
      </c>
      <c r="H3927" s="110" t="s">
        <v>5045</v>
      </c>
      <c r="I3927" s="30" t="e">
        <f>VLOOKUP(H3927,'合同高级查询数据-4月返'!A:A,1,FALSE)</f>
        <v>#N/A</v>
      </c>
      <c r="J3927" s="31" t="s">
        <v>162</v>
      </c>
      <c r="K3927" s="154" t="s">
        <v>5050</v>
      </c>
      <c r="L3927" s="293" t="s">
        <v>5047</v>
      </c>
      <c r="M3927" s="113" t="s">
        <v>5048</v>
      </c>
      <c r="N3927" s="193">
        <v>43405</v>
      </c>
      <c r="O3927" s="154" t="s">
        <v>702</v>
      </c>
      <c r="P3927" s="400">
        <v>0</v>
      </c>
      <c r="Q3927" s="295">
        <v>4</v>
      </c>
      <c r="R3927" s="390">
        <f t="shared" si="129"/>
        <v>0</v>
      </c>
      <c r="S3927" s="127">
        <v>202304</v>
      </c>
      <c r="T3927" s="423" t="s">
        <v>5052</v>
      </c>
      <c r="U3927" s="292"/>
      <c r="V3927" s="422"/>
      <c r="W3927" s="391"/>
      <c r="X3927" s="146"/>
      <c r="Y3927" s="146"/>
    </row>
    <row r="3928" s="3" customFormat="1" customHeight="1" spans="1:25">
      <c r="A3928" s="154" t="s">
        <v>448</v>
      </c>
      <c r="B3928" s="154" t="s">
        <v>5041</v>
      </c>
      <c r="C3928" s="154" t="s">
        <v>5042</v>
      </c>
      <c r="D3928" s="292" t="s">
        <v>3939</v>
      </c>
      <c r="E3928" s="153" t="s">
        <v>5043</v>
      </c>
      <c r="F3928" s="154" t="s">
        <v>5044</v>
      </c>
      <c r="G3928" s="154" t="s">
        <v>88</v>
      </c>
      <c r="H3928" s="110" t="s">
        <v>5045</v>
      </c>
      <c r="I3928" s="30" t="e">
        <f>VLOOKUP(H3928,'合同高级查询数据-4月返'!A:A,1,FALSE)</f>
        <v>#N/A</v>
      </c>
      <c r="J3928" s="31" t="s">
        <v>162</v>
      </c>
      <c r="K3928" s="154" t="s">
        <v>5050</v>
      </c>
      <c r="L3928" s="293" t="s">
        <v>5047</v>
      </c>
      <c r="M3928" s="113" t="s">
        <v>5048</v>
      </c>
      <c r="N3928" s="193">
        <v>43990</v>
      </c>
      <c r="O3928" s="154" t="s">
        <v>702</v>
      </c>
      <c r="P3928" s="400">
        <v>0</v>
      </c>
      <c r="Q3928" s="295">
        <v>-1</v>
      </c>
      <c r="R3928" s="390">
        <f t="shared" si="129"/>
        <v>0</v>
      </c>
      <c r="S3928" s="127">
        <v>202304</v>
      </c>
      <c r="T3928" s="423" t="s">
        <v>5053</v>
      </c>
      <c r="U3928" s="292"/>
      <c r="V3928" s="422"/>
      <c r="W3928" s="391"/>
      <c r="X3928" s="146"/>
      <c r="Y3928" s="146"/>
    </row>
    <row r="3929" s="3" customFormat="1" customHeight="1" spans="1:25">
      <c r="A3929" s="154" t="s">
        <v>448</v>
      </c>
      <c r="B3929" s="154" t="s">
        <v>5041</v>
      </c>
      <c r="C3929" s="154" t="s">
        <v>5042</v>
      </c>
      <c r="D3929" s="292" t="s">
        <v>3939</v>
      </c>
      <c r="E3929" s="153" t="s">
        <v>5043</v>
      </c>
      <c r="F3929" s="154" t="s">
        <v>5044</v>
      </c>
      <c r="G3929" s="154" t="s">
        <v>88</v>
      </c>
      <c r="H3929" s="110" t="s">
        <v>5045</v>
      </c>
      <c r="I3929" s="30" t="e">
        <f>VLOOKUP(H3929,'合同高级查询数据-4月返'!A:A,1,FALSE)</f>
        <v>#N/A</v>
      </c>
      <c r="J3929" s="31" t="s">
        <v>162</v>
      </c>
      <c r="K3929" s="154" t="s">
        <v>5050</v>
      </c>
      <c r="L3929" s="293" t="s">
        <v>5047</v>
      </c>
      <c r="M3929" s="113" t="s">
        <v>5048</v>
      </c>
      <c r="N3929" s="193">
        <v>44725</v>
      </c>
      <c r="O3929" s="154" t="s">
        <v>702</v>
      </c>
      <c r="P3929" s="400">
        <v>0</v>
      </c>
      <c r="Q3929" s="295">
        <v>-3</v>
      </c>
      <c r="R3929" s="390">
        <f t="shared" si="129"/>
        <v>0</v>
      </c>
      <c r="S3929" s="127">
        <v>202304</v>
      </c>
      <c r="T3929" s="423" t="s">
        <v>5054</v>
      </c>
      <c r="U3929" s="292"/>
      <c r="V3929" s="422"/>
      <c r="W3929" s="391"/>
      <c r="X3929" s="146"/>
      <c r="Y3929" s="146"/>
    </row>
    <row r="3930" s="3" customFormat="1" customHeight="1" spans="1:25">
      <c r="A3930" s="154" t="s">
        <v>448</v>
      </c>
      <c r="B3930" s="154" t="s">
        <v>5041</v>
      </c>
      <c r="C3930" s="154" t="s">
        <v>5042</v>
      </c>
      <c r="D3930" s="292" t="s">
        <v>3939</v>
      </c>
      <c r="E3930" s="153" t="s">
        <v>5043</v>
      </c>
      <c r="F3930" s="154" t="s">
        <v>5044</v>
      </c>
      <c r="G3930" s="154" t="s">
        <v>31</v>
      </c>
      <c r="H3930" s="110" t="s">
        <v>5045</v>
      </c>
      <c r="I3930" s="30" t="e">
        <f>VLOOKUP(H3930,'合同高级查询数据-4月返'!A:A,1,FALSE)</f>
        <v>#N/A</v>
      </c>
      <c r="J3930" s="31" t="s">
        <v>33</v>
      </c>
      <c r="K3930" s="154" t="s">
        <v>5046</v>
      </c>
      <c r="L3930" s="293" t="s">
        <v>5055</v>
      </c>
      <c r="M3930" s="113" t="s">
        <v>5048</v>
      </c>
      <c r="N3930" s="193">
        <v>43344</v>
      </c>
      <c r="O3930" s="154" t="s">
        <v>37</v>
      </c>
      <c r="P3930" s="400">
        <v>0</v>
      </c>
      <c r="Q3930" s="295">
        <v>128</v>
      </c>
      <c r="R3930" s="390">
        <f t="shared" si="129"/>
        <v>0</v>
      </c>
      <c r="S3930" s="127">
        <v>202304</v>
      </c>
      <c r="T3930" s="423" t="s">
        <v>5056</v>
      </c>
      <c r="U3930" s="292"/>
      <c r="V3930" s="422"/>
      <c r="W3930" s="391"/>
      <c r="X3930" s="146"/>
      <c r="Y3930" s="146"/>
    </row>
    <row r="3931" s="3" customFormat="1" customHeight="1" spans="1:25">
      <c r="A3931" s="154" t="s">
        <v>448</v>
      </c>
      <c r="B3931" s="154" t="s">
        <v>5041</v>
      </c>
      <c r="C3931" s="154" t="s">
        <v>5042</v>
      </c>
      <c r="D3931" s="292" t="s">
        <v>3939</v>
      </c>
      <c r="E3931" s="153" t="s">
        <v>5043</v>
      </c>
      <c r="F3931" s="154" t="s">
        <v>5044</v>
      </c>
      <c r="G3931" s="154" t="s">
        <v>31</v>
      </c>
      <c r="H3931" s="110" t="s">
        <v>5045</v>
      </c>
      <c r="I3931" s="30" t="e">
        <f>VLOOKUP(H3931,'合同高级查询数据-4月返'!A:A,1,FALSE)</f>
        <v>#N/A</v>
      </c>
      <c r="J3931" s="31" t="s">
        <v>33</v>
      </c>
      <c r="K3931" s="154" t="s">
        <v>5046</v>
      </c>
      <c r="L3931" s="293" t="s">
        <v>5055</v>
      </c>
      <c r="M3931" s="113" t="s">
        <v>5048</v>
      </c>
      <c r="N3931" s="193">
        <v>43344</v>
      </c>
      <c r="O3931" s="154" t="s">
        <v>37</v>
      </c>
      <c r="P3931" s="400">
        <v>0</v>
      </c>
      <c r="Q3931" s="295">
        <v>128</v>
      </c>
      <c r="R3931" s="390">
        <f t="shared" si="129"/>
        <v>0</v>
      </c>
      <c r="S3931" s="127">
        <v>202304</v>
      </c>
      <c r="T3931" s="423" t="s">
        <v>5056</v>
      </c>
      <c r="U3931" s="292"/>
      <c r="V3931" s="422"/>
      <c r="W3931" s="391"/>
      <c r="X3931" s="146"/>
      <c r="Y3931" s="146"/>
    </row>
    <row r="3932" s="3" customFormat="1" customHeight="1" spans="1:25">
      <c r="A3932" s="154" t="s">
        <v>448</v>
      </c>
      <c r="B3932" s="154" t="s">
        <v>5041</v>
      </c>
      <c r="C3932" s="154" t="s">
        <v>5042</v>
      </c>
      <c r="D3932" s="292" t="s">
        <v>3939</v>
      </c>
      <c r="E3932" s="153" t="s">
        <v>5043</v>
      </c>
      <c r="F3932" s="154" t="s">
        <v>5044</v>
      </c>
      <c r="G3932" s="154" t="s">
        <v>31</v>
      </c>
      <c r="H3932" s="110" t="s">
        <v>5045</v>
      </c>
      <c r="I3932" s="30" t="e">
        <f>VLOOKUP(H3932,'合同高级查询数据-4月返'!A:A,1,FALSE)</f>
        <v>#N/A</v>
      </c>
      <c r="J3932" s="31" t="s">
        <v>33</v>
      </c>
      <c r="K3932" s="154" t="s">
        <v>5046</v>
      </c>
      <c r="L3932" s="293" t="s">
        <v>5055</v>
      </c>
      <c r="M3932" s="113" t="s">
        <v>5048</v>
      </c>
      <c r="N3932" s="193">
        <v>43990</v>
      </c>
      <c r="O3932" s="154" t="s">
        <v>37</v>
      </c>
      <c r="P3932" s="400">
        <v>0</v>
      </c>
      <c r="Q3932" s="295">
        <v>-128</v>
      </c>
      <c r="R3932" s="390">
        <f t="shared" si="129"/>
        <v>0</v>
      </c>
      <c r="S3932" s="127">
        <v>202304</v>
      </c>
      <c r="T3932" s="423" t="s">
        <v>5057</v>
      </c>
      <c r="U3932" s="292"/>
      <c r="V3932" s="422"/>
      <c r="W3932" s="391"/>
      <c r="X3932" s="146"/>
      <c r="Y3932" s="146"/>
    </row>
    <row r="3933" s="3" customFormat="1" customHeight="1" spans="1:25">
      <c r="A3933" s="154" t="s">
        <v>448</v>
      </c>
      <c r="B3933" s="154" t="s">
        <v>5041</v>
      </c>
      <c r="C3933" s="154" t="s">
        <v>5042</v>
      </c>
      <c r="D3933" s="292" t="s">
        <v>3939</v>
      </c>
      <c r="E3933" s="153" t="s">
        <v>5043</v>
      </c>
      <c r="F3933" s="154" t="s">
        <v>5044</v>
      </c>
      <c r="G3933" s="154" t="s">
        <v>31</v>
      </c>
      <c r="H3933" s="110" t="s">
        <v>5045</v>
      </c>
      <c r="I3933" s="30" t="e">
        <f>VLOOKUP(H3933,'合同高级查询数据-4月返'!A:A,1,FALSE)</f>
        <v>#N/A</v>
      </c>
      <c r="J3933" s="31" t="s">
        <v>33</v>
      </c>
      <c r="K3933" s="154" t="s">
        <v>5046</v>
      </c>
      <c r="L3933" s="293" t="s">
        <v>5055</v>
      </c>
      <c r="M3933" s="113" t="s">
        <v>5048</v>
      </c>
      <c r="N3933" s="193">
        <v>43990</v>
      </c>
      <c r="O3933" s="154" t="s">
        <v>37</v>
      </c>
      <c r="P3933" s="400">
        <v>0</v>
      </c>
      <c r="Q3933" s="295">
        <v>-128</v>
      </c>
      <c r="R3933" s="390">
        <f t="shared" si="129"/>
        <v>0</v>
      </c>
      <c r="S3933" s="127">
        <v>202304</v>
      </c>
      <c r="T3933" s="423" t="s">
        <v>5057</v>
      </c>
      <c r="U3933" s="292"/>
      <c r="V3933" s="422"/>
      <c r="W3933" s="391"/>
      <c r="X3933" s="146"/>
      <c r="Y3933" s="146"/>
    </row>
    <row r="3934" s="3" customFormat="1" customHeight="1" spans="1:25">
      <c r="A3934" s="154" t="s">
        <v>448</v>
      </c>
      <c r="B3934" s="154" t="s">
        <v>5041</v>
      </c>
      <c r="C3934" s="154" t="s">
        <v>5042</v>
      </c>
      <c r="D3934" s="292" t="s">
        <v>3939</v>
      </c>
      <c r="E3934" s="153" t="s">
        <v>5043</v>
      </c>
      <c r="F3934" s="154" t="s">
        <v>5044</v>
      </c>
      <c r="G3934" s="154" t="s">
        <v>31</v>
      </c>
      <c r="H3934" s="110" t="s">
        <v>5045</v>
      </c>
      <c r="I3934" s="30" t="e">
        <f>VLOOKUP(H3934,'合同高级查询数据-4月返'!A:A,1,FALSE)</f>
        <v>#N/A</v>
      </c>
      <c r="J3934" s="31" t="s">
        <v>33</v>
      </c>
      <c r="K3934" s="154" t="s">
        <v>5050</v>
      </c>
      <c r="L3934" s="293" t="s">
        <v>5047</v>
      </c>
      <c r="M3934" s="113" t="s">
        <v>5048</v>
      </c>
      <c r="N3934" s="193">
        <v>43405</v>
      </c>
      <c r="O3934" s="154" t="s">
        <v>37</v>
      </c>
      <c r="P3934" s="400">
        <v>0</v>
      </c>
      <c r="Q3934" s="295">
        <v>64</v>
      </c>
      <c r="R3934" s="390">
        <f t="shared" si="129"/>
        <v>0</v>
      </c>
      <c r="S3934" s="127">
        <v>202304</v>
      </c>
      <c r="T3934" s="423" t="s">
        <v>5058</v>
      </c>
      <c r="U3934" s="292"/>
      <c r="V3934" s="422"/>
      <c r="W3934" s="391"/>
      <c r="X3934" s="146"/>
      <c r="Y3934" s="146"/>
    </row>
    <row r="3935" s="3" customFormat="1" customHeight="1" spans="1:25">
      <c r="A3935" s="154" t="s">
        <v>448</v>
      </c>
      <c r="B3935" s="154" t="s">
        <v>5041</v>
      </c>
      <c r="C3935" s="154" t="s">
        <v>5042</v>
      </c>
      <c r="D3935" s="292" t="s">
        <v>3939</v>
      </c>
      <c r="E3935" s="153" t="s">
        <v>5043</v>
      </c>
      <c r="F3935" s="154" t="s">
        <v>5044</v>
      </c>
      <c r="G3935" s="154" t="s">
        <v>31</v>
      </c>
      <c r="H3935" s="110" t="s">
        <v>5045</v>
      </c>
      <c r="I3935" s="30" t="e">
        <f>VLOOKUP(H3935,'合同高级查询数据-4月返'!A:A,1,FALSE)</f>
        <v>#N/A</v>
      </c>
      <c r="J3935" s="31" t="s">
        <v>33</v>
      </c>
      <c r="K3935" s="154" t="s">
        <v>5050</v>
      </c>
      <c r="L3935" s="293" t="s">
        <v>5047</v>
      </c>
      <c r="M3935" s="113" t="s">
        <v>5048</v>
      </c>
      <c r="N3935" s="193">
        <v>43405</v>
      </c>
      <c r="O3935" s="154" t="s">
        <v>37</v>
      </c>
      <c r="P3935" s="390">
        <v>50</v>
      </c>
      <c r="Q3935" s="295">
        <v>224</v>
      </c>
      <c r="R3935" s="390">
        <f t="shared" si="129"/>
        <v>11200</v>
      </c>
      <c r="S3935" s="127">
        <v>202304</v>
      </c>
      <c r="T3935" s="423" t="s">
        <v>5058</v>
      </c>
      <c r="U3935" s="292"/>
      <c r="V3935" s="422"/>
      <c r="W3935" s="391"/>
      <c r="X3935" s="146"/>
      <c r="Y3935" s="146"/>
    </row>
    <row r="3936" s="3" customFormat="1" customHeight="1" spans="1:25">
      <c r="A3936" s="154" t="s">
        <v>448</v>
      </c>
      <c r="B3936" s="154" t="s">
        <v>5041</v>
      </c>
      <c r="C3936" s="154" t="s">
        <v>5042</v>
      </c>
      <c r="D3936" s="292" t="s">
        <v>3939</v>
      </c>
      <c r="E3936" s="153" t="s">
        <v>5043</v>
      </c>
      <c r="F3936" s="154" t="s">
        <v>5044</v>
      </c>
      <c r="G3936" s="154" t="s">
        <v>31</v>
      </c>
      <c r="H3936" s="110" t="s">
        <v>5045</v>
      </c>
      <c r="I3936" s="30" t="e">
        <f>VLOOKUP(H3936,'合同高级查询数据-4月返'!A:A,1,FALSE)</f>
        <v>#N/A</v>
      </c>
      <c r="J3936" s="31" t="s">
        <v>33</v>
      </c>
      <c r="K3936" s="154" t="s">
        <v>5050</v>
      </c>
      <c r="L3936" s="293" t="s">
        <v>5047</v>
      </c>
      <c r="M3936" s="113" t="s">
        <v>5048</v>
      </c>
      <c r="N3936" s="193">
        <v>44897</v>
      </c>
      <c r="O3936" s="154" t="s">
        <v>37</v>
      </c>
      <c r="P3936" s="390">
        <v>50</v>
      </c>
      <c r="Q3936" s="295">
        <v>-128</v>
      </c>
      <c r="R3936" s="390">
        <f t="shared" si="129"/>
        <v>-6400</v>
      </c>
      <c r="S3936" s="127">
        <v>202304</v>
      </c>
      <c r="T3936" s="423" t="s">
        <v>5059</v>
      </c>
      <c r="U3936" s="292"/>
      <c r="V3936" s="422"/>
      <c r="W3936" s="391"/>
      <c r="X3936" s="146"/>
      <c r="Y3936" s="146"/>
    </row>
    <row r="3937" s="3" customFormat="1" customHeight="1" spans="1:25">
      <c r="A3937" s="154" t="s">
        <v>448</v>
      </c>
      <c r="B3937" s="292" t="s">
        <v>5007</v>
      </c>
      <c r="C3937" s="154" t="s">
        <v>330</v>
      </c>
      <c r="D3937" s="292" t="s">
        <v>3939</v>
      </c>
      <c r="E3937" s="153" t="s">
        <v>5060</v>
      </c>
      <c r="F3937" s="154" t="s">
        <v>5061</v>
      </c>
      <c r="G3937" s="154" t="s">
        <v>88</v>
      </c>
      <c r="H3937" s="154" t="s">
        <v>5062</v>
      </c>
      <c r="I3937" s="30" t="e">
        <f>VLOOKUP(H3937,'合同高级查询数据-4月返'!A:A,1,FALSE)</f>
        <v>#N/A</v>
      </c>
      <c r="J3937" s="155" t="s">
        <v>162</v>
      </c>
      <c r="K3937" s="292" t="s">
        <v>5063</v>
      </c>
      <c r="L3937" s="154" t="s">
        <v>5064</v>
      </c>
      <c r="M3937" s="113" t="s">
        <v>5065</v>
      </c>
      <c r="N3937" s="193">
        <v>42309</v>
      </c>
      <c r="O3937" s="154" t="s">
        <v>163</v>
      </c>
      <c r="P3937" s="421">
        <v>3500</v>
      </c>
      <c r="Q3937" s="295">
        <v>9</v>
      </c>
      <c r="R3937" s="424">
        <f t="shared" si="129"/>
        <v>31500</v>
      </c>
      <c r="S3937" s="127">
        <v>202304</v>
      </c>
      <c r="T3937" s="195" t="s">
        <v>5066</v>
      </c>
      <c r="U3937" s="194"/>
      <c r="V3937" s="422"/>
      <c r="W3937" s="159"/>
      <c r="X3937" s="146"/>
      <c r="Y3937" s="146"/>
    </row>
    <row r="3938" s="3" customFormat="1" customHeight="1" spans="1:25">
      <c r="A3938" s="154" t="s">
        <v>448</v>
      </c>
      <c r="B3938" s="292" t="s">
        <v>5007</v>
      </c>
      <c r="C3938" s="154" t="s">
        <v>330</v>
      </c>
      <c r="D3938" s="292" t="s">
        <v>3939</v>
      </c>
      <c r="E3938" s="153" t="s">
        <v>5060</v>
      </c>
      <c r="F3938" s="154" t="s">
        <v>5061</v>
      </c>
      <c r="G3938" s="154" t="s">
        <v>88</v>
      </c>
      <c r="H3938" s="154" t="s">
        <v>5062</v>
      </c>
      <c r="I3938" s="30" t="e">
        <f>VLOOKUP(H3938,'合同高级查询数据-4月返'!A:A,1,FALSE)</f>
        <v>#N/A</v>
      </c>
      <c r="J3938" s="155" t="s">
        <v>162</v>
      </c>
      <c r="K3938" s="292" t="s">
        <v>5063</v>
      </c>
      <c r="L3938" s="154" t="s">
        <v>5064</v>
      </c>
      <c r="M3938" s="113" t="s">
        <v>5065</v>
      </c>
      <c r="N3938" s="193">
        <v>44530</v>
      </c>
      <c r="O3938" s="154" t="s">
        <v>163</v>
      </c>
      <c r="P3938" s="421">
        <v>3500</v>
      </c>
      <c r="Q3938" s="295">
        <v>-1</v>
      </c>
      <c r="R3938" s="424">
        <f t="shared" si="129"/>
        <v>-3500</v>
      </c>
      <c r="S3938" s="127">
        <v>202304</v>
      </c>
      <c r="T3938" s="195" t="s">
        <v>5067</v>
      </c>
      <c r="U3938" s="194"/>
      <c r="V3938" s="422"/>
      <c r="W3938" s="159"/>
      <c r="X3938" s="146"/>
      <c r="Y3938" s="146"/>
    </row>
    <row r="3939" s="3" customFormat="1" customHeight="1" spans="1:25">
      <c r="A3939" s="154" t="s">
        <v>448</v>
      </c>
      <c r="B3939" s="292" t="s">
        <v>5007</v>
      </c>
      <c r="C3939" s="154" t="s">
        <v>330</v>
      </c>
      <c r="D3939" s="292" t="s">
        <v>3939</v>
      </c>
      <c r="E3939" s="153" t="s">
        <v>5060</v>
      </c>
      <c r="F3939" s="154" t="s">
        <v>5061</v>
      </c>
      <c r="G3939" s="154" t="s">
        <v>88</v>
      </c>
      <c r="H3939" s="154" t="s">
        <v>5062</v>
      </c>
      <c r="I3939" s="30" t="e">
        <f>VLOOKUP(H3939,'合同高级查询数据-4月返'!A:A,1,FALSE)</f>
        <v>#N/A</v>
      </c>
      <c r="J3939" s="155" t="s">
        <v>162</v>
      </c>
      <c r="K3939" s="292" t="s">
        <v>5063</v>
      </c>
      <c r="L3939" s="154" t="s">
        <v>5064</v>
      </c>
      <c r="M3939" s="113" t="s">
        <v>5065</v>
      </c>
      <c r="N3939" s="193">
        <v>44712</v>
      </c>
      <c r="O3939" s="154" t="s">
        <v>163</v>
      </c>
      <c r="P3939" s="421">
        <v>3500</v>
      </c>
      <c r="Q3939" s="295">
        <v>-8</v>
      </c>
      <c r="R3939" s="424">
        <f t="shared" si="129"/>
        <v>-28000</v>
      </c>
      <c r="S3939" s="127">
        <v>202304</v>
      </c>
      <c r="T3939" s="195" t="s">
        <v>5068</v>
      </c>
      <c r="U3939" s="194"/>
      <c r="V3939" s="422"/>
      <c r="W3939" s="159"/>
      <c r="X3939" s="146"/>
      <c r="Y3939" s="146"/>
    </row>
    <row r="3940" s="3" customFormat="1" customHeight="1" spans="1:25">
      <c r="A3940" s="154" t="s">
        <v>448</v>
      </c>
      <c r="B3940" s="292" t="s">
        <v>5007</v>
      </c>
      <c r="C3940" s="154" t="s">
        <v>330</v>
      </c>
      <c r="D3940" s="292" t="s">
        <v>3939</v>
      </c>
      <c r="E3940" s="153" t="s">
        <v>5060</v>
      </c>
      <c r="F3940" s="154" t="s">
        <v>5061</v>
      </c>
      <c r="G3940" s="154" t="s">
        <v>88</v>
      </c>
      <c r="H3940" s="154" t="s">
        <v>5062</v>
      </c>
      <c r="I3940" s="30" t="e">
        <f>VLOOKUP(H3940,'合同高级查询数据-4月返'!A:A,1,FALSE)</f>
        <v>#N/A</v>
      </c>
      <c r="J3940" s="155" t="s">
        <v>162</v>
      </c>
      <c r="K3940" s="292" t="s">
        <v>5063</v>
      </c>
      <c r="L3940" s="154" t="s">
        <v>5069</v>
      </c>
      <c r="M3940" s="113" t="s">
        <v>5065</v>
      </c>
      <c r="N3940" s="193">
        <v>43218</v>
      </c>
      <c r="O3940" s="154" t="s">
        <v>163</v>
      </c>
      <c r="P3940" s="421">
        <v>3500</v>
      </c>
      <c r="Q3940" s="295">
        <v>4</v>
      </c>
      <c r="R3940" s="424">
        <f t="shared" si="129"/>
        <v>14000</v>
      </c>
      <c r="S3940" s="127">
        <v>202304</v>
      </c>
      <c r="T3940" s="195" t="s">
        <v>5070</v>
      </c>
      <c r="U3940" s="194"/>
      <c r="V3940" s="422"/>
      <c r="W3940" s="159"/>
      <c r="X3940" s="146"/>
      <c r="Y3940" s="146"/>
    </row>
    <row r="3941" s="3" customFormat="1" customHeight="1" spans="1:25">
      <c r="A3941" s="154" t="s">
        <v>448</v>
      </c>
      <c r="B3941" s="292" t="s">
        <v>5007</v>
      </c>
      <c r="C3941" s="154" t="s">
        <v>330</v>
      </c>
      <c r="D3941" s="292" t="s">
        <v>3939</v>
      </c>
      <c r="E3941" s="153" t="s">
        <v>5060</v>
      </c>
      <c r="F3941" s="154" t="s">
        <v>5061</v>
      </c>
      <c r="G3941" s="154" t="s">
        <v>88</v>
      </c>
      <c r="H3941" s="154" t="s">
        <v>5062</v>
      </c>
      <c r="I3941" s="30" t="e">
        <f>VLOOKUP(H3941,'合同高级查询数据-4月返'!A:A,1,FALSE)</f>
        <v>#N/A</v>
      </c>
      <c r="J3941" s="155" t="s">
        <v>162</v>
      </c>
      <c r="K3941" s="292" t="s">
        <v>5063</v>
      </c>
      <c r="L3941" s="154" t="s">
        <v>5069</v>
      </c>
      <c r="M3941" s="113" t="s">
        <v>5065</v>
      </c>
      <c r="N3941" s="193">
        <v>43830</v>
      </c>
      <c r="O3941" s="154" t="s">
        <v>163</v>
      </c>
      <c r="P3941" s="421">
        <v>3500</v>
      </c>
      <c r="Q3941" s="295">
        <v>-4</v>
      </c>
      <c r="R3941" s="424">
        <f t="shared" si="129"/>
        <v>-14000</v>
      </c>
      <c r="S3941" s="127">
        <v>202304</v>
      </c>
      <c r="T3941" s="195" t="s">
        <v>5071</v>
      </c>
      <c r="U3941" s="194"/>
      <c r="V3941" s="422"/>
      <c r="W3941" s="159"/>
      <c r="X3941" s="146"/>
      <c r="Y3941" s="146"/>
    </row>
    <row r="3942" s="3" customFormat="1" customHeight="1" spans="1:25">
      <c r="A3942" s="154" t="s">
        <v>448</v>
      </c>
      <c r="B3942" s="292" t="s">
        <v>5007</v>
      </c>
      <c r="C3942" s="154" t="s">
        <v>330</v>
      </c>
      <c r="D3942" s="292" t="s">
        <v>3939</v>
      </c>
      <c r="E3942" s="153" t="s">
        <v>5060</v>
      </c>
      <c r="F3942" s="154" t="s">
        <v>5061</v>
      </c>
      <c r="G3942" s="154" t="s">
        <v>88</v>
      </c>
      <c r="H3942" s="154" t="s">
        <v>5062</v>
      </c>
      <c r="I3942" s="30" t="e">
        <f>VLOOKUP(H3942,'合同高级查询数据-4月返'!A:A,1,FALSE)</f>
        <v>#N/A</v>
      </c>
      <c r="J3942" s="155" t="s">
        <v>162</v>
      </c>
      <c r="K3942" s="292" t="s">
        <v>5063</v>
      </c>
      <c r="L3942" s="154" t="s">
        <v>5069</v>
      </c>
      <c r="M3942" s="113" t="s">
        <v>5065</v>
      </c>
      <c r="N3942" s="193">
        <v>43395</v>
      </c>
      <c r="O3942" s="154" t="s">
        <v>163</v>
      </c>
      <c r="P3942" s="421">
        <v>3500</v>
      </c>
      <c r="Q3942" s="295">
        <v>4</v>
      </c>
      <c r="R3942" s="424">
        <f t="shared" si="129"/>
        <v>14000</v>
      </c>
      <c r="S3942" s="127">
        <v>202304</v>
      </c>
      <c r="T3942" s="195" t="s">
        <v>5072</v>
      </c>
      <c r="U3942" s="194"/>
      <c r="V3942" s="422"/>
      <c r="W3942" s="159"/>
      <c r="X3942" s="146"/>
      <c r="Y3942" s="146"/>
    </row>
    <row r="3943" s="3" customFormat="1" customHeight="1" spans="1:25">
      <c r="A3943" s="154" t="s">
        <v>448</v>
      </c>
      <c r="B3943" s="292" t="s">
        <v>5007</v>
      </c>
      <c r="C3943" s="154" t="s">
        <v>330</v>
      </c>
      <c r="D3943" s="292" t="s">
        <v>3939</v>
      </c>
      <c r="E3943" s="153" t="s">
        <v>5060</v>
      </c>
      <c r="F3943" s="154" t="s">
        <v>5061</v>
      </c>
      <c r="G3943" s="154" t="s">
        <v>88</v>
      </c>
      <c r="H3943" s="154" t="s">
        <v>5062</v>
      </c>
      <c r="I3943" s="30" t="e">
        <f>VLOOKUP(H3943,'合同高级查询数据-4月返'!A:A,1,FALSE)</f>
        <v>#N/A</v>
      </c>
      <c r="J3943" s="155" t="s">
        <v>162</v>
      </c>
      <c r="K3943" s="292" t="s">
        <v>5063</v>
      </c>
      <c r="L3943" s="154" t="s">
        <v>5069</v>
      </c>
      <c r="M3943" s="113" t="s">
        <v>5065</v>
      </c>
      <c r="N3943" s="193">
        <v>44712</v>
      </c>
      <c r="O3943" s="154" t="s">
        <v>163</v>
      </c>
      <c r="P3943" s="421">
        <v>3500</v>
      </c>
      <c r="Q3943" s="295">
        <v>-4</v>
      </c>
      <c r="R3943" s="424">
        <f t="shared" si="129"/>
        <v>-14000</v>
      </c>
      <c r="S3943" s="127">
        <v>202304</v>
      </c>
      <c r="T3943" s="195" t="s">
        <v>5073</v>
      </c>
      <c r="U3943" s="194"/>
      <c r="V3943" s="422"/>
      <c r="W3943" s="159"/>
      <c r="X3943" s="146"/>
      <c r="Y3943" s="146"/>
    </row>
    <row r="3944" s="3" customFormat="1" customHeight="1" spans="1:25">
      <c r="A3944" s="154" t="s">
        <v>448</v>
      </c>
      <c r="B3944" s="292" t="s">
        <v>5007</v>
      </c>
      <c r="C3944" s="154" t="s">
        <v>330</v>
      </c>
      <c r="D3944" s="292" t="s">
        <v>3939</v>
      </c>
      <c r="E3944" s="153" t="s">
        <v>5060</v>
      </c>
      <c r="F3944" s="154" t="s">
        <v>5061</v>
      </c>
      <c r="G3944" s="154" t="s">
        <v>88</v>
      </c>
      <c r="H3944" s="154" t="s">
        <v>5062</v>
      </c>
      <c r="I3944" s="30" t="e">
        <f>VLOOKUP(H3944,'合同高级查询数据-4月返'!A:A,1,FALSE)</f>
        <v>#N/A</v>
      </c>
      <c r="J3944" s="155" t="s">
        <v>162</v>
      </c>
      <c r="K3944" s="292" t="s">
        <v>5063</v>
      </c>
      <c r="L3944" s="154" t="s">
        <v>5064</v>
      </c>
      <c r="M3944" s="113" t="s">
        <v>5065</v>
      </c>
      <c r="N3944" s="193">
        <v>44228</v>
      </c>
      <c r="O3944" s="154" t="s">
        <v>163</v>
      </c>
      <c r="P3944" s="421">
        <v>3500</v>
      </c>
      <c r="Q3944" s="295">
        <v>3</v>
      </c>
      <c r="R3944" s="424">
        <f t="shared" si="129"/>
        <v>10500</v>
      </c>
      <c r="S3944" s="127">
        <v>202304</v>
      </c>
      <c r="T3944" s="195" t="s">
        <v>5074</v>
      </c>
      <c r="U3944" s="194"/>
      <c r="V3944" s="422"/>
      <c r="W3944" s="159"/>
      <c r="X3944" s="146"/>
      <c r="Y3944" s="146"/>
    </row>
    <row r="3945" s="3" customFormat="1" customHeight="1" spans="1:25">
      <c r="A3945" s="154" t="s">
        <v>448</v>
      </c>
      <c r="B3945" s="292" t="s">
        <v>5007</v>
      </c>
      <c r="C3945" s="154" t="s">
        <v>330</v>
      </c>
      <c r="D3945" s="292" t="s">
        <v>3939</v>
      </c>
      <c r="E3945" s="153" t="s">
        <v>5060</v>
      </c>
      <c r="F3945" s="154" t="s">
        <v>5061</v>
      </c>
      <c r="G3945" s="154" t="s">
        <v>88</v>
      </c>
      <c r="H3945" s="154" t="s">
        <v>5062</v>
      </c>
      <c r="I3945" s="30" t="e">
        <f>VLOOKUP(H3945,'合同高级查询数据-4月返'!A:A,1,FALSE)</f>
        <v>#N/A</v>
      </c>
      <c r="J3945" s="155" t="s">
        <v>162</v>
      </c>
      <c r="K3945" s="292" t="s">
        <v>5063</v>
      </c>
      <c r="L3945" s="154" t="s">
        <v>5064</v>
      </c>
      <c r="M3945" s="113" t="s">
        <v>5065</v>
      </c>
      <c r="N3945" s="193">
        <v>44804</v>
      </c>
      <c r="O3945" s="154" t="s">
        <v>163</v>
      </c>
      <c r="P3945" s="421">
        <v>3500</v>
      </c>
      <c r="Q3945" s="295">
        <v>-3</v>
      </c>
      <c r="R3945" s="424">
        <f t="shared" si="129"/>
        <v>-10500</v>
      </c>
      <c r="S3945" s="127">
        <v>202304</v>
      </c>
      <c r="T3945" s="150" t="s">
        <v>5075</v>
      </c>
      <c r="U3945" s="194"/>
      <c r="V3945" s="422"/>
      <c r="W3945" s="159"/>
      <c r="X3945" s="146"/>
      <c r="Y3945" s="146"/>
    </row>
    <row r="3946" s="3" customFormat="1" customHeight="1" spans="1:25">
      <c r="A3946" s="154" t="s">
        <v>448</v>
      </c>
      <c r="B3946" s="292" t="s">
        <v>5007</v>
      </c>
      <c r="C3946" s="154" t="s">
        <v>330</v>
      </c>
      <c r="D3946" s="292" t="s">
        <v>3939</v>
      </c>
      <c r="E3946" s="153" t="s">
        <v>5060</v>
      </c>
      <c r="F3946" s="154" t="s">
        <v>5061</v>
      </c>
      <c r="G3946" s="154" t="s">
        <v>31</v>
      </c>
      <c r="H3946" s="154" t="s">
        <v>5062</v>
      </c>
      <c r="I3946" s="30" t="e">
        <f>VLOOKUP(H3946,'合同高级查询数据-4月返'!A:A,1,FALSE)</f>
        <v>#N/A</v>
      </c>
      <c r="J3946" s="154" t="s">
        <v>33</v>
      </c>
      <c r="K3946" s="292" t="s">
        <v>5063</v>
      </c>
      <c r="L3946" s="142" t="s">
        <v>5064</v>
      </c>
      <c r="M3946" s="113" t="s">
        <v>5065</v>
      </c>
      <c r="N3946" s="193">
        <v>44228</v>
      </c>
      <c r="O3946" s="146" t="s">
        <v>37</v>
      </c>
      <c r="P3946" s="400">
        <v>0</v>
      </c>
      <c r="Q3946" s="295">
        <v>128</v>
      </c>
      <c r="R3946" s="424">
        <f t="shared" si="129"/>
        <v>0</v>
      </c>
      <c r="S3946" s="127">
        <v>202304</v>
      </c>
      <c r="T3946" s="195" t="s">
        <v>5076</v>
      </c>
      <c r="U3946" s="194"/>
      <c r="V3946" s="422"/>
      <c r="W3946" s="159"/>
      <c r="X3946" s="146"/>
      <c r="Y3946" s="146"/>
    </row>
    <row r="3947" s="3" customFormat="1" customHeight="1" spans="1:25">
      <c r="A3947" s="292" t="s">
        <v>448</v>
      </c>
      <c r="B3947" s="292" t="s">
        <v>5007</v>
      </c>
      <c r="C3947" s="154" t="s">
        <v>330</v>
      </c>
      <c r="D3947" s="154" t="s">
        <v>3939</v>
      </c>
      <c r="E3947" s="419" t="s">
        <v>5060</v>
      </c>
      <c r="F3947" s="292" t="s">
        <v>5061</v>
      </c>
      <c r="G3947" s="142" t="s">
        <v>31</v>
      </c>
      <c r="H3947" s="154" t="s">
        <v>5062</v>
      </c>
      <c r="I3947" s="30" t="e">
        <f>VLOOKUP(H3947,'合同高级查询数据-4月返'!A:A,1,FALSE)</f>
        <v>#N/A</v>
      </c>
      <c r="J3947" s="155" t="s">
        <v>33</v>
      </c>
      <c r="K3947" s="292" t="s">
        <v>5077</v>
      </c>
      <c r="L3947" s="142" t="s">
        <v>5064</v>
      </c>
      <c r="M3947" s="113" t="s">
        <v>5065</v>
      </c>
      <c r="N3947" s="146">
        <v>44409</v>
      </c>
      <c r="O3947" s="142" t="s">
        <v>37</v>
      </c>
      <c r="P3947" s="400">
        <v>0</v>
      </c>
      <c r="Q3947" s="295">
        <v>128</v>
      </c>
      <c r="R3947" s="424">
        <f t="shared" si="129"/>
        <v>0</v>
      </c>
      <c r="S3947" s="127">
        <v>202304</v>
      </c>
      <c r="T3947" s="148" t="s">
        <v>5078</v>
      </c>
      <c r="U3947" s="141"/>
      <c r="V3947" s="422"/>
      <c r="W3947" s="159"/>
      <c r="X3947" s="146"/>
      <c r="Y3947" s="146"/>
    </row>
    <row r="3948" s="3" customFormat="1" customHeight="1" spans="1:25">
      <c r="A3948" s="292" t="s">
        <v>448</v>
      </c>
      <c r="B3948" s="292" t="s">
        <v>5007</v>
      </c>
      <c r="C3948" s="154" t="s">
        <v>330</v>
      </c>
      <c r="D3948" s="154" t="s">
        <v>3939</v>
      </c>
      <c r="E3948" s="419" t="s">
        <v>5060</v>
      </c>
      <c r="F3948" s="292" t="s">
        <v>5061</v>
      </c>
      <c r="G3948" s="142" t="s">
        <v>31</v>
      </c>
      <c r="H3948" s="154" t="s">
        <v>5062</v>
      </c>
      <c r="I3948" s="30" t="e">
        <f>VLOOKUP(H3948,'合同高级查询数据-4月返'!A:A,1,FALSE)</f>
        <v>#N/A</v>
      </c>
      <c r="J3948" s="155" t="s">
        <v>33</v>
      </c>
      <c r="K3948" s="292" t="s">
        <v>5077</v>
      </c>
      <c r="L3948" s="142" t="s">
        <v>5064</v>
      </c>
      <c r="M3948" s="113" t="s">
        <v>5065</v>
      </c>
      <c r="N3948" s="146"/>
      <c r="O3948" s="142" t="s">
        <v>37</v>
      </c>
      <c r="P3948" s="400">
        <v>0</v>
      </c>
      <c r="Q3948" s="295">
        <v>288</v>
      </c>
      <c r="R3948" s="424">
        <f t="shared" si="129"/>
        <v>0</v>
      </c>
      <c r="S3948" s="127">
        <v>202304</v>
      </c>
      <c r="T3948" s="148"/>
      <c r="U3948" s="141"/>
      <c r="V3948" s="422"/>
      <c r="W3948" s="159"/>
      <c r="X3948" s="146"/>
      <c r="Y3948" s="146"/>
    </row>
    <row r="3949" s="3" customFormat="1" customHeight="1" spans="1:25">
      <c r="A3949" s="292" t="s">
        <v>448</v>
      </c>
      <c r="B3949" s="292" t="s">
        <v>5007</v>
      </c>
      <c r="C3949" s="154" t="s">
        <v>330</v>
      </c>
      <c r="D3949" s="154" t="s">
        <v>3939</v>
      </c>
      <c r="E3949" s="419" t="s">
        <v>5060</v>
      </c>
      <c r="F3949" s="292" t="s">
        <v>5061</v>
      </c>
      <c r="G3949" s="142" t="s">
        <v>31</v>
      </c>
      <c r="H3949" s="154" t="s">
        <v>5062</v>
      </c>
      <c r="I3949" s="30" t="e">
        <f>VLOOKUP(H3949,'合同高级查询数据-4月返'!A:A,1,FALSE)</f>
        <v>#N/A</v>
      </c>
      <c r="J3949" s="155" t="s">
        <v>33</v>
      </c>
      <c r="K3949" s="292" t="s">
        <v>5077</v>
      </c>
      <c r="L3949" s="142" t="s">
        <v>5064</v>
      </c>
      <c r="M3949" s="113" t="s">
        <v>5065</v>
      </c>
      <c r="N3949" s="193">
        <v>44712</v>
      </c>
      <c r="O3949" s="142" t="s">
        <v>37</v>
      </c>
      <c r="P3949" s="400">
        <v>0</v>
      </c>
      <c r="Q3949" s="295">
        <v>-288</v>
      </c>
      <c r="R3949" s="424">
        <f t="shared" si="129"/>
        <v>0</v>
      </c>
      <c r="S3949" s="127">
        <v>202304</v>
      </c>
      <c r="T3949" s="148" t="s">
        <v>5079</v>
      </c>
      <c r="U3949" s="141"/>
      <c r="V3949" s="422"/>
      <c r="W3949" s="159"/>
      <c r="X3949" s="146"/>
      <c r="Y3949" s="146"/>
    </row>
    <row r="3950" s="3" customFormat="1" customHeight="1" spans="1:25">
      <c r="A3950" s="292" t="s">
        <v>448</v>
      </c>
      <c r="B3950" s="292" t="s">
        <v>5007</v>
      </c>
      <c r="C3950" s="154" t="s">
        <v>330</v>
      </c>
      <c r="D3950" s="154" t="s">
        <v>3939</v>
      </c>
      <c r="E3950" s="419" t="s">
        <v>5060</v>
      </c>
      <c r="F3950" s="292" t="s">
        <v>5061</v>
      </c>
      <c r="G3950" s="142" t="s">
        <v>31</v>
      </c>
      <c r="H3950" s="154" t="s">
        <v>5062</v>
      </c>
      <c r="I3950" s="30" t="e">
        <f>VLOOKUP(H3950,'合同高级查询数据-4月返'!A:A,1,FALSE)</f>
        <v>#N/A</v>
      </c>
      <c r="J3950" s="155" t="s">
        <v>33</v>
      </c>
      <c r="K3950" s="292" t="s">
        <v>5077</v>
      </c>
      <c r="L3950" s="142" t="s">
        <v>5069</v>
      </c>
      <c r="M3950" s="113" t="s">
        <v>5065</v>
      </c>
      <c r="N3950" s="193" t="s">
        <v>4998</v>
      </c>
      <c r="O3950" s="142" t="s">
        <v>37</v>
      </c>
      <c r="P3950" s="400">
        <v>0</v>
      </c>
      <c r="Q3950" s="295">
        <v>288</v>
      </c>
      <c r="R3950" s="424">
        <f t="shared" si="129"/>
        <v>0</v>
      </c>
      <c r="S3950" s="127">
        <v>202304</v>
      </c>
      <c r="T3950" s="148" t="s">
        <v>5080</v>
      </c>
      <c r="U3950" s="141"/>
      <c r="V3950" s="422"/>
      <c r="W3950" s="159"/>
      <c r="X3950" s="146"/>
      <c r="Y3950" s="146"/>
    </row>
    <row r="3951" s="3" customFormat="1" customHeight="1" spans="1:25">
      <c r="A3951" s="292" t="s">
        <v>448</v>
      </c>
      <c r="B3951" s="292" t="s">
        <v>5007</v>
      </c>
      <c r="C3951" s="154" t="s">
        <v>330</v>
      </c>
      <c r="D3951" s="154" t="s">
        <v>3939</v>
      </c>
      <c r="E3951" s="419" t="s">
        <v>5060</v>
      </c>
      <c r="F3951" s="292" t="s">
        <v>5061</v>
      </c>
      <c r="G3951" s="142" t="s">
        <v>31</v>
      </c>
      <c r="H3951" s="154" t="s">
        <v>5062</v>
      </c>
      <c r="I3951" s="30" t="e">
        <f>VLOOKUP(H3951,'合同高级查询数据-4月返'!A:A,1,FALSE)</f>
        <v>#N/A</v>
      </c>
      <c r="J3951" s="155" t="s">
        <v>33</v>
      </c>
      <c r="K3951" s="292" t="s">
        <v>5077</v>
      </c>
      <c r="L3951" s="142" t="s">
        <v>5069</v>
      </c>
      <c r="M3951" s="113" t="s">
        <v>5065</v>
      </c>
      <c r="N3951" s="193">
        <v>44712</v>
      </c>
      <c r="O3951" s="142" t="s">
        <v>37</v>
      </c>
      <c r="P3951" s="400">
        <v>0</v>
      </c>
      <c r="Q3951" s="295">
        <v>-288</v>
      </c>
      <c r="R3951" s="424">
        <f t="shared" si="129"/>
        <v>0</v>
      </c>
      <c r="S3951" s="127">
        <v>202304</v>
      </c>
      <c r="T3951" s="148" t="s">
        <v>5080</v>
      </c>
      <c r="U3951" s="141"/>
      <c r="V3951" s="422"/>
      <c r="W3951" s="159"/>
      <c r="X3951" s="146"/>
      <c r="Y3951" s="146"/>
    </row>
    <row r="3952" s="3" customFormat="1" customHeight="1" spans="1:25">
      <c r="A3952" s="292" t="s">
        <v>448</v>
      </c>
      <c r="B3952" s="292" t="s">
        <v>5007</v>
      </c>
      <c r="C3952" s="154" t="s">
        <v>330</v>
      </c>
      <c r="D3952" s="154" t="s">
        <v>3939</v>
      </c>
      <c r="E3952" s="419" t="s">
        <v>5060</v>
      </c>
      <c r="F3952" s="292" t="s">
        <v>5061</v>
      </c>
      <c r="G3952" s="142" t="s">
        <v>31</v>
      </c>
      <c r="H3952" s="154" t="s">
        <v>5062</v>
      </c>
      <c r="I3952" s="30" t="e">
        <f>VLOOKUP(H3952,'合同高级查询数据-4月返'!A:A,1,FALSE)</f>
        <v>#N/A</v>
      </c>
      <c r="J3952" s="155" t="s">
        <v>33</v>
      </c>
      <c r="K3952" s="292" t="s">
        <v>5077</v>
      </c>
      <c r="L3952" s="142" t="s">
        <v>5069</v>
      </c>
      <c r="M3952" s="113" t="s">
        <v>5065</v>
      </c>
      <c r="N3952" s="193">
        <v>44804</v>
      </c>
      <c r="O3952" s="142" t="s">
        <v>37</v>
      </c>
      <c r="P3952" s="400">
        <v>0</v>
      </c>
      <c r="Q3952" s="295">
        <v>-256</v>
      </c>
      <c r="R3952" s="424">
        <f t="shared" si="129"/>
        <v>0</v>
      </c>
      <c r="S3952" s="127">
        <v>202304</v>
      </c>
      <c r="T3952" s="148" t="s">
        <v>5081</v>
      </c>
      <c r="U3952" s="141"/>
      <c r="V3952" s="422"/>
      <c r="W3952" s="159"/>
      <c r="X3952" s="146"/>
      <c r="Y3952" s="146"/>
    </row>
    <row r="3953" s="3" customFormat="1" customHeight="1" spans="1:25">
      <c r="A3953" s="292" t="s">
        <v>448</v>
      </c>
      <c r="B3953" s="292" t="s">
        <v>5007</v>
      </c>
      <c r="C3953" s="154" t="s">
        <v>330</v>
      </c>
      <c r="D3953" s="154" t="s">
        <v>3939</v>
      </c>
      <c r="E3953" s="419" t="s">
        <v>5060</v>
      </c>
      <c r="F3953" s="292" t="s">
        <v>5082</v>
      </c>
      <c r="G3953" s="142" t="s">
        <v>88</v>
      </c>
      <c r="H3953" s="155" t="s">
        <v>5083</v>
      </c>
      <c r="I3953" s="30" t="e">
        <f>VLOOKUP(H3953,'合同高级查询数据-4月返'!A:A,1,FALSE)</f>
        <v>#N/A</v>
      </c>
      <c r="J3953" s="155" t="s">
        <v>162</v>
      </c>
      <c r="K3953" s="292" t="s">
        <v>5084</v>
      </c>
      <c r="L3953" s="142" t="s">
        <v>5085</v>
      </c>
      <c r="M3953" s="113" t="s">
        <v>5086</v>
      </c>
      <c r="N3953" s="146">
        <v>44352</v>
      </c>
      <c r="O3953" s="142" t="s">
        <v>163</v>
      </c>
      <c r="P3953" s="400">
        <v>3500</v>
      </c>
      <c r="Q3953" s="295">
        <v>3</v>
      </c>
      <c r="R3953" s="390">
        <f t="shared" si="129"/>
        <v>10500</v>
      </c>
      <c r="S3953" s="127">
        <v>202304</v>
      </c>
      <c r="T3953" s="148" t="s">
        <v>5087</v>
      </c>
      <c r="U3953" s="141"/>
      <c r="V3953" s="422"/>
      <c r="W3953" s="159"/>
      <c r="X3953" s="146"/>
      <c r="Y3953" s="146"/>
    </row>
    <row r="3954" s="3" customFormat="1" customHeight="1" spans="1:25">
      <c r="A3954" s="292" t="s">
        <v>448</v>
      </c>
      <c r="B3954" s="292" t="s">
        <v>5007</v>
      </c>
      <c r="C3954" s="154" t="s">
        <v>330</v>
      </c>
      <c r="D3954" s="154" t="s">
        <v>3939</v>
      </c>
      <c r="E3954" s="419" t="s">
        <v>5060</v>
      </c>
      <c r="F3954" s="292" t="s">
        <v>5082</v>
      </c>
      <c r="G3954" s="142" t="s">
        <v>88</v>
      </c>
      <c r="H3954" s="155" t="s">
        <v>5088</v>
      </c>
      <c r="I3954" s="30" t="e">
        <f>VLOOKUP(H3954,'合同高级查询数据-4月返'!A:A,1,FALSE)</f>
        <v>#N/A</v>
      </c>
      <c r="J3954" s="155" t="s">
        <v>162</v>
      </c>
      <c r="K3954" s="292" t="s">
        <v>5084</v>
      </c>
      <c r="L3954" s="142" t="s">
        <v>5085</v>
      </c>
      <c r="M3954" s="113" t="s">
        <v>5086</v>
      </c>
      <c r="N3954" s="146">
        <v>44805</v>
      </c>
      <c r="O3954" s="142" t="s">
        <v>163</v>
      </c>
      <c r="P3954" s="400">
        <v>3500</v>
      </c>
      <c r="Q3954" s="295">
        <v>1</v>
      </c>
      <c r="R3954" s="390">
        <f t="shared" si="129"/>
        <v>3500</v>
      </c>
      <c r="S3954" s="127">
        <v>202304</v>
      </c>
      <c r="T3954" s="148" t="s">
        <v>5089</v>
      </c>
      <c r="U3954" s="141"/>
      <c r="V3954" s="422"/>
      <c r="W3954" s="159"/>
      <c r="X3954" s="146"/>
      <c r="Y3954" s="146"/>
    </row>
    <row r="3955" s="3" customFormat="1" customHeight="1" spans="1:25">
      <c r="A3955" s="292" t="s">
        <v>448</v>
      </c>
      <c r="B3955" s="292" t="s">
        <v>5007</v>
      </c>
      <c r="C3955" s="154" t="s">
        <v>330</v>
      </c>
      <c r="D3955" s="154" t="s">
        <v>3939</v>
      </c>
      <c r="E3955" s="419" t="s">
        <v>5060</v>
      </c>
      <c r="F3955" s="292" t="s">
        <v>5082</v>
      </c>
      <c r="G3955" s="142" t="s">
        <v>31</v>
      </c>
      <c r="H3955" s="155" t="s">
        <v>5083</v>
      </c>
      <c r="I3955" s="30" t="e">
        <f>VLOOKUP(H3955,'合同高级查询数据-4月返'!A:A,1,FALSE)</f>
        <v>#N/A</v>
      </c>
      <c r="J3955" s="155" t="s">
        <v>33</v>
      </c>
      <c r="K3955" s="292" t="s">
        <v>5084</v>
      </c>
      <c r="L3955" s="142" t="s">
        <v>5085</v>
      </c>
      <c r="M3955" s="113" t="s">
        <v>5086</v>
      </c>
      <c r="N3955" s="146">
        <v>44352</v>
      </c>
      <c r="O3955" s="142" t="s">
        <v>37</v>
      </c>
      <c r="P3955" s="400">
        <v>50</v>
      </c>
      <c r="Q3955" s="295">
        <v>128</v>
      </c>
      <c r="R3955" s="424">
        <f t="shared" si="129"/>
        <v>6400</v>
      </c>
      <c r="S3955" s="127">
        <v>202304</v>
      </c>
      <c r="T3955" s="148" t="s">
        <v>5090</v>
      </c>
      <c r="U3955" s="141"/>
      <c r="V3955" s="422"/>
      <c r="W3955" s="159"/>
      <c r="X3955" s="146"/>
      <c r="Y3955" s="146"/>
    </row>
    <row r="3956" s="3" customFormat="1" customHeight="1" spans="1:25">
      <c r="A3956" s="292" t="s">
        <v>448</v>
      </c>
      <c r="B3956" s="292" t="s">
        <v>5007</v>
      </c>
      <c r="C3956" s="154" t="s">
        <v>330</v>
      </c>
      <c r="D3956" s="154" t="s">
        <v>3939</v>
      </c>
      <c r="E3956" s="419" t="s">
        <v>5060</v>
      </c>
      <c r="F3956" s="292" t="s">
        <v>5082</v>
      </c>
      <c r="G3956" s="142" t="s">
        <v>31</v>
      </c>
      <c r="H3956" s="155" t="s">
        <v>5083</v>
      </c>
      <c r="I3956" s="30" t="e">
        <f>VLOOKUP(H3956,'合同高级查询数据-4月返'!A:A,1,FALSE)</f>
        <v>#N/A</v>
      </c>
      <c r="J3956" s="155" t="s">
        <v>33</v>
      </c>
      <c r="K3956" s="292" t="s">
        <v>5084</v>
      </c>
      <c r="L3956" s="142" t="s">
        <v>5085</v>
      </c>
      <c r="M3956" s="113" t="s">
        <v>5086</v>
      </c>
      <c r="N3956" s="146">
        <v>44352</v>
      </c>
      <c r="O3956" s="142" t="s">
        <v>37</v>
      </c>
      <c r="P3956" s="400">
        <v>0</v>
      </c>
      <c r="Q3956" s="295">
        <v>160</v>
      </c>
      <c r="R3956" s="424">
        <f t="shared" si="129"/>
        <v>0</v>
      </c>
      <c r="S3956" s="127">
        <v>202304</v>
      </c>
      <c r="T3956" s="148" t="s">
        <v>5091</v>
      </c>
      <c r="U3956" s="141"/>
      <c r="V3956" s="422"/>
      <c r="W3956" s="159"/>
      <c r="X3956" s="146"/>
      <c r="Y3956" s="146"/>
    </row>
    <row r="3957" s="3" customFormat="1" customHeight="1" spans="1:25">
      <c r="A3957" s="292" t="s">
        <v>448</v>
      </c>
      <c r="B3957" s="292" t="s">
        <v>5007</v>
      </c>
      <c r="C3957" s="154" t="s">
        <v>330</v>
      </c>
      <c r="D3957" s="154" t="s">
        <v>3939</v>
      </c>
      <c r="E3957" s="419" t="s">
        <v>5060</v>
      </c>
      <c r="F3957" s="292" t="s">
        <v>5082</v>
      </c>
      <c r="G3957" s="142" t="s">
        <v>31</v>
      </c>
      <c r="H3957" s="155" t="s">
        <v>5088</v>
      </c>
      <c r="I3957" s="30" t="e">
        <f>VLOOKUP(H3957,'合同高级查询数据-4月返'!A:A,1,FALSE)</f>
        <v>#N/A</v>
      </c>
      <c r="J3957" s="155" t="s">
        <v>33</v>
      </c>
      <c r="K3957" s="292" t="s">
        <v>5084</v>
      </c>
      <c r="L3957" s="142" t="s">
        <v>5085</v>
      </c>
      <c r="M3957" s="113" t="s">
        <v>5086</v>
      </c>
      <c r="N3957" s="146">
        <v>44805</v>
      </c>
      <c r="O3957" s="142" t="s">
        <v>37</v>
      </c>
      <c r="P3957" s="400">
        <v>50</v>
      </c>
      <c r="Q3957" s="295">
        <v>128</v>
      </c>
      <c r="R3957" s="424">
        <f t="shared" si="129"/>
        <v>6400</v>
      </c>
      <c r="S3957" s="127">
        <v>202304</v>
      </c>
      <c r="T3957" s="425" t="s">
        <v>5092</v>
      </c>
      <c r="U3957" s="141"/>
      <c r="V3957" s="422"/>
      <c r="W3957" s="159"/>
      <c r="X3957" s="146"/>
      <c r="Y3957" s="146"/>
    </row>
    <row r="3958" s="3" customFormat="1" customHeight="1" spans="1:25">
      <c r="A3958" s="292" t="s">
        <v>448</v>
      </c>
      <c r="B3958" s="292" t="s">
        <v>5007</v>
      </c>
      <c r="C3958" s="154" t="s">
        <v>330</v>
      </c>
      <c r="D3958" s="154" t="s">
        <v>3939</v>
      </c>
      <c r="E3958" s="419" t="s">
        <v>5060</v>
      </c>
      <c r="F3958" s="292" t="s">
        <v>5082</v>
      </c>
      <c r="G3958" s="142" t="s">
        <v>31</v>
      </c>
      <c r="H3958" s="155" t="s">
        <v>5083</v>
      </c>
      <c r="I3958" s="30" t="e">
        <f>VLOOKUP(H3958,'合同高级查询数据-4月返'!A:A,1,FALSE)</f>
        <v>#N/A</v>
      </c>
      <c r="J3958" s="155" t="s">
        <v>33</v>
      </c>
      <c r="K3958" s="292" t="s">
        <v>5084</v>
      </c>
      <c r="L3958" s="142" t="s">
        <v>5085</v>
      </c>
      <c r="M3958" s="113" t="s">
        <v>5086</v>
      </c>
      <c r="N3958" s="146">
        <v>44902</v>
      </c>
      <c r="O3958" s="142" t="s">
        <v>37</v>
      </c>
      <c r="P3958" s="400">
        <v>50</v>
      </c>
      <c r="Q3958" s="295">
        <v>-128</v>
      </c>
      <c r="R3958" s="390">
        <f t="shared" si="129"/>
        <v>-6400</v>
      </c>
      <c r="S3958" s="127">
        <v>202304</v>
      </c>
      <c r="T3958" s="148" t="s">
        <v>5093</v>
      </c>
      <c r="U3958" s="141"/>
      <c r="V3958" s="422"/>
      <c r="W3958" s="159"/>
      <c r="X3958" s="146"/>
      <c r="Y3958" s="146"/>
    </row>
    <row r="3959" s="3" customFormat="1" customHeight="1" spans="1:25">
      <c r="A3959" s="292" t="s">
        <v>448</v>
      </c>
      <c r="B3959" s="292" t="s">
        <v>5007</v>
      </c>
      <c r="C3959" s="154" t="s">
        <v>330</v>
      </c>
      <c r="D3959" s="154" t="s">
        <v>3939</v>
      </c>
      <c r="E3959" s="419" t="s">
        <v>5060</v>
      </c>
      <c r="F3959" s="292" t="s">
        <v>5082</v>
      </c>
      <c r="G3959" s="142" t="s">
        <v>88</v>
      </c>
      <c r="H3959" s="155" t="s">
        <v>5094</v>
      </c>
      <c r="I3959" s="30" t="e">
        <f>VLOOKUP(H3959,'合同高级查询数据-4月返'!A:A,1,FALSE)</f>
        <v>#N/A</v>
      </c>
      <c r="J3959" s="155" t="s">
        <v>162</v>
      </c>
      <c r="K3959" s="292" t="s">
        <v>5084</v>
      </c>
      <c r="L3959" s="142" t="s">
        <v>5095</v>
      </c>
      <c r="M3959" s="113" t="s">
        <v>5086</v>
      </c>
      <c r="N3959" s="146">
        <v>44412</v>
      </c>
      <c r="O3959" s="142" t="s">
        <v>163</v>
      </c>
      <c r="P3959" s="400">
        <v>0</v>
      </c>
      <c r="Q3959" s="295">
        <v>2</v>
      </c>
      <c r="R3959" s="390">
        <f t="shared" si="129"/>
        <v>0</v>
      </c>
      <c r="S3959" s="127">
        <v>202304</v>
      </c>
      <c r="T3959" s="148" t="s">
        <v>5096</v>
      </c>
      <c r="U3959" s="141"/>
      <c r="V3959" s="422"/>
      <c r="W3959" s="159"/>
      <c r="X3959" s="146"/>
      <c r="Y3959" s="146"/>
    </row>
    <row r="3960" s="3" customFormat="1" customHeight="1" spans="1:25">
      <c r="A3960" s="292" t="s">
        <v>448</v>
      </c>
      <c r="B3960" s="292" t="s">
        <v>5007</v>
      </c>
      <c r="C3960" s="154" t="s">
        <v>330</v>
      </c>
      <c r="D3960" s="154" t="s">
        <v>3939</v>
      </c>
      <c r="E3960" s="419" t="s">
        <v>5060</v>
      </c>
      <c r="F3960" s="292" t="s">
        <v>5082</v>
      </c>
      <c r="G3960" s="142" t="s">
        <v>88</v>
      </c>
      <c r="H3960" s="155" t="s">
        <v>5094</v>
      </c>
      <c r="I3960" s="30" t="e">
        <f>VLOOKUP(H3960,'合同高级查询数据-4月返'!A:A,1,FALSE)</f>
        <v>#N/A</v>
      </c>
      <c r="J3960" s="155" t="s">
        <v>162</v>
      </c>
      <c r="K3960" s="292" t="s">
        <v>5084</v>
      </c>
      <c r="L3960" s="142" t="s">
        <v>5095</v>
      </c>
      <c r="M3960" s="113" t="s">
        <v>5086</v>
      </c>
      <c r="N3960" s="146">
        <v>44608</v>
      </c>
      <c r="O3960" s="142" t="s">
        <v>163</v>
      </c>
      <c r="P3960" s="400">
        <v>0</v>
      </c>
      <c r="Q3960" s="295">
        <v>-2</v>
      </c>
      <c r="R3960" s="390">
        <f t="shared" si="129"/>
        <v>0</v>
      </c>
      <c r="S3960" s="127">
        <v>202304</v>
      </c>
      <c r="T3960" s="148" t="s">
        <v>5097</v>
      </c>
      <c r="U3960" s="141"/>
      <c r="V3960" s="422"/>
      <c r="W3960" s="159"/>
      <c r="X3960" s="146"/>
      <c r="Y3960" s="146"/>
    </row>
    <row r="3961" s="3" customFormat="1" customHeight="1" spans="1:25">
      <c r="A3961" s="292" t="s">
        <v>448</v>
      </c>
      <c r="B3961" s="292" t="s">
        <v>5007</v>
      </c>
      <c r="C3961" s="154" t="s">
        <v>330</v>
      </c>
      <c r="D3961" s="154" t="s">
        <v>3939</v>
      </c>
      <c r="E3961" s="419" t="s">
        <v>5060</v>
      </c>
      <c r="F3961" s="292" t="s">
        <v>5082</v>
      </c>
      <c r="G3961" s="142" t="s">
        <v>31</v>
      </c>
      <c r="H3961" s="155" t="s">
        <v>5083</v>
      </c>
      <c r="I3961" s="30" t="e">
        <f>VLOOKUP(H3961,'合同高级查询数据-4月返'!A:A,1,FALSE)</f>
        <v>#N/A</v>
      </c>
      <c r="J3961" s="155" t="s">
        <v>33</v>
      </c>
      <c r="K3961" s="292" t="s">
        <v>5084</v>
      </c>
      <c r="L3961" s="142" t="s">
        <v>5095</v>
      </c>
      <c r="M3961" s="113" t="s">
        <v>5086</v>
      </c>
      <c r="N3961" s="146">
        <v>44412</v>
      </c>
      <c r="O3961" s="142" t="s">
        <v>37</v>
      </c>
      <c r="P3961" s="400">
        <v>50</v>
      </c>
      <c r="Q3961" s="295">
        <v>64</v>
      </c>
      <c r="R3961" s="424">
        <f t="shared" si="129"/>
        <v>3200</v>
      </c>
      <c r="S3961" s="127">
        <v>202304</v>
      </c>
      <c r="T3961" s="148" t="s">
        <v>5098</v>
      </c>
      <c r="U3961" s="141"/>
      <c r="V3961" s="422"/>
      <c r="W3961" s="159"/>
      <c r="X3961" s="146"/>
      <c r="Y3961" s="146"/>
    </row>
    <row r="3962" s="3" customFormat="1" customHeight="1" spans="1:25">
      <c r="A3962" s="292" t="s">
        <v>448</v>
      </c>
      <c r="B3962" s="292" t="s">
        <v>5007</v>
      </c>
      <c r="C3962" s="154" t="s">
        <v>330</v>
      </c>
      <c r="D3962" s="154" t="s">
        <v>3939</v>
      </c>
      <c r="E3962" s="419" t="s">
        <v>5060</v>
      </c>
      <c r="F3962" s="292" t="s">
        <v>5082</v>
      </c>
      <c r="G3962" s="142" t="s">
        <v>31</v>
      </c>
      <c r="H3962" s="155" t="s">
        <v>5083</v>
      </c>
      <c r="I3962" s="30" t="e">
        <f>VLOOKUP(H3962,'合同高级查询数据-4月返'!A:A,1,FALSE)</f>
        <v>#N/A</v>
      </c>
      <c r="J3962" s="155" t="s">
        <v>33</v>
      </c>
      <c r="K3962" s="292" t="s">
        <v>5084</v>
      </c>
      <c r="L3962" s="142" t="s">
        <v>5095</v>
      </c>
      <c r="M3962" s="113" t="s">
        <v>5086</v>
      </c>
      <c r="N3962" s="146">
        <v>44608</v>
      </c>
      <c r="O3962" s="142" t="s">
        <v>37</v>
      </c>
      <c r="P3962" s="400">
        <v>50</v>
      </c>
      <c r="Q3962" s="295">
        <v>-64</v>
      </c>
      <c r="R3962" s="424">
        <f t="shared" si="129"/>
        <v>-3200</v>
      </c>
      <c r="S3962" s="127">
        <v>202304</v>
      </c>
      <c r="T3962" s="148" t="s">
        <v>5099</v>
      </c>
      <c r="U3962" s="141"/>
      <c r="V3962" s="422"/>
      <c r="W3962" s="159"/>
      <c r="X3962" s="146"/>
      <c r="Y3962" s="146"/>
    </row>
    <row r="3963" s="3" customFormat="1" customHeight="1" spans="1:25">
      <c r="A3963" s="292" t="s">
        <v>448</v>
      </c>
      <c r="B3963" s="292" t="s">
        <v>5007</v>
      </c>
      <c r="C3963" s="154" t="s">
        <v>330</v>
      </c>
      <c r="D3963" s="154" t="s">
        <v>3939</v>
      </c>
      <c r="E3963" s="419" t="s">
        <v>5060</v>
      </c>
      <c r="F3963" s="292" t="s">
        <v>5082</v>
      </c>
      <c r="G3963" s="142" t="s">
        <v>31</v>
      </c>
      <c r="H3963" s="155" t="s">
        <v>5094</v>
      </c>
      <c r="I3963" s="30" t="e">
        <f>VLOOKUP(H3963,'合同高级查询数据-4月返'!A:A,1,FALSE)</f>
        <v>#N/A</v>
      </c>
      <c r="J3963" s="155" t="s">
        <v>33</v>
      </c>
      <c r="K3963" s="292" t="s">
        <v>5084</v>
      </c>
      <c r="L3963" s="142" t="s">
        <v>5095</v>
      </c>
      <c r="M3963" s="113" t="s">
        <v>5086</v>
      </c>
      <c r="N3963" s="146">
        <v>44412</v>
      </c>
      <c r="O3963" s="142" t="s">
        <v>37</v>
      </c>
      <c r="P3963" s="400">
        <v>0</v>
      </c>
      <c r="Q3963" s="295">
        <v>96</v>
      </c>
      <c r="R3963" s="424">
        <f t="shared" si="129"/>
        <v>0</v>
      </c>
      <c r="S3963" s="127">
        <v>202304</v>
      </c>
      <c r="T3963" s="148" t="s">
        <v>5098</v>
      </c>
      <c r="U3963" s="141"/>
      <c r="V3963" s="422"/>
      <c r="W3963" s="159"/>
      <c r="X3963" s="146"/>
      <c r="Y3963" s="146"/>
    </row>
    <row r="3964" s="3" customFormat="1" customHeight="1" spans="1:25">
      <c r="A3964" s="292" t="s">
        <v>448</v>
      </c>
      <c r="B3964" s="292" t="s">
        <v>5007</v>
      </c>
      <c r="C3964" s="154" t="s">
        <v>330</v>
      </c>
      <c r="D3964" s="154" t="s">
        <v>3939</v>
      </c>
      <c r="E3964" s="419" t="s">
        <v>5060</v>
      </c>
      <c r="F3964" s="292" t="s">
        <v>5082</v>
      </c>
      <c r="G3964" s="142" t="s">
        <v>31</v>
      </c>
      <c r="H3964" s="155" t="s">
        <v>5094</v>
      </c>
      <c r="I3964" s="30" t="e">
        <f>VLOOKUP(H3964,'合同高级查询数据-4月返'!A:A,1,FALSE)</f>
        <v>#N/A</v>
      </c>
      <c r="J3964" s="155" t="s">
        <v>33</v>
      </c>
      <c r="K3964" s="292" t="s">
        <v>5084</v>
      </c>
      <c r="L3964" s="142" t="s">
        <v>5095</v>
      </c>
      <c r="M3964" s="113" t="s">
        <v>5086</v>
      </c>
      <c r="N3964" s="146">
        <v>44608</v>
      </c>
      <c r="O3964" s="142" t="s">
        <v>37</v>
      </c>
      <c r="P3964" s="400">
        <v>0</v>
      </c>
      <c r="Q3964" s="295">
        <v>-96</v>
      </c>
      <c r="R3964" s="424">
        <f t="shared" si="129"/>
        <v>0</v>
      </c>
      <c r="S3964" s="127">
        <v>202304</v>
      </c>
      <c r="T3964" s="148" t="s">
        <v>5099</v>
      </c>
      <c r="U3964" s="141"/>
      <c r="V3964" s="422"/>
      <c r="W3964" s="159"/>
      <c r="X3964" s="146"/>
      <c r="Y3964" s="146"/>
    </row>
    <row r="3965" s="5" customFormat="1" customHeight="1" spans="1:25">
      <c r="A3965" s="203" t="s">
        <v>448</v>
      </c>
      <c r="B3965" s="204" t="s">
        <v>4284</v>
      </c>
      <c r="C3965" s="204" t="s">
        <v>2173</v>
      </c>
      <c r="D3965" s="204" t="s">
        <v>3939</v>
      </c>
      <c r="E3965" s="205" t="s">
        <v>5100</v>
      </c>
      <c r="F3965" s="203" t="s">
        <v>5101</v>
      </c>
      <c r="G3965" s="203" t="s">
        <v>88</v>
      </c>
      <c r="H3965" s="25" t="s">
        <v>5102</v>
      </c>
      <c r="I3965" s="46" t="e">
        <f>VLOOKUP(H3965,'合同高级查询数据-4月返'!A:A,1,FALSE)</f>
        <v>#N/A</v>
      </c>
      <c r="J3965" s="47" t="s">
        <v>2423</v>
      </c>
      <c r="K3965" s="203" t="s">
        <v>5103</v>
      </c>
      <c r="L3965" s="206" t="s">
        <v>5104</v>
      </c>
      <c r="M3965" s="49" t="s">
        <v>5105</v>
      </c>
      <c r="N3965" s="73">
        <v>43966</v>
      </c>
      <c r="O3965" s="73" t="s">
        <v>163</v>
      </c>
      <c r="P3965" s="396">
        <v>4166.67</v>
      </c>
      <c r="Q3965" s="212">
        <v>5</v>
      </c>
      <c r="R3965" s="386">
        <f t="shared" si="129"/>
        <v>20833.35</v>
      </c>
      <c r="S3965" s="115">
        <v>202304</v>
      </c>
      <c r="T3965" s="184" t="s">
        <v>5106</v>
      </c>
      <c r="U3965" s="213"/>
      <c r="V3965" s="418"/>
      <c r="W3965" s="214"/>
      <c r="X3965" s="73">
        <v>44713</v>
      </c>
      <c r="Y3965" s="73">
        <v>45077</v>
      </c>
    </row>
    <row r="3966" s="5" customFormat="1" customHeight="1" spans="1:25">
      <c r="A3966" s="203" t="s">
        <v>448</v>
      </c>
      <c r="B3966" s="204" t="s">
        <v>4284</v>
      </c>
      <c r="C3966" s="204" t="s">
        <v>2173</v>
      </c>
      <c r="D3966" s="204" t="s">
        <v>3939</v>
      </c>
      <c r="E3966" s="205" t="s">
        <v>5100</v>
      </c>
      <c r="F3966" s="203" t="s">
        <v>5101</v>
      </c>
      <c r="G3966" s="203" t="s">
        <v>88</v>
      </c>
      <c r="H3966" s="25" t="s">
        <v>5102</v>
      </c>
      <c r="I3966" s="46" t="e">
        <f>VLOOKUP(H3966,'合同高级查询数据-4月返'!A:A,1,FALSE)</f>
        <v>#N/A</v>
      </c>
      <c r="J3966" s="47" t="s">
        <v>2423</v>
      </c>
      <c r="K3966" s="203" t="s">
        <v>5103</v>
      </c>
      <c r="L3966" s="206" t="s">
        <v>5104</v>
      </c>
      <c r="M3966" s="49" t="s">
        <v>5105</v>
      </c>
      <c r="N3966" s="73">
        <v>44712</v>
      </c>
      <c r="O3966" s="73" t="s">
        <v>163</v>
      </c>
      <c r="P3966" s="396">
        <v>4166.67</v>
      </c>
      <c r="Q3966" s="212">
        <v>-3</v>
      </c>
      <c r="R3966" s="386">
        <f t="shared" ref="R3966:R3972" si="130">ROUND(P3966*Q3966,2)</f>
        <v>-12500.01</v>
      </c>
      <c r="S3966" s="115">
        <v>202304</v>
      </c>
      <c r="T3966" s="184" t="s">
        <v>5107</v>
      </c>
      <c r="U3966" s="213"/>
      <c r="V3966" s="418"/>
      <c r="W3966" s="214"/>
      <c r="X3966" s="73">
        <v>44713</v>
      </c>
      <c r="Y3966" s="73">
        <v>45077</v>
      </c>
    </row>
    <row r="3967" s="5" customFormat="1" customHeight="1" spans="1:25">
      <c r="A3967" s="203" t="s">
        <v>448</v>
      </c>
      <c r="B3967" s="204" t="s">
        <v>4284</v>
      </c>
      <c r="C3967" s="204" t="s">
        <v>2173</v>
      </c>
      <c r="D3967" s="204" t="s">
        <v>3939</v>
      </c>
      <c r="E3967" s="205" t="s">
        <v>5100</v>
      </c>
      <c r="F3967" s="203" t="s">
        <v>5101</v>
      </c>
      <c r="G3967" s="203" t="s">
        <v>88</v>
      </c>
      <c r="H3967" s="25" t="s">
        <v>5102</v>
      </c>
      <c r="I3967" s="46" t="e">
        <f>VLOOKUP(H3967,'合同高级查询数据-4月返'!A:A,1,FALSE)</f>
        <v>#N/A</v>
      </c>
      <c r="J3967" s="47" t="s">
        <v>2423</v>
      </c>
      <c r="K3967" s="203" t="s">
        <v>5103</v>
      </c>
      <c r="L3967" s="206" t="s">
        <v>5104</v>
      </c>
      <c r="M3967" s="49" t="s">
        <v>5105</v>
      </c>
      <c r="N3967" s="73">
        <v>44013</v>
      </c>
      <c r="O3967" s="73" t="s">
        <v>163</v>
      </c>
      <c r="P3967" s="396">
        <v>4166.67</v>
      </c>
      <c r="Q3967" s="212">
        <v>1</v>
      </c>
      <c r="R3967" s="386">
        <f t="shared" si="130"/>
        <v>4166.67</v>
      </c>
      <c r="S3967" s="115">
        <v>202304</v>
      </c>
      <c r="T3967" s="184" t="s">
        <v>5108</v>
      </c>
      <c r="U3967" s="213"/>
      <c r="V3967" s="418"/>
      <c r="W3967" s="214"/>
      <c r="X3967" s="73">
        <v>44713</v>
      </c>
      <c r="Y3967" s="73">
        <v>45077</v>
      </c>
    </row>
    <row r="3968" s="5" customFormat="1" customHeight="1" spans="1:25">
      <c r="A3968" s="203" t="s">
        <v>448</v>
      </c>
      <c r="B3968" s="204" t="s">
        <v>4284</v>
      </c>
      <c r="C3968" s="204" t="s">
        <v>2173</v>
      </c>
      <c r="D3968" s="204" t="s">
        <v>3939</v>
      </c>
      <c r="E3968" s="205" t="s">
        <v>5100</v>
      </c>
      <c r="F3968" s="203" t="s">
        <v>5101</v>
      </c>
      <c r="G3968" s="203" t="s">
        <v>88</v>
      </c>
      <c r="H3968" s="25" t="s">
        <v>5102</v>
      </c>
      <c r="I3968" s="46" t="e">
        <f>VLOOKUP(H3968,'合同高级查询数据-4月返'!A:A,1,FALSE)</f>
        <v>#N/A</v>
      </c>
      <c r="J3968" s="47" t="s">
        <v>2423</v>
      </c>
      <c r="K3968" s="203" t="s">
        <v>5103</v>
      </c>
      <c r="L3968" s="206" t="s">
        <v>5104</v>
      </c>
      <c r="M3968" s="49" t="s">
        <v>5105</v>
      </c>
      <c r="N3968" s="73">
        <v>44175</v>
      </c>
      <c r="O3968" s="73" t="s">
        <v>163</v>
      </c>
      <c r="P3968" s="396">
        <v>4166.67</v>
      </c>
      <c r="Q3968" s="212">
        <v>1</v>
      </c>
      <c r="R3968" s="386">
        <f t="shared" si="130"/>
        <v>4166.67</v>
      </c>
      <c r="S3968" s="115">
        <v>202304</v>
      </c>
      <c r="T3968" s="184" t="s">
        <v>5109</v>
      </c>
      <c r="U3968" s="213"/>
      <c r="V3968" s="418"/>
      <c r="W3968" s="214"/>
      <c r="X3968" s="73">
        <v>44713</v>
      </c>
      <c r="Y3968" s="73">
        <v>45077</v>
      </c>
    </row>
    <row r="3969" s="5" customFormat="1" customHeight="1" spans="1:25">
      <c r="A3969" s="203" t="s">
        <v>448</v>
      </c>
      <c r="B3969" s="204" t="s">
        <v>4284</v>
      </c>
      <c r="C3969" s="204" t="s">
        <v>2173</v>
      </c>
      <c r="D3969" s="204" t="s">
        <v>3939</v>
      </c>
      <c r="E3969" s="205" t="s">
        <v>5100</v>
      </c>
      <c r="F3969" s="203" t="s">
        <v>5101</v>
      </c>
      <c r="G3969" s="203" t="s">
        <v>88</v>
      </c>
      <c r="H3969" s="25" t="s">
        <v>5102</v>
      </c>
      <c r="I3969" s="46" t="e">
        <f>VLOOKUP(H3969,'合同高级查询数据-4月返'!A:A,1,FALSE)</f>
        <v>#N/A</v>
      </c>
      <c r="J3969" s="47" t="s">
        <v>2423</v>
      </c>
      <c r="K3969" s="203" t="s">
        <v>5103</v>
      </c>
      <c r="L3969" s="206" t="s">
        <v>5104</v>
      </c>
      <c r="M3969" s="49" t="s">
        <v>5105</v>
      </c>
      <c r="N3969" s="73">
        <v>44284</v>
      </c>
      <c r="O3969" s="73" t="s">
        <v>163</v>
      </c>
      <c r="P3969" s="396">
        <v>4166.67</v>
      </c>
      <c r="Q3969" s="212">
        <v>1</v>
      </c>
      <c r="R3969" s="386">
        <f t="shared" si="130"/>
        <v>4166.67</v>
      </c>
      <c r="S3969" s="115">
        <v>202304</v>
      </c>
      <c r="T3969" s="184" t="s">
        <v>5110</v>
      </c>
      <c r="U3969" s="213"/>
      <c r="V3969" s="418"/>
      <c r="W3969" s="214"/>
      <c r="X3969" s="73">
        <v>44713</v>
      </c>
      <c r="Y3969" s="73">
        <v>45077</v>
      </c>
    </row>
    <row r="3970" s="5" customFormat="1" customHeight="1" spans="1:25">
      <c r="A3970" s="203" t="s">
        <v>448</v>
      </c>
      <c r="B3970" s="204" t="s">
        <v>4284</v>
      </c>
      <c r="C3970" s="204" t="s">
        <v>2173</v>
      </c>
      <c r="D3970" s="204" t="s">
        <v>3939</v>
      </c>
      <c r="E3970" s="205" t="s">
        <v>5100</v>
      </c>
      <c r="F3970" s="203" t="s">
        <v>5101</v>
      </c>
      <c r="G3970" s="203" t="s">
        <v>31</v>
      </c>
      <c r="H3970" s="25" t="s">
        <v>5102</v>
      </c>
      <c r="I3970" s="46" t="e">
        <f>VLOOKUP(H3970,'合同高级查询数据-4月返'!A:A,1,FALSE)</f>
        <v>#N/A</v>
      </c>
      <c r="J3970" s="47" t="s">
        <v>33</v>
      </c>
      <c r="K3970" s="203" t="s">
        <v>5103</v>
      </c>
      <c r="L3970" s="206" t="s">
        <v>5104</v>
      </c>
      <c r="M3970" s="49"/>
      <c r="N3970" s="73">
        <v>44177</v>
      </c>
      <c r="O3970" s="73" t="s">
        <v>37</v>
      </c>
      <c r="P3970" s="396">
        <v>0</v>
      </c>
      <c r="Q3970" s="212">
        <v>192</v>
      </c>
      <c r="R3970" s="386">
        <f t="shared" si="130"/>
        <v>0</v>
      </c>
      <c r="S3970" s="115">
        <v>202304</v>
      </c>
      <c r="T3970" s="184" t="s">
        <v>5111</v>
      </c>
      <c r="U3970" s="213"/>
      <c r="V3970" s="418"/>
      <c r="W3970" s="214"/>
      <c r="X3970" s="73">
        <v>44713</v>
      </c>
      <c r="Y3970" s="73">
        <v>45077</v>
      </c>
    </row>
    <row r="3971" s="5" customFormat="1" customHeight="1" spans="1:25">
      <c r="A3971" s="203" t="s">
        <v>448</v>
      </c>
      <c r="B3971" s="204" t="s">
        <v>4284</v>
      </c>
      <c r="C3971" s="204" t="s">
        <v>2173</v>
      </c>
      <c r="D3971" s="204" t="s">
        <v>3939</v>
      </c>
      <c r="E3971" s="205" t="s">
        <v>5100</v>
      </c>
      <c r="F3971" s="203" t="s">
        <v>5101</v>
      </c>
      <c r="G3971" s="203" t="s">
        <v>31</v>
      </c>
      <c r="H3971" s="25" t="s">
        <v>5102</v>
      </c>
      <c r="I3971" s="46" t="e">
        <f>VLOOKUP(H3971,'合同高级查询数据-4月返'!A:A,1,FALSE)</f>
        <v>#N/A</v>
      </c>
      <c r="J3971" s="47" t="s">
        <v>33</v>
      </c>
      <c r="K3971" s="203" t="s">
        <v>5103</v>
      </c>
      <c r="L3971" s="206" t="s">
        <v>5104</v>
      </c>
      <c r="M3971" s="49"/>
      <c r="N3971" s="73">
        <v>44177</v>
      </c>
      <c r="O3971" s="73" t="s">
        <v>37</v>
      </c>
      <c r="P3971" s="386">
        <v>50</v>
      </c>
      <c r="Q3971" s="212">
        <v>224</v>
      </c>
      <c r="R3971" s="386">
        <f t="shared" si="130"/>
        <v>11200</v>
      </c>
      <c r="S3971" s="115">
        <v>202304</v>
      </c>
      <c r="T3971" s="184" t="s">
        <v>5111</v>
      </c>
      <c r="U3971" s="213"/>
      <c r="V3971" s="418"/>
      <c r="W3971" s="214"/>
      <c r="X3971" s="73">
        <v>44713</v>
      </c>
      <c r="Y3971" s="73">
        <v>45077</v>
      </c>
    </row>
    <row r="3972" s="5" customFormat="1" customHeight="1" spans="1:25">
      <c r="A3972" s="203" t="s">
        <v>448</v>
      </c>
      <c r="B3972" s="204" t="s">
        <v>4284</v>
      </c>
      <c r="C3972" s="204" t="s">
        <v>2173</v>
      </c>
      <c r="D3972" s="204" t="s">
        <v>3939</v>
      </c>
      <c r="E3972" s="205" t="s">
        <v>5100</v>
      </c>
      <c r="F3972" s="203" t="s">
        <v>5101</v>
      </c>
      <c r="G3972" s="203" t="s">
        <v>31</v>
      </c>
      <c r="H3972" s="25" t="s">
        <v>5102</v>
      </c>
      <c r="I3972" s="46" t="e">
        <f>VLOOKUP(H3972,'合同高级查询数据-4月返'!A:A,1,FALSE)</f>
        <v>#N/A</v>
      </c>
      <c r="J3972" s="47" t="s">
        <v>33</v>
      </c>
      <c r="K3972" s="203" t="s">
        <v>5103</v>
      </c>
      <c r="L3972" s="206" t="s">
        <v>5104</v>
      </c>
      <c r="M3972" s="49"/>
      <c r="N3972" s="73">
        <v>44284</v>
      </c>
      <c r="O3972" s="73" t="s">
        <v>37</v>
      </c>
      <c r="P3972" s="396">
        <v>50</v>
      </c>
      <c r="Q3972" s="212">
        <v>128</v>
      </c>
      <c r="R3972" s="386">
        <f t="shared" si="130"/>
        <v>6400</v>
      </c>
      <c r="S3972" s="115">
        <v>202304</v>
      </c>
      <c r="T3972" s="184" t="s">
        <v>5111</v>
      </c>
      <c r="U3972" s="213"/>
      <c r="V3972" s="418"/>
      <c r="W3972" s="214"/>
      <c r="X3972" s="73">
        <v>44713</v>
      </c>
      <c r="Y3972" s="73">
        <v>45077</v>
      </c>
    </row>
    <row r="3973" s="5" customFormat="1" customHeight="1" spans="1:25">
      <c r="A3973" s="203" t="s">
        <v>448</v>
      </c>
      <c r="B3973" s="204" t="s">
        <v>4284</v>
      </c>
      <c r="C3973" s="204" t="s">
        <v>2173</v>
      </c>
      <c r="D3973" s="204" t="s">
        <v>3939</v>
      </c>
      <c r="E3973" s="205" t="s">
        <v>5100</v>
      </c>
      <c r="F3973" s="203" t="s">
        <v>5101</v>
      </c>
      <c r="G3973" s="203" t="s">
        <v>88</v>
      </c>
      <c r="H3973" s="25" t="s">
        <v>5102</v>
      </c>
      <c r="I3973" s="46" t="e">
        <f>VLOOKUP(H3973,'合同高级查询数据-4月返'!A:A,1,FALSE)</f>
        <v>#N/A</v>
      </c>
      <c r="J3973" s="47" t="s">
        <v>2423</v>
      </c>
      <c r="K3973" s="203" t="s">
        <v>5103</v>
      </c>
      <c r="L3973" s="206" t="s">
        <v>5104</v>
      </c>
      <c r="M3973" s="49" t="s">
        <v>5105</v>
      </c>
      <c r="N3973" s="73">
        <v>44324</v>
      </c>
      <c r="O3973" s="73" t="s">
        <v>617</v>
      </c>
      <c r="P3973" s="396">
        <v>4166.67</v>
      </c>
      <c r="Q3973" s="212">
        <v>2</v>
      </c>
      <c r="R3973" s="386">
        <f>ROUND(Q3973*P3973,2)</f>
        <v>8333.34</v>
      </c>
      <c r="S3973" s="115">
        <v>202304</v>
      </c>
      <c r="T3973" s="184" t="s">
        <v>5112</v>
      </c>
      <c r="U3973" s="213"/>
      <c r="V3973" s="418"/>
      <c r="W3973" s="214"/>
      <c r="X3973" s="73">
        <v>44713</v>
      </c>
      <c r="Y3973" s="73">
        <v>45077</v>
      </c>
    </row>
    <row r="3974" s="5" customFormat="1" customHeight="1" spans="1:25">
      <c r="A3974" s="203" t="s">
        <v>448</v>
      </c>
      <c r="B3974" s="204" t="s">
        <v>4284</v>
      </c>
      <c r="C3974" s="204" t="s">
        <v>2173</v>
      </c>
      <c r="D3974" s="204" t="s">
        <v>3939</v>
      </c>
      <c r="E3974" s="205" t="s">
        <v>5100</v>
      </c>
      <c r="F3974" s="203" t="s">
        <v>5101</v>
      </c>
      <c r="G3974" s="203" t="s">
        <v>31</v>
      </c>
      <c r="H3974" s="25" t="s">
        <v>5102</v>
      </c>
      <c r="I3974" s="46" t="e">
        <f>VLOOKUP(H3974,'合同高级查询数据-4月返'!A:A,1,FALSE)</f>
        <v>#N/A</v>
      </c>
      <c r="J3974" s="47" t="s">
        <v>33</v>
      </c>
      <c r="K3974" s="203" t="s">
        <v>5103</v>
      </c>
      <c r="L3974" s="206" t="s">
        <v>5104</v>
      </c>
      <c r="M3974" s="49" t="s">
        <v>5105</v>
      </c>
      <c r="N3974" s="73">
        <v>44324</v>
      </c>
      <c r="O3974" s="73" t="s">
        <v>37</v>
      </c>
      <c r="P3974" s="396">
        <v>50</v>
      </c>
      <c r="Q3974" s="212">
        <v>128</v>
      </c>
      <c r="R3974" s="386">
        <f t="shared" ref="R3974:R4014" si="131">ROUND(P3974*Q3974,2)</f>
        <v>6400</v>
      </c>
      <c r="S3974" s="115">
        <v>202304</v>
      </c>
      <c r="T3974" s="184" t="s">
        <v>5111</v>
      </c>
      <c r="U3974" s="213"/>
      <c r="V3974" s="418"/>
      <c r="W3974" s="214"/>
      <c r="X3974" s="73">
        <v>44713</v>
      </c>
      <c r="Y3974" s="73">
        <v>45077</v>
      </c>
    </row>
    <row r="3975" s="5" customFormat="1" customHeight="1" spans="1:25">
      <c r="A3975" s="203" t="s">
        <v>448</v>
      </c>
      <c r="B3975" s="204" t="s">
        <v>4284</v>
      </c>
      <c r="C3975" s="204" t="s">
        <v>2173</v>
      </c>
      <c r="D3975" s="204" t="s">
        <v>3939</v>
      </c>
      <c r="E3975" s="205" t="s">
        <v>5100</v>
      </c>
      <c r="F3975" s="203" t="s">
        <v>5101</v>
      </c>
      <c r="G3975" s="203" t="s">
        <v>31</v>
      </c>
      <c r="H3975" s="25" t="s">
        <v>5102</v>
      </c>
      <c r="I3975" s="46" t="e">
        <f>VLOOKUP(H3975,'合同高级查询数据-4月返'!A:A,1,FALSE)</f>
        <v>#N/A</v>
      </c>
      <c r="J3975" s="47" t="s">
        <v>33</v>
      </c>
      <c r="K3975" s="203" t="s">
        <v>5103</v>
      </c>
      <c r="L3975" s="206" t="s">
        <v>5104</v>
      </c>
      <c r="M3975" s="49" t="s">
        <v>5105</v>
      </c>
      <c r="N3975" s="73">
        <v>44895</v>
      </c>
      <c r="O3975" s="73" t="s">
        <v>37</v>
      </c>
      <c r="P3975" s="396">
        <v>50</v>
      </c>
      <c r="Q3975" s="212">
        <v>-128</v>
      </c>
      <c r="R3975" s="386">
        <f t="shared" si="131"/>
        <v>-6400</v>
      </c>
      <c r="S3975" s="115">
        <v>202304</v>
      </c>
      <c r="T3975" s="184" t="s">
        <v>5113</v>
      </c>
      <c r="U3975" s="213"/>
      <c r="V3975" s="418"/>
      <c r="W3975" s="214"/>
      <c r="X3975" s="73">
        <v>44713</v>
      </c>
      <c r="Y3975" s="73">
        <v>45077</v>
      </c>
    </row>
    <row r="3976" s="3" customFormat="1" customHeight="1" spans="1:25">
      <c r="A3976" s="154" t="s">
        <v>448</v>
      </c>
      <c r="B3976" s="154" t="s">
        <v>5041</v>
      </c>
      <c r="C3976" s="154" t="s">
        <v>5114</v>
      </c>
      <c r="D3976" s="292" t="s">
        <v>3939</v>
      </c>
      <c r="E3976" s="153" t="s">
        <v>5115</v>
      </c>
      <c r="F3976" s="154" t="s">
        <v>5116</v>
      </c>
      <c r="G3976" s="154" t="s">
        <v>31</v>
      </c>
      <c r="H3976" s="110" t="s">
        <v>5117</v>
      </c>
      <c r="I3976" s="30" t="e">
        <f>VLOOKUP(H3976,'合同高级查询数据-4月返'!A:A,1,FALSE)</f>
        <v>#N/A</v>
      </c>
      <c r="J3976" s="31" t="s">
        <v>33</v>
      </c>
      <c r="K3976" s="154" t="s">
        <v>5118</v>
      </c>
      <c r="L3976" s="293" t="s">
        <v>5119</v>
      </c>
      <c r="M3976" s="113" t="s">
        <v>5120</v>
      </c>
      <c r="N3976" s="175">
        <v>43503</v>
      </c>
      <c r="O3976" s="175" t="s">
        <v>37</v>
      </c>
      <c r="P3976" s="400">
        <v>100</v>
      </c>
      <c r="Q3976" s="156">
        <v>120</v>
      </c>
      <c r="R3976" s="390">
        <f t="shared" si="131"/>
        <v>12000</v>
      </c>
      <c r="S3976" s="127">
        <v>202304</v>
      </c>
      <c r="T3976" s="423" t="s">
        <v>5121</v>
      </c>
      <c r="U3976" s="393"/>
      <c r="V3976" s="422"/>
      <c r="W3976" s="393"/>
      <c r="X3976" s="146"/>
      <c r="Y3976" s="146"/>
    </row>
    <row r="3977" s="3" customFormat="1" customHeight="1" spans="1:25">
      <c r="A3977" s="154" t="s">
        <v>448</v>
      </c>
      <c r="B3977" s="154" t="s">
        <v>5041</v>
      </c>
      <c r="C3977" s="154" t="s">
        <v>5114</v>
      </c>
      <c r="D3977" s="292" t="s">
        <v>3939</v>
      </c>
      <c r="E3977" s="153" t="s">
        <v>5115</v>
      </c>
      <c r="F3977" s="154" t="s">
        <v>5116</v>
      </c>
      <c r="G3977" s="154" t="s">
        <v>31</v>
      </c>
      <c r="H3977" s="110" t="s">
        <v>5117</v>
      </c>
      <c r="I3977" s="30" t="e">
        <f>VLOOKUP(H3977,'合同高级查询数据-4月返'!A:A,1,FALSE)</f>
        <v>#N/A</v>
      </c>
      <c r="J3977" s="31" t="s">
        <v>33</v>
      </c>
      <c r="K3977" s="154" t="s">
        <v>5118</v>
      </c>
      <c r="L3977" s="293" t="s">
        <v>5119</v>
      </c>
      <c r="M3977" s="113" t="s">
        <v>5120</v>
      </c>
      <c r="N3977" s="175">
        <v>43503</v>
      </c>
      <c r="O3977" s="175" t="s">
        <v>37</v>
      </c>
      <c r="P3977" s="400">
        <v>0</v>
      </c>
      <c r="Q3977" s="156">
        <v>40</v>
      </c>
      <c r="R3977" s="390">
        <f t="shared" si="131"/>
        <v>0</v>
      </c>
      <c r="S3977" s="127">
        <v>202304</v>
      </c>
      <c r="T3977" s="423" t="s">
        <v>5121</v>
      </c>
      <c r="U3977" s="393"/>
      <c r="V3977" s="422"/>
      <c r="W3977" s="393"/>
      <c r="X3977" s="146"/>
      <c r="Y3977" s="146"/>
    </row>
    <row r="3978" s="3" customFormat="1" customHeight="1" spans="1:25">
      <c r="A3978" s="154" t="s">
        <v>448</v>
      </c>
      <c r="B3978" s="154" t="s">
        <v>5041</v>
      </c>
      <c r="C3978" s="154" t="s">
        <v>5114</v>
      </c>
      <c r="D3978" s="292" t="s">
        <v>3939</v>
      </c>
      <c r="E3978" s="153" t="s">
        <v>5115</v>
      </c>
      <c r="F3978" s="154" t="s">
        <v>5116</v>
      </c>
      <c r="G3978" s="154" t="s">
        <v>88</v>
      </c>
      <c r="H3978" s="110" t="s">
        <v>5117</v>
      </c>
      <c r="I3978" s="30" t="e">
        <f>VLOOKUP(H3978,'合同高级查询数据-4月返'!A:A,1,FALSE)</f>
        <v>#N/A</v>
      </c>
      <c r="J3978" s="31" t="s">
        <v>162</v>
      </c>
      <c r="K3978" s="154" t="s">
        <v>5118</v>
      </c>
      <c r="L3978" s="293" t="s">
        <v>5119</v>
      </c>
      <c r="M3978" s="113" t="s">
        <v>5120</v>
      </c>
      <c r="N3978" s="175">
        <v>43503</v>
      </c>
      <c r="O3978" s="175" t="s">
        <v>702</v>
      </c>
      <c r="P3978" s="400">
        <v>4800</v>
      </c>
      <c r="Q3978" s="156">
        <v>1</v>
      </c>
      <c r="R3978" s="390">
        <f t="shared" si="131"/>
        <v>4800</v>
      </c>
      <c r="S3978" s="127">
        <v>202304</v>
      </c>
      <c r="T3978" s="423" t="s">
        <v>5122</v>
      </c>
      <c r="U3978" s="393"/>
      <c r="V3978" s="422"/>
      <c r="W3978" s="393"/>
      <c r="X3978" s="146"/>
      <c r="Y3978" s="146"/>
    </row>
    <row r="3979" s="3" customFormat="1" customHeight="1" spans="1:25">
      <c r="A3979" s="154" t="s">
        <v>448</v>
      </c>
      <c r="B3979" s="154" t="s">
        <v>5041</v>
      </c>
      <c r="C3979" s="154" t="s">
        <v>5114</v>
      </c>
      <c r="D3979" s="292" t="s">
        <v>3939</v>
      </c>
      <c r="E3979" s="153" t="s">
        <v>5115</v>
      </c>
      <c r="F3979" s="154" t="s">
        <v>5116</v>
      </c>
      <c r="G3979" s="154" t="s">
        <v>88</v>
      </c>
      <c r="H3979" s="110" t="s">
        <v>5117</v>
      </c>
      <c r="I3979" s="30" t="e">
        <f>VLOOKUP(H3979,'合同高级查询数据-4月返'!A:A,1,FALSE)</f>
        <v>#N/A</v>
      </c>
      <c r="J3979" s="31" t="s">
        <v>162</v>
      </c>
      <c r="K3979" s="154" t="s">
        <v>5118</v>
      </c>
      <c r="L3979" s="293" t="s">
        <v>5119</v>
      </c>
      <c r="M3979" s="113" t="s">
        <v>5120</v>
      </c>
      <c r="N3979" s="175">
        <v>43702</v>
      </c>
      <c r="O3979" s="175" t="s">
        <v>702</v>
      </c>
      <c r="P3979" s="400">
        <v>4800</v>
      </c>
      <c r="Q3979" s="156">
        <v>1</v>
      </c>
      <c r="R3979" s="390">
        <f t="shared" si="131"/>
        <v>4800</v>
      </c>
      <c r="S3979" s="127">
        <v>202304</v>
      </c>
      <c r="T3979" s="423" t="s">
        <v>5123</v>
      </c>
      <c r="U3979" s="393"/>
      <c r="V3979" s="422"/>
      <c r="W3979" s="393"/>
      <c r="X3979" s="146"/>
      <c r="Y3979" s="146"/>
    </row>
    <row r="3980" s="3" customFormat="1" customHeight="1" spans="1:25">
      <c r="A3980" s="154" t="s">
        <v>446</v>
      </c>
      <c r="B3980" s="292" t="s">
        <v>4284</v>
      </c>
      <c r="C3980" s="292" t="s">
        <v>2173</v>
      </c>
      <c r="D3980" s="292" t="s">
        <v>3939</v>
      </c>
      <c r="E3980" s="153" t="s">
        <v>5124</v>
      </c>
      <c r="F3980" s="154" t="s">
        <v>5125</v>
      </c>
      <c r="G3980" s="154" t="s">
        <v>88</v>
      </c>
      <c r="H3980" s="110" t="s">
        <v>5126</v>
      </c>
      <c r="I3980" s="30" t="e">
        <f>VLOOKUP(H3980,'合同高级查询数据-4月返'!A:A,1,FALSE)</f>
        <v>#N/A</v>
      </c>
      <c r="J3980" s="31" t="s">
        <v>162</v>
      </c>
      <c r="K3980" s="154" t="s">
        <v>5127</v>
      </c>
      <c r="L3980" s="293"/>
      <c r="M3980" s="113" t="s">
        <v>5128</v>
      </c>
      <c r="N3980" s="146" t="s">
        <v>5129</v>
      </c>
      <c r="O3980" s="146" t="s">
        <v>163</v>
      </c>
      <c r="P3980" s="400">
        <v>0</v>
      </c>
      <c r="Q3980" s="295">
        <v>6</v>
      </c>
      <c r="R3980" s="390">
        <f t="shared" si="131"/>
        <v>0</v>
      </c>
      <c r="S3980" s="127">
        <v>202304</v>
      </c>
      <c r="T3980" s="198" t="s">
        <v>5130</v>
      </c>
      <c r="U3980" s="391"/>
      <c r="V3980" s="422"/>
      <c r="W3980" s="393"/>
      <c r="X3980" s="146"/>
      <c r="Y3980" s="146"/>
    </row>
    <row r="3981" s="5" customFormat="1" customHeight="1" spans="1:25">
      <c r="A3981" s="203" t="s">
        <v>446</v>
      </c>
      <c r="B3981" s="204" t="s">
        <v>4284</v>
      </c>
      <c r="C3981" s="204" t="s">
        <v>2173</v>
      </c>
      <c r="D3981" s="204" t="s">
        <v>3939</v>
      </c>
      <c r="E3981" s="205" t="s">
        <v>5124</v>
      </c>
      <c r="F3981" s="203" t="s">
        <v>5125</v>
      </c>
      <c r="G3981" s="203" t="s">
        <v>88</v>
      </c>
      <c r="H3981" s="25" t="s">
        <v>5131</v>
      </c>
      <c r="I3981" s="46" t="e">
        <f>VLOOKUP(H3981,'合同高级查询数据-4月返'!A:A,1,FALSE)</f>
        <v>#N/A</v>
      </c>
      <c r="J3981" s="47" t="s">
        <v>162</v>
      </c>
      <c r="K3981" s="203" t="s">
        <v>5127</v>
      </c>
      <c r="L3981" s="206"/>
      <c r="M3981" s="49" t="s">
        <v>5128</v>
      </c>
      <c r="N3981" s="73">
        <v>44651</v>
      </c>
      <c r="O3981" s="73" t="s">
        <v>163</v>
      </c>
      <c r="P3981" s="396">
        <v>0</v>
      </c>
      <c r="Q3981" s="212">
        <v>-6</v>
      </c>
      <c r="R3981" s="386">
        <f t="shared" si="131"/>
        <v>0</v>
      </c>
      <c r="S3981" s="115">
        <v>202304</v>
      </c>
      <c r="T3981" s="184" t="s">
        <v>5132</v>
      </c>
      <c r="U3981" s="213"/>
      <c r="V3981" s="418"/>
      <c r="W3981" s="214"/>
      <c r="X3981" s="73" t="s">
        <v>5133</v>
      </c>
      <c r="Y3981" s="73" t="s">
        <v>5134</v>
      </c>
    </row>
    <row r="3982" s="3" customFormat="1" customHeight="1" spans="1:25">
      <c r="A3982" s="154" t="s">
        <v>446</v>
      </c>
      <c r="B3982" s="292" t="s">
        <v>4284</v>
      </c>
      <c r="C3982" s="292" t="s">
        <v>2173</v>
      </c>
      <c r="D3982" s="292" t="s">
        <v>3939</v>
      </c>
      <c r="E3982" s="153" t="s">
        <v>5124</v>
      </c>
      <c r="F3982" s="154" t="s">
        <v>5125</v>
      </c>
      <c r="G3982" s="154" t="s">
        <v>31</v>
      </c>
      <c r="H3982" s="110" t="s">
        <v>5126</v>
      </c>
      <c r="I3982" s="30" t="e">
        <f>VLOOKUP(H3982,'合同高级查询数据-4月返'!A:A,1,FALSE)</f>
        <v>#N/A</v>
      </c>
      <c r="J3982" s="31" t="s">
        <v>33</v>
      </c>
      <c r="K3982" s="154" t="s">
        <v>5127</v>
      </c>
      <c r="L3982" s="293"/>
      <c r="M3982" s="113"/>
      <c r="N3982" s="146" t="s">
        <v>5129</v>
      </c>
      <c r="O3982" s="146" t="s">
        <v>37</v>
      </c>
      <c r="P3982" s="400">
        <v>0</v>
      </c>
      <c r="Q3982" s="295">
        <v>288</v>
      </c>
      <c r="R3982" s="390">
        <f t="shared" si="131"/>
        <v>0</v>
      </c>
      <c r="S3982" s="127">
        <v>202304</v>
      </c>
      <c r="T3982" s="198" t="s">
        <v>5135</v>
      </c>
      <c r="U3982" s="391"/>
      <c r="V3982" s="422"/>
      <c r="W3982" s="393"/>
      <c r="X3982" s="146"/>
      <c r="Y3982" s="146"/>
    </row>
    <row r="3983" s="5" customFormat="1" customHeight="1" spans="1:25">
      <c r="A3983" s="203" t="s">
        <v>446</v>
      </c>
      <c r="B3983" s="204" t="s">
        <v>4284</v>
      </c>
      <c r="C3983" s="204" t="s">
        <v>2173</v>
      </c>
      <c r="D3983" s="204" t="s">
        <v>3939</v>
      </c>
      <c r="E3983" s="205" t="s">
        <v>5124</v>
      </c>
      <c r="F3983" s="203" t="s">
        <v>5125</v>
      </c>
      <c r="G3983" s="203" t="s">
        <v>31</v>
      </c>
      <c r="H3983" s="25" t="s">
        <v>5131</v>
      </c>
      <c r="I3983" s="46" t="e">
        <f>VLOOKUP(H3983,'合同高级查询数据-4月返'!A:A,1,FALSE)</f>
        <v>#N/A</v>
      </c>
      <c r="J3983" s="47" t="s">
        <v>33</v>
      </c>
      <c r="K3983" s="203" t="s">
        <v>5127</v>
      </c>
      <c r="L3983" s="206"/>
      <c r="M3983" s="49"/>
      <c r="N3983" s="73">
        <v>44651</v>
      </c>
      <c r="O3983" s="73" t="s">
        <v>37</v>
      </c>
      <c r="P3983" s="396">
        <v>0</v>
      </c>
      <c r="Q3983" s="212">
        <v>-288</v>
      </c>
      <c r="R3983" s="386">
        <f t="shared" si="131"/>
        <v>0</v>
      </c>
      <c r="S3983" s="115">
        <v>202304</v>
      </c>
      <c r="T3983" s="184" t="s">
        <v>5132</v>
      </c>
      <c r="U3983" s="213"/>
      <c r="V3983" s="418"/>
      <c r="W3983" s="214"/>
      <c r="X3983" s="73" t="s">
        <v>5133</v>
      </c>
      <c r="Y3983" s="73" t="s">
        <v>5134</v>
      </c>
    </row>
    <row r="3984" s="5" customFormat="1" customHeight="1" spans="1:25">
      <c r="A3984" s="203" t="s">
        <v>446</v>
      </c>
      <c r="B3984" s="204" t="s">
        <v>4284</v>
      </c>
      <c r="C3984" s="204" t="s">
        <v>196</v>
      </c>
      <c r="D3984" s="204" t="s">
        <v>3939</v>
      </c>
      <c r="E3984" s="205" t="s">
        <v>5136</v>
      </c>
      <c r="F3984" s="203" t="s">
        <v>5137</v>
      </c>
      <c r="G3984" s="203" t="s">
        <v>88</v>
      </c>
      <c r="H3984" s="25" t="s">
        <v>5138</v>
      </c>
      <c r="I3984" s="46" t="str">
        <f>VLOOKUP(H3984,'合同高级查询数据-4月返'!A:A,1,FALSE)</f>
        <v>182315IDC00097</v>
      </c>
      <c r="J3984" s="47" t="s">
        <v>162</v>
      </c>
      <c r="K3984" s="203" t="s">
        <v>198</v>
      </c>
      <c r="L3984" s="206" t="s">
        <v>5139</v>
      </c>
      <c r="M3984" s="49" t="s">
        <v>5140</v>
      </c>
      <c r="N3984" s="73">
        <v>44166</v>
      </c>
      <c r="O3984" s="73" t="s">
        <v>163</v>
      </c>
      <c r="P3984" s="396">
        <v>0</v>
      </c>
      <c r="Q3984" s="212">
        <v>1</v>
      </c>
      <c r="R3984" s="386">
        <f t="shared" si="131"/>
        <v>0</v>
      </c>
      <c r="S3984" s="115">
        <v>202304</v>
      </c>
      <c r="T3984" s="184" t="s">
        <v>5141</v>
      </c>
      <c r="U3984" s="213"/>
      <c r="V3984" s="418"/>
      <c r="W3984" s="214"/>
      <c r="X3984" s="73">
        <v>44896</v>
      </c>
      <c r="Y3984" s="73">
        <v>45260</v>
      </c>
    </row>
    <row r="3985" s="5" customFormat="1" customHeight="1" spans="1:25">
      <c r="A3985" s="203" t="s">
        <v>446</v>
      </c>
      <c r="B3985" s="204" t="s">
        <v>4284</v>
      </c>
      <c r="C3985" s="204" t="s">
        <v>196</v>
      </c>
      <c r="D3985" s="204" t="s">
        <v>3939</v>
      </c>
      <c r="E3985" s="205" t="s">
        <v>5136</v>
      </c>
      <c r="F3985" s="203" t="s">
        <v>5137</v>
      </c>
      <c r="G3985" s="203" t="s">
        <v>88</v>
      </c>
      <c r="H3985" s="25" t="s">
        <v>5138</v>
      </c>
      <c r="I3985" s="46" t="str">
        <f>VLOOKUP(H3985,'合同高级查询数据-4月返'!A:A,1,FALSE)</f>
        <v>182315IDC00097</v>
      </c>
      <c r="J3985" s="47" t="s">
        <v>162</v>
      </c>
      <c r="K3985" s="203" t="s">
        <v>198</v>
      </c>
      <c r="L3985" s="206" t="s">
        <v>5139</v>
      </c>
      <c r="M3985" s="49" t="s">
        <v>5140</v>
      </c>
      <c r="N3985" s="73">
        <v>44805</v>
      </c>
      <c r="O3985" s="73" t="s">
        <v>163</v>
      </c>
      <c r="P3985" s="396">
        <v>0</v>
      </c>
      <c r="Q3985" s="212">
        <v>-1</v>
      </c>
      <c r="R3985" s="386">
        <f t="shared" si="131"/>
        <v>0</v>
      </c>
      <c r="S3985" s="115">
        <v>202304</v>
      </c>
      <c r="T3985" s="184" t="s">
        <v>5142</v>
      </c>
      <c r="U3985" s="213"/>
      <c r="V3985" s="418"/>
      <c r="W3985" s="214"/>
      <c r="X3985" s="73">
        <v>44896</v>
      </c>
      <c r="Y3985" s="73">
        <v>45260</v>
      </c>
    </row>
    <row r="3986" s="5" customFormat="1" customHeight="1" spans="1:25">
      <c r="A3986" s="203" t="s">
        <v>446</v>
      </c>
      <c r="B3986" s="204" t="s">
        <v>4284</v>
      </c>
      <c r="C3986" s="204" t="s">
        <v>196</v>
      </c>
      <c r="D3986" s="204" t="s">
        <v>3939</v>
      </c>
      <c r="E3986" s="205" t="s">
        <v>5136</v>
      </c>
      <c r="F3986" s="203" t="s">
        <v>5137</v>
      </c>
      <c r="G3986" s="203" t="s">
        <v>31</v>
      </c>
      <c r="H3986" s="25" t="s">
        <v>5138</v>
      </c>
      <c r="I3986" s="46" t="str">
        <f>VLOOKUP(H3986,'合同高级查询数据-4月返'!A:A,1,FALSE)</f>
        <v>182315IDC00097</v>
      </c>
      <c r="J3986" s="47" t="s">
        <v>33</v>
      </c>
      <c r="K3986" s="203" t="s">
        <v>198</v>
      </c>
      <c r="L3986" s="206" t="s">
        <v>5139</v>
      </c>
      <c r="M3986" s="49" t="s">
        <v>5140</v>
      </c>
      <c r="N3986" s="73">
        <v>44166</v>
      </c>
      <c r="O3986" s="73" t="s">
        <v>37</v>
      </c>
      <c r="P3986" s="396">
        <v>0</v>
      </c>
      <c r="Q3986" s="212">
        <v>256</v>
      </c>
      <c r="R3986" s="386">
        <f t="shared" si="131"/>
        <v>0</v>
      </c>
      <c r="S3986" s="115">
        <v>202304</v>
      </c>
      <c r="T3986" s="184" t="s">
        <v>5143</v>
      </c>
      <c r="U3986" s="213"/>
      <c r="V3986" s="418"/>
      <c r="W3986" s="214"/>
      <c r="X3986" s="73">
        <v>44896</v>
      </c>
      <c r="Y3986" s="73">
        <v>45260</v>
      </c>
    </row>
    <row r="3987" s="5" customFormat="1" customHeight="1" spans="1:25">
      <c r="A3987" s="203" t="s">
        <v>446</v>
      </c>
      <c r="B3987" s="204" t="s">
        <v>4284</v>
      </c>
      <c r="C3987" s="204" t="s">
        <v>196</v>
      </c>
      <c r="D3987" s="204" t="s">
        <v>3939</v>
      </c>
      <c r="E3987" s="205" t="s">
        <v>5136</v>
      </c>
      <c r="F3987" s="203" t="s">
        <v>5137</v>
      </c>
      <c r="G3987" s="203" t="s">
        <v>88</v>
      </c>
      <c r="H3987" s="25" t="s">
        <v>5138</v>
      </c>
      <c r="I3987" s="46" t="str">
        <f>VLOOKUP(H3987,'合同高级查询数据-4月返'!A:A,1,FALSE)</f>
        <v>182315IDC00097</v>
      </c>
      <c r="J3987" s="47" t="s">
        <v>162</v>
      </c>
      <c r="K3987" s="203" t="s">
        <v>5144</v>
      </c>
      <c r="L3987" s="203" t="s">
        <v>5139</v>
      </c>
      <c r="M3987" s="49" t="s">
        <v>5140</v>
      </c>
      <c r="N3987" s="73">
        <v>44622</v>
      </c>
      <c r="O3987" s="73" t="s">
        <v>163</v>
      </c>
      <c r="P3987" s="396">
        <v>0</v>
      </c>
      <c r="Q3987" s="212">
        <v>2</v>
      </c>
      <c r="R3987" s="386">
        <f t="shared" si="131"/>
        <v>0</v>
      </c>
      <c r="S3987" s="115">
        <v>202304</v>
      </c>
      <c r="T3987" s="184" t="s">
        <v>5145</v>
      </c>
      <c r="U3987" s="213"/>
      <c r="V3987" s="418"/>
      <c r="W3987" s="214"/>
      <c r="X3987" s="73">
        <v>44896</v>
      </c>
      <c r="Y3987" s="73">
        <v>45260</v>
      </c>
    </row>
    <row r="3988" s="5" customFormat="1" customHeight="1" spans="1:25">
      <c r="A3988" s="203" t="s">
        <v>446</v>
      </c>
      <c r="B3988" s="204" t="s">
        <v>4284</v>
      </c>
      <c r="C3988" s="204" t="s">
        <v>196</v>
      </c>
      <c r="D3988" s="204" t="s">
        <v>3939</v>
      </c>
      <c r="E3988" s="205" t="s">
        <v>5136</v>
      </c>
      <c r="F3988" s="203" t="s">
        <v>5137</v>
      </c>
      <c r="G3988" s="203" t="s">
        <v>31</v>
      </c>
      <c r="H3988" s="25" t="s">
        <v>5138</v>
      </c>
      <c r="I3988" s="46" t="str">
        <f>VLOOKUP(H3988,'合同高级查询数据-4月返'!A:A,1,FALSE)</f>
        <v>182315IDC00097</v>
      </c>
      <c r="J3988" s="47" t="s">
        <v>33</v>
      </c>
      <c r="K3988" s="203" t="s">
        <v>5144</v>
      </c>
      <c r="L3988" s="206" t="s">
        <v>5144</v>
      </c>
      <c r="M3988" s="49" t="s">
        <v>5140</v>
      </c>
      <c r="N3988" s="73">
        <v>44622</v>
      </c>
      <c r="O3988" s="73" t="s">
        <v>37</v>
      </c>
      <c r="P3988" s="396">
        <v>0</v>
      </c>
      <c r="Q3988" s="212">
        <v>128</v>
      </c>
      <c r="R3988" s="386">
        <f t="shared" si="131"/>
        <v>0</v>
      </c>
      <c r="S3988" s="115">
        <v>202304</v>
      </c>
      <c r="T3988" s="184" t="s">
        <v>5146</v>
      </c>
      <c r="U3988" s="213"/>
      <c r="V3988" s="418"/>
      <c r="W3988" s="214"/>
      <c r="X3988" s="73">
        <v>44896</v>
      </c>
      <c r="Y3988" s="73">
        <v>45260</v>
      </c>
    </row>
    <row r="3989" s="5" customFormat="1" customHeight="1" spans="1:25">
      <c r="A3989" s="203" t="s">
        <v>446</v>
      </c>
      <c r="B3989" s="204" t="s">
        <v>4284</v>
      </c>
      <c r="C3989" s="204" t="s">
        <v>196</v>
      </c>
      <c r="D3989" s="204" t="s">
        <v>3939</v>
      </c>
      <c r="E3989" s="205" t="s">
        <v>5136</v>
      </c>
      <c r="F3989" s="203" t="s">
        <v>5137</v>
      </c>
      <c r="G3989" s="203" t="s">
        <v>31</v>
      </c>
      <c r="H3989" s="25" t="s">
        <v>5138</v>
      </c>
      <c r="I3989" s="46" t="str">
        <f>VLOOKUP(H3989,'合同高级查询数据-4月返'!A:A,1,FALSE)</f>
        <v>182315IDC00097</v>
      </c>
      <c r="J3989" s="47" t="s">
        <v>33</v>
      </c>
      <c r="K3989" s="203" t="s">
        <v>5144</v>
      </c>
      <c r="L3989" s="206" t="s">
        <v>5144</v>
      </c>
      <c r="M3989" s="49" t="s">
        <v>5140</v>
      </c>
      <c r="N3989" s="73">
        <v>44805</v>
      </c>
      <c r="O3989" s="73" t="s">
        <v>37</v>
      </c>
      <c r="P3989" s="396">
        <v>0</v>
      </c>
      <c r="Q3989" s="212">
        <v>-128</v>
      </c>
      <c r="R3989" s="386">
        <f t="shared" si="131"/>
        <v>0</v>
      </c>
      <c r="S3989" s="115">
        <v>202304</v>
      </c>
      <c r="T3989" s="184" t="s">
        <v>5146</v>
      </c>
      <c r="U3989" s="213"/>
      <c r="V3989" s="418"/>
      <c r="W3989" s="214"/>
      <c r="X3989" s="73">
        <v>44896</v>
      </c>
      <c r="Y3989" s="73">
        <v>45260</v>
      </c>
    </row>
    <row r="3990" s="5" customFormat="1" customHeight="1" spans="1:25">
      <c r="A3990" s="204" t="s">
        <v>446</v>
      </c>
      <c r="B3990" s="204" t="s">
        <v>5007</v>
      </c>
      <c r="C3990" s="204" t="s">
        <v>216</v>
      </c>
      <c r="D3990" s="204" t="s">
        <v>3939</v>
      </c>
      <c r="E3990" s="426" t="s">
        <v>5147</v>
      </c>
      <c r="F3990" s="204" t="s">
        <v>5148</v>
      </c>
      <c r="G3990" s="107" t="s">
        <v>88</v>
      </c>
      <c r="H3990" s="178" t="s">
        <v>5149</v>
      </c>
      <c r="I3990" s="46" t="e">
        <f>VLOOKUP(H3990,'合同高级查询数据-4月返'!A:A,1,FALSE)</f>
        <v>#N/A</v>
      </c>
      <c r="J3990" s="178" t="s">
        <v>162</v>
      </c>
      <c r="K3990" s="204" t="s">
        <v>5150</v>
      </c>
      <c r="L3990" s="107" t="s">
        <v>5151</v>
      </c>
      <c r="M3990" s="49" t="s">
        <v>5152</v>
      </c>
      <c r="N3990" s="73">
        <v>42748</v>
      </c>
      <c r="O3990" s="73" t="s">
        <v>702</v>
      </c>
      <c r="P3990" s="430">
        <v>2800</v>
      </c>
      <c r="Q3990" s="212">
        <v>4</v>
      </c>
      <c r="R3990" s="432">
        <f t="shared" si="131"/>
        <v>11200</v>
      </c>
      <c r="S3990" s="115">
        <v>202304</v>
      </c>
      <c r="T3990" s="248" t="s">
        <v>5153</v>
      </c>
      <c r="U3990" s="248"/>
      <c r="V3990" s="418"/>
      <c r="W3990" s="120"/>
      <c r="X3990" s="73">
        <v>44531</v>
      </c>
      <c r="Y3990" s="73">
        <v>45260</v>
      </c>
    </row>
    <row r="3991" s="5" customFormat="1" customHeight="1" spans="1:25">
      <c r="A3991" s="204" t="s">
        <v>446</v>
      </c>
      <c r="B3991" s="204" t="s">
        <v>5007</v>
      </c>
      <c r="C3991" s="204" t="s">
        <v>216</v>
      </c>
      <c r="D3991" s="204" t="s">
        <v>3939</v>
      </c>
      <c r="E3991" s="426" t="s">
        <v>5147</v>
      </c>
      <c r="F3991" s="204" t="s">
        <v>5148</v>
      </c>
      <c r="G3991" s="107" t="s">
        <v>88</v>
      </c>
      <c r="H3991" s="178" t="s">
        <v>5149</v>
      </c>
      <c r="I3991" s="46" t="e">
        <f>VLOOKUP(H3991,'合同高级查询数据-4月返'!A:A,1,FALSE)</f>
        <v>#N/A</v>
      </c>
      <c r="J3991" s="178" t="s">
        <v>162</v>
      </c>
      <c r="K3991" s="204" t="s">
        <v>5150</v>
      </c>
      <c r="L3991" s="107" t="s">
        <v>5151</v>
      </c>
      <c r="M3991" s="49" t="s">
        <v>5152</v>
      </c>
      <c r="N3991" s="73">
        <v>43930</v>
      </c>
      <c r="O3991" s="73" t="s">
        <v>702</v>
      </c>
      <c r="P3991" s="430">
        <v>2800</v>
      </c>
      <c r="Q3991" s="212">
        <v>-4</v>
      </c>
      <c r="R3991" s="433">
        <f t="shared" si="131"/>
        <v>-11200</v>
      </c>
      <c r="S3991" s="115">
        <v>202304</v>
      </c>
      <c r="T3991" s="248" t="s">
        <v>5153</v>
      </c>
      <c r="U3991" s="248"/>
      <c r="V3991" s="418"/>
      <c r="W3991" s="120"/>
      <c r="X3991" s="73">
        <v>44531</v>
      </c>
      <c r="Y3991" s="73">
        <v>45260</v>
      </c>
    </row>
    <row r="3992" s="5" customFormat="1" customHeight="1" spans="1:25">
      <c r="A3992" s="204" t="s">
        <v>446</v>
      </c>
      <c r="B3992" s="204" t="s">
        <v>5007</v>
      </c>
      <c r="C3992" s="204" t="s">
        <v>216</v>
      </c>
      <c r="D3992" s="204" t="s">
        <v>3939</v>
      </c>
      <c r="E3992" s="426" t="s">
        <v>5147</v>
      </c>
      <c r="F3992" s="204" t="s">
        <v>5148</v>
      </c>
      <c r="G3992" s="107" t="s">
        <v>88</v>
      </c>
      <c r="H3992" s="178" t="s">
        <v>5149</v>
      </c>
      <c r="I3992" s="46" t="e">
        <f>VLOOKUP(H3992,'合同高级查询数据-4月返'!A:A,1,FALSE)</f>
        <v>#N/A</v>
      </c>
      <c r="J3992" s="178" t="s">
        <v>162</v>
      </c>
      <c r="K3992" s="204" t="s">
        <v>5150</v>
      </c>
      <c r="L3992" s="107" t="s">
        <v>5151</v>
      </c>
      <c r="M3992" s="49" t="s">
        <v>5152</v>
      </c>
      <c r="N3992" s="73">
        <v>43592</v>
      </c>
      <c r="O3992" s="73" t="s">
        <v>702</v>
      </c>
      <c r="P3992" s="430">
        <v>2800</v>
      </c>
      <c r="Q3992" s="212">
        <v>2</v>
      </c>
      <c r="R3992" s="108">
        <f t="shared" si="131"/>
        <v>5600</v>
      </c>
      <c r="S3992" s="115">
        <v>202304</v>
      </c>
      <c r="T3992" s="248" t="s">
        <v>5154</v>
      </c>
      <c r="U3992" s="248"/>
      <c r="V3992" s="418"/>
      <c r="W3992" s="120"/>
      <c r="X3992" s="73">
        <v>44531</v>
      </c>
      <c r="Y3992" s="73">
        <v>45260</v>
      </c>
    </row>
    <row r="3993" s="5" customFormat="1" customHeight="1" spans="1:25">
      <c r="A3993" s="204" t="s">
        <v>446</v>
      </c>
      <c r="B3993" s="204" t="s">
        <v>5007</v>
      </c>
      <c r="C3993" s="204" t="s">
        <v>216</v>
      </c>
      <c r="D3993" s="204" t="s">
        <v>3939</v>
      </c>
      <c r="E3993" s="426" t="s">
        <v>5147</v>
      </c>
      <c r="F3993" s="204" t="s">
        <v>5148</v>
      </c>
      <c r="G3993" s="107" t="s">
        <v>88</v>
      </c>
      <c r="H3993" s="178" t="s">
        <v>5149</v>
      </c>
      <c r="I3993" s="46" t="e">
        <f>VLOOKUP(H3993,'合同高级查询数据-4月返'!A:A,1,FALSE)</f>
        <v>#N/A</v>
      </c>
      <c r="J3993" s="178" t="s">
        <v>162</v>
      </c>
      <c r="K3993" s="204" t="s">
        <v>5150</v>
      </c>
      <c r="L3993" s="107" t="s">
        <v>5151</v>
      </c>
      <c r="M3993" s="49" t="s">
        <v>5152</v>
      </c>
      <c r="N3993" s="73">
        <v>43929</v>
      </c>
      <c r="O3993" s="73" t="s">
        <v>702</v>
      </c>
      <c r="P3993" s="430">
        <v>2800</v>
      </c>
      <c r="Q3993" s="212">
        <v>2</v>
      </c>
      <c r="R3993" s="433">
        <f t="shared" si="131"/>
        <v>5600</v>
      </c>
      <c r="S3993" s="115">
        <v>202304</v>
      </c>
      <c r="T3993" s="248" t="s">
        <v>5155</v>
      </c>
      <c r="U3993" s="248"/>
      <c r="V3993" s="418"/>
      <c r="W3993" s="120"/>
      <c r="X3993" s="73">
        <v>44531</v>
      </c>
      <c r="Y3993" s="73">
        <v>45260</v>
      </c>
    </row>
    <row r="3994" s="5" customFormat="1" customHeight="1" spans="1:25">
      <c r="A3994" s="204" t="s">
        <v>446</v>
      </c>
      <c r="B3994" s="204" t="s">
        <v>5007</v>
      </c>
      <c r="C3994" s="204" t="s">
        <v>216</v>
      </c>
      <c r="D3994" s="204" t="s">
        <v>3939</v>
      </c>
      <c r="E3994" s="426" t="s">
        <v>5147</v>
      </c>
      <c r="F3994" s="204" t="s">
        <v>5148</v>
      </c>
      <c r="G3994" s="107" t="s">
        <v>88</v>
      </c>
      <c r="H3994" s="178" t="s">
        <v>5149</v>
      </c>
      <c r="I3994" s="46" t="e">
        <f>VLOOKUP(H3994,'合同高级查询数据-4月返'!A:A,1,FALSE)</f>
        <v>#N/A</v>
      </c>
      <c r="J3994" s="178" t="s">
        <v>162</v>
      </c>
      <c r="K3994" s="204" t="s">
        <v>5150</v>
      </c>
      <c r="L3994" s="107" t="s">
        <v>5151</v>
      </c>
      <c r="M3994" s="49" t="s">
        <v>5152</v>
      </c>
      <c r="N3994" s="73">
        <v>43934</v>
      </c>
      <c r="O3994" s="73" t="s">
        <v>702</v>
      </c>
      <c r="P3994" s="430">
        <v>2800</v>
      </c>
      <c r="Q3994" s="212">
        <v>1</v>
      </c>
      <c r="R3994" s="433">
        <f t="shared" si="131"/>
        <v>2800</v>
      </c>
      <c r="S3994" s="115">
        <v>202304</v>
      </c>
      <c r="T3994" s="248" t="s">
        <v>5156</v>
      </c>
      <c r="U3994" s="248"/>
      <c r="V3994" s="418"/>
      <c r="W3994" s="120"/>
      <c r="X3994" s="73">
        <v>44531</v>
      </c>
      <c r="Y3994" s="73">
        <v>45260</v>
      </c>
    </row>
    <row r="3995" s="5" customFormat="1" customHeight="1" spans="1:25">
      <c r="A3995" s="204" t="s">
        <v>446</v>
      </c>
      <c r="B3995" s="204" t="s">
        <v>5007</v>
      </c>
      <c r="C3995" s="204" t="s">
        <v>216</v>
      </c>
      <c r="D3995" s="204" t="s">
        <v>3939</v>
      </c>
      <c r="E3995" s="426" t="s">
        <v>5147</v>
      </c>
      <c r="F3995" s="204" t="s">
        <v>5148</v>
      </c>
      <c r="G3995" s="107" t="s">
        <v>88</v>
      </c>
      <c r="H3995" s="178" t="s">
        <v>5149</v>
      </c>
      <c r="I3995" s="46" t="e">
        <f>VLOOKUP(H3995,'合同高级查询数据-4月返'!A:A,1,FALSE)</f>
        <v>#N/A</v>
      </c>
      <c r="J3995" s="178" t="s">
        <v>162</v>
      </c>
      <c r="K3995" s="204" t="s">
        <v>5150</v>
      </c>
      <c r="L3995" s="107" t="s">
        <v>5151</v>
      </c>
      <c r="M3995" s="49" t="s">
        <v>5152</v>
      </c>
      <c r="N3995" s="73">
        <v>44712</v>
      </c>
      <c r="O3995" s="73" t="s">
        <v>702</v>
      </c>
      <c r="P3995" s="430">
        <v>2800</v>
      </c>
      <c r="Q3995" s="212">
        <v>-1</v>
      </c>
      <c r="R3995" s="433">
        <f t="shared" si="131"/>
        <v>-2800</v>
      </c>
      <c r="S3995" s="115">
        <v>202304</v>
      </c>
      <c r="T3995" s="248" t="s">
        <v>5156</v>
      </c>
      <c r="U3995" s="248"/>
      <c r="V3995" s="418"/>
      <c r="W3995" s="120"/>
      <c r="X3995" s="73">
        <v>44531</v>
      </c>
      <c r="Y3995" s="73">
        <v>45260</v>
      </c>
    </row>
    <row r="3996" s="5" customFormat="1" customHeight="1" spans="1:25">
      <c r="A3996" s="204" t="s">
        <v>446</v>
      </c>
      <c r="B3996" s="204" t="s">
        <v>5007</v>
      </c>
      <c r="C3996" s="204" t="s">
        <v>216</v>
      </c>
      <c r="D3996" s="204" t="s">
        <v>3939</v>
      </c>
      <c r="E3996" s="426" t="s">
        <v>5147</v>
      </c>
      <c r="F3996" s="204" t="s">
        <v>5148</v>
      </c>
      <c r="G3996" s="107" t="s">
        <v>31</v>
      </c>
      <c r="H3996" s="178" t="s">
        <v>5149</v>
      </c>
      <c r="I3996" s="46" t="e">
        <f>VLOOKUP(H3996,'合同高级查询数据-4月返'!A:A,1,FALSE)</f>
        <v>#N/A</v>
      </c>
      <c r="J3996" s="203" t="s">
        <v>33</v>
      </c>
      <c r="K3996" s="204" t="s">
        <v>5150</v>
      </c>
      <c r="L3996" s="204" t="s">
        <v>5151</v>
      </c>
      <c r="M3996" s="49"/>
      <c r="N3996" s="73">
        <v>42748</v>
      </c>
      <c r="O3996" s="73" t="s">
        <v>37</v>
      </c>
      <c r="P3996" s="299">
        <v>0</v>
      </c>
      <c r="Q3996" s="212">
        <f>384-128</f>
        <v>256</v>
      </c>
      <c r="R3996" s="108">
        <f t="shared" si="131"/>
        <v>0</v>
      </c>
      <c r="S3996" s="115">
        <v>202304</v>
      </c>
      <c r="T3996" s="248" t="s">
        <v>5157</v>
      </c>
      <c r="U3996" s="248"/>
      <c r="V3996" s="418"/>
      <c r="W3996" s="120"/>
      <c r="X3996" s="73">
        <v>44531</v>
      </c>
      <c r="Y3996" s="73">
        <v>45260</v>
      </c>
    </row>
    <row r="3997" s="5" customFormat="1" customHeight="1" spans="1:25">
      <c r="A3997" s="204" t="s">
        <v>446</v>
      </c>
      <c r="B3997" s="204" t="s">
        <v>5007</v>
      </c>
      <c r="C3997" s="204" t="s">
        <v>216</v>
      </c>
      <c r="D3997" s="204" t="s">
        <v>3939</v>
      </c>
      <c r="E3997" s="426" t="s">
        <v>5147</v>
      </c>
      <c r="F3997" s="204" t="s">
        <v>5148</v>
      </c>
      <c r="G3997" s="107" t="s">
        <v>31</v>
      </c>
      <c r="H3997" s="178" t="s">
        <v>5149</v>
      </c>
      <c r="I3997" s="46" t="e">
        <f>VLOOKUP(H3997,'合同高级查询数据-4月返'!A:A,1,FALSE)</f>
        <v>#N/A</v>
      </c>
      <c r="J3997" s="203" t="s">
        <v>33</v>
      </c>
      <c r="K3997" s="204" t="s">
        <v>5151</v>
      </c>
      <c r="L3997" s="204" t="s">
        <v>5151</v>
      </c>
      <c r="M3997" s="49"/>
      <c r="N3997" s="73">
        <v>44176</v>
      </c>
      <c r="O3997" s="73" t="s">
        <v>37</v>
      </c>
      <c r="P3997" s="108">
        <v>35</v>
      </c>
      <c r="Q3997" s="212">
        <f>128+128</f>
        <v>256</v>
      </c>
      <c r="R3997" s="433">
        <f t="shared" si="131"/>
        <v>8960</v>
      </c>
      <c r="S3997" s="115">
        <v>202304</v>
      </c>
      <c r="T3997" s="248" t="s">
        <v>5157</v>
      </c>
      <c r="U3997" s="248"/>
      <c r="V3997" s="418"/>
      <c r="W3997" s="434"/>
      <c r="X3997" s="73">
        <v>44531</v>
      </c>
      <c r="Y3997" s="73">
        <v>45260</v>
      </c>
    </row>
    <row r="3998" s="3" customFormat="1" customHeight="1" spans="1:25">
      <c r="A3998" s="427" t="s">
        <v>446</v>
      </c>
      <c r="B3998" s="427" t="s">
        <v>5007</v>
      </c>
      <c r="C3998" s="428" t="s">
        <v>216</v>
      </c>
      <c r="D3998" s="428" t="s">
        <v>3939</v>
      </c>
      <c r="E3998" s="429" t="s">
        <v>5147</v>
      </c>
      <c r="F3998" s="427" t="s">
        <v>5148</v>
      </c>
      <c r="G3998" s="142" t="s">
        <v>88</v>
      </c>
      <c r="H3998" s="155" t="s">
        <v>5158</v>
      </c>
      <c r="I3998" s="30" t="e">
        <f>VLOOKUP(H3998,'合同高级查询数据-4月返'!A:A,1,FALSE)</f>
        <v>#N/A</v>
      </c>
      <c r="J3998" s="155" t="s">
        <v>162</v>
      </c>
      <c r="K3998" s="427" t="s">
        <v>5150</v>
      </c>
      <c r="L3998" s="142" t="s">
        <v>5159</v>
      </c>
      <c r="M3998" s="113" t="s">
        <v>5152</v>
      </c>
      <c r="N3998" s="146">
        <v>45017</v>
      </c>
      <c r="O3998" s="142" t="s">
        <v>4123</v>
      </c>
      <c r="P3998" s="431">
        <v>2800</v>
      </c>
      <c r="Q3998" s="435">
        <v>1</v>
      </c>
      <c r="R3998" s="436">
        <f t="shared" si="131"/>
        <v>2800</v>
      </c>
      <c r="S3998" s="277">
        <v>202304</v>
      </c>
      <c r="T3998" s="437" t="s">
        <v>5160</v>
      </c>
      <c r="U3998" s="141"/>
      <c r="V3998" s="438"/>
      <c r="W3998" s="439"/>
      <c r="X3998" s="146"/>
      <c r="Y3998" s="146"/>
    </row>
    <row r="3999" s="3" customFormat="1" customHeight="1" spans="1:25">
      <c r="A3999" s="427" t="s">
        <v>446</v>
      </c>
      <c r="B3999" s="427" t="s">
        <v>5007</v>
      </c>
      <c r="C3999" s="428" t="s">
        <v>216</v>
      </c>
      <c r="D3999" s="428" t="s">
        <v>3939</v>
      </c>
      <c r="E3999" s="429" t="s">
        <v>5147</v>
      </c>
      <c r="F3999" s="427" t="s">
        <v>5148</v>
      </c>
      <c r="G3999" s="142" t="s">
        <v>31</v>
      </c>
      <c r="H3999" s="155" t="s">
        <v>5158</v>
      </c>
      <c r="I3999" s="30" t="e">
        <f>VLOOKUP(H3999,'合同高级查询数据-4月返'!A:A,1,FALSE)</f>
        <v>#N/A</v>
      </c>
      <c r="J3999" s="155" t="s">
        <v>33</v>
      </c>
      <c r="K3999" s="427" t="s">
        <v>5150</v>
      </c>
      <c r="L3999" s="142" t="s">
        <v>5159</v>
      </c>
      <c r="M3999" s="113" t="s">
        <v>5152</v>
      </c>
      <c r="N3999" s="146">
        <v>45017</v>
      </c>
      <c r="O3999" s="142" t="s">
        <v>37</v>
      </c>
      <c r="P3999" s="431">
        <v>0</v>
      </c>
      <c r="Q3999" s="435">
        <v>8</v>
      </c>
      <c r="R3999" s="436">
        <f t="shared" si="131"/>
        <v>0</v>
      </c>
      <c r="S3999" s="277">
        <v>202304</v>
      </c>
      <c r="T3999" s="425" t="s">
        <v>5161</v>
      </c>
      <c r="U3999" s="141"/>
      <c r="V3999" s="438"/>
      <c r="W3999" s="439"/>
      <c r="X3999" s="146"/>
      <c r="Y3999" s="146"/>
    </row>
    <row r="4000" s="3" customFormat="1" customHeight="1" spans="1:25">
      <c r="A4000" s="427" t="s">
        <v>446</v>
      </c>
      <c r="B4000" s="427" t="s">
        <v>5007</v>
      </c>
      <c r="C4000" s="428" t="s">
        <v>216</v>
      </c>
      <c r="D4000" s="428" t="s">
        <v>3939</v>
      </c>
      <c r="E4000" s="429" t="s">
        <v>5147</v>
      </c>
      <c r="F4000" s="427" t="s">
        <v>5148</v>
      </c>
      <c r="G4000" s="142" t="s">
        <v>31</v>
      </c>
      <c r="H4000" s="155" t="s">
        <v>5158</v>
      </c>
      <c r="I4000" s="30" t="e">
        <f>VLOOKUP(H4000,'合同高级查询数据-4月返'!A:A,1,FALSE)</f>
        <v>#N/A</v>
      </c>
      <c r="J4000" s="155" t="s">
        <v>33</v>
      </c>
      <c r="K4000" s="427" t="s">
        <v>5150</v>
      </c>
      <c r="L4000" s="142" t="s">
        <v>5159</v>
      </c>
      <c r="M4000" s="113" t="s">
        <v>5152</v>
      </c>
      <c r="N4000" s="146">
        <v>45020</v>
      </c>
      <c r="O4000" s="142" t="s">
        <v>37</v>
      </c>
      <c r="P4000" s="431">
        <v>35</v>
      </c>
      <c r="Q4000" s="435">
        <v>8</v>
      </c>
      <c r="R4000" s="436">
        <f>ROUND(P4000*Q4000*27/30,2)</f>
        <v>252</v>
      </c>
      <c r="S4000" s="277">
        <v>202304</v>
      </c>
      <c r="T4000" s="425" t="s">
        <v>5162</v>
      </c>
      <c r="U4000" s="141"/>
      <c r="V4000" s="438"/>
      <c r="W4000" s="439"/>
      <c r="X4000" s="146"/>
      <c r="Y4000" s="146"/>
    </row>
    <row r="4001" s="3" customFormat="1" customHeight="1" spans="1:25">
      <c r="A4001" s="292" t="s">
        <v>446</v>
      </c>
      <c r="B4001" s="292" t="s">
        <v>5007</v>
      </c>
      <c r="C4001" s="154" t="s">
        <v>330</v>
      </c>
      <c r="D4001" s="292" t="s">
        <v>3939</v>
      </c>
      <c r="E4001" s="419" t="s">
        <v>5163</v>
      </c>
      <c r="F4001" s="292" t="s">
        <v>5164</v>
      </c>
      <c r="G4001" s="142" t="s">
        <v>88</v>
      </c>
      <c r="H4001" s="110" t="s">
        <v>5165</v>
      </c>
      <c r="I4001" s="30" t="e">
        <f>VLOOKUP(H4001,'合同高级查询数据-4月返'!A:A,1,FALSE)</f>
        <v>#N/A</v>
      </c>
      <c r="J4001" s="155" t="s">
        <v>1287</v>
      </c>
      <c r="K4001" s="292" t="s">
        <v>5166</v>
      </c>
      <c r="L4001" s="142" t="s">
        <v>5167</v>
      </c>
      <c r="M4001" s="113" t="s">
        <v>5168</v>
      </c>
      <c r="N4001" s="146">
        <v>41466</v>
      </c>
      <c r="O4001" s="146" t="s">
        <v>4123</v>
      </c>
      <c r="P4001" s="420">
        <v>4000</v>
      </c>
      <c r="Q4001" s="295">
        <v>13</v>
      </c>
      <c r="R4001" s="156">
        <f t="shared" si="131"/>
        <v>52000</v>
      </c>
      <c r="S4001" s="127">
        <v>202304</v>
      </c>
      <c r="T4001" s="196" t="s">
        <v>5169</v>
      </c>
      <c r="U4001" s="196"/>
      <c r="V4001" s="422"/>
      <c r="W4001" s="159"/>
      <c r="X4001" s="146"/>
      <c r="Y4001" s="146"/>
    </row>
    <row r="4002" s="3" customFormat="1" customHeight="1" spans="1:25">
      <c r="A4002" s="292" t="s">
        <v>446</v>
      </c>
      <c r="B4002" s="292" t="s">
        <v>5007</v>
      </c>
      <c r="C4002" s="154" t="s">
        <v>330</v>
      </c>
      <c r="D4002" s="292" t="s">
        <v>3939</v>
      </c>
      <c r="E4002" s="419" t="s">
        <v>5163</v>
      </c>
      <c r="F4002" s="292" t="s">
        <v>5164</v>
      </c>
      <c r="G4002" s="142" t="s">
        <v>88</v>
      </c>
      <c r="H4002" s="110" t="s">
        <v>5165</v>
      </c>
      <c r="I4002" s="30" t="e">
        <f>VLOOKUP(H4002,'合同高级查询数据-4月返'!A:A,1,FALSE)</f>
        <v>#N/A</v>
      </c>
      <c r="J4002" s="155" t="s">
        <v>1287</v>
      </c>
      <c r="K4002" s="292" t="s">
        <v>5166</v>
      </c>
      <c r="L4002" s="142" t="s">
        <v>5167</v>
      </c>
      <c r="M4002" s="113" t="s">
        <v>5168</v>
      </c>
      <c r="N4002" s="146">
        <v>43769</v>
      </c>
      <c r="O4002" s="146" t="s">
        <v>4123</v>
      </c>
      <c r="P4002" s="420">
        <v>4000</v>
      </c>
      <c r="Q4002" s="295">
        <v>-10</v>
      </c>
      <c r="R4002" s="156">
        <f t="shared" si="131"/>
        <v>-40000</v>
      </c>
      <c r="S4002" s="127">
        <v>202304</v>
      </c>
      <c r="T4002" s="196" t="s">
        <v>5170</v>
      </c>
      <c r="U4002" s="196"/>
      <c r="V4002" s="422"/>
      <c r="W4002" s="159"/>
      <c r="X4002" s="146"/>
      <c r="Y4002" s="146"/>
    </row>
    <row r="4003" s="3" customFormat="1" customHeight="1" spans="1:25">
      <c r="A4003" s="292" t="s">
        <v>446</v>
      </c>
      <c r="B4003" s="292" t="s">
        <v>5007</v>
      </c>
      <c r="C4003" s="154" t="s">
        <v>330</v>
      </c>
      <c r="D4003" s="292" t="s">
        <v>3939</v>
      </c>
      <c r="E4003" s="419" t="s">
        <v>5163</v>
      </c>
      <c r="F4003" s="292" t="s">
        <v>5164</v>
      </c>
      <c r="G4003" s="142" t="s">
        <v>31</v>
      </c>
      <c r="H4003" s="110" t="s">
        <v>5165</v>
      </c>
      <c r="I4003" s="30" t="e">
        <f>VLOOKUP(H4003,'合同高级查询数据-4月返'!A:A,1,FALSE)</f>
        <v>#N/A</v>
      </c>
      <c r="J4003" s="155" t="s">
        <v>1273</v>
      </c>
      <c r="K4003" s="292" t="s">
        <v>5166</v>
      </c>
      <c r="L4003" s="142" t="s">
        <v>5167</v>
      </c>
      <c r="M4003" s="113"/>
      <c r="N4003" s="146">
        <v>41466</v>
      </c>
      <c r="O4003" s="146" t="s">
        <v>37</v>
      </c>
      <c r="P4003" s="420">
        <v>50</v>
      </c>
      <c r="Q4003" s="295">
        <v>416</v>
      </c>
      <c r="R4003" s="156">
        <f t="shared" si="131"/>
        <v>20800</v>
      </c>
      <c r="S4003" s="127">
        <v>202304</v>
      </c>
      <c r="T4003" s="196" t="s">
        <v>5171</v>
      </c>
      <c r="U4003" s="196"/>
      <c r="V4003" s="422"/>
      <c r="W4003" s="159"/>
      <c r="X4003" s="146"/>
      <c r="Y4003" s="146"/>
    </row>
    <row r="4004" s="3" customFormat="1" customHeight="1" spans="1:25">
      <c r="A4004" s="292" t="s">
        <v>446</v>
      </c>
      <c r="B4004" s="292" t="s">
        <v>5007</v>
      </c>
      <c r="C4004" s="154" t="s">
        <v>330</v>
      </c>
      <c r="D4004" s="292" t="s">
        <v>3939</v>
      </c>
      <c r="E4004" s="419" t="s">
        <v>5163</v>
      </c>
      <c r="F4004" s="292" t="s">
        <v>5164</v>
      </c>
      <c r="G4004" s="142" t="s">
        <v>31</v>
      </c>
      <c r="H4004" s="110" t="s">
        <v>5165</v>
      </c>
      <c r="I4004" s="30" t="e">
        <f>VLOOKUP(H4004,'合同高级查询数据-4月返'!A:A,1,FALSE)</f>
        <v>#N/A</v>
      </c>
      <c r="J4004" s="155" t="s">
        <v>1273</v>
      </c>
      <c r="K4004" s="292" t="s">
        <v>5166</v>
      </c>
      <c r="L4004" s="142" t="s">
        <v>5167</v>
      </c>
      <c r="M4004" s="113"/>
      <c r="N4004" s="146">
        <v>41466</v>
      </c>
      <c r="O4004" s="146" t="s">
        <v>37</v>
      </c>
      <c r="P4004" s="420">
        <v>0</v>
      </c>
      <c r="Q4004" s="295">
        <v>192</v>
      </c>
      <c r="R4004" s="156">
        <f t="shared" si="131"/>
        <v>0</v>
      </c>
      <c r="S4004" s="127">
        <v>202304</v>
      </c>
      <c r="T4004" s="196" t="s">
        <v>5172</v>
      </c>
      <c r="U4004" s="196"/>
      <c r="V4004" s="422"/>
      <c r="W4004" s="159"/>
      <c r="X4004" s="146"/>
      <c r="Y4004" s="146"/>
    </row>
    <row r="4005" s="3" customFormat="1" customHeight="1" spans="1:25">
      <c r="A4005" s="292" t="s">
        <v>446</v>
      </c>
      <c r="B4005" s="292" t="s">
        <v>5007</v>
      </c>
      <c r="C4005" s="154" t="s">
        <v>330</v>
      </c>
      <c r="D4005" s="292" t="s">
        <v>3939</v>
      </c>
      <c r="E4005" s="419" t="s">
        <v>5163</v>
      </c>
      <c r="F4005" s="292" t="s">
        <v>5164</v>
      </c>
      <c r="G4005" s="142" t="s">
        <v>88</v>
      </c>
      <c r="H4005" s="110" t="s">
        <v>5165</v>
      </c>
      <c r="I4005" s="30" t="e">
        <f>VLOOKUP(H4005,'合同高级查询数据-4月返'!A:A,1,FALSE)</f>
        <v>#N/A</v>
      </c>
      <c r="J4005" s="155" t="s">
        <v>162</v>
      </c>
      <c r="K4005" s="292" t="s">
        <v>5173</v>
      </c>
      <c r="L4005" s="142" t="s">
        <v>5174</v>
      </c>
      <c r="M4005" s="113" t="s">
        <v>5175</v>
      </c>
      <c r="N4005" s="146">
        <v>43188</v>
      </c>
      <c r="O4005" s="146" t="s">
        <v>702</v>
      </c>
      <c r="P4005" s="420">
        <v>833</v>
      </c>
      <c r="Q4005" s="295">
        <v>10</v>
      </c>
      <c r="R4005" s="156">
        <f t="shared" si="131"/>
        <v>8330</v>
      </c>
      <c r="S4005" s="127">
        <v>202304</v>
      </c>
      <c r="T4005" s="196" t="s">
        <v>5176</v>
      </c>
      <c r="U4005" s="196"/>
      <c r="V4005" s="422"/>
      <c r="W4005" s="159"/>
      <c r="X4005" s="146"/>
      <c r="Y4005" s="146"/>
    </row>
    <row r="4006" s="3" customFormat="1" customHeight="1" spans="1:25">
      <c r="A4006" s="292" t="s">
        <v>446</v>
      </c>
      <c r="B4006" s="292" t="s">
        <v>5007</v>
      </c>
      <c r="C4006" s="154" t="s">
        <v>330</v>
      </c>
      <c r="D4006" s="292" t="s">
        <v>3939</v>
      </c>
      <c r="E4006" s="419" t="s">
        <v>5163</v>
      </c>
      <c r="F4006" s="292" t="s">
        <v>5164</v>
      </c>
      <c r="G4006" s="142" t="s">
        <v>88</v>
      </c>
      <c r="H4006" s="110" t="s">
        <v>5165</v>
      </c>
      <c r="I4006" s="30" t="e">
        <f>VLOOKUP(H4006,'合同高级查询数据-4月返'!A:A,1,FALSE)</f>
        <v>#N/A</v>
      </c>
      <c r="J4006" s="155" t="s">
        <v>162</v>
      </c>
      <c r="K4006" s="292" t="s">
        <v>5173</v>
      </c>
      <c r="L4006" s="142" t="s">
        <v>5174</v>
      </c>
      <c r="M4006" s="113" t="s">
        <v>5175</v>
      </c>
      <c r="N4006" s="146">
        <v>44712</v>
      </c>
      <c r="O4006" s="146" t="s">
        <v>702</v>
      </c>
      <c r="P4006" s="420">
        <v>833</v>
      </c>
      <c r="Q4006" s="295">
        <v>-10</v>
      </c>
      <c r="R4006" s="156">
        <f t="shared" si="131"/>
        <v>-8330</v>
      </c>
      <c r="S4006" s="127">
        <v>202304</v>
      </c>
      <c r="T4006" s="196" t="s">
        <v>5176</v>
      </c>
      <c r="U4006" s="196"/>
      <c r="V4006" s="422"/>
      <c r="W4006" s="159"/>
      <c r="X4006" s="146"/>
      <c r="Y4006" s="146"/>
    </row>
    <row r="4007" s="3" customFormat="1" customHeight="1" spans="1:25">
      <c r="A4007" s="292" t="s">
        <v>446</v>
      </c>
      <c r="B4007" s="292" t="s">
        <v>5007</v>
      </c>
      <c r="C4007" s="154" t="s">
        <v>330</v>
      </c>
      <c r="D4007" s="292" t="s">
        <v>3939</v>
      </c>
      <c r="E4007" s="419" t="s">
        <v>5163</v>
      </c>
      <c r="F4007" s="292" t="s">
        <v>5164</v>
      </c>
      <c r="G4007" s="142" t="s">
        <v>31</v>
      </c>
      <c r="H4007" s="110" t="s">
        <v>5165</v>
      </c>
      <c r="I4007" s="30" t="e">
        <f>VLOOKUP(H4007,'合同高级查询数据-4月返'!A:A,1,FALSE)</f>
        <v>#N/A</v>
      </c>
      <c r="J4007" s="154" t="s">
        <v>33</v>
      </c>
      <c r="K4007" s="292" t="s">
        <v>5173</v>
      </c>
      <c r="L4007" s="142" t="s">
        <v>5174</v>
      </c>
      <c r="M4007" s="113" t="s">
        <v>5174</v>
      </c>
      <c r="N4007" s="146">
        <v>43188</v>
      </c>
      <c r="O4007" s="146" t="s">
        <v>37</v>
      </c>
      <c r="P4007" s="420">
        <v>0</v>
      </c>
      <c r="Q4007" s="295">
        <v>256</v>
      </c>
      <c r="R4007" s="156">
        <f t="shared" si="131"/>
        <v>0</v>
      </c>
      <c r="S4007" s="127">
        <v>202304</v>
      </c>
      <c r="T4007" s="196" t="s">
        <v>5177</v>
      </c>
      <c r="U4007" s="196"/>
      <c r="V4007" s="422"/>
      <c r="W4007" s="159"/>
      <c r="X4007" s="146"/>
      <c r="Y4007" s="146"/>
    </row>
    <row r="4008" s="3" customFormat="1" customHeight="1" spans="1:25">
      <c r="A4008" s="292" t="s">
        <v>446</v>
      </c>
      <c r="B4008" s="292" t="s">
        <v>5007</v>
      </c>
      <c r="C4008" s="154" t="s">
        <v>330</v>
      </c>
      <c r="D4008" s="292" t="s">
        <v>3939</v>
      </c>
      <c r="E4008" s="419" t="s">
        <v>5163</v>
      </c>
      <c r="F4008" s="292" t="s">
        <v>5164</v>
      </c>
      <c r="G4008" s="142" t="s">
        <v>31</v>
      </c>
      <c r="H4008" s="110" t="s">
        <v>5165</v>
      </c>
      <c r="I4008" s="30" t="e">
        <f>VLOOKUP(H4008,'合同高级查询数据-4月返'!A:A,1,FALSE)</f>
        <v>#N/A</v>
      </c>
      <c r="J4008" s="154" t="s">
        <v>33</v>
      </c>
      <c r="K4008" s="292" t="s">
        <v>5173</v>
      </c>
      <c r="L4008" s="142" t="s">
        <v>5174</v>
      </c>
      <c r="M4008" s="113" t="s">
        <v>5174</v>
      </c>
      <c r="N4008" s="146">
        <v>44712</v>
      </c>
      <c r="O4008" s="146" t="s">
        <v>37</v>
      </c>
      <c r="P4008" s="420">
        <v>0</v>
      </c>
      <c r="Q4008" s="295">
        <v>-256</v>
      </c>
      <c r="R4008" s="156">
        <f t="shared" si="131"/>
        <v>0</v>
      </c>
      <c r="S4008" s="127">
        <v>202304</v>
      </c>
      <c r="T4008" s="196" t="s">
        <v>5177</v>
      </c>
      <c r="U4008" s="196"/>
      <c r="V4008" s="422"/>
      <c r="W4008" s="159"/>
      <c r="X4008" s="146"/>
      <c r="Y4008" s="146"/>
    </row>
    <row r="4009" s="3" customFormat="1" customHeight="1" spans="1:25">
      <c r="A4009" s="292" t="s">
        <v>446</v>
      </c>
      <c r="B4009" s="292" t="s">
        <v>5007</v>
      </c>
      <c r="C4009" s="154" t="s">
        <v>330</v>
      </c>
      <c r="D4009" s="292" t="s">
        <v>3939</v>
      </c>
      <c r="E4009" s="419" t="s">
        <v>5163</v>
      </c>
      <c r="F4009" s="292" t="s">
        <v>5164</v>
      </c>
      <c r="G4009" s="142" t="s">
        <v>88</v>
      </c>
      <c r="H4009" s="110" t="s">
        <v>5165</v>
      </c>
      <c r="I4009" s="30" t="e">
        <f>VLOOKUP(H4009,'合同高级查询数据-4月返'!A:A,1,FALSE)</f>
        <v>#N/A</v>
      </c>
      <c r="J4009" s="155" t="s">
        <v>162</v>
      </c>
      <c r="K4009" s="292" t="s">
        <v>5178</v>
      </c>
      <c r="L4009" s="142" t="s">
        <v>5179</v>
      </c>
      <c r="M4009" s="113" t="s">
        <v>5180</v>
      </c>
      <c r="N4009" s="146">
        <v>43185</v>
      </c>
      <c r="O4009" s="146" t="s">
        <v>702</v>
      </c>
      <c r="P4009" s="420">
        <v>833</v>
      </c>
      <c r="Q4009" s="295">
        <v>7</v>
      </c>
      <c r="R4009" s="156">
        <f t="shared" si="131"/>
        <v>5831</v>
      </c>
      <c r="S4009" s="127">
        <v>202304</v>
      </c>
      <c r="T4009" s="196" t="s">
        <v>5181</v>
      </c>
      <c r="U4009" s="196"/>
      <c r="V4009" s="422"/>
      <c r="W4009" s="159"/>
      <c r="X4009" s="146"/>
      <c r="Y4009" s="146"/>
    </row>
    <row r="4010" s="3" customFormat="1" customHeight="1" spans="1:25">
      <c r="A4010" s="292" t="s">
        <v>446</v>
      </c>
      <c r="B4010" s="292" t="s">
        <v>5007</v>
      </c>
      <c r="C4010" s="154" t="s">
        <v>330</v>
      </c>
      <c r="D4010" s="292" t="s">
        <v>3939</v>
      </c>
      <c r="E4010" s="419" t="s">
        <v>5163</v>
      </c>
      <c r="F4010" s="292" t="s">
        <v>5164</v>
      </c>
      <c r="G4010" s="142" t="s">
        <v>88</v>
      </c>
      <c r="H4010" s="110" t="s">
        <v>5165</v>
      </c>
      <c r="I4010" s="30" t="e">
        <f>VLOOKUP(H4010,'合同高级查询数据-4月返'!A:A,1,FALSE)</f>
        <v>#N/A</v>
      </c>
      <c r="J4010" s="155" t="s">
        <v>162</v>
      </c>
      <c r="K4010" s="292" t="s">
        <v>5178</v>
      </c>
      <c r="L4010" s="142" t="s">
        <v>5179</v>
      </c>
      <c r="M4010" s="113" t="s">
        <v>5180</v>
      </c>
      <c r="N4010" s="146">
        <v>44561</v>
      </c>
      <c r="O4010" s="146" t="s">
        <v>702</v>
      </c>
      <c r="P4010" s="420">
        <v>833</v>
      </c>
      <c r="Q4010" s="295">
        <v>-7</v>
      </c>
      <c r="R4010" s="156">
        <f t="shared" si="131"/>
        <v>-5831</v>
      </c>
      <c r="S4010" s="127">
        <v>202304</v>
      </c>
      <c r="T4010" s="196" t="s">
        <v>5182</v>
      </c>
      <c r="U4010" s="196"/>
      <c r="V4010" s="422"/>
      <c r="W4010" s="159"/>
      <c r="X4010" s="146"/>
      <c r="Y4010" s="146"/>
    </row>
    <row r="4011" s="3" customFormat="1" customHeight="1" spans="1:25">
      <c r="A4011" s="292" t="s">
        <v>446</v>
      </c>
      <c r="B4011" s="292" t="s">
        <v>5007</v>
      </c>
      <c r="C4011" s="154" t="s">
        <v>330</v>
      </c>
      <c r="D4011" s="292" t="s">
        <v>3939</v>
      </c>
      <c r="E4011" s="419" t="s">
        <v>5163</v>
      </c>
      <c r="F4011" s="292" t="s">
        <v>5164</v>
      </c>
      <c r="G4011" s="142" t="s">
        <v>31</v>
      </c>
      <c r="H4011" s="110" t="s">
        <v>5165</v>
      </c>
      <c r="I4011" s="30" t="e">
        <f>VLOOKUP(H4011,'合同高级查询数据-4月返'!A:A,1,FALSE)</f>
        <v>#N/A</v>
      </c>
      <c r="J4011" s="154" t="s">
        <v>33</v>
      </c>
      <c r="K4011" s="292" t="s">
        <v>5178</v>
      </c>
      <c r="L4011" s="142" t="s">
        <v>5179</v>
      </c>
      <c r="M4011" s="113" t="s">
        <v>5180</v>
      </c>
      <c r="N4011" s="146">
        <v>43185</v>
      </c>
      <c r="O4011" s="146" t="s">
        <v>37</v>
      </c>
      <c r="P4011" s="420">
        <v>0</v>
      </c>
      <c r="Q4011" s="295">
        <v>288</v>
      </c>
      <c r="R4011" s="156">
        <f t="shared" si="131"/>
        <v>0</v>
      </c>
      <c r="S4011" s="127">
        <v>202304</v>
      </c>
      <c r="T4011" s="196" t="s">
        <v>5183</v>
      </c>
      <c r="U4011" s="196"/>
      <c r="V4011" s="422"/>
      <c r="W4011" s="159"/>
      <c r="X4011" s="146"/>
      <c r="Y4011" s="146"/>
    </row>
    <row r="4012" s="3" customFormat="1" customHeight="1" spans="1:25">
      <c r="A4012" s="292" t="s">
        <v>446</v>
      </c>
      <c r="B4012" s="292" t="s">
        <v>5007</v>
      </c>
      <c r="C4012" s="154" t="s">
        <v>330</v>
      </c>
      <c r="D4012" s="292" t="s">
        <v>3939</v>
      </c>
      <c r="E4012" s="419" t="s">
        <v>5163</v>
      </c>
      <c r="F4012" s="292" t="s">
        <v>5164</v>
      </c>
      <c r="G4012" s="142" t="s">
        <v>31</v>
      </c>
      <c r="H4012" s="110" t="s">
        <v>5165</v>
      </c>
      <c r="I4012" s="30" t="e">
        <f>VLOOKUP(H4012,'合同高级查询数据-4月返'!A:A,1,FALSE)</f>
        <v>#N/A</v>
      </c>
      <c r="J4012" s="154" t="s">
        <v>33</v>
      </c>
      <c r="K4012" s="292" t="s">
        <v>5178</v>
      </c>
      <c r="L4012" s="142" t="s">
        <v>5179</v>
      </c>
      <c r="M4012" s="113" t="s">
        <v>5180</v>
      </c>
      <c r="N4012" s="146">
        <v>44561</v>
      </c>
      <c r="O4012" s="146" t="s">
        <v>37</v>
      </c>
      <c r="P4012" s="420">
        <v>0</v>
      </c>
      <c r="Q4012" s="295">
        <v>-288</v>
      </c>
      <c r="R4012" s="156">
        <f t="shared" si="131"/>
        <v>0</v>
      </c>
      <c r="S4012" s="127">
        <v>202304</v>
      </c>
      <c r="T4012" s="196" t="s">
        <v>5184</v>
      </c>
      <c r="U4012" s="196"/>
      <c r="V4012" s="422"/>
      <c r="W4012" s="159"/>
      <c r="X4012" s="146"/>
      <c r="Y4012" s="146"/>
    </row>
    <row r="4013" s="3" customFormat="1" customHeight="1" spans="1:25">
      <c r="A4013" s="292" t="s">
        <v>446</v>
      </c>
      <c r="B4013" s="292" t="s">
        <v>5007</v>
      </c>
      <c r="C4013" s="154" t="s">
        <v>330</v>
      </c>
      <c r="D4013" s="292" t="s">
        <v>3939</v>
      </c>
      <c r="E4013" s="419" t="s">
        <v>5163</v>
      </c>
      <c r="F4013" s="292" t="s">
        <v>5164</v>
      </c>
      <c r="G4013" s="142" t="s">
        <v>88</v>
      </c>
      <c r="H4013" s="110" t="s">
        <v>5165</v>
      </c>
      <c r="I4013" s="30" t="e">
        <f>VLOOKUP(H4013,'合同高级查询数据-4月返'!A:A,1,FALSE)</f>
        <v>#N/A</v>
      </c>
      <c r="J4013" s="155" t="s">
        <v>162</v>
      </c>
      <c r="K4013" s="292" t="s">
        <v>5185</v>
      </c>
      <c r="L4013" s="142" t="s">
        <v>5186</v>
      </c>
      <c r="M4013" s="113" t="s">
        <v>5168</v>
      </c>
      <c r="N4013" s="146">
        <v>43337</v>
      </c>
      <c r="O4013" s="146" t="s">
        <v>4123</v>
      </c>
      <c r="P4013" s="420">
        <v>4000</v>
      </c>
      <c r="Q4013" s="295">
        <v>2</v>
      </c>
      <c r="R4013" s="156">
        <f t="shared" si="131"/>
        <v>8000</v>
      </c>
      <c r="S4013" s="127">
        <v>202304</v>
      </c>
      <c r="T4013" s="196" t="s">
        <v>5187</v>
      </c>
      <c r="U4013" s="196"/>
      <c r="V4013" s="422"/>
      <c r="W4013" s="159"/>
      <c r="X4013" s="146"/>
      <c r="Y4013" s="146"/>
    </row>
    <row r="4014" s="3" customFormat="1" customHeight="1" spans="1:25">
      <c r="A4014" s="292" t="s">
        <v>446</v>
      </c>
      <c r="B4014" s="292" t="s">
        <v>5007</v>
      </c>
      <c r="C4014" s="154" t="s">
        <v>330</v>
      </c>
      <c r="D4014" s="292" t="s">
        <v>3939</v>
      </c>
      <c r="E4014" s="419" t="s">
        <v>5163</v>
      </c>
      <c r="F4014" s="292" t="s">
        <v>5164</v>
      </c>
      <c r="G4014" s="142" t="s">
        <v>88</v>
      </c>
      <c r="H4014" s="110" t="s">
        <v>5165</v>
      </c>
      <c r="I4014" s="30" t="e">
        <f>VLOOKUP(H4014,'合同高级查询数据-4月返'!A:A,1,FALSE)</f>
        <v>#N/A</v>
      </c>
      <c r="J4014" s="155" t="s">
        <v>162</v>
      </c>
      <c r="K4014" s="292" t="s">
        <v>5185</v>
      </c>
      <c r="L4014" s="142" t="s">
        <v>5186</v>
      </c>
      <c r="M4014" s="113" t="s">
        <v>5168</v>
      </c>
      <c r="N4014" s="146">
        <v>43337</v>
      </c>
      <c r="O4014" s="146" t="s">
        <v>4123</v>
      </c>
      <c r="P4014" s="420">
        <v>4000</v>
      </c>
      <c r="Q4014" s="295">
        <v>4</v>
      </c>
      <c r="R4014" s="156">
        <f t="shared" si="131"/>
        <v>16000</v>
      </c>
      <c r="S4014" s="127">
        <v>202304</v>
      </c>
      <c r="T4014" s="196" t="s">
        <v>5188</v>
      </c>
      <c r="U4014" s="196"/>
      <c r="V4014" s="422"/>
      <c r="W4014" s="159"/>
      <c r="X4014" s="146"/>
      <c r="Y4014" s="146"/>
    </row>
    <row r="4015" s="3" customFormat="1" customHeight="1" spans="1:25">
      <c r="A4015" s="292" t="s">
        <v>446</v>
      </c>
      <c r="B4015" s="292" t="s">
        <v>5007</v>
      </c>
      <c r="C4015" s="154" t="s">
        <v>330</v>
      </c>
      <c r="D4015" s="154" t="s">
        <v>3939</v>
      </c>
      <c r="E4015" s="419" t="s">
        <v>5163</v>
      </c>
      <c r="F4015" s="292" t="s">
        <v>5164</v>
      </c>
      <c r="G4015" s="142" t="s">
        <v>88</v>
      </c>
      <c r="H4015" s="110" t="s">
        <v>5165</v>
      </c>
      <c r="I4015" s="30" t="e">
        <f>VLOOKUP(H4015,'合同高级查询数据-4月返'!A:A,1,FALSE)</f>
        <v>#N/A</v>
      </c>
      <c r="J4015" s="155" t="s">
        <v>162</v>
      </c>
      <c r="K4015" s="292" t="s">
        <v>5185</v>
      </c>
      <c r="L4015" s="142" t="s">
        <v>5186</v>
      </c>
      <c r="M4015" s="113" t="s">
        <v>5168</v>
      </c>
      <c r="N4015" s="146">
        <v>44337</v>
      </c>
      <c r="O4015" s="142" t="s">
        <v>4123</v>
      </c>
      <c r="P4015" s="420">
        <v>4000</v>
      </c>
      <c r="Q4015" s="295">
        <v>-3</v>
      </c>
      <c r="R4015" s="390">
        <f>ROUND(Q4015*P4015,2)</f>
        <v>-12000</v>
      </c>
      <c r="S4015" s="127">
        <v>202304</v>
      </c>
      <c r="T4015" s="148" t="s">
        <v>5189</v>
      </c>
      <c r="U4015" s="141"/>
      <c r="V4015" s="422"/>
      <c r="W4015" s="159"/>
      <c r="X4015" s="146"/>
      <c r="Y4015" s="146"/>
    </row>
    <row r="4016" s="3" customFormat="1" customHeight="1" spans="1:25">
      <c r="A4016" s="292" t="s">
        <v>446</v>
      </c>
      <c r="B4016" s="292" t="s">
        <v>5007</v>
      </c>
      <c r="C4016" s="154" t="s">
        <v>330</v>
      </c>
      <c r="D4016" s="154" t="s">
        <v>3939</v>
      </c>
      <c r="E4016" s="419" t="s">
        <v>5163</v>
      </c>
      <c r="F4016" s="292" t="s">
        <v>5164</v>
      </c>
      <c r="G4016" s="142" t="s">
        <v>88</v>
      </c>
      <c r="H4016" s="110" t="s">
        <v>5165</v>
      </c>
      <c r="I4016" s="30" t="e">
        <f>VLOOKUP(H4016,'合同高级查询数据-4月返'!A:A,1,FALSE)</f>
        <v>#N/A</v>
      </c>
      <c r="J4016" s="155" t="s">
        <v>162</v>
      </c>
      <c r="K4016" s="292" t="s">
        <v>5185</v>
      </c>
      <c r="L4016" s="142" t="s">
        <v>5186</v>
      </c>
      <c r="M4016" s="113" t="s">
        <v>5168</v>
      </c>
      <c r="N4016" s="146">
        <v>44742</v>
      </c>
      <c r="O4016" s="142" t="s">
        <v>4123</v>
      </c>
      <c r="P4016" s="420">
        <v>4000</v>
      </c>
      <c r="Q4016" s="295">
        <v>-3</v>
      </c>
      <c r="R4016" s="390">
        <f>ROUND(Q4016*P4016,2)</f>
        <v>-12000</v>
      </c>
      <c r="S4016" s="127">
        <v>202304</v>
      </c>
      <c r="T4016" s="148" t="s">
        <v>5190</v>
      </c>
      <c r="U4016" s="141"/>
      <c r="V4016" s="422"/>
      <c r="W4016" s="159"/>
      <c r="X4016" s="146"/>
      <c r="Y4016" s="146"/>
    </row>
    <row r="4017" s="3" customFormat="1" customHeight="1" spans="1:25">
      <c r="A4017" s="292" t="s">
        <v>446</v>
      </c>
      <c r="B4017" s="292" t="s">
        <v>5007</v>
      </c>
      <c r="C4017" s="154" t="s">
        <v>330</v>
      </c>
      <c r="D4017" s="292" t="s">
        <v>3939</v>
      </c>
      <c r="E4017" s="419" t="s">
        <v>5163</v>
      </c>
      <c r="F4017" s="292" t="s">
        <v>5164</v>
      </c>
      <c r="G4017" s="142" t="s">
        <v>31</v>
      </c>
      <c r="H4017" s="110" t="s">
        <v>5165</v>
      </c>
      <c r="I4017" s="30" t="e">
        <f>VLOOKUP(H4017,'合同高级查询数据-4月返'!A:A,1,FALSE)</f>
        <v>#N/A</v>
      </c>
      <c r="J4017" s="154" t="s">
        <v>33</v>
      </c>
      <c r="K4017" s="292" t="s">
        <v>5191</v>
      </c>
      <c r="L4017" s="142" t="s">
        <v>5186</v>
      </c>
      <c r="M4017" s="113" t="s">
        <v>5168</v>
      </c>
      <c r="N4017" s="146">
        <v>43337</v>
      </c>
      <c r="O4017" s="146" t="s">
        <v>37</v>
      </c>
      <c r="P4017" s="420">
        <v>0</v>
      </c>
      <c r="Q4017" s="295">
        <v>288</v>
      </c>
      <c r="R4017" s="156">
        <f t="shared" ref="R4017:R4063" si="132">ROUND(P4017*Q4017,2)</f>
        <v>0</v>
      </c>
      <c r="S4017" s="127">
        <v>202304</v>
      </c>
      <c r="T4017" s="196" t="s">
        <v>5192</v>
      </c>
      <c r="U4017" s="141"/>
      <c r="V4017" s="422"/>
      <c r="W4017" s="159"/>
      <c r="X4017" s="146"/>
      <c r="Y4017" s="146"/>
    </row>
    <row r="4018" s="3" customFormat="1" customHeight="1" spans="1:25">
      <c r="A4018" s="292" t="s">
        <v>446</v>
      </c>
      <c r="B4018" s="292" t="s">
        <v>5007</v>
      </c>
      <c r="C4018" s="154" t="s">
        <v>330</v>
      </c>
      <c r="D4018" s="292" t="s">
        <v>3939</v>
      </c>
      <c r="E4018" s="419" t="s">
        <v>5163</v>
      </c>
      <c r="F4018" s="292" t="s">
        <v>5164</v>
      </c>
      <c r="G4018" s="142" t="s">
        <v>31</v>
      </c>
      <c r="H4018" s="110" t="s">
        <v>5165</v>
      </c>
      <c r="I4018" s="30" t="e">
        <f>VLOOKUP(H4018,'合同高级查询数据-4月返'!A:A,1,FALSE)</f>
        <v>#N/A</v>
      </c>
      <c r="J4018" s="154" t="s">
        <v>33</v>
      </c>
      <c r="K4018" s="292" t="s">
        <v>5191</v>
      </c>
      <c r="L4018" s="142" t="s">
        <v>5186</v>
      </c>
      <c r="M4018" s="113" t="s">
        <v>5168</v>
      </c>
      <c r="N4018" s="146">
        <v>44742</v>
      </c>
      <c r="O4018" s="146" t="s">
        <v>37</v>
      </c>
      <c r="P4018" s="420">
        <v>0</v>
      </c>
      <c r="Q4018" s="295">
        <v>-288</v>
      </c>
      <c r="R4018" s="156">
        <f t="shared" si="132"/>
        <v>0</v>
      </c>
      <c r="S4018" s="127">
        <v>202304</v>
      </c>
      <c r="T4018" s="196" t="s">
        <v>5192</v>
      </c>
      <c r="U4018" s="141"/>
      <c r="V4018" s="422"/>
      <c r="W4018" s="159"/>
      <c r="X4018" s="146"/>
      <c r="Y4018" s="146"/>
    </row>
    <row r="4019" s="3" customFormat="1" customHeight="1" spans="1:25">
      <c r="A4019" s="292" t="s">
        <v>446</v>
      </c>
      <c r="B4019" s="292" t="s">
        <v>5007</v>
      </c>
      <c r="C4019" s="154" t="s">
        <v>330</v>
      </c>
      <c r="D4019" s="292" t="s">
        <v>3939</v>
      </c>
      <c r="E4019" s="419" t="s">
        <v>5163</v>
      </c>
      <c r="F4019" s="292" t="s">
        <v>5164</v>
      </c>
      <c r="G4019" s="142" t="s">
        <v>88</v>
      </c>
      <c r="H4019" s="110" t="s">
        <v>5165</v>
      </c>
      <c r="I4019" s="30" t="e">
        <f>VLOOKUP(H4019,'合同高级查询数据-4月返'!A:A,1,FALSE)</f>
        <v>#N/A</v>
      </c>
      <c r="J4019" s="155" t="s">
        <v>162</v>
      </c>
      <c r="K4019" s="292" t="s">
        <v>5063</v>
      </c>
      <c r="L4019" s="142" t="s">
        <v>5193</v>
      </c>
      <c r="M4019" s="113" t="s">
        <v>5194</v>
      </c>
      <c r="N4019" s="146">
        <v>43337</v>
      </c>
      <c r="O4019" s="146" t="s">
        <v>702</v>
      </c>
      <c r="P4019" s="420">
        <v>833</v>
      </c>
      <c r="Q4019" s="295">
        <v>7</v>
      </c>
      <c r="R4019" s="156">
        <f t="shared" si="132"/>
        <v>5831</v>
      </c>
      <c r="S4019" s="127">
        <v>202304</v>
      </c>
      <c r="T4019" s="196" t="s">
        <v>5195</v>
      </c>
      <c r="U4019" s="196"/>
      <c r="V4019" s="422"/>
      <c r="W4019" s="159"/>
      <c r="X4019" s="146"/>
      <c r="Y4019" s="146"/>
    </row>
    <row r="4020" s="3" customFormat="1" customHeight="1" spans="1:25">
      <c r="A4020" s="292" t="s">
        <v>446</v>
      </c>
      <c r="B4020" s="292" t="s">
        <v>5007</v>
      </c>
      <c r="C4020" s="154" t="s">
        <v>330</v>
      </c>
      <c r="D4020" s="292" t="s">
        <v>3939</v>
      </c>
      <c r="E4020" s="419" t="s">
        <v>5163</v>
      </c>
      <c r="F4020" s="292" t="s">
        <v>5164</v>
      </c>
      <c r="G4020" s="142" t="s">
        <v>88</v>
      </c>
      <c r="H4020" s="110" t="s">
        <v>5165</v>
      </c>
      <c r="I4020" s="30" t="e">
        <f>VLOOKUP(H4020,'合同高级查询数据-4月返'!A:A,1,FALSE)</f>
        <v>#N/A</v>
      </c>
      <c r="J4020" s="155" t="s">
        <v>162</v>
      </c>
      <c r="K4020" s="292" t="s">
        <v>5063</v>
      </c>
      <c r="L4020" s="142" t="s">
        <v>5193</v>
      </c>
      <c r="M4020" s="113" t="s">
        <v>5194</v>
      </c>
      <c r="N4020" s="146">
        <v>44561</v>
      </c>
      <c r="O4020" s="146" t="s">
        <v>702</v>
      </c>
      <c r="P4020" s="420">
        <v>833</v>
      </c>
      <c r="Q4020" s="295">
        <v>-7</v>
      </c>
      <c r="R4020" s="156">
        <f t="shared" si="132"/>
        <v>-5831</v>
      </c>
      <c r="S4020" s="127">
        <v>202304</v>
      </c>
      <c r="T4020" s="196" t="s">
        <v>5196</v>
      </c>
      <c r="U4020" s="196"/>
      <c r="V4020" s="422"/>
      <c r="W4020" s="159"/>
      <c r="X4020" s="146"/>
      <c r="Y4020" s="146"/>
    </row>
    <row r="4021" s="3" customFormat="1" customHeight="1" spans="1:25">
      <c r="A4021" s="292" t="s">
        <v>446</v>
      </c>
      <c r="B4021" s="292" t="s">
        <v>5007</v>
      </c>
      <c r="C4021" s="154" t="s">
        <v>330</v>
      </c>
      <c r="D4021" s="292" t="s">
        <v>3939</v>
      </c>
      <c r="E4021" s="419" t="s">
        <v>5163</v>
      </c>
      <c r="F4021" s="292" t="s">
        <v>5164</v>
      </c>
      <c r="G4021" s="142" t="s">
        <v>31</v>
      </c>
      <c r="H4021" s="110" t="s">
        <v>5165</v>
      </c>
      <c r="I4021" s="30" t="e">
        <f>VLOOKUP(H4021,'合同高级查询数据-4月返'!A:A,1,FALSE)</f>
        <v>#N/A</v>
      </c>
      <c r="J4021" s="154" t="s">
        <v>33</v>
      </c>
      <c r="K4021" s="292" t="s">
        <v>5063</v>
      </c>
      <c r="L4021" s="142" t="s">
        <v>5193</v>
      </c>
      <c r="M4021" s="113" t="s">
        <v>5194</v>
      </c>
      <c r="N4021" s="146">
        <v>43337</v>
      </c>
      <c r="O4021" s="146" t="s">
        <v>37</v>
      </c>
      <c r="P4021" s="420">
        <v>0</v>
      </c>
      <c r="Q4021" s="295">
        <v>288</v>
      </c>
      <c r="R4021" s="156">
        <f t="shared" si="132"/>
        <v>0</v>
      </c>
      <c r="S4021" s="127">
        <v>202304</v>
      </c>
      <c r="T4021" s="196" t="s">
        <v>5197</v>
      </c>
      <c r="U4021" s="196"/>
      <c r="V4021" s="422"/>
      <c r="W4021" s="159"/>
      <c r="X4021" s="146"/>
      <c r="Y4021" s="146"/>
    </row>
    <row r="4022" s="3" customFormat="1" customHeight="1" spans="1:25">
      <c r="A4022" s="292" t="s">
        <v>446</v>
      </c>
      <c r="B4022" s="292" t="s">
        <v>5007</v>
      </c>
      <c r="C4022" s="154" t="s">
        <v>330</v>
      </c>
      <c r="D4022" s="292" t="s">
        <v>3939</v>
      </c>
      <c r="E4022" s="419" t="s">
        <v>5163</v>
      </c>
      <c r="F4022" s="292" t="s">
        <v>5164</v>
      </c>
      <c r="G4022" s="142" t="s">
        <v>31</v>
      </c>
      <c r="H4022" s="110" t="s">
        <v>5165</v>
      </c>
      <c r="I4022" s="30" t="e">
        <f>VLOOKUP(H4022,'合同高级查询数据-4月返'!A:A,1,FALSE)</f>
        <v>#N/A</v>
      </c>
      <c r="J4022" s="154" t="s">
        <v>33</v>
      </c>
      <c r="K4022" s="292" t="s">
        <v>5063</v>
      </c>
      <c r="L4022" s="142" t="s">
        <v>5193</v>
      </c>
      <c r="M4022" s="113" t="s">
        <v>5194</v>
      </c>
      <c r="N4022" s="146">
        <v>44561</v>
      </c>
      <c r="O4022" s="146" t="s">
        <v>37</v>
      </c>
      <c r="P4022" s="420">
        <v>0</v>
      </c>
      <c r="Q4022" s="295">
        <v>-288</v>
      </c>
      <c r="R4022" s="156">
        <f t="shared" si="132"/>
        <v>0</v>
      </c>
      <c r="S4022" s="127">
        <v>202304</v>
      </c>
      <c r="T4022" s="196" t="s">
        <v>5198</v>
      </c>
      <c r="U4022" s="196"/>
      <c r="V4022" s="422"/>
      <c r="W4022" s="159"/>
      <c r="X4022" s="146"/>
      <c r="Y4022" s="146"/>
    </row>
    <row r="4023" s="3" customFormat="1" customHeight="1" spans="1:25">
      <c r="A4023" s="292" t="s">
        <v>446</v>
      </c>
      <c r="B4023" s="292" t="s">
        <v>5007</v>
      </c>
      <c r="C4023" s="154" t="s">
        <v>330</v>
      </c>
      <c r="D4023" s="292" t="s">
        <v>3939</v>
      </c>
      <c r="E4023" s="419" t="s">
        <v>5163</v>
      </c>
      <c r="F4023" s="292" t="s">
        <v>5164</v>
      </c>
      <c r="G4023" s="142" t="s">
        <v>88</v>
      </c>
      <c r="H4023" s="110" t="s">
        <v>5165</v>
      </c>
      <c r="I4023" s="30" t="e">
        <f>VLOOKUP(H4023,'合同高级查询数据-4月返'!A:A,1,FALSE)</f>
        <v>#N/A</v>
      </c>
      <c r="J4023" s="155" t="s">
        <v>162</v>
      </c>
      <c r="K4023" s="292" t="s">
        <v>5199</v>
      </c>
      <c r="L4023" s="292" t="s">
        <v>5200</v>
      </c>
      <c r="M4023" s="113" t="s">
        <v>5168</v>
      </c>
      <c r="N4023" s="146">
        <v>43497</v>
      </c>
      <c r="O4023" s="155" t="s">
        <v>4123</v>
      </c>
      <c r="P4023" s="420">
        <v>4000</v>
      </c>
      <c r="Q4023" s="295">
        <v>5</v>
      </c>
      <c r="R4023" s="156">
        <f t="shared" si="132"/>
        <v>20000</v>
      </c>
      <c r="S4023" s="127">
        <v>202304</v>
      </c>
      <c r="T4023" s="196" t="s">
        <v>5201</v>
      </c>
      <c r="U4023" s="196"/>
      <c r="V4023" s="422"/>
      <c r="W4023" s="159"/>
      <c r="X4023" s="146"/>
      <c r="Y4023" s="146"/>
    </row>
    <row r="4024" s="3" customFormat="1" customHeight="1" spans="1:25">
      <c r="A4024" s="292" t="s">
        <v>446</v>
      </c>
      <c r="B4024" s="292" t="s">
        <v>5007</v>
      </c>
      <c r="C4024" s="154" t="s">
        <v>330</v>
      </c>
      <c r="D4024" s="292" t="s">
        <v>3939</v>
      </c>
      <c r="E4024" s="419" t="s">
        <v>5163</v>
      </c>
      <c r="F4024" s="292" t="s">
        <v>5164</v>
      </c>
      <c r="G4024" s="142" t="s">
        <v>88</v>
      </c>
      <c r="H4024" s="110" t="s">
        <v>5165</v>
      </c>
      <c r="I4024" s="30" t="e">
        <f>VLOOKUP(H4024,'合同高级查询数据-4月返'!A:A,1,FALSE)</f>
        <v>#N/A</v>
      </c>
      <c r="J4024" s="155" t="s">
        <v>162</v>
      </c>
      <c r="K4024" s="292" t="s">
        <v>5199</v>
      </c>
      <c r="L4024" s="292" t="s">
        <v>5200</v>
      </c>
      <c r="M4024" s="113" t="s">
        <v>5168</v>
      </c>
      <c r="N4024" s="146">
        <v>44727</v>
      </c>
      <c r="O4024" s="155" t="s">
        <v>4123</v>
      </c>
      <c r="P4024" s="420">
        <v>4000</v>
      </c>
      <c r="Q4024" s="295">
        <v>-2</v>
      </c>
      <c r="R4024" s="130">
        <f t="shared" si="132"/>
        <v>-8000</v>
      </c>
      <c r="S4024" s="127">
        <v>202304</v>
      </c>
      <c r="T4024" s="196" t="s">
        <v>5202</v>
      </c>
      <c r="U4024" s="196"/>
      <c r="V4024" s="422"/>
      <c r="W4024" s="159"/>
      <c r="X4024" s="146"/>
      <c r="Y4024" s="146"/>
    </row>
    <row r="4025" s="3" customFormat="1" customHeight="1" spans="1:25">
      <c r="A4025" s="292" t="s">
        <v>446</v>
      </c>
      <c r="B4025" s="292" t="s">
        <v>5007</v>
      </c>
      <c r="C4025" s="154" t="s">
        <v>330</v>
      </c>
      <c r="D4025" s="292" t="s">
        <v>3939</v>
      </c>
      <c r="E4025" s="419" t="s">
        <v>5163</v>
      </c>
      <c r="F4025" s="292" t="s">
        <v>5164</v>
      </c>
      <c r="G4025" s="142" t="s">
        <v>31</v>
      </c>
      <c r="H4025" s="110" t="s">
        <v>5165</v>
      </c>
      <c r="I4025" s="30" t="e">
        <f>VLOOKUP(H4025,'合同高级查询数据-4月返'!A:A,1,FALSE)</f>
        <v>#N/A</v>
      </c>
      <c r="J4025" s="154" t="s">
        <v>33</v>
      </c>
      <c r="K4025" s="292" t="s">
        <v>5203</v>
      </c>
      <c r="L4025" s="292" t="s">
        <v>5200</v>
      </c>
      <c r="M4025" s="113" t="s">
        <v>5168</v>
      </c>
      <c r="N4025" s="146">
        <v>43497</v>
      </c>
      <c r="O4025" s="146" t="s">
        <v>37</v>
      </c>
      <c r="P4025" s="420">
        <v>0</v>
      </c>
      <c r="Q4025" s="295">
        <v>288</v>
      </c>
      <c r="R4025" s="156">
        <f t="shared" si="132"/>
        <v>0</v>
      </c>
      <c r="S4025" s="127">
        <v>202304</v>
      </c>
      <c r="T4025" s="196" t="s">
        <v>5204</v>
      </c>
      <c r="U4025" s="196"/>
      <c r="V4025" s="422"/>
      <c r="W4025" s="159"/>
      <c r="X4025" s="146"/>
      <c r="Y4025" s="146"/>
    </row>
    <row r="4026" s="3" customFormat="1" customHeight="1" spans="1:25">
      <c r="A4026" s="292" t="s">
        <v>446</v>
      </c>
      <c r="B4026" s="292" t="s">
        <v>5007</v>
      </c>
      <c r="C4026" s="154" t="s">
        <v>330</v>
      </c>
      <c r="D4026" s="292" t="s">
        <v>3939</v>
      </c>
      <c r="E4026" s="419" t="s">
        <v>5163</v>
      </c>
      <c r="F4026" s="292" t="s">
        <v>5164</v>
      </c>
      <c r="G4026" s="142" t="s">
        <v>88</v>
      </c>
      <c r="H4026" s="110" t="s">
        <v>5165</v>
      </c>
      <c r="I4026" s="30" t="e">
        <f>VLOOKUP(H4026,'合同高级查询数据-4月返'!A:A,1,FALSE)</f>
        <v>#N/A</v>
      </c>
      <c r="J4026" s="155" t="s">
        <v>162</v>
      </c>
      <c r="K4026" s="292" t="s">
        <v>5199</v>
      </c>
      <c r="L4026" s="292" t="s">
        <v>5200</v>
      </c>
      <c r="M4026" s="113" t="s">
        <v>5168</v>
      </c>
      <c r="N4026" s="146">
        <v>43922</v>
      </c>
      <c r="O4026" s="155" t="s">
        <v>4123</v>
      </c>
      <c r="P4026" s="420">
        <v>4000</v>
      </c>
      <c r="Q4026" s="295">
        <v>2</v>
      </c>
      <c r="R4026" s="156">
        <f t="shared" si="132"/>
        <v>8000</v>
      </c>
      <c r="S4026" s="127">
        <v>202304</v>
      </c>
      <c r="T4026" s="196" t="s">
        <v>5205</v>
      </c>
      <c r="U4026" s="196"/>
      <c r="V4026" s="422"/>
      <c r="W4026" s="159"/>
      <c r="X4026" s="146"/>
      <c r="Y4026" s="146"/>
    </row>
    <row r="4027" s="3" customFormat="1" customHeight="1" spans="1:25">
      <c r="A4027" s="292" t="s">
        <v>446</v>
      </c>
      <c r="B4027" s="292" t="s">
        <v>5007</v>
      </c>
      <c r="C4027" s="154" t="s">
        <v>330</v>
      </c>
      <c r="D4027" s="292" t="s">
        <v>3939</v>
      </c>
      <c r="E4027" s="419" t="s">
        <v>5163</v>
      </c>
      <c r="F4027" s="292" t="s">
        <v>5164</v>
      </c>
      <c r="G4027" s="142" t="s">
        <v>31</v>
      </c>
      <c r="H4027" s="110" t="s">
        <v>5165</v>
      </c>
      <c r="I4027" s="30" t="e">
        <f>VLOOKUP(H4027,'合同高级查询数据-4月返'!A:A,1,FALSE)</f>
        <v>#N/A</v>
      </c>
      <c r="J4027" s="154" t="s">
        <v>33</v>
      </c>
      <c r="K4027" s="292" t="s">
        <v>5203</v>
      </c>
      <c r="L4027" s="292" t="s">
        <v>5200</v>
      </c>
      <c r="M4027" s="113" t="s">
        <v>5168</v>
      </c>
      <c r="N4027" s="146">
        <v>43922</v>
      </c>
      <c r="O4027" s="146" t="s">
        <v>37</v>
      </c>
      <c r="P4027" s="420">
        <v>0</v>
      </c>
      <c r="Q4027" s="295">
        <v>128</v>
      </c>
      <c r="R4027" s="156">
        <f t="shared" si="132"/>
        <v>0</v>
      </c>
      <c r="S4027" s="127">
        <v>202304</v>
      </c>
      <c r="T4027" s="196" t="s">
        <v>5206</v>
      </c>
      <c r="U4027" s="196"/>
      <c r="V4027" s="422"/>
      <c r="W4027" s="159"/>
      <c r="X4027" s="146"/>
      <c r="Y4027" s="146"/>
    </row>
    <row r="4028" s="3" customFormat="1" customHeight="1" spans="1:25">
      <c r="A4028" s="292" t="s">
        <v>446</v>
      </c>
      <c r="B4028" s="292" t="s">
        <v>5007</v>
      </c>
      <c r="C4028" s="154" t="s">
        <v>330</v>
      </c>
      <c r="D4028" s="292" t="s">
        <v>3939</v>
      </c>
      <c r="E4028" s="419" t="s">
        <v>5163</v>
      </c>
      <c r="F4028" s="292" t="s">
        <v>5164</v>
      </c>
      <c r="G4028" s="142" t="s">
        <v>88</v>
      </c>
      <c r="H4028" s="110" t="s">
        <v>5165</v>
      </c>
      <c r="I4028" s="30" t="e">
        <f>VLOOKUP(H4028,'合同高级查询数据-4月返'!A:A,1,FALSE)</f>
        <v>#N/A</v>
      </c>
      <c r="J4028" s="154" t="s">
        <v>162</v>
      </c>
      <c r="K4028" s="292" t="s">
        <v>5199</v>
      </c>
      <c r="L4028" s="292" t="s">
        <v>5200</v>
      </c>
      <c r="M4028" s="113" t="s">
        <v>5168</v>
      </c>
      <c r="N4028" s="146">
        <v>44400</v>
      </c>
      <c r="O4028" s="146" t="s">
        <v>4123</v>
      </c>
      <c r="P4028" s="420">
        <v>4000</v>
      </c>
      <c r="Q4028" s="295">
        <v>4</v>
      </c>
      <c r="R4028" s="390">
        <f t="shared" si="132"/>
        <v>16000</v>
      </c>
      <c r="S4028" s="127">
        <v>202304</v>
      </c>
      <c r="T4028" s="196" t="s">
        <v>5207</v>
      </c>
      <c r="U4028" s="196"/>
      <c r="V4028" s="422"/>
      <c r="W4028" s="159"/>
      <c r="X4028" s="146"/>
      <c r="Y4028" s="146"/>
    </row>
    <row r="4029" s="3" customFormat="1" customHeight="1" spans="1:25">
      <c r="A4029" s="292" t="s">
        <v>446</v>
      </c>
      <c r="B4029" s="292" t="s">
        <v>5007</v>
      </c>
      <c r="C4029" s="154" t="s">
        <v>330</v>
      </c>
      <c r="D4029" s="292" t="s">
        <v>3939</v>
      </c>
      <c r="E4029" s="419" t="s">
        <v>5163</v>
      </c>
      <c r="F4029" s="292" t="s">
        <v>5164</v>
      </c>
      <c r="G4029" s="142" t="s">
        <v>31</v>
      </c>
      <c r="H4029" s="110" t="s">
        <v>5165</v>
      </c>
      <c r="I4029" s="30" t="e">
        <f>VLOOKUP(H4029,'合同高级查询数据-4月返'!A:A,1,FALSE)</f>
        <v>#N/A</v>
      </c>
      <c r="J4029" s="154" t="s">
        <v>33</v>
      </c>
      <c r="K4029" s="292" t="s">
        <v>5203</v>
      </c>
      <c r="L4029" s="292" t="s">
        <v>5200</v>
      </c>
      <c r="M4029" s="113" t="s">
        <v>5168</v>
      </c>
      <c r="N4029" s="146" t="s">
        <v>5208</v>
      </c>
      <c r="O4029" s="146" t="s">
        <v>37</v>
      </c>
      <c r="P4029" s="420">
        <v>0</v>
      </c>
      <c r="Q4029" s="295">
        <v>128</v>
      </c>
      <c r="R4029" s="295">
        <f t="shared" si="132"/>
        <v>0</v>
      </c>
      <c r="S4029" s="127">
        <v>202304</v>
      </c>
      <c r="T4029" s="196" t="s">
        <v>5209</v>
      </c>
      <c r="U4029" s="196"/>
      <c r="V4029" s="422"/>
      <c r="W4029" s="159"/>
      <c r="X4029" s="146"/>
      <c r="Y4029" s="146"/>
    </row>
    <row r="4030" s="3" customFormat="1" customHeight="1" spans="1:25">
      <c r="A4030" s="292" t="s">
        <v>446</v>
      </c>
      <c r="B4030" s="292" t="s">
        <v>5007</v>
      </c>
      <c r="C4030" s="154" t="s">
        <v>330</v>
      </c>
      <c r="D4030" s="292" t="s">
        <v>3939</v>
      </c>
      <c r="E4030" s="419" t="s">
        <v>5163</v>
      </c>
      <c r="F4030" s="292" t="s">
        <v>5164</v>
      </c>
      <c r="G4030" s="142" t="s">
        <v>88</v>
      </c>
      <c r="H4030" s="110" t="s">
        <v>5165</v>
      </c>
      <c r="I4030" s="30" t="e">
        <f>VLOOKUP(H4030,'合同高级查询数据-4月返'!A:A,1,FALSE)</f>
        <v>#N/A</v>
      </c>
      <c r="J4030" s="155" t="s">
        <v>162</v>
      </c>
      <c r="K4030" s="292" t="s">
        <v>5200</v>
      </c>
      <c r="L4030" s="292" t="s">
        <v>5200</v>
      </c>
      <c r="M4030" s="113" t="s">
        <v>5168</v>
      </c>
      <c r="N4030" s="146">
        <v>44177</v>
      </c>
      <c r="O4030" s="155" t="s">
        <v>4123</v>
      </c>
      <c r="P4030" s="420">
        <v>4000</v>
      </c>
      <c r="Q4030" s="295">
        <v>1</v>
      </c>
      <c r="R4030" s="156">
        <f t="shared" si="132"/>
        <v>4000</v>
      </c>
      <c r="S4030" s="127">
        <v>202304</v>
      </c>
      <c r="T4030" s="196" t="s">
        <v>5210</v>
      </c>
      <c r="U4030" s="196"/>
      <c r="V4030" s="422"/>
      <c r="W4030" s="159"/>
      <c r="X4030" s="146"/>
      <c r="Y4030" s="146"/>
    </row>
    <row r="4031" s="3" customFormat="1" customHeight="1" spans="1:25">
      <c r="A4031" s="292" t="s">
        <v>446</v>
      </c>
      <c r="B4031" s="292" t="s">
        <v>5007</v>
      </c>
      <c r="C4031" s="154" t="s">
        <v>330</v>
      </c>
      <c r="D4031" s="292" t="s">
        <v>3939</v>
      </c>
      <c r="E4031" s="419" t="s">
        <v>5163</v>
      </c>
      <c r="F4031" s="292" t="s">
        <v>5164</v>
      </c>
      <c r="G4031" s="142" t="s">
        <v>31</v>
      </c>
      <c r="H4031" s="110" t="s">
        <v>5165</v>
      </c>
      <c r="I4031" s="30" t="e">
        <f>VLOOKUP(H4031,'合同高级查询数据-4月返'!A:A,1,FALSE)</f>
        <v>#N/A</v>
      </c>
      <c r="J4031" s="155" t="s">
        <v>33</v>
      </c>
      <c r="K4031" s="292" t="s">
        <v>5200</v>
      </c>
      <c r="L4031" s="292" t="s">
        <v>5200</v>
      </c>
      <c r="M4031" s="113" t="s">
        <v>5168</v>
      </c>
      <c r="N4031" s="146">
        <v>44177</v>
      </c>
      <c r="O4031" s="146" t="s">
        <v>37</v>
      </c>
      <c r="P4031" s="420">
        <v>0</v>
      </c>
      <c r="Q4031" s="295">
        <v>128</v>
      </c>
      <c r="R4031" s="156">
        <f t="shared" si="132"/>
        <v>0</v>
      </c>
      <c r="S4031" s="127">
        <v>202304</v>
      </c>
      <c r="T4031" s="196" t="s">
        <v>5211</v>
      </c>
      <c r="U4031" s="196"/>
      <c r="V4031" s="422"/>
      <c r="W4031" s="159"/>
      <c r="X4031" s="146"/>
      <c r="Y4031" s="146"/>
    </row>
    <row r="4032" s="3" customFormat="1" customHeight="1" spans="1:25">
      <c r="A4032" s="292" t="s">
        <v>446</v>
      </c>
      <c r="B4032" s="292" t="s">
        <v>5007</v>
      </c>
      <c r="C4032" s="154" t="s">
        <v>330</v>
      </c>
      <c r="D4032" s="292" t="s">
        <v>3939</v>
      </c>
      <c r="E4032" s="419" t="s">
        <v>5163</v>
      </c>
      <c r="F4032" s="292" t="s">
        <v>5164</v>
      </c>
      <c r="G4032" s="142" t="s">
        <v>88</v>
      </c>
      <c r="H4032" s="110" t="s">
        <v>5165</v>
      </c>
      <c r="I4032" s="30" t="e">
        <f>VLOOKUP(H4032,'合同高级查询数据-4月返'!A:A,1,FALSE)</f>
        <v>#N/A</v>
      </c>
      <c r="J4032" s="155" t="s">
        <v>162</v>
      </c>
      <c r="K4032" s="292" t="s">
        <v>5200</v>
      </c>
      <c r="L4032" s="292" t="s">
        <v>5200</v>
      </c>
      <c r="M4032" s="113" t="s">
        <v>5168</v>
      </c>
      <c r="N4032" s="146">
        <v>44278</v>
      </c>
      <c r="O4032" s="155" t="s">
        <v>4123</v>
      </c>
      <c r="P4032" s="420">
        <v>4000</v>
      </c>
      <c r="Q4032" s="295">
        <v>1</v>
      </c>
      <c r="R4032" s="156">
        <f t="shared" si="132"/>
        <v>4000</v>
      </c>
      <c r="S4032" s="127">
        <v>202304</v>
      </c>
      <c r="T4032" s="196" t="s">
        <v>5212</v>
      </c>
      <c r="U4032" s="196"/>
      <c r="V4032" s="422"/>
      <c r="W4032" s="159"/>
      <c r="X4032" s="146"/>
      <c r="Y4032" s="146"/>
    </row>
    <row r="4033" s="3" customFormat="1" customHeight="1" spans="1:25">
      <c r="A4033" s="292" t="s">
        <v>446</v>
      </c>
      <c r="B4033" s="292" t="s">
        <v>5007</v>
      </c>
      <c r="C4033" s="154" t="s">
        <v>330</v>
      </c>
      <c r="D4033" s="292" t="s">
        <v>3939</v>
      </c>
      <c r="E4033" s="419" t="s">
        <v>5163</v>
      </c>
      <c r="F4033" s="292" t="s">
        <v>5164</v>
      </c>
      <c r="G4033" s="142" t="s">
        <v>31</v>
      </c>
      <c r="H4033" s="110" t="s">
        <v>5165</v>
      </c>
      <c r="I4033" s="30" t="e">
        <f>VLOOKUP(H4033,'合同高级查询数据-4月返'!A:A,1,FALSE)</f>
        <v>#N/A</v>
      </c>
      <c r="J4033" s="155" t="s">
        <v>33</v>
      </c>
      <c r="K4033" s="292" t="s">
        <v>5200</v>
      </c>
      <c r="L4033" s="292" t="s">
        <v>5200</v>
      </c>
      <c r="M4033" s="113" t="s">
        <v>5168</v>
      </c>
      <c r="N4033" s="146">
        <v>44278</v>
      </c>
      <c r="O4033" s="146" t="s">
        <v>37</v>
      </c>
      <c r="P4033" s="420">
        <v>0</v>
      </c>
      <c r="Q4033" s="295">
        <v>128</v>
      </c>
      <c r="R4033" s="156">
        <f t="shared" si="132"/>
        <v>0</v>
      </c>
      <c r="S4033" s="127">
        <v>202304</v>
      </c>
      <c r="T4033" s="196" t="s">
        <v>5213</v>
      </c>
      <c r="U4033" s="196"/>
      <c r="V4033" s="422"/>
      <c r="W4033" s="159"/>
      <c r="X4033" s="146"/>
      <c r="Y4033" s="146"/>
    </row>
    <row r="4034" s="3" customFormat="1" customHeight="1" spans="1:25">
      <c r="A4034" s="292" t="s">
        <v>446</v>
      </c>
      <c r="B4034" s="292" t="s">
        <v>5007</v>
      </c>
      <c r="C4034" s="154" t="s">
        <v>330</v>
      </c>
      <c r="D4034" s="292" t="s">
        <v>3939</v>
      </c>
      <c r="E4034" s="419" t="s">
        <v>5163</v>
      </c>
      <c r="F4034" s="292" t="s">
        <v>5164</v>
      </c>
      <c r="G4034" s="142" t="s">
        <v>31</v>
      </c>
      <c r="H4034" s="110" t="s">
        <v>5165</v>
      </c>
      <c r="I4034" s="30" t="e">
        <f>VLOOKUP(H4034,'合同高级查询数据-4月返'!A:A,1,FALSE)</f>
        <v>#N/A</v>
      </c>
      <c r="J4034" s="154" t="s">
        <v>33</v>
      </c>
      <c r="K4034" s="292" t="s">
        <v>5203</v>
      </c>
      <c r="L4034" s="292" t="s">
        <v>5200</v>
      </c>
      <c r="M4034" s="113" t="s">
        <v>5168</v>
      </c>
      <c r="N4034" s="146">
        <v>44761</v>
      </c>
      <c r="O4034" s="146" t="s">
        <v>37</v>
      </c>
      <c r="P4034" s="420">
        <v>0</v>
      </c>
      <c r="Q4034" s="295">
        <v>-128</v>
      </c>
      <c r="R4034" s="156">
        <f t="shared" si="132"/>
        <v>0</v>
      </c>
      <c r="S4034" s="127">
        <v>202304</v>
      </c>
      <c r="T4034" s="196" t="s">
        <v>5214</v>
      </c>
      <c r="U4034" s="196"/>
      <c r="V4034" s="422"/>
      <c r="W4034" s="159"/>
      <c r="X4034" s="146"/>
      <c r="Y4034" s="146"/>
    </row>
    <row r="4035" s="3" customFormat="1" customHeight="1" spans="1:25">
      <c r="A4035" s="292" t="s">
        <v>446</v>
      </c>
      <c r="B4035" s="292" t="s">
        <v>5007</v>
      </c>
      <c r="C4035" s="292" t="s">
        <v>330</v>
      </c>
      <c r="D4035" s="292" t="s">
        <v>3939</v>
      </c>
      <c r="E4035" s="419" t="s">
        <v>5163</v>
      </c>
      <c r="F4035" s="292" t="s">
        <v>5215</v>
      </c>
      <c r="G4035" s="142" t="s">
        <v>88</v>
      </c>
      <c r="H4035" s="110" t="s">
        <v>5165</v>
      </c>
      <c r="I4035" s="30" t="e">
        <f>VLOOKUP(H4035,'合同高级查询数据-4月返'!A:A,1,FALSE)</f>
        <v>#N/A</v>
      </c>
      <c r="J4035" s="155" t="s">
        <v>162</v>
      </c>
      <c r="K4035" s="292" t="s">
        <v>5216</v>
      </c>
      <c r="L4035" s="142" t="s">
        <v>5217</v>
      </c>
      <c r="M4035" s="113" t="s">
        <v>5218</v>
      </c>
      <c r="N4035" s="146">
        <v>43144</v>
      </c>
      <c r="O4035" s="146" t="s">
        <v>163</v>
      </c>
      <c r="P4035" s="440">
        <v>833</v>
      </c>
      <c r="Q4035" s="443">
        <v>10</v>
      </c>
      <c r="R4035" s="444">
        <f t="shared" si="132"/>
        <v>8330</v>
      </c>
      <c r="S4035" s="127">
        <v>202304</v>
      </c>
      <c r="T4035" s="196" t="s">
        <v>5219</v>
      </c>
      <c r="U4035" s="196"/>
      <c r="V4035" s="422"/>
      <c r="W4035" s="159"/>
      <c r="X4035" s="146"/>
      <c r="Y4035" s="146"/>
    </row>
    <row r="4036" s="3" customFormat="1" customHeight="1" spans="1:25">
      <c r="A4036" s="292" t="s">
        <v>446</v>
      </c>
      <c r="B4036" s="292" t="s">
        <v>5007</v>
      </c>
      <c r="C4036" s="292" t="s">
        <v>330</v>
      </c>
      <c r="D4036" s="292" t="s">
        <v>3939</v>
      </c>
      <c r="E4036" s="419" t="s">
        <v>5163</v>
      </c>
      <c r="F4036" s="292" t="s">
        <v>5215</v>
      </c>
      <c r="G4036" s="142" t="s">
        <v>88</v>
      </c>
      <c r="H4036" s="110" t="s">
        <v>5165</v>
      </c>
      <c r="I4036" s="30" t="e">
        <f>VLOOKUP(H4036,'合同高级查询数据-4月返'!A:A,1,FALSE)</f>
        <v>#N/A</v>
      </c>
      <c r="J4036" s="155" t="s">
        <v>162</v>
      </c>
      <c r="K4036" s="292" t="s">
        <v>5216</v>
      </c>
      <c r="L4036" s="142" t="s">
        <v>5217</v>
      </c>
      <c r="M4036" s="113" t="s">
        <v>5218</v>
      </c>
      <c r="N4036" s="146">
        <v>44712</v>
      </c>
      <c r="O4036" s="146" t="s">
        <v>163</v>
      </c>
      <c r="P4036" s="440">
        <v>833</v>
      </c>
      <c r="Q4036" s="443">
        <v>-10</v>
      </c>
      <c r="R4036" s="444">
        <f t="shared" si="132"/>
        <v>-8330</v>
      </c>
      <c r="S4036" s="127">
        <v>202304</v>
      </c>
      <c r="T4036" s="196" t="s">
        <v>5219</v>
      </c>
      <c r="U4036" s="196"/>
      <c r="V4036" s="422"/>
      <c r="W4036" s="159"/>
      <c r="X4036" s="146"/>
      <c r="Y4036" s="146"/>
    </row>
    <row r="4037" s="3" customFormat="1" customHeight="1" spans="1:25">
      <c r="A4037" s="292" t="s">
        <v>446</v>
      </c>
      <c r="B4037" s="292" t="s">
        <v>5007</v>
      </c>
      <c r="C4037" s="292" t="s">
        <v>330</v>
      </c>
      <c r="D4037" s="292" t="s">
        <v>3939</v>
      </c>
      <c r="E4037" s="419" t="s">
        <v>5163</v>
      </c>
      <c r="F4037" s="292" t="s">
        <v>5215</v>
      </c>
      <c r="G4037" s="142" t="s">
        <v>31</v>
      </c>
      <c r="H4037" s="110" t="s">
        <v>5165</v>
      </c>
      <c r="I4037" s="30" t="e">
        <f>VLOOKUP(H4037,'合同高级查询数据-4月返'!A:A,1,FALSE)</f>
        <v>#N/A</v>
      </c>
      <c r="J4037" s="154" t="s">
        <v>33</v>
      </c>
      <c r="K4037" s="292" t="s">
        <v>5216</v>
      </c>
      <c r="L4037" s="142" t="s">
        <v>5217</v>
      </c>
      <c r="M4037" s="113" t="s">
        <v>5217</v>
      </c>
      <c r="N4037" s="146">
        <v>43144</v>
      </c>
      <c r="O4037" s="146" t="s">
        <v>37</v>
      </c>
      <c r="P4037" s="440">
        <v>0</v>
      </c>
      <c r="Q4037" s="443">
        <v>256</v>
      </c>
      <c r="R4037" s="444">
        <f t="shared" si="132"/>
        <v>0</v>
      </c>
      <c r="S4037" s="127">
        <v>202304</v>
      </c>
      <c r="T4037" s="196" t="s">
        <v>5220</v>
      </c>
      <c r="U4037" s="196"/>
      <c r="V4037" s="422"/>
      <c r="W4037" s="159"/>
      <c r="X4037" s="146"/>
      <c r="Y4037" s="146"/>
    </row>
    <row r="4038" s="3" customFormat="1" customHeight="1" spans="1:25">
      <c r="A4038" s="292" t="s">
        <v>446</v>
      </c>
      <c r="B4038" s="292" t="s">
        <v>5007</v>
      </c>
      <c r="C4038" s="292" t="s">
        <v>330</v>
      </c>
      <c r="D4038" s="292" t="s">
        <v>3939</v>
      </c>
      <c r="E4038" s="419" t="s">
        <v>5163</v>
      </c>
      <c r="F4038" s="292" t="s">
        <v>5215</v>
      </c>
      <c r="G4038" s="142" t="s">
        <v>31</v>
      </c>
      <c r="H4038" s="110" t="s">
        <v>5165</v>
      </c>
      <c r="I4038" s="30" t="e">
        <f>VLOOKUP(H4038,'合同高级查询数据-4月返'!A:A,1,FALSE)</f>
        <v>#N/A</v>
      </c>
      <c r="J4038" s="154" t="s">
        <v>33</v>
      </c>
      <c r="K4038" s="292" t="s">
        <v>5216</v>
      </c>
      <c r="L4038" s="142" t="s">
        <v>5217</v>
      </c>
      <c r="M4038" s="113" t="s">
        <v>5217</v>
      </c>
      <c r="N4038" s="146">
        <v>44712</v>
      </c>
      <c r="O4038" s="146" t="s">
        <v>37</v>
      </c>
      <c r="P4038" s="440">
        <v>0</v>
      </c>
      <c r="Q4038" s="443">
        <v>-256</v>
      </c>
      <c r="R4038" s="444">
        <f t="shared" si="132"/>
        <v>0</v>
      </c>
      <c r="S4038" s="127">
        <v>202304</v>
      </c>
      <c r="T4038" s="196" t="s">
        <v>5220</v>
      </c>
      <c r="U4038" s="196"/>
      <c r="V4038" s="422"/>
      <c r="W4038" s="159"/>
      <c r="X4038" s="146"/>
      <c r="Y4038" s="146"/>
    </row>
    <row r="4039" s="3" customFormat="1" customHeight="1" spans="1:25">
      <c r="A4039" s="292" t="s">
        <v>446</v>
      </c>
      <c r="B4039" s="292" t="s">
        <v>5007</v>
      </c>
      <c r="C4039" s="292" t="s">
        <v>330</v>
      </c>
      <c r="D4039" s="292" t="s">
        <v>3939</v>
      </c>
      <c r="E4039" s="419" t="s">
        <v>5163</v>
      </c>
      <c r="F4039" s="292" t="s">
        <v>5221</v>
      </c>
      <c r="G4039" s="142" t="s">
        <v>88</v>
      </c>
      <c r="H4039" s="110" t="s">
        <v>5165</v>
      </c>
      <c r="I4039" s="30" t="e">
        <f>VLOOKUP(H4039,'合同高级查询数据-4月返'!A:A,1,FALSE)</f>
        <v>#N/A</v>
      </c>
      <c r="J4039" s="155" t="s">
        <v>162</v>
      </c>
      <c r="K4039" s="292" t="s">
        <v>5222</v>
      </c>
      <c r="L4039" s="142" t="s">
        <v>5223</v>
      </c>
      <c r="M4039" s="113" t="s">
        <v>5224</v>
      </c>
      <c r="N4039" s="146">
        <v>42971</v>
      </c>
      <c r="O4039" s="146" t="s">
        <v>702</v>
      </c>
      <c r="P4039" s="420">
        <v>833</v>
      </c>
      <c r="Q4039" s="295">
        <v>8</v>
      </c>
      <c r="R4039" s="156">
        <f t="shared" si="132"/>
        <v>6664</v>
      </c>
      <c r="S4039" s="127">
        <v>202304</v>
      </c>
      <c r="T4039" s="196" t="s">
        <v>5225</v>
      </c>
      <c r="U4039" s="196"/>
      <c r="V4039" s="422"/>
      <c r="W4039" s="159"/>
      <c r="X4039" s="146"/>
      <c r="Y4039" s="146"/>
    </row>
    <row r="4040" s="3" customFormat="1" customHeight="1" spans="1:25">
      <c r="A4040" s="292" t="s">
        <v>446</v>
      </c>
      <c r="B4040" s="292" t="s">
        <v>5007</v>
      </c>
      <c r="C4040" s="292" t="s">
        <v>330</v>
      </c>
      <c r="D4040" s="292" t="s">
        <v>3939</v>
      </c>
      <c r="E4040" s="419" t="s">
        <v>5163</v>
      </c>
      <c r="F4040" s="292" t="s">
        <v>5221</v>
      </c>
      <c r="G4040" s="142" t="s">
        <v>88</v>
      </c>
      <c r="H4040" s="110" t="s">
        <v>5165</v>
      </c>
      <c r="I4040" s="30" t="e">
        <f>VLOOKUP(H4040,'合同高级查询数据-4月返'!A:A,1,FALSE)</f>
        <v>#N/A</v>
      </c>
      <c r="J4040" s="155" t="s">
        <v>162</v>
      </c>
      <c r="K4040" s="292" t="s">
        <v>5222</v>
      </c>
      <c r="L4040" s="142" t="s">
        <v>5223</v>
      </c>
      <c r="M4040" s="113" t="s">
        <v>5224</v>
      </c>
      <c r="N4040" s="146">
        <v>44712</v>
      </c>
      <c r="O4040" s="146" t="s">
        <v>702</v>
      </c>
      <c r="P4040" s="420">
        <v>833</v>
      </c>
      <c r="Q4040" s="295">
        <v>-8</v>
      </c>
      <c r="R4040" s="156">
        <f t="shared" si="132"/>
        <v>-6664</v>
      </c>
      <c r="S4040" s="127">
        <v>202304</v>
      </c>
      <c r="T4040" s="196" t="s">
        <v>5225</v>
      </c>
      <c r="U4040" s="196"/>
      <c r="V4040" s="422"/>
      <c r="W4040" s="159"/>
      <c r="X4040" s="146"/>
      <c r="Y4040" s="146"/>
    </row>
    <row r="4041" s="3" customFormat="1" customHeight="1" spans="1:25">
      <c r="A4041" s="292" t="s">
        <v>446</v>
      </c>
      <c r="B4041" s="292" t="s">
        <v>5007</v>
      </c>
      <c r="C4041" s="292" t="s">
        <v>330</v>
      </c>
      <c r="D4041" s="292" t="s">
        <v>3939</v>
      </c>
      <c r="E4041" s="419" t="s">
        <v>5163</v>
      </c>
      <c r="F4041" s="292" t="s">
        <v>5221</v>
      </c>
      <c r="G4041" s="142" t="s">
        <v>31</v>
      </c>
      <c r="H4041" s="110" t="s">
        <v>5165</v>
      </c>
      <c r="I4041" s="30" t="e">
        <f>VLOOKUP(H4041,'合同高级查询数据-4月返'!A:A,1,FALSE)</f>
        <v>#N/A</v>
      </c>
      <c r="J4041" s="154" t="s">
        <v>33</v>
      </c>
      <c r="K4041" s="292" t="s">
        <v>5222</v>
      </c>
      <c r="L4041" s="142" t="s">
        <v>5223</v>
      </c>
      <c r="M4041" s="113" t="s">
        <v>5223</v>
      </c>
      <c r="N4041" s="146">
        <v>42971</v>
      </c>
      <c r="O4041" s="146" t="s">
        <v>37</v>
      </c>
      <c r="P4041" s="420">
        <v>0</v>
      </c>
      <c r="Q4041" s="295">
        <v>256</v>
      </c>
      <c r="R4041" s="156">
        <f t="shared" si="132"/>
        <v>0</v>
      </c>
      <c r="S4041" s="127">
        <v>202304</v>
      </c>
      <c r="T4041" s="196" t="s">
        <v>5226</v>
      </c>
      <c r="U4041" s="196"/>
      <c r="V4041" s="422"/>
      <c r="W4041" s="159"/>
      <c r="X4041" s="146"/>
      <c r="Y4041" s="146"/>
    </row>
    <row r="4042" s="3" customFormat="1" customHeight="1" spans="1:25">
      <c r="A4042" s="292" t="s">
        <v>446</v>
      </c>
      <c r="B4042" s="292" t="s">
        <v>5007</v>
      </c>
      <c r="C4042" s="292" t="s">
        <v>330</v>
      </c>
      <c r="D4042" s="292" t="s">
        <v>3939</v>
      </c>
      <c r="E4042" s="419" t="s">
        <v>5163</v>
      </c>
      <c r="F4042" s="292" t="s">
        <v>5221</v>
      </c>
      <c r="G4042" s="142" t="s">
        <v>31</v>
      </c>
      <c r="H4042" s="110" t="s">
        <v>5165</v>
      </c>
      <c r="I4042" s="30" t="e">
        <f>VLOOKUP(H4042,'合同高级查询数据-4月返'!A:A,1,FALSE)</f>
        <v>#N/A</v>
      </c>
      <c r="J4042" s="154" t="s">
        <v>33</v>
      </c>
      <c r="K4042" s="292" t="s">
        <v>5222</v>
      </c>
      <c r="L4042" s="142" t="s">
        <v>5223</v>
      </c>
      <c r="M4042" s="113" t="s">
        <v>5223</v>
      </c>
      <c r="N4042" s="146">
        <v>44712</v>
      </c>
      <c r="O4042" s="146" t="s">
        <v>37</v>
      </c>
      <c r="P4042" s="420">
        <v>0</v>
      </c>
      <c r="Q4042" s="295">
        <v>-256</v>
      </c>
      <c r="R4042" s="156">
        <f t="shared" si="132"/>
        <v>0</v>
      </c>
      <c r="S4042" s="127">
        <v>202304</v>
      </c>
      <c r="T4042" s="196" t="s">
        <v>5226</v>
      </c>
      <c r="U4042" s="196"/>
      <c r="V4042" s="422"/>
      <c r="W4042" s="159"/>
      <c r="X4042" s="146"/>
      <c r="Y4042" s="146"/>
    </row>
    <row r="4043" s="3" customFormat="1" customHeight="1" spans="1:25">
      <c r="A4043" s="154" t="s">
        <v>446</v>
      </c>
      <c r="B4043" s="154" t="s">
        <v>5041</v>
      </c>
      <c r="C4043" s="154" t="s">
        <v>5114</v>
      </c>
      <c r="D4043" s="292" t="s">
        <v>3939</v>
      </c>
      <c r="E4043" s="153" t="s">
        <v>5227</v>
      </c>
      <c r="F4043" s="154" t="s">
        <v>5228</v>
      </c>
      <c r="G4043" s="154" t="s">
        <v>88</v>
      </c>
      <c r="H4043" s="110" t="s">
        <v>5229</v>
      </c>
      <c r="I4043" s="30" t="e">
        <f>VLOOKUP(H4043,'合同高级查询数据-4月返'!A:A,1,FALSE)</f>
        <v>#N/A</v>
      </c>
      <c r="J4043" s="31" t="s">
        <v>162</v>
      </c>
      <c r="K4043" s="154" t="s">
        <v>5118</v>
      </c>
      <c r="L4043" s="293" t="s">
        <v>5230</v>
      </c>
      <c r="M4043" s="113" t="s">
        <v>5231</v>
      </c>
      <c r="N4043" s="146">
        <v>43466</v>
      </c>
      <c r="O4043" s="142" t="s">
        <v>92</v>
      </c>
      <c r="P4043" s="400">
        <v>3704</v>
      </c>
      <c r="Q4043" s="156">
        <v>1</v>
      </c>
      <c r="R4043" s="390">
        <f t="shared" si="132"/>
        <v>3704</v>
      </c>
      <c r="S4043" s="127">
        <v>202304</v>
      </c>
      <c r="T4043" s="423" t="s">
        <v>5232</v>
      </c>
      <c r="U4043" s="393"/>
      <c r="V4043" s="422"/>
      <c r="W4043" s="393"/>
      <c r="X4043" s="146"/>
      <c r="Y4043" s="146"/>
    </row>
    <row r="4044" s="3" customFormat="1" customHeight="1" spans="1:25">
      <c r="A4044" s="154" t="s">
        <v>446</v>
      </c>
      <c r="B4044" s="154" t="s">
        <v>5041</v>
      </c>
      <c r="C4044" s="154" t="s">
        <v>5114</v>
      </c>
      <c r="D4044" s="292" t="s">
        <v>3939</v>
      </c>
      <c r="E4044" s="153" t="s">
        <v>5227</v>
      </c>
      <c r="F4044" s="154" t="s">
        <v>5228</v>
      </c>
      <c r="G4044" s="154" t="s">
        <v>31</v>
      </c>
      <c r="H4044" s="110" t="s">
        <v>5229</v>
      </c>
      <c r="I4044" s="30" t="e">
        <f>VLOOKUP(H4044,'合同高级查询数据-4月返'!A:A,1,FALSE)</f>
        <v>#N/A</v>
      </c>
      <c r="J4044" s="31" t="s">
        <v>33</v>
      </c>
      <c r="K4044" s="154" t="s">
        <v>5118</v>
      </c>
      <c r="L4044" s="293" t="s">
        <v>5230</v>
      </c>
      <c r="M4044" s="441" t="s">
        <v>5231</v>
      </c>
      <c r="N4044" s="403">
        <v>43466</v>
      </c>
      <c r="O4044" s="154" t="s">
        <v>37</v>
      </c>
      <c r="P4044" s="400">
        <v>50</v>
      </c>
      <c r="Q4044" s="295">
        <v>100</v>
      </c>
      <c r="R4044" s="390">
        <f t="shared" si="132"/>
        <v>5000</v>
      </c>
      <c r="S4044" s="127">
        <v>202304</v>
      </c>
      <c r="T4044" s="423" t="s">
        <v>5233</v>
      </c>
      <c r="U4044" s="393"/>
      <c r="V4044" s="422"/>
      <c r="W4044" s="393"/>
      <c r="X4044" s="146"/>
      <c r="Y4044" s="146"/>
    </row>
    <row r="4045" s="3" customFormat="1" customHeight="1" spans="1:25">
      <c r="A4045" s="154" t="s">
        <v>446</v>
      </c>
      <c r="B4045" s="154" t="s">
        <v>5041</v>
      </c>
      <c r="C4045" s="154" t="s">
        <v>5114</v>
      </c>
      <c r="D4045" s="292" t="s">
        <v>3939</v>
      </c>
      <c r="E4045" s="153" t="s">
        <v>5227</v>
      </c>
      <c r="F4045" s="154" t="s">
        <v>5228</v>
      </c>
      <c r="G4045" s="154" t="s">
        <v>31</v>
      </c>
      <c r="H4045" s="110" t="s">
        <v>5229</v>
      </c>
      <c r="I4045" s="30" t="e">
        <f>VLOOKUP(H4045,'合同高级查询数据-4月返'!A:A,1,FALSE)</f>
        <v>#N/A</v>
      </c>
      <c r="J4045" s="31" t="s">
        <v>33</v>
      </c>
      <c r="K4045" s="154" t="s">
        <v>5118</v>
      </c>
      <c r="L4045" s="293" t="s">
        <v>5230</v>
      </c>
      <c r="M4045" s="441" t="s">
        <v>5231</v>
      </c>
      <c r="N4045" s="403">
        <v>43466</v>
      </c>
      <c r="O4045" s="154" t="s">
        <v>37</v>
      </c>
      <c r="P4045" s="400">
        <v>0</v>
      </c>
      <c r="Q4045" s="295">
        <v>60</v>
      </c>
      <c r="R4045" s="390">
        <f t="shared" si="132"/>
        <v>0</v>
      </c>
      <c r="S4045" s="127">
        <v>202304</v>
      </c>
      <c r="T4045" s="423" t="s">
        <v>5233</v>
      </c>
      <c r="U4045" s="393"/>
      <c r="V4045" s="422"/>
      <c r="W4045" s="393"/>
      <c r="X4045" s="146"/>
      <c r="Y4045" s="146"/>
    </row>
    <row r="4046" s="5" customFormat="1" customHeight="1" spans="1:25">
      <c r="A4046" s="203" t="s">
        <v>446</v>
      </c>
      <c r="B4046" s="204" t="s">
        <v>4284</v>
      </c>
      <c r="C4046" s="204" t="s">
        <v>2173</v>
      </c>
      <c r="D4046" s="204" t="s">
        <v>3939</v>
      </c>
      <c r="E4046" s="205" t="s">
        <v>5234</v>
      </c>
      <c r="F4046" s="203" t="s">
        <v>5235</v>
      </c>
      <c r="G4046" s="203" t="s">
        <v>88</v>
      </c>
      <c r="H4046" s="25" t="s">
        <v>5236</v>
      </c>
      <c r="I4046" s="46" t="e">
        <f>VLOOKUP(H4046,'合同高级查询数据-4月返'!A:A,1,FALSE)</f>
        <v>#N/A</v>
      </c>
      <c r="J4046" s="47" t="s">
        <v>162</v>
      </c>
      <c r="K4046" s="203" t="s">
        <v>5237</v>
      </c>
      <c r="L4046" s="206" t="s">
        <v>5238</v>
      </c>
      <c r="M4046" s="49" t="s">
        <v>5239</v>
      </c>
      <c r="N4046" s="73">
        <v>43314</v>
      </c>
      <c r="O4046" s="73" t="s">
        <v>163</v>
      </c>
      <c r="P4046" s="396">
        <v>0</v>
      </c>
      <c r="Q4046" s="212">
        <v>6</v>
      </c>
      <c r="R4046" s="386">
        <f t="shared" si="132"/>
        <v>0</v>
      </c>
      <c r="S4046" s="115">
        <v>202304</v>
      </c>
      <c r="T4046" s="184" t="s">
        <v>5240</v>
      </c>
      <c r="U4046" s="213"/>
      <c r="V4046" s="418"/>
      <c r="W4046" s="214"/>
      <c r="X4046" s="73" t="s">
        <v>5241</v>
      </c>
      <c r="Y4046" s="73" t="s">
        <v>5242</v>
      </c>
    </row>
    <row r="4047" s="5" customFormat="1" customHeight="1" spans="1:25">
      <c r="A4047" s="203" t="s">
        <v>446</v>
      </c>
      <c r="B4047" s="204" t="s">
        <v>4284</v>
      </c>
      <c r="C4047" s="204" t="s">
        <v>2173</v>
      </c>
      <c r="D4047" s="204" t="s">
        <v>3939</v>
      </c>
      <c r="E4047" s="205" t="s">
        <v>5234</v>
      </c>
      <c r="F4047" s="203" t="s">
        <v>5235</v>
      </c>
      <c r="G4047" s="203" t="s">
        <v>88</v>
      </c>
      <c r="H4047" s="25" t="s">
        <v>5236</v>
      </c>
      <c r="I4047" s="46" t="e">
        <f>VLOOKUP(H4047,'合同高级查询数据-4月返'!A:A,1,FALSE)</f>
        <v>#N/A</v>
      </c>
      <c r="J4047" s="47" t="s">
        <v>162</v>
      </c>
      <c r="K4047" s="203" t="s">
        <v>5237</v>
      </c>
      <c r="L4047" s="206" t="s">
        <v>5238</v>
      </c>
      <c r="M4047" s="49" t="s">
        <v>5239</v>
      </c>
      <c r="N4047" s="73">
        <v>44316</v>
      </c>
      <c r="O4047" s="73" t="s">
        <v>163</v>
      </c>
      <c r="P4047" s="396">
        <v>3000</v>
      </c>
      <c r="Q4047" s="212">
        <v>-1</v>
      </c>
      <c r="R4047" s="386">
        <f t="shared" si="132"/>
        <v>-3000</v>
      </c>
      <c r="S4047" s="115">
        <v>202304</v>
      </c>
      <c r="T4047" s="184" t="s">
        <v>5243</v>
      </c>
      <c r="U4047" s="213"/>
      <c r="V4047" s="418"/>
      <c r="W4047" s="214"/>
      <c r="X4047" s="73" t="s">
        <v>5241</v>
      </c>
      <c r="Y4047" s="73" t="s">
        <v>5242</v>
      </c>
    </row>
    <row r="4048" s="5" customFormat="1" customHeight="1" spans="1:25">
      <c r="A4048" s="203" t="s">
        <v>446</v>
      </c>
      <c r="B4048" s="204" t="s">
        <v>4284</v>
      </c>
      <c r="C4048" s="204" t="s">
        <v>2173</v>
      </c>
      <c r="D4048" s="204" t="s">
        <v>3939</v>
      </c>
      <c r="E4048" s="205" t="s">
        <v>5234</v>
      </c>
      <c r="F4048" s="203" t="s">
        <v>5235</v>
      </c>
      <c r="G4048" s="203" t="s">
        <v>88</v>
      </c>
      <c r="H4048" s="25" t="s">
        <v>5236</v>
      </c>
      <c r="I4048" s="46" t="e">
        <f>VLOOKUP(H4048,'合同高级查询数据-4月返'!A:A,1,FALSE)</f>
        <v>#N/A</v>
      </c>
      <c r="J4048" s="47" t="s">
        <v>162</v>
      </c>
      <c r="K4048" s="203" t="s">
        <v>5237</v>
      </c>
      <c r="L4048" s="206" t="s">
        <v>5244</v>
      </c>
      <c r="M4048" s="49" t="s">
        <v>5239</v>
      </c>
      <c r="N4048" s="73">
        <v>43983</v>
      </c>
      <c r="O4048" s="73" t="s">
        <v>163</v>
      </c>
      <c r="P4048" s="396">
        <v>3000</v>
      </c>
      <c r="Q4048" s="212">
        <v>4</v>
      </c>
      <c r="R4048" s="386">
        <f t="shared" si="132"/>
        <v>12000</v>
      </c>
      <c r="S4048" s="115">
        <v>202304</v>
      </c>
      <c r="T4048" s="184" t="s">
        <v>5245</v>
      </c>
      <c r="U4048" s="213"/>
      <c r="V4048" s="418"/>
      <c r="W4048" s="214"/>
      <c r="X4048" s="73" t="s">
        <v>5241</v>
      </c>
      <c r="Y4048" s="73" t="s">
        <v>5242</v>
      </c>
    </row>
    <row r="4049" s="5" customFormat="1" customHeight="1" spans="1:25">
      <c r="A4049" s="203" t="s">
        <v>446</v>
      </c>
      <c r="B4049" s="204" t="s">
        <v>4284</v>
      </c>
      <c r="C4049" s="204" t="s">
        <v>2173</v>
      </c>
      <c r="D4049" s="204" t="s">
        <v>3939</v>
      </c>
      <c r="E4049" s="205" t="s">
        <v>5234</v>
      </c>
      <c r="F4049" s="203" t="s">
        <v>5235</v>
      </c>
      <c r="G4049" s="203" t="s">
        <v>88</v>
      </c>
      <c r="H4049" s="25" t="s">
        <v>5236</v>
      </c>
      <c r="I4049" s="46" t="e">
        <f>VLOOKUP(H4049,'合同高级查询数据-4月返'!A:A,1,FALSE)</f>
        <v>#N/A</v>
      </c>
      <c r="J4049" s="47" t="s">
        <v>162</v>
      </c>
      <c r="K4049" s="203" t="s">
        <v>5237</v>
      </c>
      <c r="L4049" s="206" t="s">
        <v>5244</v>
      </c>
      <c r="M4049" s="49" t="s">
        <v>5239</v>
      </c>
      <c r="N4049" s="73">
        <v>44754</v>
      </c>
      <c r="O4049" s="73" t="s">
        <v>163</v>
      </c>
      <c r="P4049" s="396">
        <v>3000</v>
      </c>
      <c r="Q4049" s="212">
        <v>-4</v>
      </c>
      <c r="R4049" s="118">
        <f t="shared" si="132"/>
        <v>-12000</v>
      </c>
      <c r="S4049" s="115">
        <v>202304</v>
      </c>
      <c r="T4049" s="184" t="s">
        <v>5246</v>
      </c>
      <c r="U4049" s="213"/>
      <c r="V4049" s="418"/>
      <c r="W4049" s="214"/>
      <c r="X4049" s="73" t="s">
        <v>5241</v>
      </c>
      <c r="Y4049" s="73" t="s">
        <v>5242</v>
      </c>
    </row>
    <row r="4050" s="5" customFormat="1" customHeight="1" spans="1:25">
      <c r="A4050" s="203" t="s">
        <v>446</v>
      </c>
      <c r="B4050" s="204" t="s">
        <v>4284</v>
      </c>
      <c r="C4050" s="204" t="s">
        <v>2173</v>
      </c>
      <c r="D4050" s="204" t="s">
        <v>3939</v>
      </c>
      <c r="E4050" s="205" t="s">
        <v>5234</v>
      </c>
      <c r="F4050" s="203" t="s">
        <v>5235</v>
      </c>
      <c r="G4050" s="203" t="s">
        <v>31</v>
      </c>
      <c r="H4050" s="25" t="s">
        <v>5236</v>
      </c>
      <c r="I4050" s="46" t="e">
        <f>VLOOKUP(H4050,'合同高级查询数据-4月返'!A:A,1,FALSE)</f>
        <v>#N/A</v>
      </c>
      <c r="J4050" s="47" t="s">
        <v>33</v>
      </c>
      <c r="K4050" s="203" t="s">
        <v>5237</v>
      </c>
      <c r="L4050" s="206" t="s">
        <v>5244</v>
      </c>
      <c r="M4050" s="49"/>
      <c r="N4050" s="73">
        <v>43314</v>
      </c>
      <c r="O4050" s="73" t="s">
        <v>37</v>
      </c>
      <c r="P4050" s="396">
        <v>50</v>
      </c>
      <c r="Q4050" s="212">
        <v>288</v>
      </c>
      <c r="R4050" s="386">
        <f t="shared" si="132"/>
        <v>14400</v>
      </c>
      <c r="S4050" s="115">
        <v>202304</v>
      </c>
      <c r="T4050" s="184" t="s">
        <v>5247</v>
      </c>
      <c r="U4050" s="213"/>
      <c r="V4050" s="418"/>
      <c r="W4050" s="214"/>
      <c r="X4050" s="73" t="s">
        <v>5241</v>
      </c>
      <c r="Y4050" s="73" t="s">
        <v>5242</v>
      </c>
    </row>
    <row r="4051" s="5" customFormat="1" customHeight="1" spans="1:25">
      <c r="A4051" s="203" t="s">
        <v>446</v>
      </c>
      <c r="B4051" s="204" t="s">
        <v>4284</v>
      </c>
      <c r="C4051" s="204" t="s">
        <v>2173</v>
      </c>
      <c r="D4051" s="204" t="s">
        <v>3939</v>
      </c>
      <c r="E4051" s="205" t="s">
        <v>5234</v>
      </c>
      <c r="F4051" s="203" t="s">
        <v>5235</v>
      </c>
      <c r="G4051" s="203" t="s">
        <v>31</v>
      </c>
      <c r="H4051" s="25" t="s">
        <v>5236</v>
      </c>
      <c r="I4051" s="46" t="e">
        <f>VLOOKUP(H4051,'合同高级查询数据-4月返'!A:A,1,FALSE)</f>
        <v>#N/A</v>
      </c>
      <c r="J4051" s="47" t="s">
        <v>33</v>
      </c>
      <c r="K4051" s="203" t="s">
        <v>5237</v>
      </c>
      <c r="L4051" s="206" t="s">
        <v>5244</v>
      </c>
      <c r="M4051" s="49"/>
      <c r="N4051" s="73">
        <v>44754</v>
      </c>
      <c r="O4051" s="73" t="s">
        <v>37</v>
      </c>
      <c r="P4051" s="396">
        <v>50</v>
      </c>
      <c r="Q4051" s="212">
        <v>-288</v>
      </c>
      <c r="R4051" s="118">
        <f t="shared" si="132"/>
        <v>-14400</v>
      </c>
      <c r="S4051" s="115">
        <v>202304</v>
      </c>
      <c r="T4051" s="184" t="s">
        <v>5248</v>
      </c>
      <c r="U4051" s="213"/>
      <c r="V4051" s="418"/>
      <c r="W4051" s="214"/>
      <c r="X4051" s="73" t="s">
        <v>5241</v>
      </c>
      <c r="Y4051" s="73" t="s">
        <v>5242</v>
      </c>
    </row>
    <row r="4052" s="5" customFormat="1" customHeight="1" spans="1:25">
      <c r="A4052" s="203" t="s">
        <v>446</v>
      </c>
      <c r="B4052" s="204" t="s">
        <v>4284</v>
      </c>
      <c r="C4052" s="204" t="s">
        <v>2173</v>
      </c>
      <c r="D4052" s="204" t="s">
        <v>3939</v>
      </c>
      <c r="E4052" s="205" t="s">
        <v>5234</v>
      </c>
      <c r="F4052" s="203" t="s">
        <v>5235</v>
      </c>
      <c r="G4052" s="203" t="s">
        <v>31</v>
      </c>
      <c r="H4052" s="25" t="s">
        <v>5236</v>
      </c>
      <c r="I4052" s="46" t="e">
        <f>VLOOKUP(H4052,'合同高级查询数据-4月返'!A:A,1,FALSE)</f>
        <v>#N/A</v>
      </c>
      <c r="J4052" s="47" t="s">
        <v>33</v>
      </c>
      <c r="K4052" s="203" t="s">
        <v>5237</v>
      </c>
      <c r="L4052" s="206" t="s">
        <v>5238</v>
      </c>
      <c r="M4052" s="49"/>
      <c r="N4052" s="73">
        <v>43314</v>
      </c>
      <c r="O4052" s="73" t="s">
        <v>37</v>
      </c>
      <c r="P4052" s="396">
        <v>0</v>
      </c>
      <c r="Q4052" s="212">
        <v>276</v>
      </c>
      <c r="R4052" s="386">
        <f t="shared" si="132"/>
        <v>0</v>
      </c>
      <c r="S4052" s="115">
        <v>202304</v>
      </c>
      <c r="T4052" s="184" t="s">
        <v>5249</v>
      </c>
      <c r="U4052" s="213"/>
      <c r="V4052" s="418"/>
      <c r="W4052" s="214"/>
      <c r="X4052" s="73" t="s">
        <v>5241</v>
      </c>
      <c r="Y4052" s="73" t="s">
        <v>5242</v>
      </c>
    </row>
    <row r="4053" s="5" customFormat="1" customHeight="1" spans="1:25">
      <c r="A4053" s="203" t="s">
        <v>446</v>
      </c>
      <c r="B4053" s="204" t="s">
        <v>4284</v>
      </c>
      <c r="C4053" s="204" t="s">
        <v>2173</v>
      </c>
      <c r="D4053" s="204" t="s">
        <v>3939</v>
      </c>
      <c r="E4053" s="205" t="s">
        <v>5234</v>
      </c>
      <c r="F4053" s="203" t="s">
        <v>5235</v>
      </c>
      <c r="G4053" s="203" t="s">
        <v>31</v>
      </c>
      <c r="H4053" s="25" t="s">
        <v>5236</v>
      </c>
      <c r="I4053" s="46" t="e">
        <f>VLOOKUP(H4053,'合同高级查询数据-4月返'!A:A,1,FALSE)</f>
        <v>#N/A</v>
      </c>
      <c r="J4053" s="47" t="s">
        <v>33</v>
      </c>
      <c r="K4053" s="203" t="s">
        <v>5237</v>
      </c>
      <c r="L4053" s="206" t="s">
        <v>5238</v>
      </c>
      <c r="M4053" s="49"/>
      <c r="N4053" s="73">
        <v>43314</v>
      </c>
      <c r="O4053" s="73" t="s">
        <v>37</v>
      </c>
      <c r="P4053" s="396">
        <v>50</v>
      </c>
      <c r="Q4053" s="212">
        <v>12</v>
      </c>
      <c r="R4053" s="386">
        <f t="shared" si="132"/>
        <v>600</v>
      </c>
      <c r="S4053" s="115">
        <v>202304</v>
      </c>
      <c r="T4053" s="184" t="s">
        <v>5249</v>
      </c>
      <c r="U4053" s="213"/>
      <c r="V4053" s="418"/>
      <c r="W4053" s="214"/>
      <c r="X4053" s="73" t="s">
        <v>5241</v>
      </c>
      <c r="Y4053" s="73" t="s">
        <v>5242</v>
      </c>
    </row>
    <row r="4054" s="5" customFormat="1" customHeight="1" spans="1:25">
      <c r="A4054" s="203" t="s">
        <v>446</v>
      </c>
      <c r="B4054" s="204" t="s">
        <v>4284</v>
      </c>
      <c r="C4054" s="204" t="s">
        <v>2173</v>
      </c>
      <c r="D4054" s="204" t="s">
        <v>3939</v>
      </c>
      <c r="E4054" s="205" t="s">
        <v>5234</v>
      </c>
      <c r="F4054" s="203" t="s">
        <v>5235</v>
      </c>
      <c r="G4054" s="203" t="s">
        <v>88</v>
      </c>
      <c r="H4054" s="25" t="s">
        <v>5236</v>
      </c>
      <c r="I4054" s="46" t="e">
        <f>VLOOKUP(H4054,'合同高级查询数据-4月返'!A:A,1,FALSE)</f>
        <v>#N/A</v>
      </c>
      <c r="J4054" s="47" t="s">
        <v>162</v>
      </c>
      <c r="K4054" s="203" t="s">
        <v>5237</v>
      </c>
      <c r="L4054" s="206" t="s">
        <v>5250</v>
      </c>
      <c r="M4054" s="49" t="s">
        <v>5239</v>
      </c>
      <c r="N4054" s="73">
        <v>44348</v>
      </c>
      <c r="O4054" s="73" t="s">
        <v>163</v>
      </c>
      <c r="P4054" s="396">
        <v>3000</v>
      </c>
      <c r="Q4054" s="212">
        <v>3</v>
      </c>
      <c r="R4054" s="386">
        <f t="shared" si="132"/>
        <v>9000</v>
      </c>
      <c r="S4054" s="115">
        <v>202304</v>
      </c>
      <c r="T4054" s="184" t="s">
        <v>5251</v>
      </c>
      <c r="U4054" s="213"/>
      <c r="V4054" s="418"/>
      <c r="W4054" s="214"/>
      <c r="X4054" s="73" t="s">
        <v>5241</v>
      </c>
      <c r="Y4054" s="73" t="s">
        <v>5242</v>
      </c>
    </row>
    <row r="4055" s="5" customFormat="1" customHeight="1" spans="1:25">
      <c r="A4055" s="203" t="s">
        <v>446</v>
      </c>
      <c r="B4055" s="204" t="s">
        <v>4284</v>
      </c>
      <c r="C4055" s="204" t="s">
        <v>2173</v>
      </c>
      <c r="D4055" s="204" t="s">
        <v>3939</v>
      </c>
      <c r="E4055" s="205" t="s">
        <v>5234</v>
      </c>
      <c r="F4055" s="203" t="s">
        <v>5235</v>
      </c>
      <c r="G4055" s="203" t="s">
        <v>31</v>
      </c>
      <c r="H4055" s="25" t="s">
        <v>5236</v>
      </c>
      <c r="I4055" s="46" t="e">
        <f>VLOOKUP(H4055,'合同高级查询数据-4月返'!A:A,1,FALSE)</f>
        <v>#N/A</v>
      </c>
      <c r="J4055" s="47" t="s">
        <v>33</v>
      </c>
      <c r="K4055" s="203" t="s">
        <v>5237</v>
      </c>
      <c r="L4055" s="206" t="s">
        <v>5250</v>
      </c>
      <c r="M4055" s="49" t="s">
        <v>5239</v>
      </c>
      <c r="N4055" s="73">
        <v>44348</v>
      </c>
      <c r="O4055" s="73" t="s">
        <v>37</v>
      </c>
      <c r="P4055" s="396">
        <v>0</v>
      </c>
      <c r="Q4055" s="212">
        <v>288</v>
      </c>
      <c r="R4055" s="386">
        <f t="shared" si="132"/>
        <v>0</v>
      </c>
      <c r="S4055" s="115">
        <v>202304</v>
      </c>
      <c r="T4055" s="184" t="s">
        <v>5252</v>
      </c>
      <c r="U4055" s="213"/>
      <c r="V4055" s="418"/>
      <c r="W4055" s="214"/>
      <c r="X4055" s="73" t="s">
        <v>5241</v>
      </c>
      <c r="Y4055" s="73" t="s">
        <v>5242</v>
      </c>
    </row>
    <row r="4056" s="5" customFormat="1" customHeight="1" spans="1:25">
      <c r="A4056" s="203" t="s">
        <v>446</v>
      </c>
      <c r="B4056" s="204" t="s">
        <v>4284</v>
      </c>
      <c r="C4056" s="204" t="s">
        <v>2173</v>
      </c>
      <c r="D4056" s="204" t="s">
        <v>3939</v>
      </c>
      <c r="E4056" s="205" t="s">
        <v>5234</v>
      </c>
      <c r="F4056" s="203" t="s">
        <v>5235</v>
      </c>
      <c r="G4056" s="203" t="s">
        <v>31</v>
      </c>
      <c r="H4056" s="25" t="s">
        <v>5236</v>
      </c>
      <c r="I4056" s="46" t="e">
        <f>VLOOKUP(H4056,'合同高级查询数据-4月返'!A:A,1,FALSE)</f>
        <v>#N/A</v>
      </c>
      <c r="J4056" s="47" t="s">
        <v>33</v>
      </c>
      <c r="K4056" s="203" t="s">
        <v>5237</v>
      </c>
      <c r="L4056" s="206" t="s">
        <v>5250</v>
      </c>
      <c r="M4056" s="49" t="s">
        <v>5239</v>
      </c>
      <c r="N4056" s="73">
        <v>44887</v>
      </c>
      <c r="O4056" s="73" t="s">
        <v>37</v>
      </c>
      <c r="P4056" s="396">
        <v>50</v>
      </c>
      <c r="Q4056" s="212">
        <v>-12</v>
      </c>
      <c r="R4056" s="386">
        <f t="shared" si="132"/>
        <v>-600</v>
      </c>
      <c r="S4056" s="115">
        <v>202304</v>
      </c>
      <c r="T4056" s="184" t="s">
        <v>5253</v>
      </c>
      <c r="U4056" s="213"/>
      <c r="V4056" s="418"/>
      <c r="W4056" s="214"/>
      <c r="X4056" s="73" t="s">
        <v>5241</v>
      </c>
      <c r="Y4056" s="73" t="s">
        <v>5242</v>
      </c>
    </row>
    <row r="4057" s="5" customFormat="1" customHeight="1" spans="1:25">
      <c r="A4057" s="203" t="s">
        <v>446</v>
      </c>
      <c r="B4057" s="204" t="s">
        <v>4284</v>
      </c>
      <c r="C4057" s="204" t="s">
        <v>2173</v>
      </c>
      <c r="D4057" s="204" t="s">
        <v>3939</v>
      </c>
      <c r="E4057" s="205" t="s">
        <v>5234</v>
      </c>
      <c r="F4057" s="203" t="s">
        <v>5235</v>
      </c>
      <c r="G4057" s="203" t="s">
        <v>31</v>
      </c>
      <c r="H4057" s="25" t="s">
        <v>5236</v>
      </c>
      <c r="I4057" s="46" t="e">
        <f>VLOOKUP(H4057,'合同高级查询数据-4月返'!A:A,1,FALSE)</f>
        <v>#N/A</v>
      </c>
      <c r="J4057" s="47" t="s">
        <v>33</v>
      </c>
      <c r="K4057" s="203" t="s">
        <v>5237</v>
      </c>
      <c r="L4057" s="206" t="s">
        <v>5250</v>
      </c>
      <c r="M4057" s="49" t="s">
        <v>5239</v>
      </c>
      <c r="N4057" s="73">
        <v>44887</v>
      </c>
      <c r="O4057" s="73" t="s">
        <v>37</v>
      </c>
      <c r="P4057" s="396">
        <v>0</v>
      </c>
      <c r="Q4057" s="212">
        <v>-116</v>
      </c>
      <c r="R4057" s="386">
        <f t="shared" si="132"/>
        <v>0</v>
      </c>
      <c r="S4057" s="115">
        <v>202304</v>
      </c>
      <c r="T4057" s="184" t="s">
        <v>5253</v>
      </c>
      <c r="U4057" s="213"/>
      <c r="V4057" s="418"/>
      <c r="W4057" s="214"/>
      <c r="X4057" s="73" t="s">
        <v>5241</v>
      </c>
      <c r="Y4057" s="73" t="s">
        <v>5242</v>
      </c>
    </row>
    <row r="4058" s="5" customFormat="1" customHeight="1" spans="1:25">
      <c r="A4058" s="203" t="s">
        <v>446</v>
      </c>
      <c r="B4058" s="204" t="s">
        <v>4284</v>
      </c>
      <c r="C4058" s="204" t="s">
        <v>2173</v>
      </c>
      <c r="D4058" s="204" t="s">
        <v>3939</v>
      </c>
      <c r="E4058" s="205" t="s">
        <v>5254</v>
      </c>
      <c r="F4058" s="203" t="s">
        <v>5255</v>
      </c>
      <c r="G4058" s="203" t="s">
        <v>88</v>
      </c>
      <c r="H4058" s="25" t="s">
        <v>5256</v>
      </c>
      <c r="I4058" s="46" t="e">
        <f>VLOOKUP(H4058,'合同高级查询数据-4月返'!A:A,1,FALSE)</f>
        <v>#N/A</v>
      </c>
      <c r="J4058" s="47" t="s">
        <v>162</v>
      </c>
      <c r="K4058" s="203" t="s">
        <v>5103</v>
      </c>
      <c r="L4058" s="206" t="s">
        <v>5257</v>
      </c>
      <c r="M4058" s="49" t="s">
        <v>5258</v>
      </c>
      <c r="N4058" s="73">
        <v>41354</v>
      </c>
      <c r="O4058" s="73" t="s">
        <v>163</v>
      </c>
      <c r="P4058" s="396">
        <v>0</v>
      </c>
      <c r="Q4058" s="212">
        <v>7</v>
      </c>
      <c r="R4058" s="386">
        <f t="shared" si="132"/>
        <v>0</v>
      </c>
      <c r="S4058" s="115">
        <v>202304</v>
      </c>
      <c r="T4058" s="184" t="s">
        <v>5259</v>
      </c>
      <c r="U4058" s="213"/>
      <c r="V4058" s="418"/>
      <c r="W4058" s="214"/>
      <c r="X4058" s="73" t="s">
        <v>4982</v>
      </c>
      <c r="Y4058" s="73" t="s">
        <v>4983</v>
      </c>
    </row>
    <row r="4059" s="5" customFormat="1" customHeight="1" spans="1:25">
      <c r="A4059" s="203" t="s">
        <v>446</v>
      </c>
      <c r="B4059" s="204" t="s">
        <v>4284</v>
      </c>
      <c r="C4059" s="204" t="s">
        <v>2173</v>
      </c>
      <c r="D4059" s="204" t="s">
        <v>3939</v>
      </c>
      <c r="E4059" s="205" t="s">
        <v>5254</v>
      </c>
      <c r="F4059" s="203" t="s">
        <v>5255</v>
      </c>
      <c r="G4059" s="203" t="s">
        <v>88</v>
      </c>
      <c r="H4059" s="25" t="s">
        <v>5256</v>
      </c>
      <c r="I4059" s="46" t="e">
        <f>VLOOKUP(H4059,'合同高级查询数据-4月返'!A:A,1,FALSE)</f>
        <v>#N/A</v>
      </c>
      <c r="J4059" s="47" t="s">
        <v>162</v>
      </c>
      <c r="K4059" s="203" t="s">
        <v>5103</v>
      </c>
      <c r="L4059" s="206" t="s">
        <v>5257</v>
      </c>
      <c r="M4059" s="49" t="s">
        <v>5258</v>
      </c>
      <c r="N4059" s="73">
        <v>44176</v>
      </c>
      <c r="O4059" s="73" t="s">
        <v>163</v>
      </c>
      <c r="P4059" s="396">
        <v>0</v>
      </c>
      <c r="Q4059" s="212">
        <v>1</v>
      </c>
      <c r="R4059" s="386">
        <f t="shared" si="132"/>
        <v>0</v>
      </c>
      <c r="S4059" s="115">
        <v>202304</v>
      </c>
      <c r="T4059" s="184" t="s">
        <v>5260</v>
      </c>
      <c r="U4059" s="213"/>
      <c r="V4059" s="418"/>
      <c r="W4059" s="214"/>
      <c r="X4059" s="73" t="s">
        <v>4982</v>
      </c>
      <c r="Y4059" s="73" t="s">
        <v>4983</v>
      </c>
    </row>
    <row r="4060" s="5" customFormat="1" customHeight="1" spans="1:25">
      <c r="A4060" s="203" t="s">
        <v>446</v>
      </c>
      <c r="B4060" s="204" t="s">
        <v>4284</v>
      </c>
      <c r="C4060" s="204" t="s">
        <v>2173</v>
      </c>
      <c r="D4060" s="204" t="s">
        <v>3939</v>
      </c>
      <c r="E4060" s="205" t="s">
        <v>5254</v>
      </c>
      <c r="F4060" s="203" t="s">
        <v>5255</v>
      </c>
      <c r="G4060" s="203" t="s">
        <v>88</v>
      </c>
      <c r="H4060" s="25" t="s">
        <v>5256</v>
      </c>
      <c r="I4060" s="46" t="e">
        <f>VLOOKUP(H4060,'合同高级查询数据-4月返'!A:A,1,FALSE)</f>
        <v>#N/A</v>
      </c>
      <c r="J4060" s="47" t="s">
        <v>162</v>
      </c>
      <c r="K4060" s="203" t="s">
        <v>5103</v>
      </c>
      <c r="L4060" s="206" t="s">
        <v>5257</v>
      </c>
      <c r="M4060" s="49" t="s">
        <v>5258</v>
      </c>
      <c r="N4060" s="73">
        <v>44281</v>
      </c>
      <c r="O4060" s="73" t="s">
        <v>163</v>
      </c>
      <c r="P4060" s="396">
        <v>0</v>
      </c>
      <c r="Q4060" s="212">
        <v>1</v>
      </c>
      <c r="R4060" s="386">
        <f t="shared" si="132"/>
        <v>0</v>
      </c>
      <c r="S4060" s="115">
        <v>202304</v>
      </c>
      <c r="T4060" s="184" t="s">
        <v>5261</v>
      </c>
      <c r="U4060" s="213"/>
      <c r="V4060" s="418"/>
      <c r="W4060" s="214"/>
      <c r="X4060" s="73" t="s">
        <v>4982</v>
      </c>
      <c r="Y4060" s="73" t="s">
        <v>4983</v>
      </c>
    </row>
    <row r="4061" s="5" customFormat="1" customHeight="1" spans="1:25">
      <c r="A4061" s="203" t="s">
        <v>446</v>
      </c>
      <c r="B4061" s="204" t="s">
        <v>4284</v>
      </c>
      <c r="C4061" s="204" t="s">
        <v>2173</v>
      </c>
      <c r="D4061" s="204" t="s">
        <v>3939</v>
      </c>
      <c r="E4061" s="205" t="s">
        <v>5254</v>
      </c>
      <c r="F4061" s="203" t="s">
        <v>5255</v>
      </c>
      <c r="G4061" s="203" t="s">
        <v>88</v>
      </c>
      <c r="H4061" s="25" t="s">
        <v>5256</v>
      </c>
      <c r="I4061" s="46" t="e">
        <f>VLOOKUP(H4061,'合同高级查询数据-4月返'!A:A,1,FALSE)</f>
        <v>#N/A</v>
      </c>
      <c r="J4061" s="47" t="s">
        <v>162</v>
      </c>
      <c r="K4061" s="203" t="s">
        <v>5103</v>
      </c>
      <c r="L4061" s="206" t="s">
        <v>5257</v>
      </c>
      <c r="M4061" s="49" t="s">
        <v>5258</v>
      </c>
      <c r="N4061" s="73">
        <v>44409</v>
      </c>
      <c r="O4061" s="73" t="s">
        <v>163</v>
      </c>
      <c r="P4061" s="396">
        <v>0</v>
      </c>
      <c r="Q4061" s="212">
        <v>1</v>
      </c>
      <c r="R4061" s="386">
        <f t="shared" si="132"/>
        <v>0</v>
      </c>
      <c r="S4061" s="115">
        <v>202304</v>
      </c>
      <c r="T4061" s="184" t="s">
        <v>5262</v>
      </c>
      <c r="U4061" s="213"/>
      <c r="V4061" s="418"/>
      <c r="W4061" s="214"/>
      <c r="X4061" s="73" t="s">
        <v>4982</v>
      </c>
      <c r="Y4061" s="73" t="s">
        <v>4983</v>
      </c>
    </row>
    <row r="4062" s="5" customFormat="1" customHeight="1" spans="1:25">
      <c r="A4062" s="203" t="s">
        <v>446</v>
      </c>
      <c r="B4062" s="204" t="s">
        <v>4284</v>
      </c>
      <c r="C4062" s="204" t="s">
        <v>2173</v>
      </c>
      <c r="D4062" s="204" t="s">
        <v>3939</v>
      </c>
      <c r="E4062" s="205" t="s">
        <v>5254</v>
      </c>
      <c r="F4062" s="203" t="s">
        <v>5255</v>
      </c>
      <c r="G4062" s="203" t="s">
        <v>88</v>
      </c>
      <c r="H4062" s="25" t="s">
        <v>5256</v>
      </c>
      <c r="I4062" s="46" t="e">
        <f>VLOOKUP(H4062,'合同高级查询数据-4月返'!A:A,1,FALSE)</f>
        <v>#N/A</v>
      </c>
      <c r="J4062" s="47" t="s">
        <v>162</v>
      </c>
      <c r="K4062" s="203" t="s">
        <v>5103</v>
      </c>
      <c r="L4062" s="206" t="s">
        <v>5257</v>
      </c>
      <c r="M4062" s="49" t="s">
        <v>5258</v>
      </c>
      <c r="N4062" s="73">
        <v>44409</v>
      </c>
      <c r="O4062" s="73" t="s">
        <v>163</v>
      </c>
      <c r="P4062" s="396">
        <v>4167</v>
      </c>
      <c r="Q4062" s="212">
        <v>6</v>
      </c>
      <c r="R4062" s="386">
        <f t="shared" si="132"/>
        <v>25002</v>
      </c>
      <c r="S4062" s="115">
        <v>202304</v>
      </c>
      <c r="T4062" s="184" t="s">
        <v>5263</v>
      </c>
      <c r="U4062" s="213"/>
      <c r="V4062" s="418"/>
      <c r="W4062" s="214"/>
      <c r="X4062" s="73" t="s">
        <v>4982</v>
      </c>
      <c r="Y4062" s="73" t="s">
        <v>4983</v>
      </c>
    </row>
    <row r="4063" s="5" customFormat="1" customHeight="1" spans="1:25">
      <c r="A4063" s="203" t="s">
        <v>446</v>
      </c>
      <c r="B4063" s="204" t="s">
        <v>4284</v>
      </c>
      <c r="C4063" s="204" t="s">
        <v>2173</v>
      </c>
      <c r="D4063" s="204" t="s">
        <v>3939</v>
      </c>
      <c r="E4063" s="205" t="s">
        <v>5254</v>
      </c>
      <c r="F4063" s="203" t="s">
        <v>5255</v>
      </c>
      <c r="G4063" s="203" t="s">
        <v>88</v>
      </c>
      <c r="H4063" s="25" t="s">
        <v>5256</v>
      </c>
      <c r="I4063" s="46" t="e">
        <f>VLOOKUP(H4063,'合同高级查询数据-4月返'!A:A,1,FALSE)</f>
        <v>#N/A</v>
      </c>
      <c r="J4063" s="47" t="s">
        <v>162</v>
      </c>
      <c r="K4063" s="203" t="s">
        <v>5103</v>
      </c>
      <c r="L4063" s="206" t="s">
        <v>5257</v>
      </c>
      <c r="M4063" s="49" t="s">
        <v>5258</v>
      </c>
      <c r="N4063" s="73">
        <v>44783</v>
      </c>
      <c r="O4063" s="73" t="s">
        <v>163</v>
      </c>
      <c r="P4063" s="386">
        <v>4167</v>
      </c>
      <c r="Q4063" s="212">
        <v>-2</v>
      </c>
      <c r="R4063" s="118">
        <f t="shared" si="132"/>
        <v>-8334</v>
      </c>
      <c r="S4063" s="115">
        <v>202304</v>
      </c>
      <c r="T4063" s="184" t="s">
        <v>5264</v>
      </c>
      <c r="U4063" s="213"/>
      <c r="V4063" s="418"/>
      <c r="W4063" s="214"/>
      <c r="X4063" s="73" t="s">
        <v>4982</v>
      </c>
      <c r="Y4063" s="73" t="s">
        <v>4983</v>
      </c>
    </row>
    <row r="4064" s="5" customFormat="1" customHeight="1" spans="1:25">
      <c r="A4064" s="203" t="s">
        <v>446</v>
      </c>
      <c r="B4064" s="204" t="s">
        <v>4284</v>
      </c>
      <c r="C4064" s="204" t="s">
        <v>2173</v>
      </c>
      <c r="D4064" s="204" t="s">
        <v>3939</v>
      </c>
      <c r="E4064" s="205" t="s">
        <v>5254</v>
      </c>
      <c r="F4064" s="203" t="s">
        <v>5255</v>
      </c>
      <c r="G4064" s="203" t="s">
        <v>31</v>
      </c>
      <c r="H4064" s="25" t="s">
        <v>5256</v>
      </c>
      <c r="I4064" s="46" t="e">
        <f>VLOOKUP(H4064,'合同高级查询数据-4月返'!A:A,1,FALSE)</f>
        <v>#N/A</v>
      </c>
      <c r="J4064" s="47" t="s">
        <v>33</v>
      </c>
      <c r="K4064" s="203" t="s">
        <v>5103</v>
      </c>
      <c r="L4064" s="206" t="s">
        <v>5257</v>
      </c>
      <c r="M4064" s="49"/>
      <c r="N4064" s="73">
        <v>41354</v>
      </c>
      <c r="O4064" s="73" t="s">
        <v>37</v>
      </c>
      <c r="P4064" s="396">
        <v>0</v>
      </c>
      <c r="Q4064" s="212">
        <v>544</v>
      </c>
      <c r="R4064" s="386">
        <f t="shared" ref="R4064:R4128" si="133">ROUND(P4064*Q4064,2)</f>
        <v>0</v>
      </c>
      <c r="S4064" s="115">
        <v>202304</v>
      </c>
      <c r="T4064" s="184" t="s">
        <v>5265</v>
      </c>
      <c r="U4064" s="213"/>
      <c r="V4064" s="418"/>
      <c r="W4064" s="214"/>
      <c r="X4064" s="73" t="s">
        <v>4982</v>
      </c>
      <c r="Y4064" s="73" t="s">
        <v>4983</v>
      </c>
    </row>
    <row r="4065" s="5" customFormat="1" customHeight="1" spans="1:25">
      <c r="A4065" s="203" t="s">
        <v>446</v>
      </c>
      <c r="B4065" s="204" t="s">
        <v>4284</v>
      </c>
      <c r="C4065" s="204" t="s">
        <v>2173</v>
      </c>
      <c r="D4065" s="204" t="s">
        <v>3939</v>
      </c>
      <c r="E4065" s="205" t="s">
        <v>5254</v>
      </c>
      <c r="F4065" s="203" t="s">
        <v>5255</v>
      </c>
      <c r="G4065" s="203" t="s">
        <v>31</v>
      </c>
      <c r="H4065" s="25" t="s">
        <v>5256</v>
      </c>
      <c r="I4065" s="46" t="e">
        <f>VLOOKUP(H4065,'合同高级查询数据-4月返'!A:A,1,FALSE)</f>
        <v>#N/A</v>
      </c>
      <c r="J4065" s="47" t="s">
        <v>33</v>
      </c>
      <c r="K4065" s="203" t="s">
        <v>5103</v>
      </c>
      <c r="L4065" s="206" t="s">
        <v>5257</v>
      </c>
      <c r="M4065" s="49"/>
      <c r="N4065" s="73">
        <v>44281</v>
      </c>
      <c r="O4065" s="73" t="s">
        <v>37</v>
      </c>
      <c r="P4065" s="396">
        <v>0</v>
      </c>
      <c r="Q4065" s="212">
        <v>128</v>
      </c>
      <c r="R4065" s="386">
        <f t="shared" si="133"/>
        <v>0</v>
      </c>
      <c r="S4065" s="115">
        <v>202304</v>
      </c>
      <c r="T4065" s="184" t="s">
        <v>5266</v>
      </c>
      <c r="U4065" s="213"/>
      <c r="V4065" s="418"/>
      <c r="W4065" s="214"/>
      <c r="X4065" s="73" t="s">
        <v>4982</v>
      </c>
      <c r="Y4065" s="73" t="s">
        <v>4983</v>
      </c>
    </row>
    <row r="4066" s="5" customFormat="1" customHeight="1" spans="1:25">
      <c r="A4066" s="203" t="s">
        <v>446</v>
      </c>
      <c r="B4066" s="204" t="s">
        <v>4284</v>
      </c>
      <c r="C4066" s="204" t="s">
        <v>2173</v>
      </c>
      <c r="D4066" s="204" t="s">
        <v>3939</v>
      </c>
      <c r="E4066" s="205" t="s">
        <v>5254</v>
      </c>
      <c r="F4066" s="203" t="s">
        <v>5255</v>
      </c>
      <c r="G4066" s="203" t="s">
        <v>31</v>
      </c>
      <c r="H4066" s="25" t="s">
        <v>5256</v>
      </c>
      <c r="I4066" s="46" t="e">
        <f>VLOOKUP(H4066,'合同高级查询数据-4月返'!A:A,1,FALSE)</f>
        <v>#N/A</v>
      </c>
      <c r="J4066" s="47" t="s">
        <v>33</v>
      </c>
      <c r="K4066" s="203" t="s">
        <v>5103</v>
      </c>
      <c r="L4066" s="206" t="s">
        <v>5257</v>
      </c>
      <c r="M4066" s="49" t="s">
        <v>5258</v>
      </c>
      <c r="N4066" s="73">
        <v>44409</v>
      </c>
      <c r="O4066" s="73" t="s">
        <v>37</v>
      </c>
      <c r="P4066" s="396">
        <v>0</v>
      </c>
      <c r="Q4066" s="212">
        <v>128</v>
      </c>
      <c r="R4066" s="386">
        <f t="shared" si="133"/>
        <v>0</v>
      </c>
      <c r="S4066" s="115">
        <v>202304</v>
      </c>
      <c r="T4066" s="184" t="s">
        <v>5267</v>
      </c>
      <c r="U4066" s="213"/>
      <c r="V4066" s="418"/>
      <c r="W4066" s="214"/>
      <c r="X4066" s="73" t="s">
        <v>4982</v>
      </c>
      <c r="Y4066" s="73" t="s">
        <v>4983</v>
      </c>
    </row>
    <row r="4067" s="3" customFormat="1" customHeight="1" spans="1:25">
      <c r="A4067" s="154" t="s">
        <v>446</v>
      </c>
      <c r="B4067" s="154" t="s">
        <v>5041</v>
      </c>
      <c r="C4067" s="154" t="s">
        <v>5042</v>
      </c>
      <c r="D4067" s="292" t="s">
        <v>3939</v>
      </c>
      <c r="E4067" s="153" t="s">
        <v>5268</v>
      </c>
      <c r="F4067" s="154" t="s">
        <v>5269</v>
      </c>
      <c r="G4067" s="154" t="s">
        <v>88</v>
      </c>
      <c r="H4067" s="110" t="s">
        <v>5270</v>
      </c>
      <c r="I4067" s="30" t="e">
        <f>VLOOKUP(H4067,'合同高级查询数据-4月返'!A:A,1,FALSE)</f>
        <v>#N/A</v>
      </c>
      <c r="J4067" s="31" t="s">
        <v>162</v>
      </c>
      <c r="K4067" s="154" t="s">
        <v>5271</v>
      </c>
      <c r="L4067" s="293" t="s">
        <v>5272</v>
      </c>
      <c r="M4067" s="113" t="s">
        <v>5273</v>
      </c>
      <c r="N4067" s="146">
        <v>43429</v>
      </c>
      <c r="O4067" s="146" t="s">
        <v>1746</v>
      </c>
      <c r="P4067" s="400">
        <v>4166.67</v>
      </c>
      <c r="Q4067" s="156">
        <v>2</v>
      </c>
      <c r="R4067" s="390">
        <f t="shared" si="133"/>
        <v>8333.34</v>
      </c>
      <c r="S4067" s="127">
        <v>202304</v>
      </c>
      <c r="T4067" s="423" t="s">
        <v>5274</v>
      </c>
      <c r="U4067" s="393"/>
      <c r="V4067" s="422"/>
      <c r="W4067" s="393"/>
      <c r="X4067" s="146"/>
      <c r="Y4067" s="146"/>
    </row>
    <row r="4068" s="3" customFormat="1" customHeight="1" spans="1:25">
      <c r="A4068" s="154" t="s">
        <v>446</v>
      </c>
      <c r="B4068" s="154" t="s">
        <v>5041</v>
      </c>
      <c r="C4068" s="154" t="s">
        <v>5042</v>
      </c>
      <c r="D4068" s="292" t="s">
        <v>3939</v>
      </c>
      <c r="E4068" s="153" t="s">
        <v>5268</v>
      </c>
      <c r="F4068" s="154" t="s">
        <v>5269</v>
      </c>
      <c r="G4068" s="154" t="s">
        <v>31</v>
      </c>
      <c r="H4068" s="110" t="s">
        <v>5270</v>
      </c>
      <c r="I4068" s="30" t="e">
        <f>VLOOKUP(H4068,'合同高级查询数据-4月返'!A:A,1,FALSE)</f>
        <v>#N/A</v>
      </c>
      <c r="J4068" s="31" t="s">
        <v>33</v>
      </c>
      <c r="K4068" s="154" t="s">
        <v>5271</v>
      </c>
      <c r="L4068" s="293" t="s">
        <v>5272</v>
      </c>
      <c r="M4068" s="113" t="s">
        <v>5273</v>
      </c>
      <c r="N4068" s="146">
        <v>43429</v>
      </c>
      <c r="O4068" s="154" t="s">
        <v>37</v>
      </c>
      <c r="P4068" s="400">
        <v>0</v>
      </c>
      <c r="Q4068" s="295">
        <v>128</v>
      </c>
      <c r="R4068" s="390">
        <f t="shared" si="133"/>
        <v>0</v>
      </c>
      <c r="S4068" s="127">
        <v>202304</v>
      </c>
      <c r="T4068" s="423" t="s">
        <v>5275</v>
      </c>
      <c r="U4068" s="393"/>
      <c r="V4068" s="422"/>
      <c r="W4068" s="393"/>
      <c r="X4068" s="146"/>
      <c r="Y4068" s="146"/>
    </row>
    <row r="4069" s="3" customFormat="1" customHeight="1" spans="1:25">
      <c r="A4069" s="154" t="s">
        <v>446</v>
      </c>
      <c r="B4069" s="154" t="s">
        <v>5041</v>
      </c>
      <c r="C4069" s="154" t="s">
        <v>5042</v>
      </c>
      <c r="D4069" s="292" t="s">
        <v>3939</v>
      </c>
      <c r="E4069" s="153" t="s">
        <v>5268</v>
      </c>
      <c r="F4069" s="154" t="s">
        <v>5269</v>
      </c>
      <c r="G4069" s="154" t="s">
        <v>31</v>
      </c>
      <c r="H4069" s="110" t="s">
        <v>5270</v>
      </c>
      <c r="I4069" s="30" t="e">
        <f>VLOOKUP(H4069,'合同高级查询数据-4月返'!A:A,1,FALSE)</f>
        <v>#N/A</v>
      </c>
      <c r="J4069" s="31" t="s">
        <v>33</v>
      </c>
      <c r="K4069" s="154" t="s">
        <v>5271</v>
      </c>
      <c r="L4069" s="293" t="s">
        <v>5272</v>
      </c>
      <c r="M4069" s="113" t="s">
        <v>5273</v>
      </c>
      <c r="N4069" s="146">
        <v>43429</v>
      </c>
      <c r="O4069" s="154" t="s">
        <v>37</v>
      </c>
      <c r="P4069" s="400">
        <v>50</v>
      </c>
      <c r="Q4069" s="295">
        <v>32</v>
      </c>
      <c r="R4069" s="390">
        <f t="shared" si="133"/>
        <v>1600</v>
      </c>
      <c r="S4069" s="127">
        <v>202304</v>
      </c>
      <c r="T4069" s="423" t="s">
        <v>5276</v>
      </c>
      <c r="U4069" s="393"/>
      <c r="V4069" s="422"/>
      <c r="W4069" s="393"/>
      <c r="X4069" s="146"/>
      <c r="Y4069" s="146"/>
    </row>
    <row r="4070" s="5" customFormat="1" customHeight="1" spans="1:25">
      <c r="A4070" s="203" t="s">
        <v>446</v>
      </c>
      <c r="B4070" s="204" t="s">
        <v>4284</v>
      </c>
      <c r="C4070" s="204" t="s">
        <v>2173</v>
      </c>
      <c r="D4070" s="204" t="s">
        <v>3939</v>
      </c>
      <c r="E4070" s="205" t="s">
        <v>2174</v>
      </c>
      <c r="F4070" s="203" t="s">
        <v>2175</v>
      </c>
      <c r="G4070" s="203" t="s">
        <v>31</v>
      </c>
      <c r="H4070" s="25" t="s">
        <v>5277</v>
      </c>
      <c r="I4070" s="46" t="e">
        <f>VLOOKUP(H4070,'合同高级查询数据-4月返'!A:A,1,FALSE)</f>
        <v>#N/A</v>
      </c>
      <c r="J4070" s="47" t="s">
        <v>497</v>
      </c>
      <c r="K4070" s="203" t="s">
        <v>5278</v>
      </c>
      <c r="L4070" s="206"/>
      <c r="M4070" s="49"/>
      <c r="N4070" s="73">
        <v>44501</v>
      </c>
      <c r="O4070" s="73" t="s">
        <v>37</v>
      </c>
      <c r="P4070" s="396">
        <v>0</v>
      </c>
      <c r="Q4070" s="212">
        <v>512</v>
      </c>
      <c r="R4070" s="386">
        <f t="shared" si="133"/>
        <v>0</v>
      </c>
      <c r="S4070" s="115">
        <v>202304</v>
      </c>
      <c r="T4070" s="184" t="s">
        <v>5279</v>
      </c>
      <c r="U4070" s="213"/>
      <c r="V4070" s="418"/>
      <c r="W4070" s="214"/>
      <c r="X4070" s="73">
        <v>44531</v>
      </c>
      <c r="Y4070" s="73">
        <v>45260</v>
      </c>
    </row>
    <row r="4071" s="3" customFormat="1" customHeight="1" spans="1:25">
      <c r="A4071" s="154" t="s">
        <v>446</v>
      </c>
      <c r="B4071" s="292" t="s">
        <v>4284</v>
      </c>
      <c r="C4071" s="292" t="s">
        <v>5017</v>
      </c>
      <c r="D4071" s="292" t="s">
        <v>3939</v>
      </c>
      <c r="E4071" s="153" t="s">
        <v>5280</v>
      </c>
      <c r="F4071" s="154" t="s">
        <v>5281</v>
      </c>
      <c r="G4071" s="154" t="s">
        <v>88</v>
      </c>
      <c r="H4071" s="110" t="s">
        <v>5282</v>
      </c>
      <c r="I4071" s="30" t="e">
        <f>VLOOKUP(H4071,'合同高级查询数据-4月返'!A:A,1,FALSE)</f>
        <v>#N/A</v>
      </c>
      <c r="J4071" s="31" t="s">
        <v>162</v>
      </c>
      <c r="K4071" s="154" t="s">
        <v>5037</v>
      </c>
      <c r="L4071" s="293" t="s">
        <v>5283</v>
      </c>
      <c r="M4071" s="113" t="s">
        <v>5284</v>
      </c>
      <c r="N4071" s="146">
        <v>43105</v>
      </c>
      <c r="O4071" s="146" t="s">
        <v>4123</v>
      </c>
      <c r="P4071" s="400">
        <v>0</v>
      </c>
      <c r="Q4071" s="295">
        <v>2</v>
      </c>
      <c r="R4071" s="390">
        <f t="shared" si="133"/>
        <v>0</v>
      </c>
      <c r="S4071" s="127">
        <v>202304</v>
      </c>
      <c r="T4071" s="198" t="s">
        <v>5285</v>
      </c>
      <c r="U4071" s="391"/>
      <c r="V4071" s="422"/>
      <c r="W4071" s="393"/>
      <c r="X4071" s="146"/>
      <c r="Y4071" s="146"/>
    </row>
    <row r="4072" s="3" customFormat="1" customHeight="1" spans="1:25">
      <c r="A4072" s="154" t="s">
        <v>446</v>
      </c>
      <c r="B4072" s="292" t="s">
        <v>4284</v>
      </c>
      <c r="C4072" s="292" t="s">
        <v>5017</v>
      </c>
      <c r="D4072" s="292" t="s">
        <v>3939</v>
      </c>
      <c r="E4072" s="153" t="s">
        <v>5280</v>
      </c>
      <c r="F4072" s="154" t="s">
        <v>5281</v>
      </c>
      <c r="G4072" s="154" t="s">
        <v>31</v>
      </c>
      <c r="H4072" s="110" t="s">
        <v>5282</v>
      </c>
      <c r="I4072" s="30" t="e">
        <f>VLOOKUP(H4072,'合同高级查询数据-4月返'!A:A,1,FALSE)</f>
        <v>#N/A</v>
      </c>
      <c r="J4072" s="31" t="s">
        <v>33</v>
      </c>
      <c r="K4072" s="154" t="s">
        <v>5037</v>
      </c>
      <c r="L4072" s="293" t="s">
        <v>5283</v>
      </c>
      <c r="M4072" s="113"/>
      <c r="N4072" s="146">
        <v>43105</v>
      </c>
      <c r="O4072" s="146" t="s">
        <v>37</v>
      </c>
      <c r="P4072" s="400">
        <v>0</v>
      </c>
      <c r="Q4072" s="295">
        <v>160</v>
      </c>
      <c r="R4072" s="390">
        <f t="shared" si="133"/>
        <v>0</v>
      </c>
      <c r="S4072" s="127">
        <v>202304</v>
      </c>
      <c r="T4072" s="198" t="s">
        <v>5286</v>
      </c>
      <c r="U4072" s="391"/>
      <c r="V4072" s="422"/>
      <c r="W4072" s="393"/>
      <c r="X4072" s="146"/>
      <c r="Y4072" s="146"/>
    </row>
    <row r="4073" s="5" customFormat="1" customHeight="1" spans="1:25">
      <c r="A4073" s="204" t="s">
        <v>444</v>
      </c>
      <c r="B4073" s="204" t="s">
        <v>5007</v>
      </c>
      <c r="C4073" s="204" t="s">
        <v>216</v>
      </c>
      <c r="D4073" s="204" t="s">
        <v>3939</v>
      </c>
      <c r="E4073" s="426" t="s">
        <v>5287</v>
      </c>
      <c r="F4073" s="204" t="s">
        <v>5288</v>
      </c>
      <c r="G4073" s="204" t="s">
        <v>88</v>
      </c>
      <c r="H4073" s="204" t="s">
        <v>5289</v>
      </c>
      <c r="I4073" s="46" t="str">
        <f>VLOOKUP(H4073,'合同高级查询数据-4月返'!A:A,1,FALSE)</f>
        <v>182315IDC00139</v>
      </c>
      <c r="J4073" s="178" t="s">
        <v>162</v>
      </c>
      <c r="K4073" s="204" t="s">
        <v>5150</v>
      </c>
      <c r="L4073" s="204" t="s">
        <v>5290</v>
      </c>
      <c r="M4073" s="49" t="s">
        <v>5291</v>
      </c>
      <c r="N4073" s="402">
        <v>42236</v>
      </c>
      <c r="O4073" s="204" t="s">
        <v>4228</v>
      </c>
      <c r="P4073" s="442">
        <v>5000</v>
      </c>
      <c r="Q4073" s="445">
        <v>10</v>
      </c>
      <c r="R4073" s="446">
        <f t="shared" si="133"/>
        <v>50000</v>
      </c>
      <c r="S4073" s="115">
        <v>202304</v>
      </c>
      <c r="T4073" s="166" t="s">
        <v>5292</v>
      </c>
      <c r="U4073" s="204"/>
      <c r="V4073" s="418"/>
      <c r="W4073" s="120"/>
      <c r="X4073" s="73">
        <v>44927</v>
      </c>
      <c r="Y4073" s="73">
        <v>45107</v>
      </c>
    </row>
    <row r="4074" s="5" customFormat="1" customHeight="1" spans="1:25">
      <c r="A4074" s="204" t="s">
        <v>444</v>
      </c>
      <c r="B4074" s="204" t="s">
        <v>5007</v>
      </c>
      <c r="C4074" s="204" t="s">
        <v>216</v>
      </c>
      <c r="D4074" s="204" t="s">
        <v>3939</v>
      </c>
      <c r="E4074" s="426" t="s">
        <v>5287</v>
      </c>
      <c r="F4074" s="204" t="s">
        <v>5288</v>
      </c>
      <c r="G4074" s="204" t="s">
        <v>31</v>
      </c>
      <c r="H4074" s="204" t="s">
        <v>5289</v>
      </c>
      <c r="I4074" s="46" t="str">
        <f>VLOOKUP(H4074,'合同高级查询数据-4月返'!A:A,1,FALSE)</f>
        <v>182315IDC00139</v>
      </c>
      <c r="J4074" s="204" t="s">
        <v>33</v>
      </c>
      <c r="K4074" s="204" t="s">
        <v>5150</v>
      </c>
      <c r="L4074" s="204" t="s">
        <v>5290</v>
      </c>
      <c r="M4074" s="49"/>
      <c r="N4074" s="402" t="s">
        <v>4998</v>
      </c>
      <c r="O4074" s="73" t="s">
        <v>37</v>
      </c>
      <c r="P4074" s="442">
        <v>0</v>
      </c>
      <c r="Q4074" s="445">
        <v>160</v>
      </c>
      <c r="R4074" s="108">
        <f t="shared" si="133"/>
        <v>0</v>
      </c>
      <c r="S4074" s="115">
        <v>202304</v>
      </c>
      <c r="T4074" s="166" t="s">
        <v>5293</v>
      </c>
      <c r="U4074" s="204"/>
      <c r="V4074" s="418"/>
      <c r="W4074" s="120"/>
      <c r="X4074" s="73">
        <v>44927</v>
      </c>
      <c r="Y4074" s="73">
        <v>45107</v>
      </c>
    </row>
    <row r="4075" s="5" customFormat="1" customHeight="1" spans="1:25">
      <c r="A4075" s="204" t="s">
        <v>444</v>
      </c>
      <c r="B4075" s="204" t="s">
        <v>5007</v>
      </c>
      <c r="C4075" s="204" t="s">
        <v>216</v>
      </c>
      <c r="D4075" s="204" t="s">
        <v>3939</v>
      </c>
      <c r="E4075" s="426" t="s">
        <v>5287</v>
      </c>
      <c r="F4075" s="204" t="s">
        <v>5288</v>
      </c>
      <c r="G4075" s="204" t="s">
        <v>31</v>
      </c>
      <c r="H4075" s="204" t="s">
        <v>5289</v>
      </c>
      <c r="I4075" s="46" t="str">
        <f>VLOOKUP(H4075,'合同高级查询数据-4月返'!A:A,1,FALSE)</f>
        <v>182315IDC00139</v>
      </c>
      <c r="J4075" s="204" t="s">
        <v>33</v>
      </c>
      <c r="K4075" s="204" t="s">
        <v>5150</v>
      </c>
      <c r="L4075" s="204" t="s">
        <v>5290</v>
      </c>
      <c r="M4075" s="49"/>
      <c r="N4075" s="402">
        <v>42236</v>
      </c>
      <c r="O4075" s="73" t="s">
        <v>37</v>
      </c>
      <c r="P4075" s="442">
        <v>0</v>
      </c>
      <c r="Q4075" s="445">
        <v>256</v>
      </c>
      <c r="R4075" s="108">
        <f t="shared" si="133"/>
        <v>0</v>
      </c>
      <c r="S4075" s="115">
        <v>202304</v>
      </c>
      <c r="T4075" s="166" t="s">
        <v>5293</v>
      </c>
      <c r="U4075" s="204"/>
      <c r="V4075" s="418"/>
      <c r="W4075" s="120"/>
      <c r="X4075" s="73">
        <v>44927</v>
      </c>
      <c r="Y4075" s="73">
        <v>45107</v>
      </c>
    </row>
    <row r="4076" s="5" customFormat="1" customHeight="1" spans="1:25">
      <c r="A4076" s="204" t="s">
        <v>444</v>
      </c>
      <c r="B4076" s="204" t="s">
        <v>5007</v>
      </c>
      <c r="C4076" s="204" t="s">
        <v>216</v>
      </c>
      <c r="D4076" s="204" t="s">
        <v>3939</v>
      </c>
      <c r="E4076" s="426" t="s">
        <v>5287</v>
      </c>
      <c r="F4076" s="204" t="s">
        <v>5288</v>
      </c>
      <c r="G4076" s="204" t="s">
        <v>31</v>
      </c>
      <c r="H4076" s="204" t="s">
        <v>5289</v>
      </c>
      <c r="I4076" s="46" t="str">
        <f>VLOOKUP(H4076,'合同高级查询数据-4月返'!A:A,1,FALSE)</f>
        <v>182315IDC00139</v>
      </c>
      <c r="J4076" s="204" t="s">
        <v>33</v>
      </c>
      <c r="K4076" s="204" t="s">
        <v>5150</v>
      </c>
      <c r="L4076" s="204" t="s">
        <v>5290</v>
      </c>
      <c r="M4076" s="49"/>
      <c r="N4076" s="402" t="s">
        <v>4998</v>
      </c>
      <c r="O4076" s="73" t="s">
        <v>37</v>
      </c>
      <c r="P4076" s="442">
        <v>0</v>
      </c>
      <c r="Q4076" s="445">
        <v>256</v>
      </c>
      <c r="R4076" s="108">
        <f t="shared" si="133"/>
        <v>0</v>
      </c>
      <c r="S4076" s="115">
        <v>202304</v>
      </c>
      <c r="T4076" s="166" t="s">
        <v>5293</v>
      </c>
      <c r="U4076" s="204"/>
      <c r="V4076" s="418"/>
      <c r="W4076" s="120"/>
      <c r="X4076" s="73">
        <v>44927</v>
      </c>
      <c r="Y4076" s="73">
        <v>45107</v>
      </c>
    </row>
    <row r="4077" s="5" customFormat="1" customHeight="1" spans="1:25">
      <c r="A4077" s="204" t="s">
        <v>444</v>
      </c>
      <c r="B4077" s="204" t="s">
        <v>5007</v>
      </c>
      <c r="C4077" s="204" t="s">
        <v>216</v>
      </c>
      <c r="D4077" s="204" t="s">
        <v>3939</v>
      </c>
      <c r="E4077" s="426" t="s">
        <v>5287</v>
      </c>
      <c r="F4077" s="204" t="s">
        <v>5288</v>
      </c>
      <c r="G4077" s="204" t="s">
        <v>31</v>
      </c>
      <c r="H4077" s="204" t="s">
        <v>5289</v>
      </c>
      <c r="I4077" s="46" t="str">
        <f>VLOOKUP(H4077,'合同高级查询数据-4月返'!A:A,1,FALSE)</f>
        <v>182315IDC00139</v>
      </c>
      <c r="J4077" s="204" t="s">
        <v>33</v>
      </c>
      <c r="K4077" s="204" t="s">
        <v>5150</v>
      </c>
      <c r="L4077" s="204" t="s">
        <v>5290</v>
      </c>
      <c r="M4077" s="49"/>
      <c r="N4077" s="402">
        <v>44742</v>
      </c>
      <c r="O4077" s="73" t="s">
        <v>37</v>
      </c>
      <c r="P4077" s="442">
        <v>0</v>
      </c>
      <c r="Q4077" s="445">
        <v>-256</v>
      </c>
      <c r="R4077" s="108">
        <f t="shared" si="133"/>
        <v>0</v>
      </c>
      <c r="S4077" s="115">
        <v>202304</v>
      </c>
      <c r="T4077" s="166" t="s">
        <v>5294</v>
      </c>
      <c r="U4077" s="204"/>
      <c r="V4077" s="418"/>
      <c r="W4077" s="120"/>
      <c r="X4077" s="73">
        <v>44927</v>
      </c>
      <c r="Y4077" s="73">
        <v>45107</v>
      </c>
    </row>
    <row r="4078" s="5" customFormat="1" customHeight="1" spans="1:25">
      <c r="A4078" s="204" t="s">
        <v>444</v>
      </c>
      <c r="B4078" s="204" t="s">
        <v>5007</v>
      </c>
      <c r="C4078" s="204" t="s">
        <v>216</v>
      </c>
      <c r="D4078" s="204" t="s">
        <v>3939</v>
      </c>
      <c r="E4078" s="426" t="s">
        <v>5287</v>
      </c>
      <c r="F4078" s="204" t="s">
        <v>5288</v>
      </c>
      <c r="G4078" s="204" t="s">
        <v>88</v>
      </c>
      <c r="H4078" s="204" t="s">
        <v>5289</v>
      </c>
      <c r="I4078" s="46" t="str">
        <f>VLOOKUP(H4078,'合同高级查询数据-4月返'!A:A,1,FALSE)</f>
        <v>182315IDC00139</v>
      </c>
      <c r="J4078" s="204" t="s">
        <v>2021</v>
      </c>
      <c r="K4078" s="204" t="s">
        <v>5150</v>
      </c>
      <c r="L4078" s="204" t="s">
        <v>5295</v>
      </c>
      <c r="M4078" s="49" t="s">
        <v>5291</v>
      </c>
      <c r="N4078" s="402">
        <v>42236</v>
      </c>
      <c r="O4078" s="204" t="s">
        <v>4228</v>
      </c>
      <c r="P4078" s="442">
        <v>5000</v>
      </c>
      <c r="Q4078" s="445">
        <v>4</v>
      </c>
      <c r="R4078" s="446">
        <f t="shared" si="133"/>
        <v>20000</v>
      </c>
      <c r="S4078" s="115">
        <v>202304</v>
      </c>
      <c r="T4078" s="166" t="s">
        <v>5296</v>
      </c>
      <c r="U4078" s="204"/>
      <c r="V4078" s="418"/>
      <c r="W4078" s="120"/>
      <c r="X4078" s="73">
        <v>44927</v>
      </c>
      <c r="Y4078" s="73">
        <v>45107</v>
      </c>
    </row>
    <row r="4079" s="5" customFormat="1" customHeight="1" spans="1:25">
      <c r="A4079" s="204" t="s">
        <v>444</v>
      </c>
      <c r="B4079" s="204" t="s">
        <v>5007</v>
      </c>
      <c r="C4079" s="204" t="s">
        <v>216</v>
      </c>
      <c r="D4079" s="204" t="s">
        <v>3939</v>
      </c>
      <c r="E4079" s="426" t="s">
        <v>5287</v>
      </c>
      <c r="F4079" s="204" t="s">
        <v>5288</v>
      </c>
      <c r="G4079" s="204" t="s">
        <v>31</v>
      </c>
      <c r="H4079" s="204" t="s">
        <v>5289</v>
      </c>
      <c r="I4079" s="46" t="str">
        <f>VLOOKUP(H4079,'合同高级查询数据-4月返'!A:A,1,FALSE)</f>
        <v>182315IDC00139</v>
      </c>
      <c r="J4079" s="204" t="s">
        <v>1273</v>
      </c>
      <c r="K4079" s="204" t="s">
        <v>5150</v>
      </c>
      <c r="L4079" s="204" t="s">
        <v>5295</v>
      </c>
      <c r="M4079" s="49"/>
      <c r="N4079" s="402">
        <v>42236</v>
      </c>
      <c r="O4079" s="73" t="s">
        <v>37</v>
      </c>
      <c r="P4079" s="396">
        <v>0</v>
      </c>
      <c r="Q4079" s="445">
        <v>512</v>
      </c>
      <c r="R4079" s="108">
        <f t="shared" si="133"/>
        <v>0</v>
      </c>
      <c r="S4079" s="115">
        <v>202304</v>
      </c>
      <c r="T4079" s="166" t="s">
        <v>5297</v>
      </c>
      <c r="U4079" s="204"/>
      <c r="V4079" s="418"/>
      <c r="W4079" s="120"/>
      <c r="X4079" s="73">
        <v>44927</v>
      </c>
      <c r="Y4079" s="73">
        <v>45107</v>
      </c>
    </row>
    <row r="4080" s="5" customFormat="1" customHeight="1" spans="1:25">
      <c r="A4080" s="204" t="s">
        <v>444</v>
      </c>
      <c r="B4080" s="204" t="s">
        <v>5007</v>
      </c>
      <c r="C4080" s="204" t="s">
        <v>216</v>
      </c>
      <c r="D4080" s="204" t="s">
        <v>3939</v>
      </c>
      <c r="E4080" s="426" t="s">
        <v>5287</v>
      </c>
      <c r="F4080" s="204" t="s">
        <v>5288</v>
      </c>
      <c r="G4080" s="204" t="s">
        <v>31</v>
      </c>
      <c r="H4080" s="204" t="s">
        <v>5289</v>
      </c>
      <c r="I4080" s="46" t="str">
        <f>VLOOKUP(H4080,'合同高级查询数据-4月返'!A:A,1,FALSE)</f>
        <v>182315IDC00139</v>
      </c>
      <c r="J4080" s="204" t="s">
        <v>1273</v>
      </c>
      <c r="K4080" s="204" t="s">
        <v>5150</v>
      </c>
      <c r="L4080" s="204" t="s">
        <v>5295</v>
      </c>
      <c r="M4080" s="49"/>
      <c r="N4080" s="402">
        <v>42236</v>
      </c>
      <c r="O4080" s="73" t="s">
        <v>37</v>
      </c>
      <c r="P4080" s="442">
        <v>0</v>
      </c>
      <c r="Q4080" s="445">
        <f>768-Q4079</f>
        <v>256</v>
      </c>
      <c r="R4080" s="108">
        <f t="shared" si="133"/>
        <v>0</v>
      </c>
      <c r="S4080" s="115">
        <v>202304</v>
      </c>
      <c r="T4080" s="166" t="s">
        <v>5298</v>
      </c>
      <c r="U4080" s="204"/>
      <c r="V4080" s="418"/>
      <c r="W4080" s="120"/>
      <c r="X4080" s="73">
        <v>44927</v>
      </c>
      <c r="Y4080" s="73">
        <v>45107</v>
      </c>
    </row>
    <row r="4081" s="5" customFormat="1" customHeight="1" spans="1:25">
      <c r="A4081" s="204" t="s">
        <v>444</v>
      </c>
      <c r="B4081" s="204" t="s">
        <v>5007</v>
      </c>
      <c r="C4081" s="204" t="s">
        <v>216</v>
      </c>
      <c r="D4081" s="204" t="s">
        <v>3939</v>
      </c>
      <c r="E4081" s="426" t="s">
        <v>5287</v>
      </c>
      <c r="F4081" s="204" t="s">
        <v>5288</v>
      </c>
      <c r="G4081" s="204" t="s">
        <v>88</v>
      </c>
      <c r="H4081" s="204" t="s">
        <v>5289</v>
      </c>
      <c r="I4081" s="46" t="str">
        <f>VLOOKUP(H4081,'合同高级查询数据-4月返'!A:A,1,FALSE)</f>
        <v>182315IDC00139</v>
      </c>
      <c r="J4081" s="178" t="s">
        <v>162</v>
      </c>
      <c r="K4081" s="204" t="s">
        <v>5150</v>
      </c>
      <c r="L4081" s="204" t="s">
        <v>5299</v>
      </c>
      <c r="M4081" s="49" t="s">
        <v>5291</v>
      </c>
      <c r="N4081" s="402">
        <v>43610</v>
      </c>
      <c r="O4081" s="204" t="s">
        <v>4228</v>
      </c>
      <c r="P4081" s="442">
        <v>5000</v>
      </c>
      <c r="Q4081" s="445">
        <v>4</v>
      </c>
      <c r="R4081" s="446">
        <f t="shared" si="133"/>
        <v>20000</v>
      </c>
      <c r="S4081" s="115">
        <v>202304</v>
      </c>
      <c r="T4081" s="166" t="s">
        <v>5300</v>
      </c>
      <c r="U4081" s="204"/>
      <c r="V4081" s="418"/>
      <c r="W4081" s="120"/>
      <c r="X4081" s="73">
        <v>44927</v>
      </c>
      <c r="Y4081" s="73">
        <v>45107</v>
      </c>
    </row>
    <row r="4082" s="5" customFormat="1" customHeight="1" spans="1:25">
      <c r="A4082" s="204" t="s">
        <v>444</v>
      </c>
      <c r="B4082" s="204" t="s">
        <v>5007</v>
      </c>
      <c r="C4082" s="204" t="s">
        <v>216</v>
      </c>
      <c r="D4082" s="204" t="s">
        <v>3939</v>
      </c>
      <c r="E4082" s="426" t="s">
        <v>5287</v>
      </c>
      <c r="F4082" s="204" t="s">
        <v>5288</v>
      </c>
      <c r="G4082" s="204" t="s">
        <v>31</v>
      </c>
      <c r="H4082" s="204" t="s">
        <v>5289</v>
      </c>
      <c r="I4082" s="46" t="str">
        <f>VLOOKUP(H4082,'合同高级查询数据-4月返'!A:A,1,FALSE)</f>
        <v>182315IDC00139</v>
      </c>
      <c r="J4082" s="204" t="s">
        <v>33</v>
      </c>
      <c r="K4082" s="204" t="s">
        <v>5150</v>
      </c>
      <c r="L4082" s="204" t="s">
        <v>5299</v>
      </c>
      <c r="M4082" s="49"/>
      <c r="N4082" s="402">
        <v>43610</v>
      </c>
      <c r="O4082" s="73" t="s">
        <v>37</v>
      </c>
      <c r="P4082" s="442">
        <v>0</v>
      </c>
      <c r="Q4082" s="445">
        <v>288</v>
      </c>
      <c r="R4082" s="108">
        <f t="shared" si="133"/>
        <v>0</v>
      </c>
      <c r="S4082" s="115">
        <v>202304</v>
      </c>
      <c r="T4082" s="284" t="s">
        <v>5301</v>
      </c>
      <c r="U4082" s="204"/>
      <c r="V4082" s="418"/>
      <c r="W4082" s="120"/>
      <c r="X4082" s="73">
        <v>44927</v>
      </c>
      <c r="Y4082" s="73">
        <v>45107</v>
      </c>
    </row>
    <row r="4083" s="5" customFormat="1" customHeight="1" spans="1:25">
      <c r="A4083" s="204" t="s">
        <v>444</v>
      </c>
      <c r="B4083" s="204" t="s">
        <v>5007</v>
      </c>
      <c r="C4083" s="204" t="s">
        <v>216</v>
      </c>
      <c r="D4083" s="204" t="s">
        <v>3939</v>
      </c>
      <c r="E4083" s="426" t="s">
        <v>5287</v>
      </c>
      <c r="F4083" s="204" t="s">
        <v>5288</v>
      </c>
      <c r="G4083" s="204" t="s">
        <v>88</v>
      </c>
      <c r="H4083" s="204" t="s">
        <v>5289</v>
      </c>
      <c r="I4083" s="46" t="str">
        <f>VLOOKUP(H4083,'合同高级查询数据-4月返'!A:A,1,FALSE)</f>
        <v>182315IDC00139</v>
      </c>
      <c r="J4083" s="178" t="s">
        <v>162</v>
      </c>
      <c r="K4083" s="204" t="s">
        <v>218</v>
      </c>
      <c r="L4083" s="204" t="s">
        <v>5302</v>
      </c>
      <c r="M4083" s="204" t="s">
        <v>5303</v>
      </c>
      <c r="N4083" s="402">
        <v>43862</v>
      </c>
      <c r="O4083" s="204" t="s">
        <v>4228</v>
      </c>
      <c r="P4083" s="442">
        <v>5000</v>
      </c>
      <c r="Q4083" s="445">
        <v>3</v>
      </c>
      <c r="R4083" s="445">
        <f t="shared" si="133"/>
        <v>15000</v>
      </c>
      <c r="S4083" s="115">
        <v>202304</v>
      </c>
      <c r="T4083" s="166" t="s">
        <v>5304</v>
      </c>
      <c r="U4083" s="213"/>
      <c r="V4083" s="418"/>
      <c r="W4083" s="447"/>
      <c r="X4083" s="73">
        <v>44927</v>
      </c>
      <c r="Y4083" s="73">
        <v>45107</v>
      </c>
    </row>
    <row r="4084" s="5" customFormat="1" customHeight="1" spans="1:25">
      <c r="A4084" s="204" t="s">
        <v>444</v>
      </c>
      <c r="B4084" s="204" t="s">
        <v>5007</v>
      </c>
      <c r="C4084" s="204" t="s">
        <v>216</v>
      </c>
      <c r="D4084" s="204" t="s">
        <v>3939</v>
      </c>
      <c r="E4084" s="426" t="s">
        <v>5287</v>
      </c>
      <c r="F4084" s="204" t="s">
        <v>5288</v>
      </c>
      <c r="G4084" s="204" t="s">
        <v>88</v>
      </c>
      <c r="H4084" s="204" t="s">
        <v>5289</v>
      </c>
      <c r="I4084" s="46" t="str">
        <f>VLOOKUP(H4084,'合同高级查询数据-4月返'!A:A,1,FALSE)</f>
        <v>182315IDC00139</v>
      </c>
      <c r="J4084" s="178" t="s">
        <v>162</v>
      </c>
      <c r="K4084" s="204" t="s">
        <v>218</v>
      </c>
      <c r="L4084" s="204" t="s">
        <v>5302</v>
      </c>
      <c r="M4084" s="204" t="s">
        <v>5303</v>
      </c>
      <c r="N4084" s="402">
        <v>44681</v>
      </c>
      <c r="O4084" s="204" t="s">
        <v>4228</v>
      </c>
      <c r="P4084" s="442">
        <v>5000</v>
      </c>
      <c r="Q4084" s="445">
        <v>-3</v>
      </c>
      <c r="R4084" s="445">
        <f t="shared" si="133"/>
        <v>-15000</v>
      </c>
      <c r="S4084" s="115">
        <v>202304</v>
      </c>
      <c r="T4084" s="166" t="s">
        <v>5304</v>
      </c>
      <c r="U4084" s="213"/>
      <c r="V4084" s="418"/>
      <c r="W4084" s="447"/>
      <c r="X4084" s="73">
        <v>44927</v>
      </c>
      <c r="Y4084" s="73">
        <v>45107</v>
      </c>
    </row>
    <row r="4085" s="5" customFormat="1" customHeight="1" spans="1:25">
      <c r="A4085" s="204" t="s">
        <v>444</v>
      </c>
      <c r="B4085" s="204" t="s">
        <v>5007</v>
      </c>
      <c r="C4085" s="204" t="s">
        <v>216</v>
      </c>
      <c r="D4085" s="204" t="s">
        <v>3939</v>
      </c>
      <c r="E4085" s="426" t="s">
        <v>5287</v>
      </c>
      <c r="F4085" s="204" t="s">
        <v>5288</v>
      </c>
      <c r="G4085" s="204" t="s">
        <v>31</v>
      </c>
      <c r="H4085" s="204" t="s">
        <v>5289</v>
      </c>
      <c r="I4085" s="46" t="str">
        <f>VLOOKUP(H4085,'合同高级查询数据-4月返'!A:A,1,FALSE)</f>
        <v>182315IDC00139</v>
      </c>
      <c r="J4085" s="204" t="s">
        <v>33</v>
      </c>
      <c r="K4085" s="204" t="s">
        <v>218</v>
      </c>
      <c r="L4085" s="204" t="s">
        <v>5302</v>
      </c>
      <c r="M4085" s="204" t="s">
        <v>5303</v>
      </c>
      <c r="N4085" s="402">
        <v>43862</v>
      </c>
      <c r="O4085" s="73" t="s">
        <v>37</v>
      </c>
      <c r="P4085" s="442">
        <v>0</v>
      </c>
      <c r="Q4085" s="445">
        <v>288</v>
      </c>
      <c r="R4085" s="108">
        <f t="shared" si="133"/>
        <v>0</v>
      </c>
      <c r="S4085" s="115">
        <v>202304</v>
      </c>
      <c r="T4085" s="166" t="s">
        <v>5305</v>
      </c>
      <c r="U4085" s="213"/>
      <c r="V4085" s="418"/>
      <c r="W4085" s="447"/>
      <c r="X4085" s="73">
        <v>44927</v>
      </c>
      <c r="Y4085" s="73">
        <v>45107</v>
      </c>
    </row>
    <row r="4086" s="5" customFormat="1" customHeight="1" spans="1:25">
      <c r="A4086" s="204" t="s">
        <v>444</v>
      </c>
      <c r="B4086" s="204" t="s">
        <v>5007</v>
      </c>
      <c r="C4086" s="204" t="s">
        <v>216</v>
      </c>
      <c r="D4086" s="204" t="s">
        <v>3939</v>
      </c>
      <c r="E4086" s="426" t="s">
        <v>5287</v>
      </c>
      <c r="F4086" s="204" t="s">
        <v>5288</v>
      </c>
      <c r="G4086" s="204" t="s">
        <v>31</v>
      </c>
      <c r="H4086" s="204" t="s">
        <v>5289</v>
      </c>
      <c r="I4086" s="46" t="str">
        <f>VLOOKUP(H4086,'合同高级查询数据-4月返'!A:A,1,FALSE)</f>
        <v>182315IDC00139</v>
      </c>
      <c r="J4086" s="204" t="s">
        <v>33</v>
      </c>
      <c r="K4086" s="204" t="s">
        <v>218</v>
      </c>
      <c r="L4086" s="204" t="s">
        <v>5302</v>
      </c>
      <c r="M4086" s="204" t="s">
        <v>5303</v>
      </c>
      <c r="N4086" s="402">
        <v>44681</v>
      </c>
      <c r="O4086" s="73" t="s">
        <v>37</v>
      </c>
      <c r="P4086" s="442">
        <v>0</v>
      </c>
      <c r="Q4086" s="445">
        <v>-288</v>
      </c>
      <c r="R4086" s="108">
        <f t="shared" si="133"/>
        <v>0</v>
      </c>
      <c r="S4086" s="115">
        <v>202304</v>
      </c>
      <c r="T4086" s="166" t="s">
        <v>5305</v>
      </c>
      <c r="U4086" s="213"/>
      <c r="V4086" s="418"/>
      <c r="W4086" s="447"/>
      <c r="X4086" s="73">
        <v>44927</v>
      </c>
      <c r="Y4086" s="73">
        <v>45107</v>
      </c>
    </row>
    <row r="4087" s="5" customFormat="1" customHeight="1" spans="1:25">
      <c r="A4087" s="204" t="s">
        <v>444</v>
      </c>
      <c r="B4087" s="204" t="s">
        <v>5007</v>
      </c>
      <c r="C4087" s="204" t="s">
        <v>216</v>
      </c>
      <c r="D4087" s="204" t="s">
        <v>3939</v>
      </c>
      <c r="E4087" s="426" t="s">
        <v>5287</v>
      </c>
      <c r="F4087" s="204" t="s">
        <v>5288</v>
      </c>
      <c r="G4087" s="204" t="s">
        <v>88</v>
      </c>
      <c r="H4087" s="204" t="s">
        <v>5289</v>
      </c>
      <c r="I4087" s="46" t="str">
        <f>VLOOKUP(H4087,'合同高级查询数据-4月返'!A:A,1,FALSE)</f>
        <v>182315IDC00139</v>
      </c>
      <c r="J4087" s="178" t="s">
        <v>162</v>
      </c>
      <c r="K4087" s="204" t="s">
        <v>218</v>
      </c>
      <c r="L4087" s="204" t="s">
        <v>5306</v>
      </c>
      <c r="M4087" s="204" t="s">
        <v>5303</v>
      </c>
      <c r="N4087" s="402">
        <v>44011</v>
      </c>
      <c r="O4087" s="204" t="s">
        <v>4228</v>
      </c>
      <c r="P4087" s="442">
        <v>5000</v>
      </c>
      <c r="Q4087" s="445">
        <v>7</v>
      </c>
      <c r="R4087" s="445">
        <f t="shared" si="133"/>
        <v>35000</v>
      </c>
      <c r="S4087" s="115">
        <v>202304</v>
      </c>
      <c r="T4087" s="166" t="s">
        <v>5307</v>
      </c>
      <c r="U4087" s="213"/>
      <c r="V4087" s="418"/>
      <c r="W4087" s="447"/>
      <c r="X4087" s="73">
        <v>44927</v>
      </c>
      <c r="Y4087" s="73">
        <v>45107</v>
      </c>
    </row>
    <row r="4088" s="5" customFormat="1" customHeight="1" spans="1:25">
      <c r="A4088" s="204" t="s">
        <v>444</v>
      </c>
      <c r="B4088" s="204" t="s">
        <v>5007</v>
      </c>
      <c r="C4088" s="204" t="s">
        <v>216</v>
      </c>
      <c r="D4088" s="204" t="s">
        <v>3939</v>
      </c>
      <c r="E4088" s="426" t="s">
        <v>5287</v>
      </c>
      <c r="F4088" s="204" t="s">
        <v>5288</v>
      </c>
      <c r="G4088" s="204" t="s">
        <v>88</v>
      </c>
      <c r="H4088" s="204" t="s">
        <v>5289</v>
      </c>
      <c r="I4088" s="46" t="str">
        <f>VLOOKUP(H4088,'合同高级查询数据-4月返'!A:A,1,FALSE)</f>
        <v>182315IDC00139</v>
      </c>
      <c r="J4088" s="178" t="s">
        <v>162</v>
      </c>
      <c r="K4088" s="204" t="s">
        <v>218</v>
      </c>
      <c r="L4088" s="204" t="s">
        <v>5306</v>
      </c>
      <c r="M4088" s="204" t="s">
        <v>5303</v>
      </c>
      <c r="N4088" s="402">
        <v>44712</v>
      </c>
      <c r="O4088" s="204" t="s">
        <v>4228</v>
      </c>
      <c r="P4088" s="442">
        <v>5000</v>
      </c>
      <c r="Q4088" s="445">
        <v>-7</v>
      </c>
      <c r="R4088" s="445">
        <f t="shared" si="133"/>
        <v>-35000</v>
      </c>
      <c r="S4088" s="115">
        <v>202304</v>
      </c>
      <c r="T4088" s="166" t="s">
        <v>5307</v>
      </c>
      <c r="U4088" s="213"/>
      <c r="V4088" s="418"/>
      <c r="W4088" s="447"/>
      <c r="X4088" s="73">
        <v>44927</v>
      </c>
      <c r="Y4088" s="73">
        <v>45107</v>
      </c>
    </row>
    <row r="4089" s="5" customFormat="1" customHeight="1" spans="1:25">
      <c r="A4089" s="204" t="s">
        <v>444</v>
      </c>
      <c r="B4089" s="204" t="s">
        <v>5007</v>
      </c>
      <c r="C4089" s="204" t="s">
        <v>216</v>
      </c>
      <c r="D4089" s="204" t="s">
        <v>3939</v>
      </c>
      <c r="E4089" s="426" t="s">
        <v>5287</v>
      </c>
      <c r="F4089" s="204" t="s">
        <v>5288</v>
      </c>
      <c r="G4089" s="204" t="s">
        <v>31</v>
      </c>
      <c r="H4089" s="204" t="s">
        <v>5289</v>
      </c>
      <c r="I4089" s="46" t="str">
        <f>VLOOKUP(H4089,'合同高级查询数据-4月返'!A:A,1,FALSE)</f>
        <v>182315IDC00139</v>
      </c>
      <c r="J4089" s="204" t="s">
        <v>33</v>
      </c>
      <c r="K4089" s="204" t="s">
        <v>218</v>
      </c>
      <c r="L4089" s="204" t="s">
        <v>5306</v>
      </c>
      <c r="M4089" s="204" t="s">
        <v>5303</v>
      </c>
      <c r="N4089" s="402">
        <v>44011</v>
      </c>
      <c r="O4089" s="73" t="s">
        <v>37</v>
      </c>
      <c r="P4089" s="442">
        <v>0</v>
      </c>
      <c r="Q4089" s="445">
        <v>288</v>
      </c>
      <c r="R4089" s="108">
        <f t="shared" si="133"/>
        <v>0</v>
      </c>
      <c r="S4089" s="115">
        <v>202304</v>
      </c>
      <c r="T4089" s="166" t="s">
        <v>5308</v>
      </c>
      <c r="U4089" s="213"/>
      <c r="V4089" s="418"/>
      <c r="W4089" s="447"/>
      <c r="X4089" s="73">
        <v>44927</v>
      </c>
      <c r="Y4089" s="73">
        <v>45107</v>
      </c>
    </row>
    <row r="4090" s="5" customFormat="1" customHeight="1" spans="1:25">
      <c r="A4090" s="204" t="s">
        <v>444</v>
      </c>
      <c r="B4090" s="204" t="s">
        <v>5007</v>
      </c>
      <c r="C4090" s="204" t="s">
        <v>216</v>
      </c>
      <c r="D4090" s="204" t="s">
        <v>3939</v>
      </c>
      <c r="E4090" s="426" t="s">
        <v>5287</v>
      </c>
      <c r="F4090" s="204" t="s">
        <v>5288</v>
      </c>
      <c r="G4090" s="204" t="s">
        <v>31</v>
      </c>
      <c r="H4090" s="204" t="s">
        <v>5289</v>
      </c>
      <c r="I4090" s="46" t="str">
        <f>VLOOKUP(H4090,'合同高级查询数据-4月返'!A:A,1,FALSE)</f>
        <v>182315IDC00139</v>
      </c>
      <c r="J4090" s="204" t="s">
        <v>33</v>
      </c>
      <c r="K4090" s="204" t="s">
        <v>218</v>
      </c>
      <c r="L4090" s="204" t="s">
        <v>5306</v>
      </c>
      <c r="M4090" s="204" t="s">
        <v>5303</v>
      </c>
      <c r="N4090" s="402">
        <v>44712</v>
      </c>
      <c r="O4090" s="73" t="s">
        <v>37</v>
      </c>
      <c r="P4090" s="442">
        <v>0</v>
      </c>
      <c r="Q4090" s="445">
        <v>-288</v>
      </c>
      <c r="R4090" s="108">
        <f t="shared" si="133"/>
        <v>0</v>
      </c>
      <c r="S4090" s="115">
        <v>202304</v>
      </c>
      <c r="T4090" s="166" t="s">
        <v>5308</v>
      </c>
      <c r="U4090" s="213"/>
      <c r="V4090" s="418"/>
      <c r="W4090" s="447"/>
      <c r="X4090" s="73">
        <v>44927</v>
      </c>
      <c r="Y4090" s="73">
        <v>45107</v>
      </c>
    </row>
    <row r="4091" s="5" customFormat="1" customHeight="1" spans="1:25">
      <c r="A4091" s="204" t="s">
        <v>444</v>
      </c>
      <c r="B4091" s="204" t="s">
        <v>5007</v>
      </c>
      <c r="C4091" s="204" t="s">
        <v>216</v>
      </c>
      <c r="D4091" s="204" t="s">
        <v>3939</v>
      </c>
      <c r="E4091" s="426" t="s">
        <v>5287</v>
      </c>
      <c r="F4091" s="204" t="s">
        <v>5288</v>
      </c>
      <c r="G4091" s="204" t="s">
        <v>88</v>
      </c>
      <c r="H4091" s="204" t="s">
        <v>5289</v>
      </c>
      <c r="I4091" s="46" t="str">
        <f>VLOOKUP(H4091,'合同高级查询数据-4月返'!A:A,1,FALSE)</f>
        <v>182315IDC00139</v>
      </c>
      <c r="J4091" s="178" t="s">
        <v>162</v>
      </c>
      <c r="K4091" s="204" t="s">
        <v>5150</v>
      </c>
      <c r="L4091" s="204" t="s">
        <v>5299</v>
      </c>
      <c r="M4091" s="49" t="s">
        <v>5291</v>
      </c>
      <c r="N4091" s="402">
        <v>44217</v>
      </c>
      <c r="O4091" s="204" t="s">
        <v>4228</v>
      </c>
      <c r="P4091" s="442">
        <v>5000</v>
      </c>
      <c r="Q4091" s="445">
        <v>2</v>
      </c>
      <c r="R4091" s="108">
        <f t="shared" si="133"/>
        <v>10000</v>
      </c>
      <c r="S4091" s="115">
        <v>202304</v>
      </c>
      <c r="T4091" s="166" t="s">
        <v>5309</v>
      </c>
      <c r="U4091" s="213"/>
      <c r="V4091" s="418"/>
      <c r="W4091" s="447"/>
      <c r="X4091" s="73">
        <v>44927</v>
      </c>
      <c r="Y4091" s="73">
        <v>45107</v>
      </c>
    </row>
    <row r="4092" s="5" customFormat="1" customHeight="1" spans="1:25">
      <c r="A4092" s="204" t="s">
        <v>444</v>
      </c>
      <c r="B4092" s="204" t="s">
        <v>5007</v>
      </c>
      <c r="C4092" s="204" t="s">
        <v>216</v>
      </c>
      <c r="D4092" s="204" t="s">
        <v>3939</v>
      </c>
      <c r="E4092" s="426" t="s">
        <v>5287</v>
      </c>
      <c r="F4092" s="204" t="s">
        <v>5288</v>
      </c>
      <c r="G4092" s="204" t="s">
        <v>31</v>
      </c>
      <c r="H4092" s="204" t="s">
        <v>5289</v>
      </c>
      <c r="I4092" s="46" t="str">
        <f>VLOOKUP(H4092,'合同高级查询数据-4月返'!A:A,1,FALSE)</f>
        <v>182315IDC00139</v>
      </c>
      <c r="J4092" s="204" t="s">
        <v>33</v>
      </c>
      <c r="K4092" s="204" t="s">
        <v>5150</v>
      </c>
      <c r="L4092" s="204" t="s">
        <v>5299</v>
      </c>
      <c r="M4092" s="49"/>
      <c r="N4092" s="402">
        <v>44217</v>
      </c>
      <c r="O4092" s="73" t="s">
        <v>37</v>
      </c>
      <c r="P4092" s="442">
        <v>0</v>
      </c>
      <c r="Q4092" s="445">
        <v>128</v>
      </c>
      <c r="R4092" s="108">
        <f t="shared" si="133"/>
        <v>0</v>
      </c>
      <c r="S4092" s="115">
        <v>202304</v>
      </c>
      <c r="T4092" s="166" t="s">
        <v>5310</v>
      </c>
      <c r="U4092" s="213"/>
      <c r="V4092" s="418"/>
      <c r="W4092" s="447"/>
      <c r="X4092" s="73">
        <v>44927</v>
      </c>
      <c r="Y4092" s="73">
        <v>45107</v>
      </c>
    </row>
    <row r="4093" s="5" customFormat="1" customHeight="1" spans="1:25">
      <c r="A4093" s="204" t="s">
        <v>444</v>
      </c>
      <c r="B4093" s="204" t="s">
        <v>5007</v>
      </c>
      <c r="C4093" s="203" t="s">
        <v>216</v>
      </c>
      <c r="D4093" s="203" t="s">
        <v>3939</v>
      </c>
      <c r="E4093" s="426" t="s">
        <v>5287</v>
      </c>
      <c r="F4093" s="204" t="s">
        <v>5288</v>
      </c>
      <c r="G4093" s="107" t="s">
        <v>88</v>
      </c>
      <c r="H4093" s="204" t="s">
        <v>5289</v>
      </c>
      <c r="I4093" s="46" t="str">
        <f>VLOOKUP(H4093,'合同高级查询数据-4月返'!A:A,1,FALSE)</f>
        <v>182315IDC00139</v>
      </c>
      <c r="J4093" s="178" t="s">
        <v>162</v>
      </c>
      <c r="K4093" s="204" t="s">
        <v>5150</v>
      </c>
      <c r="L4093" s="107" t="s">
        <v>5290</v>
      </c>
      <c r="M4093" s="49" t="s">
        <v>5291</v>
      </c>
      <c r="N4093" s="73">
        <v>44501</v>
      </c>
      <c r="O4093" s="107" t="s">
        <v>524</v>
      </c>
      <c r="P4093" s="442">
        <v>5000</v>
      </c>
      <c r="Q4093" s="445">
        <v>1</v>
      </c>
      <c r="R4093" s="386">
        <f t="shared" si="133"/>
        <v>5000</v>
      </c>
      <c r="S4093" s="115">
        <v>202304</v>
      </c>
      <c r="T4093" s="166" t="s">
        <v>5311</v>
      </c>
      <c r="U4093" s="106"/>
      <c r="V4093" s="418"/>
      <c r="W4093" s="120"/>
      <c r="X4093" s="73">
        <v>44927</v>
      </c>
      <c r="Y4093" s="73">
        <v>45107</v>
      </c>
    </row>
    <row r="4094" s="5" customFormat="1" customHeight="1" spans="1:25">
      <c r="A4094" s="204" t="s">
        <v>444</v>
      </c>
      <c r="B4094" s="204" t="s">
        <v>5007</v>
      </c>
      <c r="C4094" s="203" t="s">
        <v>216</v>
      </c>
      <c r="D4094" s="203" t="s">
        <v>3939</v>
      </c>
      <c r="E4094" s="426" t="s">
        <v>5287</v>
      </c>
      <c r="F4094" s="204" t="s">
        <v>5288</v>
      </c>
      <c r="G4094" s="107" t="s">
        <v>88</v>
      </c>
      <c r="H4094" s="204" t="s">
        <v>5289</v>
      </c>
      <c r="I4094" s="46" t="str">
        <f>VLOOKUP(H4094,'合同高级查询数据-4月返'!A:A,1,FALSE)</f>
        <v>182315IDC00139</v>
      </c>
      <c r="J4094" s="178" t="s">
        <v>162</v>
      </c>
      <c r="K4094" s="204" t="s">
        <v>5150</v>
      </c>
      <c r="L4094" s="107" t="s">
        <v>5290</v>
      </c>
      <c r="M4094" s="49" t="s">
        <v>5291</v>
      </c>
      <c r="N4094" s="73">
        <v>44593</v>
      </c>
      <c r="O4094" s="107" t="s">
        <v>524</v>
      </c>
      <c r="P4094" s="442">
        <v>5000</v>
      </c>
      <c r="Q4094" s="445">
        <v>1</v>
      </c>
      <c r="R4094" s="386">
        <f t="shared" si="133"/>
        <v>5000</v>
      </c>
      <c r="S4094" s="115">
        <v>202304</v>
      </c>
      <c r="T4094" s="166" t="s">
        <v>5312</v>
      </c>
      <c r="U4094" s="106"/>
      <c r="V4094" s="418"/>
      <c r="W4094" s="120"/>
      <c r="X4094" s="73">
        <v>44927</v>
      </c>
      <c r="Y4094" s="73">
        <v>45107</v>
      </c>
    </row>
    <row r="4095" s="5" customFormat="1" customHeight="1" spans="1:25">
      <c r="A4095" s="204" t="s">
        <v>444</v>
      </c>
      <c r="B4095" s="204" t="s">
        <v>5007</v>
      </c>
      <c r="C4095" s="203" t="s">
        <v>216</v>
      </c>
      <c r="D4095" s="203" t="s">
        <v>3939</v>
      </c>
      <c r="E4095" s="426" t="s">
        <v>5287</v>
      </c>
      <c r="F4095" s="204" t="s">
        <v>5288</v>
      </c>
      <c r="G4095" s="107" t="s">
        <v>88</v>
      </c>
      <c r="H4095" s="204" t="s">
        <v>5289</v>
      </c>
      <c r="I4095" s="46" t="str">
        <f>VLOOKUP(H4095,'合同高级查询数据-4月返'!A:A,1,FALSE)</f>
        <v>182315IDC00139</v>
      </c>
      <c r="J4095" s="178" t="s">
        <v>162</v>
      </c>
      <c r="K4095" s="204" t="s">
        <v>5150</v>
      </c>
      <c r="L4095" s="107" t="s">
        <v>5290</v>
      </c>
      <c r="M4095" s="49" t="s">
        <v>5291</v>
      </c>
      <c r="N4095" s="73">
        <v>44742</v>
      </c>
      <c r="O4095" s="107" t="s">
        <v>524</v>
      </c>
      <c r="P4095" s="442">
        <v>5000</v>
      </c>
      <c r="Q4095" s="445">
        <v>-7</v>
      </c>
      <c r="R4095" s="386">
        <f t="shared" si="133"/>
        <v>-35000</v>
      </c>
      <c r="S4095" s="115">
        <v>202304</v>
      </c>
      <c r="T4095" s="166" t="s">
        <v>5313</v>
      </c>
      <c r="U4095" s="106"/>
      <c r="V4095" s="418"/>
      <c r="W4095" s="120"/>
      <c r="X4095" s="73">
        <v>44927</v>
      </c>
      <c r="Y4095" s="73">
        <v>45107</v>
      </c>
    </row>
    <row r="4096" s="5" customFormat="1" customHeight="1" spans="1:25">
      <c r="A4096" s="204" t="s">
        <v>444</v>
      </c>
      <c r="B4096" s="204" t="s">
        <v>5007</v>
      </c>
      <c r="C4096" s="203" t="s">
        <v>216</v>
      </c>
      <c r="D4096" s="203" t="s">
        <v>3939</v>
      </c>
      <c r="E4096" s="426" t="s">
        <v>5287</v>
      </c>
      <c r="F4096" s="204" t="s">
        <v>5288</v>
      </c>
      <c r="G4096" s="107" t="s">
        <v>88</v>
      </c>
      <c r="H4096" s="204" t="s">
        <v>5289</v>
      </c>
      <c r="I4096" s="46" t="str">
        <f>VLOOKUP(H4096,'合同高级查询数据-4月返'!A:A,1,FALSE)</f>
        <v>182315IDC00139</v>
      </c>
      <c r="J4096" s="178" t="s">
        <v>162</v>
      </c>
      <c r="K4096" s="204" t="s">
        <v>5150</v>
      </c>
      <c r="L4096" s="107" t="s">
        <v>5290</v>
      </c>
      <c r="M4096" s="49" t="s">
        <v>5291</v>
      </c>
      <c r="N4096" s="73">
        <v>44819</v>
      </c>
      <c r="O4096" s="107" t="s">
        <v>524</v>
      </c>
      <c r="P4096" s="442">
        <v>5000</v>
      </c>
      <c r="Q4096" s="445">
        <v>1</v>
      </c>
      <c r="R4096" s="386">
        <f t="shared" si="133"/>
        <v>5000</v>
      </c>
      <c r="S4096" s="115">
        <v>202304</v>
      </c>
      <c r="T4096" s="166" t="s">
        <v>5314</v>
      </c>
      <c r="U4096" s="106"/>
      <c r="V4096" s="418"/>
      <c r="W4096" s="120"/>
      <c r="X4096" s="73">
        <v>44927</v>
      </c>
      <c r="Y4096" s="73">
        <v>45107</v>
      </c>
    </row>
    <row r="4097" s="5" customFormat="1" customHeight="1" spans="1:25">
      <c r="A4097" s="204" t="s">
        <v>444</v>
      </c>
      <c r="B4097" s="204" t="s">
        <v>5007</v>
      </c>
      <c r="C4097" s="203" t="s">
        <v>216</v>
      </c>
      <c r="D4097" s="203" t="s">
        <v>3939</v>
      </c>
      <c r="E4097" s="426" t="s">
        <v>5287</v>
      </c>
      <c r="F4097" s="204" t="s">
        <v>5288</v>
      </c>
      <c r="G4097" s="107" t="s">
        <v>88</v>
      </c>
      <c r="H4097" s="204" t="s">
        <v>5289</v>
      </c>
      <c r="I4097" s="46" t="str">
        <f>VLOOKUP(H4097,'合同高级查询数据-4月返'!A:A,1,FALSE)</f>
        <v>182315IDC00139</v>
      </c>
      <c r="J4097" s="178" t="s">
        <v>162</v>
      </c>
      <c r="K4097" s="204" t="s">
        <v>5150</v>
      </c>
      <c r="L4097" s="107" t="s">
        <v>5290</v>
      </c>
      <c r="M4097" s="49" t="s">
        <v>5291</v>
      </c>
      <c r="N4097" s="73">
        <v>44923</v>
      </c>
      <c r="O4097" s="107" t="s">
        <v>524</v>
      </c>
      <c r="P4097" s="52">
        <v>5000</v>
      </c>
      <c r="Q4097" s="445">
        <v>1</v>
      </c>
      <c r="R4097" s="386">
        <f t="shared" si="133"/>
        <v>5000</v>
      </c>
      <c r="S4097" s="115">
        <v>202304</v>
      </c>
      <c r="T4097" s="166" t="s">
        <v>5315</v>
      </c>
      <c r="U4097" s="106"/>
      <c r="V4097" s="418"/>
      <c r="W4097" s="120"/>
      <c r="X4097" s="73">
        <v>44927</v>
      </c>
      <c r="Y4097" s="73">
        <v>45107</v>
      </c>
    </row>
    <row r="4098" s="5" customFormat="1" customHeight="1" spans="1:25">
      <c r="A4098" s="22" t="s">
        <v>444</v>
      </c>
      <c r="B4098" s="204" t="s">
        <v>5007</v>
      </c>
      <c r="C4098" s="24" t="s">
        <v>216</v>
      </c>
      <c r="D4098" s="24" t="s">
        <v>3939</v>
      </c>
      <c r="E4098" s="46" t="s">
        <v>5287</v>
      </c>
      <c r="F4098" s="22" t="s">
        <v>5288</v>
      </c>
      <c r="G4098" s="107" t="s">
        <v>88</v>
      </c>
      <c r="H4098" s="204" t="s">
        <v>5289</v>
      </c>
      <c r="I4098" s="46" t="str">
        <f>VLOOKUP(H4098,'合同高级查询数据-4月返'!A:A,1,FALSE)</f>
        <v>182315IDC00139</v>
      </c>
      <c r="J4098" s="178" t="s">
        <v>162</v>
      </c>
      <c r="K4098" s="22" t="s">
        <v>218</v>
      </c>
      <c r="L4098" s="107" t="s">
        <v>5316</v>
      </c>
      <c r="M4098" s="49" t="s">
        <v>5317</v>
      </c>
      <c r="N4098" s="73">
        <v>44873</v>
      </c>
      <c r="O4098" s="107" t="s">
        <v>1306</v>
      </c>
      <c r="P4098" s="396">
        <v>5000</v>
      </c>
      <c r="Q4098" s="212">
        <v>2</v>
      </c>
      <c r="R4098" s="386">
        <f t="shared" si="133"/>
        <v>10000</v>
      </c>
      <c r="S4098" s="279">
        <v>202304</v>
      </c>
      <c r="T4098" s="284" t="s">
        <v>5318</v>
      </c>
      <c r="U4098" s="106"/>
      <c r="V4098" s="449"/>
      <c r="W4098" s="418"/>
      <c r="X4098" s="73">
        <v>44927</v>
      </c>
      <c r="Y4098" s="73">
        <v>45107</v>
      </c>
    </row>
    <row r="4099" s="5" customFormat="1" customHeight="1" spans="1:25">
      <c r="A4099" s="22" t="s">
        <v>444</v>
      </c>
      <c r="B4099" s="204" t="s">
        <v>5007</v>
      </c>
      <c r="C4099" s="24" t="s">
        <v>216</v>
      </c>
      <c r="D4099" s="24" t="s">
        <v>3939</v>
      </c>
      <c r="E4099" s="46" t="s">
        <v>5287</v>
      </c>
      <c r="F4099" s="22" t="s">
        <v>5288</v>
      </c>
      <c r="G4099" s="107" t="s">
        <v>31</v>
      </c>
      <c r="H4099" s="204" t="s">
        <v>5289</v>
      </c>
      <c r="I4099" s="46" t="str">
        <f>VLOOKUP(H4099,'合同高级查询数据-4月返'!A:A,1,FALSE)</f>
        <v>182315IDC00139</v>
      </c>
      <c r="J4099" s="178" t="s">
        <v>33</v>
      </c>
      <c r="K4099" s="22" t="s">
        <v>218</v>
      </c>
      <c r="L4099" s="107" t="s">
        <v>5316</v>
      </c>
      <c r="M4099" s="49" t="s">
        <v>5317</v>
      </c>
      <c r="N4099" s="73">
        <v>44873</v>
      </c>
      <c r="O4099" s="107" t="s">
        <v>37</v>
      </c>
      <c r="P4099" s="396">
        <v>0</v>
      </c>
      <c r="Q4099" s="212">
        <v>512</v>
      </c>
      <c r="R4099" s="386">
        <f>ROUND(P4099*Q4099*23/30,2)</f>
        <v>0</v>
      </c>
      <c r="S4099" s="279">
        <v>202304</v>
      </c>
      <c r="T4099" s="166" t="s">
        <v>5319</v>
      </c>
      <c r="U4099" s="106"/>
      <c r="V4099" s="449"/>
      <c r="W4099" s="418"/>
      <c r="X4099" s="73">
        <v>44927</v>
      </c>
      <c r="Y4099" s="73">
        <v>45107</v>
      </c>
    </row>
    <row r="4100" s="5" customFormat="1" customHeight="1" spans="1:25">
      <c r="A4100" s="22" t="s">
        <v>444</v>
      </c>
      <c r="B4100" s="204" t="s">
        <v>5007</v>
      </c>
      <c r="C4100" s="24" t="s">
        <v>216</v>
      </c>
      <c r="D4100" s="24" t="s">
        <v>3939</v>
      </c>
      <c r="E4100" s="46" t="s">
        <v>5287</v>
      </c>
      <c r="F4100" s="22" t="s">
        <v>5288</v>
      </c>
      <c r="G4100" s="107" t="s">
        <v>31</v>
      </c>
      <c r="H4100" s="204" t="s">
        <v>5289</v>
      </c>
      <c r="I4100" s="46" t="str">
        <f>VLOOKUP(H4100,'合同高级查询数据-4月返'!A:A,1,FALSE)</f>
        <v>182315IDC00139</v>
      </c>
      <c r="J4100" s="178" t="s">
        <v>33</v>
      </c>
      <c r="K4100" s="22" t="s">
        <v>218</v>
      </c>
      <c r="L4100" s="107" t="s">
        <v>5316</v>
      </c>
      <c r="M4100" s="49" t="s">
        <v>5317</v>
      </c>
      <c r="N4100" s="73">
        <v>44873</v>
      </c>
      <c r="O4100" s="107" t="s">
        <v>179</v>
      </c>
      <c r="P4100" s="396">
        <v>0</v>
      </c>
      <c r="Q4100" s="212">
        <v>2</v>
      </c>
      <c r="R4100" s="386">
        <f>ROUND(P4100*Q4100,2)</f>
        <v>0</v>
      </c>
      <c r="S4100" s="279">
        <v>202304</v>
      </c>
      <c r="T4100" s="166" t="s">
        <v>5320</v>
      </c>
      <c r="U4100" s="106"/>
      <c r="V4100" s="449"/>
      <c r="W4100" s="418"/>
      <c r="X4100" s="73">
        <v>44927</v>
      </c>
      <c r="Y4100" s="73">
        <v>45107</v>
      </c>
    </row>
    <row r="4101" s="5" customFormat="1" customHeight="1" spans="1:25">
      <c r="A4101" s="22" t="s">
        <v>444</v>
      </c>
      <c r="B4101" s="204" t="s">
        <v>5007</v>
      </c>
      <c r="C4101" s="24" t="s">
        <v>216</v>
      </c>
      <c r="D4101" s="24" t="s">
        <v>3939</v>
      </c>
      <c r="E4101" s="46" t="s">
        <v>5287</v>
      </c>
      <c r="F4101" s="22" t="s">
        <v>5288</v>
      </c>
      <c r="G4101" s="107" t="s">
        <v>88</v>
      </c>
      <c r="H4101" s="204" t="s">
        <v>5289</v>
      </c>
      <c r="I4101" s="46" t="str">
        <f>VLOOKUP(H4101,'合同高级查询数据-4月返'!A:A,1,FALSE)</f>
        <v>182315IDC00139</v>
      </c>
      <c r="J4101" s="178" t="s">
        <v>162</v>
      </c>
      <c r="K4101" s="22" t="s">
        <v>218</v>
      </c>
      <c r="L4101" s="107" t="s">
        <v>5321</v>
      </c>
      <c r="M4101" s="49" t="s">
        <v>5317</v>
      </c>
      <c r="N4101" s="73">
        <v>44866</v>
      </c>
      <c r="O4101" s="107" t="s">
        <v>1306</v>
      </c>
      <c r="P4101" s="396">
        <v>5000</v>
      </c>
      <c r="Q4101" s="212">
        <v>2</v>
      </c>
      <c r="R4101" s="386">
        <f>ROUND(P4101*Q4101,2)</f>
        <v>10000</v>
      </c>
      <c r="S4101" s="279">
        <v>202304</v>
      </c>
      <c r="T4101" s="166" t="s">
        <v>5322</v>
      </c>
      <c r="U4101" s="106"/>
      <c r="V4101" s="449"/>
      <c r="W4101" s="418"/>
      <c r="X4101" s="73">
        <v>44927</v>
      </c>
      <c r="Y4101" s="73">
        <v>45107</v>
      </c>
    </row>
    <row r="4102" s="5" customFormat="1" customHeight="1" spans="1:25">
      <c r="A4102" s="22" t="s">
        <v>444</v>
      </c>
      <c r="B4102" s="204" t="s">
        <v>5007</v>
      </c>
      <c r="C4102" s="24" t="s">
        <v>216</v>
      </c>
      <c r="D4102" s="24" t="s">
        <v>3939</v>
      </c>
      <c r="E4102" s="46" t="s">
        <v>5287</v>
      </c>
      <c r="F4102" s="22" t="s">
        <v>5288</v>
      </c>
      <c r="G4102" s="107" t="s">
        <v>31</v>
      </c>
      <c r="H4102" s="204" t="s">
        <v>5289</v>
      </c>
      <c r="I4102" s="46" t="str">
        <f>VLOOKUP(H4102,'合同高级查询数据-4月返'!A:A,1,FALSE)</f>
        <v>182315IDC00139</v>
      </c>
      <c r="J4102" s="178" t="s">
        <v>33</v>
      </c>
      <c r="K4102" s="22" t="s">
        <v>218</v>
      </c>
      <c r="L4102" s="107" t="s">
        <v>5321</v>
      </c>
      <c r="M4102" s="49" t="s">
        <v>5317</v>
      </c>
      <c r="N4102" s="73">
        <v>44866</v>
      </c>
      <c r="O4102" s="107" t="s">
        <v>37</v>
      </c>
      <c r="P4102" s="396">
        <v>0</v>
      </c>
      <c r="Q4102" s="212">
        <v>512</v>
      </c>
      <c r="R4102" s="386">
        <f>ROUND(P4102*Q4102,2)</f>
        <v>0</v>
      </c>
      <c r="S4102" s="279">
        <v>202304</v>
      </c>
      <c r="T4102" s="166" t="s">
        <v>5323</v>
      </c>
      <c r="U4102" s="106"/>
      <c r="V4102" s="449"/>
      <c r="W4102" s="418"/>
      <c r="X4102" s="73">
        <v>44927</v>
      </c>
      <c r="Y4102" s="73">
        <v>45107</v>
      </c>
    </row>
    <row r="4103" s="5" customFormat="1" customHeight="1" spans="1:25">
      <c r="A4103" s="22" t="s">
        <v>444</v>
      </c>
      <c r="B4103" s="204" t="s">
        <v>5007</v>
      </c>
      <c r="C4103" s="24" t="s">
        <v>216</v>
      </c>
      <c r="D4103" s="24" t="s">
        <v>3939</v>
      </c>
      <c r="E4103" s="46" t="s">
        <v>5287</v>
      </c>
      <c r="F4103" s="22" t="s">
        <v>5288</v>
      </c>
      <c r="G4103" s="107" t="s">
        <v>31</v>
      </c>
      <c r="H4103" s="204" t="s">
        <v>5289</v>
      </c>
      <c r="I4103" s="46" t="str">
        <f>VLOOKUP(H4103,'合同高级查询数据-4月返'!A:A,1,FALSE)</f>
        <v>182315IDC00139</v>
      </c>
      <c r="J4103" s="178" t="s">
        <v>33</v>
      </c>
      <c r="K4103" s="22" t="s">
        <v>218</v>
      </c>
      <c r="L4103" s="107" t="s">
        <v>5321</v>
      </c>
      <c r="M4103" s="49" t="s">
        <v>5317</v>
      </c>
      <c r="N4103" s="73">
        <v>44866</v>
      </c>
      <c r="O4103" s="107" t="s">
        <v>179</v>
      </c>
      <c r="P4103" s="396">
        <v>0</v>
      </c>
      <c r="Q4103" s="212">
        <v>2</v>
      </c>
      <c r="R4103" s="386">
        <f>ROUND(P4103*Q4103,2)</f>
        <v>0</v>
      </c>
      <c r="S4103" s="279">
        <v>202304</v>
      </c>
      <c r="T4103" s="166" t="s">
        <v>5324</v>
      </c>
      <c r="U4103" s="106"/>
      <c r="V4103" s="449"/>
      <c r="W4103" s="418"/>
      <c r="X4103" s="73">
        <v>44927</v>
      </c>
      <c r="Y4103" s="73">
        <v>45107</v>
      </c>
    </row>
    <row r="4104" s="5" customFormat="1" customHeight="1" spans="1:25">
      <c r="A4104" s="203" t="s">
        <v>444</v>
      </c>
      <c r="B4104" s="204" t="s">
        <v>4284</v>
      </c>
      <c r="C4104" s="204" t="s">
        <v>196</v>
      </c>
      <c r="D4104" s="204" t="s">
        <v>3939</v>
      </c>
      <c r="E4104" s="205" t="s">
        <v>5325</v>
      </c>
      <c r="F4104" s="203" t="s">
        <v>5326</v>
      </c>
      <c r="G4104" s="203" t="s">
        <v>88</v>
      </c>
      <c r="H4104" s="25" t="s">
        <v>5327</v>
      </c>
      <c r="I4104" s="46" t="str">
        <f>VLOOKUP(H4104,'合同高级查询数据-4月返'!A:A,1,FALSE)</f>
        <v>182315IDC00149</v>
      </c>
      <c r="J4104" s="47" t="s">
        <v>2423</v>
      </c>
      <c r="K4104" s="203" t="s">
        <v>198</v>
      </c>
      <c r="L4104" s="206" t="s">
        <v>5328</v>
      </c>
      <c r="M4104" s="49" t="s">
        <v>5329</v>
      </c>
      <c r="N4104" s="73">
        <v>43497</v>
      </c>
      <c r="O4104" s="73" t="s">
        <v>503</v>
      </c>
      <c r="P4104" s="396">
        <v>5500</v>
      </c>
      <c r="Q4104" s="212">
        <v>5</v>
      </c>
      <c r="R4104" s="386">
        <f t="shared" si="133"/>
        <v>27500</v>
      </c>
      <c r="S4104" s="115">
        <v>202304</v>
      </c>
      <c r="T4104" s="184" t="s">
        <v>5330</v>
      </c>
      <c r="U4104" s="213"/>
      <c r="V4104" s="418"/>
      <c r="W4104" s="214"/>
      <c r="X4104" s="73">
        <v>44927</v>
      </c>
      <c r="Y4104" s="73">
        <v>45107</v>
      </c>
    </row>
    <row r="4105" s="5" customFormat="1" customHeight="1" spans="1:25">
      <c r="A4105" s="203" t="s">
        <v>444</v>
      </c>
      <c r="B4105" s="204" t="s">
        <v>4284</v>
      </c>
      <c r="C4105" s="204" t="s">
        <v>196</v>
      </c>
      <c r="D4105" s="204" t="s">
        <v>3939</v>
      </c>
      <c r="E4105" s="205" t="s">
        <v>5325</v>
      </c>
      <c r="F4105" s="203" t="s">
        <v>5326</v>
      </c>
      <c r="G4105" s="203" t="s">
        <v>88</v>
      </c>
      <c r="H4105" s="25" t="s">
        <v>5327</v>
      </c>
      <c r="I4105" s="46" t="str">
        <f>VLOOKUP(H4105,'合同高级查询数据-4月返'!A:A,1,FALSE)</f>
        <v>182315IDC00149</v>
      </c>
      <c r="J4105" s="47" t="s">
        <v>2423</v>
      </c>
      <c r="K4105" s="203" t="s">
        <v>198</v>
      </c>
      <c r="L4105" s="206" t="s">
        <v>5328</v>
      </c>
      <c r="M4105" s="49" t="s">
        <v>5329</v>
      </c>
      <c r="N4105" s="73">
        <v>43921</v>
      </c>
      <c r="O4105" s="73" t="s">
        <v>503</v>
      </c>
      <c r="P4105" s="396">
        <v>5500</v>
      </c>
      <c r="Q4105" s="212">
        <v>-2</v>
      </c>
      <c r="R4105" s="386">
        <f t="shared" si="133"/>
        <v>-11000</v>
      </c>
      <c r="S4105" s="115">
        <v>202304</v>
      </c>
      <c r="T4105" s="184" t="s">
        <v>5331</v>
      </c>
      <c r="U4105" s="213"/>
      <c r="V4105" s="418"/>
      <c r="W4105" s="214"/>
      <c r="X4105" s="73">
        <v>44927</v>
      </c>
      <c r="Y4105" s="73">
        <v>45107</v>
      </c>
    </row>
    <row r="4106" s="5" customFormat="1" customHeight="1" spans="1:25">
      <c r="A4106" s="203" t="s">
        <v>444</v>
      </c>
      <c r="B4106" s="204" t="s">
        <v>4284</v>
      </c>
      <c r="C4106" s="204" t="s">
        <v>196</v>
      </c>
      <c r="D4106" s="204" t="s">
        <v>3939</v>
      </c>
      <c r="E4106" s="205" t="s">
        <v>5325</v>
      </c>
      <c r="F4106" s="203" t="s">
        <v>5326</v>
      </c>
      <c r="G4106" s="203" t="s">
        <v>31</v>
      </c>
      <c r="H4106" s="25" t="s">
        <v>5327</v>
      </c>
      <c r="I4106" s="46" t="str">
        <f>VLOOKUP(H4106,'合同高级查询数据-4月返'!A:A,1,FALSE)</f>
        <v>182315IDC00149</v>
      </c>
      <c r="J4106" s="47" t="s">
        <v>33</v>
      </c>
      <c r="K4106" s="203" t="s">
        <v>198</v>
      </c>
      <c r="L4106" s="206" t="s">
        <v>5328</v>
      </c>
      <c r="M4106" s="49"/>
      <c r="N4106" s="73">
        <v>43497</v>
      </c>
      <c r="O4106" s="73" t="s">
        <v>37</v>
      </c>
      <c r="P4106" s="396">
        <v>0</v>
      </c>
      <c r="Q4106" s="212">
        <v>288</v>
      </c>
      <c r="R4106" s="386">
        <f t="shared" si="133"/>
        <v>0</v>
      </c>
      <c r="S4106" s="115">
        <v>202304</v>
      </c>
      <c r="T4106" s="184" t="s">
        <v>5332</v>
      </c>
      <c r="U4106" s="213"/>
      <c r="V4106" s="418"/>
      <c r="W4106" s="214"/>
      <c r="X4106" s="73">
        <v>44927</v>
      </c>
      <c r="Y4106" s="73">
        <v>45107</v>
      </c>
    </row>
    <row r="4107" s="5" customFormat="1" customHeight="1" spans="1:25">
      <c r="A4107" s="203" t="s">
        <v>444</v>
      </c>
      <c r="B4107" s="204" t="s">
        <v>4284</v>
      </c>
      <c r="C4107" s="204" t="s">
        <v>196</v>
      </c>
      <c r="D4107" s="204" t="s">
        <v>3939</v>
      </c>
      <c r="E4107" s="205" t="s">
        <v>5325</v>
      </c>
      <c r="F4107" s="203" t="s">
        <v>5326</v>
      </c>
      <c r="G4107" s="203" t="s">
        <v>88</v>
      </c>
      <c r="H4107" s="25" t="s">
        <v>5327</v>
      </c>
      <c r="I4107" s="46" t="str">
        <f>VLOOKUP(H4107,'合同高级查询数据-4月返'!A:A,1,FALSE)</f>
        <v>182315IDC00149</v>
      </c>
      <c r="J4107" s="47" t="s">
        <v>2423</v>
      </c>
      <c r="K4107" s="203" t="s">
        <v>198</v>
      </c>
      <c r="L4107" s="206" t="s">
        <v>5328</v>
      </c>
      <c r="M4107" s="49" t="s">
        <v>5329</v>
      </c>
      <c r="N4107" s="73">
        <v>44440</v>
      </c>
      <c r="O4107" s="73" t="s">
        <v>503</v>
      </c>
      <c r="P4107" s="396">
        <v>5500</v>
      </c>
      <c r="Q4107" s="212">
        <v>2</v>
      </c>
      <c r="R4107" s="386">
        <f t="shared" si="133"/>
        <v>11000</v>
      </c>
      <c r="S4107" s="115">
        <v>202304</v>
      </c>
      <c r="T4107" s="184" t="s">
        <v>5333</v>
      </c>
      <c r="U4107" s="213"/>
      <c r="V4107" s="418"/>
      <c r="W4107" s="214"/>
      <c r="X4107" s="73">
        <v>44927</v>
      </c>
      <c r="Y4107" s="73">
        <v>45107</v>
      </c>
    </row>
    <row r="4108" s="5" customFormat="1" customHeight="1" spans="1:25">
      <c r="A4108" s="203" t="s">
        <v>444</v>
      </c>
      <c r="B4108" s="204" t="s">
        <v>4284</v>
      </c>
      <c r="C4108" s="204" t="s">
        <v>196</v>
      </c>
      <c r="D4108" s="204" t="s">
        <v>3939</v>
      </c>
      <c r="E4108" s="205" t="s">
        <v>5325</v>
      </c>
      <c r="F4108" s="203" t="s">
        <v>5326</v>
      </c>
      <c r="G4108" s="203" t="s">
        <v>88</v>
      </c>
      <c r="H4108" s="25" t="s">
        <v>5327</v>
      </c>
      <c r="I4108" s="46" t="str">
        <f>VLOOKUP(H4108,'合同高级查询数据-4月返'!A:A,1,FALSE)</f>
        <v>182315IDC00149</v>
      </c>
      <c r="J4108" s="47" t="s">
        <v>2423</v>
      </c>
      <c r="K4108" s="203" t="s">
        <v>198</v>
      </c>
      <c r="L4108" s="206" t="s">
        <v>5328</v>
      </c>
      <c r="M4108" s="49" t="s">
        <v>5329</v>
      </c>
      <c r="N4108" s="73">
        <v>44681</v>
      </c>
      <c r="O4108" s="73" t="s">
        <v>503</v>
      </c>
      <c r="P4108" s="396">
        <v>5500</v>
      </c>
      <c r="Q4108" s="212">
        <v>-1</v>
      </c>
      <c r="R4108" s="386">
        <f t="shared" si="133"/>
        <v>-5500</v>
      </c>
      <c r="S4108" s="115">
        <v>202304</v>
      </c>
      <c r="T4108" s="184" t="s">
        <v>5334</v>
      </c>
      <c r="U4108" s="213"/>
      <c r="V4108" s="418"/>
      <c r="W4108" s="214"/>
      <c r="X4108" s="73">
        <v>44927</v>
      </c>
      <c r="Y4108" s="73">
        <v>45107</v>
      </c>
    </row>
    <row r="4109" s="5" customFormat="1" customHeight="1" spans="1:25">
      <c r="A4109" s="203" t="s">
        <v>444</v>
      </c>
      <c r="B4109" s="204" t="s">
        <v>4284</v>
      </c>
      <c r="C4109" s="204" t="s">
        <v>196</v>
      </c>
      <c r="D4109" s="204" t="s">
        <v>3939</v>
      </c>
      <c r="E4109" s="205" t="s">
        <v>5325</v>
      </c>
      <c r="F4109" s="203" t="s">
        <v>5326</v>
      </c>
      <c r="G4109" s="203" t="s">
        <v>88</v>
      </c>
      <c r="H4109" s="25" t="s">
        <v>5327</v>
      </c>
      <c r="I4109" s="46" t="str">
        <f>VLOOKUP(H4109,'合同高级查询数据-4月返'!A:A,1,FALSE)</f>
        <v>182315IDC00149</v>
      </c>
      <c r="J4109" s="47" t="s">
        <v>2423</v>
      </c>
      <c r="K4109" s="203" t="s">
        <v>198</v>
      </c>
      <c r="L4109" s="206" t="s">
        <v>5328</v>
      </c>
      <c r="M4109" s="49" t="s">
        <v>5329</v>
      </c>
      <c r="N4109" s="73">
        <v>44593</v>
      </c>
      <c r="O4109" s="73" t="s">
        <v>503</v>
      </c>
      <c r="P4109" s="396">
        <v>5500</v>
      </c>
      <c r="Q4109" s="212">
        <v>2</v>
      </c>
      <c r="R4109" s="386">
        <f t="shared" si="133"/>
        <v>11000</v>
      </c>
      <c r="S4109" s="115">
        <v>202304</v>
      </c>
      <c r="T4109" s="184" t="s">
        <v>5335</v>
      </c>
      <c r="U4109" s="213"/>
      <c r="V4109" s="418"/>
      <c r="W4109" s="214"/>
      <c r="X4109" s="73">
        <v>44927</v>
      </c>
      <c r="Y4109" s="73">
        <v>45107</v>
      </c>
    </row>
    <row r="4110" s="5" customFormat="1" customHeight="1" spans="1:25">
      <c r="A4110" s="203" t="s">
        <v>444</v>
      </c>
      <c r="B4110" s="204" t="s">
        <v>4284</v>
      </c>
      <c r="C4110" s="204" t="s">
        <v>196</v>
      </c>
      <c r="D4110" s="204" t="s">
        <v>3939</v>
      </c>
      <c r="E4110" s="205" t="s">
        <v>5325</v>
      </c>
      <c r="F4110" s="203" t="s">
        <v>5326</v>
      </c>
      <c r="G4110" s="203" t="s">
        <v>88</v>
      </c>
      <c r="H4110" s="25" t="s">
        <v>5327</v>
      </c>
      <c r="I4110" s="46" t="str">
        <f>VLOOKUP(H4110,'合同高级查询数据-4月返'!A:A,1,FALSE)</f>
        <v>182315IDC00149</v>
      </c>
      <c r="J4110" s="47" t="s">
        <v>2423</v>
      </c>
      <c r="K4110" s="203" t="s">
        <v>198</v>
      </c>
      <c r="L4110" s="206" t="s">
        <v>5328</v>
      </c>
      <c r="M4110" s="49" t="s">
        <v>5329</v>
      </c>
      <c r="N4110" s="73">
        <v>44895</v>
      </c>
      <c r="O4110" s="73" t="s">
        <v>503</v>
      </c>
      <c r="P4110" s="396">
        <v>5500</v>
      </c>
      <c r="Q4110" s="212">
        <v>-1</v>
      </c>
      <c r="R4110" s="386">
        <f t="shared" si="133"/>
        <v>-5500</v>
      </c>
      <c r="S4110" s="115">
        <v>202304</v>
      </c>
      <c r="T4110" s="184" t="s">
        <v>5336</v>
      </c>
      <c r="U4110" s="213"/>
      <c r="V4110" s="418"/>
      <c r="W4110" s="214"/>
      <c r="X4110" s="73">
        <v>44927</v>
      </c>
      <c r="Y4110" s="73">
        <v>45107</v>
      </c>
    </row>
    <row r="4111" s="5" customFormat="1" customHeight="1" spans="1:25">
      <c r="A4111" s="203" t="s">
        <v>444</v>
      </c>
      <c r="B4111" s="204" t="s">
        <v>4284</v>
      </c>
      <c r="C4111" s="204" t="s">
        <v>196</v>
      </c>
      <c r="D4111" s="204" t="s">
        <v>3939</v>
      </c>
      <c r="E4111" s="205" t="s">
        <v>5325</v>
      </c>
      <c r="F4111" s="203" t="s">
        <v>5326</v>
      </c>
      <c r="G4111" s="203" t="s">
        <v>88</v>
      </c>
      <c r="H4111" s="25" t="s">
        <v>5327</v>
      </c>
      <c r="I4111" s="46" t="str">
        <f>VLOOKUP(H4111,'合同高级查询数据-4月返'!A:A,1,FALSE)</f>
        <v>182315IDC00149</v>
      </c>
      <c r="J4111" s="47" t="s">
        <v>2423</v>
      </c>
      <c r="K4111" s="203" t="s">
        <v>198</v>
      </c>
      <c r="L4111" s="206" t="s">
        <v>5328</v>
      </c>
      <c r="M4111" s="49" t="s">
        <v>5329</v>
      </c>
      <c r="N4111" s="73">
        <v>44940</v>
      </c>
      <c r="O4111" s="73" t="s">
        <v>503</v>
      </c>
      <c r="P4111" s="396">
        <v>5500</v>
      </c>
      <c r="Q4111" s="212">
        <v>1</v>
      </c>
      <c r="R4111" s="117">
        <f t="shared" si="133"/>
        <v>5500</v>
      </c>
      <c r="S4111" s="115">
        <v>202304</v>
      </c>
      <c r="T4111" s="184" t="s">
        <v>5337</v>
      </c>
      <c r="U4111" s="213"/>
      <c r="V4111" s="418"/>
      <c r="W4111" s="214"/>
      <c r="X4111" s="73">
        <v>44927</v>
      </c>
      <c r="Y4111" s="73">
        <v>45107</v>
      </c>
    </row>
    <row r="4112" s="5" customFormat="1" customHeight="1" spans="1:25">
      <c r="A4112" s="203" t="s">
        <v>444</v>
      </c>
      <c r="B4112" s="204" t="s">
        <v>4284</v>
      </c>
      <c r="C4112" s="204" t="s">
        <v>196</v>
      </c>
      <c r="D4112" s="204" t="s">
        <v>3939</v>
      </c>
      <c r="E4112" s="205" t="s">
        <v>5325</v>
      </c>
      <c r="F4112" s="203" t="s">
        <v>5326</v>
      </c>
      <c r="G4112" s="203" t="s">
        <v>31</v>
      </c>
      <c r="H4112" s="25" t="s">
        <v>5327</v>
      </c>
      <c r="I4112" s="46" t="str">
        <f>VLOOKUP(H4112,'合同高级查询数据-4月返'!A:A,1,FALSE)</f>
        <v>182315IDC00149</v>
      </c>
      <c r="J4112" s="47" t="s">
        <v>33</v>
      </c>
      <c r="K4112" s="203" t="s">
        <v>198</v>
      </c>
      <c r="L4112" s="206" t="s">
        <v>5328</v>
      </c>
      <c r="M4112" s="49"/>
      <c r="N4112" s="73">
        <v>44440</v>
      </c>
      <c r="O4112" s="73" t="s">
        <v>37</v>
      </c>
      <c r="P4112" s="396">
        <v>0</v>
      </c>
      <c r="Q4112" s="212">
        <v>19</v>
      </c>
      <c r="R4112" s="386">
        <f t="shared" si="133"/>
        <v>0</v>
      </c>
      <c r="S4112" s="115">
        <v>202304</v>
      </c>
      <c r="T4112" s="184" t="s">
        <v>5338</v>
      </c>
      <c r="U4112" s="213"/>
      <c r="V4112" s="418"/>
      <c r="W4112" s="214"/>
      <c r="X4112" s="73">
        <v>44927</v>
      </c>
      <c r="Y4112" s="73">
        <v>45107</v>
      </c>
    </row>
    <row r="4113" s="5" customFormat="1" customHeight="1" spans="1:25">
      <c r="A4113" s="203" t="s">
        <v>444</v>
      </c>
      <c r="B4113" s="204" t="s">
        <v>4284</v>
      </c>
      <c r="C4113" s="204" t="s">
        <v>196</v>
      </c>
      <c r="D4113" s="204" t="s">
        <v>3939</v>
      </c>
      <c r="E4113" s="205" t="s">
        <v>5325</v>
      </c>
      <c r="F4113" s="203" t="s">
        <v>5326</v>
      </c>
      <c r="G4113" s="203" t="s">
        <v>31</v>
      </c>
      <c r="H4113" s="25" t="s">
        <v>5327</v>
      </c>
      <c r="I4113" s="46" t="str">
        <f>VLOOKUP(H4113,'合同高级查询数据-4月返'!A:A,1,FALSE)</f>
        <v>182315IDC00149</v>
      </c>
      <c r="J4113" s="47" t="s">
        <v>33</v>
      </c>
      <c r="K4113" s="203" t="s">
        <v>198</v>
      </c>
      <c r="L4113" s="206" t="s">
        <v>5328</v>
      </c>
      <c r="M4113" s="49" t="s">
        <v>5329</v>
      </c>
      <c r="N4113" s="73">
        <v>44440</v>
      </c>
      <c r="O4113" s="73" t="s">
        <v>37</v>
      </c>
      <c r="P4113" s="386">
        <v>50</v>
      </c>
      <c r="Q4113" s="212">
        <v>109</v>
      </c>
      <c r="R4113" s="386">
        <f t="shared" si="133"/>
        <v>5450</v>
      </c>
      <c r="S4113" s="115">
        <v>202304</v>
      </c>
      <c r="T4113" s="184" t="s">
        <v>5338</v>
      </c>
      <c r="U4113" s="213"/>
      <c r="V4113" s="418"/>
      <c r="W4113" s="214"/>
      <c r="X4113" s="73">
        <v>44927</v>
      </c>
      <c r="Y4113" s="73">
        <v>45107</v>
      </c>
    </row>
    <row r="4114" s="5" customFormat="1" customHeight="1" spans="1:25">
      <c r="A4114" s="203" t="s">
        <v>444</v>
      </c>
      <c r="B4114" s="204" t="s">
        <v>4284</v>
      </c>
      <c r="C4114" s="204" t="s">
        <v>196</v>
      </c>
      <c r="D4114" s="204" t="s">
        <v>3939</v>
      </c>
      <c r="E4114" s="205" t="s">
        <v>5325</v>
      </c>
      <c r="F4114" s="203" t="s">
        <v>5326</v>
      </c>
      <c r="G4114" s="203" t="s">
        <v>31</v>
      </c>
      <c r="H4114" s="25" t="s">
        <v>5327</v>
      </c>
      <c r="I4114" s="46" t="str">
        <f>VLOOKUP(H4114,'合同高级查询数据-4月返'!A:A,1,FALSE)</f>
        <v>182315IDC00149</v>
      </c>
      <c r="J4114" s="47" t="s">
        <v>33</v>
      </c>
      <c r="K4114" s="203" t="s">
        <v>198</v>
      </c>
      <c r="L4114" s="206" t="s">
        <v>5328</v>
      </c>
      <c r="M4114" s="49" t="s">
        <v>5329</v>
      </c>
      <c r="N4114" s="73">
        <v>44593</v>
      </c>
      <c r="O4114" s="73" t="s">
        <v>37</v>
      </c>
      <c r="P4114" s="396">
        <v>0</v>
      </c>
      <c r="Q4114" s="212">
        <v>128</v>
      </c>
      <c r="R4114" s="386">
        <f t="shared" si="133"/>
        <v>0</v>
      </c>
      <c r="S4114" s="115">
        <v>202304</v>
      </c>
      <c r="T4114" s="184" t="s">
        <v>5339</v>
      </c>
      <c r="U4114" s="213"/>
      <c r="V4114" s="418"/>
      <c r="W4114" s="214"/>
      <c r="X4114" s="73">
        <v>44927</v>
      </c>
      <c r="Y4114" s="73">
        <v>45107</v>
      </c>
    </row>
    <row r="4115" s="5" customFormat="1" customHeight="1" spans="1:25">
      <c r="A4115" s="203" t="s">
        <v>444</v>
      </c>
      <c r="B4115" s="204" t="s">
        <v>4284</v>
      </c>
      <c r="C4115" s="204" t="s">
        <v>196</v>
      </c>
      <c r="D4115" s="204" t="s">
        <v>3939</v>
      </c>
      <c r="E4115" s="205" t="s">
        <v>5325</v>
      </c>
      <c r="F4115" s="203" t="s">
        <v>5326</v>
      </c>
      <c r="G4115" s="203" t="s">
        <v>31</v>
      </c>
      <c r="H4115" s="25" t="s">
        <v>5327</v>
      </c>
      <c r="I4115" s="46" t="str">
        <f>VLOOKUP(H4115,'合同高级查询数据-4月返'!A:A,1,FALSE)</f>
        <v>182315IDC00149</v>
      </c>
      <c r="J4115" s="47" t="s">
        <v>33</v>
      </c>
      <c r="K4115" s="203" t="s">
        <v>198</v>
      </c>
      <c r="L4115" s="206" t="s">
        <v>5328</v>
      </c>
      <c r="M4115" s="49" t="s">
        <v>5329</v>
      </c>
      <c r="N4115" s="73">
        <v>44895</v>
      </c>
      <c r="O4115" s="73" t="s">
        <v>37</v>
      </c>
      <c r="P4115" s="396">
        <v>50</v>
      </c>
      <c r="Q4115" s="212">
        <v>-109</v>
      </c>
      <c r="R4115" s="386">
        <f t="shared" si="133"/>
        <v>-5450</v>
      </c>
      <c r="S4115" s="115">
        <v>202304</v>
      </c>
      <c r="T4115" s="184" t="s">
        <v>5340</v>
      </c>
      <c r="U4115" s="213"/>
      <c r="V4115" s="418"/>
      <c r="W4115" s="214"/>
      <c r="X4115" s="73">
        <v>44927</v>
      </c>
      <c r="Y4115" s="73">
        <v>45107</v>
      </c>
    </row>
    <row r="4116" s="5" customFormat="1" customHeight="1" spans="1:25">
      <c r="A4116" s="203" t="s">
        <v>444</v>
      </c>
      <c r="B4116" s="204" t="s">
        <v>4284</v>
      </c>
      <c r="C4116" s="204" t="s">
        <v>196</v>
      </c>
      <c r="D4116" s="204" t="s">
        <v>3939</v>
      </c>
      <c r="E4116" s="205" t="s">
        <v>5325</v>
      </c>
      <c r="F4116" s="203" t="s">
        <v>5326</v>
      </c>
      <c r="G4116" s="203" t="s">
        <v>31</v>
      </c>
      <c r="H4116" s="25" t="s">
        <v>5327</v>
      </c>
      <c r="I4116" s="46" t="str">
        <f>VLOOKUP(H4116,'合同高级查询数据-4月返'!A:A,1,FALSE)</f>
        <v>182315IDC00149</v>
      </c>
      <c r="J4116" s="47" t="s">
        <v>33</v>
      </c>
      <c r="K4116" s="203" t="s">
        <v>198</v>
      </c>
      <c r="L4116" s="206" t="s">
        <v>5328</v>
      </c>
      <c r="M4116" s="49" t="s">
        <v>5329</v>
      </c>
      <c r="N4116" s="73">
        <v>44895</v>
      </c>
      <c r="O4116" s="73" t="s">
        <v>37</v>
      </c>
      <c r="P4116" s="396">
        <v>0</v>
      </c>
      <c r="Q4116" s="212">
        <v>-19</v>
      </c>
      <c r="R4116" s="386">
        <f t="shared" si="133"/>
        <v>0</v>
      </c>
      <c r="S4116" s="115">
        <v>202304</v>
      </c>
      <c r="T4116" s="184" t="s">
        <v>5340</v>
      </c>
      <c r="U4116" s="213"/>
      <c r="V4116" s="418"/>
      <c r="W4116" s="214"/>
      <c r="X4116" s="73">
        <v>44927</v>
      </c>
      <c r="Y4116" s="73">
        <v>45107</v>
      </c>
    </row>
    <row r="4117" s="5" customFormat="1" customHeight="1" spans="1:25">
      <c r="A4117" s="203" t="s">
        <v>444</v>
      </c>
      <c r="B4117" s="204" t="s">
        <v>4284</v>
      </c>
      <c r="C4117" s="204" t="s">
        <v>196</v>
      </c>
      <c r="D4117" s="204" t="s">
        <v>3939</v>
      </c>
      <c r="E4117" s="205" t="s">
        <v>5325</v>
      </c>
      <c r="F4117" s="203" t="s">
        <v>5326</v>
      </c>
      <c r="G4117" s="203" t="s">
        <v>31</v>
      </c>
      <c r="H4117" s="25" t="s">
        <v>5327</v>
      </c>
      <c r="I4117" s="46" t="str">
        <f>VLOOKUP(H4117,'合同高级查询数据-4月返'!A:A,1,FALSE)</f>
        <v>182315IDC00149</v>
      </c>
      <c r="J4117" s="47" t="s">
        <v>33</v>
      </c>
      <c r="K4117" s="203" t="s">
        <v>198</v>
      </c>
      <c r="L4117" s="206" t="s">
        <v>5328</v>
      </c>
      <c r="M4117" s="49" t="s">
        <v>5329</v>
      </c>
      <c r="N4117" s="73">
        <v>44531</v>
      </c>
      <c r="O4117" s="73" t="s">
        <v>179</v>
      </c>
      <c r="P4117" s="396">
        <v>0</v>
      </c>
      <c r="Q4117" s="212">
        <v>1</v>
      </c>
      <c r="R4117" s="386">
        <f t="shared" si="133"/>
        <v>0</v>
      </c>
      <c r="S4117" s="115">
        <v>202304</v>
      </c>
      <c r="T4117" s="184" t="s">
        <v>5341</v>
      </c>
      <c r="U4117" s="213"/>
      <c r="V4117" s="418"/>
      <c r="W4117" s="214"/>
      <c r="X4117" s="73">
        <v>44927</v>
      </c>
      <c r="Y4117" s="73">
        <v>45107</v>
      </c>
    </row>
    <row r="4118" s="5" customFormat="1" customHeight="1" spans="1:25">
      <c r="A4118" s="204" t="s">
        <v>444</v>
      </c>
      <c r="B4118" s="204" t="s">
        <v>5007</v>
      </c>
      <c r="C4118" s="203" t="s">
        <v>330</v>
      </c>
      <c r="D4118" s="204" t="s">
        <v>3939</v>
      </c>
      <c r="E4118" s="426" t="s">
        <v>5342</v>
      </c>
      <c r="F4118" s="204" t="s">
        <v>5343</v>
      </c>
      <c r="G4118" s="204" t="s">
        <v>88</v>
      </c>
      <c r="H4118" s="204" t="s">
        <v>5344</v>
      </c>
      <c r="I4118" s="46" t="e">
        <f>VLOOKUP(H4118,'合同高级查询数据-4月返'!A:A,1,FALSE)</f>
        <v>#N/A</v>
      </c>
      <c r="J4118" s="178" t="s">
        <v>162</v>
      </c>
      <c r="K4118" s="204" t="s">
        <v>5345</v>
      </c>
      <c r="L4118" s="204" t="s">
        <v>5346</v>
      </c>
      <c r="M4118" s="49" t="s">
        <v>5347</v>
      </c>
      <c r="N4118" s="402">
        <v>43610</v>
      </c>
      <c r="O4118" s="204" t="s">
        <v>4123</v>
      </c>
      <c r="P4118" s="442">
        <v>5200</v>
      </c>
      <c r="Q4118" s="445">
        <v>5</v>
      </c>
      <c r="R4118" s="446">
        <f t="shared" si="133"/>
        <v>26000</v>
      </c>
      <c r="S4118" s="115">
        <v>202304</v>
      </c>
      <c r="T4118" s="166" t="s">
        <v>5348</v>
      </c>
      <c r="U4118" s="248"/>
      <c r="V4118" s="418"/>
      <c r="W4118" s="120"/>
      <c r="X4118" s="73" t="s">
        <v>5349</v>
      </c>
      <c r="Y4118" s="73" t="s">
        <v>5350</v>
      </c>
    </row>
    <row r="4119" s="5" customFormat="1" customHeight="1" spans="1:25">
      <c r="A4119" s="204" t="s">
        <v>444</v>
      </c>
      <c r="B4119" s="204" t="s">
        <v>5007</v>
      </c>
      <c r="C4119" s="203" t="s">
        <v>330</v>
      </c>
      <c r="D4119" s="204" t="s">
        <v>3939</v>
      </c>
      <c r="E4119" s="426" t="s">
        <v>5342</v>
      </c>
      <c r="F4119" s="204" t="s">
        <v>5343</v>
      </c>
      <c r="G4119" s="204" t="s">
        <v>88</v>
      </c>
      <c r="H4119" s="204" t="s">
        <v>5344</v>
      </c>
      <c r="I4119" s="46" t="e">
        <f>VLOOKUP(H4119,'合同高级查询数据-4月返'!A:A,1,FALSE)</f>
        <v>#N/A</v>
      </c>
      <c r="J4119" s="178" t="s">
        <v>162</v>
      </c>
      <c r="K4119" s="204" t="s">
        <v>5345</v>
      </c>
      <c r="L4119" s="204" t="s">
        <v>5351</v>
      </c>
      <c r="M4119" s="49" t="s">
        <v>5347</v>
      </c>
      <c r="N4119" s="402">
        <v>43922</v>
      </c>
      <c r="O4119" s="204" t="s">
        <v>4123</v>
      </c>
      <c r="P4119" s="442">
        <v>5200</v>
      </c>
      <c r="Q4119" s="445">
        <v>6</v>
      </c>
      <c r="R4119" s="446">
        <f t="shared" si="133"/>
        <v>31200</v>
      </c>
      <c r="S4119" s="115">
        <v>202304</v>
      </c>
      <c r="T4119" s="166" t="s">
        <v>5352</v>
      </c>
      <c r="U4119" s="248"/>
      <c r="V4119" s="418"/>
      <c r="W4119" s="120"/>
      <c r="X4119" s="73" t="s">
        <v>5349</v>
      </c>
      <c r="Y4119" s="73" t="s">
        <v>5350</v>
      </c>
    </row>
    <row r="4120" s="5" customFormat="1" customHeight="1" spans="1:25">
      <c r="A4120" s="204" t="s">
        <v>444</v>
      </c>
      <c r="B4120" s="204" t="s">
        <v>5007</v>
      </c>
      <c r="C4120" s="203" t="s">
        <v>330</v>
      </c>
      <c r="D4120" s="204" t="s">
        <v>3939</v>
      </c>
      <c r="E4120" s="426" t="s">
        <v>5342</v>
      </c>
      <c r="F4120" s="204" t="s">
        <v>5343</v>
      </c>
      <c r="G4120" s="204" t="s">
        <v>88</v>
      </c>
      <c r="H4120" s="204" t="s">
        <v>5344</v>
      </c>
      <c r="I4120" s="46" t="e">
        <f>VLOOKUP(H4120,'合同高级查询数据-4月返'!A:A,1,FALSE)</f>
        <v>#N/A</v>
      </c>
      <c r="J4120" s="178" t="s">
        <v>162</v>
      </c>
      <c r="K4120" s="204" t="s">
        <v>5345</v>
      </c>
      <c r="L4120" s="204" t="s">
        <v>5351</v>
      </c>
      <c r="M4120" s="49" t="s">
        <v>5347</v>
      </c>
      <c r="N4120" s="402">
        <v>44712</v>
      </c>
      <c r="O4120" s="204" t="s">
        <v>4123</v>
      </c>
      <c r="P4120" s="442">
        <v>5200</v>
      </c>
      <c r="Q4120" s="445">
        <v>-6</v>
      </c>
      <c r="R4120" s="446">
        <f t="shared" si="133"/>
        <v>-31200</v>
      </c>
      <c r="S4120" s="115">
        <v>202304</v>
      </c>
      <c r="T4120" s="166" t="s">
        <v>5353</v>
      </c>
      <c r="U4120" s="248"/>
      <c r="V4120" s="418"/>
      <c r="W4120" s="120"/>
      <c r="X4120" s="73" t="s">
        <v>5349</v>
      </c>
      <c r="Y4120" s="73" t="s">
        <v>5350</v>
      </c>
    </row>
    <row r="4121" s="5" customFormat="1" customHeight="1" spans="1:25">
      <c r="A4121" s="204" t="s">
        <v>444</v>
      </c>
      <c r="B4121" s="204" t="s">
        <v>5007</v>
      </c>
      <c r="C4121" s="203" t="s">
        <v>330</v>
      </c>
      <c r="D4121" s="204" t="s">
        <v>3939</v>
      </c>
      <c r="E4121" s="426" t="s">
        <v>5342</v>
      </c>
      <c r="F4121" s="204" t="s">
        <v>5343</v>
      </c>
      <c r="G4121" s="204" t="s">
        <v>88</v>
      </c>
      <c r="H4121" s="204" t="s">
        <v>5344</v>
      </c>
      <c r="I4121" s="46" t="e">
        <f>VLOOKUP(H4121,'合同高级查询数据-4月返'!A:A,1,FALSE)</f>
        <v>#N/A</v>
      </c>
      <c r="J4121" s="178" t="s">
        <v>162</v>
      </c>
      <c r="K4121" s="204" t="s">
        <v>5345</v>
      </c>
      <c r="L4121" s="204" t="s">
        <v>5346</v>
      </c>
      <c r="M4121" s="49" t="s">
        <v>5347</v>
      </c>
      <c r="N4121" s="402">
        <v>44773</v>
      </c>
      <c r="O4121" s="204" t="s">
        <v>4123</v>
      </c>
      <c r="P4121" s="442">
        <v>5200</v>
      </c>
      <c r="Q4121" s="445">
        <v>-5</v>
      </c>
      <c r="R4121" s="446">
        <f t="shared" si="133"/>
        <v>-26000</v>
      </c>
      <c r="S4121" s="115">
        <v>202304</v>
      </c>
      <c r="T4121" s="166" t="s">
        <v>5354</v>
      </c>
      <c r="U4121" s="248"/>
      <c r="V4121" s="418"/>
      <c r="W4121" s="120"/>
      <c r="X4121" s="73" t="s">
        <v>5349</v>
      </c>
      <c r="Y4121" s="73" t="s">
        <v>5350</v>
      </c>
    </row>
    <row r="4122" s="5" customFormat="1" customHeight="1" spans="1:25">
      <c r="A4122" s="204" t="s">
        <v>444</v>
      </c>
      <c r="B4122" s="204" t="s">
        <v>5007</v>
      </c>
      <c r="C4122" s="203" t="s">
        <v>330</v>
      </c>
      <c r="D4122" s="204" t="s">
        <v>3939</v>
      </c>
      <c r="E4122" s="426" t="s">
        <v>5342</v>
      </c>
      <c r="F4122" s="204" t="s">
        <v>5343</v>
      </c>
      <c r="G4122" s="204" t="s">
        <v>31</v>
      </c>
      <c r="H4122" s="204" t="s">
        <v>5344</v>
      </c>
      <c r="I4122" s="46" t="e">
        <f>VLOOKUP(H4122,'合同高级查询数据-4月返'!A:A,1,FALSE)</f>
        <v>#N/A</v>
      </c>
      <c r="J4122" s="178" t="s">
        <v>33</v>
      </c>
      <c r="K4122" s="204" t="s">
        <v>5345</v>
      </c>
      <c r="L4122" s="204" t="s">
        <v>5346</v>
      </c>
      <c r="M4122" s="49"/>
      <c r="N4122" s="402">
        <v>43610</v>
      </c>
      <c r="O4122" s="73" t="s">
        <v>37</v>
      </c>
      <c r="P4122" s="442">
        <v>0</v>
      </c>
      <c r="Q4122" s="445">
        <v>288</v>
      </c>
      <c r="R4122" s="108">
        <f t="shared" si="133"/>
        <v>0</v>
      </c>
      <c r="S4122" s="115">
        <v>202304</v>
      </c>
      <c r="T4122" s="166" t="s">
        <v>5355</v>
      </c>
      <c r="U4122" s="248"/>
      <c r="V4122" s="418"/>
      <c r="W4122" s="120"/>
      <c r="X4122" s="73" t="s">
        <v>5349</v>
      </c>
      <c r="Y4122" s="73" t="s">
        <v>5350</v>
      </c>
    </row>
    <row r="4123" s="5" customFormat="1" customHeight="1" spans="1:25">
      <c r="A4123" s="204" t="s">
        <v>444</v>
      </c>
      <c r="B4123" s="204" t="s">
        <v>5007</v>
      </c>
      <c r="C4123" s="203" t="s">
        <v>330</v>
      </c>
      <c r="D4123" s="204" t="s">
        <v>3939</v>
      </c>
      <c r="E4123" s="426" t="s">
        <v>5342</v>
      </c>
      <c r="F4123" s="204" t="s">
        <v>5343</v>
      </c>
      <c r="G4123" s="204" t="s">
        <v>31</v>
      </c>
      <c r="H4123" s="204" t="s">
        <v>5344</v>
      </c>
      <c r="I4123" s="46" t="e">
        <f>VLOOKUP(H4123,'合同高级查询数据-4月返'!A:A,1,FALSE)</f>
        <v>#N/A</v>
      </c>
      <c r="J4123" s="178" t="s">
        <v>33</v>
      </c>
      <c r="K4123" s="204" t="s">
        <v>5345</v>
      </c>
      <c r="L4123" s="204" t="s">
        <v>5351</v>
      </c>
      <c r="M4123" s="49"/>
      <c r="N4123" s="402">
        <v>43922</v>
      </c>
      <c r="O4123" s="73" t="s">
        <v>37</v>
      </c>
      <c r="P4123" s="442">
        <v>0</v>
      </c>
      <c r="Q4123" s="445">
        <v>288</v>
      </c>
      <c r="R4123" s="108">
        <f t="shared" si="133"/>
        <v>0</v>
      </c>
      <c r="S4123" s="115">
        <v>202304</v>
      </c>
      <c r="T4123" s="166" t="s">
        <v>5356</v>
      </c>
      <c r="U4123" s="248"/>
      <c r="V4123" s="418"/>
      <c r="W4123" s="120"/>
      <c r="X4123" s="73" t="s">
        <v>5349</v>
      </c>
      <c r="Y4123" s="73" t="s">
        <v>5350</v>
      </c>
    </row>
    <row r="4124" s="5" customFormat="1" customHeight="1" spans="1:25">
      <c r="A4124" s="204" t="s">
        <v>444</v>
      </c>
      <c r="B4124" s="204" t="s">
        <v>5007</v>
      </c>
      <c r="C4124" s="203" t="s">
        <v>330</v>
      </c>
      <c r="D4124" s="204" t="s">
        <v>3939</v>
      </c>
      <c r="E4124" s="426" t="s">
        <v>5342</v>
      </c>
      <c r="F4124" s="204" t="s">
        <v>5343</v>
      </c>
      <c r="G4124" s="204" t="s">
        <v>31</v>
      </c>
      <c r="H4124" s="204" t="s">
        <v>5344</v>
      </c>
      <c r="I4124" s="46" t="e">
        <f>VLOOKUP(H4124,'合同高级查询数据-4月返'!A:A,1,FALSE)</f>
        <v>#N/A</v>
      </c>
      <c r="J4124" s="178" t="s">
        <v>33</v>
      </c>
      <c r="K4124" s="204" t="s">
        <v>5345</v>
      </c>
      <c r="L4124" s="204" t="s">
        <v>5351</v>
      </c>
      <c r="M4124" s="49"/>
      <c r="N4124" s="402">
        <v>44712</v>
      </c>
      <c r="O4124" s="73" t="s">
        <v>37</v>
      </c>
      <c r="P4124" s="442">
        <v>0</v>
      </c>
      <c r="Q4124" s="445">
        <v>-288</v>
      </c>
      <c r="R4124" s="108">
        <f t="shared" si="133"/>
        <v>0</v>
      </c>
      <c r="S4124" s="115">
        <v>202304</v>
      </c>
      <c r="T4124" s="166" t="s">
        <v>5357</v>
      </c>
      <c r="U4124" s="248"/>
      <c r="V4124" s="418"/>
      <c r="W4124" s="120"/>
      <c r="X4124" s="73" t="s">
        <v>5349</v>
      </c>
      <c r="Y4124" s="73" t="s">
        <v>5350</v>
      </c>
    </row>
    <row r="4125" s="5" customFormat="1" customHeight="1" spans="1:25">
      <c r="A4125" s="204" t="s">
        <v>444</v>
      </c>
      <c r="B4125" s="204" t="s">
        <v>5007</v>
      </c>
      <c r="C4125" s="203" t="s">
        <v>330</v>
      </c>
      <c r="D4125" s="204" t="s">
        <v>3939</v>
      </c>
      <c r="E4125" s="426" t="s">
        <v>5342</v>
      </c>
      <c r="F4125" s="204" t="s">
        <v>5343</v>
      </c>
      <c r="G4125" s="204" t="s">
        <v>31</v>
      </c>
      <c r="H4125" s="204" t="s">
        <v>5344</v>
      </c>
      <c r="I4125" s="46" t="e">
        <f>VLOOKUP(H4125,'合同高级查询数据-4月返'!A:A,1,FALSE)</f>
        <v>#N/A</v>
      </c>
      <c r="J4125" s="178" t="s">
        <v>33</v>
      </c>
      <c r="K4125" s="204" t="s">
        <v>5345</v>
      </c>
      <c r="L4125" s="204" t="s">
        <v>5346</v>
      </c>
      <c r="M4125" s="49"/>
      <c r="N4125" s="402">
        <v>44773</v>
      </c>
      <c r="O4125" s="73" t="s">
        <v>37</v>
      </c>
      <c r="P4125" s="442">
        <v>0</v>
      </c>
      <c r="Q4125" s="445">
        <v>-288</v>
      </c>
      <c r="R4125" s="108">
        <f t="shared" si="133"/>
        <v>0</v>
      </c>
      <c r="S4125" s="115">
        <v>202304</v>
      </c>
      <c r="T4125" s="166" t="s">
        <v>5358</v>
      </c>
      <c r="U4125" s="248"/>
      <c r="V4125" s="418"/>
      <c r="W4125" s="120"/>
      <c r="X4125" s="73" t="s">
        <v>5349</v>
      </c>
      <c r="Y4125" s="73" t="s">
        <v>5350</v>
      </c>
    </row>
    <row r="4126" s="5" customFormat="1" customHeight="1" spans="1:25">
      <c r="A4126" s="204" t="s">
        <v>444</v>
      </c>
      <c r="B4126" s="204" t="s">
        <v>5007</v>
      </c>
      <c r="C4126" s="203" t="s">
        <v>330</v>
      </c>
      <c r="D4126" s="204" t="s">
        <v>3939</v>
      </c>
      <c r="E4126" s="426" t="s">
        <v>5359</v>
      </c>
      <c r="F4126" s="204" t="s">
        <v>5360</v>
      </c>
      <c r="G4126" s="204" t="s">
        <v>88</v>
      </c>
      <c r="H4126" s="204" t="s">
        <v>5361</v>
      </c>
      <c r="I4126" s="46" t="e">
        <f>VLOOKUP(H4126,'合同高级查询数据-4月返'!A:A,1,FALSE)</f>
        <v>#N/A</v>
      </c>
      <c r="J4126" s="178" t="s">
        <v>162</v>
      </c>
      <c r="K4126" s="204" t="s">
        <v>5362</v>
      </c>
      <c r="L4126" s="204" t="s">
        <v>5363</v>
      </c>
      <c r="M4126" s="49" t="s">
        <v>5364</v>
      </c>
      <c r="N4126" s="402">
        <v>43610</v>
      </c>
      <c r="O4126" s="204" t="s">
        <v>4123</v>
      </c>
      <c r="P4126" s="442">
        <v>5200</v>
      </c>
      <c r="Q4126" s="445">
        <v>5</v>
      </c>
      <c r="R4126" s="446">
        <f t="shared" si="133"/>
        <v>26000</v>
      </c>
      <c r="S4126" s="115">
        <v>202304</v>
      </c>
      <c r="T4126" s="166" t="s">
        <v>5365</v>
      </c>
      <c r="U4126" s="248"/>
      <c r="V4126" s="418"/>
      <c r="W4126" s="120"/>
      <c r="X4126" s="73" t="s">
        <v>5349</v>
      </c>
      <c r="Y4126" s="73" t="s">
        <v>5350</v>
      </c>
    </row>
    <row r="4127" s="5" customFormat="1" customHeight="1" spans="1:25">
      <c r="A4127" s="204" t="s">
        <v>444</v>
      </c>
      <c r="B4127" s="204" t="s">
        <v>5007</v>
      </c>
      <c r="C4127" s="203" t="s">
        <v>330</v>
      </c>
      <c r="D4127" s="204" t="s">
        <v>3939</v>
      </c>
      <c r="E4127" s="426" t="s">
        <v>5359</v>
      </c>
      <c r="F4127" s="204" t="s">
        <v>5360</v>
      </c>
      <c r="G4127" s="204" t="s">
        <v>88</v>
      </c>
      <c r="H4127" s="204" t="s">
        <v>5361</v>
      </c>
      <c r="I4127" s="46" t="e">
        <f>VLOOKUP(H4127,'合同高级查询数据-4月返'!A:A,1,FALSE)</f>
        <v>#N/A</v>
      </c>
      <c r="J4127" s="178" t="s">
        <v>162</v>
      </c>
      <c r="K4127" s="204" t="s">
        <v>5362</v>
      </c>
      <c r="L4127" s="204" t="s">
        <v>5363</v>
      </c>
      <c r="M4127" s="49" t="s">
        <v>5364</v>
      </c>
      <c r="N4127" s="402">
        <v>44773</v>
      </c>
      <c r="O4127" s="204" t="s">
        <v>4123</v>
      </c>
      <c r="P4127" s="442">
        <v>5200</v>
      </c>
      <c r="Q4127" s="445">
        <v>-5</v>
      </c>
      <c r="R4127" s="446">
        <f t="shared" si="133"/>
        <v>-26000</v>
      </c>
      <c r="S4127" s="115">
        <v>202304</v>
      </c>
      <c r="T4127" s="166" t="s">
        <v>5366</v>
      </c>
      <c r="U4127" s="248"/>
      <c r="V4127" s="418"/>
      <c r="W4127" s="120"/>
      <c r="X4127" s="73" t="s">
        <v>5349</v>
      </c>
      <c r="Y4127" s="73" t="s">
        <v>5350</v>
      </c>
    </row>
    <row r="4128" s="5" customFormat="1" customHeight="1" spans="1:25">
      <c r="A4128" s="204" t="s">
        <v>444</v>
      </c>
      <c r="B4128" s="204" t="s">
        <v>5007</v>
      </c>
      <c r="C4128" s="203" t="s">
        <v>330</v>
      </c>
      <c r="D4128" s="204" t="s">
        <v>3939</v>
      </c>
      <c r="E4128" s="426" t="s">
        <v>5359</v>
      </c>
      <c r="F4128" s="204" t="s">
        <v>5360</v>
      </c>
      <c r="G4128" s="204" t="s">
        <v>31</v>
      </c>
      <c r="H4128" s="204" t="s">
        <v>5361</v>
      </c>
      <c r="I4128" s="46" t="e">
        <f>VLOOKUP(H4128,'合同高级查询数据-4月返'!A:A,1,FALSE)</f>
        <v>#N/A</v>
      </c>
      <c r="J4128" s="178" t="s">
        <v>33</v>
      </c>
      <c r="K4128" s="204" t="s">
        <v>5362</v>
      </c>
      <c r="L4128" s="204" t="s">
        <v>5363</v>
      </c>
      <c r="M4128" s="49"/>
      <c r="N4128" s="402">
        <v>43610</v>
      </c>
      <c r="O4128" s="73" t="s">
        <v>37</v>
      </c>
      <c r="P4128" s="442">
        <v>0</v>
      </c>
      <c r="Q4128" s="445">
        <v>288</v>
      </c>
      <c r="R4128" s="108">
        <f t="shared" si="133"/>
        <v>0</v>
      </c>
      <c r="S4128" s="115">
        <v>202304</v>
      </c>
      <c r="T4128" s="166" t="s">
        <v>5367</v>
      </c>
      <c r="U4128" s="248"/>
      <c r="V4128" s="418"/>
      <c r="W4128" s="120"/>
      <c r="X4128" s="73" t="s">
        <v>5349</v>
      </c>
      <c r="Y4128" s="73" t="s">
        <v>5350</v>
      </c>
    </row>
    <row r="4129" s="5" customFormat="1" customHeight="1" spans="1:25">
      <c r="A4129" s="204" t="s">
        <v>444</v>
      </c>
      <c r="B4129" s="204" t="s">
        <v>5007</v>
      </c>
      <c r="C4129" s="203" t="s">
        <v>330</v>
      </c>
      <c r="D4129" s="204" t="s">
        <v>3939</v>
      </c>
      <c r="E4129" s="426" t="s">
        <v>5359</v>
      </c>
      <c r="F4129" s="204" t="s">
        <v>5360</v>
      </c>
      <c r="G4129" s="204" t="s">
        <v>31</v>
      </c>
      <c r="H4129" s="204" t="s">
        <v>5361</v>
      </c>
      <c r="I4129" s="46" t="e">
        <f>VLOOKUP(H4129,'合同高级查询数据-4月返'!A:A,1,FALSE)</f>
        <v>#N/A</v>
      </c>
      <c r="J4129" s="178" t="s">
        <v>33</v>
      </c>
      <c r="K4129" s="204" t="s">
        <v>5362</v>
      </c>
      <c r="L4129" s="204" t="s">
        <v>5363</v>
      </c>
      <c r="M4129" s="49"/>
      <c r="N4129" s="402">
        <v>44773</v>
      </c>
      <c r="O4129" s="73" t="s">
        <v>37</v>
      </c>
      <c r="P4129" s="442">
        <v>0</v>
      </c>
      <c r="Q4129" s="445">
        <v>-288</v>
      </c>
      <c r="R4129" s="108">
        <f t="shared" ref="R4129:R4192" si="134">ROUND(P4129*Q4129,2)</f>
        <v>0</v>
      </c>
      <c r="S4129" s="115">
        <v>202304</v>
      </c>
      <c r="T4129" s="166" t="s">
        <v>5368</v>
      </c>
      <c r="U4129" s="248"/>
      <c r="V4129" s="418"/>
      <c r="W4129" s="120"/>
      <c r="X4129" s="73" t="s">
        <v>5349</v>
      </c>
      <c r="Y4129" s="73" t="s">
        <v>5350</v>
      </c>
    </row>
    <row r="4130" s="3" customFormat="1" customHeight="1" spans="1:25">
      <c r="A4130" s="292" t="s">
        <v>444</v>
      </c>
      <c r="B4130" s="292" t="s">
        <v>5007</v>
      </c>
      <c r="C4130" s="154" t="s">
        <v>330</v>
      </c>
      <c r="D4130" s="292" t="s">
        <v>3939</v>
      </c>
      <c r="E4130" s="419" t="s">
        <v>5369</v>
      </c>
      <c r="F4130" s="292" t="s">
        <v>5370</v>
      </c>
      <c r="G4130" s="292" t="s">
        <v>88</v>
      </c>
      <c r="H4130" s="292" t="s">
        <v>5371</v>
      </c>
      <c r="I4130" s="30" t="e">
        <f>VLOOKUP(H4130,'合同高级查询数据-4月返'!A:A,1,FALSE)</f>
        <v>#N/A</v>
      </c>
      <c r="J4130" s="155" t="s">
        <v>162</v>
      </c>
      <c r="K4130" s="292" t="s">
        <v>5084</v>
      </c>
      <c r="L4130" s="292" t="s">
        <v>5372</v>
      </c>
      <c r="M4130" s="113" t="s">
        <v>5373</v>
      </c>
      <c r="N4130" s="403">
        <v>42236</v>
      </c>
      <c r="O4130" s="292" t="s">
        <v>4123</v>
      </c>
      <c r="P4130" s="448">
        <v>5200</v>
      </c>
      <c r="Q4130" s="295">
        <v>8</v>
      </c>
      <c r="R4130" s="450">
        <f t="shared" si="134"/>
        <v>41600</v>
      </c>
      <c r="S4130" s="127">
        <v>202304</v>
      </c>
      <c r="T4130" s="148" t="s">
        <v>5374</v>
      </c>
      <c r="U4130" s="196"/>
      <c r="V4130" s="422"/>
      <c r="W4130" s="159"/>
      <c r="X4130" s="146"/>
      <c r="Y4130" s="146"/>
    </row>
    <row r="4131" s="3" customFormat="1" customHeight="1" spans="1:25">
      <c r="A4131" s="292" t="s">
        <v>444</v>
      </c>
      <c r="B4131" s="292" t="s">
        <v>5007</v>
      </c>
      <c r="C4131" s="154" t="s">
        <v>330</v>
      </c>
      <c r="D4131" s="292" t="s">
        <v>3939</v>
      </c>
      <c r="E4131" s="419" t="s">
        <v>5369</v>
      </c>
      <c r="F4131" s="292" t="s">
        <v>5370</v>
      </c>
      <c r="G4131" s="292" t="s">
        <v>88</v>
      </c>
      <c r="H4131" s="292" t="s">
        <v>5371</v>
      </c>
      <c r="I4131" s="30" t="e">
        <f>VLOOKUP(H4131,'合同高级查询数据-4月返'!A:A,1,FALSE)</f>
        <v>#N/A</v>
      </c>
      <c r="J4131" s="155" t="s">
        <v>162</v>
      </c>
      <c r="K4131" s="292" t="s">
        <v>5084</v>
      </c>
      <c r="L4131" s="292" t="s">
        <v>5372</v>
      </c>
      <c r="M4131" s="113" t="s">
        <v>5373</v>
      </c>
      <c r="N4131" s="403">
        <v>44712</v>
      </c>
      <c r="O4131" s="292" t="s">
        <v>4123</v>
      </c>
      <c r="P4131" s="448">
        <v>5200</v>
      </c>
      <c r="Q4131" s="295">
        <v>-8</v>
      </c>
      <c r="R4131" s="450">
        <f t="shared" si="134"/>
        <v>-41600</v>
      </c>
      <c r="S4131" s="127">
        <v>202304</v>
      </c>
      <c r="T4131" s="148" t="s">
        <v>5374</v>
      </c>
      <c r="U4131" s="292"/>
      <c r="V4131" s="422"/>
      <c r="W4131" s="159"/>
      <c r="X4131" s="146"/>
      <c r="Y4131" s="146"/>
    </row>
    <row r="4132" s="3" customFormat="1" customHeight="1" spans="1:25">
      <c r="A4132" s="292" t="s">
        <v>444</v>
      </c>
      <c r="B4132" s="292" t="s">
        <v>5007</v>
      </c>
      <c r="C4132" s="154" t="s">
        <v>330</v>
      </c>
      <c r="D4132" s="292" t="s">
        <v>3939</v>
      </c>
      <c r="E4132" s="419" t="s">
        <v>5369</v>
      </c>
      <c r="F4132" s="292" t="s">
        <v>5370</v>
      </c>
      <c r="G4132" s="292" t="s">
        <v>88</v>
      </c>
      <c r="H4132" s="292" t="s">
        <v>5371</v>
      </c>
      <c r="I4132" s="30" t="e">
        <f>VLOOKUP(H4132,'合同高级查询数据-4月返'!A:A,1,FALSE)</f>
        <v>#N/A</v>
      </c>
      <c r="J4132" s="155" t="s">
        <v>162</v>
      </c>
      <c r="K4132" s="292" t="s">
        <v>5084</v>
      </c>
      <c r="L4132" s="292" t="s">
        <v>5375</v>
      </c>
      <c r="M4132" s="113" t="s">
        <v>5376</v>
      </c>
      <c r="N4132" s="403">
        <v>42236</v>
      </c>
      <c r="O4132" s="292" t="s">
        <v>4123</v>
      </c>
      <c r="P4132" s="448">
        <v>5200</v>
      </c>
      <c r="Q4132" s="295">
        <v>4</v>
      </c>
      <c r="R4132" s="450">
        <f t="shared" si="134"/>
        <v>20800</v>
      </c>
      <c r="S4132" s="127">
        <v>202304</v>
      </c>
      <c r="T4132" s="148" t="s">
        <v>5377</v>
      </c>
      <c r="U4132" s="292"/>
      <c r="V4132" s="422"/>
      <c r="W4132" s="159"/>
      <c r="X4132" s="146"/>
      <c r="Y4132" s="146"/>
    </row>
    <row r="4133" s="3" customFormat="1" customHeight="1" spans="1:25">
      <c r="A4133" s="292" t="s">
        <v>444</v>
      </c>
      <c r="B4133" s="292" t="s">
        <v>5007</v>
      </c>
      <c r="C4133" s="154" t="s">
        <v>330</v>
      </c>
      <c r="D4133" s="292" t="s">
        <v>3939</v>
      </c>
      <c r="E4133" s="419" t="s">
        <v>5369</v>
      </c>
      <c r="F4133" s="292" t="s">
        <v>5370</v>
      </c>
      <c r="G4133" s="292" t="s">
        <v>88</v>
      </c>
      <c r="H4133" s="292" t="s">
        <v>5371</v>
      </c>
      <c r="I4133" s="30" t="e">
        <f>VLOOKUP(H4133,'合同高级查询数据-4月返'!A:A,1,FALSE)</f>
        <v>#N/A</v>
      </c>
      <c r="J4133" s="155" t="s">
        <v>162</v>
      </c>
      <c r="K4133" s="292" t="s">
        <v>5084</v>
      </c>
      <c r="L4133" s="292" t="s">
        <v>5378</v>
      </c>
      <c r="M4133" s="113" t="s">
        <v>5376</v>
      </c>
      <c r="N4133" s="403">
        <v>43969</v>
      </c>
      <c r="O4133" s="292" t="s">
        <v>4123</v>
      </c>
      <c r="P4133" s="448">
        <v>5200</v>
      </c>
      <c r="Q4133" s="295">
        <v>8</v>
      </c>
      <c r="R4133" s="450">
        <f t="shared" si="134"/>
        <v>41600</v>
      </c>
      <c r="S4133" s="127">
        <v>202304</v>
      </c>
      <c r="T4133" s="148" t="s">
        <v>5379</v>
      </c>
      <c r="U4133" s="292"/>
      <c r="V4133" s="422"/>
      <c r="W4133" s="159"/>
      <c r="X4133" s="146"/>
      <c r="Y4133" s="146"/>
    </row>
    <row r="4134" s="3" customFormat="1" customHeight="1" spans="1:25">
      <c r="A4134" s="292" t="s">
        <v>444</v>
      </c>
      <c r="B4134" s="292" t="s">
        <v>5007</v>
      </c>
      <c r="C4134" s="154" t="s">
        <v>330</v>
      </c>
      <c r="D4134" s="292" t="s">
        <v>3939</v>
      </c>
      <c r="E4134" s="419" t="s">
        <v>5369</v>
      </c>
      <c r="F4134" s="292" t="s">
        <v>5370</v>
      </c>
      <c r="G4134" s="292" t="s">
        <v>88</v>
      </c>
      <c r="H4134" s="292" t="s">
        <v>5371</v>
      </c>
      <c r="I4134" s="30" t="e">
        <f>VLOOKUP(H4134,'合同高级查询数据-4月返'!A:A,1,FALSE)</f>
        <v>#N/A</v>
      </c>
      <c r="J4134" s="155" t="s">
        <v>162</v>
      </c>
      <c r="K4134" s="292" t="s">
        <v>5084</v>
      </c>
      <c r="L4134" s="292" t="s">
        <v>5378</v>
      </c>
      <c r="M4134" s="113" t="s">
        <v>5376</v>
      </c>
      <c r="N4134" s="403">
        <v>43969</v>
      </c>
      <c r="O4134" s="292" t="s">
        <v>4123</v>
      </c>
      <c r="P4134" s="448">
        <v>5200</v>
      </c>
      <c r="Q4134" s="295">
        <v>1</v>
      </c>
      <c r="R4134" s="450">
        <f t="shared" si="134"/>
        <v>5200</v>
      </c>
      <c r="S4134" s="127">
        <v>202304</v>
      </c>
      <c r="T4134" s="148" t="s">
        <v>5380</v>
      </c>
      <c r="U4134" s="292"/>
      <c r="V4134" s="422"/>
      <c r="W4134" s="159"/>
      <c r="X4134" s="146"/>
      <c r="Y4134" s="146"/>
    </row>
    <row r="4135" s="3" customFormat="1" customHeight="1" spans="1:25">
      <c r="A4135" s="292" t="s">
        <v>444</v>
      </c>
      <c r="B4135" s="292" t="s">
        <v>5007</v>
      </c>
      <c r="C4135" s="154" t="s">
        <v>330</v>
      </c>
      <c r="D4135" s="292" t="s">
        <v>3939</v>
      </c>
      <c r="E4135" s="419" t="s">
        <v>5369</v>
      </c>
      <c r="F4135" s="292" t="s">
        <v>5370</v>
      </c>
      <c r="G4135" s="292" t="s">
        <v>88</v>
      </c>
      <c r="H4135" s="292" t="s">
        <v>5371</v>
      </c>
      <c r="I4135" s="30" t="e">
        <f>VLOOKUP(H4135,'合同高级查询数据-4月返'!A:A,1,FALSE)</f>
        <v>#N/A</v>
      </c>
      <c r="J4135" s="155" t="s">
        <v>162</v>
      </c>
      <c r="K4135" s="292" t="s">
        <v>5084</v>
      </c>
      <c r="L4135" s="292" t="s">
        <v>5378</v>
      </c>
      <c r="M4135" s="113" t="s">
        <v>5376</v>
      </c>
      <c r="N4135" s="403">
        <v>44742</v>
      </c>
      <c r="O4135" s="292" t="s">
        <v>4123</v>
      </c>
      <c r="P4135" s="448">
        <v>5200</v>
      </c>
      <c r="Q4135" s="295">
        <v>-2</v>
      </c>
      <c r="R4135" s="450">
        <f t="shared" si="134"/>
        <v>-10400</v>
      </c>
      <c r="S4135" s="127">
        <v>202304</v>
      </c>
      <c r="T4135" s="148" t="s">
        <v>5381</v>
      </c>
      <c r="U4135" s="292"/>
      <c r="V4135" s="422"/>
      <c r="W4135" s="159"/>
      <c r="X4135" s="146"/>
      <c r="Y4135" s="146"/>
    </row>
    <row r="4136" s="3" customFormat="1" customHeight="1" spans="1:25">
      <c r="A4136" s="292" t="s">
        <v>444</v>
      </c>
      <c r="B4136" s="292" t="s">
        <v>5007</v>
      </c>
      <c r="C4136" s="154" t="s">
        <v>330</v>
      </c>
      <c r="D4136" s="292" t="s">
        <v>3939</v>
      </c>
      <c r="E4136" s="419" t="s">
        <v>5369</v>
      </c>
      <c r="F4136" s="292" t="s">
        <v>5370</v>
      </c>
      <c r="G4136" s="292" t="s">
        <v>88</v>
      </c>
      <c r="H4136" s="292" t="s">
        <v>5371</v>
      </c>
      <c r="I4136" s="30" t="e">
        <f>VLOOKUP(H4136,'合同高级查询数据-4月返'!A:A,1,FALSE)</f>
        <v>#N/A</v>
      </c>
      <c r="J4136" s="155" t="s">
        <v>162</v>
      </c>
      <c r="K4136" s="292" t="s">
        <v>5084</v>
      </c>
      <c r="L4136" s="292" t="s">
        <v>5378</v>
      </c>
      <c r="M4136" s="113" t="s">
        <v>5376</v>
      </c>
      <c r="N4136" s="403">
        <v>44742</v>
      </c>
      <c r="O4136" s="292" t="s">
        <v>4123</v>
      </c>
      <c r="P4136" s="448">
        <v>5200</v>
      </c>
      <c r="Q4136" s="295">
        <v>-7</v>
      </c>
      <c r="R4136" s="450">
        <f t="shared" si="134"/>
        <v>-36400</v>
      </c>
      <c r="S4136" s="127">
        <v>202304</v>
      </c>
      <c r="T4136" s="148" t="s">
        <v>5382</v>
      </c>
      <c r="U4136" s="292"/>
      <c r="V4136" s="422"/>
      <c r="W4136" s="159"/>
      <c r="X4136" s="146"/>
      <c r="Y4136" s="146"/>
    </row>
    <row r="4137" s="3" customFormat="1" customHeight="1" spans="1:25">
      <c r="A4137" s="292" t="s">
        <v>444</v>
      </c>
      <c r="B4137" s="292" t="s">
        <v>5007</v>
      </c>
      <c r="C4137" s="154" t="s">
        <v>330</v>
      </c>
      <c r="D4137" s="292" t="s">
        <v>3939</v>
      </c>
      <c r="E4137" s="419" t="s">
        <v>5369</v>
      </c>
      <c r="F4137" s="292" t="s">
        <v>5370</v>
      </c>
      <c r="G4137" s="292" t="s">
        <v>88</v>
      </c>
      <c r="H4137" s="292" t="s">
        <v>5371</v>
      </c>
      <c r="I4137" s="30" t="e">
        <f>VLOOKUP(H4137,'合同高级查询数据-4月返'!A:A,1,FALSE)</f>
        <v>#N/A</v>
      </c>
      <c r="J4137" s="155" t="s">
        <v>162</v>
      </c>
      <c r="K4137" s="292" t="s">
        <v>5084</v>
      </c>
      <c r="L4137" s="292" t="s">
        <v>5378</v>
      </c>
      <c r="M4137" s="113" t="s">
        <v>5376</v>
      </c>
      <c r="N4137" s="403">
        <v>44743</v>
      </c>
      <c r="O4137" s="292" t="s">
        <v>4123</v>
      </c>
      <c r="P4137" s="448">
        <v>5200</v>
      </c>
      <c r="Q4137" s="295">
        <v>7</v>
      </c>
      <c r="R4137" s="450">
        <f t="shared" si="134"/>
        <v>36400</v>
      </c>
      <c r="S4137" s="127">
        <v>202304</v>
      </c>
      <c r="T4137" s="148" t="s">
        <v>5383</v>
      </c>
      <c r="U4137" s="292"/>
      <c r="V4137" s="422"/>
      <c r="W4137" s="159"/>
      <c r="X4137" s="146"/>
      <c r="Y4137" s="146"/>
    </row>
    <row r="4138" s="3" customFormat="1" customHeight="1" spans="1:25">
      <c r="A4138" s="292" t="s">
        <v>444</v>
      </c>
      <c r="B4138" s="292" t="s">
        <v>5007</v>
      </c>
      <c r="C4138" s="154" t="s">
        <v>330</v>
      </c>
      <c r="D4138" s="292" t="s">
        <v>3939</v>
      </c>
      <c r="E4138" s="419" t="s">
        <v>5369</v>
      </c>
      <c r="F4138" s="292" t="s">
        <v>5370</v>
      </c>
      <c r="G4138" s="292" t="s">
        <v>88</v>
      </c>
      <c r="H4138" s="292" t="s">
        <v>5371</v>
      </c>
      <c r="I4138" s="30" t="e">
        <f>VLOOKUP(H4138,'合同高级查询数据-4月返'!A:A,1,FALSE)</f>
        <v>#N/A</v>
      </c>
      <c r="J4138" s="155" t="s">
        <v>162</v>
      </c>
      <c r="K4138" s="292" t="s">
        <v>5384</v>
      </c>
      <c r="L4138" s="292" t="s">
        <v>5385</v>
      </c>
      <c r="M4138" s="113" t="s">
        <v>5376</v>
      </c>
      <c r="N4138" s="403">
        <v>43997</v>
      </c>
      <c r="O4138" s="292" t="s">
        <v>4123</v>
      </c>
      <c r="P4138" s="448">
        <v>5200</v>
      </c>
      <c r="Q4138" s="295">
        <v>6</v>
      </c>
      <c r="R4138" s="450">
        <f t="shared" si="134"/>
        <v>31200</v>
      </c>
      <c r="S4138" s="127">
        <v>202304</v>
      </c>
      <c r="T4138" s="148" t="s">
        <v>5386</v>
      </c>
      <c r="U4138" s="292"/>
      <c r="V4138" s="422"/>
      <c r="W4138" s="159"/>
      <c r="X4138" s="146"/>
      <c r="Y4138" s="146"/>
    </row>
    <row r="4139" s="3" customFormat="1" customHeight="1" spans="1:25">
      <c r="A4139" s="292" t="s">
        <v>444</v>
      </c>
      <c r="B4139" s="292" t="s">
        <v>5007</v>
      </c>
      <c r="C4139" s="154" t="s">
        <v>330</v>
      </c>
      <c r="D4139" s="292" t="s">
        <v>3939</v>
      </c>
      <c r="E4139" s="419" t="s">
        <v>5369</v>
      </c>
      <c r="F4139" s="292" t="s">
        <v>5370</v>
      </c>
      <c r="G4139" s="292" t="s">
        <v>88</v>
      </c>
      <c r="H4139" s="292" t="s">
        <v>5371</v>
      </c>
      <c r="I4139" s="30" t="e">
        <f>VLOOKUP(H4139,'合同高级查询数据-4月返'!A:A,1,FALSE)</f>
        <v>#N/A</v>
      </c>
      <c r="J4139" s="155" t="s">
        <v>162</v>
      </c>
      <c r="K4139" s="292" t="s">
        <v>5084</v>
      </c>
      <c r="L4139" s="292" t="s">
        <v>5375</v>
      </c>
      <c r="M4139" s="113" t="s">
        <v>5373</v>
      </c>
      <c r="N4139" s="403">
        <v>43924</v>
      </c>
      <c r="O4139" s="292" t="s">
        <v>4123</v>
      </c>
      <c r="P4139" s="448">
        <v>5200</v>
      </c>
      <c r="Q4139" s="295">
        <v>2</v>
      </c>
      <c r="R4139" s="450">
        <f t="shared" si="134"/>
        <v>10400</v>
      </c>
      <c r="S4139" s="127">
        <v>202304</v>
      </c>
      <c r="T4139" s="148" t="s">
        <v>5387</v>
      </c>
      <c r="U4139" s="292"/>
      <c r="V4139" s="422"/>
      <c r="W4139" s="159"/>
      <c r="X4139" s="146"/>
      <c r="Y4139" s="146"/>
    </row>
    <row r="4140" s="3" customFormat="1" customHeight="1" spans="1:25">
      <c r="A4140" s="292" t="s">
        <v>444</v>
      </c>
      <c r="B4140" s="292" t="s">
        <v>5007</v>
      </c>
      <c r="C4140" s="154" t="s">
        <v>330</v>
      </c>
      <c r="D4140" s="292" t="s">
        <v>3939</v>
      </c>
      <c r="E4140" s="419" t="s">
        <v>5369</v>
      </c>
      <c r="F4140" s="292" t="s">
        <v>5370</v>
      </c>
      <c r="G4140" s="292" t="s">
        <v>88</v>
      </c>
      <c r="H4140" s="292" t="s">
        <v>5371</v>
      </c>
      <c r="I4140" s="30" t="e">
        <f>VLOOKUP(H4140,'合同高级查询数据-4月返'!A:A,1,FALSE)</f>
        <v>#N/A</v>
      </c>
      <c r="J4140" s="155" t="s">
        <v>162</v>
      </c>
      <c r="K4140" s="292" t="s">
        <v>5388</v>
      </c>
      <c r="L4140" s="292" t="s">
        <v>5389</v>
      </c>
      <c r="M4140" s="113" t="s">
        <v>5390</v>
      </c>
      <c r="N4140" s="403">
        <v>42236</v>
      </c>
      <c r="O4140" s="292" t="s">
        <v>4123</v>
      </c>
      <c r="P4140" s="448">
        <v>5200</v>
      </c>
      <c r="Q4140" s="295">
        <v>4</v>
      </c>
      <c r="R4140" s="450">
        <f t="shared" si="134"/>
        <v>20800</v>
      </c>
      <c r="S4140" s="127">
        <v>202304</v>
      </c>
      <c r="T4140" s="148" t="s">
        <v>5391</v>
      </c>
      <c r="U4140" s="292"/>
      <c r="V4140" s="422"/>
      <c r="W4140" s="159"/>
      <c r="X4140" s="146"/>
      <c r="Y4140" s="146"/>
    </row>
    <row r="4141" s="3" customFormat="1" customHeight="1" spans="1:25">
      <c r="A4141" s="292" t="s">
        <v>444</v>
      </c>
      <c r="B4141" s="292" t="s">
        <v>5007</v>
      </c>
      <c r="C4141" s="154" t="s">
        <v>330</v>
      </c>
      <c r="D4141" s="292" t="s">
        <v>3939</v>
      </c>
      <c r="E4141" s="419" t="s">
        <v>5369</v>
      </c>
      <c r="F4141" s="292" t="s">
        <v>5370</v>
      </c>
      <c r="G4141" s="292" t="s">
        <v>88</v>
      </c>
      <c r="H4141" s="292" t="s">
        <v>5371</v>
      </c>
      <c r="I4141" s="30" t="e">
        <f>VLOOKUP(H4141,'合同高级查询数据-4月返'!A:A,1,FALSE)</f>
        <v>#N/A</v>
      </c>
      <c r="J4141" s="155" t="s">
        <v>162</v>
      </c>
      <c r="K4141" s="292" t="s">
        <v>5388</v>
      </c>
      <c r="L4141" s="292" t="s">
        <v>5389</v>
      </c>
      <c r="M4141" s="113" t="s">
        <v>5390</v>
      </c>
      <c r="N4141" s="403">
        <v>44712</v>
      </c>
      <c r="O4141" s="292" t="s">
        <v>4123</v>
      </c>
      <c r="P4141" s="448">
        <v>5200</v>
      </c>
      <c r="Q4141" s="295">
        <v>-4</v>
      </c>
      <c r="R4141" s="450">
        <f t="shared" si="134"/>
        <v>-20800</v>
      </c>
      <c r="S4141" s="127">
        <v>202304</v>
      </c>
      <c r="T4141" s="148" t="s">
        <v>5391</v>
      </c>
      <c r="U4141" s="292"/>
      <c r="V4141" s="422"/>
      <c r="W4141" s="159"/>
      <c r="X4141" s="146"/>
      <c r="Y4141" s="146"/>
    </row>
    <row r="4142" s="3" customFormat="1" customHeight="1" spans="1:25">
      <c r="A4142" s="292" t="s">
        <v>444</v>
      </c>
      <c r="B4142" s="292" t="s">
        <v>5007</v>
      </c>
      <c r="C4142" s="154" t="s">
        <v>330</v>
      </c>
      <c r="D4142" s="292" t="s">
        <v>3939</v>
      </c>
      <c r="E4142" s="419" t="s">
        <v>5369</v>
      </c>
      <c r="F4142" s="292" t="s">
        <v>5370</v>
      </c>
      <c r="G4142" s="292" t="s">
        <v>88</v>
      </c>
      <c r="H4142" s="292" t="s">
        <v>5371</v>
      </c>
      <c r="I4142" s="30" t="e">
        <f>VLOOKUP(H4142,'合同高级查询数据-4月返'!A:A,1,FALSE)</f>
        <v>#N/A</v>
      </c>
      <c r="J4142" s="155" t="s">
        <v>162</v>
      </c>
      <c r="K4142" s="292" t="s">
        <v>5392</v>
      </c>
      <c r="L4142" s="292" t="s">
        <v>5393</v>
      </c>
      <c r="M4142" s="113" t="s">
        <v>5394</v>
      </c>
      <c r="N4142" s="403">
        <v>43490</v>
      </c>
      <c r="O4142" s="292" t="s">
        <v>4123</v>
      </c>
      <c r="P4142" s="448">
        <v>5200</v>
      </c>
      <c r="Q4142" s="295">
        <v>5</v>
      </c>
      <c r="R4142" s="450">
        <f t="shared" si="134"/>
        <v>26000</v>
      </c>
      <c r="S4142" s="127">
        <v>202304</v>
      </c>
      <c r="T4142" s="148" t="s">
        <v>5395</v>
      </c>
      <c r="U4142" s="292"/>
      <c r="V4142" s="422"/>
      <c r="W4142" s="159"/>
      <c r="X4142" s="146"/>
      <c r="Y4142" s="146"/>
    </row>
    <row r="4143" s="3" customFormat="1" customHeight="1" spans="1:25">
      <c r="A4143" s="292" t="s">
        <v>444</v>
      </c>
      <c r="B4143" s="292" t="s">
        <v>5007</v>
      </c>
      <c r="C4143" s="154" t="s">
        <v>330</v>
      </c>
      <c r="D4143" s="292" t="s">
        <v>3939</v>
      </c>
      <c r="E4143" s="419" t="s">
        <v>5369</v>
      </c>
      <c r="F4143" s="292" t="s">
        <v>5370</v>
      </c>
      <c r="G4143" s="292" t="s">
        <v>88</v>
      </c>
      <c r="H4143" s="292" t="s">
        <v>5371</v>
      </c>
      <c r="I4143" s="30" t="e">
        <f>VLOOKUP(H4143,'合同高级查询数据-4月返'!A:A,1,FALSE)</f>
        <v>#N/A</v>
      </c>
      <c r="J4143" s="155" t="s">
        <v>162</v>
      </c>
      <c r="K4143" s="292" t="s">
        <v>5392</v>
      </c>
      <c r="L4143" s="292" t="s">
        <v>5393</v>
      </c>
      <c r="M4143" s="113" t="s">
        <v>5394</v>
      </c>
      <c r="N4143" s="403">
        <v>43997</v>
      </c>
      <c r="O4143" s="292" t="s">
        <v>4123</v>
      </c>
      <c r="P4143" s="448">
        <v>5200</v>
      </c>
      <c r="Q4143" s="295">
        <v>-5</v>
      </c>
      <c r="R4143" s="450">
        <f t="shared" si="134"/>
        <v>-26000</v>
      </c>
      <c r="S4143" s="127">
        <v>202304</v>
      </c>
      <c r="T4143" s="148" t="s">
        <v>5395</v>
      </c>
      <c r="U4143" s="292"/>
      <c r="V4143" s="422"/>
      <c r="W4143" s="159"/>
      <c r="X4143" s="146"/>
      <c r="Y4143" s="146"/>
    </row>
    <row r="4144" s="3" customFormat="1" customHeight="1" spans="1:25">
      <c r="A4144" s="35" t="s">
        <v>444</v>
      </c>
      <c r="B4144" s="292" t="s">
        <v>5007</v>
      </c>
      <c r="C4144" s="11" t="s">
        <v>330</v>
      </c>
      <c r="D4144" s="11" t="s">
        <v>3939</v>
      </c>
      <c r="E4144" s="30" t="s">
        <v>5369</v>
      </c>
      <c r="F4144" s="35" t="s">
        <v>5370</v>
      </c>
      <c r="G4144" s="142" t="s">
        <v>88</v>
      </c>
      <c r="H4144" s="292" t="s">
        <v>5371</v>
      </c>
      <c r="I4144" s="30" t="e">
        <f>VLOOKUP(H4144,'合同高级查询数据-4月返'!A:A,1,FALSE)</f>
        <v>#N/A</v>
      </c>
      <c r="J4144" s="155" t="s">
        <v>162</v>
      </c>
      <c r="K4144" s="35" t="s">
        <v>5384</v>
      </c>
      <c r="L4144" s="142" t="s">
        <v>5385</v>
      </c>
      <c r="M4144" s="113" t="s">
        <v>5376</v>
      </c>
      <c r="N4144" s="146">
        <v>44531</v>
      </c>
      <c r="O4144" s="142" t="s">
        <v>4123</v>
      </c>
      <c r="P4144" s="448">
        <v>5200</v>
      </c>
      <c r="Q4144" s="295">
        <v>2</v>
      </c>
      <c r="R4144" s="390">
        <f t="shared" si="134"/>
        <v>10400</v>
      </c>
      <c r="S4144" s="127">
        <v>202304</v>
      </c>
      <c r="T4144" s="148" t="s">
        <v>5396</v>
      </c>
      <c r="U4144" s="141"/>
      <c r="V4144" s="422"/>
      <c r="W4144" s="159"/>
      <c r="X4144" s="146"/>
      <c r="Y4144" s="146"/>
    </row>
    <row r="4145" s="3" customFormat="1" customHeight="1" spans="1:25">
      <c r="A4145" s="35" t="s">
        <v>444</v>
      </c>
      <c r="B4145" s="292" t="s">
        <v>5007</v>
      </c>
      <c r="C4145" s="11" t="s">
        <v>330</v>
      </c>
      <c r="D4145" s="11" t="s">
        <v>3939</v>
      </c>
      <c r="E4145" s="30" t="s">
        <v>5369</v>
      </c>
      <c r="F4145" s="35" t="s">
        <v>5370</v>
      </c>
      <c r="G4145" s="142" t="s">
        <v>31</v>
      </c>
      <c r="H4145" s="292" t="s">
        <v>5371</v>
      </c>
      <c r="I4145" s="30" t="e">
        <f>VLOOKUP(H4145,'合同高级查询数据-4月返'!A:A,1,FALSE)</f>
        <v>#N/A</v>
      </c>
      <c r="J4145" s="155" t="s">
        <v>33</v>
      </c>
      <c r="K4145" s="292" t="s">
        <v>5388</v>
      </c>
      <c r="L4145" s="142" t="s">
        <v>5389</v>
      </c>
      <c r="M4145" s="113" t="s">
        <v>5390</v>
      </c>
      <c r="N4145" s="146" t="s">
        <v>4998</v>
      </c>
      <c r="O4145" s="142" t="s">
        <v>37</v>
      </c>
      <c r="P4145" s="448">
        <v>0</v>
      </c>
      <c r="Q4145" s="295">
        <v>256</v>
      </c>
      <c r="R4145" s="390">
        <f t="shared" si="134"/>
        <v>0</v>
      </c>
      <c r="S4145" s="127">
        <v>202304</v>
      </c>
      <c r="T4145" s="148" t="s">
        <v>5397</v>
      </c>
      <c r="U4145" s="141"/>
      <c r="V4145" s="422"/>
      <c r="W4145" s="159"/>
      <c r="X4145" s="146"/>
      <c r="Y4145" s="146"/>
    </row>
    <row r="4146" s="3" customFormat="1" customHeight="1" spans="1:25">
      <c r="A4146" s="35" t="s">
        <v>444</v>
      </c>
      <c r="B4146" s="292" t="s">
        <v>5007</v>
      </c>
      <c r="C4146" s="11" t="s">
        <v>330</v>
      </c>
      <c r="D4146" s="11" t="s">
        <v>3939</v>
      </c>
      <c r="E4146" s="30" t="s">
        <v>5369</v>
      </c>
      <c r="F4146" s="35" t="s">
        <v>5370</v>
      </c>
      <c r="G4146" s="142" t="s">
        <v>31</v>
      </c>
      <c r="H4146" s="292" t="s">
        <v>5371</v>
      </c>
      <c r="I4146" s="30" t="e">
        <f>VLOOKUP(H4146,'合同高级查询数据-4月返'!A:A,1,FALSE)</f>
        <v>#N/A</v>
      </c>
      <c r="J4146" s="155" t="s">
        <v>33</v>
      </c>
      <c r="K4146" s="292" t="s">
        <v>5388</v>
      </c>
      <c r="L4146" s="142" t="s">
        <v>5389</v>
      </c>
      <c r="M4146" s="113" t="s">
        <v>5390</v>
      </c>
      <c r="N4146" s="403">
        <v>44712</v>
      </c>
      <c r="O4146" s="142" t="s">
        <v>37</v>
      </c>
      <c r="P4146" s="448">
        <v>0</v>
      </c>
      <c r="Q4146" s="295">
        <v>-256</v>
      </c>
      <c r="R4146" s="390">
        <f t="shared" si="134"/>
        <v>0</v>
      </c>
      <c r="S4146" s="127">
        <v>202304</v>
      </c>
      <c r="T4146" s="148" t="s">
        <v>5397</v>
      </c>
      <c r="U4146" s="141"/>
      <c r="V4146" s="422"/>
      <c r="W4146" s="159"/>
      <c r="X4146" s="146"/>
      <c r="Y4146" s="146"/>
    </row>
    <row r="4147" s="3" customFormat="1" customHeight="1" spans="1:25">
      <c r="A4147" s="35" t="s">
        <v>444</v>
      </c>
      <c r="B4147" s="292" t="s">
        <v>5007</v>
      </c>
      <c r="C4147" s="11" t="s">
        <v>330</v>
      </c>
      <c r="D4147" s="11" t="s">
        <v>3939</v>
      </c>
      <c r="E4147" s="30" t="s">
        <v>5369</v>
      </c>
      <c r="F4147" s="35" t="s">
        <v>5370</v>
      </c>
      <c r="G4147" s="142" t="s">
        <v>31</v>
      </c>
      <c r="H4147" s="292" t="s">
        <v>5371</v>
      </c>
      <c r="I4147" s="30" t="e">
        <f>VLOOKUP(H4147,'合同高级查询数据-4月返'!A:A,1,FALSE)</f>
        <v>#N/A</v>
      </c>
      <c r="J4147" s="155" t="s">
        <v>33</v>
      </c>
      <c r="K4147" s="292" t="s">
        <v>5084</v>
      </c>
      <c r="L4147" s="142" t="s">
        <v>5372</v>
      </c>
      <c r="M4147" s="113" t="s">
        <v>5373</v>
      </c>
      <c r="N4147" s="146" t="s">
        <v>4998</v>
      </c>
      <c r="O4147" s="142" t="s">
        <v>37</v>
      </c>
      <c r="P4147" s="448">
        <v>0</v>
      </c>
      <c r="Q4147" s="295">
        <v>512</v>
      </c>
      <c r="R4147" s="390">
        <f t="shared" si="134"/>
        <v>0</v>
      </c>
      <c r="S4147" s="127">
        <v>202304</v>
      </c>
      <c r="T4147" s="148" t="s">
        <v>5398</v>
      </c>
      <c r="U4147" s="141"/>
      <c r="V4147" s="422"/>
      <c r="W4147" s="159"/>
      <c r="X4147" s="146"/>
      <c r="Y4147" s="146"/>
    </row>
    <row r="4148" s="3" customFormat="1" customHeight="1" spans="1:25">
      <c r="A4148" s="35" t="s">
        <v>444</v>
      </c>
      <c r="B4148" s="292" t="s">
        <v>5007</v>
      </c>
      <c r="C4148" s="11" t="s">
        <v>330</v>
      </c>
      <c r="D4148" s="11" t="s">
        <v>3939</v>
      </c>
      <c r="E4148" s="30" t="s">
        <v>5369</v>
      </c>
      <c r="F4148" s="35" t="s">
        <v>5370</v>
      </c>
      <c r="G4148" s="142" t="s">
        <v>31</v>
      </c>
      <c r="H4148" s="292" t="s">
        <v>5371</v>
      </c>
      <c r="I4148" s="30" t="e">
        <f>VLOOKUP(H4148,'合同高级查询数据-4月返'!A:A,1,FALSE)</f>
        <v>#N/A</v>
      </c>
      <c r="J4148" s="155" t="s">
        <v>33</v>
      </c>
      <c r="K4148" s="292" t="s">
        <v>5084</v>
      </c>
      <c r="L4148" s="142" t="s">
        <v>5372</v>
      </c>
      <c r="M4148" s="113" t="s">
        <v>5373</v>
      </c>
      <c r="N4148" s="403">
        <v>44712</v>
      </c>
      <c r="O4148" s="142" t="s">
        <v>37</v>
      </c>
      <c r="P4148" s="448">
        <v>0</v>
      </c>
      <c r="Q4148" s="295">
        <v>-512</v>
      </c>
      <c r="R4148" s="390">
        <f t="shared" si="134"/>
        <v>0</v>
      </c>
      <c r="S4148" s="127">
        <v>202304</v>
      </c>
      <c r="T4148" s="148" t="s">
        <v>5398</v>
      </c>
      <c r="U4148" s="141"/>
      <c r="V4148" s="422"/>
      <c r="W4148" s="159"/>
      <c r="X4148" s="146"/>
      <c r="Y4148" s="146"/>
    </row>
    <row r="4149" s="3" customFormat="1" customHeight="1" spans="1:25">
      <c r="A4149" s="35" t="s">
        <v>444</v>
      </c>
      <c r="B4149" s="292" t="s">
        <v>5007</v>
      </c>
      <c r="C4149" s="11" t="s">
        <v>330</v>
      </c>
      <c r="D4149" s="11" t="s">
        <v>3939</v>
      </c>
      <c r="E4149" s="30" t="s">
        <v>5369</v>
      </c>
      <c r="F4149" s="35" t="s">
        <v>5370</v>
      </c>
      <c r="G4149" s="142" t="s">
        <v>31</v>
      </c>
      <c r="H4149" s="292" t="s">
        <v>5371</v>
      </c>
      <c r="I4149" s="30" t="e">
        <f>VLOOKUP(H4149,'合同高级查询数据-4月返'!A:A,1,FALSE)</f>
        <v>#N/A</v>
      </c>
      <c r="J4149" s="155" t="s">
        <v>33</v>
      </c>
      <c r="K4149" s="292" t="s">
        <v>5084</v>
      </c>
      <c r="L4149" s="142" t="s">
        <v>5375</v>
      </c>
      <c r="M4149" s="113" t="s">
        <v>5376</v>
      </c>
      <c r="N4149" s="146" t="s">
        <v>4998</v>
      </c>
      <c r="O4149" s="142" t="s">
        <v>37</v>
      </c>
      <c r="P4149" s="448">
        <v>0</v>
      </c>
      <c r="Q4149" s="295">
        <v>384</v>
      </c>
      <c r="R4149" s="390">
        <f t="shared" si="134"/>
        <v>0</v>
      </c>
      <c r="S4149" s="127">
        <v>202304</v>
      </c>
      <c r="T4149" s="148" t="s">
        <v>5399</v>
      </c>
      <c r="U4149" s="141"/>
      <c r="V4149" s="422"/>
      <c r="W4149" s="159"/>
      <c r="X4149" s="146"/>
      <c r="Y4149" s="146"/>
    </row>
    <row r="4150" s="3" customFormat="1" customHeight="1" spans="1:25">
      <c r="A4150" s="35" t="s">
        <v>444</v>
      </c>
      <c r="B4150" s="292" t="s">
        <v>5007</v>
      </c>
      <c r="C4150" s="11" t="s">
        <v>330</v>
      </c>
      <c r="D4150" s="11" t="s">
        <v>3939</v>
      </c>
      <c r="E4150" s="30" t="s">
        <v>5369</v>
      </c>
      <c r="F4150" s="35" t="s">
        <v>5370</v>
      </c>
      <c r="G4150" s="142" t="s">
        <v>31</v>
      </c>
      <c r="H4150" s="292" t="s">
        <v>5371</v>
      </c>
      <c r="I4150" s="30" t="e">
        <f>VLOOKUP(H4150,'合同高级查询数据-4月返'!A:A,1,FALSE)</f>
        <v>#N/A</v>
      </c>
      <c r="J4150" s="155" t="s">
        <v>33</v>
      </c>
      <c r="K4150" s="292" t="s">
        <v>5084</v>
      </c>
      <c r="L4150" s="142" t="s">
        <v>5378</v>
      </c>
      <c r="M4150" s="113" t="s">
        <v>5376</v>
      </c>
      <c r="N4150" s="146" t="s">
        <v>4998</v>
      </c>
      <c r="O4150" s="142" t="s">
        <v>37</v>
      </c>
      <c r="P4150" s="448">
        <v>0</v>
      </c>
      <c r="Q4150" s="295">
        <v>512</v>
      </c>
      <c r="R4150" s="390">
        <f t="shared" si="134"/>
        <v>0</v>
      </c>
      <c r="S4150" s="127">
        <v>202304</v>
      </c>
      <c r="T4150" s="148" t="s">
        <v>5400</v>
      </c>
      <c r="U4150" s="141"/>
      <c r="V4150" s="422"/>
      <c r="W4150" s="159"/>
      <c r="X4150" s="146"/>
      <c r="Y4150" s="146"/>
    </row>
    <row r="4151" s="3" customFormat="1" customHeight="1" spans="1:25">
      <c r="A4151" s="35" t="s">
        <v>444</v>
      </c>
      <c r="B4151" s="292" t="s">
        <v>5007</v>
      </c>
      <c r="C4151" s="11" t="s">
        <v>330</v>
      </c>
      <c r="D4151" s="11" t="s">
        <v>3939</v>
      </c>
      <c r="E4151" s="30" t="s">
        <v>5369</v>
      </c>
      <c r="F4151" s="35" t="s">
        <v>5370</v>
      </c>
      <c r="G4151" s="142" t="s">
        <v>31</v>
      </c>
      <c r="H4151" s="292" t="s">
        <v>5371</v>
      </c>
      <c r="I4151" s="30" t="e">
        <f>VLOOKUP(H4151,'合同高级查询数据-4月返'!A:A,1,FALSE)</f>
        <v>#N/A</v>
      </c>
      <c r="J4151" s="155" t="s">
        <v>33</v>
      </c>
      <c r="K4151" s="292" t="s">
        <v>5084</v>
      </c>
      <c r="L4151" s="142" t="s">
        <v>5378</v>
      </c>
      <c r="M4151" s="113" t="s">
        <v>5376</v>
      </c>
      <c r="N4151" s="146">
        <v>44743</v>
      </c>
      <c r="O4151" s="142" t="s">
        <v>37</v>
      </c>
      <c r="P4151" s="448">
        <v>0</v>
      </c>
      <c r="Q4151" s="295">
        <v>-256</v>
      </c>
      <c r="R4151" s="390">
        <f t="shared" si="134"/>
        <v>0</v>
      </c>
      <c r="S4151" s="127">
        <v>202304</v>
      </c>
      <c r="T4151" s="148" t="s">
        <v>5401</v>
      </c>
      <c r="U4151" s="141"/>
      <c r="V4151" s="422"/>
      <c r="W4151" s="159"/>
      <c r="X4151" s="146"/>
      <c r="Y4151" s="146"/>
    </row>
    <row r="4152" s="3" customFormat="1" customHeight="1" spans="1:25">
      <c r="A4152" s="35" t="s">
        <v>444</v>
      </c>
      <c r="B4152" s="292" t="s">
        <v>5007</v>
      </c>
      <c r="C4152" s="11" t="s">
        <v>330</v>
      </c>
      <c r="D4152" s="11" t="s">
        <v>3939</v>
      </c>
      <c r="E4152" s="30" t="s">
        <v>5369</v>
      </c>
      <c r="F4152" s="35" t="s">
        <v>5370</v>
      </c>
      <c r="G4152" s="142" t="s">
        <v>31</v>
      </c>
      <c r="H4152" s="292" t="s">
        <v>5371</v>
      </c>
      <c r="I4152" s="30" t="e">
        <f>VLOOKUP(H4152,'合同高级查询数据-4月返'!A:A,1,FALSE)</f>
        <v>#N/A</v>
      </c>
      <c r="J4152" s="155" t="s">
        <v>33</v>
      </c>
      <c r="K4152" s="35" t="s">
        <v>5384</v>
      </c>
      <c r="L4152" s="142" t="s">
        <v>5385</v>
      </c>
      <c r="M4152" s="113" t="s">
        <v>5376</v>
      </c>
      <c r="N4152" s="146">
        <v>44531</v>
      </c>
      <c r="O4152" s="142" t="s">
        <v>37</v>
      </c>
      <c r="P4152" s="448">
        <v>0</v>
      </c>
      <c r="Q4152" s="295">
        <v>128</v>
      </c>
      <c r="R4152" s="390">
        <f t="shared" si="134"/>
        <v>0</v>
      </c>
      <c r="S4152" s="127">
        <v>202304</v>
      </c>
      <c r="T4152" s="148" t="s">
        <v>5402</v>
      </c>
      <c r="U4152" s="141"/>
      <c r="V4152" s="422"/>
      <c r="W4152" s="159"/>
      <c r="X4152" s="146"/>
      <c r="Y4152" s="146"/>
    </row>
    <row r="4153" s="3" customFormat="1" customHeight="1" spans="1:25">
      <c r="A4153" s="35" t="s">
        <v>444</v>
      </c>
      <c r="B4153" s="292" t="s">
        <v>5007</v>
      </c>
      <c r="C4153" s="11" t="s">
        <v>330</v>
      </c>
      <c r="D4153" s="11" t="s">
        <v>3939</v>
      </c>
      <c r="E4153" s="30" t="s">
        <v>5369</v>
      </c>
      <c r="F4153" s="35" t="s">
        <v>5370</v>
      </c>
      <c r="G4153" s="142" t="s">
        <v>31</v>
      </c>
      <c r="H4153" s="292" t="s">
        <v>5371</v>
      </c>
      <c r="I4153" s="30" t="e">
        <f>VLOOKUP(H4153,'合同高级查询数据-4月返'!A:A,1,FALSE)</f>
        <v>#N/A</v>
      </c>
      <c r="J4153" s="155" t="s">
        <v>33</v>
      </c>
      <c r="K4153" s="35" t="s">
        <v>5384</v>
      </c>
      <c r="L4153" s="142" t="s">
        <v>5385</v>
      </c>
      <c r="M4153" s="113" t="s">
        <v>5376</v>
      </c>
      <c r="N4153" s="146">
        <v>44531</v>
      </c>
      <c r="O4153" s="142" t="s">
        <v>179</v>
      </c>
      <c r="P4153" s="448">
        <v>0</v>
      </c>
      <c r="Q4153" s="295">
        <v>1</v>
      </c>
      <c r="R4153" s="390">
        <f t="shared" si="134"/>
        <v>0</v>
      </c>
      <c r="S4153" s="127">
        <v>202304</v>
      </c>
      <c r="T4153" s="148" t="s">
        <v>5403</v>
      </c>
      <c r="U4153" s="141"/>
      <c r="V4153" s="422"/>
      <c r="W4153" s="159"/>
      <c r="X4153" s="146"/>
      <c r="Y4153" s="146"/>
    </row>
    <row r="4154" s="3" customFormat="1" customHeight="1" spans="1:25">
      <c r="A4154" s="292" t="s">
        <v>444</v>
      </c>
      <c r="B4154" s="292" t="s">
        <v>5007</v>
      </c>
      <c r="C4154" s="154" t="s">
        <v>330</v>
      </c>
      <c r="D4154" s="154" t="s">
        <v>3939</v>
      </c>
      <c r="E4154" s="419" t="s">
        <v>5369</v>
      </c>
      <c r="F4154" s="292" t="s">
        <v>5370</v>
      </c>
      <c r="G4154" s="142" t="s">
        <v>88</v>
      </c>
      <c r="H4154" s="292" t="s">
        <v>5371</v>
      </c>
      <c r="I4154" s="30" t="e">
        <f>VLOOKUP(H4154,'合同高级查询数据-4月返'!A:A,1,FALSE)</f>
        <v>#N/A</v>
      </c>
      <c r="J4154" s="155" t="s">
        <v>162</v>
      </c>
      <c r="K4154" s="292" t="s">
        <v>5384</v>
      </c>
      <c r="L4154" s="142" t="s">
        <v>5385</v>
      </c>
      <c r="M4154" s="113" t="s">
        <v>5376</v>
      </c>
      <c r="N4154" s="146">
        <v>44470</v>
      </c>
      <c r="O4154" s="142" t="s">
        <v>4123</v>
      </c>
      <c r="P4154" s="448">
        <v>5200</v>
      </c>
      <c r="Q4154" s="295">
        <v>3</v>
      </c>
      <c r="R4154" s="390">
        <f t="shared" si="134"/>
        <v>15600</v>
      </c>
      <c r="S4154" s="127">
        <v>202304</v>
      </c>
      <c r="T4154" s="148" t="s">
        <v>5404</v>
      </c>
      <c r="U4154" s="141"/>
      <c r="V4154" s="422"/>
      <c r="W4154" s="159"/>
      <c r="X4154" s="146"/>
      <c r="Y4154" s="146"/>
    </row>
    <row r="4155" s="3" customFormat="1" customHeight="1" spans="1:25">
      <c r="A4155" s="292" t="s">
        <v>444</v>
      </c>
      <c r="B4155" s="292" t="s">
        <v>5007</v>
      </c>
      <c r="C4155" s="154" t="s">
        <v>330</v>
      </c>
      <c r="D4155" s="154" t="s">
        <v>3939</v>
      </c>
      <c r="E4155" s="419" t="s">
        <v>5369</v>
      </c>
      <c r="F4155" s="292" t="s">
        <v>5370</v>
      </c>
      <c r="G4155" s="142" t="s">
        <v>88</v>
      </c>
      <c r="H4155" s="292" t="s">
        <v>5371</v>
      </c>
      <c r="I4155" s="30" t="e">
        <f>VLOOKUP(H4155,'合同高级查询数据-4月返'!A:A,1,FALSE)</f>
        <v>#N/A</v>
      </c>
      <c r="J4155" s="155" t="s">
        <v>162</v>
      </c>
      <c r="K4155" s="292" t="s">
        <v>5405</v>
      </c>
      <c r="L4155" s="292" t="s">
        <v>5375</v>
      </c>
      <c r="M4155" s="113" t="s">
        <v>5376</v>
      </c>
      <c r="N4155" s="146">
        <v>44652</v>
      </c>
      <c r="O4155" s="142" t="s">
        <v>4123</v>
      </c>
      <c r="P4155" s="448">
        <v>5200</v>
      </c>
      <c r="Q4155" s="295">
        <v>2</v>
      </c>
      <c r="R4155" s="390">
        <f t="shared" si="134"/>
        <v>10400</v>
      </c>
      <c r="S4155" s="127">
        <v>202304</v>
      </c>
      <c r="T4155" s="148" t="s">
        <v>5406</v>
      </c>
      <c r="U4155" s="141"/>
      <c r="V4155" s="422"/>
      <c r="W4155" s="159"/>
      <c r="X4155" s="146"/>
      <c r="Y4155" s="146"/>
    </row>
    <row r="4156" s="3" customFormat="1" customHeight="1" spans="1:25">
      <c r="A4156" s="292" t="s">
        <v>444</v>
      </c>
      <c r="B4156" s="292" t="s">
        <v>5007</v>
      </c>
      <c r="C4156" s="154" t="s">
        <v>330</v>
      </c>
      <c r="D4156" s="154" t="s">
        <v>3939</v>
      </c>
      <c r="E4156" s="419" t="s">
        <v>5369</v>
      </c>
      <c r="F4156" s="292" t="s">
        <v>5370</v>
      </c>
      <c r="G4156" s="142" t="s">
        <v>31</v>
      </c>
      <c r="H4156" s="292" t="s">
        <v>5371</v>
      </c>
      <c r="I4156" s="30" t="e">
        <f>VLOOKUP(H4156,'合同高级查询数据-4月返'!A:A,1,FALSE)</f>
        <v>#N/A</v>
      </c>
      <c r="J4156" s="155" t="s">
        <v>33</v>
      </c>
      <c r="K4156" s="292" t="s">
        <v>5384</v>
      </c>
      <c r="L4156" s="142" t="s">
        <v>5385</v>
      </c>
      <c r="M4156" s="113" t="s">
        <v>5376</v>
      </c>
      <c r="N4156" s="146">
        <v>44470</v>
      </c>
      <c r="O4156" s="142" t="s">
        <v>37</v>
      </c>
      <c r="P4156" s="400">
        <v>0</v>
      </c>
      <c r="Q4156" s="295">
        <v>128</v>
      </c>
      <c r="R4156" s="390">
        <f t="shared" si="134"/>
        <v>0</v>
      </c>
      <c r="S4156" s="127">
        <v>202304</v>
      </c>
      <c r="T4156" s="148" t="s">
        <v>5407</v>
      </c>
      <c r="U4156" s="141"/>
      <c r="V4156" s="422"/>
      <c r="W4156" s="159"/>
      <c r="X4156" s="146"/>
      <c r="Y4156" s="146"/>
    </row>
    <row r="4157" s="3" customFormat="1" customHeight="1" spans="1:25">
      <c r="A4157" s="292" t="s">
        <v>444</v>
      </c>
      <c r="B4157" s="292" t="s">
        <v>5007</v>
      </c>
      <c r="C4157" s="154" t="s">
        <v>330</v>
      </c>
      <c r="D4157" s="154" t="s">
        <v>3939</v>
      </c>
      <c r="E4157" s="419" t="s">
        <v>5369</v>
      </c>
      <c r="F4157" s="292" t="s">
        <v>5370</v>
      </c>
      <c r="G4157" s="142" t="s">
        <v>31</v>
      </c>
      <c r="H4157" s="292" t="s">
        <v>5371</v>
      </c>
      <c r="I4157" s="30" t="e">
        <f>VLOOKUP(H4157,'合同高级查询数据-4月返'!A:A,1,FALSE)</f>
        <v>#N/A</v>
      </c>
      <c r="J4157" s="155" t="s">
        <v>33</v>
      </c>
      <c r="K4157" s="292" t="s">
        <v>5405</v>
      </c>
      <c r="L4157" s="142" t="s">
        <v>5375</v>
      </c>
      <c r="M4157" s="113" t="s">
        <v>5376</v>
      </c>
      <c r="N4157" s="146">
        <v>44652</v>
      </c>
      <c r="O4157" s="142" t="s">
        <v>37</v>
      </c>
      <c r="P4157" s="400">
        <v>0</v>
      </c>
      <c r="Q4157" s="295">
        <v>128</v>
      </c>
      <c r="R4157" s="390">
        <f t="shared" si="134"/>
        <v>0</v>
      </c>
      <c r="S4157" s="127">
        <v>202304</v>
      </c>
      <c r="T4157" s="148" t="s">
        <v>5408</v>
      </c>
      <c r="U4157" s="141"/>
      <c r="V4157" s="422"/>
      <c r="W4157" s="159"/>
      <c r="X4157" s="146"/>
      <c r="Y4157" s="146"/>
    </row>
    <row r="4158" s="3" customFormat="1" customHeight="1" spans="1:25">
      <c r="A4158" s="292" t="s">
        <v>444</v>
      </c>
      <c r="B4158" s="292" t="s">
        <v>5007</v>
      </c>
      <c r="C4158" s="154" t="s">
        <v>330</v>
      </c>
      <c r="D4158" s="154" t="s">
        <v>3939</v>
      </c>
      <c r="E4158" s="419" t="s">
        <v>5369</v>
      </c>
      <c r="F4158" s="292" t="s">
        <v>5370</v>
      </c>
      <c r="G4158" s="142" t="s">
        <v>31</v>
      </c>
      <c r="H4158" s="292" t="s">
        <v>5371</v>
      </c>
      <c r="I4158" s="30" t="e">
        <f>VLOOKUP(H4158,'合同高级查询数据-4月返'!A:A,1,FALSE)</f>
        <v>#N/A</v>
      </c>
      <c r="J4158" s="155" t="s">
        <v>33</v>
      </c>
      <c r="K4158" s="292" t="s">
        <v>5384</v>
      </c>
      <c r="L4158" s="142" t="s">
        <v>5385</v>
      </c>
      <c r="M4158" s="113" t="s">
        <v>5376</v>
      </c>
      <c r="N4158" s="146">
        <v>44743</v>
      </c>
      <c r="O4158" s="142" t="s">
        <v>37</v>
      </c>
      <c r="P4158" s="400">
        <v>0</v>
      </c>
      <c r="Q4158" s="295">
        <v>256</v>
      </c>
      <c r="R4158" s="390">
        <f t="shared" si="134"/>
        <v>0</v>
      </c>
      <c r="S4158" s="127">
        <v>202304</v>
      </c>
      <c r="T4158" s="148" t="s">
        <v>5409</v>
      </c>
      <c r="U4158" s="141"/>
      <c r="V4158" s="422"/>
      <c r="W4158" s="159"/>
      <c r="X4158" s="146"/>
      <c r="Y4158" s="146"/>
    </row>
    <row r="4159" s="3" customFormat="1" customHeight="1" spans="1:25">
      <c r="A4159" s="292" t="s">
        <v>444</v>
      </c>
      <c r="B4159" s="292" t="s">
        <v>5007</v>
      </c>
      <c r="C4159" s="154" t="s">
        <v>330</v>
      </c>
      <c r="D4159" s="154" t="s">
        <v>3939</v>
      </c>
      <c r="E4159" s="419" t="s">
        <v>5369</v>
      </c>
      <c r="F4159" s="292" t="s">
        <v>5370</v>
      </c>
      <c r="G4159" s="142" t="s">
        <v>31</v>
      </c>
      <c r="H4159" s="292" t="s">
        <v>5410</v>
      </c>
      <c r="I4159" s="30" t="e">
        <f>VLOOKUP(H4159,'合同高级查询数据-4月返'!A:A,1,FALSE)</f>
        <v>#N/A</v>
      </c>
      <c r="J4159" s="155" t="s">
        <v>33</v>
      </c>
      <c r="K4159" s="292" t="s">
        <v>5411</v>
      </c>
      <c r="L4159" s="142" t="s">
        <v>5412</v>
      </c>
      <c r="M4159" s="113" t="s">
        <v>5376</v>
      </c>
      <c r="N4159" s="146">
        <v>44904</v>
      </c>
      <c r="O4159" s="142" t="s">
        <v>37</v>
      </c>
      <c r="P4159" s="400">
        <v>0</v>
      </c>
      <c r="Q4159" s="295">
        <v>160</v>
      </c>
      <c r="R4159" s="390">
        <f t="shared" si="134"/>
        <v>0</v>
      </c>
      <c r="S4159" s="127">
        <v>202304</v>
      </c>
      <c r="T4159" s="148" t="s">
        <v>5413</v>
      </c>
      <c r="U4159" s="141"/>
      <c r="V4159" s="422"/>
      <c r="W4159" s="159"/>
      <c r="X4159" s="146"/>
      <c r="Y4159" s="146"/>
    </row>
    <row r="4160" s="5" customFormat="1" customHeight="1" spans="1:25">
      <c r="A4160" s="203" t="s">
        <v>444</v>
      </c>
      <c r="B4160" s="204" t="s">
        <v>4284</v>
      </c>
      <c r="C4160" s="204" t="s">
        <v>5017</v>
      </c>
      <c r="D4160" s="204" t="s">
        <v>3939</v>
      </c>
      <c r="E4160" s="205" t="s">
        <v>5414</v>
      </c>
      <c r="F4160" s="203" t="s">
        <v>5415</v>
      </c>
      <c r="G4160" s="203" t="s">
        <v>88</v>
      </c>
      <c r="H4160" s="25" t="s">
        <v>5416</v>
      </c>
      <c r="I4160" s="46" t="str">
        <f>VLOOKUP(H4160,'合同高级查询数据-4月返'!A:A,1,FALSE)</f>
        <v>182315IDC00155</v>
      </c>
      <c r="J4160" s="47" t="s">
        <v>2423</v>
      </c>
      <c r="K4160" s="203" t="s">
        <v>5034</v>
      </c>
      <c r="L4160" s="206" t="s">
        <v>5417</v>
      </c>
      <c r="M4160" s="49" t="s">
        <v>5418</v>
      </c>
      <c r="N4160" s="73" t="s">
        <v>5419</v>
      </c>
      <c r="O4160" s="73" t="s">
        <v>163</v>
      </c>
      <c r="P4160" s="396">
        <v>5000</v>
      </c>
      <c r="Q4160" s="212">
        <v>2</v>
      </c>
      <c r="R4160" s="386">
        <f t="shared" si="134"/>
        <v>10000</v>
      </c>
      <c r="S4160" s="115">
        <v>202304</v>
      </c>
      <c r="T4160" s="184" t="s">
        <v>5420</v>
      </c>
      <c r="U4160" s="213"/>
      <c r="V4160" s="418"/>
      <c r="W4160" s="214"/>
      <c r="X4160" s="73">
        <v>44927</v>
      </c>
      <c r="Y4160" s="73">
        <v>45107</v>
      </c>
    </row>
    <row r="4161" s="5" customFormat="1" customHeight="1" spans="1:25">
      <c r="A4161" s="203" t="s">
        <v>444</v>
      </c>
      <c r="B4161" s="204" t="s">
        <v>4284</v>
      </c>
      <c r="C4161" s="204" t="s">
        <v>5017</v>
      </c>
      <c r="D4161" s="204" t="s">
        <v>3939</v>
      </c>
      <c r="E4161" s="205" t="s">
        <v>5414</v>
      </c>
      <c r="F4161" s="203" t="s">
        <v>5415</v>
      </c>
      <c r="G4161" s="203" t="s">
        <v>88</v>
      </c>
      <c r="H4161" s="25" t="s">
        <v>5416</v>
      </c>
      <c r="I4161" s="46" t="str">
        <f>VLOOKUP(H4161,'合同高级查询数据-4月返'!A:A,1,FALSE)</f>
        <v>182315IDC00155</v>
      </c>
      <c r="J4161" s="47" t="s">
        <v>2423</v>
      </c>
      <c r="K4161" s="203" t="s">
        <v>5034</v>
      </c>
      <c r="L4161" s="206" t="s">
        <v>5417</v>
      </c>
      <c r="M4161" s="49" t="s">
        <v>5418</v>
      </c>
      <c r="N4161" s="73">
        <v>43951</v>
      </c>
      <c r="O4161" s="73" t="s">
        <v>163</v>
      </c>
      <c r="P4161" s="396">
        <v>5000</v>
      </c>
      <c r="Q4161" s="212">
        <v>-2</v>
      </c>
      <c r="R4161" s="386">
        <f t="shared" si="134"/>
        <v>-10000</v>
      </c>
      <c r="S4161" s="115">
        <v>202304</v>
      </c>
      <c r="T4161" s="184" t="s">
        <v>5420</v>
      </c>
      <c r="U4161" s="213"/>
      <c r="V4161" s="418"/>
      <c r="W4161" s="214"/>
      <c r="X4161" s="73">
        <v>44927</v>
      </c>
      <c r="Y4161" s="73">
        <v>45107</v>
      </c>
    </row>
    <row r="4162" s="5" customFormat="1" customHeight="1" spans="1:25">
      <c r="A4162" s="203" t="s">
        <v>444</v>
      </c>
      <c r="B4162" s="204" t="s">
        <v>4284</v>
      </c>
      <c r="C4162" s="204" t="s">
        <v>5017</v>
      </c>
      <c r="D4162" s="204" t="s">
        <v>3939</v>
      </c>
      <c r="E4162" s="205" t="s">
        <v>5414</v>
      </c>
      <c r="F4162" s="203" t="s">
        <v>5415</v>
      </c>
      <c r="G4162" s="203" t="s">
        <v>88</v>
      </c>
      <c r="H4162" s="25" t="s">
        <v>5416</v>
      </c>
      <c r="I4162" s="46" t="str">
        <f>VLOOKUP(H4162,'合同高级查询数据-4月返'!A:A,1,FALSE)</f>
        <v>182315IDC00155</v>
      </c>
      <c r="J4162" s="47" t="s">
        <v>2423</v>
      </c>
      <c r="K4162" s="203" t="s">
        <v>5037</v>
      </c>
      <c r="L4162" s="206" t="s">
        <v>5421</v>
      </c>
      <c r="M4162" s="49" t="s">
        <v>5422</v>
      </c>
      <c r="N4162" s="73">
        <v>43344</v>
      </c>
      <c r="O4162" s="73" t="s">
        <v>163</v>
      </c>
      <c r="P4162" s="396">
        <v>5000</v>
      </c>
      <c r="Q4162" s="212">
        <v>1</v>
      </c>
      <c r="R4162" s="386">
        <f t="shared" si="134"/>
        <v>5000</v>
      </c>
      <c r="S4162" s="115">
        <v>202304</v>
      </c>
      <c r="T4162" s="184" t="s">
        <v>5423</v>
      </c>
      <c r="U4162" s="213"/>
      <c r="V4162" s="418"/>
      <c r="W4162" s="214"/>
      <c r="X4162" s="73">
        <v>44927</v>
      </c>
      <c r="Y4162" s="73">
        <v>45107</v>
      </c>
    </row>
    <row r="4163" s="5" customFormat="1" customHeight="1" spans="1:25">
      <c r="A4163" s="203" t="s">
        <v>444</v>
      </c>
      <c r="B4163" s="204" t="s">
        <v>4284</v>
      </c>
      <c r="C4163" s="204" t="s">
        <v>5017</v>
      </c>
      <c r="D4163" s="204" t="s">
        <v>3939</v>
      </c>
      <c r="E4163" s="205" t="s">
        <v>5414</v>
      </c>
      <c r="F4163" s="203" t="s">
        <v>5415</v>
      </c>
      <c r="G4163" s="203" t="s">
        <v>88</v>
      </c>
      <c r="H4163" s="25" t="s">
        <v>5416</v>
      </c>
      <c r="I4163" s="46" t="str">
        <f>VLOOKUP(H4163,'合同高级查询数据-4月返'!A:A,1,FALSE)</f>
        <v>182315IDC00155</v>
      </c>
      <c r="J4163" s="47" t="s">
        <v>2423</v>
      </c>
      <c r="K4163" s="203" t="s">
        <v>5037</v>
      </c>
      <c r="L4163" s="206" t="s">
        <v>5421</v>
      </c>
      <c r="M4163" s="49" t="s">
        <v>5422</v>
      </c>
      <c r="N4163" s="73">
        <v>43435</v>
      </c>
      <c r="O4163" s="73" t="s">
        <v>163</v>
      </c>
      <c r="P4163" s="396">
        <v>5000</v>
      </c>
      <c r="Q4163" s="212">
        <v>2</v>
      </c>
      <c r="R4163" s="386">
        <f t="shared" si="134"/>
        <v>10000</v>
      </c>
      <c r="S4163" s="115">
        <v>202304</v>
      </c>
      <c r="T4163" s="184" t="s">
        <v>5424</v>
      </c>
      <c r="U4163" s="213"/>
      <c r="V4163" s="418"/>
      <c r="W4163" s="214"/>
      <c r="X4163" s="73">
        <v>44927</v>
      </c>
      <c r="Y4163" s="73">
        <v>45107</v>
      </c>
    </row>
    <row r="4164" s="5" customFormat="1" customHeight="1" spans="1:25">
      <c r="A4164" s="203" t="s">
        <v>444</v>
      </c>
      <c r="B4164" s="204" t="s">
        <v>4284</v>
      </c>
      <c r="C4164" s="204" t="s">
        <v>5017</v>
      </c>
      <c r="D4164" s="204" t="s">
        <v>3939</v>
      </c>
      <c r="E4164" s="205" t="s">
        <v>5414</v>
      </c>
      <c r="F4164" s="203" t="s">
        <v>5415</v>
      </c>
      <c r="G4164" s="203" t="s">
        <v>88</v>
      </c>
      <c r="H4164" s="25" t="s">
        <v>5416</v>
      </c>
      <c r="I4164" s="46" t="str">
        <f>VLOOKUP(H4164,'合同高级查询数据-4月返'!A:A,1,FALSE)</f>
        <v>182315IDC00155</v>
      </c>
      <c r="J4164" s="47" t="s">
        <v>2423</v>
      </c>
      <c r="K4164" s="203" t="s">
        <v>5037</v>
      </c>
      <c r="L4164" s="206" t="s">
        <v>5421</v>
      </c>
      <c r="M4164" s="49" t="s">
        <v>5422</v>
      </c>
      <c r="N4164" s="73">
        <v>43497</v>
      </c>
      <c r="O4164" s="73" t="s">
        <v>163</v>
      </c>
      <c r="P4164" s="396">
        <v>5000</v>
      </c>
      <c r="Q4164" s="212">
        <v>3</v>
      </c>
      <c r="R4164" s="386">
        <f t="shared" si="134"/>
        <v>15000</v>
      </c>
      <c r="S4164" s="115">
        <v>202304</v>
      </c>
      <c r="T4164" s="184" t="s">
        <v>5425</v>
      </c>
      <c r="U4164" s="213"/>
      <c r="V4164" s="418"/>
      <c r="W4164" s="214"/>
      <c r="X4164" s="73">
        <v>44927</v>
      </c>
      <c r="Y4164" s="73">
        <v>45107</v>
      </c>
    </row>
    <row r="4165" s="5" customFormat="1" customHeight="1" spans="1:25">
      <c r="A4165" s="203" t="s">
        <v>444</v>
      </c>
      <c r="B4165" s="204" t="s">
        <v>4284</v>
      </c>
      <c r="C4165" s="204" t="s">
        <v>5017</v>
      </c>
      <c r="D4165" s="204" t="s">
        <v>3939</v>
      </c>
      <c r="E4165" s="205" t="s">
        <v>5414</v>
      </c>
      <c r="F4165" s="203" t="s">
        <v>5415</v>
      </c>
      <c r="G4165" s="203" t="s">
        <v>31</v>
      </c>
      <c r="H4165" s="25" t="s">
        <v>5416</v>
      </c>
      <c r="I4165" s="46" t="str">
        <f>VLOOKUP(H4165,'合同高级查询数据-4月返'!A:A,1,FALSE)</f>
        <v>182315IDC00155</v>
      </c>
      <c r="J4165" s="47" t="s">
        <v>33</v>
      </c>
      <c r="K4165" s="203" t="s">
        <v>5037</v>
      </c>
      <c r="L4165" s="206" t="s">
        <v>5421</v>
      </c>
      <c r="M4165" s="49" t="s">
        <v>5422</v>
      </c>
      <c r="N4165" s="73" t="s">
        <v>5419</v>
      </c>
      <c r="O4165" s="73" t="s">
        <v>37</v>
      </c>
      <c r="P4165" s="396">
        <v>0</v>
      </c>
      <c r="Q4165" s="212">
        <v>352</v>
      </c>
      <c r="R4165" s="386">
        <f t="shared" si="134"/>
        <v>0</v>
      </c>
      <c r="S4165" s="115">
        <v>202304</v>
      </c>
      <c r="T4165" s="184" t="s">
        <v>5426</v>
      </c>
      <c r="U4165" s="213"/>
      <c r="V4165" s="418"/>
      <c r="W4165" s="214"/>
      <c r="X4165" s="73">
        <v>44927</v>
      </c>
      <c r="Y4165" s="73">
        <v>45107</v>
      </c>
    </row>
    <row r="4166" s="5" customFormat="1" customHeight="1" spans="1:25">
      <c r="A4166" s="203" t="s">
        <v>444</v>
      </c>
      <c r="B4166" s="204" t="s">
        <v>4284</v>
      </c>
      <c r="C4166" s="204" t="s">
        <v>5017</v>
      </c>
      <c r="D4166" s="204" t="s">
        <v>3939</v>
      </c>
      <c r="E4166" s="205" t="s">
        <v>5414</v>
      </c>
      <c r="F4166" s="203" t="s">
        <v>5415</v>
      </c>
      <c r="G4166" s="203" t="s">
        <v>31</v>
      </c>
      <c r="H4166" s="25" t="s">
        <v>5416</v>
      </c>
      <c r="I4166" s="46" t="str">
        <f>VLOOKUP(H4166,'合同高级查询数据-4月返'!A:A,1,FALSE)</f>
        <v>182315IDC00155</v>
      </c>
      <c r="J4166" s="47" t="s">
        <v>33</v>
      </c>
      <c r="K4166" s="203" t="s">
        <v>5037</v>
      </c>
      <c r="L4166" s="206" t="s">
        <v>5421</v>
      </c>
      <c r="M4166" s="49" t="s">
        <v>5422</v>
      </c>
      <c r="N4166" s="73" t="s">
        <v>5419</v>
      </c>
      <c r="O4166" s="73" t="s">
        <v>37</v>
      </c>
      <c r="P4166" s="396">
        <v>30</v>
      </c>
      <c r="Q4166" s="212">
        <v>64</v>
      </c>
      <c r="R4166" s="386">
        <f t="shared" si="134"/>
        <v>1920</v>
      </c>
      <c r="S4166" s="115">
        <v>202304</v>
      </c>
      <c r="T4166" s="184" t="s">
        <v>5427</v>
      </c>
      <c r="U4166" s="213"/>
      <c r="V4166" s="418"/>
      <c r="W4166" s="214"/>
      <c r="X4166" s="73">
        <v>44927</v>
      </c>
      <c r="Y4166" s="73">
        <v>45107</v>
      </c>
    </row>
    <row r="4167" s="5" customFormat="1" customHeight="1" spans="1:25">
      <c r="A4167" s="203" t="s">
        <v>444</v>
      </c>
      <c r="B4167" s="204" t="s">
        <v>4284</v>
      </c>
      <c r="C4167" s="204" t="s">
        <v>5017</v>
      </c>
      <c r="D4167" s="204" t="s">
        <v>3939</v>
      </c>
      <c r="E4167" s="205" t="s">
        <v>5414</v>
      </c>
      <c r="F4167" s="203" t="s">
        <v>5415</v>
      </c>
      <c r="G4167" s="203" t="s">
        <v>88</v>
      </c>
      <c r="H4167" s="25" t="s">
        <v>5416</v>
      </c>
      <c r="I4167" s="46" t="str">
        <f>VLOOKUP(H4167,'合同高级查询数据-4月返'!A:A,1,FALSE)</f>
        <v>182315IDC00155</v>
      </c>
      <c r="J4167" s="47" t="s">
        <v>2423</v>
      </c>
      <c r="K4167" s="203" t="s">
        <v>5428</v>
      </c>
      <c r="L4167" s="206" t="s">
        <v>5417</v>
      </c>
      <c r="M4167" s="49" t="s">
        <v>5418</v>
      </c>
      <c r="N4167" s="73">
        <v>44450</v>
      </c>
      <c r="O4167" s="73" t="s">
        <v>163</v>
      </c>
      <c r="P4167" s="396">
        <v>5000</v>
      </c>
      <c r="Q4167" s="212">
        <v>2</v>
      </c>
      <c r="R4167" s="386">
        <f t="shared" si="134"/>
        <v>10000</v>
      </c>
      <c r="S4167" s="115">
        <v>202304</v>
      </c>
      <c r="T4167" s="184" t="s">
        <v>5429</v>
      </c>
      <c r="U4167" s="213"/>
      <c r="V4167" s="418"/>
      <c r="W4167" s="214"/>
      <c r="X4167" s="73">
        <v>44927</v>
      </c>
      <c r="Y4167" s="73">
        <v>45107</v>
      </c>
    </row>
    <row r="4168" s="5" customFormat="1" customHeight="1" spans="1:25">
      <c r="A4168" s="203" t="s">
        <v>444</v>
      </c>
      <c r="B4168" s="204" t="s">
        <v>4284</v>
      </c>
      <c r="C4168" s="204" t="s">
        <v>5017</v>
      </c>
      <c r="D4168" s="204" t="s">
        <v>3939</v>
      </c>
      <c r="E4168" s="205" t="s">
        <v>5414</v>
      </c>
      <c r="F4168" s="203" t="s">
        <v>5415</v>
      </c>
      <c r="G4168" s="203" t="s">
        <v>31</v>
      </c>
      <c r="H4168" s="25" t="s">
        <v>5416</v>
      </c>
      <c r="I4168" s="46" t="str">
        <f>VLOOKUP(H4168,'合同高级查询数据-4月返'!A:A,1,FALSE)</f>
        <v>182315IDC00155</v>
      </c>
      <c r="J4168" s="47" t="s">
        <v>33</v>
      </c>
      <c r="K4168" s="203" t="s">
        <v>5428</v>
      </c>
      <c r="L4168" s="206" t="s">
        <v>5417</v>
      </c>
      <c r="M4168" s="49" t="s">
        <v>5418</v>
      </c>
      <c r="N4168" s="73">
        <v>44450</v>
      </c>
      <c r="O4168" s="73" t="s">
        <v>37</v>
      </c>
      <c r="P4168" s="396">
        <v>0</v>
      </c>
      <c r="Q4168" s="212">
        <v>128</v>
      </c>
      <c r="R4168" s="386">
        <f t="shared" si="134"/>
        <v>0</v>
      </c>
      <c r="S4168" s="115">
        <v>202304</v>
      </c>
      <c r="T4168" s="184" t="s">
        <v>5430</v>
      </c>
      <c r="U4168" s="213"/>
      <c r="V4168" s="418"/>
      <c r="W4168" s="214"/>
      <c r="X4168" s="73">
        <v>44927</v>
      </c>
      <c r="Y4168" s="73">
        <v>45107</v>
      </c>
    </row>
    <row r="4169" s="5" customFormat="1" customHeight="1" spans="1:25">
      <c r="A4169" s="203" t="s">
        <v>444</v>
      </c>
      <c r="B4169" s="204" t="s">
        <v>4284</v>
      </c>
      <c r="C4169" s="204" t="s">
        <v>5017</v>
      </c>
      <c r="D4169" s="204" t="s">
        <v>3939</v>
      </c>
      <c r="E4169" s="205" t="s">
        <v>5414</v>
      </c>
      <c r="F4169" s="203" t="s">
        <v>5415</v>
      </c>
      <c r="G4169" s="203" t="s">
        <v>88</v>
      </c>
      <c r="H4169" s="25" t="s">
        <v>5416</v>
      </c>
      <c r="I4169" s="46" t="str">
        <f>VLOOKUP(H4169,'合同高级查询数据-4月返'!A:A,1,FALSE)</f>
        <v>182315IDC00155</v>
      </c>
      <c r="J4169" s="47" t="s">
        <v>2423</v>
      </c>
      <c r="K4169" s="203" t="s">
        <v>5431</v>
      </c>
      <c r="L4169" s="206" t="s">
        <v>5421</v>
      </c>
      <c r="M4169" s="49" t="s">
        <v>5422</v>
      </c>
      <c r="N4169" s="73">
        <v>44470</v>
      </c>
      <c r="O4169" s="73" t="s">
        <v>163</v>
      </c>
      <c r="P4169" s="396">
        <v>5000</v>
      </c>
      <c r="Q4169" s="212">
        <v>1</v>
      </c>
      <c r="R4169" s="386">
        <f t="shared" si="134"/>
        <v>5000</v>
      </c>
      <c r="S4169" s="115">
        <v>202304</v>
      </c>
      <c r="T4169" s="184" t="s">
        <v>5432</v>
      </c>
      <c r="U4169" s="213"/>
      <c r="V4169" s="418"/>
      <c r="W4169" s="214"/>
      <c r="X4169" s="73">
        <v>44927</v>
      </c>
      <c r="Y4169" s="73">
        <v>45107</v>
      </c>
    </row>
    <row r="4170" s="5" customFormat="1" customHeight="1" spans="1:25">
      <c r="A4170" s="203" t="s">
        <v>444</v>
      </c>
      <c r="B4170" s="204" t="s">
        <v>4284</v>
      </c>
      <c r="C4170" s="204" t="s">
        <v>5017</v>
      </c>
      <c r="D4170" s="204" t="s">
        <v>3939</v>
      </c>
      <c r="E4170" s="205" t="s">
        <v>5414</v>
      </c>
      <c r="F4170" s="203" t="s">
        <v>5415</v>
      </c>
      <c r="G4170" s="203" t="s">
        <v>88</v>
      </c>
      <c r="H4170" s="25" t="s">
        <v>5416</v>
      </c>
      <c r="I4170" s="46" t="str">
        <f>VLOOKUP(H4170,'合同高级查询数据-4月返'!A:A,1,FALSE)</f>
        <v>182315IDC00155</v>
      </c>
      <c r="J4170" s="47" t="s">
        <v>2423</v>
      </c>
      <c r="K4170" s="203" t="s">
        <v>5428</v>
      </c>
      <c r="L4170" s="206" t="s">
        <v>5417</v>
      </c>
      <c r="M4170" s="49" t="s">
        <v>5418</v>
      </c>
      <c r="N4170" s="73">
        <v>44895</v>
      </c>
      <c r="O4170" s="73" t="s">
        <v>163</v>
      </c>
      <c r="P4170" s="396">
        <v>5000</v>
      </c>
      <c r="Q4170" s="212">
        <v>-2</v>
      </c>
      <c r="R4170" s="386">
        <f t="shared" si="134"/>
        <v>-10000</v>
      </c>
      <c r="S4170" s="115">
        <v>202304</v>
      </c>
      <c r="T4170" s="184" t="s">
        <v>5433</v>
      </c>
      <c r="U4170" s="213"/>
      <c r="V4170" s="418"/>
      <c r="W4170" s="214"/>
      <c r="X4170" s="73">
        <v>44927</v>
      </c>
      <c r="Y4170" s="73">
        <v>45107</v>
      </c>
    </row>
    <row r="4171" s="5" customFormat="1" customHeight="1" spans="1:25">
      <c r="A4171" s="203" t="s">
        <v>444</v>
      </c>
      <c r="B4171" s="204" t="s">
        <v>4284</v>
      </c>
      <c r="C4171" s="204" t="s">
        <v>5017</v>
      </c>
      <c r="D4171" s="204" t="s">
        <v>3939</v>
      </c>
      <c r="E4171" s="205" t="s">
        <v>5414</v>
      </c>
      <c r="F4171" s="203" t="s">
        <v>5415</v>
      </c>
      <c r="G4171" s="203" t="s">
        <v>88</v>
      </c>
      <c r="H4171" s="25" t="s">
        <v>5416</v>
      </c>
      <c r="I4171" s="46" t="str">
        <f>VLOOKUP(H4171,'合同高级查询数据-4月返'!A:A,1,FALSE)</f>
        <v>182315IDC00155</v>
      </c>
      <c r="J4171" s="47" t="s">
        <v>2423</v>
      </c>
      <c r="K4171" s="203" t="s">
        <v>5434</v>
      </c>
      <c r="L4171" s="206" t="s">
        <v>5435</v>
      </c>
      <c r="M4171" s="49" t="s">
        <v>5418</v>
      </c>
      <c r="N4171" s="73">
        <v>44899</v>
      </c>
      <c r="O4171" s="73" t="s">
        <v>163</v>
      </c>
      <c r="P4171" s="396">
        <v>5000</v>
      </c>
      <c r="Q4171" s="212">
        <v>3</v>
      </c>
      <c r="R4171" s="114">
        <f t="shared" si="134"/>
        <v>15000</v>
      </c>
      <c r="S4171" s="115">
        <v>202304</v>
      </c>
      <c r="T4171" s="184" t="s">
        <v>5436</v>
      </c>
      <c r="U4171" s="213"/>
      <c r="V4171" s="418"/>
      <c r="W4171" s="214"/>
      <c r="X4171" s="73">
        <v>44927</v>
      </c>
      <c r="Y4171" s="73">
        <v>45107</v>
      </c>
    </row>
    <row r="4172" s="5" customFormat="1" customHeight="1" spans="1:25">
      <c r="A4172" s="203" t="s">
        <v>444</v>
      </c>
      <c r="B4172" s="204" t="s">
        <v>4284</v>
      </c>
      <c r="C4172" s="204" t="s">
        <v>5017</v>
      </c>
      <c r="D4172" s="204" t="s">
        <v>3939</v>
      </c>
      <c r="E4172" s="205" t="s">
        <v>5414</v>
      </c>
      <c r="F4172" s="203" t="s">
        <v>5415</v>
      </c>
      <c r="G4172" s="203" t="s">
        <v>31</v>
      </c>
      <c r="H4172" s="25" t="s">
        <v>5416</v>
      </c>
      <c r="I4172" s="46" t="str">
        <f>VLOOKUP(H4172,'合同高级查询数据-4月返'!A:A,1,FALSE)</f>
        <v>182315IDC00155</v>
      </c>
      <c r="J4172" s="47" t="s">
        <v>33</v>
      </c>
      <c r="K4172" s="203" t="s">
        <v>5428</v>
      </c>
      <c r="L4172" s="206" t="s">
        <v>5417</v>
      </c>
      <c r="M4172" s="49" t="s">
        <v>5418</v>
      </c>
      <c r="N4172" s="73">
        <v>44531</v>
      </c>
      <c r="O4172" s="73" t="s">
        <v>179</v>
      </c>
      <c r="P4172" s="396">
        <v>0</v>
      </c>
      <c r="Q4172" s="212">
        <v>1</v>
      </c>
      <c r="R4172" s="386">
        <f t="shared" si="134"/>
        <v>0</v>
      </c>
      <c r="S4172" s="115">
        <v>202304</v>
      </c>
      <c r="T4172" s="184" t="s">
        <v>5437</v>
      </c>
      <c r="U4172" s="213"/>
      <c r="V4172" s="418"/>
      <c r="W4172" s="214"/>
      <c r="X4172" s="73">
        <v>44927</v>
      </c>
      <c r="Y4172" s="73">
        <v>45107</v>
      </c>
    </row>
    <row r="4173" s="5" customFormat="1" customHeight="1" spans="1:25">
      <c r="A4173" s="203" t="s">
        <v>444</v>
      </c>
      <c r="B4173" s="204" t="s">
        <v>4284</v>
      </c>
      <c r="C4173" s="204" t="s">
        <v>5017</v>
      </c>
      <c r="D4173" s="204" t="s">
        <v>3939</v>
      </c>
      <c r="E4173" s="205" t="s">
        <v>5414</v>
      </c>
      <c r="F4173" s="203" t="s">
        <v>5415</v>
      </c>
      <c r="G4173" s="203" t="s">
        <v>31</v>
      </c>
      <c r="H4173" s="25" t="s">
        <v>5416</v>
      </c>
      <c r="I4173" s="46" t="str">
        <f>VLOOKUP(H4173,'合同高级查询数据-4月返'!A:A,1,FALSE)</f>
        <v>182315IDC00155</v>
      </c>
      <c r="J4173" s="47" t="s">
        <v>33</v>
      </c>
      <c r="K4173" s="203" t="s">
        <v>5037</v>
      </c>
      <c r="L4173" s="206" t="s">
        <v>5421</v>
      </c>
      <c r="M4173" s="49" t="s">
        <v>5422</v>
      </c>
      <c r="N4173" s="73">
        <v>44895</v>
      </c>
      <c r="O4173" s="73" t="s">
        <v>37</v>
      </c>
      <c r="P4173" s="396">
        <v>30</v>
      </c>
      <c r="Q4173" s="212">
        <v>-64</v>
      </c>
      <c r="R4173" s="386">
        <f t="shared" si="134"/>
        <v>-1920</v>
      </c>
      <c r="S4173" s="115">
        <v>202304</v>
      </c>
      <c r="T4173" s="184" t="s">
        <v>5438</v>
      </c>
      <c r="U4173" s="213"/>
      <c r="V4173" s="418"/>
      <c r="W4173" s="214"/>
      <c r="X4173" s="73">
        <v>44927</v>
      </c>
      <c r="Y4173" s="73">
        <v>45107</v>
      </c>
    </row>
    <row r="4174" s="5" customFormat="1" customHeight="1" spans="1:25">
      <c r="A4174" s="203" t="s">
        <v>444</v>
      </c>
      <c r="B4174" s="204" t="s">
        <v>4284</v>
      </c>
      <c r="C4174" s="204" t="s">
        <v>5017</v>
      </c>
      <c r="D4174" s="204" t="s">
        <v>3939</v>
      </c>
      <c r="E4174" s="205" t="s">
        <v>5414</v>
      </c>
      <c r="F4174" s="203" t="s">
        <v>5415</v>
      </c>
      <c r="G4174" s="203" t="s">
        <v>31</v>
      </c>
      <c r="H4174" s="25" t="s">
        <v>5416</v>
      </c>
      <c r="I4174" s="46" t="str">
        <f>VLOOKUP(H4174,'合同高级查询数据-4月返'!A:A,1,FALSE)</f>
        <v>182315IDC00155</v>
      </c>
      <c r="J4174" s="47" t="s">
        <v>33</v>
      </c>
      <c r="K4174" s="203" t="s">
        <v>5037</v>
      </c>
      <c r="L4174" s="206" t="s">
        <v>5421</v>
      </c>
      <c r="M4174" s="49" t="s">
        <v>5422</v>
      </c>
      <c r="N4174" s="73">
        <v>44895</v>
      </c>
      <c r="O4174" s="73" t="s">
        <v>37</v>
      </c>
      <c r="P4174" s="396">
        <v>0</v>
      </c>
      <c r="Q4174" s="212">
        <v>-64</v>
      </c>
      <c r="R4174" s="386">
        <f t="shared" si="134"/>
        <v>0</v>
      </c>
      <c r="S4174" s="115">
        <v>202304</v>
      </c>
      <c r="T4174" s="184" t="s">
        <v>5438</v>
      </c>
      <c r="U4174" s="213"/>
      <c r="V4174" s="418"/>
      <c r="W4174" s="214"/>
      <c r="X4174" s="73">
        <v>44927</v>
      </c>
      <c r="Y4174" s="73">
        <v>45107</v>
      </c>
    </row>
    <row r="4175" s="5" customFormat="1" customHeight="1" spans="1:25">
      <c r="A4175" s="203" t="s">
        <v>444</v>
      </c>
      <c r="B4175" s="204" t="s">
        <v>4284</v>
      </c>
      <c r="C4175" s="204" t="s">
        <v>5017</v>
      </c>
      <c r="D4175" s="204" t="s">
        <v>3939</v>
      </c>
      <c r="E4175" s="205" t="s">
        <v>5414</v>
      </c>
      <c r="F4175" s="203" t="s">
        <v>5415</v>
      </c>
      <c r="G4175" s="203" t="s">
        <v>31</v>
      </c>
      <c r="H4175" s="25" t="s">
        <v>5416</v>
      </c>
      <c r="I4175" s="46" t="str">
        <f>VLOOKUP(H4175,'合同高级查询数据-4月返'!A:A,1,FALSE)</f>
        <v>182315IDC00155</v>
      </c>
      <c r="J4175" s="47" t="s">
        <v>33</v>
      </c>
      <c r="K4175" s="203" t="s">
        <v>5428</v>
      </c>
      <c r="L4175" s="206" t="s">
        <v>5417</v>
      </c>
      <c r="M4175" s="49" t="s">
        <v>5418</v>
      </c>
      <c r="N4175" s="73">
        <v>44895</v>
      </c>
      <c r="O4175" s="73" t="s">
        <v>37</v>
      </c>
      <c r="P4175" s="396">
        <v>0</v>
      </c>
      <c r="Q4175" s="212">
        <v>-128</v>
      </c>
      <c r="R4175" s="386">
        <f t="shared" si="134"/>
        <v>0</v>
      </c>
      <c r="S4175" s="115">
        <v>202304</v>
      </c>
      <c r="T4175" s="184" t="s">
        <v>5439</v>
      </c>
      <c r="U4175" s="213"/>
      <c r="V4175" s="418"/>
      <c r="W4175" s="214"/>
      <c r="X4175" s="73">
        <v>44927</v>
      </c>
      <c r="Y4175" s="73">
        <v>45107</v>
      </c>
    </row>
    <row r="4176" s="5" customFormat="1" customHeight="1" spans="1:25">
      <c r="A4176" s="203" t="s">
        <v>444</v>
      </c>
      <c r="B4176" s="204" t="s">
        <v>4284</v>
      </c>
      <c r="C4176" s="204" t="s">
        <v>5017</v>
      </c>
      <c r="D4176" s="204" t="s">
        <v>3939</v>
      </c>
      <c r="E4176" s="205" t="s">
        <v>5414</v>
      </c>
      <c r="F4176" s="203" t="s">
        <v>5415</v>
      </c>
      <c r="G4176" s="203" t="s">
        <v>31</v>
      </c>
      <c r="H4176" s="25" t="s">
        <v>5416</v>
      </c>
      <c r="I4176" s="46" t="str">
        <f>VLOOKUP(H4176,'合同高级查询数据-4月返'!A:A,1,FALSE)</f>
        <v>182315IDC00155</v>
      </c>
      <c r="J4176" s="47" t="s">
        <v>33</v>
      </c>
      <c r="K4176" s="203" t="s">
        <v>5434</v>
      </c>
      <c r="L4176" s="206" t="s">
        <v>5435</v>
      </c>
      <c r="M4176" s="49" t="s">
        <v>5418</v>
      </c>
      <c r="N4176" s="73">
        <v>44899</v>
      </c>
      <c r="O4176" s="73" t="s">
        <v>37</v>
      </c>
      <c r="P4176" s="396">
        <v>0</v>
      </c>
      <c r="Q4176" s="212">
        <v>128</v>
      </c>
      <c r="R4176" s="114">
        <f t="shared" si="134"/>
        <v>0</v>
      </c>
      <c r="S4176" s="115">
        <v>202304</v>
      </c>
      <c r="T4176" s="184" t="s">
        <v>5440</v>
      </c>
      <c r="U4176" s="213"/>
      <c r="V4176" s="418"/>
      <c r="W4176" s="214"/>
      <c r="X4176" s="73">
        <v>44927</v>
      </c>
      <c r="Y4176" s="73">
        <v>45107</v>
      </c>
    </row>
    <row r="4177" s="3" customFormat="1" customHeight="1" spans="1:25">
      <c r="A4177" s="154" t="s">
        <v>444</v>
      </c>
      <c r="B4177" s="292" t="s">
        <v>4284</v>
      </c>
      <c r="C4177" s="292" t="s">
        <v>5017</v>
      </c>
      <c r="D4177" s="292" t="s">
        <v>3939</v>
      </c>
      <c r="E4177" s="153" t="s">
        <v>5414</v>
      </c>
      <c r="F4177" s="154" t="s">
        <v>5415</v>
      </c>
      <c r="G4177" s="154" t="s">
        <v>88</v>
      </c>
      <c r="H4177" s="110" t="s">
        <v>5441</v>
      </c>
      <c r="I4177" s="30" t="e">
        <f>VLOOKUP(H4177,'合同高级查询数据-4月返'!A:A,1,FALSE)</f>
        <v>#N/A</v>
      </c>
      <c r="J4177" s="31" t="s">
        <v>2423</v>
      </c>
      <c r="K4177" s="154" t="s">
        <v>5442</v>
      </c>
      <c r="L4177" s="293" t="s">
        <v>5443</v>
      </c>
      <c r="M4177" s="113" t="s">
        <v>5418</v>
      </c>
      <c r="N4177" s="146">
        <v>44986</v>
      </c>
      <c r="O4177" s="146" t="s">
        <v>702</v>
      </c>
      <c r="P4177" s="400">
        <v>0</v>
      </c>
      <c r="Q4177" s="295">
        <v>4</v>
      </c>
      <c r="R4177" s="390">
        <f t="shared" si="134"/>
        <v>0</v>
      </c>
      <c r="S4177" s="277">
        <v>202304</v>
      </c>
      <c r="T4177" s="198" t="s">
        <v>5444</v>
      </c>
      <c r="U4177" s="391"/>
      <c r="V4177" s="438"/>
      <c r="W4177" s="393"/>
      <c r="X4177" s="146"/>
      <c r="Y4177" s="146"/>
    </row>
    <row r="4178" s="3" customFormat="1" customHeight="1" spans="1:25">
      <c r="A4178" s="154" t="s">
        <v>444</v>
      </c>
      <c r="B4178" s="292" t="s">
        <v>4284</v>
      </c>
      <c r="C4178" s="292" t="s">
        <v>5017</v>
      </c>
      <c r="D4178" s="292" t="s">
        <v>3939</v>
      </c>
      <c r="E4178" s="153" t="s">
        <v>5414</v>
      </c>
      <c r="F4178" s="154" t="s">
        <v>5415</v>
      </c>
      <c r="G4178" s="154" t="s">
        <v>31</v>
      </c>
      <c r="H4178" s="110" t="s">
        <v>5441</v>
      </c>
      <c r="I4178" s="30" t="e">
        <f>VLOOKUP(H4178,'合同高级查询数据-4月返'!A:A,1,FALSE)</f>
        <v>#N/A</v>
      </c>
      <c r="J4178" s="31" t="s">
        <v>33</v>
      </c>
      <c r="K4178" s="154" t="s">
        <v>5442</v>
      </c>
      <c r="L4178" s="293" t="s">
        <v>5443</v>
      </c>
      <c r="M4178" s="113" t="s">
        <v>5418</v>
      </c>
      <c r="N4178" s="146">
        <v>44986</v>
      </c>
      <c r="O4178" s="146" t="s">
        <v>37</v>
      </c>
      <c r="P4178" s="400">
        <v>0</v>
      </c>
      <c r="Q4178" s="295">
        <v>160</v>
      </c>
      <c r="R4178" s="390">
        <f t="shared" si="134"/>
        <v>0</v>
      </c>
      <c r="S4178" s="277">
        <v>202304</v>
      </c>
      <c r="T4178" s="198" t="s">
        <v>5445</v>
      </c>
      <c r="U4178" s="391"/>
      <c r="V4178" s="438"/>
      <c r="W4178" s="393"/>
      <c r="X4178" s="146"/>
      <c r="Y4178" s="146"/>
    </row>
    <row r="4179" s="5" customFormat="1" customHeight="1" spans="1:25">
      <c r="A4179" s="203" t="s">
        <v>444</v>
      </c>
      <c r="B4179" s="204" t="s">
        <v>4284</v>
      </c>
      <c r="C4179" s="204" t="s">
        <v>5017</v>
      </c>
      <c r="D4179" s="204" t="s">
        <v>3939</v>
      </c>
      <c r="E4179" s="205" t="s">
        <v>5414</v>
      </c>
      <c r="F4179" s="203" t="s">
        <v>5415</v>
      </c>
      <c r="G4179" s="203" t="s">
        <v>88</v>
      </c>
      <c r="H4179" s="25" t="s">
        <v>5416</v>
      </c>
      <c r="I4179" s="46" t="str">
        <f>VLOOKUP(H4179,'合同高级查询数据-4月返'!A:A,1,FALSE)</f>
        <v>182315IDC00155</v>
      </c>
      <c r="J4179" s="47" t="s">
        <v>2423</v>
      </c>
      <c r="K4179" s="203" t="s">
        <v>5446</v>
      </c>
      <c r="L4179" s="206" t="s">
        <v>5447</v>
      </c>
      <c r="M4179" s="49" t="s">
        <v>5422</v>
      </c>
      <c r="N4179" s="73">
        <v>44993</v>
      </c>
      <c r="O4179" s="73" t="s">
        <v>503</v>
      </c>
      <c r="P4179" s="396">
        <v>5500</v>
      </c>
      <c r="Q4179" s="212">
        <v>5</v>
      </c>
      <c r="R4179" s="452">
        <f t="shared" si="134"/>
        <v>27500</v>
      </c>
      <c r="S4179" s="279">
        <v>202304</v>
      </c>
      <c r="T4179" s="184" t="s">
        <v>5448</v>
      </c>
      <c r="U4179" s="213"/>
      <c r="V4179" s="453"/>
      <c r="W4179" s="214"/>
      <c r="X4179" s="73">
        <v>44927</v>
      </c>
      <c r="Y4179" s="73">
        <v>45107</v>
      </c>
    </row>
    <row r="4180" s="5" customFormat="1" customHeight="1" spans="1:25">
      <c r="A4180" s="203" t="s">
        <v>444</v>
      </c>
      <c r="B4180" s="204" t="s">
        <v>4284</v>
      </c>
      <c r="C4180" s="204" t="s">
        <v>5017</v>
      </c>
      <c r="D4180" s="204" t="s">
        <v>3939</v>
      </c>
      <c r="E4180" s="205" t="s">
        <v>5414</v>
      </c>
      <c r="F4180" s="203" t="s">
        <v>5415</v>
      </c>
      <c r="G4180" s="203" t="s">
        <v>31</v>
      </c>
      <c r="H4180" s="25" t="s">
        <v>5416</v>
      </c>
      <c r="I4180" s="46" t="str">
        <f>VLOOKUP(H4180,'合同高级查询数据-4月返'!A:A,1,FALSE)</f>
        <v>182315IDC00155</v>
      </c>
      <c r="J4180" s="47" t="s">
        <v>33</v>
      </c>
      <c r="K4180" s="203" t="s">
        <v>5446</v>
      </c>
      <c r="L4180" s="206" t="s">
        <v>5447</v>
      </c>
      <c r="M4180" s="49" t="s">
        <v>5422</v>
      </c>
      <c r="N4180" s="73">
        <v>44993</v>
      </c>
      <c r="O4180" s="73" t="s">
        <v>37</v>
      </c>
      <c r="P4180" s="396">
        <v>0</v>
      </c>
      <c r="Q4180" s="212">
        <v>160</v>
      </c>
      <c r="R4180" s="386">
        <f t="shared" si="134"/>
        <v>0</v>
      </c>
      <c r="S4180" s="279">
        <v>202304</v>
      </c>
      <c r="T4180" s="184" t="s">
        <v>5449</v>
      </c>
      <c r="U4180" s="213"/>
      <c r="V4180" s="453"/>
      <c r="W4180" s="214"/>
      <c r="X4180" s="73">
        <v>44927</v>
      </c>
      <c r="Y4180" s="73">
        <v>45107</v>
      </c>
    </row>
    <row r="4181" s="3" customFormat="1" customHeight="1" spans="1:25">
      <c r="A4181" s="154" t="s">
        <v>444</v>
      </c>
      <c r="B4181" s="154" t="s">
        <v>5041</v>
      </c>
      <c r="C4181" s="154" t="s">
        <v>5042</v>
      </c>
      <c r="D4181" s="292" t="s">
        <v>3939</v>
      </c>
      <c r="E4181" s="153" t="s">
        <v>5450</v>
      </c>
      <c r="F4181" s="154" t="s">
        <v>5451</v>
      </c>
      <c r="G4181" s="154" t="s">
        <v>88</v>
      </c>
      <c r="H4181" s="110" t="s">
        <v>5452</v>
      </c>
      <c r="I4181" s="30" t="e">
        <f>VLOOKUP(H4181,'合同高级查询数据-4月返'!A:A,1,FALSE)</f>
        <v>#N/A</v>
      </c>
      <c r="J4181" s="31" t="s">
        <v>162</v>
      </c>
      <c r="K4181" s="154" t="s">
        <v>5271</v>
      </c>
      <c r="L4181" s="293" t="s">
        <v>5453</v>
      </c>
      <c r="M4181" s="113" t="s">
        <v>5454</v>
      </c>
      <c r="N4181" s="146">
        <v>43469</v>
      </c>
      <c r="O4181" s="142" t="s">
        <v>3999</v>
      </c>
      <c r="P4181" s="400">
        <v>5500</v>
      </c>
      <c r="Q4181" s="295">
        <v>1</v>
      </c>
      <c r="R4181" s="390">
        <f t="shared" si="134"/>
        <v>5500</v>
      </c>
      <c r="S4181" s="127">
        <v>202304</v>
      </c>
      <c r="T4181" s="423" t="s">
        <v>5455</v>
      </c>
      <c r="U4181" s="393"/>
      <c r="V4181" s="422"/>
      <c r="W4181" s="393"/>
      <c r="X4181" s="146"/>
      <c r="Y4181" s="146"/>
    </row>
    <row r="4182" s="3" customFormat="1" customHeight="1" spans="1:25">
      <c r="A4182" s="154" t="s">
        <v>444</v>
      </c>
      <c r="B4182" s="154" t="s">
        <v>5041</v>
      </c>
      <c r="C4182" s="154" t="s">
        <v>5042</v>
      </c>
      <c r="D4182" s="292" t="s">
        <v>3939</v>
      </c>
      <c r="E4182" s="153" t="s">
        <v>5450</v>
      </c>
      <c r="F4182" s="154" t="s">
        <v>5451</v>
      </c>
      <c r="G4182" s="154" t="s">
        <v>31</v>
      </c>
      <c r="H4182" s="110" t="s">
        <v>5452</v>
      </c>
      <c r="I4182" s="30" t="e">
        <f>VLOOKUP(H4182,'合同高级查询数据-4月返'!A:A,1,FALSE)</f>
        <v>#N/A</v>
      </c>
      <c r="J4182" s="31" t="s">
        <v>33</v>
      </c>
      <c r="K4182" s="154" t="s">
        <v>5271</v>
      </c>
      <c r="L4182" s="293" t="s">
        <v>5453</v>
      </c>
      <c r="M4182" s="113"/>
      <c r="N4182" s="403">
        <v>43469</v>
      </c>
      <c r="O4182" s="154" t="s">
        <v>37</v>
      </c>
      <c r="P4182" s="400">
        <v>0</v>
      </c>
      <c r="Q4182" s="295">
        <v>112</v>
      </c>
      <c r="R4182" s="390">
        <f t="shared" si="134"/>
        <v>0</v>
      </c>
      <c r="S4182" s="127">
        <v>202304</v>
      </c>
      <c r="T4182" s="423" t="s">
        <v>5456</v>
      </c>
      <c r="U4182" s="393"/>
      <c r="V4182" s="422"/>
      <c r="W4182" s="393"/>
      <c r="X4182" s="146"/>
      <c r="Y4182" s="146"/>
    </row>
    <row r="4183" s="3" customFormat="1" customHeight="1" spans="1:25">
      <c r="A4183" s="154" t="s">
        <v>444</v>
      </c>
      <c r="B4183" s="154" t="s">
        <v>5041</v>
      </c>
      <c r="C4183" s="154" t="s">
        <v>5042</v>
      </c>
      <c r="D4183" s="292" t="s">
        <v>3939</v>
      </c>
      <c r="E4183" s="153" t="s">
        <v>5450</v>
      </c>
      <c r="F4183" s="154" t="s">
        <v>5451</v>
      </c>
      <c r="G4183" s="154" t="s">
        <v>31</v>
      </c>
      <c r="H4183" s="110" t="s">
        <v>5452</v>
      </c>
      <c r="I4183" s="30" t="e">
        <f>VLOOKUP(H4183,'合同高级查询数据-4月返'!A:A,1,FALSE)</f>
        <v>#N/A</v>
      </c>
      <c r="J4183" s="31" t="s">
        <v>33</v>
      </c>
      <c r="K4183" s="154" t="s">
        <v>5271</v>
      </c>
      <c r="L4183" s="293" t="s">
        <v>5453</v>
      </c>
      <c r="M4183" s="113"/>
      <c r="N4183" s="403">
        <v>43469</v>
      </c>
      <c r="O4183" s="154" t="s">
        <v>37</v>
      </c>
      <c r="P4183" s="400">
        <v>0</v>
      </c>
      <c r="Q4183" s="295">
        <v>48</v>
      </c>
      <c r="R4183" s="390">
        <f t="shared" si="134"/>
        <v>0</v>
      </c>
      <c r="S4183" s="127">
        <v>202304</v>
      </c>
      <c r="T4183" s="423" t="s">
        <v>5457</v>
      </c>
      <c r="U4183" s="393"/>
      <c r="V4183" s="422"/>
      <c r="W4183" s="393"/>
      <c r="X4183" s="146"/>
      <c r="Y4183" s="146"/>
    </row>
    <row r="4184" s="3" customFormat="1" customHeight="1" spans="1:25">
      <c r="A4184" s="154" t="s">
        <v>444</v>
      </c>
      <c r="B4184" s="154" t="s">
        <v>5041</v>
      </c>
      <c r="C4184" s="154" t="s">
        <v>5042</v>
      </c>
      <c r="D4184" s="292" t="s">
        <v>3939</v>
      </c>
      <c r="E4184" s="153" t="s">
        <v>5450</v>
      </c>
      <c r="F4184" s="154" t="s">
        <v>5451</v>
      </c>
      <c r="G4184" s="154" t="s">
        <v>88</v>
      </c>
      <c r="H4184" s="110" t="s">
        <v>5452</v>
      </c>
      <c r="I4184" s="30" t="e">
        <f>VLOOKUP(H4184,'合同高级查询数据-4月返'!A:A,1,FALSE)</f>
        <v>#N/A</v>
      </c>
      <c r="J4184" s="31" t="s">
        <v>162</v>
      </c>
      <c r="K4184" s="154" t="s">
        <v>5271</v>
      </c>
      <c r="L4184" s="293" t="s">
        <v>5453</v>
      </c>
      <c r="M4184" s="113" t="s">
        <v>5454</v>
      </c>
      <c r="N4184" s="403">
        <v>43469</v>
      </c>
      <c r="O4184" s="142" t="s">
        <v>3999</v>
      </c>
      <c r="P4184" s="400">
        <v>5500</v>
      </c>
      <c r="Q4184" s="295">
        <v>2</v>
      </c>
      <c r="R4184" s="390">
        <f t="shared" si="134"/>
        <v>11000</v>
      </c>
      <c r="S4184" s="127">
        <v>202304</v>
      </c>
      <c r="T4184" s="423"/>
      <c r="U4184" s="393"/>
      <c r="V4184" s="422"/>
      <c r="W4184" s="393"/>
      <c r="X4184" s="146"/>
      <c r="Y4184" s="146"/>
    </row>
    <row r="4185" s="3" customFormat="1" customHeight="1" spans="1:25">
      <c r="A4185" s="154" t="s">
        <v>444</v>
      </c>
      <c r="B4185" s="292" t="s">
        <v>4284</v>
      </c>
      <c r="C4185" s="292" t="s">
        <v>2173</v>
      </c>
      <c r="D4185" s="292" t="s">
        <v>3939</v>
      </c>
      <c r="E4185" s="153" t="s">
        <v>5458</v>
      </c>
      <c r="F4185" s="154" t="s">
        <v>5459</v>
      </c>
      <c r="G4185" s="154" t="s">
        <v>88</v>
      </c>
      <c r="H4185" s="110" t="s">
        <v>5460</v>
      </c>
      <c r="I4185" s="30" t="e">
        <f>VLOOKUP(H4185,'合同高级查询数据-4月返'!A:A,1,FALSE)</f>
        <v>#N/A</v>
      </c>
      <c r="J4185" s="31" t="s">
        <v>2423</v>
      </c>
      <c r="K4185" s="154" t="s">
        <v>5103</v>
      </c>
      <c r="L4185" s="293" t="s">
        <v>5461</v>
      </c>
      <c r="M4185" s="113" t="s">
        <v>5462</v>
      </c>
      <c r="N4185" s="146">
        <v>43339</v>
      </c>
      <c r="O4185" s="146" t="s">
        <v>163</v>
      </c>
      <c r="P4185" s="400">
        <v>5000</v>
      </c>
      <c r="Q4185" s="295">
        <v>4</v>
      </c>
      <c r="R4185" s="390">
        <f t="shared" si="134"/>
        <v>20000</v>
      </c>
      <c r="S4185" s="127">
        <v>202304</v>
      </c>
      <c r="T4185" s="198" t="s">
        <v>5463</v>
      </c>
      <c r="U4185" s="391"/>
      <c r="V4185" s="422"/>
      <c r="W4185" s="393"/>
      <c r="X4185" s="146"/>
      <c r="Y4185" s="146"/>
    </row>
    <row r="4186" s="3" customFormat="1" customHeight="1" spans="1:25">
      <c r="A4186" s="154" t="s">
        <v>444</v>
      </c>
      <c r="B4186" s="292" t="s">
        <v>4284</v>
      </c>
      <c r="C4186" s="292" t="s">
        <v>2173</v>
      </c>
      <c r="D4186" s="292" t="s">
        <v>3939</v>
      </c>
      <c r="E4186" s="153" t="s">
        <v>5458</v>
      </c>
      <c r="F4186" s="154" t="s">
        <v>5459</v>
      </c>
      <c r="G4186" s="154" t="s">
        <v>88</v>
      </c>
      <c r="H4186" s="110" t="s">
        <v>5460</v>
      </c>
      <c r="I4186" s="30" t="e">
        <f>VLOOKUP(H4186,'合同高级查询数据-4月返'!A:A,1,FALSE)</f>
        <v>#N/A</v>
      </c>
      <c r="J4186" s="31" t="s">
        <v>2423</v>
      </c>
      <c r="K4186" s="154" t="s">
        <v>5103</v>
      </c>
      <c r="L4186" s="293" t="s">
        <v>5461</v>
      </c>
      <c r="M4186" s="113" t="s">
        <v>5462</v>
      </c>
      <c r="N4186" s="146">
        <v>44013</v>
      </c>
      <c r="O4186" s="146" t="s">
        <v>163</v>
      </c>
      <c r="P4186" s="400">
        <v>5000</v>
      </c>
      <c r="Q4186" s="295">
        <v>1</v>
      </c>
      <c r="R4186" s="390">
        <f t="shared" si="134"/>
        <v>5000</v>
      </c>
      <c r="S4186" s="127">
        <v>202304</v>
      </c>
      <c r="T4186" s="198" t="s">
        <v>5464</v>
      </c>
      <c r="U4186" s="391"/>
      <c r="V4186" s="422"/>
      <c r="W4186" s="393"/>
      <c r="X4186" s="146"/>
      <c r="Y4186" s="146"/>
    </row>
    <row r="4187" s="3" customFormat="1" customHeight="1" spans="1:25">
      <c r="A4187" s="154" t="s">
        <v>444</v>
      </c>
      <c r="B4187" s="292" t="s">
        <v>4284</v>
      </c>
      <c r="C4187" s="292" t="s">
        <v>2173</v>
      </c>
      <c r="D4187" s="292" t="s">
        <v>3939</v>
      </c>
      <c r="E4187" s="153" t="s">
        <v>5458</v>
      </c>
      <c r="F4187" s="154" t="s">
        <v>5459</v>
      </c>
      <c r="G4187" s="154" t="s">
        <v>31</v>
      </c>
      <c r="H4187" s="110" t="s">
        <v>5460</v>
      </c>
      <c r="I4187" s="30" t="e">
        <f>VLOOKUP(H4187,'合同高级查询数据-4月返'!A:A,1,FALSE)</f>
        <v>#N/A</v>
      </c>
      <c r="J4187" s="31" t="s">
        <v>33</v>
      </c>
      <c r="K4187" s="154" t="s">
        <v>5103</v>
      </c>
      <c r="L4187" s="293" t="s">
        <v>5461</v>
      </c>
      <c r="M4187" s="113"/>
      <c r="N4187" s="146">
        <v>43339</v>
      </c>
      <c r="O4187" s="146" t="s">
        <v>37</v>
      </c>
      <c r="P4187" s="390">
        <v>50</v>
      </c>
      <c r="Q4187" s="295">
        <f>416-Q4188</f>
        <v>160</v>
      </c>
      <c r="R4187" s="390">
        <f t="shared" si="134"/>
        <v>8000</v>
      </c>
      <c r="S4187" s="127">
        <v>202304</v>
      </c>
      <c r="T4187" s="198" t="s">
        <v>5465</v>
      </c>
      <c r="U4187" s="391"/>
      <c r="V4187" s="422"/>
      <c r="W4187" s="393"/>
      <c r="X4187" s="146"/>
      <c r="Y4187" s="146"/>
    </row>
    <row r="4188" s="3" customFormat="1" customHeight="1" spans="1:25">
      <c r="A4188" s="154" t="s">
        <v>444</v>
      </c>
      <c r="B4188" s="292" t="s">
        <v>4284</v>
      </c>
      <c r="C4188" s="292" t="s">
        <v>2173</v>
      </c>
      <c r="D4188" s="292" t="s">
        <v>3939</v>
      </c>
      <c r="E4188" s="153" t="s">
        <v>5458</v>
      </c>
      <c r="F4188" s="154" t="s">
        <v>5459</v>
      </c>
      <c r="G4188" s="154" t="s">
        <v>31</v>
      </c>
      <c r="H4188" s="110" t="s">
        <v>5460</v>
      </c>
      <c r="I4188" s="30" t="e">
        <f>VLOOKUP(H4188,'合同高级查询数据-4月返'!A:A,1,FALSE)</f>
        <v>#N/A</v>
      </c>
      <c r="J4188" s="31" t="s">
        <v>33</v>
      </c>
      <c r="K4188" s="154" t="s">
        <v>5103</v>
      </c>
      <c r="L4188" s="293" t="s">
        <v>5461</v>
      </c>
      <c r="M4188" s="113"/>
      <c r="N4188" s="146">
        <v>43339</v>
      </c>
      <c r="O4188" s="146" t="s">
        <v>37</v>
      </c>
      <c r="P4188" s="400">
        <v>0</v>
      </c>
      <c r="Q4188" s="295">
        <v>256</v>
      </c>
      <c r="R4188" s="390">
        <f t="shared" si="134"/>
        <v>0</v>
      </c>
      <c r="S4188" s="127">
        <v>202304</v>
      </c>
      <c r="T4188" s="198" t="s">
        <v>5466</v>
      </c>
      <c r="U4188" s="391"/>
      <c r="V4188" s="422"/>
      <c r="W4188" s="393"/>
      <c r="X4188" s="146"/>
      <c r="Y4188" s="146"/>
    </row>
    <row r="4189" s="3" customFormat="1" customHeight="1" spans="1:25">
      <c r="A4189" s="154" t="s">
        <v>444</v>
      </c>
      <c r="B4189" s="292" t="s">
        <v>4284</v>
      </c>
      <c r="C4189" s="292" t="s">
        <v>2173</v>
      </c>
      <c r="D4189" s="292" t="s">
        <v>3939</v>
      </c>
      <c r="E4189" s="153" t="s">
        <v>5458</v>
      </c>
      <c r="F4189" s="154" t="s">
        <v>5459</v>
      </c>
      <c r="G4189" s="154" t="s">
        <v>31</v>
      </c>
      <c r="H4189" s="110" t="s">
        <v>5460</v>
      </c>
      <c r="I4189" s="30" t="e">
        <f>VLOOKUP(H4189,'合同高级查询数据-4月返'!A:A,1,FALSE)</f>
        <v>#N/A</v>
      </c>
      <c r="J4189" s="31" t="s">
        <v>33</v>
      </c>
      <c r="K4189" s="154" t="s">
        <v>5103</v>
      </c>
      <c r="L4189" s="293" t="s">
        <v>5467</v>
      </c>
      <c r="M4189" s="113"/>
      <c r="N4189" s="146">
        <v>44681</v>
      </c>
      <c r="O4189" s="146" t="s">
        <v>37</v>
      </c>
      <c r="P4189" s="400">
        <v>0</v>
      </c>
      <c r="Q4189" s="295">
        <v>-128</v>
      </c>
      <c r="R4189" s="390">
        <f t="shared" si="134"/>
        <v>0</v>
      </c>
      <c r="S4189" s="127">
        <v>202304</v>
      </c>
      <c r="T4189" s="198" t="s">
        <v>5468</v>
      </c>
      <c r="U4189" s="391"/>
      <c r="V4189" s="422"/>
      <c r="W4189" s="393"/>
      <c r="X4189" s="146"/>
      <c r="Y4189" s="146"/>
    </row>
    <row r="4190" s="3" customFormat="1" customHeight="1" spans="1:25">
      <c r="A4190" s="154" t="s">
        <v>444</v>
      </c>
      <c r="B4190" s="292" t="s">
        <v>4284</v>
      </c>
      <c r="C4190" s="292" t="s">
        <v>2173</v>
      </c>
      <c r="D4190" s="292" t="s">
        <v>3939</v>
      </c>
      <c r="E4190" s="153" t="s">
        <v>5458</v>
      </c>
      <c r="F4190" s="154" t="s">
        <v>5459</v>
      </c>
      <c r="G4190" s="154" t="s">
        <v>31</v>
      </c>
      <c r="H4190" s="110" t="s">
        <v>5460</v>
      </c>
      <c r="I4190" s="30" t="e">
        <f>VLOOKUP(H4190,'合同高级查询数据-4月返'!A:A,1,FALSE)</f>
        <v>#N/A</v>
      </c>
      <c r="J4190" s="31" t="s">
        <v>33</v>
      </c>
      <c r="K4190" s="154" t="s">
        <v>5103</v>
      </c>
      <c r="L4190" s="293" t="s">
        <v>5467</v>
      </c>
      <c r="M4190" s="113"/>
      <c r="N4190" s="146">
        <v>44681</v>
      </c>
      <c r="O4190" s="146" t="s">
        <v>37</v>
      </c>
      <c r="P4190" s="400">
        <v>50</v>
      </c>
      <c r="Q4190" s="295">
        <v>-160</v>
      </c>
      <c r="R4190" s="390">
        <f t="shared" si="134"/>
        <v>-8000</v>
      </c>
      <c r="S4190" s="127">
        <v>202304</v>
      </c>
      <c r="T4190" s="198" t="s">
        <v>5469</v>
      </c>
      <c r="U4190" s="391"/>
      <c r="V4190" s="422"/>
      <c r="W4190" s="393"/>
      <c r="X4190" s="146"/>
      <c r="Y4190" s="146"/>
    </row>
    <row r="4191" s="3" customFormat="1" customHeight="1" spans="1:25">
      <c r="A4191" s="154" t="s">
        <v>444</v>
      </c>
      <c r="B4191" s="292" t="s">
        <v>4284</v>
      </c>
      <c r="C4191" s="292" t="s">
        <v>2173</v>
      </c>
      <c r="D4191" s="292" t="s">
        <v>3939</v>
      </c>
      <c r="E4191" s="153" t="s">
        <v>5458</v>
      </c>
      <c r="F4191" s="154" t="s">
        <v>5459</v>
      </c>
      <c r="G4191" s="154" t="s">
        <v>88</v>
      </c>
      <c r="H4191" s="110" t="s">
        <v>5460</v>
      </c>
      <c r="I4191" s="30" t="e">
        <f>VLOOKUP(H4191,'合同高级查询数据-4月返'!A:A,1,FALSE)</f>
        <v>#N/A</v>
      </c>
      <c r="J4191" s="31" t="s">
        <v>2423</v>
      </c>
      <c r="K4191" s="154" t="s">
        <v>5103</v>
      </c>
      <c r="L4191" s="293" t="s">
        <v>5467</v>
      </c>
      <c r="M4191" s="113" t="s">
        <v>5462</v>
      </c>
      <c r="N4191" s="146">
        <v>43497</v>
      </c>
      <c r="O4191" s="146" t="s">
        <v>163</v>
      </c>
      <c r="P4191" s="400">
        <v>5000</v>
      </c>
      <c r="Q4191" s="295">
        <v>5</v>
      </c>
      <c r="R4191" s="390">
        <f t="shared" si="134"/>
        <v>25000</v>
      </c>
      <c r="S4191" s="127">
        <v>202304</v>
      </c>
      <c r="T4191" s="198" t="s">
        <v>5470</v>
      </c>
      <c r="U4191" s="391"/>
      <c r="V4191" s="422"/>
      <c r="W4191" s="393"/>
      <c r="X4191" s="146"/>
      <c r="Y4191" s="146"/>
    </row>
    <row r="4192" s="3" customFormat="1" customHeight="1" spans="1:25">
      <c r="A4192" s="154" t="s">
        <v>444</v>
      </c>
      <c r="B4192" s="292" t="s">
        <v>4284</v>
      </c>
      <c r="C4192" s="292" t="s">
        <v>2173</v>
      </c>
      <c r="D4192" s="292" t="s">
        <v>3939</v>
      </c>
      <c r="E4192" s="153" t="s">
        <v>5458</v>
      </c>
      <c r="F4192" s="154" t="s">
        <v>5459</v>
      </c>
      <c r="G4192" s="154" t="s">
        <v>88</v>
      </c>
      <c r="H4192" s="110" t="s">
        <v>5460</v>
      </c>
      <c r="I4192" s="30" t="e">
        <f>VLOOKUP(H4192,'合同高级查询数据-4月返'!A:A,1,FALSE)</f>
        <v>#N/A</v>
      </c>
      <c r="J4192" s="31" t="s">
        <v>2423</v>
      </c>
      <c r="K4192" s="154" t="s">
        <v>5103</v>
      </c>
      <c r="L4192" s="293" t="s">
        <v>5467</v>
      </c>
      <c r="M4192" s="113" t="s">
        <v>5462</v>
      </c>
      <c r="N4192" s="146">
        <v>44681</v>
      </c>
      <c r="O4192" s="146" t="s">
        <v>163</v>
      </c>
      <c r="P4192" s="400">
        <v>5000</v>
      </c>
      <c r="Q4192" s="295">
        <v>-5</v>
      </c>
      <c r="R4192" s="390">
        <f t="shared" si="134"/>
        <v>-25000</v>
      </c>
      <c r="S4192" s="127">
        <v>202304</v>
      </c>
      <c r="T4192" s="198" t="s">
        <v>5470</v>
      </c>
      <c r="U4192" s="391"/>
      <c r="V4192" s="422"/>
      <c r="W4192" s="393"/>
      <c r="X4192" s="146"/>
      <c r="Y4192" s="146"/>
    </row>
    <row r="4193" s="3" customFormat="1" customHeight="1" spans="1:25">
      <c r="A4193" s="154" t="s">
        <v>444</v>
      </c>
      <c r="B4193" s="292" t="s">
        <v>4284</v>
      </c>
      <c r="C4193" s="292" t="s">
        <v>2173</v>
      </c>
      <c r="D4193" s="292" t="s">
        <v>3939</v>
      </c>
      <c r="E4193" s="153" t="s">
        <v>5458</v>
      </c>
      <c r="F4193" s="154" t="s">
        <v>5459</v>
      </c>
      <c r="G4193" s="154" t="s">
        <v>88</v>
      </c>
      <c r="H4193" s="110" t="s">
        <v>5460</v>
      </c>
      <c r="I4193" s="30" t="e">
        <f>VLOOKUP(H4193,'合同高级查询数据-4月返'!A:A,1,FALSE)</f>
        <v>#N/A</v>
      </c>
      <c r="J4193" s="31" t="s">
        <v>2423</v>
      </c>
      <c r="K4193" s="154" t="s">
        <v>5103</v>
      </c>
      <c r="L4193" s="293" t="s">
        <v>5461</v>
      </c>
      <c r="M4193" s="113" t="s">
        <v>5462</v>
      </c>
      <c r="N4193" s="146">
        <v>44576</v>
      </c>
      <c r="O4193" s="146" t="s">
        <v>163</v>
      </c>
      <c r="P4193" s="400">
        <v>5000</v>
      </c>
      <c r="Q4193" s="295">
        <v>1</v>
      </c>
      <c r="R4193" s="390">
        <f t="shared" ref="R4193:R4218" si="135">ROUND(P4193*Q4193,2)</f>
        <v>5000</v>
      </c>
      <c r="S4193" s="127">
        <v>202304</v>
      </c>
      <c r="T4193" s="198" t="s">
        <v>5471</v>
      </c>
      <c r="U4193" s="391"/>
      <c r="V4193" s="422"/>
      <c r="W4193" s="393"/>
      <c r="X4193" s="146"/>
      <c r="Y4193" s="146"/>
    </row>
    <row r="4194" s="3" customFormat="1" customHeight="1" spans="1:25">
      <c r="A4194" s="154" t="s">
        <v>444</v>
      </c>
      <c r="B4194" s="292" t="s">
        <v>4284</v>
      </c>
      <c r="C4194" s="292" t="s">
        <v>2173</v>
      </c>
      <c r="D4194" s="292" t="s">
        <v>3939</v>
      </c>
      <c r="E4194" s="153" t="s">
        <v>5458</v>
      </c>
      <c r="F4194" s="154" t="s">
        <v>5459</v>
      </c>
      <c r="G4194" s="154" t="s">
        <v>31</v>
      </c>
      <c r="H4194" s="110" t="s">
        <v>5460</v>
      </c>
      <c r="I4194" s="30" t="e">
        <f>VLOOKUP(H4194,'合同高级查询数据-4月返'!A:A,1,FALSE)</f>
        <v>#N/A</v>
      </c>
      <c r="J4194" s="31" t="s">
        <v>33</v>
      </c>
      <c r="K4194" s="154" t="s">
        <v>5103</v>
      </c>
      <c r="L4194" s="293" t="s">
        <v>5467</v>
      </c>
      <c r="M4194" s="113"/>
      <c r="N4194" s="146">
        <v>43497</v>
      </c>
      <c r="O4194" s="146" t="s">
        <v>37</v>
      </c>
      <c r="P4194" s="400">
        <v>0</v>
      </c>
      <c r="Q4194" s="295">
        <v>128</v>
      </c>
      <c r="R4194" s="390">
        <f t="shared" si="135"/>
        <v>0</v>
      </c>
      <c r="S4194" s="127">
        <v>202304</v>
      </c>
      <c r="T4194" s="198" t="s">
        <v>5468</v>
      </c>
      <c r="U4194" s="391"/>
      <c r="V4194" s="422"/>
      <c r="W4194" s="393"/>
      <c r="X4194" s="146"/>
      <c r="Y4194" s="146"/>
    </row>
    <row r="4195" s="3" customFormat="1" customHeight="1" spans="1:25">
      <c r="A4195" s="154" t="s">
        <v>444</v>
      </c>
      <c r="B4195" s="292" t="s">
        <v>4284</v>
      </c>
      <c r="C4195" s="292" t="s">
        <v>2173</v>
      </c>
      <c r="D4195" s="292" t="s">
        <v>3939</v>
      </c>
      <c r="E4195" s="153" t="s">
        <v>5458</v>
      </c>
      <c r="F4195" s="154" t="s">
        <v>5459</v>
      </c>
      <c r="G4195" s="154" t="s">
        <v>31</v>
      </c>
      <c r="H4195" s="110" t="s">
        <v>5460</v>
      </c>
      <c r="I4195" s="30" t="e">
        <f>VLOOKUP(H4195,'合同高级查询数据-4月返'!A:A,1,FALSE)</f>
        <v>#N/A</v>
      </c>
      <c r="J4195" s="31" t="s">
        <v>33</v>
      </c>
      <c r="K4195" s="154" t="s">
        <v>5103</v>
      </c>
      <c r="L4195" s="293" t="s">
        <v>5467</v>
      </c>
      <c r="M4195" s="113"/>
      <c r="N4195" s="146">
        <v>43497</v>
      </c>
      <c r="O4195" s="146" t="s">
        <v>37</v>
      </c>
      <c r="P4195" s="400">
        <v>0</v>
      </c>
      <c r="Q4195" s="295">
        <v>160</v>
      </c>
      <c r="R4195" s="390">
        <f t="shared" si="135"/>
        <v>0</v>
      </c>
      <c r="S4195" s="127">
        <v>202304</v>
      </c>
      <c r="T4195" s="198" t="s">
        <v>5472</v>
      </c>
      <c r="U4195" s="391"/>
      <c r="V4195" s="422"/>
      <c r="W4195" s="393"/>
      <c r="X4195" s="146"/>
      <c r="Y4195" s="146"/>
    </row>
    <row r="4196" s="3" customFormat="1" customHeight="1" spans="1:25">
      <c r="A4196" s="154" t="s">
        <v>444</v>
      </c>
      <c r="B4196" s="292" t="s">
        <v>4284</v>
      </c>
      <c r="C4196" s="292" t="s">
        <v>2173</v>
      </c>
      <c r="D4196" s="292" t="s">
        <v>3939</v>
      </c>
      <c r="E4196" s="153" t="s">
        <v>5458</v>
      </c>
      <c r="F4196" s="154" t="s">
        <v>5459</v>
      </c>
      <c r="G4196" s="154" t="s">
        <v>31</v>
      </c>
      <c r="H4196" s="110" t="s">
        <v>5460</v>
      </c>
      <c r="I4196" s="30" t="e">
        <f>VLOOKUP(H4196,'合同高级查询数据-4月返'!A:A,1,FALSE)</f>
        <v>#N/A</v>
      </c>
      <c r="J4196" s="31" t="s">
        <v>33</v>
      </c>
      <c r="K4196" s="154" t="s">
        <v>5103</v>
      </c>
      <c r="L4196" s="293" t="s">
        <v>5461</v>
      </c>
      <c r="M4196" s="113"/>
      <c r="N4196" s="146">
        <v>44895</v>
      </c>
      <c r="O4196" s="146" t="s">
        <v>37</v>
      </c>
      <c r="P4196" s="400">
        <v>0</v>
      </c>
      <c r="Q4196" s="295">
        <v>-128</v>
      </c>
      <c r="R4196" s="390">
        <f t="shared" si="135"/>
        <v>0</v>
      </c>
      <c r="S4196" s="127">
        <v>202304</v>
      </c>
      <c r="T4196" s="198" t="s">
        <v>5473</v>
      </c>
      <c r="U4196" s="391"/>
      <c r="V4196" s="422"/>
      <c r="W4196" s="393"/>
      <c r="X4196" s="146"/>
      <c r="Y4196" s="146"/>
    </row>
    <row r="4197" s="5" customFormat="1" customHeight="1" spans="1:25">
      <c r="A4197" s="203" t="s">
        <v>444</v>
      </c>
      <c r="B4197" s="204" t="s">
        <v>4284</v>
      </c>
      <c r="C4197" s="204" t="s">
        <v>2173</v>
      </c>
      <c r="D4197" s="204" t="s">
        <v>3939</v>
      </c>
      <c r="E4197" s="205" t="s">
        <v>5458</v>
      </c>
      <c r="F4197" s="203" t="s">
        <v>5474</v>
      </c>
      <c r="G4197" s="203" t="s">
        <v>346</v>
      </c>
      <c r="H4197" s="25" t="s">
        <v>5475</v>
      </c>
      <c r="I4197" s="46" t="e">
        <f>VLOOKUP(H4197,'合同高级查询数据-4月返'!A:A,1,FALSE)</f>
        <v>#N/A</v>
      </c>
      <c r="J4197" s="47" t="s">
        <v>346</v>
      </c>
      <c r="K4197" s="203" t="s">
        <v>5278</v>
      </c>
      <c r="L4197" s="206"/>
      <c r="M4197" s="49"/>
      <c r="N4197" s="73">
        <v>43800</v>
      </c>
      <c r="O4197" s="73" t="s">
        <v>2042</v>
      </c>
      <c r="P4197" s="396">
        <v>58333.33</v>
      </c>
      <c r="Q4197" s="212">
        <v>1</v>
      </c>
      <c r="R4197" s="386">
        <f t="shared" si="135"/>
        <v>58333.33</v>
      </c>
      <c r="S4197" s="115">
        <v>202304</v>
      </c>
      <c r="T4197" s="184" t="s">
        <v>5476</v>
      </c>
      <c r="U4197" s="213"/>
      <c r="V4197" s="418"/>
      <c r="W4197" s="214"/>
      <c r="X4197" s="73" t="s">
        <v>5477</v>
      </c>
      <c r="Y4197" s="73" t="s">
        <v>5478</v>
      </c>
    </row>
    <row r="4198" s="5" customFormat="1" customHeight="1" spans="1:25">
      <c r="A4198" s="203" t="s">
        <v>444</v>
      </c>
      <c r="B4198" s="204" t="s">
        <v>4284</v>
      </c>
      <c r="C4198" s="204" t="s">
        <v>2173</v>
      </c>
      <c r="D4198" s="204" t="s">
        <v>3939</v>
      </c>
      <c r="E4198" s="205" t="s">
        <v>5458</v>
      </c>
      <c r="F4198" s="203" t="s">
        <v>5474</v>
      </c>
      <c r="G4198" s="203" t="s">
        <v>346</v>
      </c>
      <c r="H4198" s="25" t="s">
        <v>5475</v>
      </c>
      <c r="I4198" s="46" t="e">
        <f>VLOOKUP(H4198,'合同高级查询数据-4月返'!A:A,1,FALSE)</f>
        <v>#N/A</v>
      </c>
      <c r="J4198" s="47" t="s">
        <v>346</v>
      </c>
      <c r="K4198" s="203" t="s">
        <v>5278</v>
      </c>
      <c r="L4198" s="206"/>
      <c r="M4198" s="49"/>
      <c r="N4198" s="73">
        <v>44286</v>
      </c>
      <c r="O4198" s="451">
        <v>-100</v>
      </c>
      <c r="P4198" s="396">
        <v>58333.33</v>
      </c>
      <c r="Q4198" s="212">
        <v>-1</v>
      </c>
      <c r="R4198" s="386">
        <f t="shared" si="135"/>
        <v>-58333.33</v>
      </c>
      <c r="S4198" s="115">
        <v>202304</v>
      </c>
      <c r="T4198" s="184" t="s">
        <v>5479</v>
      </c>
      <c r="U4198" s="213"/>
      <c r="V4198" s="418"/>
      <c r="W4198" s="214"/>
      <c r="X4198" s="73" t="s">
        <v>5477</v>
      </c>
      <c r="Y4198" s="73" t="s">
        <v>5478</v>
      </c>
    </row>
    <row r="4199" s="5" customFormat="1" customHeight="1" spans="1:25">
      <c r="A4199" s="203" t="s">
        <v>444</v>
      </c>
      <c r="B4199" s="204" t="s">
        <v>4284</v>
      </c>
      <c r="C4199" s="204" t="s">
        <v>2173</v>
      </c>
      <c r="D4199" s="204" t="s">
        <v>3939</v>
      </c>
      <c r="E4199" s="205" t="s">
        <v>5458</v>
      </c>
      <c r="F4199" s="203" t="s">
        <v>5474</v>
      </c>
      <c r="G4199" s="203" t="s">
        <v>346</v>
      </c>
      <c r="H4199" s="25" t="s">
        <v>5480</v>
      </c>
      <c r="I4199" s="46" t="e">
        <f>VLOOKUP(H4199,'合同高级查询数据-4月返'!A:A,1,FALSE)</f>
        <v>#N/A</v>
      </c>
      <c r="J4199" s="47" t="s">
        <v>346</v>
      </c>
      <c r="K4199" s="203" t="s">
        <v>5278</v>
      </c>
      <c r="L4199" s="206"/>
      <c r="M4199" s="49"/>
      <c r="N4199" s="73">
        <v>43922</v>
      </c>
      <c r="O4199" s="73" t="s">
        <v>2042</v>
      </c>
      <c r="P4199" s="396">
        <v>58333.33</v>
      </c>
      <c r="Q4199" s="212">
        <v>1</v>
      </c>
      <c r="R4199" s="386">
        <f t="shared" si="135"/>
        <v>58333.33</v>
      </c>
      <c r="S4199" s="115">
        <v>202304</v>
      </c>
      <c r="T4199" s="184" t="s">
        <v>5481</v>
      </c>
      <c r="U4199" s="213"/>
      <c r="V4199" s="418"/>
      <c r="W4199" s="214"/>
      <c r="X4199" s="73" t="s">
        <v>5482</v>
      </c>
      <c r="Y4199" s="73" t="s">
        <v>5483</v>
      </c>
    </row>
    <row r="4200" s="5" customFormat="1" customHeight="1" spans="1:25">
      <c r="A4200" s="203" t="s">
        <v>444</v>
      </c>
      <c r="B4200" s="204" t="s">
        <v>4284</v>
      </c>
      <c r="C4200" s="204" t="s">
        <v>2173</v>
      </c>
      <c r="D4200" s="204" t="s">
        <v>3939</v>
      </c>
      <c r="E4200" s="205" t="s">
        <v>5458</v>
      </c>
      <c r="F4200" s="203" t="s">
        <v>5474</v>
      </c>
      <c r="G4200" s="203" t="s">
        <v>346</v>
      </c>
      <c r="H4200" s="25" t="s">
        <v>5480</v>
      </c>
      <c r="I4200" s="46" t="e">
        <f>VLOOKUP(H4200,'合同高级查询数据-4月返'!A:A,1,FALSE)</f>
        <v>#N/A</v>
      </c>
      <c r="J4200" s="47" t="s">
        <v>346</v>
      </c>
      <c r="K4200" s="203" t="s">
        <v>5278</v>
      </c>
      <c r="L4200" s="206"/>
      <c r="M4200" s="49"/>
      <c r="N4200" s="73">
        <v>44286</v>
      </c>
      <c r="O4200" s="451">
        <v>-100</v>
      </c>
      <c r="P4200" s="396">
        <v>58333.33</v>
      </c>
      <c r="Q4200" s="212">
        <v>-1</v>
      </c>
      <c r="R4200" s="386">
        <f t="shared" si="135"/>
        <v>-58333.33</v>
      </c>
      <c r="S4200" s="115">
        <v>202304</v>
      </c>
      <c r="T4200" s="184" t="s">
        <v>5479</v>
      </c>
      <c r="U4200" s="213"/>
      <c r="V4200" s="418"/>
      <c r="W4200" s="214"/>
      <c r="X4200" s="73" t="s">
        <v>5482</v>
      </c>
      <c r="Y4200" s="73" t="s">
        <v>5483</v>
      </c>
    </row>
    <row r="4201" s="3" customFormat="1" customHeight="1" spans="1:25">
      <c r="A4201" s="154" t="s">
        <v>444</v>
      </c>
      <c r="B4201" s="292" t="s">
        <v>4284</v>
      </c>
      <c r="C4201" s="292" t="s">
        <v>2173</v>
      </c>
      <c r="D4201" s="292" t="s">
        <v>3939</v>
      </c>
      <c r="E4201" s="153" t="s">
        <v>5458</v>
      </c>
      <c r="F4201" s="154" t="s">
        <v>5474</v>
      </c>
      <c r="G4201" s="154" t="s">
        <v>31</v>
      </c>
      <c r="H4201" s="110" t="s">
        <v>5484</v>
      </c>
      <c r="I4201" s="30" t="e">
        <f>VLOOKUP(H4201,'合同高级查询数据-4月返'!A:A,1,FALSE)</f>
        <v>#N/A</v>
      </c>
      <c r="J4201" s="31" t="s">
        <v>33</v>
      </c>
      <c r="K4201" s="154" t="s">
        <v>5278</v>
      </c>
      <c r="L4201" s="293"/>
      <c r="M4201" s="113"/>
      <c r="N4201" s="146">
        <v>43800</v>
      </c>
      <c r="O4201" s="146" t="s">
        <v>37</v>
      </c>
      <c r="P4201" s="400">
        <v>18</v>
      </c>
      <c r="Q4201" s="295">
        <v>1792</v>
      </c>
      <c r="R4201" s="390">
        <f t="shared" si="135"/>
        <v>32256</v>
      </c>
      <c r="S4201" s="127">
        <v>202304</v>
      </c>
      <c r="T4201" s="198" t="s">
        <v>5485</v>
      </c>
      <c r="U4201" s="391"/>
      <c r="V4201" s="422"/>
      <c r="W4201" s="393"/>
      <c r="X4201" s="146"/>
      <c r="Y4201" s="146"/>
    </row>
    <row r="4202" s="3" customFormat="1" customHeight="1" spans="1:25">
      <c r="A4202" s="154" t="s">
        <v>444</v>
      </c>
      <c r="B4202" s="292" t="s">
        <v>4284</v>
      </c>
      <c r="C4202" s="292" t="s">
        <v>2173</v>
      </c>
      <c r="D4202" s="292" t="s">
        <v>3939</v>
      </c>
      <c r="E4202" s="153" t="s">
        <v>5458</v>
      </c>
      <c r="F4202" s="154" t="s">
        <v>5474</v>
      </c>
      <c r="G4202" s="154" t="s">
        <v>31</v>
      </c>
      <c r="H4202" s="110" t="s">
        <v>5484</v>
      </c>
      <c r="I4202" s="30" t="e">
        <f>VLOOKUP(H4202,'合同高级查询数据-4月返'!A:A,1,FALSE)</f>
        <v>#N/A</v>
      </c>
      <c r="J4202" s="31" t="s">
        <v>33</v>
      </c>
      <c r="K4202" s="154" t="s">
        <v>5278</v>
      </c>
      <c r="L4202" s="293"/>
      <c r="M4202" s="113"/>
      <c r="N4202" s="146">
        <v>44286</v>
      </c>
      <c r="O4202" s="146" t="s">
        <v>37</v>
      </c>
      <c r="P4202" s="400">
        <v>18</v>
      </c>
      <c r="Q4202" s="295">
        <v>-1792</v>
      </c>
      <c r="R4202" s="390">
        <f t="shared" si="135"/>
        <v>-32256</v>
      </c>
      <c r="S4202" s="127">
        <v>202304</v>
      </c>
      <c r="T4202" s="198" t="s">
        <v>5485</v>
      </c>
      <c r="U4202" s="391"/>
      <c r="V4202" s="422"/>
      <c r="W4202" s="393"/>
      <c r="X4202" s="146"/>
      <c r="Y4202" s="146"/>
    </row>
    <row r="4203" s="3" customFormat="1" customHeight="1" spans="1:25">
      <c r="A4203" s="154" t="s">
        <v>444</v>
      </c>
      <c r="B4203" s="292" t="s">
        <v>4284</v>
      </c>
      <c r="C4203" s="292" t="s">
        <v>2173</v>
      </c>
      <c r="D4203" s="292" t="s">
        <v>3939</v>
      </c>
      <c r="E4203" s="153" t="s">
        <v>5458</v>
      </c>
      <c r="F4203" s="154" t="s">
        <v>5459</v>
      </c>
      <c r="G4203" s="154" t="s">
        <v>88</v>
      </c>
      <c r="H4203" s="110" t="s">
        <v>5486</v>
      </c>
      <c r="I4203" s="30" t="e">
        <f>VLOOKUP(H4203,'合同高级查询数据-4月返'!A:A,1,FALSE)</f>
        <v>#N/A</v>
      </c>
      <c r="J4203" s="31" t="s">
        <v>2423</v>
      </c>
      <c r="K4203" s="154" t="s">
        <v>5103</v>
      </c>
      <c r="L4203" s="293" t="s">
        <v>5487</v>
      </c>
      <c r="M4203" s="113" t="s">
        <v>5462</v>
      </c>
      <c r="N4203" s="146">
        <v>44927</v>
      </c>
      <c r="O4203" s="146" t="s">
        <v>1306</v>
      </c>
      <c r="P4203" s="400">
        <v>5000</v>
      </c>
      <c r="Q4203" s="295">
        <v>6</v>
      </c>
      <c r="R4203" s="126">
        <f t="shared" si="135"/>
        <v>30000</v>
      </c>
      <c r="S4203" s="277">
        <v>202304</v>
      </c>
      <c r="T4203" s="416" t="s">
        <v>5488</v>
      </c>
      <c r="U4203" s="391"/>
      <c r="V4203" s="438"/>
      <c r="W4203" s="393"/>
      <c r="X4203" s="146"/>
      <c r="Y4203" s="146"/>
    </row>
    <row r="4204" s="3" customFormat="1" customHeight="1" spans="1:25">
      <c r="A4204" s="154" t="s">
        <v>444</v>
      </c>
      <c r="B4204" s="292" t="s">
        <v>4284</v>
      </c>
      <c r="C4204" s="292" t="s">
        <v>2173</v>
      </c>
      <c r="D4204" s="292" t="s">
        <v>3939</v>
      </c>
      <c r="E4204" s="153" t="s">
        <v>5458</v>
      </c>
      <c r="F4204" s="154" t="s">
        <v>5459</v>
      </c>
      <c r="G4204" s="154" t="s">
        <v>88</v>
      </c>
      <c r="H4204" s="110" t="s">
        <v>5486</v>
      </c>
      <c r="I4204" s="30" t="e">
        <f>VLOOKUP(H4204,'合同高级查询数据-4月返'!A:A,1,FALSE)</f>
        <v>#N/A</v>
      </c>
      <c r="J4204" s="31" t="s">
        <v>2423</v>
      </c>
      <c r="K4204" s="154" t="s">
        <v>5103</v>
      </c>
      <c r="L4204" s="293" t="s">
        <v>5487</v>
      </c>
      <c r="M4204" s="113"/>
      <c r="N4204" s="146">
        <v>45006</v>
      </c>
      <c r="O4204" s="146" t="s">
        <v>1306</v>
      </c>
      <c r="P4204" s="400">
        <v>5000</v>
      </c>
      <c r="Q4204" s="295">
        <v>1</v>
      </c>
      <c r="R4204" s="126">
        <f t="shared" si="135"/>
        <v>5000</v>
      </c>
      <c r="S4204" s="277">
        <v>202304</v>
      </c>
      <c r="T4204" s="416" t="s">
        <v>5489</v>
      </c>
      <c r="U4204" s="391"/>
      <c r="V4204" s="438"/>
      <c r="W4204" s="393"/>
      <c r="X4204" s="146"/>
      <c r="Y4204" s="146"/>
    </row>
    <row r="4205" s="3" customFormat="1" customHeight="1" spans="1:25">
      <c r="A4205" s="154" t="s">
        <v>444</v>
      </c>
      <c r="B4205" s="292" t="s">
        <v>4284</v>
      </c>
      <c r="C4205" s="292" t="s">
        <v>2173</v>
      </c>
      <c r="D4205" s="292" t="s">
        <v>3939</v>
      </c>
      <c r="E4205" s="153" t="s">
        <v>5458</v>
      </c>
      <c r="F4205" s="154" t="s">
        <v>5459</v>
      </c>
      <c r="G4205" s="154" t="s">
        <v>31</v>
      </c>
      <c r="H4205" s="110" t="s">
        <v>5486</v>
      </c>
      <c r="I4205" s="30" t="e">
        <f>VLOOKUP(H4205,'合同高级查询数据-4月返'!A:A,1,FALSE)</f>
        <v>#N/A</v>
      </c>
      <c r="J4205" s="31" t="s">
        <v>33</v>
      </c>
      <c r="K4205" s="154" t="s">
        <v>5103</v>
      </c>
      <c r="L4205" s="293" t="s">
        <v>5487</v>
      </c>
      <c r="M4205" s="113"/>
      <c r="N4205" s="146">
        <v>44933</v>
      </c>
      <c r="O4205" s="146" t="s">
        <v>37</v>
      </c>
      <c r="P4205" s="400">
        <v>0</v>
      </c>
      <c r="Q4205" s="295">
        <v>576</v>
      </c>
      <c r="R4205" s="126">
        <f t="shared" ref="R4205:R4210" si="136">ROUND(P4205*Q4205,2)</f>
        <v>0</v>
      </c>
      <c r="S4205" s="277">
        <v>202304</v>
      </c>
      <c r="T4205" s="416" t="s">
        <v>5490</v>
      </c>
      <c r="U4205" s="391"/>
      <c r="V4205" s="438"/>
      <c r="W4205" s="393"/>
      <c r="X4205" s="146"/>
      <c r="Y4205" s="146"/>
    </row>
    <row r="4206" s="3" customFormat="1" customHeight="1" spans="1:25">
      <c r="A4206" s="154" t="s">
        <v>444</v>
      </c>
      <c r="B4206" s="292" t="s">
        <v>4284</v>
      </c>
      <c r="C4206" s="292" t="s">
        <v>2173</v>
      </c>
      <c r="D4206" s="292" t="s">
        <v>3939</v>
      </c>
      <c r="E4206" s="153" t="s">
        <v>5458</v>
      </c>
      <c r="F4206" s="154" t="s">
        <v>5459</v>
      </c>
      <c r="G4206" s="154" t="s">
        <v>31</v>
      </c>
      <c r="H4206" s="110" t="s">
        <v>5486</v>
      </c>
      <c r="I4206" s="30" t="e">
        <f>VLOOKUP(H4206,'合同高级查询数据-4月返'!A:A,1,FALSE)</f>
        <v>#N/A</v>
      </c>
      <c r="J4206" s="31" t="s">
        <v>33</v>
      </c>
      <c r="K4206" s="154" t="s">
        <v>5103</v>
      </c>
      <c r="L4206" s="293" t="s">
        <v>5487</v>
      </c>
      <c r="M4206" s="113"/>
      <c r="N4206" s="146">
        <v>44933</v>
      </c>
      <c r="O4206" s="146" t="s">
        <v>37</v>
      </c>
      <c r="P4206" s="400">
        <v>50</v>
      </c>
      <c r="Q4206" s="295">
        <f>736-576</f>
        <v>160</v>
      </c>
      <c r="R4206" s="126">
        <f t="shared" si="136"/>
        <v>8000</v>
      </c>
      <c r="S4206" s="277">
        <v>202304</v>
      </c>
      <c r="T4206" s="416" t="s">
        <v>5490</v>
      </c>
      <c r="U4206" s="391"/>
      <c r="V4206" s="438"/>
      <c r="W4206" s="393"/>
      <c r="X4206" s="146"/>
      <c r="Y4206" s="146"/>
    </row>
    <row r="4207" s="3" customFormat="1" customHeight="1" spans="1:25">
      <c r="A4207" s="154" t="s">
        <v>444</v>
      </c>
      <c r="B4207" s="292" t="s">
        <v>4284</v>
      </c>
      <c r="C4207" s="292" t="s">
        <v>2173</v>
      </c>
      <c r="D4207" s="292" t="s">
        <v>3939</v>
      </c>
      <c r="E4207" s="153" t="s">
        <v>5458</v>
      </c>
      <c r="F4207" s="154" t="s">
        <v>5459</v>
      </c>
      <c r="G4207" s="154" t="s">
        <v>31</v>
      </c>
      <c r="H4207" s="110" t="s">
        <v>5486</v>
      </c>
      <c r="I4207" s="30" t="e">
        <f>VLOOKUP(H4207,'合同高级查询数据-4月返'!A:A,1,FALSE)</f>
        <v>#N/A</v>
      </c>
      <c r="J4207" s="31" t="s">
        <v>33</v>
      </c>
      <c r="K4207" s="154" t="s">
        <v>5103</v>
      </c>
      <c r="L4207" s="293" t="s">
        <v>5487</v>
      </c>
      <c r="M4207" s="113"/>
      <c r="N4207" s="146">
        <v>44985</v>
      </c>
      <c r="O4207" s="146" t="s">
        <v>37</v>
      </c>
      <c r="P4207" s="400">
        <v>50</v>
      </c>
      <c r="Q4207" s="295">
        <v>-160</v>
      </c>
      <c r="R4207" s="126">
        <f t="shared" si="136"/>
        <v>-8000</v>
      </c>
      <c r="S4207" s="277">
        <v>202304</v>
      </c>
      <c r="T4207" s="416" t="s">
        <v>5491</v>
      </c>
      <c r="U4207" s="391"/>
      <c r="V4207" s="438"/>
      <c r="W4207" s="393"/>
      <c r="X4207" s="146"/>
      <c r="Y4207" s="146"/>
    </row>
    <row r="4208" s="3" customFormat="1" customHeight="1" spans="1:25">
      <c r="A4208" s="154" t="s">
        <v>444</v>
      </c>
      <c r="B4208" s="292" t="s">
        <v>4284</v>
      </c>
      <c r="C4208" s="292" t="s">
        <v>2173</v>
      </c>
      <c r="D4208" s="292" t="s">
        <v>3939</v>
      </c>
      <c r="E4208" s="153" t="s">
        <v>5458</v>
      </c>
      <c r="F4208" s="154" t="s">
        <v>5459</v>
      </c>
      <c r="G4208" s="154" t="s">
        <v>31</v>
      </c>
      <c r="H4208" s="110" t="s">
        <v>5486</v>
      </c>
      <c r="I4208" s="30" t="e">
        <f>VLOOKUP(H4208,'合同高级查询数据-4月返'!A:A,1,FALSE)</f>
        <v>#N/A</v>
      </c>
      <c r="J4208" s="31" t="s">
        <v>33</v>
      </c>
      <c r="K4208" s="154" t="s">
        <v>5103</v>
      </c>
      <c r="L4208" s="293" t="s">
        <v>5487</v>
      </c>
      <c r="M4208" s="113"/>
      <c r="N4208" s="146">
        <v>44985</v>
      </c>
      <c r="O4208" s="146" t="s">
        <v>37</v>
      </c>
      <c r="P4208" s="400">
        <v>0</v>
      </c>
      <c r="Q4208" s="295">
        <v>-56</v>
      </c>
      <c r="R4208" s="126">
        <f t="shared" si="136"/>
        <v>0</v>
      </c>
      <c r="S4208" s="277">
        <v>202304</v>
      </c>
      <c r="T4208" s="416" t="s">
        <v>5491</v>
      </c>
      <c r="U4208" s="391"/>
      <c r="V4208" s="438"/>
      <c r="W4208" s="393"/>
      <c r="X4208" s="146"/>
      <c r="Y4208" s="146"/>
    </row>
    <row r="4209" s="3" customFormat="1" customHeight="1" spans="1:25">
      <c r="A4209" s="154" t="s">
        <v>444</v>
      </c>
      <c r="B4209" s="292" t="s">
        <v>4284</v>
      </c>
      <c r="C4209" s="292" t="s">
        <v>2173</v>
      </c>
      <c r="D4209" s="292" t="s">
        <v>3939</v>
      </c>
      <c r="E4209" s="153" t="s">
        <v>5458</v>
      </c>
      <c r="F4209" s="154" t="s">
        <v>5459</v>
      </c>
      <c r="G4209" s="154" t="s">
        <v>31</v>
      </c>
      <c r="H4209" s="110" t="s">
        <v>5492</v>
      </c>
      <c r="I4209" s="30" t="e">
        <f>VLOOKUP(H4209,'合同高级查询数据-4月返'!A:A,1,FALSE)</f>
        <v>#N/A</v>
      </c>
      <c r="J4209" s="31" t="s">
        <v>497</v>
      </c>
      <c r="K4209" s="154" t="s">
        <v>5278</v>
      </c>
      <c r="L4209" s="293" t="s">
        <v>5493</v>
      </c>
      <c r="M4209" s="113"/>
      <c r="N4209" s="146">
        <v>44986</v>
      </c>
      <c r="O4209" s="146" t="s">
        <v>37</v>
      </c>
      <c r="P4209" s="400">
        <v>0</v>
      </c>
      <c r="Q4209" s="400">
        <v>256</v>
      </c>
      <c r="R4209" s="126">
        <f t="shared" si="136"/>
        <v>0</v>
      </c>
      <c r="S4209" s="277">
        <v>202304</v>
      </c>
      <c r="T4209" s="416" t="s">
        <v>5494</v>
      </c>
      <c r="U4209" s="391"/>
      <c r="V4209" s="438"/>
      <c r="W4209" s="393"/>
      <c r="X4209" s="146"/>
      <c r="Y4209" s="146"/>
    </row>
    <row r="4210" s="3" customFormat="1" customHeight="1" spans="1:25">
      <c r="A4210" s="154" t="s">
        <v>444</v>
      </c>
      <c r="B4210" s="292" t="s">
        <v>4284</v>
      </c>
      <c r="C4210" s="292" t="s">
        <v>2173</v>
      </c>
      <c r="D4210" s="292" t="s">
        <v>3939</v>
      </c>
      <c r="E4210" s="153" t="s">
        <v>5458</v>
      </c>
      <c r="F4210" s="154" t="s">
        <v>5459</v>
      </c>
      <c r="G4210" s="154" t="s">
        <v>31</v>
      </c>
      <c r="H4210" s="110" t="s">
        <v>5492</v>
      </c>
      <c r="I4210" s="30" t="e">
        <f>VLOOKUP(H4210,'合同高级查询数据-4月返'!A:A,1,FALSE)</f>
        <v>#N/A</v>
      </c>
      <c r="J4210" s="31" t="s">
        <v>497</v>
      </c>
      <c r="K4210" s="154" t="s">
        <v>5278</v>
      </c>
      <c r="L4210" s="293" t="s">
        <v>5493</v>
      </c>
      <c r="M4210" s="113"/>
      <c r="N4210" s="146">
        <v>44986</v>
      </c>
      <c r="O4210" s="146" t="s">
        <v>179</v>
      </c>
      <c r="P4210" s="400">
        <v>0</v>
      </c>
      <c r="Q4210" s="400">
        <v>1</v>
      </c>
      <c r="R4210" s="126">
        <f t="shared" si="136"/>
        <v>0</v>
      </c>
      <c r="S4210" s="277">
        <v>202304</v>
      </c>
      <c r="T4210" s="416" t="s">
        <v>5495</v>
      </c>
      <c r="U4210" s="391"/>
      <c r="V4210" s="438"/>
      <c r="W4210" s="393"/>
      <c r="X4210" s="146"/>
      <c r="Y4210" s="146"/>
    </row>
    <row r="4211" s="3" customFormat="1" customHeight="1" spans="1:25">
      <c r="A4211" s="154" t="s">
        <v>444</v>
      </c>
      <c r="B4211" s="154" t="s">
        <v>5041</v>
      </c>
      <c r="C4211" s="154" t="s">
        <v>5114</v>
      </c>
      <c r="D4211" s="292" t="s">
        <v>3939</v>
      </c>
      <c r="E4211" s="153" t="s">
        <v>5496</v>
      </c>
      <c r="F4211" s="154" t="s">
        <v>5497</v>
      </c>
      <c r="G4211" s="154" t="s">
        <v>88</v>
      </c>
      <c r="H4211" s="110" t="s">
        <v>5498</v>
      </c>
      <c r="I4211" s="30" t="e">
        <f>VLOOKUP(H4211,'合同高级查询数据-4月返'!A:A,1,FALSE)</f>
        <v>#N/A</v>
      </c>
      <c r="J4211" s="31" t="s">
        <v>162</v>
      </c>
      <c r="K4211" s="154" t="s">
        <v>5499</v>
      </c>
      <c r="L4211" s="293" t="s">
        <v>5500</v>
      </c>
      <c r="M4211" s="113" t="s">
        <v>5501</v>
      </c>
      <c r="N4211" s="146">
        <v>43497</v>
      </c>
      <c r="O4211" s="292" t="s">
        <v>163</v>
      </c>
      <c r="P4211" s="400">
        <v>5000</v>
      </c>
      <c r="Q4211" s="295">
        <v>1</v>
      </c>
      <c r="R4211" s="390">
        <f t="shared" si="135"/>
        <v>5000</v>
      </c>
      <c r="S4211" s="127">
        <v>202304</v>
      </c>
      <c r="T4211" s="423" t="s">
        <v>5502</v>
      </c>
      <c r="U4211" s="393"/>
      <c r="V4211" s="422"/>
      <c r="W4211" s="393"/>
      <c r="X4211" s="146"/>
      <c r="Y4211" s="146"/>
    </row>
    <row r="4212" s="3" customFormat="1" customHeight="1" spans="1:25">
      <c r="A4212" s="154" t="s">
        <v>444</v>
      </c>
      <c r="B4212" s="154" t="s">
        <v>5041</v>
      </c>
      <c r="C4212" s="154" t="s">
        <v>5114</v>
      </c>
      <c r="D4212" s="292" t="s">
        <v>3939</v>
      </c>
      <c r="E4212" s="153" t="s">
        <v>5496</v>
      </c>
      <c r="F4212" s="154" t="s">
        <v>5497</v>
      </c>
      <c r="G4212" s="154" t="s">
        <v>31</v>
      </c>
      <c r="H4212" s="110" t="s">
        <v>5498</v>
      </c>
      <c r="I4212" s="30" t="e">
        <f>VLOOKUP(H4212,'合同高级查询数据-4月返'!A:A,1,FALSE)</f>
        <v>#N/A</v>
      </c>
      <c r="J4212" s="31" t="s">
        <v>4997</v>
      </c>
      <c r="K4212" s="154" t="s">
        <v>5499</v>
      </c>
      <c r="L4212" s="293" t="s">
        <v>5500</v>
      </c>
      <c r="M4212" s="113" t="s">
        <v>5501</v>
      </c>
      <c r="N4212" s="146">
        <v>43497</v>
      </c>
      <c r="O4212" s="154" t="s">
        <v>37</v>
      </c>
      <c r="P4212" s="400">
        <v>0</v>
      </c>
      <c r="Q4212" s="295">
        <v>160</v>
      </c>
      <c r="R4212" s="390">
        <f t="shared" si="135"/>
        <v>0</v>
      </c>
      <c r="S4212" s="127">
        <v>202304</v>
      </c>
      <c r="T4212" s="423" t="s">
        <v>5503</v>
      </c>
      <c r="U4212" s="393"/>
      <c r="V4212" s="422"/>
      <c r="W4212" s="393"/>
      <c r="X4212" s="146"/>
      <c r="Y4212" s="146"/>
    </row>
    <row r="4213" s="3" customFormat="1" customHeight="1" spans="1:25">
      <c r="A4213" s="154" t="s">
        <v>444</v>
      </c>
      <c r="B4213" s="292" t="s">
        <v>4284</v>
      </c>
      <c r="C4213" s="292" t="s">
        <v>196</v>
      </c>
      <c r="D4213" s="292" t="s">
        <v>3939</v>
      </c>
      <c r="E4213" s="153" t="s">
        <v>4955</v>
      </c>
      <c r="F4213" s="154" t="s">
        <v>5504</v>
      </c>
      <c r="G4213" s="154" t="s">
        <v>88</v>
      </c>
      <c r="H4213" s="110" t="s">
        <v>5505</v>
      </c>
      <c r="I4213" s="30" t="e">
        <f>VLOOKUP(H4213,'合同高级查询数据-4月返'!A:A,1,FALSE)</f>
        <v>#N/A</v>
      </c>
      <c r="J4213" s="31" t="s">
        <v>2423</v>
      </c>
      <c r="K4213" s="154" t="s">
        <v>198</v>
      </c>
      <c r="L4213" s="293" t="s">
        <v>5506</v>
      </c>
      <c r="M4213" s="113" t="s">
        <v>5507</v>
      </c>
      <c r="N4213" s="146" t="s">
        <v>5508</v>
      </c>
      <c r="O4213" s="146" t="s">
        <v>92</v>
      </c>
      <c r="P4213" s="400">
        <v>4500</v>
      </c>
      <c r="Q4213" s="295">
        <v>4</v>
      </c>
      <c r="R4213" s="390">
        <f t="shared" si="135"/>
        <v>18000</v>
      </c>
      <c r="S4213" s="127">
        <v>202304</v>
      </c>
      <c r="T4213" s="198" t="s">
        <v>5509</v>
      </c>
      <c r="U4213" s="391"/>
      <c r="V4213" s="422"/>
      <c r="W4213" s="393"/>
      <c r="X4213" s="146"/>
      <c r="Y4213" s="146"/>
    </row>
    <row r="4214" s="3" customFormat="1" customHeight="1" spans="1:25">
      <c r="A4214" s="154" t="s">
        <v>444</v>
      </c>
      <c r="B4214" s="292" t="s">
        <v>4284</v>
      </c>
      <c r="C4214" s="292" t="s">
        <v>196</v>
      </c>
      <c r="D4214" s="292" t="s">
        <v>3939</v>
      </c>
      <c r="E4214" s="153" t="s">
        <v>4955</v>
      </c>
      <c r="F4214" s="154" t="s">
        <v>5504</v>
      </c>
      <c r="G4214" s="154" t="s">
        <v>88</v>
      </c>
      <c r="H4214" s="110" t="s">
        <v>5505</v>
      </c>
      <c r="I4214" s="30" t="e">
        <f>VLOOKUP(H4214,'合同高级查询数据-4月返'!A:A,1,FALSE)</f>
        <v>#N/A</v>
      </c>
      <c r="J4214" s="31" t="s">
        <v>2423</v>
      </c>
      <c r="K4214" s="154" t="s">
        <v>198</v>
      </c>
      <c r="L4214" s="293" t="s">
        <v>5506</v>
      </c>
      <c r="M4214" s="113" t="s">
        <v>5507</v>
      </c>
      <c r="N4214" s="146">
        <v>44651</v>
      </c>
      <c r="O4214" s="146" t="s">
        <v>92</v>
      </c>
      <c r="P4214" s="400">
        <v>4500</v>
      </c>
      <c r="Q4214" s="295">
        <v>-4</v>
      </c>
      <c r="R4214" s="390">
        <f t="shared" si="135"/>
        <v>-18000</v>
      </c>
      <c r="S4214" s="127">
        <v>202304</v>
      </c>
      <c r="T4214" s="198" t="s">
        <v>5510</v>
      </c>
      <c r="U4214" s="391"/>
      <c r="V4214" s="422"/>
      <c r="W4214" s="393"/>
      <c r="X4214" s="146"/>
      <c r="Y4214" s="146"/>
    </row>
    <row r="4215" s="3" customFormat="1" customHeight="1" spans="1:25">
      <c r="A4215" s="154" t="s">
        <v>444</v>
      </c>
      <c r="B4215" s="292" t="s">
        <v>4284</v>
      </c>
      <c r="C4215" s="292" t="s">
        <v>196</v>
      </c>
      <c r="D4215" s="292" t="s">
        <v>3939</v>
      </c>
      <c r="E4215" s="153" t="s">
        <v>4955</v>
      </c>
      <c r="F4215" s="154" t="s">
        <v>5504</v>
      </c>
      <c r="G4215" s="154" t="s">
        <v>31</v>
      </c>
      <c r="H4215" s="110" t="s">
        <v>5505</v>
      </c>
      <c r="I4215" s="30" t="e">
        <f>VLOOKUP(H4215,'合同高级查询数据-4月返'!A:A,1,FALSE)</f>
        <v>#N/A</v>
      </c>
      <c r="J4215" s="31" t="s">
        <v>33</v>
      </c>
      <c r="K4215" s="154" t="s">
        <v>5511</v>
      </c>
      <c r="L4215" s="293" t="s">
        <v>5506</v>
      </c>
      <c r="M4215" s="113"/>
      <c r="N4215" s="146">
        <v>43208</v>
      </c>
      <c r="O4215" s="146" t="s">
        <v>37</v>
      </c>
      <c r="P4215" s="400">
        <v>0</v>
      </c>
      <c r="Q4215" s="295">
        <v>288</v>
      </c>
      <c r="R4215" s="390">
        <f t="shared" si="135"/>
        <v>0</v>
      </c>
      <c r="S4215" s="127">
        <v>202304</v>
      </c>
      <c r="T4215" s="198" t="s">
        <v>5512</v>
      </c>
      <c r="U4215" s="391"/>
      <c r="V4215" s="422"/>
      <c r="W4215" s="393"/>
      <c r="X4215" s="146"/>
      <c r="Y4215" s="146"/>
    </row>
    <row r="4216" s="3" customFormat="1" customHeight="1" spans="1:25">
      <c r="A4216" s="154" t="s">
        <v>444</v>
      </c>
      <c r="B4216" s="292" t="s">
        <v>4284</v>
      </c>
      <c r="C4216" s="292" t="s">
        <v>196</v>
      </c>
      <c r="D4216" s="292" t="s">
        <v>3939</v>
      </c>
      <c r="E4216" s="153" t="s">
        <v>4955</v>
      </c>
      <c r="F4216" s="154" t="s">
        <v>5504</v>
      </c>
      <c r="G4216" s="154" t="s">
        <v>31</v>
      </c>
      <c r="H4216" s="110" t="s">
        <v>5505</v>
      </c>
      <c r="I4216" s="30" t="e">
        <f>VLOOKUP(H4216,'合同高级查询数据-4月返'!A:A,1,FALSE)</f>
        <v>#N/A</v>
      </c>
      <c r="J4216" s="31" t="s">
        <v>33</v>
      </c>
      <c r="K4216" s="154" t="s">
        <v>5511</v>
      </c>
      <c r="L4216" s="293" t="s">
        <v>5506</v>
      </c>
      <c r="M4216" s="113"/>
      <c r="N4216" s="146">
        <v>44651</v>
      </c>
      <c r="O4216" s="146" t="s">
        <v>37</v>
      </c>
      <c r="P4216" s="400">
        <v>0</v>
      </c>
      <c r="Q4216" s="295">
        <v>-288</v>
      </c>
      <c r="R4216" s="390">
        <f t="shared" si="135"/>
        <v>0</v>
      </c>
      <c r="S4216" s="127">
        <v>202304</v>
      </c>
      <c r="T4216" s="198" t="s">
        <v>5513</v>
      </c>
      <c r="U4216" s="391"/>
      <c r="V4216" s="422"/>
      <c r="W4216" s="393"/>
      <c r="X4216" s="146"/>
      <c r="Y4216" s="146"/>
    </row>
    <row r="4217" s="3" customFormat="1" customHeight="1" spans="1:25">
      <c r="A4217" s="154" t="s">
        <v>61</v>
      </c>
      <c r="B4217" s="292" t="s">
        <v>4284</v>
      </c>
      <c r="C4217" s="292" t="s">
        <v>63</v>
      </c>
      <c r="D4217" s="292" t="s">
        <v>3038</v>
      </c>
      <c r="E4217" s="153" t="s">
        <v>76</v>
      </c>
      <c r="F4217" s="154" t="s">
        <v>77</v>
      </c>
      <c r="G4217" s="154" t="s">
        <v>88</v>
      </c>
      <c r="H4217" s="110" t="s">
        <v>5514</v>
      </c>
      <c r="I4217" s="30" t="e">
        <f>VLOOKUP(H4217,'合同高级查询数据-4月返'!A:A,1,FALSE)</f>
        <v>#N/A</v>
      </c>
      <c r="J4217" s="31" t="s">
        <v>3488</v>
      </c>
      <c r="K4217" s="154" t="s">
        <v>5515</v>
      </c>
      <c r="L4217" s="293"/>
      <c r="M4217" s="113" t="s">
        <v>5516</v>
      </c>
      <c r="N4217" s="146">
        <v>44562</v>
      </c>
      <c r="O4217" s="146" t="s">
        <v>1306</v>
      </c>
      <c r="P4217" s="400">
        <v>6818</v>
      </c>
      <c r="Q4217" s="295">
        <v>20</v>
      </c>
      <c r="R4217" s="390">
        <f t="shared" si="135"/>
        <v>136360</v>
      </c>
      <c r="S4217" s="277">
        <v>202304</v>
      </c>
      <c r="T4217" s="198" t="s">
        <v>5517</v>
      </c>
      <c r="U4217" s="391"/>
      <c r="V4217" s="61"/>
      <c r="W4217" s="393"/>
      <c r="X4217" s="146"/>
      <c r="Y4217" s="146"/>
    </row>
    <row r="4218" s="3" customFormat="1" customHeight="1" spans="1:25">
      <c r="A4218" s="154" t="s">
        <v>61</v>
      </c>
      <c r="B4218" s="292" t="s">
        <v>4284</v>
      </c>
      <c r="C4218" s="292" t="s">
        <v>63</v>
      </c>
      <c r="D4218" s="292" t="s">
        <v>3038</v>
      </c>
      <c r="E4218" s="153" t="s">
        <v>76</v>
      </c>
      <c r="F4218" s="154" t="s">
        <v>77</v>
      </c>
      <c r="G4218" s="154" t="s">
        <v>88</v>
      </c>
      <c r="H4218" s="110" t="s">
        <v>5514</v>
      </c>
      <c r="I4218" s="30" t="e">
        <f>VLOOKUP(H4218,'合同高级查询数据-4月返'!A:A,1,FALSE)</f>
        <v>#N/A</v>
      </c>
      <c r="J4218" s="31" t="s">
        <v>3488</v>
      </c>
      <c r="K4218" s="154" t="s">
        <v>5515</v>
      </c>
      <c r="L4218" s="293"/>
      <c r="M4218" s="113" t="s">
        <v>5516</v>
      </c>
      <c r="N4218" s="146">
        <v>44708</v>
      </c>
      <c r="O4218" s="146" t="s">
        <v>1306</v>
      </c>
      <c r="P4218" s="400">
        <v>6818</v>
      </c>
      <c r="Q4218" s="295">
        <v>1</v>
      </c>
      <c r="R4218" s="390">
        <f t="shared" si="135"/>
        <v>6818</v>
      </c>
      <c r="S4218" s="277">
        <v>202304</v>
      </c>
      <c r="T4218" s="198" t="s">
        <v>5518</v>
      </c>
      <c r="U4218" s="391"/>
      <c r="V4218" s="61"/>
      <c r="W4218" s="393"/>
      <c r="X4218" s="146"/>
      <c r="Y4218" s="146"/>
    </row>
    <row r="4219" s="5" customFormat="1" customHeight="1" spans="1:25">
      <c r="A4219" s="203" t="s">
        <v>448</v>
      </c>
      <c r="B4219" s="204" t="s">
        <v>5519</v>
      </c>
      <c r="C4219" s="204" t="s">
        <v>125</v>
      </c>
      <c r="D4219" s="204" t="s">
        <v>3939</v>
      </c>
      <c r="E4219" s="205" t="s">
        <v>5520</v>
      </c>
      <c r="F4219" s="203" t="s">
        <v>5521</v>
      </c>
      <c r="G4219" s="203" t="s">
        <v>88</v>
      </c>
      <c r="H4219" s="25" t="s">
        <v>5522</v>
      </c>
      <c r="I4219" s="46" t="e">
        <f>VLOOKUP(H4219,'合同高级查询数据-4月返'!A:A,1,FALSE)</f>
        <v>#N/A</v>
      </c>
      <c r="J4219" s="47" t="s">
        <v>3488</v>
      </c>
      <c r="K4219" s="203" t="s">
        <v>5523</v>
      </c>
      <c r="L4219" s="206"/>
      <c r="M4219" s="49" t="s">
        <v>5524</v>
      </c>
      <c r="N4219" s="73">
        <v>43770</v>
      </c>
      <c r="O4219" s="73" t="s">
        <v>503</v>
      </c>
      <c r="P4219" s="396">
        <v>5100</v>
      </c>
      <c r="Q4219" s="212">
        <v>75</v>
      </c>
      <c r="R4219" s="386">
        <f t="shared" ref="R4219:R4254" si="137">ROUND(P4219*Q4219,2)</f>
        <v>382500</v>
      </c>
      <c r="S4219" s="279">
        <v>202304</v>
      </c>
      <c r="T4219" s="184" t="s">
        <v>5525</v>
      </c>
      <c r="U4219" s="213"/>
      <c r="V4219" s="210"/>
      <c r="W4219" s="214"/>
      <c r="X4219" s="73">
        <v>43692</v>
      </c>
      <c r="Y4219" s="73">
        <v>45883</v>
      </c>
    </row>
    <row r="4220" s="5" customFormat="1" customHeight="1" spans="1:25">
      <c r="A4220" s="203" t="s">
        <v>448</v>
      </c>
      <c r="B4220" s="204" t="s">
        <v>5519</v>
      </c>
      <c r="C4220" s="204" t="s">
        <v>125</v>
      </c>
      <c r="D4220" s="204" t="s">
        <v>3939</v>
      </c>
      <c r="E4220" s="205" t="s">
        <v>5520</v>
      </c>
      <c r="F4220" s="203" t="s">
        <v>5521</v>
      </c>
      <c r="G4220" s="203" t="s">
        <v>88</v>
      </c>
      <c r="H4220" s="25" t="s">
        <v>5522</v>
      </c>
      <c r="I4220" s="46" t="e">
        <f>VLOOKUP(H4220,'合同高级查询数据-4月返'!A:A,1,FALSE)</f>
        <v>#N/A</v>
      </c>
      <c r="J4220" s="47" t="s">
        <v>3488</v>
      </c>
      <c r="K4220" s="203" t="s">
        <v>5523</v>
      </c>
      <c r="L4220" s="206"/>
      <c r="M4220" s="49" t="s">
        <v>5524</v>
      </c>
      <c r="N4220" s="73">
        <v>43770</v>
      </c>
      <c r="O4220" s="73" t="s">
        <v>525</v>
      </c>
      <c r="P4220" s="396">
        <v>5100</v>
      </c>
      <c r="Q4220" s="212">
        <v>24</v>
      </c>
      <c r="R4220" s="386">
        <f t="shared" si="137"/>
        <v>122400</v>
      </c>
      <c r="S4220" s="279">
        <v>202304</v>
      </c>
      <c r="T4220" s="184" t="s">
        <v>5526</v>
      </c>
      <c r="U4220" s="213"/>
      <c r="V4220" s="210"/>
      <c r="W4220" s="214"/>
      <c r="X4220" s="73">
        <v>43692</v>
      </c>
      <c r="Y4220" s="73">
        <v>45883</v>
      </c>
    </row>
    <row r="4221" s="5" customFormat="1" customHeight="1" spans="1:25">
      <c r="A4221" s="203" t="s">
        <v>448</v>
      </c>
      <c r="B4221" s="204" t="s">
        <v>5519</v>
      </c>
      <c r="C4221" s="204" t="s">
        <v>125</v>
      </c>
      <c r="D4221" s="204" t="s">
        <v>3939</v>
      </c>
      <c r="E4221" s="205" t="s">
        <v>5520</v>
      </c>
      <c r="F4221" s="203" t="s">
        <v>5521</v>
      </c>
      <c r="G4221" s="203" t="s">
        <v>88</v>
      </c>
      <c r="H4221" s="25" t="s">
        <v>5522</v>
      </c>
      <c r="I4221" s="46" t="e">
        <f>VLOOKUP(H4221,'合同高级查询数据-4月返'!A:A,1,FALSE)</f>
        <v>#N/A</v>
      </c>
      <c r="J4221" s="47" t="s">
        <v>3488</v>
      </c>
      <c r="K4221" s="203" t="s">
        <v>5523</v>
      </c>
      <c r="L4221" s="206"/>
      <c r="M4221" s="49" t="s">
        <v>5524</v>
      </c>
      <c r="N4221" s="73">
        <v>43770</v>
      </c>
      <c r="O4221" s="73" t="s">
        <v>566</v>
      </c>
      <c r="P4221" s="396">
        <v>5100</v>
      </c>
      <c r="Q4221" s="212">
        <v>2</v>
      </c>
      <c r="R4221" s="386">
        <f t="shared" si="137"/>
        <v>10200</v>
      </c>
      <c r="S4221" s="279">
        <v>202304</v>
      </c>
      <c r="T4221" s="184" t="s">
        <v>5527</v>
      </c>
      <c r="U4221" s="213"/>
      <c r="V4221" s="210"/>
      <c r="W4221" s="214"/>
      <c r="X4221" s="73">
        <v>43692</v>
      </c>
      <c r="Y4221" s="73">
        <v>45883</v>
      </c>
    </row>
    <row r="4222" s="5" customFormat="1" customHeight="1" spans="1:25">
      <c r="A4222" s="203" t="s">
        <v>448</v>
      </c>
      <c r="B4222" s="204" t="s">
        <v>5519</v>
      </c>
      <c r="C4222" s="204" t="s">
        <v>125</v>
      </c>
      <c r="D4222" s="204" t="s">
        <v>3939</v>
      </c>
      <c r="E4222" s="205" t="s">
        <v>5520</v>
      </c>
      <c r="F4222" s="203" t="s">
        <v>5521</v>
      </c>
      <c r="G4222" s="203" t="s">
        <v>88</v>
      </c>
      <c r="H4222" s="25" t="s">
        <v>5522</v>
      </c>
      <c r="I4222" s="46" t="e">
        <f>VLOOKUP(H4222,'合同高级查询数据-4月返'!A:A,1,FALSE)</f>
        <v>#N/A</v>
      </c>
      <c r="J4222" s="47" t="s">
        <v>3488</v>
      </c>
      <c r="K4222" s="203" t="s">
        <v>5523</v>
      </c>
      <c r="L4222" s="206"/>
      <c r="M4222" s="49" t="s">
        <v>5524</v>
      </c>
      <c r="N4222" s="73">
        <v>43770</v>
      </c>
      <c r="O4222" s="73" t="s">
        <v>606</v>
      </c>
      <c r="P4222" s="396">
        <v>5100</v>
      </c>
      <c r="Q4222" s="212">
        <v>12</v>
      </c>
      <c r="R4222" s="386">
        <f t="shared" si="137"/>
        <v>61200</v>
      </c>
      <c r="S4222" s="279">
        <v>202304</v>
      </c>
      <c r="T4222" s="184" t="s">
        <v>5528</v>
      </c>
      <c r="U4222" s="213"/>
      <c r="V4222" s="210"/>
      <c r="W4222" s="214"/>
      <c r="X4222" s="73">
        <v>43692</v>
      </c>
      <c r="Y4222" s="73">
        <v>45883</v>
      </c>
    </row>
    <row r="4223" s="5" customFormat="1" customHeight="1" spans="1:25">
      <c r="A4223" s="203" t="s">
        <v>448</v>
      </c>
      <c r="B4223" s="204" t="s">
        <v>5519</v>
      </c>
      <c r="C4223" s="204" t="s">
        <v>125</v>
      </c>
      <c r="D4223" s="204" t="s">
        <v>3939</v>
      </c>
      <c r="E4223" s="205" t="s">
        <v>5520</v>
      </c>
      <c r="F4223" s="203" t="s">
        <v>5521</v>
      </c>
      <c r="G4223" s="203" t="s">
        <v>88</v>
      </c>
      <c r="H4223" s="25" t="s">
        <v>5522</v>
      </c>
      <c r="I4223" s="46" t="e">
        <f>VLOOKUP(H4223,'合同高级查询数据-4月返'!A:A,1,FALSE)</f>
        <v>#N/A</v>
      </c>
      <c r="J4223" s="47" t="s">
        <v>3488</v>
      </c>
      <c r="K4223" s="203" t="s">
        <v>5523</v>
      </c>
      <c r="L4223" s="206"/>
      <c r="M4223" s="49" t="s">
        <v>5524</v>
      </c>
      <c r="N4223" s="73">
        <v>43770</v>
      </c>
      <c r="O4223" s="73" t="s">
        <v>595</v>
      </c>
      <c r="P4223" s="396">
        <v>5100</v>
      </c>
      <c r="Q4223" s="212">
        <v>1</v>
      </c>
      <c r="R4223" s="386">
        <f t="shared" si="137"/>
        <v>5100</v>
      </c>
      <c r="S4223" s="279">
        <v>202304</v>
      </c>
      <c r="T4223" s="184" t="s">
        <v>5529</v>
      </c>
      <c r="U4223" s="213"/>
      <c r="V4223" s="210"/>
      <c r="W4223" s="214"/>
      <c r="X4223" s="73">
        <v>43692</v>
      </c>
      <c r="Y4223" s="73">
        <v>45883</v>
      </c>
    </row>
    <row r="4224" s="5" customFormat="1" customHeight="1" spans="1:25">
      <c r="A4224" s="203" t="s">
        <v>448</v>
      </c>
      <c r="B4224" s="204" t="s">
        <v>5519</v>
      </c>
      <c r="C4224" s="204" t="s">
        <v>125</v>
      </c>
      <c r="D4224" s="204" t="s">
        <v>3939</v>
      </c>
      <c r="E4224" s="205" t="s">
        <v>5520</v>
      </c>
      <c r="F4224" s="203" t="s">
        <v>5521</v>
      </c>
      <c r="G4224" s="203" t="s">
        <v>88</v>
      </c>
      <c r="H4224" s="25" t="s">
        <v>5522</v>
      </c>
      <c r="I4224" s="46" t="e">
        <f>VLOOKUP(H4224,'合同高级查询数据-4月返'!A:A,1,FALSE)</f>
        <v>#N/A</v>
      </c>
      <c r="J4224" s="47" t="s">
        <v>3488</v>
      </c>
      <c r="K4224" s="203" t="s">
        <v>5523</v>
      </c>
      <c r="L4224" s="206"/>
      <c r="M4224" s="49" t="s">
        <v>5524</v>
      </c>
      <c r="N4224" s="73">
        <v>43837</v>
      </c>
      <c r="O4224" s="73" t="s">
        <v>566</v>
      </c>
      <c r="P4224" s="396">
        <v>5100</v>
      </c>
      <c r="Q4224" s="212">
        <v>4</v>
      </c>
      <c r="R4224" s="386">
        <f t="shared" si="137"/>
        <v>20400</v>
      </c>
      <c r="S4224" s="279">
        <v>202304</v>
      </c>
      <c r="T4224" s="184" t="s">
        <v>5530</v>
      </c>
      <c r="U4224" s="213"/>
      <c r="V4224" s="210"/>
      <c r="W4224" s="214"/>
      <c r="X4224" s="73">
        <v>43692</v>
      </c>
      <c r="Y4224" s="73">
        <v>45883</v>
      </c>
    </row>
    <row r="4225" s="5" customFormat="1" customHeight="1" spans="1:25">
      <c r="A4225" s="203" t="s">
        <v>448</v>
      </c>
      <c r="B4225" s="204" t="s">
        <v>5519</v>
      </c>
      <c r="C4225" s="204" t="s">
        <v>125</v>
      </c>
      <c r="D4225" s="204" t="s">
        <v>3939</v>
      </c>
      <c r="E4225" s="205" t="s">
        <v>5520</v>
      </c>
      <c r="F4225" s="203" t="s">
        <v>5521</v>
      </c>
      <c r="G4225" s="203" t="s">
        <v>88</v>
      </c>
      <c r="H4225" s="25" t="s">
        <v>5522</v>
      </c>
      <c r="I4225" s="46" t="e">
        <f>VLOOKUP(H4225,'合同高级查询数据-4月返'!A:A,1,FALSE)</f>
        <v>#N/A</v>
      </c>
      <c r="J4225" s="47" t="s">
        <v>3488</v>
      </c>
      <c r="K4225" s="203" t="s">
        <v>5523</v>
      </c>
      <c r="L4225" s="206"/>
      <c r="M4225" s="49" t="s">
        <v>5524</v>
      </c>
      <c r="N4225" s="73">
        <v>43906</v>
      </c>
      <c r="O4225" s="73" t="s">
        <v>503</v>
      </c>
      <c r="P4225" s="396">
        <v>5100</v>
      </c>
      <c r="Q4225" s="212">
        <v>1</v>
      </c>
      <c r="R4225" s="386">
        <f t="shared" si="137"/>
        <v>5100</v>
      </c>
      <c r="S4225" s="279">
        <v>202304</v>
      </c>
      <c r="T4225" s="184" t="s">
        <v>5531</v>
      </c>
      <c r="U4225" s="213"/>
      <c r="V4225" s="210"/>
      <c r="W4225" s="214"/>
      <c r="X4225" s="73">
        <v>43692</v>
      </c>
      <c r="Y4225" s="73">
        <v>45883</v>
      </c>
    </row>
    <row r="4226" s="5" customFormat="1" customHeight="1" spans="1:25">
      <c r="A4226" s="203" t="s">
        <v>448</v>
      </c>
      <c r="B4226" s="204" t="s">
        <v>5519</v>
      </c>
      <c r="C4226" s="204" t="s">
        <v>125</v>
      </c>
      <c r="D4226" s="204" t="s">
        <v>3939</v>
      </c>
      <c r="E4226" s="205" t="s">
        <v>5520</v>
      </c>
      <c r="F4226" s="203" t="s">
        <v>5521</v>
      </c>
      <c r="G4226" s="203" t="s">
        <v>88</v>
      </c>
      <c r="H4226" s="25" t="s">
        <v>5522</v>
      </c>
      <c r="I4226" s="46" t="e">
        <f>VLOOKUP(H4226,'合同高级查询数据-4月返'!A:A,1,FALSE)</f>
        <v>#N/A</v>
      </c>
      <c r="J4226" s="47" t="s">
        <v>3488</v>
      </c>
      <c r="K4226" s="203" t="s">
        <v>5523</v>
      </c>
      <c r="L4226" s="206"/>
      <c r="M4226" s="49" t="s">
        <v>5524</v>
      </c>
      <c r="N4226" s="73">
        <v>44012</v>
      </c>
      <c r="O4226" s="73" t="s">
        <v>503</v>
      </c>
      <c r="P4226" s="396">
        <v>5100</v>
      </c>
      <c r="Q4226" s="212">
        <v>-1</v>
      </c>
      <c r="R4226" s="386">
        <f t="shared" si="137"/>
        <v>-5100</v>
      </c>
      <c r="S4226" s="279">
        <v>202304</v>
      </c>
      <c r="T4226" s="184" t="s">
        <v>5532</v>
      </c>
      <c r="U4226" s="213"/>
      <c r="V4226" s="210"/>
      <c r="W4226" s="214"/>
      <c r="X4226" s="73">
        <v>43692</v>
      </c>
      <c r="Y4226" s="73">
        <v>45883</v>
      </c>
    </row>
    <row r="4227" s="5" customFormat="1" customHeight="1" spans="1:25">
      <c r="A4227" s="203" t="s">
        <v>448</v>
      </c>
      <c r="B4227" s="204" t="s">
        <v>5519</v>
      </c>
      <c r="C4227" s="204" t="s">
        <v>125</v>
      </c>
      <c r="D4227" s="204" t="s">
        <v>3939</v>
      </c>
      <c r="E4227" s="205" t="s">
        <v>5520</v>
      </c>
      <c r="F4227" s="203" t="s">
        <v>5521</v>
      </c>
      <c r="G4227" s="203" t="s">
        <v>88</v>
      </c>
      <c r="H4227" s="25" t="s">
        <v>5522</v>
      </c>
      <c r="I4227" s="46" t="e">
        <f>VLOOKUP(H4227,'合同高级查询数据-4月返'!A:A,1,FALSE)</f>
        <v>#N/A</v>
      </c>
      <c r="J4227" s="47" t="s">
        <v>3488</v>
      </c>
      <c r="K4227" s="203" t="s">
        <v>5523</v>
      </c>
      <c r="L4227" s="206"/>
      <c r="M4227" s="49" t="s">
        <v>5524</v>
      </c>
      <c r="N4227" s="73">
        <v>43908</v>
      </c>
      <c r="O4227" s="73" t="s">
        <v>503</v>
      </c>
      <c r="P4227" s="396">
        <v>5100</v>
      </c>
      <c r="Q4227" s="212">
        <v>1</v>
      </c>
      <c r="R4227" s="386">
        <f t="shared" si="137"/>
        <v>5100</v>
      </c>
      <c r="S4227" s="279">
        <v>202304</v>
      </c>
      <c r="T4227" s="184" t="s">
        <v>5533</v>
      </c>
      <c r="U4227" s="213"/>
      <c r="V4227" s="210"/>
      <c r="W4227" s="214"/>
      <c r="X4227" s="73">
        <v>43692</v>
      </c>
      <c r="Y4227" s="73">
        <v>45883</v>
      </c>
    </row>
    <row r="4228" s="5" customFormat="1" customHeight="1" spans="1:25">
      <c r="A4228" s="203" t="s">
        <v>448</v>
      </c>
      <c r="B4228" s="204" t="s">
        <v>5519</v>
      </c>
      <c r="C4228" s="204" t="s">
        <v>125</v>
      </c>
      <c r="D4228" s="204" t="s">
        <v>3939</v>
      </c>
      <c r="E4228" s="205" t="s">
        <v>5520</v>
      </c>
      <c r="F4228" s="203" t="s">
        <v>5521</v>
      </c>
      <c r="G4228" s="203" t="s">
        <v>88</v>
      </c>
      <c r="H4228" s="25" t="s">
        <v>5522</v>
      </c>
      <c r="I4228" s="46" t="e">
        <f>VLOOKUP(H4228,'合同高级查询数据-4月返'!A:A,1,FALSE)</f>
        <v>#N/A</v>
      </c>
      <c r="J4228" s="47" t="s">
        <v>3488</v>
      </c>
      <c r="K4228" s="203" t="s">
        <v>5523</v>
      </c>
      <c r="L4228" s="206"/>
      <c r="M4228" s="49" t="s">
        <v>5524</v>
      </c>
      <c r="N4228" s="73">
        <v>43915</v>
      </c>
      <c r="O4228" s="73" t="s">
        <v>503</v>
      </c>
      <c r="P4228" s="396">
        <v>5100</v>
      </c>
      <c r="Q4228" s="212">
        <v>7</v>
      </c>
      <c r="R4228" s="386">
        <f t="shared" si="137"/>
        <v>35700</v>
      </c>
      <c r="S4228" s="279">
        <v>202304</v>
      </c>
      <c r="T4228" s="184" t="s">
        <v>5534</v>
      </c>
      <c r="U4228" s="213"/>
      <c r="V4228" s="210"/>
      <c r="W4228" s="214"/>
      <c r="X4228" s="73">
        <v>43692</v>
      </c>
      <c r="Y4228" s="73">
        <v>45883</v>
      </c>
    </row>
    <row r="4229" s="5" customFormat="1" customHeight="1" spans="1:25">
      <c r="A4229" s="203" t="s">
        <v>448</v>
      </c>
      <c r="B4229" s="204" t="s">
        <v>5519</v>
      </c>
      <c r="C4229" s="204" t="s">
        <v>125</v>
      </c>
      <c r="D4229" s="204" t="s">
        <v>3939</v>
      </c>
      <c r="E4229" s="205" t="s">
        <v>5520</v>
      </c>
      <c r="F4229" s="203" t="s">
        <v>5521</v>
      </c>
      <c r="G4229" s="203" t="s">
        <v>88</v>
      </c>
      <c r="H4229" s="25" t="s">
        <v>5522</v>
      </c>
      <c r="I4229" s="46" t="e">
        <f>VLOOKUP(H4229,'合同高级查询数据-4月返'!A:A,1,FALSE)</f>
        <v>#N/A</v>
      </c>
      <c r="J4229" s="47" t="s">
        <v>3488</v>
      </c>
      <c r="K4229" s="203" t="s">
        <v>5523</v>
      </c>
      <c r="L4229" s="206"/>
      <c r="M4229" s="49" t="s">
        <v>5524</v>
      </c>
      <c r="N4229" s="73">
        <v>43917</v>
      </c>
      <c r="O4229" s="73" t="s">
        <v>503</v>
      </c>
      <c r="P4229" s="396">
        <v>5100</v>
      </c>
      <c r="Q4229" s="212">
        <v>6</v>
      </c>
      <c r="R4229" s="386">
        <f t="shared" si="137"/>
        <v>30600</v>
      </c>
      <c r="S4229" s="279">
        <v>202304</v>
      </c>
      <c r="T4229" s="184" t="s">
        <v>5535</v>
      </c>
      <c r="U4229" s="213"/>
      <c r="V4229" s="210"/>
      <c r="W4229" s="214"/>
      <c r="X4229" s="73">
        <v>43692</v>
      </c>
      <c r="Y4229" s="73">
        <v>45883</v>
      </c>
    </row>
    <row r="4230" s="5" customFormat="1" customHeight="1" spans="1:25">
      <c r="A4230" s="203" t="s">
        <v>448</v>
      </c>
      <c r="B4230" s="204" t="s">
        <v>5519</v>
      </c>
      <c r="C4230" s="204" t="s">
        <v>125</v>
      </c>
      <c r="D4230" s="204" t="s">
        <v>3939</v>
      </c>
      <c r="E4230" s="205" t="s">
        <v>5520</v>
      </c>
      <c r="F4230" s="203" t="s">
        <v>5521</v>
      </c>
      <c r="G4230" s="203" t="s">
        <v>88</v>
      </c>
      <c r="H4230" s="25" t="s">
        <v>5522</v>
      </c>
      <c r="I4230" s="46" t="e">
        <f>VLOOKUP(H4230,'合同高级查询数据-4月返'!A:A,1,FALSE)</f>
        <v>#N/A</v>
      </c>
      <c r="J4230" s="47" t="s">
        <v>3488</v>
      </c>
      <c r="K4230" s="203" t="s">
        <v>5523</v>
      </c>
      <c r="L4230" s="206"/>
      <c r="M4230" s="49" t="s">
        <v>5524</v>
      </c>
      <c r="N4230" s="73">
        <v>43918</v>
      </c>
      <c r="O4230" s="73" t="s">
        <v>503</v>
      </c>
      <c r="P4230" s="396">
        <v>5100</v>
      </c>
      <c r="Q4230" s="212">
        <v>4</v>
      </c>
      <c r="R4230" s="386">
        <f t="shared" si="137"/>
        <v>20400</v>
      </c>
      <c r="S4230" s="279">
        <v>202304</v>
      </c>
      <c r="T4230" s="184" t="s">
        <v>5536</v>
      </c>
      <c r="U4230" s="213"/>
      <c r="V4230" s="210"/>
      <c r="W4230" s="214"/>
      <c r="X4230" s="73">
        <v>43692</v>
      </c>
      <c r="Y4230" s="73">
        <v>45883</v>
      </c>
    </row>
    <row r="4231" s="5" customFormat="1" customHeight="1" spans="1:25">
      <c r="A4231" s="203" t="s">
        <v>448</v>
      </c>
      <c r="B4231" s="204" t="s">
        <v>5519</v>
      </c>
      <c r="C4231" s="204" t="s">
        <v>125</v>
      </c>
      <c r="D4231" s="204" t="s">
        <v>3939</v>
      </c>
      <c r="E4231" s="205" t="s">
        <v>5520</v>
      </c>
      <c r="F4231" s="203" t="s">
        <v>5521</v>
      </c>
      <c r="G4231" s="203" t="s">
        <v>88</v>
      </c>
      <c r="H4231" s="25" t="s">
        <v>5522</v>
      </c>
      <c r="I4231" s="46" t="e">
        <f>VLOOKUP(H4231,'合同高级查询数据-4月返'!A:A,1,FALSE)</f>
        <v>#N/A</v>
      </c>
      <c r="J4231" s="47" t="s">
        <v>3488</v>
      </c>
      <c r="K4231" s="203" t="s">
        <v>5523</v>
      </c>
      <c r="L4231" s="206"/>
      <c r="M4231" s="49" t="s">
        <v>5524</v>
      </c>
      <c r="N4231" s="73">
        <v>43923</v>
      </c>
      <c r="O4231" s="73" t="s">
        <v>503</v>
      </c>
      <c r="P4231" s="396">
        <v>5100</v>
      </c>
      <c r="Q4231" s="212">
        <v>15</v>
      </c>
      <c r="R4231" s="386">
        <f t="shared" si="137"/>
        <v>76500</v>
      </c>
      <c r="S4231" s="279">
        <v>202304</v>
      </c>
      <c r="T4231" s="184" t="s">
        <v>5537</v>
      </c>
      <c r="U4231" s="213"/>
      <c r="V4231" s="210"/>
      <c r="W4231" s="214"/>
      <c r="X4231" s="73">
        <v>43692</v>
      </c>
      <c r="Y4231" s="73">
        <v>45883</v>
      </c>
    </row>
    <row r="4232" s="5" customFormat="1" customHeight="1" spans="1:25">
      <c r="A4232" s="203" t="s">
        <v>448</v>
      </c>
      <c r="B4232" s="204" t="s">
        <v>5519</v>
      </c>
      <c r="C4232" s="204" t="s">
        <v>125</v>
      </c>
      <c r="D4232" s="204" t="s">
        <v>3939</v>
      </c>
      <c r="E4232" s="205" t="s">
        <v>5520</v>
      </c>
      <c r="F4232" s="203" t="s">
        <v>5521</v>
      </c>
      <c r="G4232" s="203" t="s">
        <v>88</v>
      </c>
      <c r="H4232" s="25" t="s">
        <v>5522</v>
      </c>
      <c r="I4232" s="46" t="e">
        <f>VLOOKUP(H4232,'合同高级查询数据-4月返'!A:A,1,FALSE)</f>
        <v>#N/A</v>
      </c>
      <c r="J4232" s="47" t="s">
        <v>3488</v>
      </c>
      <c r="K4232" s="203" t="s">
        <v>5523</v>
      </c>
      <c r="L4232" s="206"/>
      <c r="M4232" s="49" t="s">
        <v>5524</v>
      </c>
      <c r="N4232" s="73">
        <v>43937</v>
      </c>
      <c r="O4232" s="73" t="s">
        <v>503</v>
      </c>
      <c r="P4232" s="396">
        <v>5100</v>
      </c>
      <c r="Q4232" s="212">
        <v>7</v>
      </c>
      <c r="R4232" s="386">
        <f t="shared" si="137"/>
        <v>35700</v>
      </c>
      <c r="S4232" s="279">
        <v>202304</v>
      </c>
      <c r="T4232" s="184" t="s">
        <v>5538</v>
      </c>
      <c r="U4232" s="213"/>
      <c r="V4232" s="210"/>
      <c r="W4232" s="214"/>
      <c r="X4232" s="73">
        <v>43692</v>
      </c>
      <c r="Y4232" s="73">
        <v>45883</v>
      </c>
    </row>
    <row r="4233" s="5" customFormat="1" customHeight="1" spans="1:25">
      <c r="A4233" s="203" t="s">
        <v>448</v>
      </c>
      <c r="B4233" s="204" t="s">
        <v>5519</v>
      </c>
      <c r="C4233" s="204" t="s">
        <v>125</v>
      </c>
      <c r="D4233" s="204" t="s">
        <v>3939</v>
      </c>
      <c r="E4233" s="205" t="s">
        <v>5520</v>
      </c>
      <c r="F4233" s="203" t="s">
        <v>5521</v>
      </c>
      <c r="G4233" s="203" t="s">
        <v>88</v>
      </c>
      <c r="H4233" s="25" t="s">
        <v>5522</v>
      </c>
      <c r="I4233" s="46" t="e">
        <f>VLOOKUP(H4233,'合同高级查询数据-4月返'!A:A,1,FALSE)</f>
        <v>#N/A</v>
      </c>
      <c r="J4233" s="47" t="s">
        <v>3488</v>
      </c>
      <c r="K4233" s="203" t="s">
        <v>5523</v>
      </c>
      <c r="L4233" s="206"/>
      <c r="M4233" s="49" t="s">
        <v>5524</v>
      </c>
      <c r="N4233" s="73">
        <v>43961</v>
      </c>
      <c r="O4233" s="73" t="s">
        <v>503</v>
      </c>
      <c r="P4233" s="396">
        <v>5100</v>
      </c>
      <c r="Q4233" s="212">
        <v>3</v>
      </c>
      <c r="R4233" s="386">
        <f t="shared" si="137"/>
        <v>15300</v>
      </c>
      <c r="S4233" s="279">
        <v>202304</v>
      </c>
      <c r="T4233" s="184" t="s">
        <v>5539</v>
      </c>
      <c r="U4233" s="213"/>
      <c r="V4233" s="210"/>
      <c r="W4233" s="214"/>
      <c r="X4233" s="73">
        <v>43692</v>
      </c>
      <c r="Y4233" s="73">
        <v>45883</v>
      </c>
    </row>
    <row r="4234" s="5" customFormat="1" customHeight="1" spans="1:25">
      <c r="A4234" s="203" t="s">
        <v>448</v>
      </c>
      <c r="B4234" s="204" t="s">
        <v>5519</v>
      </c>
      <c r="C4234" s="204" t="s">
        <v>125</v>
      </c>
      <c r="D4234" s="204" t="s">
        <v>3939</v>
      </c>
      <c r="E4234" s="205" t="s">
        <v>5520</v>
      </c>
      <c r="F4234" s="203" t="s">
        <v>5521</v>
      </c>
      <c r="G4234" s="203" t="s">
        <v>88</v>
      </c>
      <c r="H4234" s="25" t="s">
        <v>5522</v>
      </c>
      <c r="I4234" s="46" t="e">
        <f>VLOOKUP(H4234,'合同高级查询数据-4月返'!A:A,1,FALSE)</f>
        <v>#N/A</v>
      </c>
      <c r="J4234" s="47" t="s">
        <v>3488</v>
      </c>
      <c r="K4234" s="203" t="s">
        <v>5523</v>
      </c>
      <c r="L4234" s="206"/>
      <c r="M4234" s="49" t="s">
        <v>5524</v>
      </c>
      <c r="N4234" s="73">
        <v>43964</v>
      </c>
      <c r="O4234" s="73" t="s">
        <v>503</v>
      </c>
      <c r="P4234" s="396">
        <v>5100</v>
      </c>
      <c r="Q4234" s="212">
        <v>1</v>
      </c>
      <c r="R4234" s="386">
        <f t="shared" si="137"/>
        <v>5100</v>
      </c>
      <c r="S4234" s="279">
        <v>202304</v>
      </c>
      <c r="T4234" s="184" t="s">
        <v>5540</v>
      </c>
      <c r="U4234" s="213"/>
      <c r="V4234" s="210"/>
      <c r="W4234" s="214"/>
      <c r="X4234" s="73">
        <v>43692</v>
      </c>
      <c r="Y4234" s="73">
        <v>45883</v>
      </c>
    </row>
    <row r="4235" s="5" customFormat="1" customHeight="1" spans="1:25">
      <c r="A4235" s="203" t="s">
        <v>448</v>
      </c>
      <c r="B4235" s="204" t="s">
        <v>5519</v>
      </c>
      <c r="C4235" s="204" t="s">
        <v>125</v>
      </c>
      <c r="D4235" s="204" t="s">
        <v>3939</v>
      </c>
      <c r="E4235" s="205" t="s">
        <v>5520</v>
      </c>
      <c r="F4235" s="203" t="s">
        <v>5521</v>
      </c>
      <c r="G4235" s="203" t="s">
        <v>88</v>
      </c>
      <c r="H4235" s="25" t="s">
        <v>5522</v>
      </c>
      <c r="I4235" s="46" t="e">
        <f>VLOOKUP(H4235,'合同高级查询数据-4月返'!A:A,1,FALSE)</f>
        <v>#N/A</v>
      </c>
      <c r="J4235" s="47" t="s">
        <v>3488</v>
      </c>
      <c r="K4235" s="203" t="s">
        <v>5523</v>
      </c>
      <c r="L4235" s="206"/>
      <c r="M4235" s="49" t="s">
        <v>5524</v>
      </c>
      <c r="N4235" s="73">
        <v>43983</v>
      </c>
      <c r="O4235" s="73" t="s">
        <v>503</v>
      </c>
      <c r="P4235" s="396">
        <v>5100</v>
      </c>
      <c r="Q4235" s="212">
        <v>12</v>
      </c>
      <c r="R4235" s="386">
        <f t="shared" si="137"/>
        <v>61200</v>
      </c>
      <c r="S4235" s="279">
        <v>202304</v>
      </c>
      <c r="T4235" s="184" t="s">
        <v>5541</v>
      </c>
      <c r="U4235" s="213"/>
      <c r="V4235" s="210"/>
      <c r="W4235" s="214"/>
      <c r="X4235" s="73">
        <v>43692</v>
      </c>
      <c r="Y4235" s="73">
        <v>45883</v>
      </c>
    </row>
    <row r="4236" s="5" customFormat="1" customHeight="1" spans="1:25">
      <c r="A4236" s="203" t="s">
        <v>448</v>
      </c>
      <c r="B4236" s="204" t="s">
        <v>5519</v>
      </c>
      <c r="C4236" s="204" t="s">
        <v>125</v>
      </c>
      <c r="D4236" s="204" t="s">
        <v>3939</v>
      </c>
      <c r="E4236" s="205" t="s">
        <v>5520</v>
      </c>
      <c r="F4236" s="203" t="s">
        <v>5521</v>
      </c>
      <c r="G4236" s="203" t="s">
        <v>88</v>
      </c>
      <c r="H4236" s="25" t="s">
        <v>5522</v>
      </c>
      <c r="I4236" s="46" t="e">
        <f>VLOOKUP(H4236,'合同高级查询数据-4月返'!A:A,1,FALSE)</f>
        <v>#N/A</v>
      </c>
      <c r="J4236" s="47" t="s">
        <v>3488</v>
      </c>
      <c r="K4236" s="203" t="s">
        <v>5523</v>
      </c>
      <c r="L4236" s="206"/>
      <c r="M4236" s="49" t="s">
        <v>5524</v>
      </c>
      <c r="N4236" s="73">
        <v>43824</v>
      </c>
      <c r="O4236" s="73" t="s">
        <v>595</v>
      </c>
      <c r="P4236" s="396">
        <v>5100</v>
      </c>
      <c r="Q4236" s="212">
        <v>1</v>
      </c>
      <c r="R4236" s="386">
        <f t="shared" si="137"/>
        <v>5100</v>
      </c>
      <c r="S4236" s="279">
        <v>202304</v>
      </c>
      <c r="T4236" s="184" t="s">
        <v>5542</v>
      </c>
      <c r="U4236" s="213"/>
      <c r="V4236" s="210"/>
      <c r="W4236" s="214"/>
      <c r="X4236" s="73">
        <v>43692</v>
      </c>
      <c r="Y4236" s="73">
        <v>45883</v>
      </c>
    </row>
    <row r="4237" s="5" customFormat="1" customHeight="1" spans="1:25">
      <c r="A4237" s="203" t="s">
        <v>448</v>
      </c>
      <c r="B4237" s="204" t="s">
        <v>5519</v>
      </c>
      <c r="C4237" s="204" t="s">
        <v>125</v>
      </c>
      <c r="D4237" s="204" t="s">
        <v>3939</v>
      </c>
      <c r="E4237" s="205" t="s">
        <v>5520</v>
      </c>
      <c r="F4237" s="203" t="s">
        <v>5521</v>
      </c>
      <c r="G4237" s="203" t="s">
        <v>88</v>
      </c>
      <c r="H4237" s="25" t="s">
        <v>5522</v>
      </c>
      <c r="I4237" s="46" t="e">
        <f>VLOOKUP(H4237,'合同高级查询数据-4月返'!A:A,1,FALSE)</f>
        <v>#N/A</v>
      </c>
      <c r="J4237" s="47" t="s">
        <v>3488</v>
      </c>
      <c r="K4237" s="203" t="s">
        <v>5523</v>
      </c>
      <c r="L4237" s="206"/>
      <c r="M4237" s="49" t="s">
        <v>5524</v>
      </c>
      <c r="N4237" s="73">
        <v>43831</v>
      </c>
      <c r="O4237" s="73" t="s">
        <v>600</v>
      </c>
      <c r="P4237" s="396">
        <v>3500</v>
      </c>
      <c r="Q4237" s="212">
        <v>15</v>
      </c>
      <c r="R4237" s="386">
        <f t="shared" si="137"/>
        <v>52500</v>
      </c>
      <c r="S4237" s="279">
        <v>202304</v>
      </c>
      <c r="T4237" s="184" t="s">
        <v>5543</v>
      </c>
      <c r="U4237" s="213"/>
      <c r="V4237" s="210"/>
      <c r="W4237" s="214"/>
      <c r="X4237" s="73">
        <v>43692</v>
      </c>
      <c r="Y4237" s="73">
        <v>45883</v>
      </c>
    </row>
    <row r="4238" s="5" customFormat="1" customHeight="1" spans="1:25">
      <c r="A4238" s="203" t="s">
        <v>448</v>
      </c>
      <c r="B4238" s="204" t="s">
        <v>5519</v>
      </c>
      <c r="C4238" s="204" t="s">
        <v>125</v>
      </c>
      <c r="D4238" s="204" t="s">
        <v>3939</v>
      </c>
      <c r="E4238" s="205" t="s">
        <v>5520</v>
      </c>
      <c r="F4238" s="203" t="s">
        <v>5521</v>
      </c>
      <c r="G4238" s="203" t="s">
        <v>88</v>
      </c>
      <c r="H4238" s="25" t="s">
        <v>5522</v>
      </c>
      <c r="I4238" s="46" t="e">
        <f>VLOOKUP(H4238,'合同高级查询数据-4月返'!A:A,1,FALSE)</f>
        <v>#N/A</v>
      </c>
      <c r="J4238" s="47" t="s">
        <v>3488</v>
      </c>
      <c r="K4238" s="203" t="s">
        <v>5523</v>
      </c>
      <c r="L4238" s="206"/>
      <c r="M4238" s="49" t="s">
        <v>5524</v>
      </c>
      <c r="N4238" s="73">
        <v>44012</v>
      </c>
      <c r="O4238" s="73" t="s">
        <v>566</v>
      </c>
      <c r="P4238" s="396">
        <v>5100</v>
      </c>
      <c r="Q4238" s="212">
        <v>2</v>
      </c>
      <c r="R4238" s="386">
        <f t="shared" si="137"/>
        <v>10200</v>
      </c>
      <c r="S4238" s="279">
        <v>202304</v>
      </c>
      <c r="T4238" s="184" t="s">
        <v>5544</v>
      </c>
      <c r="U4238" s="213"/>
      <c r="V4238" s="210"/>
      <c r="W4238" s="214"/>
      <c r="X4238" s="73">
        <v>43692</v>
      </c>
      <c r="Y4238" s="73">
        <v>45883</v>
      </c>
    </row>
    <row r="4239" s="5" customFormat="1" customHeight="1" spans="1:25">
      <c r="A4239" s="203" t="s">
        <v>448</v>
      </c>
      <c r="B4239" s="204" t="s">
        <v>5519</v>
      </c>
      <c r="C4239" s="204" t="s">
        <v>125</v>
      </c>
      <c r="D4239" s="204" t="s">
        <v>3939</v>
      </c>
      <c r="E4239" s="205" t="s">
        <v>5520</v>
      </c>
      <c r="F4239" s="203" t="s">
        <v>5521</v>
      </c>
      <c r="G4239" s="203" t="s">
        <v>88</v>
      </c>
      <c r="H4239" s="25" t="s">
        <v>5522</v>
      </c>
      <c r="I4239" s="46" t="e">
        <f>VLOOKUP(H4239,'合同高级查询数据-4月返'!A:A,1,FALSE)</f>
        <v>#N/A</v>
      </c>
      <c r="J4239" s="47" t="s">
        <v>3488</v>
      </c>
      <c r="K4239" s="203" t="s">
        <v>5523</v>
      </c>
      <c r="L4239" s="206"/>
      <c r="M4239" s="49" t="s">
        <v>5524</v>
      </c>
      <c r="N4239" s="73">
        <v>44012</v>
      </c>
      <c r="O4239" s="73" t="s">
        <v>503</v>
      </c>
      <c r="P4239" s="396">
        <v>5100</v>
      </c>
      <c r="Q4239" s="212">
        <v>16</v>
      </c>
      <c r="R4239" s="386">
        <f t="shared" si="137"/>
        <v>81600</v>
      </c>
      <c r="S4239" s="279">
        <v>202304</v>
      </c>
      <c r="T4239" s="184" t="s">
        <v>5545</v>
      </c>
      <c r="U4239" s="213"/>
      <c r="V4239" s="210"/>
      <c r="W4239" s="214"/>
      <c r="X4239" s="73">
        <v>43692</v>
      </c>
      <c r="Y4239" s="73">
        <v>45883</v>
      </c>
    </row>
    <row r="4240" s="5" customFormat="1" customHeight="1" spans="1:25">
      <c r="A4240" s="203" t="s">
        <v>448</v>
      </c>
      <c r="B4240" s="204" t="s">
        <v>5519</v>
      </c>
      <c r="C4240" s="204" t="s">
        <v>125</v>
      </c>
      <c r="D4240" s="204" t="s">
        <v>3939</v>
      </c>
      <c r="E4240" s="205" t="s">
        <v>5520</v>
      </c>
      <c r="F4240" s="203" t="s">
        <v>5521</v>
      </c>
      <c r="G4240" s="203" t="s">
        <v>88</v>
      </c>
      <c r="H4240" s="25" t="s">
        <v>5522</v>
      </c>
      <c r="I4240" s="46" t="e">
        <f>VLOOKUP(H4240,'合同高级查询数据-4月返'!A:A,1,FALSE)</f>
        <v>#N/A</v>
      </c>
      <c r="J4240" s="47" t="s">
        <v>3488</v>
      </c>
      <c r="K4240" s="203" t="s">
        <v>5523</v>
      </c>
      <c r="L4240" s="206"/>
      <c r="M4240" s="49" t="s">
        <v>5524</v>
      </c>
      <c r="N4240" s="73">
        <v>44018</v>
      </c>
      <c r="O4240" s="73" t="s">
        <v>566</v>
      </c>
      <c r="P4240" s="396">
        <v>5100</v>
      </c>
      <c r="Q4240" s="212">
        <v>1</v>
      </c>
      <c r="R4240" s="386">
        <f t="shared" si="137"/>
        <v>5100</v>
      </c>
      <c r="S4240" s="279">
        <v>202304</v>
      </c>
      <c r="T4240" s="184" t="s">
        <v>5546</v>
      </c>
      <c r="U4240" s="213"/>
      <c r="V4240" s="210"/>
      <c r="W4240" s="214"/>
      <c r="X4240" s="73">
        <v>43692</v>
      </c>
      <c r="Y4240" s="73">
        <v>45883</v>
      </c>
    </row>
    <row r="4241" s="5" customFormat="1" customHeight="1" spans="1:25">
      <c r="A4241" s="203" t="s">
        <v>448</v>
      </c>
      <c r="B4241" s="204" t="s">
        <v>5519</v>
      </c>
      <c r="C4241" s="204" t="s">
        <v>125</v>
      </c>
      <c r="D4241" s="204" t="s">
        <v>3939</v>
      </c>
      <c r="E4241" s="205" t="s">
        <v>5520</v>
      </c>
      <c r="F4241" s="203" t="s">
        <v>5521</v>
      </c>
      <c r="G4241" s="203" t="s">
        <v>88</v>
      </c>
      <c r="H4241" s="25" t="s">
        <v>5522</v>
      </c>
      <c r="I4241" s="46" t="e">
        <f>VLOOKUP(H4241,'合同高级查询数据-4月返'!A:A,1,FALSE)</f>
        <v>#N/A</v>
      </c>
      <c r="J4241" s="47" t="s">
        <v>3488</v>
      </c>
      <c r="K4241" s="203" t="s">
        <v>5523</v>
      </c>
      <c r="L4241" s="206"/>
      <c r="M4241" s="49" t="s">
        <v>5524</v>
      </c>
      <c r="N4241" s="73">
        <v>44019</v>
      </c>
      <c r="O4241" s="73" t="s">
        <v>503</v>
      </c>
      <c r="P4241" s="396">
        <v>5100</v>
      </c>
      <c r="Q4241" s="212">
        <v>1</v>
      </c>
      <c r="R4241" s="386">
        <f t="shared" si="137"/>
        <v>5100</v>
      </c>
      <c r="S4241" s="279">
        <v>202304</v>
      </c>
      <c r="T4241" s="184" t="s">
        <v>5547</v>
      </c>
      <c r="U4241" s="213"/>
      <c r="V4241" s="210"/>
      <c r="W4241" s="214"/>
      <c r="X4241" s="73">
        <v>43692</v>
      </c>
      <c r="Y4241" s="73">
        <v>45883</v>
      </c>
    </row>
    <row r="4242" s="5" customFormat="1" customHeight="1" spans="1:25">
      <c r="A4242" s="203" t="s">
        <v>448</v>
      </c>
      <c r="B4242" s="204" t="s">
        <v>5519</v>
      </c>
      <c r="C4242" s="204" t="s">
        <v>125</v>
      </c>
      <c r="D4242" s="204" t="s">
        <v>3939</v>
      </c>
      <c r="E4242" s="205" t="s">
        <v>5520</v>
      </c>
      <c r="F4242" s="203" t="s">
        <v>5521</v>
      </c>
      <c r="G4242" s="203" t="s">
        <v>88</v>
      </c>
      <c r="H4242" s="25" t="s">
        <v>5522</v>
      </c>
      <c r="I4242" s="46" t="e">
        <f>VLOOKUP(H4242,'合同高级查询数据-4月返'!A:A,1,FALSE)</f>
        <v>#N/A</v>
      </c>
      <c r="J4242" s="47" t="s">
        <v>3488</v>
      </c>
      <c r="K4242" s="203" t="s">
        <v>5523</v>
      </c>
      <c r="L4242" s="206"/>
      <c r="M4242" s="49" t="s">
        <v>5524</v>
      </c>
      <c r="N4242" s="73">
        <v>44029</v>
      </c>
      <c r="O4242" s="73" t="s">
        <v>503</v>
      </c>
      <c r="P4242" s="396">
        <v>5100</v>
      </c>
      <c r="Q4242" s="212">
        <v>13</v>
      </c>
      <c r="R4242" s="386">
        <f t="shared" si="137"/>
        <v>66300</v>
      </c>
      <c r="S4242" s="279">
        <v>202304</v>
      </c>
      <c r="T4242" s="184" t="s">
        <v>5548</v>
      </c>
      <c r="U4242" s="213"/>
      <c r="V4242" s="210"/>
      <c r="W4242" s="214"/>
      <c r="X4242" s="73">
        <v>43692</v>
      </c>
      <c r="Y4242" s="73">
        <v>45883</v>
      </c>
    </row>
    <row r="4243" s="5" customFormat="1" customHeight="1" spans="1:25">
      <c r="A4243" s="203" t="s">
        <v>448</v>
      </c>
      <c r="B4243" s="204" t="s">
        <v>5519</v>
      </c>
      <c r="C4243" s="204" t="s">
        <v>125</v>
      </c>
      <c r="D4243" s="204" t="s">
        <v>3939</v>
      </c>
      <c r="E4243" s="205" t="s">
        <v>5520</v>
      </c>
      <c r="F4243" s="203" t="s">
        <v>5521</v>
      </c>
      <c r="G4243" s="203" t="s">
        <v>88</v>
      </c>
      <c r="H4243" s="25" t="s">
        <v>5522</v>
      </c>
      <c r="I4243" s="46" t="e">
        <f>VLOOKUP(H4243,'合同高级查询数据-4月返'!A:A,1,FALSE)</f>
        <v>#N/A</v>
      </c>
      <c r="J4243" s="47" t="s">
        <v>3488</v>
      </c>
      <c r="K4243" s="203" t="s">
        <v>5523</v>
      </c>
      <c r="L4243" s="206"/>
      <c r="M4243" s="49" t="s">
        <v>5524</v>
      </c>
      <c r="N4243" s="73">
        <v>44035</v>
      </c>
      <c r="O4243" s="73" t="s">
        <v>503</v>
      </c>
      <c r="P4243" s="396">
        <v>5100</v>
      </c>
      <c r="Q4243" s="212">
        <v>2</v>
      </c>
      <c r="R4243" s="386">
        <f t="shared" si="137"/>
        <v>10200</v>
      </c>
      <c r="S4243" s="279">
        <v>202304</v>
      </c>
      <c r="T4243" s="184" t="s">
        <v>5549</v>
      </c>
      <c r="U4243" s="213"/>
      <c r="V4243" s="210"/>
      <c r="W4243" s="214"/>
      <c r="X4243" s="73">
        <v>43692</v>
      </c>
      <c r="Y4243" s="73">
        <v>45883</v>
      </c>
    </row>
    <row r="4244" s="5" customFormat="1" customHeight="1" spans="1:25">
      <c r="A4244" s="203" t="s">
        <v>448</v>
      </c>
      <c r="B4244" s="204" t="s">
        <v>5519</v>
      </c>
      <c r="C4244" s="204" t="s">
        <v>125</v>
      </c>
      <c r="D4244" s="204" t="s">
        <v>3939</v>
      </c>
      <c r="E4244" s="205" t="s">
        <v>5520</v>
      </c>
      <c r="F4244" s="203" t="s">
        <v>5521</v>
      </c>
      <c r="G4244" s="203" t="s">
        <v>88</v>
      </c>
      <c r="H4244" s="25" t="s">
        <v>5522</v>
      </c>
      <c r="I4244" s="46" t="e">
        <f>VLOOKUP(H4244,'合同高级查询数据-4月返'!A:A,1,FALSE)</f>
        <v>#N/A</v>
      </c>
      <c r="J4244" s="47" t="s">
        <v>3488</v>
      </c>
      <c r="K4244" s="203" t="s">
        <v>5523</v>
      </c>
      <c r="L4244" s="206"/>
      <c r="M4244" s="49" t="s">
        <v>5524</v>
      </c>
      <c r="N4244" s="73">
        <v>44035</v>
      </c>
      <c r="O4244" s="73" t="s">
        <v>503</v>
      </c>
      <c r="P4244" s="396">
        <v>5100</v>
      </c>
      <c r="Q4244" s="212">
        <v>-2</v>
      </c>
      <c r="R4244" s="386">
        <f t="shared" si="137"/>
        <v>-10200</v>
      </c>
      <c r="S4244" s="279">
        <v>202304</v>
      </c>
      <c r="T4244" s="184" t="s">
        <v>5550</v>
      </c>
      <c r="U4244" s="213"/>
      <c r="V4244" s="210"/>
      <c r="W4244" s="214"/>
      <c r="X4244" s="73">
        <v>43692</v>
      </c>
      <c r="Y4244" s="73">
        <v>45883</v>
      </c>
    </row>
    <row r="4245" s="5" customFormat="1" customHeight="1" spans="1:25">
      <c r="A4245" s="203" t="s">
        <v>448</v>
      </c>
      <c r="B4245" s="204" t="s">
        <v>5519</v>
      </c>
      <c r="C4245" s="204" t="s">
        <v>125</v>
      </c>
      <c r="D4245" s="204" t="s">
        <v>3939</v>
      </c>
      <c r="E4245" s="205" t="s">
        <v>5520</v>
      </c>
      <c r="F4245" s="203" t="s">
        <v>5521</v>
      </c>
      <c r="G4245" s="203" t="s">
        <v>88</v>
      </c>
      <c r="H4245" s="25" t="s">
        <v>5522</v>
      </c>
      <c r="I4245" s="46" t="e">
        <f>VLOOKUP(H4245,'合同高级查询数据-4月返'!A:A,1,FALSE)</f>
        <v>#N/A</v>
      </c>
      <c r="J4245" s="47" t="s">
        <v>3488</v>
      </c>
      <c r="K4245" s="203" t="s">
        <v>5523</v>
      </c>
      <c r="L4245" s="206"/>
      <c r="M4245" s="49" t="s">
        <v>5524</v>
      </c>
      <c r="N4245" s="73">
        <v>44012</v>
      </c>
      <c r="O4245" s="73" t="s">
        <v>566</v>
      </c>
      <c r="P4245" s="396">
        <v>5100</v>
      </c>
      <c r="Q4245" s="212">
        <v>2</v>
      </c>
      <c r="R4245" s="386">
        <f t="shared" si="137"/>
        <v>10200</v>
      </c>
      <c r="S4245" s="279">
        <v>202304</v>
      </c>
      <c r="T4245" s="184" t="s">
        <v>5551</v>
      </c>
      <c r="U4245" s="213"/>
      <c r="V4245" s="210"/>
      <c r="W4245" s="214"/>
      <c r="X4245" s="73">
        <v>43692</v>
      </c>
      <c r="Y4245" s="73">
        <v>45883</v>
      </c>
    </row>
    <row r="4246" s="5" customFormat="1" customHeight="1" spans="1:25">
      <c r="A4246" s="203" t="s">
        <v>448</v>
      </c>
      <c r="B4246" s="204" t="s">
        <v>5519</v>
      </c>
      <c r="C4246" s="204" t="s">
        <v>125</v>
      </c>
      <c r="D4246" s="204" t="s">
        <v>3939</v>
      </c>
      <c r="E4246" s="205" t="s">
        <v>5520</v>
      </c>
      <c r="F4246" s="203" t="s">
        <v>5521</v>
      </c>
      <c r="G4246" s="203" t="s">
        <v>88</v>
      </c>
      <c r="H4246" s="25" t="s">
        <v>5522</v>
      </c>
      <c r="I4246" s="46" t="e">
        <f>VLOOKUP(H4246,'合同高级查询数据-4月返'!A:A,1,FALSE)</f>
        <v>#N/A</v>
      </c>
      <c r="J4246" s="47" t="s">
        <v>3488</v>
      </c>
      <c r="K4246" s="203" t="s">
        <v>5523</v>
      </c>
      <c r="L4246" s="206"/>
      <c r="M4246" s="49" t="s">
        <v>5524</v>
      </c>
      <c r="N4246" s="73">
        <v>44064</v>
      </c>
      <c r="O4246" s="73" t="s">
        <v>503</v>
      </c>
      <c r="P4246" s="396">
        <v>5100</v>
      </c>
      <c r="Q4246" s="212">
        <v>-1</v>
      </c>
      <c r="R4246" s="386">
        <f t="shared" si="137"/>
        <v>-5100</v>
      </c>
      <c r="S4246" s="279">
        <v>202304</v>
      </c>
      <c r="T4246" s="184" t="s">
        <v>5552</v>
      </c>
      <c r="U4246" s="213"/>
      <c r="V4246" s="210"/>
      <c r="W4246" s="214"/>
      <c r="X4246" s="73">
        <v>43692</v>
      </c>
      <c r="Y4246" s="73">
        <v>45883</v>
      </c>
    </row>
    <row r="4247" s="5" customFormat="1" customHeight="1" spans="1:25">
      <c r="A4247" s="203" t="s">
        <v>448</v>
      </c>
      <c r="B4247" s="204" t="s">
        <v>5519</v>
      </c>
      <c r="C4247" s="204" t="s">
        <v>125</v>
      </c>
      <c r="D4247" s="204" t="s">
        <v>3939</v>
      </c>
      <c r="E4247" s="205" t="s">
        <v>5520</v>
      </c>
      <c r="F4247" s="203" t="s">
        <v>5521</v>
      </c>
      <c r="G4247" s="203" t="s">
        <v>88</v>
      </c>
      <c r="H4247" s="25" t="s">
        <v>5522</v>
      </c>
      <c r="I4247" s="46" t="e">
        <f>VLOOKUP(H4247,'合同高级查询数据-4月返'!A:A,1,FALSE)</f>
        <v>#N/A</v>
      </c>
      <c r="J4247" s="47" t="s">
        <v>3488</v>
      </c>
      <c r="K4247" s="203" t="s">
        <v>5523</v>
      </c>
      <c r="L4247" s="206"/>
      <c r="M4247" s="49" t="s">
        <v>5524</v>
      </c>
      <c r="N4247" s="73">
        <v>44064</v>
      </c>
      <c r="O4247" s="73" t="s">
        <v>525</v>
      </c>
      <c r="P4247" s="396">
        <v>5100</v>
      </c>
      <c r="Q4247" s="212">
        <v>-2</v>
      </c>
      <c r="R4247" s="386">
        <f t="shared" si="137"/>
        <v>-10200</v>
      </c>
      <c r="S4247" s="279">
        <v>202304</v>
      </c>
      <c r="T4247" s="184" t="s">
        <v>5553</v>
      </c>
      <c r="U4247" s="213"/>
      <c r="V4247" s="210"/>
      <c r="W4247" s="214"/>
      <c r="X4247" s="73">
        <v>43692</v>
      </c>
      <c r="Y4247" s="73">
        <v>45883</v>
      </c>
    </row>
    <row r="4248" s="5" customFormat="1" customHeight="1" spans="1:25">
      <c r="A4248" s="203" t="s">
        <v>448</v>
      </c>
      <c r="B4248" s="204" t="s">
        <v>5519</v>
      </c>
      <c r="C4248" s="204" t="s">
        <v>125</v>
      </c>
      <c r="D4248" s="204" t="s">
        <v>3939</v>
      </c>
      <c r="E4248" s="205" t="s">
        <v>5520</v>
      </c>
      <c r="F4248" s="203" t="s">
        <v>5521</v>
      </c>
      <c r="G4248" s="203" t="s">
        <v>88</v>
      </c>
      <c r="H4248" s="25" t="s">
        <v>5522</v>
      </c>
      <c r="I4248" s="46" t="e">
        <f>VLOOKUP(H4248,'合同高级查询数据-4月返'!A:A,1,FALSE)</f>
        <v>#N/A</v>
      </c>
      <c r="J4248" s="47" t="s">
        <v>3488</v>
      </c>
      <c r="K4248" s="203" t="s">
        <v>5523</v>
      </c>
      <c r="L4248" s="206"/>
      <c r="M4248" s="49" t="s">
        <v>5524</v>
      </c>
      <c r="N4248" s="73">
        <v>44076</v>
      </c>
      <c r="O4248" s="73" t="s">
        <v>503</v>
      </c>
      <c r="P4248" s="396">
        <v>5100</v>
      </c>
      <c r="Q4248" s="212">
        <v>6</v>
      </c>
      <c r="R4248" s="386">
        <f t="shared" si="137"/>
        <v>30600</v>
      </c>
      <c r="S4248" s="279">
        <v>202304</v>
      </c>
      <c r="T4248" s="184" t="s">
        <v>5554</v>
      </c>
      <c r="U4248" s="213"/>
      <c r="V4248" s="210"/>
      <c r="W4248" s="214"/>
      <c r="X4248" s="73">
        <v>43692</v>
      </c>
      <c r="Y4248" s="73">
        <v>45883</v>
      </c>
    </row>
    <row r="4249" s="5" customFormat="1" customHeight="1" spans="1:25">
      <c r="A4249" s="203" t="s">
        <v>448</v>
      </c>
      <c r="B4249" s="204" t="s">
        <v>5519</v>
      </c>
      <c r="C4249" s="204" t="s">
        <v>125</v>
      </c>
      <c r="D4249" s="204" t="s">
        <v>3939</v>
      </c>
      <c r="E4249" s="205" t="s">
        <v>5520</v>
      </c>
      <c r="F4249" s="203" t="s">
        <v>5521</v>
      </c>
      <c r="G4249" s="203" t="s">
        <v>88</v>
      </c>
      <c r="H4249" s="25" t="s">
        <v>5522</v>
      </c>
      <c r="I4249" s="46" t="e">
        <f>VLOOKUP(H4249,'合同高级查询数据-4月返'!A:A,1,FALSE)</f>
        <v>#N/A</v>
      </c>
      <c r="J4249" s="47" t="s">
        <v>2423</v>
      </c>
      <c r="K4249" s="203" t="s">
        <v>5523</v>
      </c>
      <c r="L4249" s="206"/>
      <c r="M4249" s="49" t="s">
        <v>5555</v>
      </c>
      <c r="N4249" s="73">
        <v>44077</v>
      </c>
      <c r="O4249" s="73" t="s">
        <v>503</v>
      </c>
      <c r="P4249" s="396">
        <v>5100</v>
      </c>
      <c r="Q4249" s="212">
        <v>17</v>
      </c>
      <c r="R4249" s="386">
        <f t="shared" si="137"/>
        <v>86700</v>
      </c>
      <c r="S4249" s="279">
        <v>202304</v>
      </c>
      <c r="T4249" s="184" t="s">
        <v>5556</v>
      </c>
      <c r="U4249" s="213"/>
      <c r="V4249" s="210"/>
      <c r="W4249" s="214"/>
      <c r="X4249" s="73">
        <v>43692</v>
      </c>
      <c r="Y4249" s="73">
        <v>45883</v>
      </c>
    </row>
    <row r="4250" s="5" customFormat="1" customHeight="1" spans="1:25">
      <c r="A4250" s="203" t="s">
        <v>448</v>
      </c>
      <c r="B4250" s="204" t="s">
        <v>5519</v>
      </c>
      <c r="C4250" s="204" t="s">
        <v>125</v>
      </c>
      <c r="D4250" s="204" t="s">
        <v>3939</v>
      </c>
      <c r="E4250" s="205" t="s">
        <v>5520</v>
      </c>
      <c r="F4250" s="203" t="s">
        <v>5521</v>
      </c>
      <c r="G4250" s="203" t="s">
        <v>88</v>
      </c>
      <c r="H4250" s="25" t="s">
        <v>5522</v>
      </c>
      <c r="I4250" s="46" t="e">
        <f>VLOOKUP(H4250,'合同高级查询数据-4月返'!A:A,1,FALSE)</f>
        <v>#N/A</v>
      </c>
      <c r="J4250" s="47" t="s">
        <v>3488</v>
      </c>
      <c r="K4250" s="203" t="s">
        <v>5523</v>
      </c>
      <c r="L4250" s="206"/>
      <c r="M4250" s="49" t="s">
        <v>5524</v>
      </c>
      <c r="N4250" s="73">
        <v>44095</v>
      </c>
      <c r="O4250" s="73" t="s">
        <v>566</v>
      </c>
      <c r="P4250" s="396">
        <v>5100</v>
      </c>
      <c r="Q4250" s="212">
        <v>1</v>
      </c>
      <c r="R4250" s="386">
        <f t="shared" si="137"/>
        <v>5100</v>
      </c>
      <c r="S4250" s="279">
        <v>202304</v>
      </c>
      <c r="T4250" s="184" t="s">
        <v>5557</v>
      </c>
      <c r="U4250" s="213"/>
      <c r="V4250" s="210"/>
      <c r="W4250" s="214"/>
      <c r="X4250" s="73">
        <v>43692</v>
      </c>
      <c r="Y4250" s="73">
        <v>45883</v>
      </c>
    </row>
    <row r="4251" s="5" customFormat="1" customHeight="1" spans="1:25">
      <c r="A4251" s="203" t="s">
        <v>448</v>
      </c>
      <c r="B4251" s="204" t="s">
        <v>5519</v>
      </c>
      <c r="C4251" s="204" t="s">
        <v>125</v>
      </c>
      <c r="D4251" s="204" t="s">
        <v>3939</v>
      </c>
      <c r="E4251" s="205" t="s">
        <v>5520</v>
      </c>
      <c r="F4251" s="203" t="s">
        <v>5521</v>
      </c>
      <c r="G4251" s="203" t="s">
        <v>88</v>
      </c>
      <c r="H4251" s="25" t="s">
        <v>5522</v>
      </c>
      <c r="I4251" s="46" t="e">
        <f>VLOOKUP(H4251,'合同高级查询数据-4月返'!A:A,1,FALSE)</f>
        <v>#N/A</v>
      </c>
      <c r="J4251" s="47" t="s">
        <v>3488</v>
      </c>
      <c r="K4251" s="203" t="s">
        <v>5523</v>
      </c>
      <c r="L4251" s="206"/>
      <c r="M4251" s="49" t="s">
        <v>5524</v>
      </c>
      <c r="N4251" s="73">
        <v>44102</v>
      </c>
      <c r="O4251" s="73" t="s">
        <v>606</v>
      </c>
      <c r="P4251" s="396">
        <v>5100</v>
      </c>
      <c r="Q4251" s="212">
        <v>1</v>
      </c>
      <c r="R4251" s="386">
        <f t="shared" si="137"/>
        <v>5100</v>
      </c>
      <c r="S4251" s="279">
        <v>202304</v>
      </c>
      <c r="T4251" s="184" t="s">
        <v>5558</v>
      </c>
      <c r="U4251" s="213"/>
      <c r="V4251" s="210"/>
      <c r="W4251" s="214"/>
      <c r="X4251" s="73">
        <v>43692</v>
      </c>
      <c r="Y4251" s="73">
        <v>45883</v>
      </c>
    </row>
    <row r="4252" s="5" customFormat="1" customHeight="1" spans="1:25">
      <c r="A4252" s="203" t="s">
        <v>448</v>
      </c>
      <c r="B4252" s="204" t="s">
        <v>5519</v>
      </c>
      <c r="C4252" s="204" t="s">
        <v>125</v>
      </c>
      <c r="D4252" s="204" t="s">
        <v>3939</v>
      </c>
      <c r="E4252" s="205" t="s">
        <v>5520</v>
      </c>
      <c r="F4252" s="203" t="s">
        <v>5521</v>
      </c>
      <c r="G4252" s="203" t="s">
        <v>88</v>
      </c>
      <c r="H4252" s="25" t="s">
        <v>5522</v>
      </c>
      <c r="I4252" s="46" t="e">
        <f>VLOOKUP(H4252,'合同高级查询数据-4月返'!A:A,1,FALSE)</f>
        <v>#N/A</v>
      </c>
      <c r="J4252" s="47" t="s">
        <v>3488</v>
      </c>
      <c r="K4252" s="203" t="s">
        <v>5523</v>
      </c>
      <c r="L4252" s="206"/>
      <c r="M4252" s="49" t="s">
        <v>5524</v>
      </c>
      <c r="N4252" s="73">
        <v>44103</v>
      </c>
      <c r="O4252" s="73" t="s">
        <v>503</v>
      </c>
      <c r="P4252" s="396">
        <v>5100</v>
      </c>
      <c r="Q4252" s="212">
        <v>13</v>
      </c>
      <c r="R4252" s="386">
        <f t="shared" si="137"/>
        <v>66300</v>
      </c>
      <c r="S4252" s="279">
        <v>202304</v>
      </c>
      <c r="T4252" s="184" t="s">
        <v>5559</v>
      </c>
      <c r="U4252" s="213"/>
      <c r="V4252" s="210"/>
      <c r="W4252" s="214"/>
      <c r="X4252" s="73">
        <v>43692</v>
      </c>
      <c r="Y4252" s="73">
        <v>45883</v>
      </c>
    </row>
    <row r="4253" s="5" customFormat="1" customHeight="1" spans="1:25">
      <c r="A4253" s="203" t="s">
        <v>448</v>
      </c>
      <c r="B4253" s="204" t="s">
        <v>5519</v>
      </c>
      <c r="C4253" s="204" t="s">
        <v>125</v>
      </c>
      <c r="D4253" s="204" t="s">
        <v>3939</v>
      </c>
      <c r="E4253" s="205" t="s">
        <v>5520</v>
      </c>
      <c r="F4253" s="203" t="s">
        <v>5521</v>
      </c>
      <c r="G4253" s="203" t="s">
        <v>88</v>
      </c>
      <c r="H4253" s="25" t="s">
        <v>5522</v>
      </c>
      <c r="I4253" s="46" t="e">
        <f>VLOOKUP(H4253,'合同高级查询数据-4月返'!A:A,1,FALSE)</f>
        <v>#N/A</v>
      </c>
      <c r="J4253" s="47" t="s">
        <v>3488</v>
      </c>
      <c r="K4253" s="203" t="s">
        <v>5523</v>
      </c>
      <c r="L4253" s="206"/>
      <c r="M4253" s="49" t="s">
        <v>5524</v>
      </c>
      <c r="N4253" s="73">
        <v>44126</v>
      </c>
      <c r="O4253" s="73" t="s">
        <v>503</v>
      </c>
      <c r="P4253" s="396">
        <v>5100</v>
      </c>
      <c r="Q4253" s="212">
        <v>14</v>
      </c>
      <c r="R4253" s="386">
        <f t="shared" si="137"/>
        <v>71400</v>
      </c>
      <c r="S4253" s="279">
        <v>202304</v>
      </c>
      <c r="T4253" s="184" t="s">
        <v>5560</v>
      </c>
      <c r="U4253" s="213"/>
      <c r="V4253" s="210"/>
      <c r="W4253" s="214"/>
      <c r="X4253" s="73">
        <v>43692</v>
      </c>
      <c r="Y4253" s="73">
        <v>45883</v>
      </c>
    </row>
    <row r="4254" s="5" customFormat="1" customHeight="1" spans="1:25">
      <c r="A4254" s="203" t="s">
        <v>448</v>
      </c>
      <c r="B4254" s="204" t="s">
        <v>5519</v>
      </c>
      <c r="C4254" s="204" t="s">
        <v>125</v>
      </c>
      <c r="D4254" s="204" t="s">
        <v>3939</v>
      </c>
      <c r="E4254" s="205" t="s">
        <v>5520</v>
      </c>
      <c r="F4254" s="203" t="s">
        <v>5521</v>
      </c>
      <c r="G4254" s="203" t="s">
        <v>88</v>
      </c>
      <c r="H4254" s="25" t="s">
        <v>5522</v>
      </c>
      <c r="I4254" s="46" t="e">
        <f>VLOOKUP(H4254,'合同高级查询数据-4月返'!A:A,1,FALSE)</f>
        <v>#N/A</v>
      </c>
      <c r="J4254" s="47" t="s">
        <v>3488</v>
      </c>
      <c r="K4254" s="203" t="s">
        <v>5523</v>
      </c>
      <c r="L4254" s="206"/>
      <c r="M4254" s="49" t="s">
        <v>5524</v>
      </c>
      <c r="N4254" s="73">
        <v>44165</v>
      </c>
      <c r="O4254" s="73" t="s">
        <v>503</v>
      </c>
      <c r="P4254" s="396">
        <v>5100</v>
      </c>
      <c r="Q4254" s="212">
        <v>14</v>
      </c>
      <c r="R4254" s="386">
        <f t="shared" si="137"/>
        <v>71400</v>
      </c>
      <c r="S4254" s="279">
        <v>202304</v>
      </c>
      <c r="T4254" s="184" t="s">
        <v>5561</v>
      </c>
      <c r="U4254" s="213"/>
      <c r="V4254" s="210"/>
      <c r="W4254" s="214"/>
      <c r="X4254" s="73">
        <v>43692</v>
      </c>
      <c r="Y4254" s="73">
        <v>45883</v>
      </c>
    </row>
    <row r="4255" s="5" customFormat="1" customHeight="1" spans="1:25">
      <c r="A4255" s="203" t="s">
        <v>448</v>
      </c>
      <c r="B4255" s="204" t="s">
        <v>5519</v>
      </c>
      <c r="C4255" s="204" t="s">
        <v>125</v>
      </c>
      <c r="D4255" s="204" t="s">
        <v>3939</v>
      </c>
      <c r="E4255" s="205" t="s">
        <v>5520</v>
      </c>
      <c r="F4255" s="203" t="s">
        <v>5521</v>
      </c>
      <c r="G4255" s="203" t="s">
        <v>88</v>
      </c>
      <c r="H4255" s="25" t="s">
        <v>5522</v>
      </c>
      <c r="I4255" s="46" t="e">
        <f>VLOOKUP(H4255,'合同高级查询数据-4月返'!A:A,1,FALSE)</f>
        <v>#N/A</v>
      </c>
      <c r="J4255" s="47" t="s">
        <v>3488</v>
      </c>
      <c r="K4255" s="203" t="s">
        <v>5523</v>
      </c>
      <c r="L4255" s="206"/>
      <c r="M4255" s="49" t="s">
        <v>5524</v>
      </c>
      <c r="N4255" s="73">
        <v>44167</v>
      </c>
      <c r="O4255" s="73" t="s">
        <v>503</v>
      </c>
      <c r="P4255" s="396">
        <v>5100</v>
      </c>
      <c r="Q4255" s="212">
        <v>5</v>
      </c>
      <c r="R4255" s="386">
        <f t="shared" ref="R4255:R4261" si="138">ROUND(P4255*Q4255,2)</f>
        <v>25500</v>
      </c>
      <c r="S4255" s="279">
        <v>202304</v>
      </c>
      <c r="T4255" s="184" t="s">
        <v>5562</v>
      </c>
      <c r="U4255" s="213"/>
      <c r="V4255" s="210"/>
      <c r="W4255" s="214"/>
      <c r="X4255" s="73">
        <v>43692</v>
      </c>
      <c r="Y4255" s="73">
        <v>45883</v>
      </c>
    </row>
    <row r="4256" s="5" customFormat="1" customHeight="1" spans="1:25">
      <c r="A4256" s="203" t="s">
        <v>448</v>
      </c>
      <c r="B4256" s="204" t="s">
        <v>5519</v>
      </c>
      <c r="C4256" s="204" t="s">
        <v>125</v>
      </c>
      <c r="D4256" s="204" t="s">
        <v>3939</v>
      </c>
      <c r="E4256" s="205" t="s">
        <v>5520</v>
      </c>
      <c r="F4256" s="203" t="s">
        <v>5521</v>
      </c>
      <c r="G4256" s="203" t="s">
        <v>88</v>
      </c>
      <c r="H4256" s="25" t="s">
        <v>5522</v>
      </c>
      <c r="I4256" s="46" t="e">
        <f>VLOOKUP(H4256,'合同高级查询数据-4月返'!A:A,1,FALSE)</f>
        <v>#N/A</v>
      </c>
      <c r="J4256" s="47" t="s">
        <v>3488</v>
      </c>
      <c r="K4256" s="203" t="s">
        <v>5523</v>
      </c>
      <c r="L4256" s="206"/>
      <c r="M4256" s="49" t="s">
        <v>5524</v>
      </c>
      <c r="N4256" s="73">
        <v>44175</v>
      </c>
      <c r="O4256" s="73" t="s">
        <v>503</v>
      </c>
      <c r="P4256" s="396">
        <v>5100</v>
      </c>
      <c r="Q4256" s="212">
        <v>1</v>
      </c>
      <c r="R4256" s="386">
        <f t="shared" si="138"/>
        <v>5100</v>
      </c>
      <c r="S4256" s="279">
        <v>202304</v>
      </c>
      <c r="T4256" s="184" t="s">
        <v>5563</v>
      </c>
      <c r="U4256" s="213"/>
      <c r="V4256" s="210"/>
      <c r="W4256" s="214"/>
      <c r="X4256" s="73">
        <v>43692</v>
      </c>
      <c r="Y4256" s="73">
        <v>45883</v>
      </c>
    </row>
    <row r="4257" s="5" customFormat="1" customHeight="1" spans="1:25">
      <c r="A4257" s="203" t="s">
        <v>448</v>
      </c>
      <c r="B4257" s="204" t="s">
        <v>5519</v>
      </c>
      <c r="C4257" s="204" t="s">
        <v>125</v>
      </c>
      <c r="D4257" s="204" t="s">
        <v>3939</v>
      </c>
      <c r="E4257" s="205" t="s">
        <v>5520</v>
      </c>
      <c r="F4257" s="203" t="s">
        <v>5521</v>
      </c>
      <c r="G4257" s="203" t="s">
        <v>88</v>
      </c>
      <c r="H4257" s="25" t="s">
        <v>5522</v>
      </c>
      <c r="I4257" s="46" t="e">
        <f>VLOOKUP(H4257,'合同高级查询数据-4月返'!A:A,1,FALSE)</f>
        <v>#N/A</v>
      </c>
      <c r="J4257" s="47" t="s">
        <v>3488</v>
      </c>
      <c r="K4257" s="203" t="s">
        <v>5523</v>
      </c>
      <c r="L4257" s="206"/>
      <c r="M4257" s="49" t="s">
        <v>5524</v>
      </c>
      <c r="N4257" s="73">
        <v>44186</v>
      </c>
      <c r="O4257" s="73" t="s">
        <v>503</v>
      </c>
      <c r="P4257" s="396">
        <v>5100</v>
      </c>
      <c r="Q4257" s="212">
        <v>9</v>
      </c>
      <c r="R4257" s="386">
        <f t="shared" si="138"/>
        <v>45900</v>
      </c>
      <c r="S4257" s="279">
        <v>202304</v>
      </c>
      <c r="T4257" s="184" t="s">
        <v>5564</v>
      </c>
      <c r="U4257" s="213"/>
      <c r="V4257" s="210"/>
      <c r="W4257" s="214"/>
      <c r="X4257" s="73">
        <v>43692</v>
      </c>
      <c r="Y4257" s="73">
        <v>45883</v>
      </c>
    </row>
    <row r="4258" s="5" customFormat="1" customHeight="1" spans="1:25">
      <c r="A4258" s="203" t="s">
        <v>448</v>
      </c>
      <c r="B4258" s="204" t="s">
        <v>5519</v>
      </c>
      <c r="C4258" s="204" t="s">
        <v>125</v>
      </c>
      <c r="D4258" s="204" t="s">
        <v>3939</v>
      </c>
      <c r="E4258" s="205" t="s">
        <v>5520</v>
      </c>
      <c r="F4258" s="203" t="s">
        <v>5521</v>
      </c>
      <c r="G4258" s="203" t="s">
        <v>88</v>
      </c>
      <c r="H4258" s="25" t="s">
        <v>5522</v>
      </c>
      <c r="I4258" s="46" t="e">
        <f>VLOOKUP(H4258,'合同高级查询数据-4月返'!A:A,1,FALSE)</f>
        <v>#N/A</v>
      </c>
      <c r="J4258" s="47" t="s">
        <v>3488</v>
      </c>
      <c r="K4258" s="203" t="s">
        <v>5523</v>
      </c>
      <c r="L4258" s="206"/>
      <c r="M4258" s="49" t="s">
        <v>5524</v>
      </c>
      <c r="N4258" s="73">
        <v>44211</v>
      </c>
      <c r="O4258" s="73" t="s">
        <v>503</v>
      </c>
      <c r="P4258" s="396">
        <v>5100</v>
      </c>
      <c r="Q4258" s="212">
        <v>5</v>
      </c>
      <c r="R4258" s="386">
        <f t="shared" si="138"/>
        <v>25500</v>
      </c>
      <c r="S4258" s="279">
        <v>202304</v>
      </c>
      <c r="T4258" s="184" t="s">
        <v>5565</v>
      </c>
      <c r="U4258" s="213"/>
      <c r="V4258" s="210"/>
      <c r="W4258" s="214"/>
      <c r="X4258" s="73">
        <v>43692</v>
      </c>
      <c r="Y4258" s="73">
        <v>45883</v>
      </c>
    </row>
    <row r="4259" s="5" customFormat="1" customHeight="1" spans="1:25">
      <c r="A4259" s="203" t="s">
        <v>448</v>
      </c>
      <c r="B4259" s="204" t="s">
        <v>5519</v>
      </c>
      <c r="C4259" s="204" t="s">
        <v>125</v>
      </c>
      <c r="D4259" s="204" t="s">
        <v>3939</v>
      </c>
      <c r="E4259" s="205" t="s">
        <v>5520</v>
      </c>
      <c r="F4259" s="203" t="s">
        <v>5521</v>
      </c>
      <c r="G4259" s="203" t="s">
        <v>88</v>
      </c>
      <c r="H4259" s="25" t="s">
        <v>5522</v>
      </c>
      <c r="I4259" s="46" t="e">
        <f>VLOOKUP(H4259,'合同高级查询数据-4月返'!A:A,1,FALSE)</f>
        <v>#N/A</v>
      </c>
      <c r="J4259" s="47" t="s">
        <v>2423</v>
      </c>
      <c r="K4259" s="203" t="s">
        <v>5523</v>
      </c>
      <c r="L4259" s="206"/>
      <c r="M4259" s="49" t="s">
        <v>5566</v>
      </c>
      <c r="N4259" s="73">
        <v>44216</v>
      </c>
      <c r="O4259" s="73" t="s">
        <v>503</v>
      </c>
      <c r="P4259" s="396">
        <v>5100</v>
      </c>
      <c r="Q4259" s="212">
        <v>3</v>
      </c>
      <c r="R4259" s="386">
        <f t="shared" si="138"/>
        <v>15300</v>
      </c>
      <c r="S4259" s="279">
        <v>202304</v>
      </c>
      <c r="T4259" s="189" t="s">
        <v>5567</v>
      </c>
      <c r="U4259" s="213"/>
      <c r="V4259" s="210"/>
      <c r="W4259" s="214"/>
      <c r="X4259" s="73">
        <v>43692</v>
      </c>
      <c r="Y4259" s="73">
        <v>45883</v>
      </c>
    </row>
    <row r="4260" s="5" customFormat="1" customHeight="1" spans="1:25">
      <c r="A4260" s="203" t="s">
        <v>448</v>
      </c>
      <c r="B4260" s="204" t="s">
        <v>5519</v>
      </c>
      <c r="C4260" s="204" t="s">
        <v>125</v>
      </c>
      <c r="D4260" s="204" t="s">
        <v>3939</v>
      </c>
      <c r="E4260" s="205" t="s">
        <v>5520</v>
      </c>
      <c r="F4260" s="203" t="s">
        <v>5521</v>
      </c>
      <c r="G4260" s="203" t="s">
        <v>88</v>
      </c>
      <c r="H4260" s="25" t="s">
        <v>5522</v>
      </c>
      <c r="I4260" s="46" t="e">
        <f>VLOOKUP(H4260,'合同高级查询数据-4月返'!A:A,1,FALSE)</f>
        <v>#N/A</v>
      </c>
      <c r="J4260" s="47" t="s">
        <v>3488</v>
      </c>
      <c r="K4260" s="203" t="s">
        <v>5523</v>
      </c>
      <c r="L4260" s="206"/>
      <c r="M4260" s="49" t="s">
        <v>5524</v>
      </c>
      <c r="N4260" s="73">
        <v>44215</v>
      </c>
      <c r="O4260" s="73" t="s">
        <v>503</v>
      </c>
      <c r="P4260" s="396">
        <v>5100</v>
      </c>
      <c r="Q4260" s="212">
        <v>2</v>
      </c>
      <c r="R4260" s="386">
        <f t="shared" si="138"/>
        <v>10200</v>
      </c>
      <c r="S4260" s="279">
        <v>202304</v>
      </c>
      <c r="T4260" s="184" t="s">
        <v>5568</v>
      </c>
      <c r="U4260" s="213"/>
      <c r="V4260" s="210"/>
      <c r="W4260" s="214"/>
      <c r="X4260" s="73">
        <v>43692</v>
      </c>
      <c r="Y4260" s="73">
        <v>45883</v>
      </c>
    </row>
    <row r="4261" s="5" customFormat="1" customHeight="1" spans="1:25">
      <c r="A4261" s="203" t="s">
        <v>448</v>
      </c>
      <c r="B4261" s="204" t="s">
        <v>5519</v>
      </c>
      <c r="C4261" s="204" t="s">
        <v>125</v>
      </c>
      <c r="D4261" s="204" t="s">
        <v>3939</v>
      </c>
      <c r="E4261" s="205" t="s">
        <v>5520</v>
      </c>
      <c r="F4261" s="203" t="s">
        <v>5521</v>
      </c>
      <c r="G4261" s="203" t="s">
        <v>88</v>
      </c>
      <c r="H4261" s="25" t="s">
        <v>5522</v>
      </c>
      <c r="I4261" s="46" t="e">
        <f>VLOOKUP(H4261,'合同高级查询数据-4月返'!A:A,1,FALSE)</f>
        <v>#N/A</v>
      </c>
      <c r="J4261" s="47" t="s">
        <v>3488</v>
      </c>
      <c r="K4261" s="203" t="s">
        <v>5523</v>
      </c>
      <c r="L4261" s="206"/>
      <c r="M4261" s="49" t="s">
        <v>5524</v>
      </c>
      <c r="N4261" s="73">
        <v>44232</v>
      </c>
      <c r="O4261" s="73" t="s">
        <v>503</v>
      </c>
      <c r="P4261" s="396">
        <v>5100</v>
      </c>
      <c r="Q4261" s="212">
        <v>2</v>
      </c>
      <c r="R4261" s="386">
        <f t="shared" si="138"/>
        <v>10200</v>
      </c>
      <c r="S4261" s="279">
        <v>202304</v>
      </c>
      <c r="T4261" s="184" t="s">
        <v>5569</v>
      </c>
      <c r="U4261" s="213"/>
      <c r="V4261" s="210"/>
      <c r="W4261" s="214"/>
      <c r="X4261" s="73">
        <v>43692</v>
      </c>
      <c r="Y4261" s="73">
        <v>45883</v>
      </c>
    </row>
    <row r="4262" s="5" customFormat="1" customHeight="1" spans="1:25">
      <c r="A4262" s="203" t="s">
        <v>448</v>
      </c>
      <c r="B4262" s="204" t="s">
        <v>5519</v>
      </c>
      <c r="C4262" s="204" t="s">
        <v>125</v>
      </c>
      <c r="D4262" s="204" t="s">
        <v>3939</v>
      </c>
      <c r="E4262" s="205" t="s">
        <v>5520</v>
      </c>
      <c r="F4262" s="203" t="s">
        <v>5521</v>
      </c>
      <c r="G4262" s="203" t="s">
        <v>88</v>
      </c>
      <c r="H4262" s="25" t="s">
        <v>5522</v>
      </c>
      <c r="I4262" s="46" t="e">
        <f>VLOOKUP(H4262,'合同高级查询数据-4月返'!A:A,1,FALSE)</f>
        <v>#N/A</v>
      </c>
      <c r="J4262" s="47" t="s">
        <v>3488</v>
      </c>
      <c r="K4262" s="203" t="s">
        <v>5523</v>
      </c>
      <c r="L4262" s="206"/>
      <c r="M4262" s="49" t="s">
        <v>5524</v>
      </c>
      <c r="N4262" s="73">
        <v>44232</v>
      </c>
      <c r="O4262" s="73" t="s">
        <v>525</v>
      </c>
      <c r="P4262" s="396">
        <v>5100</v>
      </c>
      <c r="Q4262" s="212">
        <v>-6</v>
      </c>
      <c r="R4262" s="386">
        <f t="shared" ref="R4262:R4292" si="139">ROUND(P4262*Q4262,2)</f>
        <v>-30600</v>
      </c>
      <c r="S4262" s="279">
        <v>202304</v>
      </c>
      <c r="T4262" s="184" t="s">
        <v>5570</v>
      </c>
      <c r="U4262" s="213"/>
      <c r="V4262" s="210"/>
      <c r="W4262" s="214"/>
      <c r="X4262" s="73">
        <v>43692</v>
      </c>
      <c r="Y4262" s="73">
        <v>45883</v>
      </c>
    </row>
    <row r="4263" s="5" customFormat="1" customHeight="1" spans="1:25">
      <c r="A4263" s="203" t="s">
        <v>448</v>
      </c>
      <c r="B4263" s="204" t="s">
        <v>5519</v>
      </c>
      <c r="C4263" s="204" t="s">
        <v>125</v>
      </c>
      <c r="D4263" s="204" t="s">
        <v>3939</v>
      </c>
      <c r="E4263" s="205" t="s">
        <v>5520</v>
      </c>
      <c r="F4263" s="203" t="s">
        <v>5521</v>
      </c>
      <c r="G4263" s="203" t="s">
        <v>88</v>
      </c>
      <c r="H4263" s="25" t="s">
        <v>5522</v>
      </c>
      <c r="I4263" s="46" t="e">
        <f>VLOOKUP(H4263,'合同高级查询数据-4月返'!A:A,1,FALSE)</f>
        <v>#N/A</v>
      </c>
      <c r="J4263" s="47" t="s">
        <v>3488</v>
      </c>
      <c r="K4263" s="203" t="s">
        <v>5523</v>
      </c>
      <c r="L4263" s="206"/>
      <c r="M4263" s="49" t="s">
        <v>5524</v>
      </c>
      <c r="N4263" s="73">
        <v>44232</v>
      </c>
      <c r="O4263" s="73" t="s">
        <v>503</v>
      </c>
      <c r="P4263" s="396">
        <v>5100</v>
      </c>
      <c r="Q4263" s="212">
        <v>-1</v>
      </c>
      <c r="R4263" s="386">
        <f t="shared" si="139"/>
        <v>-5100</v>
      </c>
      <c r="S4263" s="279">
        <v>202304</v>
      </c>
      <c r="T4263" s="184" t="s">
        <v>5571</v>
      </c>
      <c r="U4263" s="213"/>
      <c r="V4263" s="210"/>
      <c r="W4263" s="214"/>
      <c r="X4263" s="73">
        <v>43692</v>
      </c>
      <c r="Y4263" s="73">
        <v>45883</v>
      </c>
    </row>
    <row r="4264" s="5" customFormat="1" customHeight="1" spans="1:25">
      <c r="A4264" s="203" t="s">
        <v>448</v>
      </c>
      <c r="B4264" s="204" t="s">
        <v>5519</v>
      </c>
      <c r="C4264" s="204" t="s">
        <v>125</v>
      </c>
      <c r="D4264" s="204" t="s">
        <v>3939</v>
      </c>
      <c r="E4264" s="205" t="s">
        <v>5520</v>
      </c>
      <c r="F4264" s="203" t="s">
        <v>5521</v>
      </c>
      <c r="G4264" s="203" t="s">
        <v>88</v>
      </c>
      <c r="H4264" s="25" t="s">
        <v>5522</v>
      </c>
      <c r="I4264" s="46" t="e">
        <f>VLOOKUP(H4264,'合同高级查询数据-4月返'!A:A,1,FALSE)</f>
        <v>#N/A</v>
      </c>
      <c r="J4264" s="47" t="s">
        <v>3488</v>
      </c>
      <c r="K4264" s="203" t="s">
        <v>5523</v>
      </c>
      <c r="L4264" s="206"/>
      <c r="M4264" s="49" t="s">
        <v>5524</v>
      </c>
      <c r="N4264" s="73">
        <v>44253</v>
      </c>
      <c r="O4264" s="73" t="s">
        <v>503</v>
      </c>
      <c r="P4264" s="396">
        <v>5100</v>
      </c>
      <c r="Q4264" s="212">
        <v>1</v>
      </c>
      <c r="R4264" s="386">
        <f t="shared" si="139"/>
        <v>5100</v>
      </c>
      <c r="S4264" s="279">
        <v>202304</v>
      </c>
      <c r="T4264" s="184" t="s">
        <v>5572</v>
      </c>
      <c r="U4264" s="213"/>
      <c r="V4264" s="210"/>
      <c r="W4264" s="214"/>
      <c r="X4264" s="73">
        <v>43692</v>
      </c>
      <c r="Y4264" s="73">
        <v>45883</v>
      </c>
    </row>
    <row r="4265" s="5" customFormat="1" customHeight="1" spans="1:25">
      <c r="A4265" s="203" t="s">
        <v>448</v>
      </c>
      <c r="B4265" s="204" t="s">
        <v>5519</v>
      </c>
      <c r="C4265" s="204" t="s">
        <v>125</v>
      </c>
      <c r="D4265" s="204" t="s">
        <v>3939</v>
      </c>
      <c r="E4265" s="205" t="s">
        <v>5520</v>
      </c>
      <c r="F4265" s="203" t="s">
        <v>5521</v>
      </c>
      <c r="G4265" s="203" t="s">
        <v>88</v>
      </c>
      <c r="H4265" s="25" t="s">
        <v>5522</v>
      </c>
      <c r="I4265" s="46" t="e">
        <f>VLOOKUP(H4265,'合同高级查询数据-4月返'!A:A,1,FALSE)</f>
        <v>#N/A</v>
      </c>
      <c r="J4265" s="47" t="s">
        <v>3488</v>
      </c>
      <c r="K4265" s="203" t="s">
        <v>5523</v>
      </c>
      <c r="L4265" s="206"/>
      <c r="M4265" s="49" t="s">
        <v>5524</v>
      </c>
      <c r="N4265" s="73">
        <v>44264</v>
      </c>
      <c r="O4265" s="73" t="s">
        <v>503</v>
      </c>
      <c r="P4265" s="396">
        <v>5100</v>
      </c>
      <c r="Q4265" s="212">
        <v>11</v>
      </c>
      <c r="R4265" s="386">
        <f t="shared" si="139"/>
        <v>56100</v>
      </c>
      <c r="S4265" s="279">
        <v>202304</v>
      </c>
      <c r="T4265" s="184" t="s">
        <v>5573</v>
      </c>
      <c r="U4265" s="213"/>
      <c r="V4265" s="210"/>
      <c r="W4265" s="214"/>
      <c r="X4265" s="73">
        <v>43692</v>
      </c>
      <c r="Y4265" s="73">
        <v>45883</v>
      </c>
    </row>
    <row r="4266" s="5" customFormat="1" customHeight="1" spans="1:25">
      <c r="A4266" s="203" t="s">
        <v>448</v>
      </c>
      <c r="B4266" s="204" t="s">
        <v>5519</v>
      </c>
      <c r="C4266" s="204" t="s">
        <v>125</v>
      </c>
      <c r="D4266" s="204" t="s">
        <v>3939</v>
      </c>
      <c r="E4266" s="205" t="s">
        <v>5520</v>
      </c>
      <c r="F4266" s="203" t="s">
        <v>5521</v>
      </c>
      <c r="G4266" s="203" t="s">
        <v>88</v>
      </c>
      <c r="H4266" s="25" t="s">
        <v>5522</v>
      </c>
      <c r="I4266" s="46" t="e">
        <f>VLOOKUP(H4266,'合同高级查询数据-4月返'!A:A,1,FALSE)</f>
        <v>#N/A</v>
      </c>
      <c r="J4266" s="47" t="s">
        <v>3488</v>
      </c>
      <c r="K4266" s="203" t="s">
        <v>5523</v>
      </c>
      <c r="L4266" s="206"/>
      <c r="M4266" s="49" t="s">
        <v>5524</v>
      </c>
      <c r="N4266" s="73">
        <v>44271</v>
      </c>
      <c r="O4266" s="73" t="s">
        <v>503</v>
      </c>
      <c r="P4266" s="396">
        <v>5100</v>
      </c>
      <c r="Q4266" s="212">
        <v>11</v>
      </c>
      <c r="R4266" s="386">
        <f t="shared" si="139"/>
        <v>56100</v>
      </c>
      <c r="S4266" s="279">
        <v>202304</v>
      </c>
      <c r="T4266" s="184" t="s">
        <v>5574</v>
      </c>
      <c r="U4266" s="213"/>
      <c r="V4266" s="210"/>
      <c r="W4266" s="214"/>
      <c r="X4266" s="73">
        <v>43692</v>
      </c>
      <c r="Y4266" s="73">
        <v>45883</v>
      </c>
    </row>
    <row r="4267" s="5" customFormat="1" customHeight="1" spans="1:25">
      <c r="A4267" s="203" t="s">
        <v>448</v>
      </c>
      <c r="B4267" s="204" t="s">
        <v>5519</v>
      </c>
      <c r="C4267" s="204" t="s">
        <v>125</v>
      </c>
      <c r="D4267" s="204" t="s">
        <v>3939</v>
      </c>
      <c r="E4267" s="205" t="s">
        <v>5520</v>
      </c>
      <c r="F4267" s="203" t="s">
        <v>5521</v>
      </c>
      <c r="G4267" s="203" t="s">
        <v>88</v>
      </c>
      <c r="H4267" s="25" t="s">
        <v>5522</v>
      </c>
      <c r="I4267" s="46" t="e">
        <f>VLOOKUP(H4267,'合同高级查询数据-4月返'!A:A,1,FALSE)</f>
        <v>#N/A</v>
      </c>
      <c r="J4267" s="47" t="s">
        <v>3488</v>
      </c>
      <c r="K4267" s="203" t="s">
        <v>5523</v>
      </c>
      <c r="L4267" s="206"/>
      <c r="M4267" s="49" t="s">
        <v>5524</v>
      </c>
      <c r="N4267" s="73">
        <v>44272</v>
      </c>
      <c r="O4267" s="73" t="s">
        <v>503</v>
      </c>
      <c r="P4267" s="396">
        <v>5100</v>
      </c>
      <c r="Q4267" s="212">
        <v>5</v>
      </c>
      <c r="R4267" s="386">
        <f t="shared" si="139"/>
        <v>25500</v>
      </c>
      <c r="S4267" s="279">
        <v>202304</v>
      </c>
      <c r="T4267" s="184" t="s">
        <v>5575</v>
      </c>
      <c r="U4267" s="213"/>
      <c r="V4267" s="210"/>
      <c r="W4267" s="214"/>
      <c r="X4267" s="73">
        <v>43692</v>
      </c>
      <c r="Y4267" s="73">
        <v>45883</v>
      </c>
    </row>
    <row r="4268" s="5" customFormat="1" customHeight="1" spans="1:25">
      <c r="A4268" s="203" t="s">
        <v>448</v>
      </c>
      <c r="B4268" s="204" t="s">
        <v>5519</v>
      </c>
      <c r="C4268" s="204" t="s">
        <v>125</v>
      </c>
      <c r="D4268" s="204" t="s">
        <v>3939</v>
      </c>
      <c r="E4268" s="205" t="s">
        <v>5520</v>
      </c>
      <c r="F4268" s="203" t="s">
        <v>5521</v>
      </c>
      <c r="G4268" s="203" t="s">
        <v>88</v>
      </c>
      <c r="H4268" s="25" t="s">
        <v>5522</v>
      </c>
      <c r="I4268" s="46" t="e">
        <f>VLOOKUP(H4268,'合同高级查询数据-4月返'!A:A,1,FALSE)</f>
        <v>#N/A</v>
      </c>
      <c r="J4268" s="47" t="s">
        <v>3488</v>
      </c>
      <c r="K4268" s="203" t="s">
        <v>5523</v>
      </c>
      <c r="L4268" s="206"/>
      <c r="M4268" s="49" t="s">
        <v>5524</v>
      </c>
      <c r="N4268" s="73">
        <v>44273</v>
      </c>
      <c r="O4268" s="73" t="s">
        <v>503</v>
      </c>
      <c r="P4268" s="396">
        <v>5100</v>
      </c>
      <c r="Q4268" s="212">
        <v>9</v>
      </c>
      <c r="R4268" s="386">
        <f t="shared" si="139"/>
        <v>45900</v>
      </c>
      <c r="S4268" s="279">
        <v>202304</v>
      </c>
      <c r="T4268" s="184" t="s">
        <v>5576</v>
      </c>
      <c r="U4268" s="213"/>
      <c r="V4268" s="210"/>
      <c r="W4268" s="214"/>
      <c r="X4268" s="73">
        <v>43692</v>
      </c>
      <c r="Y4268" s="73">
        <v>45883</v>
      </c>
    </row>
    <row r="4269" s="5" customFormat="1" customHeight="1" spans="1:25">
      <c r="A4269" s="203" t="s">
        <v>448</v>
      </c>
      <c r="B4269" s="204" t="s">
        <v>5519</v>
      </c>
      <c r="C4269" s="204" t="s">
        <v>125</v>
      </c>
      <c r="D4269" s="204" t="s">
        <v>3939</v>
      </c>
      <c r="E4269" s="205" t="s">
        <v>5520</v>
      </c>
      <c r="F4269" s="203" t="s">
        <v>5521</v>
      </c>
      <c r="G4269" s="203" t="s">
        <v>88</v>
      </c>
      <c r="H4269" s="25" t="s">
        <v>5522</v>
      </c>
      <c r="I4269" s="46" t="e">
        <f>VLOOKUP(H4269,'合同高级查询数据-4月返'!A:A,1,FALSE)</f>
        <v>#N/A</v>
      </c>
      <c r="J4269" s="47" t="s">
        <v>3488</v>
      </c>
      <c r="K4269" s="203" t="s">
        <v>5523</v>
      </c>
      <c r="L4269" s="206"/>
      <c r="M4269" s="49" t="s">
        <v>5524</v>
      </c>
      <c r="N4269" s="73">
        <v>44275</v>
      </c>
      <c r="O4269" s="73" t="s">
        <v>503</v>
      </c>
      <c r="P4269" s="396">
        <v>5100</v>
      </c>
      <c r="Q4269" s="212">
        <v>12</v>
      </c>
      <c r="R4269" s="386">
        <f t="shared" si="139"/>
        <v>61200</v>
      </c>
      <c r="S4269" s="279">
        <v>202304</v>
      </c>
      <c r="T4269" s="184" t="s">
        <v>5577</v>
      </c>
      <c r="U4269" s="213"/>
      <c r="V4269" s="210"/>
      <c r="W4269" s="214"/>
      <c r="X4269" s="73">
        <v>43692</v>
      </c>
      <c r="Y4269" s="73">
        <v>45883</v>
      </c>
    </row>
    <row r="4270" s="5" customFormat="1" customHeight="1" spans="1:25">
      <c r="A4270" s="203" t="s">
        <v>448</v>
      </c>
      <c r="B4270" s="204" t="s">
        <v>5519</v>
      </c>
      <c r="C4270" s="204" t="s">
        <v>125</v>
      </c>
      <c r="D4270" s="204" t="s">
        <v>3939</v>
      </c>
      <c r="E4270" s="205" t="s">
        <v>5520</v>
      </c>
      <c r="F4270" s="203" t="s">
        <v>5521</v>
      </c>
      <c r="G4270" s="203" t="s">
        <v>88</v>
      </c>
      <c r="H4270" s="25" t="s">
        <v>5522</v>
      </c>
      <c r="I4270" s="46" t="e">
        <f>VLOOKUP(H4270,'合同高级查询数据-4月返'!A:A,1,FALSE)</f>
        <v>#N/A</v>
      </c>
      <c r="J4270" s="47" t="s">
        <v>3488</v>
      </c>
      <c r="K4270" s="203" t="s">
        <v>5523</v>
      </c>
      <c r="L4270" s="206"/>
      <c r="M4270" s="49" t="s">
        <v>5524</v>
      </c>
      <c r="N4270" s="73">
        <v>44284</v>
      </c>
      <c r="O4270" s="73" t="s">
        <v>503</v>
      </c>
      <c r="P4270" s="396">
        <v>5100</v>
      </c>
      <c r="Q4270" s="212">
        <v>6</v>
      </c>
      <c r="R4270" s="386">
        <f t="shared" si="139"/>
        <v>30600</v>
      </c>
      <c r="S4270" s="279">
        <v>202304</v>
      </c>
      <c r="T4270" s="184" t="s">
        <v>5578</v>
      </c>
      <c r="U4270" s="213"/>
      <c r="V4270" s="210"/>
      <c r="W4270" s="214"/>
      <c r="X4270" s="73">
        <v>43692</v>
      </c>
      <c r="Y4270" s="73">
        <v>45883</v>
      </c>
    </row>
    <row r="4271" s="5" customFormat="1" customHeight="1" spans="1:25">
      <c r="A4271" s="203" t="s">
        <v>448</v>
      </c>
      <c r="B4271" s="204" t="s">
        <v>5519</v>
      </c>
      <c r="C4271" s="204" t="s">
        <v>125</v>
      </c>
      <c r="D4271" s="204" t="s">
        <v>3939</v>
      </c>
      <c r="E4271" s="205" t="s">
        <v>5520</v>
      </c>
      <c r="F4271" s="203" t="s">
        <v>5521</v>
      </c>
      <c r="G4271" s="203" t="s">
        <v>88</v>
      </c>
      <c r="H4271" s="25" t="s">
        <v>5522</v>
      </c>
      <c r="I4271" s="46" t="e">
        <f>VLOOKUP(H4271,'合同高级查询数据-4月返'!A:A,1,FALSE)</f>
        <v>#N/A</v>
      </c>
      <c r="J4271" s="47" t="s">
        <v>3488</v>
      </c>
      <c r="K4271" s="203" t="s">
        <v>5523</v>
      </c>
      <c r="L4271" s="206"/>
      <c r="M4271" s="49" t="s">
        <v>5524</v>
      </c>
      <c r="N4271" s="73">
        <v>44286</v>
      </c>
      <c r="O4271" s="73" t="s">
        <v>503</v>
      </c>
      <c r="P4271" s="396">
        <v>5100</v>
      </c>
      <c r="Q4271" s="212">
        <v>10</v>
      </c>
      <c r="R4271" s="386">
        <f t="shared" si="139"/>
        <v>51000</v>
      </c>
      <c r="S4271" s="279">
        <v>202304</v>
      </c>
      <c r="T4271" s="184" t="s">
        <v>5579</v>
      </c>
      <c r="U4271" s="213"/>
      <c r="V4271" s="210"/>
      <c r="W4271" s="214"/>
      <c r="X4271" s="73">
        <v>43692</v>
      </c>
      <c r="Y4271" s="73">
        <v>45883</v>
      </c>
    </row>
    <row r="4272" s="5" customFormat="1" customHeight="1" spans="1:25">
      <c r="A4272" s="203" t="s">
        <v>448</v>
      </c>
      <c r="B4272" s="204" t="s">
        <v>5519</v>
      </c>
      <c r="C4272" s="204" t="s">
        <v>125</v>
      </c>
      <c r="D4272" s="204" t="s">
        <v>3939</v>
      </c>
      <c r="E4272" s="205" t="s">
        <v>5520</v>
      </c>
      <c r="F4272" s="203" t="s">
        <v>5521</v>
      </c>
      <c r="G4272" s="203" t="s">
        <v>88</v>
      </c>
      <c r="H4272" s="25" t="s">
        <v>5522</v>
      </c>
      <c r="I4272" s="46" t="e">
        <f>VLOOKUP(H4272,'合同高级查询数据-4月返'!A:A,1,FALSE)</f>
        <v>#N/A</v>
      </c>
      <c r="J4272" s="47" t="s">
        <v>3488</v>
      </c>
      <c r="K4272" s="203" t="s">
        <v>5523</v>
      </c>
      <c r="L4272" s="206"/>
      <c r="M4272" s="49" t="s">
        <v>5524</v>
      </c>
      <c r="N4272" s="73">
        <v>44302</v>
      </c>
      <c r="O4272" s="73" t="s">
        <v>503</v>
      </c>
      <c r="P4272" s="396">
        <v>5100</v>
      </c>
      <c r="Q4272" s="212">
        <v>24</v>
      </c>
      <c r="R4272" s="386">
        <f t="shared" si="139"/>
        <v>122400</v>
      </c>
      <c r="S4272" s="279">
        <v>202304</v>
      </c>
      <c r="T4272" s="184" t="s">
        <v>5580</v>
      </c>
      <c r="U4272" s="213"/>
      <c r="V4272" s="210"/>
      <c r="W4272" s="214"/>
      <c r="X4272" s="73">
        <v>43692</v>
      </c>
      <c r="Y4272" s="73">
        <v>45883</v>
      </c>
    </row>
    <row r="4273" s="5" customFormat="1" customHeight="1" spans="1:25">
      <c r="A4273" s="203" t="s">
        <v>448</v>
      </c>
      <c r="B4273" s="204" t="s">
        <v>5519</v>
      </c>
      <c r="C4273" s="204" t="s">
        <v>125</v>
      </c>
      <c r="D4273" s="204" t="s">
        <v>3939</v>
      </c>
      <c r="E4273" s="205" t="s">
        <v>5520</v>
      </c>
      <c r="F4273" s="203" t="s">
        <v>5521</v>
      </c>
      <c r="G4273" s="203" t="s">
        <v>88</v>
      </c>
      <c r="H4273" s="25" t="s">
        <v>5522</v>
      </c>
      <c r="I4273" s="46" t="e">
        <f>VLOOKUP(H4273,'合同高级查询数据-4月返'!A:A,1,FALSE)</f>
        <v>#N/A</v>
      </c>
      <c r="J4273" s="47" t="s">
        <v>3488</v>
      </c>
      <c r="K4273" s="203" t="s">
        <v>5523</v>
      </c>
      <c r="L4273" s="206"/>
      <c r="M4273" s="49" t="s">
        <v>5524</v>
      </c>
      <c r="N4273" s="73">
        <v>44308</v>
      </c>
      <c r="O4273" s="73" t="s">
        <v>503</v>
      </c>
      <c r="P4273" s="396">
        <v>5100</v>
      </c>
      <c r="Q4273" s="212">
        <v>6</v>
      </c>
      <c r="R4273" s="386">
        <f t="shared" si="139"/>
        <v>30600</v>
      </c>
      <c r="S4273" s="279">
        <v>202304</v>
      </c>
      <c r="T4273" s="184" t="s">
        <v>5581</v>
      </c>
      <c r="U4273" s="213"/>
      <c r="V4273" s="210"/>
      <c r="W4273" s="214"/>
      <c r="X4273" s="73">
        <v>43692</v>
      </c>
      <c r="Y4273" s="73">
        <v>45883</v>
      </c>
    </row>
    <row r="4274" s="5" customFormat="1" customHeight="1" spans="1:25">
      <c r="A4274" s="203" t="s">
        <v>448</v>
      </c>
      <c r="B4274" s="204" t="s">
        <v>5519</v>
      </c>
      <c r="C4274" s="204" t="s">
        <v>125</v>
      </c>
      <c r="D4274" s="204" t="s">
        <v>3939</v>
      </c>
      <c r="E4274" s="205" t="s">
        <v>5520</v>
      </c>
      <c r="F4274" s="203" t="s">
        <v>5521</v>
      </c>
      <c r="G4274" s="203" t="s">
        <v>88</v>
      </c>
      <c r="H4274" s="25" t="s">
        <v>5522</v>
      </c>
      <c r="I4274" s="46" t="e">
        <f>VLOOKUP(H4274,'合同高级查询数据-4月返'!A:A,1,FALSE)</f>
        <v>#N/A</v>
      </c>
      <c r="J4274" s="47" t="s">
        <v>3488</v>
      </c>
      <c r="K4274" s="203" t="s">
        <v>5523</v>
      </c>
      <c r="L4274" s="206"/>
      <c r="M4274" s="49" t="s">
        <v>5524</v>
      </c>
      <c r="N4274" s="73">
        <v>44351</v>
      </c>
      <c r="O4274" s="73" t="s">
        <v>503</v>
      </c>
      <c r="P4274" s="396">
        <v>5100</v>
      </c>
      <c r="Q4274" s="212">
        <v>39</v>
      </c>
      <c r="R4274" s="386">
        <f t="shared" si="139"/>
        <v>198900</v>
      </c>
      <c r="S4274" s="279">
        <v>202304</v>
      </c>
      <c r="T4274" s="184" t="s">
        <v>5582</v>
      </c>
      <c r="U4274" s="213"/>
      <c r="V4274" s="210"/>
      <c r="W4274" s="214"/>
      <c r="X4274" s="73">
        <v>43692</v>
      </c>
      <c r="Y4274" s="73">
        <v>45883</v>
      </c>
    </row>
    <row r="4275" s="5" customFormat="1" customHeight="1" spans="1:25">
      <c r="A4275" s="203" t="s">
        <v>448</v>
      </c>
      <c r="B4275" s="204" t="s">
        <v>5519</v>
      </c>
      <c r="C4275" s="204" t="s">
        <v>125</v>
      </c>
      <c r="D4275" s="204" t="s">
        <v>3939</v>
      </c>
      <c r="E4275" s="205" t="s">
        <v>5520</v>
      </c>
      <c r="F4275" s="203" t="s">
        <v>5521</v>
      </c>
      <c r="G4275" s="203" t="s">
        <v>88</v>
      </c>
      <c r="H4275" s="25" t="s">
        <v>5522</v>
      </c>
      <c r="I4275" s="46" t="e">
        <f>VLOOKUP(H4275,'合同高级查询数据-4月返'!A:A,1,FALSE)</f>
        <v>#N/A</v>
      </c>
      <c r="J4275" s="47" t="s">
        <v>3488</v>
      </c>
      <c r="K4275" s="203" t="s">
        <v>5523</v>
      </c>
      <c r="L4275" s="206"/>
      <c r="M4275" s="49" t="s">
        <v>5524</v>
      </c>
      <c r="N4275" s="73">
        <v>44394</v>
      </c>
      <c r="O4275" s="73" t="s">
        <v>503</v>
      </c>
      <c r="P4275" s="396">
        <v>5100</v>
      </c>
      <c r="Q4275" s="212">
        <v>3</v>
      </c>
      <c r="R4275" s="386">
        <f t="shared" si="139"/>
        <v>15300</v>
      </c>
      <c r="S4275" s="279">
        <v>202304</v>
      </c>
      <c r="T4275" s="184" t="s">
        <v>5583</v>
      </c>
      <c r="U4275" s="213"/>
      <c r="V4275" s="210"/>
      <c r="W4275" s="214"/>
      <c r="X4275" s="73">
        <v>43692</v>
      </c>
      <c r="Y4275" s="73">
        <v>45883</v>
      </c>
    </row>
    <row r="4276" s="5" customFormat="1" customHeight="1" spans="1:25">
      <c r="A4276" s="203" t="s">
        <v>448</v>
      </c>
      <c r="B4276" s="204" t="s">
        <v>5519</v>
      </c>
      <c r="C4276" s="204" t="s">
        <v>125</v>
      </c>
      <c r="D4276" s="204" t="s">
        <v>3939</v>
      </c>
      <c r="E4276" s="205" t="s">
        <v>5520</v>
      </c>
      <c r="F4276" s="203" t="s">
        <v>5521</v>
      </c>
      <c r="G4276" s="203" t="s">
        <v>88</v>
      </c>
      <c r="H4276" s="25" t="s">
        <v>5522</v>
      </c>
      <c r="I4276" s="46" t="e">
        <f>VLOOKUP(H4276,'合同高级查询数据-4月返'!A:A,1,FALSE)</f>
        <v>#N/A</v>
      </c>
      <c r="J4276" s="47" t="s">
        <v>3488</v>
      </c>
      <c r="K4276" s="203" t="s">
        <v>5523</v>
      </c>
      <c r="L4276" s="206"/>
      <c r="M4276" s="49" t="s">
        <v>5524</v>
      </c>
      <c r="N4276" s="73">
        <v>44397</v>
      </c>
      <c r="O4276" s="73" t="s">
        <v>503</v>
      </c>
      <c r="P4276" s="396">
        <v>5100</v>
      </c>
      <c r="Q4276" s="212">
        <v>-3</v>
      </c>
      <c r="R4276" s="386">
        <f t="shared" si="139"/>
        <v>-15300</v>
      </c>
      <c r="S4276" s="279">
        <v>202304</v>
      </c>
      <c r="T4276" s="184" t="s">
        <v>5584</v>
      </c>
      <c r="U4276" s="213"/>
      <c r="V4276" s="210"/>
      <c r="W4276" s="214"/>
      <c r="X4276" s="73">
        <v>43692</v>
      </c>
      <c r="Y4276" s="73">
        <v>45883</v>
      </c>
    </row>
    <row r="4277" s="5" customFormat="1" customHeight="1" spans="1:25">
      <c r="A4277" s="203" t="s">
        <v>448</v>
      </c>
      <c r="B4277" s="204" t="s">
        <v>5519</v>
      </c>
      <c r="C4277" s="204" t="s">
        <v>125</v>
      </c>
      <c r="D4277" s="204" t="s">
        <v>3939</v>
      </c>
      <c r="E4277" s="205" t="s">
        <v>5520</v>
      </c>
      <c r="F4277" s="203" t="s">
        <v>5521</v>
      </c>
      <c r="G4277" s="203" t="s">
        <v>88</v>
      </c>
      <c r="H4277" s="25" t="s">
        <v>5522</v>
      </c>
      <c r="I4277" s="46" t="e">
        <f>VLOOKUP(H4277,'合同高级查询数据-4月返'!A:A,1,FALSE)</f>
        <v>#N/A</v>
      </c>
      <c r="J4277" s="47" t="s">
        <v>3488</v>
      </c>
      <c r="K4277" s="203" t="s">
        <v>5523</v>
      </c>
      <c r="L4277" s="206"/>
      <c r="M4277" s="49" t="s">
        <v>5524</v>
      </c>
      <c r="N4277" s="73">
        <v>44394</v>
      </c>
      <c r="O4277" s="73" t="s">
        <v>503</v>
      </c>
      <c r="P4277" s="396">
        <v>5100</v>
      </c>
      <c r="Q4277" s="212">
        <v>20</v>
      </c>
      <c r="R4277" s="386">
        <f t="shared" si="139"/>
        <v>102000</v>
      </c>
      <c r="S4277" s="279">
        <v>202304</v>
      </c>
      <c r="T4277" s="184" t="s">
        <v>5585</v>
      </c>
      <c r="U4277" s="213"/>
      <c r="V4277" s="210"/>
      <c r="W4277" s="214"/>
      <c r="X4277" s="73">
        <v>43692</v>
      </c>
      <c r="Y4277" s="73">
        <v>45883</v>
      </c>
    </row>
    <row r="4278" s="5" customFormat="1" customHeight="1" spans="1:25">
      <c r="A4278" s="203" t="s">
        <v>448</v>
      </c>
      <c r="B4278" s="204" t="s">
        <v>5519</v>
      </c>
      <c r="C4278" s="204" t="s">
        <v>125</v>
      </c>
      <c r="D4278" s="204" t="s">
        <v>3939</v>
      </c>
      <c r="E4278" s="205" t="s">
        <v>5520</v>
      </c>
      <c r="F4278" s="203" t="s">
        <v>5521</v>
      </c>
      <c r="G4278" s="203" t="s">
        <v>88</v>
      </c>
      <c r="H4278" s="25" t="s">
        <v>5522</v>
      </c>
      <c r="I4278" s="46" t="e">
        <f>VLOOKUP(H4278,'合同高级查询数据-4月返'!A:A,1,FALSE)</f>
        <v>#N/A</v>
      </c>
      <c r="J4278" s="47" t="s">
        <v>3488</v>
      </c>
      <c r="K4278" s="203" t="s">
        <v>5523</v>
      </c>
      <c r="L4278" s="206"/>
      <c r="M4278" s="49" t="s">
        <v>5524</v>
      </c>
      <c r="N4278" s="73">
        <v>44397</v>
      </c>
      <c r="O4278" s="73" t="s">
        <v>503</v>
      </c>
      <c r="P4278" s="396">
        <v>5100</v>
      </c>
      <c r="Q4278" s="212">
        <v>3</v>
      </c>
      <c r="R4278" s="386">
        <f t="shared" si="139"/>
        <v>15300</v>
      </c>
      <c r="S4278" s="279">
        <v>202304</v>
      </c>
      <c r="T4278" s="184" t="s">
        <v>5586</v>
      </c>
      <c r="U4278" s="213"/>
      <c r="V4278" s="210"/>
      <c r="W4278" s="214"/>
      <c r="X4278" s="73">
        <v>43692</v>
      </c>
      <c r="Y4278" s="73">
        <v>45883</v>
      </c>
    </row>
    <row r="4279" s="5" customFormat="1" customHeight="1" spans="1:25">
      <c r="A4279" s="203" t="s">
        <v>448</v>
      </c>
      <c r="B4279" s="204" t="s">
        <v>5519</v>
      </c>
      <c r="C4279" s="204" t="s">
        <v>125</v>
      </c>
      <c r="D4279" s="204" t="s">
        <v>3939</v>
      </c>
      <c r="E4279" s="205" t="s">
        <v>5520</v>
      </c>
      <c r="F4279" s="203" t="s">
        <v>5521</v>
      </c>
      <c r="G4279" s="203" t="s">
        <v>88</v>
      </c>
      <c r="H4279" s="25" t="s">
        <v>5522</v>
      </c>
      <c r="I4279" s="46" t="e">
        <f>VLOOKUP(H4279,'合同高级查询数据-4月返'!A:A,1,FALSE)</f>
        <v>#N/A</v>
      </c>
      <c r="J4279" s="47" t="s">
        <v>3488</v>
      </c>
      <c r="K4279" s="203" t="s">
        <v>5523</v>
      </c>
      <c r="L4279" s="206"/>
      <c r="M4279" s="49" t="s">
        <v>5524</v>
      </c>
      <c r="N4279" s="73">
        <v>44428</v>
      </c>
      <c r="O4279" s="73" t="s">
        <v>503</v>
      </c>
      <c r="P4279" s="396">
        <v>5100</v>
      </c>
      <c r="Q4279" s="212">
        <v>4</v>
      </c>
      <c r="R4279" s="386">
        <f t="shared" si="139"/>
        <v>20400</v>
      </c>
      <c r="S4279" s="279">
        <v>202304</v>
      </c>
      <c r="T4279" s="184" t="s">
        <v>5587</v>
      </c>
      <c r="U4279" s="213"/>
      <c r="V4279" s="210"/>
      <c r="W4279" s="214"/>
      <c r="X4279" s="73">
        <v>43692</v>
      </c>
      <c r="Y4279" s="73">
        <v>45883</v>
      </c>
    </row>
    <row r="4280" s="5" customFormat="1" customHeight="1" spans="1:25">
      <c r="A4280" s="203" t="s">
        <v>448</v>
      </c>
      <c r="B4280" s="204" t="s">
        <v>5519</v>
      </c>
      <c r="C4280" s="204" t="s">
        <v>125</v>
      </c>
      <c r="D4280" s="204" t="s">
        <v>3939</v>
      </c>
      <c r="E4280" s="205" t="s">
        <v>5520</v>
      </c>
      <c r="F4280" s="203" t="s">
        <v>5521</v>
      </c>
      <c r="G4280" s="203" t="s">
        <v>88</v>
      </c>
      <c r="H4280" s="25" t="s">
        <v>5522</v>
      </c>
      <c r="I4280" s="46" t="e">
        <f>VLOOKUP(H4280,'合同高级查询数据-4月返'!A:A,1,FALSE)</f>
        <v>#N/A</v>
      </c>
      <c r="J4280" s="47" t="s">
        <v>3488</v>
      </c>
      <c r="K4280" s="203" t="s">
        <v>5523</v>
      </c>
      <c r="L4280" s="206"/>
      <c r="M4280" s="49" t="s">
        <v>5524</v>
      </c>
      <c r="N4280" s="73">
        <v>44439</v>
      </c>
      <c r="O4280" s="73" t="s">
        <v>503</v>
      </c>
      <c r="P4280" s="396">
        <v>5100</v>
      </c>
      <c r="Q4280" s="212">
        <v>9</v>
      </c>
      <c r="R4280" s="386">
        <f t="shared" si="139"/>
        <v>45900</v>
      </c>
      <c r="S4280" s="279">
        <v>202304</v>
      </c>
      <c r="T4280" s="184" t="s">
        <v>5588</v>
      </c>
      <c r="U4280" s="213"/>
      <c r="V4280" s="210"/>
      <c r="W4280" s="214"/>
      <c r="X4280" s="73">
        <v>43692</v>
      </c>
      <c r="Y4280" s="73">
        <v>45883</v>
      </c>
    </row>
    <row r="4281" s="5" customFormat="1" customHeight="1" spans="1:25">
      <c r="A4281" s="203" t="s">
        <v>448</v>
      </c>
      <c r="B4281" s="204" t="s">
        <v>5519</v>
      </c>
      <c r="C4281" s="204" t="s">
        <v>125</v>
      </c>
      <c r="D4281" s="204" t="s">
        <v>3939</v>
      </c>
      <c r="E4281" s="205" t="s">
        <v>5520</v>
      </c>
      <c r="F4281" s="203" t="s">
        <v>5521</v>
      </c>
      <c r="G4281" s="203" t="s">
        <v>88</v>
      </c>
      <c r="H4281" s="25" t="s">
        <v>5522</v>
      </c>
      <c r="I4281" s="46" t="e">
        <f>VLOOKUP(H4281,'合同高级查询数据-4月返'!A:A,1,FALSE)</f>
        <v>#N/A</v>
      </c>
      <c r="J4281" s="47" t="s">
        <v>3488</v>
      </c>
      <c r="K4281" s="203" t="s">
        <v>5523</v>
      </c>
      <c r="L4281" s="206"/>
      <c r="M4281" s="49" t="s">
        <v>5524</v>
      </c>
      <c r="N4281" s="73">
        <v>44461</v>
      </c>
      <c r="O4281" s="73" t="s">
        <v>503</v>
      </c>
      <c r="P4281" s="396">
        <v>5100</v>
      </c>
      <c r="Q4281" s="212">
        <v>44</v>
      </c>
      <c r="R4281" s="386">
        <f t="shared" si="139"/>
        <v>224400</v>
      </c>
      <c r="S4281" s="279">
        <v>202304</v>
      </c>
      <c r="T4281" s="184" t="s">
        <v>5589</v>
      </c>
      <c r="U4281" s="213"/>
      <c r="V4281" s="210"/>
      <c r="W4281" s="214"/>
      <c r="X4281" s="73">
        <v>43692</v>
      </c>
      <c r="Y4281" s="73">
        <v>45883</v>
      </c>
    </row>
    <row r="4282" s="5" customFormat="1" customHeight="1" spans="1:25">
      <c r="A4282" s="203" t="s">
        <v>448</v>
      </c>
      <c r="B4282" s="204" t="s">
        <v>5519</v>
      </c>
      <c r="C4282" s="204" t="s">
        <v>125</v>
      </c>
      <c r="D4282" s="204" t="s">
        <v>3939</v>
      </c>
      <c r="E4282" s="205" t="s">
        <v>5520</v>
      </c>
      <c r="F4282" s="203" t="s">
        <v>5521</v>
      </c>
      <c r="G4282" s="203" t="s">
        <v>88</v>
      </c>
      <c r="H4282" s="25" t="s">
        <v>5522</v>
      </c>
      <c r="I4282" s="46" t="e">
        <f>VLOOKUP(H4282,'合同高级查询数据-4月返'!A:A,1,FALSE)</f>
        <v>#N/A</v>
      </c>
      <c r="J4282" s="47" t="s">
        <v>3488</v>
      </c>
      <c r="K4282" s="203" t="s">
        <v>5523</v>
      </c>
      <c r="L4282" s="206"/>
      <c r="M4282" s="49" t="s">
        <v>5524</v>
      </c>
      <c r="N4282" s="73">
        <v>44462</v>
      </c>
      <c r="O4282" s="73" t="s">
        <v>503</v>
      </c>
      <c r="P4282" s="396">
        <v>5100</v>
      </c>
      <c r="Q4282" s="212">
        <v>41</v>
      </c>
      <c r="R4282" s="386">
        <f t="shared" si="139"/>
        <v>209100</v>
      </c>
      <c r="S4282" s="279">
        <v>202304</v>
      </c>
      <c r="T4282" s="184" t="s">
        <v>5590</v>
      </c>
      <c r="U4282" s="213"/>
      <c r="V4282" s="210"/>
      <c r="W4282" s="214"/>
      <c r="X4282" s="73">
        <v>43692</v>
      </c>
      <c r="Y4282" s="73">
        <v>45883</v>
      </c>
    </row>
    <row r="4283" s="5" customFormat="1" customHeight="1" spans="1:25">
      <c r="A4283" s="203" t="s">
        <v>448</v>
      </c>
      <c r="B4283" s="204" t="s">
        <v>5519</v>
      </c>
      <c r="C4283" s="204" t="s">
        <v>125</v>
      </c>
      <c r="D4283" s="204" t="s">
        <v>3939</v>
      </c>
      <c r="E4283" s="205" t="s">
        <v>5520</v>
      </c>
      <c r="F4283" s="203" t="s">
        <v>5521</v>
      </c>
      <c r="G4283" s="203" t="s">
        <v>88</v>
      </c>
      <c r="H4283" s="25" t="s">
        <v>5522</v>
      </c>
      <c r="I4283" s="46" t="e">
        <f>VLOOKUP(H4283,'合同高级查询数据-4月返'!A:A,1,FALSE)</f>
        <v>#N/A</v>
      </c>
      <c r="J4283" s="47" t="s">
        <v>3488</v>
      </c>
      <c r="K4283" s="203" t="s">
        <v>5523</v>
      </c>
      <c r="L4283" s="206"/>
      <c r="M4283" s="49" t="s">
        <v>5524</v>
      </c>
      <c r="N4283" s="73">
        <v>44463</v>
      </c>
      <c r="O4283" s="73" t="s">
        <v>503</v>
      </c>
      <c r="P4283" s="396">
        <v>5100</v>
      </c>
      <c r="Q4283" s="212">
        <v>81</v>
      </c>
      <c r="R4283" s="386">
        <f t="shared" si="139"/>
        <v>413100</v>
      </c>
      <c r="S4283" s="279">
        <v>202304</v>
      </c>
      <c r="T4283" s="184" t="s">
        <v>5591</v>
      </c>
      <c r="U4283" s="213"/>
      <c r="V4283" s="210"/>
      <c r="W4283" s="214"/>
      <c r="X4283" s="73">
        <v>43692</v>
      </c>
      <c r="Y4283" s="73">
        <v>45883</v>
      </c>
    </row>
    <row r="4284" s="5" customFormat="1" customHeight="1" spans="1:25">
      <c r="A4284" s="203" t="s">
        <v>448</v>
      </c>
      <c r="B4284" s="204" t="s">
        <v>5519</v>
      </c>
      <c r="C4284" s="204" t="s">
        <v>125</v>
      </c>
      <c r="D4284" s="204" t="s">
        <v>3939</v>
      </c>
      <c r="E4284" s="205" t="s">
        <v>5520</v>
      </c>
      <c r="F4284" s="203" t="s">
        <v>5521</v>
      </c>
      <c r="G4284" s="203" t="s">
        <v>88</v>
      </c>
      <c r="H4284" s="25" t="s">
        <v>5522</v>
      </c>
      <c r="I4284" s="46" t="e">
        <f>VLOOKUP(H4284,'合同高级查询数据-4月返'!A:A,1,FALSE)</f>
        <v>#N/A</v>
      </c>
      <c r="J4284" s="47" t="s">
        <v>3488</v>
      </c>
      <c r="K4284" s="203" t="s">
        <v>5523</v>
      </c>
      <c r="L4284" s="206"/>
      <c r="M4284" s="49" t="s">
        <v>5524</v>
      </c>
      <c r="N4284" s="73">
        <v>44466</v>
      </c>
      <c r="O4284" s="73" t="s">
        <v>503</v>
      </c>
      <c r="P4284" s="396">
        <v>5100</v>
      </c>
      <c r="Q4284" s="212">
        <v>29</v>
      </c>
      <c r="R4284" s="386">
        <f t="shared" si="139"/>
        <v>147900</v>
      </c>
      <c r="S4284" s="279">
        <v>202304</v>
      </c>
      <c r="T4284" s="184" t="s">
        <v>5592</v>
      </c>
      <c r="U4284" s="213"/>
      <c r="V4284" s="210"/>
      <c r="W4284" s="214"/>
      <c r="X4284" s="73">
        <v>43692</v>
      </c>
      <c r="Y4284" s="73">
        <v>45883</v>
      </c>
    </row>
    <row r="4285" s="5" customFormat="1" customHeight="1" spans="1:25">
      <c r="A4285" s="203" t="s">
        <v>448</v>
      </c>
      <c r="B4285" s="204" t="s">
        <v>5519</v>
      </c>
      <c r="C4285" s="204" t="s">
        <v>125</v>
      </c>
      <c r="D4285" s="204" t="s">
        <v>3939</v>
      </c>
      <c r="E4285" s="205" t="s">
        <v>5520</v>
      </c>
      <c r="F4285" s="203" t="s">
        <v>5521</v>
      </c>
      <c r="G4285" s="203" t="s">
        <v>88</v>
      </c>
      <c r="H4285" s="25" t="s">
        <v>5522</v>
      </c>
      <c r="I4285" s="46" t="e">
        <f>VLOOKUP(H4285,'合同高级查询数据-4月返'!A:A,1,FALSE)</f>
        <v>#N/A</v>
      </c>
      <c r="J4285" s="47" t="s">
        <v>3488</v>
      </c>
      <c r="K4285" s="203" t="s">
        <v>5523</v>
      </c>
      <c r="L4285" s="206"/>
      <c r="M4285" s="49" t="s">
        <v>5524</v>
      </c>
      <c r="N4285" s="73">
        <v>44468</v>
      </c>
      <c r="O4285" s="73" t="s">
        <v>503</v>
      </c>
      <c r="P4285" s="396">
        <v>5100</v>
      </c>
      <c r="Q4285" s="212">
        <v>112</v>
      </c>
      <c r="R4285" s="386">
        <f t="shared" si="139"/>
        <v>571200</v>
      </c>
      <c r="S4285" s="279">
        <v>202304</v>
      </c>
      <c r="T4285" s="184" t="s">
        <v>5593</v>
      </c>
      <c r="U4285" s="213"/>
      <c r="V4285" s="210"/>
      <c r="W4285" s="214"/>
      <c r="X4285" s="73">
        <v>43692</v>
      </c>
      <c r="Y4285" s="73">
        <v>45883</v>
      </c>
    </row>
    <row r="4286" s="5" customFormat="1" customHeight="1" spans="1:25">
      <c r="A4286" s="203" t="s">
        <v>448</v>
      </c>
      <c r="B4286" s="204" t="s">
        <v>5519</v>
      </c>
      <c r="C4286" s="204" t="s">
        <v>125</v>
      </c>
      <c r="D4286" s="204" t="s">
        <v>3939</v>
      </c>
      <c r="E4286" s="205" t="s">
        <v>5520</v>
      </c>
      <c r="F4286" s="203" t="s">
        <v>5521</v>
      </c>
      <c r="G4286" s="203" t="s">
        <v>88</v>
      </c>
      <c r="H4286" s="25" t="s">
        <v>5522</v>
      </c>
      <c r="I4286" s="46" t="e">
        <f>VLOOKUP(H4286,'合同高级查询数据-4月返'!A:A,1,FALSE)</f>
        <v>#N/A</v>
      </c>
      <c r="J4286" s="47" t="s">
        <v>3488</v>
      </c>
      <c r="K4286" s="203" t="s">
        <v>5523</v>
      </c>
      <c r="L4286" s="206"/>
      <c r="M4286" s="49" t="s">
        <v>5524</v>
      </c>
      <c r="N4286" s="73">
        <v>44500</v>
      </c>
      <c r="O4286" s="73" t="s">
        <v>503</v>
      </c>
      <c r="P4286" s="396">
        <v>5100</v>
      </c>
      <c r="Q4286" s="212">
        <v>5</v>
      </c>
      <c r="R4286" s="386">
        <f t="shared" si="139"/>
        <v>25500</v>
      </c>
      <c r="S4286" s="279">
        <v>202304</v>
      </c>
      <c r="T4286" s="184" t="s">
        <v>5594</v>
      </c>
      <c r="U4286" s="213"/>
      <c r="V4286" s="210"/>
      <c r="W4286" s="214"/>
      <c r="X4286" s="73">
        <v>43692</v>
      </c>
      <c r="Y4286" s="73">
        <v>45883</v>
      </c>
    </row>
    <row r="4287" s="5" customFormat="1" customHeight="1" spans="1:25">
      <c r="A4287" s="203" t="s">
        <v>448</v>
      </c>
      <c r="B4287" s="204" t="s">
        <v>5519</v>
      </c>
      <c r="C4287" s="204" t="s">
        <v>125</v>
      </c>
      <c r="D4287" s="204" t="s">
        <v>3939</v>
      </c>
      <c r="E4287" s="205" t="s">
        <v>5520</v>
      </c>
      <c r="F4287" s="203" t="s">
        <v>5521</v>
      </c>
      <c r="G4287" s="203" t="s">
        <v>88</v>
      </c>
      <c r="H4287" s="25" t="s">
        <v>5522</v>
      </c>
      <c r="I4287" s="46" t="e">
        <f>VLOOKUP(H4287,'合同高级查询数据-4月返'!A:A,1,FALSE)</f>
        <v>#N/A</v>
      </c>
      <c r="J4287" s="47" t="s">
        <v>3488</v>
      </c>
      <c r="K4287" s="203" t="s">
        <v>5523</v>
      </c>
      <c r="L4287" s="206"/>
      <c r="M4287" s="49" t="s">
        <v>5524</v>
      </c>
      <c r="N4287" s="73">
        <v>44734</v>
      </c>
      <c r="O4287" s="73" t="s">
        <v>566</v>
      </c>
      <c r="P4287" s="396">
        <v>5100</v>
      </c>
      <c r="Q4287" s="212">
        <v>1</v>
      </c>
      <c r="R4287" s="386">
        <f t="shared" si="139"/>
        <v>5100</v>
      </c>
      <c r="S4287" s="279">
        <v>202304</v>
      </c>
      <c r="T4287" s="184" t="s">
        <v>5595</v>
      </c>
      <c r="U4287" s="213"/>
      <c r="V4287" s="210"/>
      <c r="W4287" s="214"/>
      <c r="X4287" s="73">
        <v>43692</v>
      </c>
      <c r="Y4287" s="73">
        <v>45883</v>
      </c>
    </row>
    <row r="4288" s="5" customFormat="1" customHeight="1" spans="1:25">
      <c r="A4288" s="203" t="s">
        <v>448</v>
      </c>
      <c r="B4288" s="204" t="s">
        <v>5519</v>
      </c>
      <c r="C4288" s="204" t="s">
        <v>125</v>
      </c>
      <c r="D4288" s="204" t="s">
        <v>3939</v>
      </c>
      <c r="E4288" s="205" t="s">
        <v>5520</v>
      </c>
      <c r="F4288" s="203" t="s">
        <v>5521</v>
      </c>
      <c r="G4288" s="203" t="s">
        <v>88</v>
      </c>
      <c r="H4288" s="25" t="s">
        <v>5522</v>
      </c>
      <c r="I4288" s="46" t="e">
        <f>VLOOKUP(H4288,'合同高级查询数据-4月返'!A:A,1,FALSE)</f>
        <v>#N/A</v>
      </c>
      <c r="J4288" s="47" t="s">
        <v>3488</v>
      </c>
      <c r="K4288" s="203" t="s">
        <v>5523</v>
      </c>
      <c r="L4288" s="206"/>
      <c r="M4288" s="49" t="s">
        <v>5524</v>
      </c>
      <c r="N4288" s="73">
        <v>44756</v>
      </c>
      <c r="O4288" s="73" t="s">
        <v>503</v>
      </c>
      <c r="P4288" s="396">
        <v>5100</v>
      </c>
      <c r="Q4288" s="212">
        <v>1</v>
      </c>
      <c r="R4288" s="386">
        <f t="shared" si="139"/>
        <v>5100</v>
      </c>
      <c r="S4288" s="279">
        <v>202304</v>
      </c>
      <c r="T4288" s="184" t="s">
        <v>5596</v>
      </c>
      <c r="U4288" s="213"/>
      <c r="V4288" s="210"/>
      <c r="W4288" s="214"/>
      <c r="X4288" s="73">
        <v>43692</v>
      </c>
      <c r="Y4288" s="73">
        <v>45883</v>
      </c>
    </row>
    <row r="4289" s="5" customFormat="1" customHeight="1" spans="1:25">
      <c r="A4289" s="203" t="s">
        <v>448</v>
      </c>
      <c r="B4289" s="204" t="s">
        <v>5519</v>
      </c>
      <c r="C4289" s="204" t="s">
        <v>125</v>
      </c>
      <c r="D4289" s="204" t="s">
        <v>3939</v>
      </c>
      <c r="E4289" s="205" t="s">
        <v>5520</v>
      </c>
      <c r="F4289" s="203" t="s">
        <v>5521</v>
      </c>
      <c r="G4289" s="203" t="s">
        <v>88</v>
      </c>
      <c r="H4289" s="25" t="s">
        <v>5522</v>
      </c>
      <c r="I4289" s="46" t="e">
        <f>VLOOKUP(H4289,'合同高级查询数据-4月返'!A:A,1,FALSE)</f>
        <v>#N/A</v>
      </c>
      <c r="J4289" s="47" t="s">
        <v>3488</v>
      </c>
      <c r="K4289" s="203" t="s">
        <v>5523</v>
      </c>
      <c r="L4289" s="206"/>
      <c r="M4289" s="49" t="s">
        <v>5524</v>
      </c>
      <c r="N4289" s="73">
        <v>44825</v>
      </c>
      <c r="O4289" s="73" t="s">
        <v>566</v>
      </c>
      <c r="P4289" s="396">
        <v>5100</v>
      </c>
      <c r="Q4289" s="212">
        <v>2</v>
      </c>
      <c r="R4289" s="386">
        <f t="shared" si="139"/>
        <v>10200</v>
      </c>
      <c r="S4289" s="279">
        <v>202304</v>
      </c>
      <c r="T4289" s="189" t="s">
        <v>5597</v>
      </c>
      <c r="U4289" s="213"/>
      <c r="V4289" s="210"/>
      <c r="W4289" s="214"/>
      <c r="X4289" s="73">
        <v>43692</v>
      </c>
      <c r="Y4289" s="73">
        <v>45883</v>
      </c>
    </row>
    <row r="4290" s="5" customFormat="1" customHeight="1" spans="1:25">
      <c r="A4290" s="203" t="s">
        <v>448</v>
      </c>
      <c r="B4290" s="204" t="s">
        <v>5519</v>
      </c>
      <c r="C4290" s="204" t="s">
        <v>125</v>
      </c>
      <c r="D4290" s="204" t="s">
        <v>3939</v>
      </c>
      <c r="E4290" s="205" t="s">
        <v>5520</v>
      </c>
      <c r="F4290" s="203" t="s">
        <v>5521</v>
      </c>
      <c r="G4290" s="203" t="s">
        <v>88</v>
      </c>
      <c r="H4290" s="25" t="s">
        <v>5522</v>
      </c>
      <c r="I4290" s="46" t="e">
        <f>VLOOKUP(H4290,'合同高级查询数据-4月返'!A:A,1,FALSE)</f>
        <v>#N/A</v>
      </c>
      <c r="J4290" s="47" t="s">
        <v>3488</v>
      </c>
      <c r="K4290" s="203" t="s">
        <v>5523</v>
      </c>
      <c r="L4290" s="206"/>
      <c r="M4290" s="49" t="s">
        <v>5524</v>
      </c>
      <c r="N4290" s="73">
        <v>44869</v>
      </c>
      <c r="O4290" s="73" t="s">
        <v>503</v>
      </c>
      <c r="P4290" s="396">
        <v>5100</v>
      </c>
      <c r="Q4290" s="212">
        <v>-137</v>
      </c>
      <c r="R4290" s="386">
        <f t="shared" si="139"/>
        <v>-698700</v>
      </c>
      <c r="S4290" s="279">
        <v>202304</v>
      </c>
      <c r="T4290" s="189" t="s">
        <v>5598</v>
      </c>
      <c r="U4290" s="213"/>
      <c r="V4290" s="210"/>
      <c r="W4290" s="214"/>
      <c r="X4290" s="73">
        <v>43692</v>
      </c>
      <c r="Y4290" s="73">
        <v>45883</v>
      </c>
    </row>
    <row r="4291" s="5" customFormat="1" customHeight="1" spans="1:25">
      <c r="A4291" s="203" t="s">
        <v>448</v>
      </c>
      <c r="B4291" s="204" t="s">
        <v>5519</v>
      </c>
      <c r="C4291" s="204" t="s">
        <v>125</v>
      </c>
      <c r="D4291" s="204" t="s">
        <v>3939</v>
      </c>
      <c r="E4291" s="205" t="s">
        <v>5520</v>
      </c>
      <c r="F4291" s="203" t="s">
        <v>5521</v>
      </c>
      <c r="G4291" s="203" t="s">
        <v>88</v>
      </c>
      <c r="H4291" s="25" t="s">
        <v>5522</v>
      </c>
      <c r="I4291" s="46" t="e">
        <f>VLOOKUP(H4291,'合同高级查询数据-4月返'!A:A,1,FALSE)</f>
        <v>#N/A</v>
      </c>
      <c r="J4291" s="47" t="s">
        <v>3488</v>
      </c>
      <c r="K4291" s="203" t="s">
        <v>5523</v>
      </c>
      <c r="L4291" s="206"/>
      <c r="M4291" s="49" t="s">
        <v>5524</v>
      </c>
      <c r="N4291" s="73">
        <v>44869</v>
      </c>
      <c r="O4291" s="73" t="s">
        <v>503</v>
      </c>
      <c r="P4291" s="396">
        <v>5100</v>
      </c>
      <c r="Q4291" s="212">
        <v>-3</v>
      </c>
      <c r="R4291" s="386">
        <f t="shared" si="139"/>
        <v>-15300</v>
      </c>
      <c r="S4291" s="279">
        <v>202304</v>
      </c>
      <c r="T4291" s="189" t="s">
        <v>5599</v>
      </c>
      <c r="U4291" s="213"/>
      <c r="V4291" s="210"/>
      <c r="W4291" s="214"/>
      <c r="X4291" s="73">
        <v>43692</v>
      </c>
      <c r="Y4291" s="73">
        <v>45883</v>
      </c>
    </row>
    <row r="4292" s="5" customFormat="1" customHeight="1" spans="1:25">
      <c r="A4292" s="203" t="s">
        <v>448</v>
      </c>
      <c r="B4292" s="204" t="s">
        <v>5519</v>
      </c>
      <c r="C4292" s="204" t="s">
        <v>125</v>
      </c>
      <c r="D4292" s="204" t="s">
        <v>3939</v>
      </c>
      <c r="E4292" s="205" t="s">
        <v>5520</v>
      </c>
      <c r="F4292" s="203" t="s">
        <v>5521</v>
      </c>
      <c r="G4292" s="203" t="s">
        <v>88</v>
      </c>
      <c r="H4292" s="25" t="s">
        <v>5522</v>
      </c>
      <c r="I4292" s="46" t="e">
        <f>VLOOKUP(H4292,'合同高级查询数据-4月返'!A:A,1,FALSE)</f>
        <v>#N/A</v>
      </c>
      <c r="J4292" s="47" t="s">
        <v>3488</v>
      </c>
      <c r="K4292" s="203" t="s">
        <v>5523</v>
      </c>
      <c r="L4292" s="206"/>
      <c r="M4292" s="49" t="s">
        <v>5524</v>
      </c>
      <c r="N4292" s="73">
        <v>44911</v>
      </c>
      <c r="O4292" s="73" t="s">
        <v>503</v>
      </c>
      <c r="P4292" s="396">
        <v>5100</v>
      </c>
      <c r="Q4292" s="212">
        <v>-3</v>
      </c>
      <c r="R4292" s="114">
        <f t="shared" si="139"/>
        <v>-15300</v>
      </c>
      <c r="S4292" s="279">
        <v>202304</v>
      </c>
      <c r="T4292" s="189" t="s">
        <v>5600</v>
      </c>
      <c r="U4292" s="213"/>
      <c r="V4292" s="210"/>
      <c r="W4292" s="214"/>
      <c r="X4292" s="73">
        <v>43692</v>
      </c>
      <c r="Y4292" s="73">
        <v>45883</v>
      </c>
    </row>
    <row r="4293" s="5" customFormat="1" customHeight="1" spans="1:25">
      <c r="A4293" s="203" t="s">
        <v>448</v>
      </c>
      <c r="B4293" s="204" t="s">
        <v>5519</v>
      </c>
      <c r="C4293" s="204" t="s">
        <v>125</v>
      </c>
      <c r="D4293" s="204" t="s">
        <v>3939</v>
      </c>
      <c r="E4293" s="205" t="s">
        <v>5520</v>
      </c>
      <c r="F4293" s="203" t="s">
        <v>5521</v>
      </c>
      <c r="G4293" s="203" t="s">
        <v>88</v>
      </c>
      <c r="H4293" s="25" t="s">
        <v>5522</v>
      </c>
      <c r="I4293" s="46" t="e">
        <f>VLOOKUP(H4293,'合同高级查询数据-4月返'!A:A,1,FALSE)</f>
        <v>#N/A</v>
      </c>
      <c r="J4293" s="47" t="s">
        <v>3488</v>
      </c>
      <c r="K4293" s="203" t="s">
        <v>5523</v>
      </c>
      <c r="L4293" s="206"/>
      <c r="M4293" s="49" t="s">
        <v>5524</v>
      </c>
      <c r="N4293" s="73">
        <v>45022</v>
      </c>
      <c r="O4293" s="73" t="s">
        <v>503</v>
      </c>
      <c r="P4293" s="396">
        <v>5100</v>
      </c>
      <c r="Q4293" s="212">
        <v>-3</v>
      </c>
      <c r="R4293" s="114">
        <f>ROUND(P4293*Q4293*24/30,2)</f>
        <v>-12240</v>
      </c>
      <c r="S4293" s="279">
        <v>202304</v>
      </c>
      <c r="T4293" s="398" t="s">
        <v>5601</v>
      </c>
      <c r="U4293" s="213"/>
      <c r="V4293" s="210"/>
      <c r="W4293" s="214"/>
      <c r="X4293" s="73">
        <v>43692</v>
      </c>
      <c r="Y4293" s="73">
        <v>45883</v>
      </c>
    </row>
    <row r="4294" s="5" customFormat="1" customHeight="1" spans="1:25">
      <c r="A4294" s="203" t="s">
        <v>448</v>
      </c>
      <c r="B4294" s="204" t="s">
        <v>5519</v>
      </c>
      <c r="C4294" s="204" t="s">
        <v>125</v>
      </c>
      <c r="D4294" s="204" t="s">
        <v>3939</v>
      </c>
      <c r="E4294" s="205" t="s">
        <v>5520</v>
      </c>
      <c r="F4294" s="203" t="s">
        <v>5521</v>
      </c>
      <c r="G4294" s="203" t="s">
        <v>88</v>
      </c>
      <c r="H4294" s="25" t="s">
        <v>5522</v>
      </c>
      <c r="I4294" s="46" t="e">
        <f>VLOOKUP(H4294,'合同高级查询数据-4月返'!A:A,1,FALSE)</f>
        <v>#N/A</v>
      </c>
      <c r="J4294" s="47" t="s">
        <v>357</v>
      </c>
      <c r="K4294" s="203" t="s">
        <v>5523</v>
      </c>
      <c r="L4294" s="206"/>
      <c r="M4294" s="49" t="s">
        <v>5524</v>
      </c>
      <c r="N4294" s="73">
        <v>43837</v>
      </c>
      <c r="O4294" s="73" t="s">
        <v>584</v>
      </c>
      <c r="P4294" s="396">
        <v>300</v>
      </c>
      <c r="Q4294" s="212">
        <v>300</v>
      </c>
      <c r="R4294" s="386">
        <f t="shared" ref="R4294:R4321" si="140">ROUND(P4294*Q4294,2)</f>
        <v>90000</v>
      </c>
      <c r="S4294" s="279">
        <v>202304</v>
      </c>
      <c r="T4294" s="184" t="s">
        <v>5602</v>
      </c>
      <c r="U4294" s="213"/>
      <c r="V4294" s="210"/>
      <c r="W4294" s="214"/>
      <c r="X4294" s="73">
        <v>43692</v>
      </c>
      <c r="Y4294" s="73">
        <v>45883</v>
      </c>
    </row>
    <row r="4295" s="3" customFormat="1" customHeight="1" spans="1:25">
      <c r="A4295" s="292" t="s">
        <v>448</v>
      </c>
      <c r="B4295" s="292" t="s">
        <v>5519</v>
      </c>
      <c r="C4295" s="292" t="s">
        <v>125</v>
      </c>
      <c r="D4295" s="292" t="s">
        <v>3939</v>
      </c>
      <c r="E4295" s="153" t="s">
        <v>5520</v>
      </c>
      <c r="F4295" s="154" t="s">
        <v>5521</v>
      </c>
      <c r="G4295" s="154" t="s">
        <v>78</v>
      </c>
      <c r="H4295" s="110" t="s">
        <v>5603</v>
      </c>
      <c r="I4295" s="30" t="e">
        <f>VLOOKUP(H4295,'合同高级查询数据-4月返'!A:A,1,FALSE)</f>
        <v>#N/A</v>
      </c>
      <c r="J4295" s="31" t="s">
        <v>530</v>
      </c>
      <c r="K4295" s="154" t="s">
        <v>5523</v>
      </c>
      <c r="L4295" s="293"/>
      <c r="M4295" s="113" t="s">
        <v>5524</v>
      </c>
      <c r="N4295" s="146"/>
      <c r="O4295" s="146"/>
      <c r="P4295" s="400">
        <v>1530</v>
      </c>
      <c r="Q4295" s="295">
        <v>292</v>
      </c>
      <c r="R4295" s="390">
        <f>ROUND(P4295*289+P4295*3*24/30,2)</f>
        <v>445842</v>
      </c>
      <c r="S4295" s="277">
        <v>202304</v>
      </c>
      <c r="T4295" s="198" t="s">
        <v>5604</v>
      </c>
      <c r="U4295" s="391"/>
      <c r="V4295" s="61"/>
      <c r="W4295" s="393"/>
      <c r="X4295" s="146"/>
      <c r="Y4295" s="146"/>
    </row>
    <row r="4296" s="5" customFormat="1" customHeight="1" spans="1:25">
      <c r="A4296" s="203" t="s">
        <v>448</v>
      </c>
      <c r="B4296" s="204" t="s">
        <v>5519</v>
      </c>
      <c r="C4296" s="204" t="s">
        <v>125</v>
      </c>
      <c r="D4296" s="204" t="s">
        <v>3939</v>
      </c>
      <c r="E4296" s="205" t="s">
        <v>5520</v>
      </c>
      <c r="F4296" s="203" t="s">
        <v>5521</v>
      </c>
      <c r="G4296" s="203" t="s">
        <v>31</v>
      </c>
      <c r="H4296" s="25" t="s">
        <v>5522</v>
      </c>
      <c r="I4296" s="46" t="e">
        <f>VLOOKUP(H4296,'合同高级查询数据-4月返'!A:A,1,FALSE)</f>
        <v>#N/A</v>
      </c>
      <c r="J4296" s="47" t="s">
        <v>3186</v>
      </c>
      <c r="K4296" s="203" t="s">
        <v>5523</v>
      </c>
      <c r="L4296" s="206"/>
      <c r="M4296" s="49" t="s">
        <v>5524</v>
      </c>
      <c r="N4296" s="73">
        <v>43840</v>
      </c>
      <c r="O4296" s="73" t="s">
        <v>37</v>
      </c>
      <c r="P4296" s="396">
        <v>10</v>
      </c>
      <c r="Q4296" s="212">
        <v>256</v>
      </c>
      <c r="R4296" s="386">
        <f t="shared" si="140"/>
        <v>2560</v>
      </c>
      <c r="S4296" s="279">
        <v>202304</v>
      </c>
      <c r="T4296" s="184" t="s">
        <v>5605</v>
      </c>
      <c r="U4296" s="213"/>
      <c r="V4296" s="210"/>
      <c r="W4296" s="214"/>
      <c r="X4296" s="73">
        <v>43692</v>
      </c>
      <c r="Y4296" s="73">
        <v>45883</v>
      </c>
    </row>
    <row r="4297" s="5" customFormat="1" customHeight="1" spans="1:25">
      <c r="A4297" s="203" t="s">
        <v>448</v>
      </c>
      <c r="B4297" s="204" t="s">
        <v>5519</v>
      </c>
      <c r="C4297" s="204" t="s">
        <v>125</v>
      </c>
      <c r="D4297" s="204" t="s">
        <v>3939</v>
      </c>
      <c r="E4297" s="205" t="s">
        <v>5520</v>
      </c>
      <c r="F4297" s="203" t="s">
        <v>5521</v>
      </c>
      <c r="G4297" s="203" t="s">
        <v>31</v>
      </c>
      <c r="H4297" s="25" t="s">
        <v>5522</v>
      </c>
      <c r="I4297" s="46" t="e">
        <f>VLOOKUP(H4297,'合同高级查询数据-4月返'!A:A,1,FALSE)</f>
        <v>#N/A</v>
      </c>
      <c r="J4297" s="47" t="s">
        <v>3186</v>
      </c>
      <c r="K4297" s="203" t="s">
        <v>5523</v>
      </c>
      <c r="L4297" s="206"/>
      <c r="M4297" s="49" t="s">
        <v>5524</v>
      </c>
      <c r="N4297" s="73">
        <v>44005</v>
      </c>
      <c r="O4297" s="73" t="s">
        <v>37</v>
      </c>
      <c r="P4297" s="396">
        <v>10</v>
      </c>
      <c r="Q4297" s="212">
        <v>512</v>
      </c>
      <c r="R4297" s="386">
        <f t="shared" si="140"/>
        <v>5120</v>
      </c>
      <c r="S4297" s="279">
        <v>202304</v>
      </c>
      <c r="T4297" s="184" t="s">
        <v>5606</v>
      </c>
      <c r="U4297" s="213"/>
      <c r="V4297" s="210"/>
      <c r="W4297" s="214"/>
      <c r="X4297" s="73">
        <v>43692</v>
      </c>
      <c r="Y4297" s="73">
        <v>45883</v>
      </c>
    </row>
    <row r="4298" s="5" customFormat="1" customHeight="1" spans="1:25">
      <c r="A4298" s="203" t="s">
        <v>448</v>
      </c>
      <c r="B4298" s="204" t="s">
        <v>5519</v>
      </c>
      <c r="C4298" s="204" t="s">
        <v>125</v>
      </c>
      <c r="D4298" s="204" t="s">
        <v>3939</v>
      </c>
      <c r="E4298" s="205" t="s">
        <v>5520</v>
      </c>
      <c r="F4298" s="203" t="s">
        <v>5521</v>
      </c>
      <c r="G4298" s="203" t="s">
        <v>31</v>
      </c>
      <c r="H4298" s="25" t="s">
        <v>5522</v>
      </c>
      <c r="I4298" s="46" t="e">
        <f>VLOOKUP(H4298,'合同高级查询数据-4月返'!A:A,1,FALSE)</f>
        <v>#N/A</v>
      </c>
      <c r="J4298" s="47" t="s">
        <v>3186</v>
      </c>
      <c r="K4298" s="203" t="s">
        <v>5523</v>
      </c>
      <c r="L4298" s="206"/>
      <c r="M4298" s="49" t="s">
        <v>5524</v>
      </c>
      <c r="N4298" s="73">
        <v>44230</v>
      </c>
      <c r="O4298" s="73" t="s">
        <v>37</v>
      </c>
      <c r="P4298" s="396">
        <v>10</v>
      </c>
      <c r="Q4298" s="212">
        <v>512</v>
      </c>
      <c r="R4298" s="386">
        <f t="shared" si="140"/>
        <v>5120</v>
      </c>
      <c r="S4298" s="279">
        <v>202304</v>
      </c>
      <c r="T4298" s="184" t="s">
        <v>5607</v>
      </c>
      <c r="U4298" s="213"/>
      <c r="V4298" s="210"/>
      <c r="W4298" s="214"/>
      <c r="X4298" s="73">
        <v>43692</v>
      </c>
      <c r="Y4298" s="73">
        <v>45883</v>
      </c>
    </row>
    <row r="4299" s="5" customFormat="1" customHeight="1" spans="1:25">
      <c r="A4299" s="203" t="s">
        <v>448</v>
      </c>
      <c r="B4299" s="204" t="s">
        <v>5519</v>
      </c>
      <c r="C4299" s="204" t="s">
        <v>125</v>
      </c>
      <c r="D4299" s="204" t="s">
        <v>3939</v>
      </c>
      <c r="E4299" s="205" t="s">
        <v>5608</v>
      </c>
      <c r="F4299" s="203" t="s">
        <v>5609</v>
      </c>
      <c r="G4299" s="203" t="s">
        <v>346</v>
      </c>
      <c r="H4299" s="25" t="s">
        <v>5610</v>
      </c>
      <c r="I4299" s="46" t="e">
        <f>VLOOKUP(H4299,'合同高级查询数据-4月返'!A:A,1,FALSE)</f>
        <v>#N/A</v>
      </c>
      <c r="J4299" s="47" t="s">
        <v>346</v>
      </c>
      <c r="K4299" s="203" t="s">
        <v>5611</v>
      </c>
      <c r="L4299" s="206"/>
      <c r="M4299" s="49"/>
      <c r="N4299" s="73">
        <v>43749</v>
      </c>
      <c r="O4299" s="73" t="s">
        <v>1470</v>
      </c>
      <c r="P4299" s="396">
        <v>225000</v>
      </c>
      <c r="Q4299" s="212">
        <v>1</v>
      </c>
      <c r="R4299" s="386">
        <f t="shared" si="140"/>
        <v>225000</v>
      </c>
      <c r="S4299" s="279">
        <v>202304</v>
      </c>
      <c r="T4299" s="184" t="s">
        <v>5612</v>
      </c>
      <c r="U4299" s="213"/>
      <c r="V4299" s="210"/>
      <c r="W4299" s="214"/>
      <c r="X4299" s="73">
        <v>43770</v>
      </c>
      <c r="Y4299" s="73">
        <v>45230</v>
      </c>
    </row>
    <row r="4300" s="5" customFormat="1" customHeight="1" spans="1:25">
      <c r="A4300" s="203" t="s">
        <v>448</v>
      </c>
      <c r="B4300" s="204" t="s">
        <v>5519</v>
      </c>
      <c r="C4300" s="204" t="s">
        <v>125</v>
      </c>
      <c r="D4300" s="204" t="s">
        <v>3939</v>
      </c>
      <c r="E4300" s="205" t="s">
        <v>5608</v>
      </c>
      <c r="F4300" s="203" t="s">
        <v>5609</v>
      </c>
      <c r="G4300" s="203" t="s">
        <v>346</v>
      </c>
      <c r="H4300" s="25" t="s">
        <v>5610</v>
      </c>
      <c r="I4300" s="46" t="e">
        <f>VLOOKUP(H4300,'合同高级查询数据-4月返'!A:A,1,FALSE)</f>
        <v>#N/A</v>
      </c>
      <c r="J4300" s="47" t="s">
        <v>346</v>
      </c>
      <c r="K4300" s="203" t="s">
        <v>5611</v>
      </c>
      <c r="L4300" s="206"/>
      <c r="M4300" s="49"/>
      <c r="N4300" s="73">
        <v>43802</v>
      </c>
      <c r="O4300" s="73" t="s">
        <v>1470</v>
      </c>
      <c r="P4300" s="396">
        <v>225000</v>
      </c>
      <c r="Q4300" s="212">
        <v>1</v>
      </c>
      <c r="R4300" s="386">
        <f t="shared" si="140"/>
        <v>225000</v>
      </c>
      <c r="S4300" s="279">
        <v>202304</v>
      </c>
      <c r="T4300" s="184" t="s">
        <v>5612</v>
      </c>
      <c r="U4300" s="213"/>
      <c r="V4300" s="210"/>
      <c r="W4300" s="214"/>
      <c r="X4300" s="73">
        <v>43770</v>
      </c>
      <c r="Y4300" s="73">
        <v>45230</v>
      </c>
    </row>
    <row r="4301" s="3" customFormat="1" customHeight="1" spans="1:25">
      <c r="A4301" s="154" t="s">
        <v>448</v>
      </c>
      <c r="B4301" s="292" t="s">
        <v>5519</v>
      </c>
      <c r="C4301" s="292" t="s">
        <v>125</v>
      </c>
      <c r="D4301" s="292" t="s">
        <v>3939</v>
      </c>
      <c r="E4301" s="153" t="s">
        <v>5613</v>
      </c>
      <c r="F4301" s="154" t="s">
        <v>5614</v>
      </c>
      <c r="G4301" s="154" t="s">
        <v>346</v>
      </c>
      <c r="H4301" s="110" t="s">
        <v>5615</v>
      </c>
      <c r="I4301" s="30" t="e">
        <f>VLOOKUP(H4301,'合同高级查询数据-4月返'!A:A,1,FALSE)</f>
        <v>#N/A</v>
      </c>
      <c r="J4301" s="31" t="s">
        <v>346</v>
      </c>
      <c r="K4301" s="154" t="s">
        <v>5616</v>
      </c>
      <c r="L4301" s="293"/>
      <c r="M4301" s="113"/>
      <c r="N4301" s="146">
        <v>44064</v>
      </c>
      <c r="O4301" s="146" t="s">
        <v>486</v>
      </c>
      <c r="P4301" s="400">
        <v>5800</v>
      </c>
      <c r="Q4301" s="295">
        <v>1</v>
      </c>
      <c r="R4301" s="390">
        <f t="shared" si="140"/>
        <v>5800</v>
      </c>
      <c r="S4301" s="277">
        <v>202304</v>
      </c>
      <c r="T4301" s="198" t="s">
        <v>5617</v>
      </c>
      <c r="U4301" s="391"/>
      <c r="V4301" s="61"/>
      <c r="W4301" s="393"/>
      <c r="X4301" s="146"/>
      <c r="Y4301" s="146"/>
    </row>
    <row r="4302" s="3" customFormat="1" customHeight="1" spans="1:25">
      <c r="A4302" s="154" t="s">
        <v>448</v>
      </c>
      <c r="B4302" s="292" t="s">
        <v>5519</v>
      </c>
      <c r="C4302" s="292" t="s">
        <v>125</v>
      </c>
      <c r="D4302" s="292" t="s">
        <v>3939</v>
      </c>
      <c r="E4302" s="153" t="s">
        <v>5613</v>
      </c>
      <c r="F4302" s="154" t="s">
        <v>5614</v>
      </c>
      <c r="G4302" s="154" t="s">
        <v>346</v>
      </c>
      <c r="H4302" s="110" t="s">
        <v>5615</v>
      </c>
      <c r="I4302" s="30" t="e">
        <f>VLOOKUP(H4302,'合同高级查询数据-4月返'!A:A,1,FALSE)</f>
        <v>#N/A</v>
      </c>
      <c r="J4302" s="31" t="s">
        <v>346</v>
      </c>
      <c r="K4302" s="154" t="s">
        <v>5618</v>
      </c>
      <c r="L4302" s="293"/>
      <c r="M4302" s="113"/>
      <c r="N4302" s="146">
        <v>44098</v>
      </c>
      <c r="O4302" s="146" t="s">
        <v>486</v>
      </c>
      <c r="P4302" s="400">
        <v>5800</v>
      </c>
      <c r="Q4302" s="295">
        <v>1</v>
      </c>
      <c r="R4302" s="390">
        <f t="shared" si="140"/>
        <v>5800</v>
      </c>
      <c r="S4302" s="277">
        <v>202304</v>
      </c>
      <c r="T4302" s="198" t="s">
        <v>5619</v>
      </c>
      <c r="U4302" s="391"/>
      <c r="V4302" s="61"/>
      <c r="W4302" s="393"/>
      <c r="X4302" s="146"/>
      <c r="Y4302" s="146"/>
    </row>
    <row r="4303" s="3" customFormat="1" customHeight="1" spans="1:25">
      <c r="A4303" s="154" t="s">
        <v>448</v>
      </c>
      <c r="B4303" s="292" t="s">
        <v>5519</v>
      </c>
      <c r="C4303" s="292" t="s">
        <v>125</v>
      </c>
      <c r="D4303" s="292" t="s">
        <v>3939</v>
      </c>
      <c r="E4303" s="153" t="s">
        <v>5613</v>
      </c>
      <c r="F4303" s="154" t="s">
        <v>5614</v>
      </c>
      <c r="G4303" s="154" t="s">
        <v>346</v>
      </c>
      <c r="H4303" s="110" t="s">
        <v>5615</v>
      </c>
      <c r="I4303" s="30" t="e">
        <f>VLOOKUP(H4303,'合同高级查询数据-4月返'!A:A,1,FALSE)</f>
        <v>#N/A</v>
      </c>
      <c r="J4303" s="31" t="s">
        <v>346</v>
      </c>
      <c r="K4303" s="154" t="s">
        <v>5620</v>
      </c>
      <c r="L4303" s="293"/>
      <c r="M4303" s="113"/>
      <c r="N4303" s="146">
        <v>44176</v>
      </c>
      <c r="O4303" s="146" t="s">
        <v>486</v>
      </c>
      <c r="P4303" s="400">
        <v>5800</v>
      </c>
      <c r="Q4303" s="295">
        <v>1</v>
      </c>
      <c r="R4303" s="390">
        <f t="shared" si="140"/>
        <v>5800</v>
      </c>
      <c r="S4303" s="277">
        <v>202304</v>
      </c>
      <c r="T4303" s="198" t="s">
        <v>5621</v>
      </c>
      <c r="U4303" s="391"/>
      <c r="V4303" s="61"/>
      <c r="W4303" s="393"/>
      <c r="X4303" s="146"/>
      <c r="Y4303" s="146"/>
    </row>
    <row r="4304" s="5" customFormat="1" customHeight="1" spans="1:25">
      <c r="A4304" s="203" t="s">
        <v>448</v>
      </c>
      <c r="B4304" s="204" t="s">
        <v>5519</v>
      </c>
      <c r="C4304" s="204" t="s">
        <v>125</v>
      </c>
      <c r="D4304" s="204" t="s">
        <v>3939</v>
      </c>
      <c r="E4304" s="205" t="s">
        <v>5622</v>
      </c>
      <c r="F4304" s="203" t="s">
        <v>5521</v>
      </c>
      <c r="G4304" s="203" t="s">
        <v>88</v>
      </c>
      <c r="H4304" s="25" t="s">
        <v>5623</v>
      </c>
      <c r="I4304" s="46" t="e">
        <f>VLOOKUP(H4304,'合同高级查询数据-4月返'!A:A,1,FALSE)</f>
        <v>#N/A</v>
      </c>
      <c r="J4304" s="47" t="s">
        <v>2423</v>
      </c>
      <c r="K4304" s="203" t="s">
        <v>5624</v>
      </c>
      <c r="L4304" s="206" t="s">
        <v>5625</v>
      </c>
      <c r="M4304" s="49" t="s">
        <v>5626</v>
      </c>
      <c r="N4304" s="73">
        <v>40330</v>
      </c>
      <c r="O4304" s="73" t="s">
        <v>163</v>
      </c>
      <c r="P4304" s="396">
        <v>4166.67</v>
      </c>
      <c r="Q4304" s="212">
        <v>4</v>
      </c>
      <c r="R4304" s="386">
        <f t="shared" si="140"/>
        <v>16666.68</v>
      </c>
      <c r="S4304" s="279">
        <v>202304</v>
      </c>
      <c r="T4304" s="184"/>
      <c r="U4304" s="213"/>
      <c r="V4304" s="210"/>
      <c r="W4304" s="214"/>
      <c r="X4304" s="73">
        <v>44774</v>
      </c>
      <c r="Y4304" s="73">
        <v>45138</v>
      </c>
    </row>
    <row r="4305" s="5" customFormat="1" customHeight="1" spans="1:25">
      <c r="A4305" s="203" t="s">
        <v>448</v>
      </c>
      <c r="B4305" s="204" t="s">
        <v>5519</v>
      </c>
      <c r="C4305" s="204" t="s">
        <v>125</v>
      </c>
      <c r="D4305" s="204" t="s">
        <v>3939</v>
      </c>
      <c r="E4305" s="205" t="s">
        <v>5622</v>
      </c>
      <c r="F4305" s="203" t="s">
        <v>5521</v>
      </c>
      <c r="G4305" s="203" t="s">
        <v>88</v>
      </c>
      <c r="H4305" s="25" t="s">
        <v>5623</v>
      </c>
      <c r="I4305" s="46" t="e">
        <f>VLOOKUP(H4305,'合同高级查询数据-4月返'!A:A,1,FALSE)</f>
        <v>#N/A</v>
      </c>
      <c r="J4305" s="47" t="s">
        <v>2423</v>
      </c>
      <c r="K4305" s="203" t="s">
        <v>5624</v>
      </c>
      <c r="L4305" s="206" t="s">
        <v>5625</v>
      </c>
      <c r="M4305" s="49" t="s">
        <v>5626</v>
      </c>
      <c r="N4305" s="73">
        <v>43738</v>
      </c>
      <c r="O4305" s="73" t="s">
        <v>163</v>
      </c>
      <c r="P4305" s="396">
        <v>4166.67</v>
      </c>
      <c r="Q4305" s="212">
        <v>-1</v>
      </c>
      <c r="R4305" s="386">
        <f t="shared" si="140"/>
        <v>-4166.67</v>
      </c>
      <c r="S4305" s="279">
        <v>202304</v>
      </c>
      <c r="T4305" s="184" t="s">
        <v>5627</v>
      </c>
      <c r="U4305" s="213"/>
      <c r="V4305" s="210"/>
      <c r="W4305" s="214"/>
      <c r="X4305" s="73">
        <v>44774</v>
      </c>
      <c r="Y4305" s="73">
        <v>45138</v>
      </c>
    </row>
    <row r="4306" s="5" customFormat="1" customHeight="1" spans="1:25">
      <c r="A4306" s="203" t="s">
        <v>448</v>
      </c>
      <c r="B4306" s="204" t="s">
        <v>5519</v>
      </c>
      <c r="C4306" s="204" t="s">
        <v>125</v>
      </c>
      <c r="D4306" s="204" t="s">
        <v>3939</v>
      </c>
      <c r="E4306" s="205" t="s">
        <v>5622</v>
      </c>
      <c r="F4306" s="203" t="s">
        <v>5521</v>
      </c>
      <c r="G4306" s="203" t="s">
        <v>88</v>
      </c>
      <c r="H4306" s="25" t="s">
        <v>5623</v>
      </c>
      <c r="I4306" s="46" t="e">
        <f>VLOOKUP(H4306,'合同高级查询数据-4月返'!A:A,1,FALSE)</f>
        <v>#N/A</v>
      </c>
      <c r="J4306" s="47" t="s">
        <v>2423</v>
      </c>
      <c r="K4306" s="203" t="s">
        <v>5628</v>
      </c>
      <c r="L4306" s="206" t="s">
        <v>5629</v>
      </c>
      <c r="M4306" s="49" t="s">
        <v>5630</v>
      </c>
      <c r="N4306" s="73">
        <v>43271</v>
      </c>
      <c r="O4306" s="73" t="s">
        <v>503</v>
      </c>
      <c r="P4306" s="396">
        <v>5000</v>
      </c>
      <c r="Q4306" s="212">
        <v>4</v>
      </c>
      <c r="R4306" s="386">
        <f t="shared" si="140"/>
        <v>20000</v>
      </c>
      <c r="S4306" s="279">
        <v>202304</v>
      </c>
      <c r="T4306" s="184"/>
      <c r="U4306" s="213"/>
      <c r="V4306" s="210"/>
      <c r="W4306" s="214"/>
      <c r="X4306" s="73">
        <v>44774</v>
      </c>
      <c r="Y4306" s="73">
        <v>45138</v>
      </c>
    </row>
    <row r="4307" s="5" customFormat="1" customHeight="1" spans="1:25">
      <c r="A4307" s="203" t="s">
        <v>448</v>
      </c>
      <c r="B4307" s="204" t="s">
        <v>5519</v>
      </c>
      <c r="C4307" s="204" t="s">
        <v>125</v>
      </c>
      <c r="D4307" s="204" t="s">
        <v>3939</v>
      </c>
      <c r="E4307" s="205" t="s">
        <v>5622</v>
      </c>
      <c r="F4307" s="203" t="s">
        <v>5521</v>
      </c>
      <c r="G4307" s="203" t="s">
        <v>88</v>
      </c>
      <c r="H4307" s="25" t="s">
        <v>5623</v>
      </c>
      <c r="I4307" s="46" t="e">
        <f>VLOOKUP(H4307,'合同高级查询数据-4月返'!A:A,1,FALSE)</f>
        <v>#N/A</v>
      </c>
      <c r="J4307" s="47" t="s">
        <v>1287</v>
      </c>
      <c r="K4307" s="203" t="s">
        <v>5624</v>
      </c>
      <c r="L4307" s="206"/>
      <c r="M4307" s="49" t="s">
        <v>5626</v>
      </c>
      <c r="N4307" s="73">
        <v>41907</v>
      </c>
      <c r="O4307" s="73" t="s">
        <v>163</v>
      </c>
      <c r="P4307" s="396">
        <v>4166.67</v>
      </c>
      <c r="Q4307" s="212">
        <v>6</v>
      </c>
      <c r="R4307" s="386">
        <f t="shared" si="140"/>
        <v>25000.02</v>
      </c>
      <c r="S4307" s="279">
        <v>202304</v>
      </c>
      <c r="T4307" s="189" t="s">
        <v>5631</v>
      </c>
      <c r="U4307" s="213"/>
      <c r="V4307" s="210"/>
      <c r="W4307" s="214"/>
      <c r="X4307" s="73">
        <v>44774</v>
      </c>
      <c r="Y4307" s="73">
        <v>45138</v>
      </c>
    </row>
    <row r="4308" s="5" customFormat="1" customHeight="1" spans="1:25">
      <c r="A4308" s="203" t="s">
        <v>448</v>
      </c>
      <c r="B4308" s="204" t="s">
        <v>5519</v>
      </c>
      <c r="C4308" s="204" t="s">
        <v>125</v>
      </c>
      <c r="D4308" s="204" t="s">
        <v>3939</v>
      </c>
      <c r="E4308" s="205" t="s">
        <v>5622</v>
      </c>
      <c r="F4308" s="203" t="s">
        <v>5521</v>
      </c>
      <c r="G4308" s="203" t="s">
        <v>88</v>
      </c>
      <c r="H4308" s="25" t="s">
        <v>5623</v>
      </c>
      <c r="I4308" s="46" t="e">
        <f>VLOOKUP(H4308,'合同高级查询数据-4月返'!A:A,1,FALSE)</f>
        <v>#N/A</v>
      </c>
      <c r="J4308" s="47" t="s">
        <v>1287</v>
      </c>
      <c r="K4308" s="203" t="s">
        <v>5624</v>
      </c>
      <c r="L4308" s="206"/>
      <c r="M4308" s="49" t="s">
        <v>5626</v>
      </c>
      <c r="N4308" s="73">
        <v>45031</v>
      </c>
      <c r="O4308" s="73" t="s">
        <v>163</v>
      </c>
      <c r="P4308" s="396">
        <v>4166.67</v>
      </c>
      <c r="Q4308" s="212">
        <v>-2</v>
      </c>
      <c r="R4308" s="386">
        <f>ROUND(P4308*Q4308*15/30,2)</f>
        <v>-4166.67</v>
      </c>
      <c r="S4308" s="279">
        <v>202304</v>
      </c>
      <c r="T4308" s="398" t="s">
        <v>5632</v>
      </c>
      <c r="U4308" s="213"/>
      <c r="V4308" s="210"/>
      <c r="W4308" s="214"/>
      <c r="X4308" s="73">
        <v>44774</v>
      </c>
      <c r="Y4308" s="73">
        <v>45138</v>
      </c>
    </row>
    <row r="4309" s="5" customFormat="1" customHeight="1" spans="1:25">
      <c r="A4309" s="203" t="s">
        <v>448</v>
      </c>
      <c r="B4309" s="204" t="s">
        <v>5519</v>
      </c>
      <c r="C4309" s="204" t="s">
        <v>125</v>
      </c>
      <c r="D4309" s="204" t="s">
        <v>3939</v>
      </c>
      <c r="E4309" s="205" t="s">
        <v>5622</v>
      </c>
      <c r="F4309" s="203" t="s">
        <v>5521</v>
      </c>
      <c r="G4309" s="203" t="s">
        <v>88</v>
      </c>
      <c r="H4309" s="25" t="s">
        <v>5623</v>
      </c>
      <c r="I4309" s="46" t="e">
        <f>VLOOKUP(H4309,'合同高级查询数据-4月返'!A:A,1,FALSE)</f>
        <v>#N/A</v>
      </c>
      <c r="J4309" s="47" t="s">
        <v>162</v>
      </c>
      <c r="K4309" s="203" t="s">
        <v>5624</v>
      </c>
      <c r="L4309" s="206" t="s">
        <v>5625</v>
      </c>
      <c r="M4309" s="49" t="s">
        <v>5626</v>
      </c>
      <c r="N4309" s="73">
        <v>43483</v>
      </c>
      <c r="O4309" s="73" t="s">
        <v>163</v>
      </c>
      <c r="P4309" s="396">
        <v>4166.67</v>
      </c>
      <c r="Q4309" s="212">
        <v>5</v>
      </c>
      <c r="R4309" s="386">
        <f t="shared" si="140"/>
        <v>20833.35</v>
      </c>
      <c r="S4309" s="279">
        <v>202304</v>
      </c>
      <c r="T4309" s="184" t="s">
        <v>5633</v>
      </c>
      <c r="U4309" s="213"/>
      <c r="V4309" s="210"/>
      <c r="W4309" s="214"/>
      <c r="X4309" s="73">
        <v>44774</v>
      </c>
      <c r="Y4309" s="73">
        <v>45138</v>
      </c>
    </row>
    <row r="4310" s="5" customFormat="1" customHeight="1" spans="1:25">
      <c r="A4310" s="203" t="s">
        <v>448</v>
      </c>
      <c r="B4310" s="204" t="s">
        <v>5519</v>
      </c>
      <c r="C4310" s="204" t="s">
        <v>125</v>
      </c>
      <c r="D4310" s="204" t="s">
        <v>3939</v>
      </c>
      <c r="E4310" s="205" t="s">
        <v>5622</v>
      </c>
      <c r="F4310" s="203" t="s">
        <v>5521</v>
      </c>
      <c r="G4310" s="203" t="s">
        <v>88</v>
      </c>
      <c r="H4310" s="25" t="s">
        <v>5623</v>
      </c>
      <c r="I4310" s="46" t="e">
        <f>VLOOKUP(H4310,'合同高级查询数据-4月返'!A:A,1,FALSE)</f>
        <v>#N/A</v>
      </c>
      <c r="J4310" s="47" t="s">
        <v>162</v>
      </c>
      <c r="K4310" s="203" t="s">
        <v>5624</v>
      </c>
      <c r="L4310" s="206" t="s">
        <v>5625</v>
      </c>
      <c r="M4310" s="49" t="s">
        <v>5626</v>
      </c>
      <c r="N4310" s="73">
        <v>43738</v>
      </c>
      <c r="O4310" s="73" t="s">
        <v>163</v>
      </c>
      <c r="P4310" s="396">
        <v>4166.67</v>
      </c>
      <c r="Q4310" s="212">
        <v>-5</v>
      </c>
      <c r="R4310" s="386">
        <f t="shared" si="140"/>
        <v>-20833.35</v>
      </c>
      <c r="S4310" s="279">
        <v>202304</v>
      </c>
      <c r="T4310" s="184" t="s">
        <v>5634</v>
      </c>
      <c r="U4310" s="213"/>
      <c r="V4310" s="210"/>
      <c r="W4310" s="214"/>
      <c r="X4310" s="73">
        <v>44774</v>
      </c>
      <c r="Y4310" s="73">
        <v>45138</v>
      </c>
    </row>
    <row r="4311" s="5" customFormat="1" customHeight="1" spans="1:25">
      <c r="A4311" s="203" t="s">
        <v>448</v>
      </c>
      <c r="B4311" s="204" t="s">
        <v>5519</v>
      </c>
      <c r="C4311" s="204" t="s">
        <v>125</v>
      </c>
      <c r="D4311" s="204" t="s">
        <v>3939</v>
      </c>
      <c r="E4311" s="205" t="s">
        <v>5622</v>
      </c>
      <c r="F4311" s="203" t="s">
        <v>5521</v>
      </c>
      <c r="G4311" s="203" t="s">
        <v>88</v>
      </c>
      <c r="H4311" s="25" t="s">
        <v>5623</v>
      </c>
      <c r="I4311" s="46" t="e">
        <f>VLOOKUP(H4311,'合同高级查询数据-4月返'!A:A,1,FALSE)</f>
        <v>#N/A</v>
      </c>
      <c r="J4311" s="47" t="s">
        <v>2423</v>
      </c>
      <c r="K4311" s="203" t="s">
        <v>5628</v>
      </c>
      <c r="L4311" s="206" t="s">
        <v>5629</v>
      </c>
      <c r="M4311" s="49" t="s">
        <v>5630</v>
      </c>
      <c r="N4311" s="73">
        <v>43648</v>
      </c>
      <c r="O4311" s="73" t="s">
        <v>503</v>
      </c>
      <c r="P4311" s="396">
        <v>5000</v>
      </c>
      <c r="Q4311" s="212">
        <v>4</v>
      </c>
      <c r="R4311" s="386">
        <f t="shared" si="140"/>
        <v>20000</v>
      </c>
      <c r="S4311" s="279">
        <v>202304</v>
      </c>
      <c r="T4311" s="184" t="s">
        <v>5635</v>
      </c>
      <c r="U4311" s="213"/>
      <c r="V4311" s="210"/>
      <c r="W4311" s="214"/>
      <c r="X4311" s="73">
        <v>44774</v>
      </c>
      <c r="Y4311" s="73">
        <v>45138</v>
      </c>
    </row>
    <row r="4312" s="5" customFormat="1" customHeight="1" spans="1:25">
      <c r="A4312" s="203" t="s">
        <v>448</v>
      </c>
      <c r="B4312" s="204" t="s">
        <v>5519</v>
      </c>
      <c r="C4312" s="204" t="s">
        <v>125</v>
      </c>
      <c r="D4312" s="204" t="s">
        <v>3939</v>
      </c>
      <c r="E4312" s="205" t="s">
        <v>5622</v>
      </c>
      <c r="F4312" s="203" t="s">
        <v>5521</v>
      </c>
      <c r="G4312" s="203" t="s">
        <v>88</v>
      </c>
      <c r="H4312" s="25" t="s">
        <v>5623</v>
      </c>
      <c r="I4312" s="46" t="e">
        <f>VLOOKUP(H4312,'合同高级查询数据-4月返'!A:A,1,FALSE)</f>
        <v>#N/A</v>
      </c>
      <c r="J4312" s="47" t="s">
        <v>2423</v>
      </c>
      <c r="K4312" s="203" t="s">
        <v>5624</v>
      </c>
      <c r="L4312" s="206" t="s">
        <v>5625</v>
      </c>
      <c r="M4312" s="49" t="s">
        <v>5626</v>
      </c>
      <c r="N4312" s="73">
        <v>40330</v>
      </c>
      <c r="O4312" s="73" t="s">
        <v>163</v>
      </c>
      <c r="P4312" s="396">
        <v>4166.67</v>
      </c>
      <c r="Q4312" s="212">
        <v>10</v>
      </c>
      <c r="R4312" s="386">
        <f t="shared" si="140"/>
        <v>41666.7</v>
      </c>
      <c r="S4312" s="279">
        <v>202304</v>
      </c>
      <c r="T4312" s="184" t="s">
        <v>5636</v>
      </c>
      <c r="U4312" s="213"/>
      <c r="V4312" s="210"/>
      <c r="W4312" s="214"/>
      <c r="X4312" s="73">
        <v>44774</v>
      </c>
      <c r="Y4312" s="73">
        <v>45138</v>
      </c>
    </row>
    <row r="4313" s="5" customFormat="1" customHeight="1" spans="1:25">
      <c r="A4313" s="203" t="s">
        <v>448</v>
      </c>
      <c r="B4313" s="204" t="s">
        <v>5519</v>
      </c>
      <c r="C4313" s="204" t="s">
        <v>125</v>
      </c>
      <c r="D4313" s="204" t="s">
        <v>3939</v>
      </c>
      <c r="E4313" s="205" t="s">
        <v>5622</v>
      </c>
      <c r="F4313" s="203" t="s">
        <v>5521</v>
      </c>
      <c r="G4313" s="203" t="s">
        <v>88</v>
      </c>
      <c r="H4313" s="25" t="s">
        <v>5623</v>
      </c>
      <c r="I4313" s="46" t="e">
        <f>VLOOKUP(H4313,'合同高级查询数据-4月返'!A:A,1,FALSE)</f>
        <v>#N/A</v>
      </c>
      <c r="J4313" s="47" t="s">
        <v>2423</v>
      </c>
      <c r="K4313" s="203" t="s">
        <v>5624</v>
      </c>
      <c r="L4313" s="206" t="s">
        <v>5625</v>
      </c>
      <c r="M4313" s="49" t="s">
        <v>5626</v>
      </c>
      <c r="N4313" s="73">
        <v>43769</v>
      </c>
      <c r="O4313" s="73" t="s">
        <v>163</v>
      </c>
      <c r="P4313" s="396">
        <v>4166.67</v>
      </c>
      <c r="Q4313" s="212">
        <v>2</v>
      </c>
      <c r="R4313" s="386">
        <f t="shared" si="140"/>
        <v>8333.34</v>
      </c>
      <c r="S4313" s="279">
        <v>202304</v>
      </c>
      <c r="T4313" s="184" t="s">
        <v>5637</v>
      </c>
      <c r="U4313" s="213"/>
      <c r="V4313" s="210"/>
      <c r="W4313" s="214"/>
      <c r="X4313" s="73">
        <v>44774</v>
      </c>
      <c r="Y4313" s="73">
        <v>45138</v>
      </c>
    </row>
    <row r="4314" s="5" customFormat="1" customHeight="1" spans="1:25">
      <c r="A4314" s="203" t="s">
        <v>448</v>
      </c>
      <c r="B4314" s="204" t="s">
        <v>5519</v>
      </c>
      <c r="C4314" s="204" t="s">
        <v>125</v>
      </c>
      <c r="D4314" s="204" t="s">
        <v>3939</v>
      </c>
      <c r="E4314" s="205" t="s">
        <v>5622</v>
      </c>
      <c r="F4314" s="203" t="s">
        <v>5638</v>
      </c>
      <c r="G4314" s="203" t="s">
        <v>88</v>
      </c>
      <c r="H4314" s="25" t="s">
        <v>5623</v>
      </c>
      <c r="I4314" s="46" t="e">
        <f>VLOOKUP(H4314,'合同高级查询数据-4月返'!A:A,1,FALSE)</f>
        <v>#N/A</v>
      </c>
      <c r="J4314" s="47" t="s">
        <v>2423</v>
      </c>
      <c r="K4314" s="203" t="s">
        <v>5628</v>
      </c>
      <c r="L4314" s="206" t="s">
        <v>5639</v>
      </c>
      <c r="M4314" s="49" t="s">
        <v>5630</v>
      </c>
      <c r="N4314" s="73">
        <v>42970</v>
      </c>
      <c r="O4314" s="73" t="s">
        <v>503</v>
      </c>
      <c r="P4314" s="396">
        <v>5000</v>
      </c>
      <c r="Q4314" s="212">
        <v>4</v>
      </c>
      <c r="R4314" s="386">
        <f t="shared" si="140"/>
        <v>20000</v>
      </c>
      <c r="S4314" s="279">
        <v>202304</v>
      </c>
      <c r="T4314" s="184" t="s">
        <v>5640</v>
      </c>
      <c r="U4314" s="213"/>
      <c r="V4314" s="210"/>
      <c r="W4314" s="214"/>
      <c r="X4314" s="73">
        <v>44774</v>
      </c>
      <c r="Y4314" s="73">
        <v>45138</v>
      </c>
    </row>
    <row r="4315" s="5" customFormat="1" customHeight="1" spans="1:25">
      <c r="A4315" s="203" t="s">
        <v>448</v>
      </c>
      <c r="B4315" s="204" t="s">
        <v>5519</v>
      </c>
      <c r="C4315" s="204" t="s">
        <v>125</v>
      </c>
      <c r="D4315" s="204" t="s">
        <v>3939</v>
      </c>
      <c r="E4315" s="205" t="s">
        <v>5622</v>
      </c>
      <c r="F4315" s="203" t="s">
        <v>5638</v>
      </c>
      <c r="G4315" s="203" t="s">
        <v>88</v>
      </c>
      <c r="H4315" s="25" t="s">
        <v>5623</v>
      </c>
      <c r="I4315" s="46" t="e">
        <f>VLOOKUP(H4315,'合同高级查询数据-4月返'!A:A,1,FALSE)</f>
        <v>#N/A</v>
      </c>
      <c r="J4315" s="47" t="s">
        <v>2423</v>
      </c>
      <c r="K4315" s="203" t="s">
        <v>5628</v>
      </c>
      <c r="L4315" s="206" t="s">
        <v>5639</v>
      </c>
      <c r="M4315" s="49" t="s">
        <v>5630</v>
      </c>
      <c r="N4315" s="73">
        <v>42989</v>
      </c>
      <c r="O4315" s="73" t="s">
        <v>503</v>
      </c>
      <c r="P4315" s="396">
        <v>5000</v>
      </c>
      <c r="Q4315" s="212">
        <v>3</v>
      </c>
      <c r="R4315" s="386">
        <f t="shared" si="140"/>
        <v>15000</v>
      </c>
      <c r="S4315" s="279">
        <v>202304</v>
      </c>
      <c r="T4315" s="184" t="s">
        <v>5641</v>
      </c>
      <c r="U4315" s="213"/>
      <c r="V4315" s="210"/>
      <c r="W4315" s="214"/>
      <c r="X4315" s="73">
        <v>44774</v>
      </c>
      <c r="Y4315" s="73">
        <v>45138</v>
      </c>
    </row>
    <row r="4316" s="5" customFormat="1" customHeight="1" spans="1:25">
      <c r="A4316" s="203" t="s">
        <v>448</v>
      </c>
      <c r="B4316" s="204" t="s">
        <v>5519</v>
      </c>
      <c r="C4316" s="204" t="s">
        <v>125</v>
      </c>
      <c r="D4316" s="204" t="s">
        <v>3939</v>
      </c>
      <c r="E4316" s="205" t="s">
        <v>5622</v>
      </c>
      <c r="F4316" s="203" t="s">
        <v>5638</v>
      </c>
      <c r="G4316" s="203" t="s">
        <v>88</v>
      </c>
      <c r="H4316" s="25" t="s">
        <v>5623</v>
      </c>
      <c r="I4316" s="46" t="e">
        <f>VLOOKUP(H4316,'合同高级查询数据-4月返'!A:A,1,FALSE)</f>
        <v>#N/A</v>
      </c>
      <c r="J4316" s="47" t="s">
        <v>2423</v>
      </c>
      <c r="K4316" s="203" t="s">
        <v>5628</v>
      </c>
      <c r="L4316" s="206" t="s">
        <v>5639</v>
      </c>
      <c r="M4316" s="49" t="s">
        <v>5630</v>
      </c>
      <c r="N4316" s="73">
        <v>44712</v>
      </c>
      <c r="O4316" s="73" t="s">
        <v>503</v>
      </c>
      <c r="P4316" s="396">
        <v>0</v>
      </c>
      <c r="Q4316" s="212">
        <v>-7</v>
      </c>
      <c r="R4316" s="386">
        <f t="shared" si="140"/>
        <v>0</v>
      </c>
      <c r="S4316" s="279">
        <v>202304</v>
      </c>
      <c r="T4316" s="184" t="s">
        <v>5642</v>
      </c>
      <c r="U4316" s="213"/>
      <c r="V4316" s="210"/>
      <c r="W4316" s="214"/>
      <c r="X4316" s="73">
        <v>44774</v>
      </c>
      <c r="Y4316" s="73">
        <v>45138</v>
      </c>
    </row>
    <row r="4317" s="5" customFormat="1" customHeight="1" spans="1:25">
      <c r="A4317" s="203" t="s">
        <v>448</v>
      </c>
      <c r="B4317" s="204" t="s">
        <v>5519</v>
      </c>
      <c r="C4317" s="204" t="s">
        <v>125</v>
      </c>
      <c r="D4317" s="204" t="s">
        <v>3939</v>
      </c>
      <c r="E4317" s="205" t="s">
        <v>5622</v>
      </c>
      <c r="F4317" s="203" t="s">
        <v>5638</v>
      </c>
      <c r="G4317" s="203" t="s">
        <v>88</v>
      </c>
      <c r="H4317" s="25" t="s">
        <v>5623</v>
      </c>
      <c r="I4317" s="46" t="e">
        <f>VLOOKUP(H4317,'合同高级查询数据-4月返'!A:A,1,FALSE)</f>
        <v>#N/A</v>
      </c>
      <c r="J4317" s="47" t="s">
        <v>162</v>
      </c>
      <c r="K4317" s="203" t="s">
        <v>5628</v>
      </c>
      <c r="L4317" s="206" t="s">
        <v>5643</v>
      </c>
      <c r="M4317" s="49" t="s">
        <v>5630</v>
      </c>
      <c r="N4317" s="73">
        <v>43355</v>
      </c>
      <c r="O4317" s="73" t="s">
        <v>503</v>
      </c>
      <c r="P4317" s="396">
        <v>5000</v>
      </c>
      <c r="Q4317" s="212">
        <v>7</v>
      </c>
      <c r="R4317" s="386">
        <f t="shared" si="140"/>
        <v>35000</v>
      </c>
      <c r="S4317" s="279">
        <v>202304</v>
      </c>
      <c r="T4317" s="184" t="s">
        <v>5644</v>
      </c>
      <c r="U4317" s="213"/>
      <c r="V4317" s="210"/>
      <c r="W4317" s="214"/>
      <c r="X4317" s="73">
        <v>44774</v>
      </c>
      <c r="Y4317" s="73">
        <v>45138</v>
      </c>
    </row>
    <row r="4318" s="5" customFormat="1" customHeight="1" spans="1:25">
      <c r="A4318" s="203" t="s">
        <v>448</v>
      </c>
      <c r="B4318" s="204" t="s">
        <v>5519</v>
      </c>
      <c r="C4318" s="204" t="s">
        <v>125</v>
      </c>
      <c r="D4318" s="204" t="s">
        <v>3939</v>
      </c>
      <c r="E4318" s="205" t="s">
        <v>5622</v>
      </c>
      <c r="F4318" s="203" t="s">
        <v>5638</v>
      </c>
      <c r="G4318" s="203" t="s">
        <v>88</v>
      </c>
      <c r="H4318" s="25" t="s">
        <v>5623</v>
      </c>
      <c r="I4318" s="46" t="e">
        <f>VLOOKUP(H4318,'合同高级查询数据-4月返'!A:A,1,FALSE)</f>
        <v>#N/A</v>
      </c>
      <c r="J4318" s="47" t="s">
        <v>162</v>
      </c>
      <c r="K4318" s="203" t="s">
        <v>5628</v>
      </c>
      <c r="L4318" s="206"/>
      <c r="M4318" s="49" t="s">
        <v>5630</v>
      </c>
      <c r="N4318" s="73">
        <v>44094</v>
      </c>
      <c r="O4318" s="73" t="s">
        <v>503</v>
      </c>
      <c r="P4318" s="396">
        <v>5000</v>
      </c>
      <c r="Q4318" s="212">
        <v>-8</v>
      </c>
      <c r="R4318" s="386">
        <f t="shared" si="140"/>
        <v>-40000</v>
      </c>
      <c r="S4318" s="279">
        <v>202304</v>
      </c>
      <c r="T4318" s="184" t="s">
        <v>5645</v>
      </c>
      <c r="U4318" s="213"/>
      <c r="V4318" s="210"/>
      <c r="W4318" s="214"/>
      <c r="X4318" s="73">
        <v>44774</v>
      </c>
      <c r="Y4318" s="73">
        <v>45138</v>
      </c>
    </row>
    <row r="4319" s="5" customFormat="1" customHeight="1" spans="1:25">
      <c r="A4319" s="203" t="s">
        <v>448</v>
      </c>
      <c r="B4319" s="204" t="s">
        <v>5519</v>
      </c>
      <c r="C4319" s="204" t="s">
        <v>125</v>
      </c>
      <c r="D4319" s="204" t="s">
        <v>3939</v>
      </c>
      <c r="E4319" s="205" t="s">
        <v>5622</v>
      </c>
      <c r="F4319" s="203" t="s">
        <v>5638</v>
      </c>
      <c r="G4319" s="203" t="s">
        <v>88</v>
      </c>
      <c r="H4319" s="25" t="s">
        <v>5623</v>
      </c>
      <c r="I4319" s="46" t="e">
        <f>VLOOKUP(H4319,'合同高级查询数据-4月返'!A:A,1,FALSE)</f>
        <v>#N/A</v>
      </c>
      <c r="J4319" s="47" t="s">
        <v>162</v>
      </c>
      <c r="K4319" s="203" t="s">
        <v>5628</v>
      </c>
      <c r="L4319" s="206"/>
      <c r="M4319" s="49" t="s">
        <v>5630</v>
      </c>
      <c r="N4319" s="73">
        <v>44317</v>
      </c>
      <c r="O4319" s="73" t="s">
        <v>503</v>
      </c>
      <c r="P4319" s="396">
        <v>5000</v>
      </c>
      <c r="Q4319" s="212">
        <v>-6</v>
      </c>
      <c r="R4319" s="386">
        <f t="shared" si="140"/>
        <v>-30000</v>
      </c>
      <c r="S4319" s="279">
        <v>202304</v>
      </c>
      <c r="T4319" s="184" t="s">
        <v>5646</v>
      </c>
      <c r="U4319" s="213"/>
      <c r="V4319" s="210"/>
      <c r="W4319" s="214"/>
      <c r="X4319" s="73">
        <v>44774</v>
      </c>
      <c r="Y4319" s="73">
        <v>45138</v>
      </c>
    </row>
    <row r="4320" s="5" customFormat="1" customHeight="1" spans="1:25">
      <c r="A4320" s="203" t="s">
        <v>448</v>
      </c>
      <c r="B4320" s="204" t="s">
        <v>5519</v>
      </c>
      <c r="C4320" s="204" t="s">
        <v>125</v>
      </c>
      <c r="D4320" s="204" t="s">
        <v>3939</v>
      </c>
      <c r="E4320" s="205" t="s">
        <v>5622</v>
      </c>
      <c r="F4320" s="203" t="s">
        <v>5638</v>
      </c>
      <c r="G4320" s="203" t="s">
        <v>88</v>
      </c>
      <c r="H4320" s="25" t="s">
        <v>5623</v>
      </c>
      <c r="I4320" s="46" t="e">
        <f>VLOOKUP(H4320,'合同高级查询数据-4月返'!A:A,1,FALSE)</f>
        <v>#N/A</v>
      </c>
      <c r="J4320" s="47" t="s">
        <v>162</v>
      </c>
      <c r="K4320" s="203" t="s">
        <v>5628</v>
      </c>
      <c r="L4320" s="206" t="s">
        <v>5629</v>
      </c>
      <c r="M4320" s="49" t="s">
        <v>5630</v>
      </c>
      <c r="N4320" s="73">
        <v>44347</v>
      </c>
      <c r="O4320" s="73" t="s">
        <v>503</v>
      </c>
      <c r="P4320" s="396">
        <v>5000</v>
      </c>
      <c r="Q4320" s="212">
        <v>-3</v>
      </c>
      <c r="R4320" s="386">
        <f t="shared" si="140"/>
        <v>-15000</v>
      </c>
      <c r="S4320" s="279">
        <v>202304</v>
      </c>
      <c r="T4320" s="184" t="s">
        <v>5647</v>
      </c>
      <c r="U4320" s="213"/>
      <c r="V4320" s="210"/>
      <c r="W4320" s="214"/>
      <c r="X4320" s="73">
        <v>44774</v>
      </c>
      <c r="Y4320" s="73">
        <v>45138</v>
      </c>
    </row>
    <row r="4321" s="5" customFormat="1" customHeight="1" spans="1:25">
      <c r="A4321" s="203" t="s">
        <v>448</v>
      </c>
      <c r="B4321" s="204" t="s">
        <v>5519</v>
      </c>
      <c r="C4321" s="204" t="s">
        <v>125</v>
      </c>
      <c r="D4321" s="204" t="s">
        <v>3939</v>
      </c>
      <c r="E4321" s="205" t="s">
        <v>5622</v>
      </c>
      <c r="F4321" s="203" t="s">
        <v>5638</v>
      </c>
      <c r="G4321" s="203" t="s">
        <v>88</v>
      </c>
      <c r="H4321" s="25" t="s">
        <v>5623</v>
      </c>
      <c r="I4321" s="46" t="e">
        <f>VLOOKUP(H4321,'合同高级查询数据-4月返'!A:A,1,FALSE)</f>
        <v>#N/A</v>
      </c>
      <c r="J4321" s="47" t="s">
        <v>162</v>
      </c>
      <c r="K4321" s="203" t="s">
        <v>5628</v>
      </c>
      <c r="L4321" s="206" t="s">
        <v>5629</v>
      </c>
      <c r="M4321" s="49" t="s">
        <v>5630</v>
      </c>
      <c r="N4321" s="73">
        <v>44712</v>
      </c>
      <c r="O4321" s="73" t="s">
        <v>503</v>
      </c>
      <c r="P4321" s="396">
        <v>0</v>
      </c>
      <c r="Q4321" s="212">
        <v>-5</v>
      </c>
      <c r="R4321" s="386">
        <f t="shared" si="140"/>
        <v>0</v>
      </c>
      <c r="S4321" s="279">
        <v>202304</v>
      </c>
      <c r="T4321" s="184" t="s">
        <v>5648</v>
      </c>
      <c r="U4321" s="213"/>
      <c r="V4321" s="210"/>
      <c r="W4321" s="214"/>
      <c r="X4321" s="73">
        <v>44774</v>
      </c>
      <c r="Y4321" s="73">
        <v>45138</v>
      </c>
    </row>
    <row r="4322" s="5" customFormat="1" customHeight="1" spans="1:25">
      <c r="A4322" s="203" t="s">
        <v>448</v>
      </c>
      <c r="B4322" s="204" t="s">
        <v>5519</v>
      </c>
      <c r="C4322" s="204" t="s">
        <v>125</v>
      </c>
      <c r="D4322" s="204" t="s">
        <v>3939</v>
      </c>
      <c r="E4322" s="205" t="s">
        <v>5622</v>
      </c>
      <c r="F4322" s="203" t="s">
        <v>5521</v>
      </c>
      <c r="G4322" s="203" t="s">
        <v>88</v>
      </c>
      <c r="H4322" s="25" t="s">
        <v>5623</v>
      </c>
      <c r="I4322" s="46" t="e">
        <f>VLOOKUP(H4322,'合同高级查询数据-4月返'!A:A,1,FALSE)</f>
        <v>#N/A</v>
      </c>
      <c r="J4322" s="47" t="s">
        <v>2423</v>
      </c>
      <c r="K4322" s="203" t="s">
        <v>5624</v>
      </c>
      <c r="L4322" s="206" t="s">
        <v>5625</v>
      </c>
      <c r="M4322" s="49" t="s">
        <v>5626</v>
      </c>
      <c r="N4322" s="73">
        <v>44681</v>
      </c>
      <c r="O4322" s="73" t="s">
        <v>163</v>
      </c>
      <c r="P4322" s="396">
        <v>4166.67</v>
      </c>
      <c r="Q4322" s="212">
        <v>-3</v>
      </c>
      <c r="R4322" s="386">
        <f t="shared" ref="R4322:R4368" si="141">ROUND(P4322*Q4322,2)</f>
        <v>-12500.01</v>
      </c>
      <c r="S4322" s="279">
        <v>202304</v>
      </c>
      <c r="T4322" s="184" t="s">
        <v>5649</v>
      </c>
      <c r="U4322" s="213"/>
      <c r="V4322" s="210"/>
      <c r="W4322" s="214"/>
      <c r="X4322" s="73">
        <v>44774</v>
      </c>
      <c r="Y4322" s="73">
        <v>45138</v>
      </c>
    </row>
    <row r="4323" s="5" customFormat="1" customHeight="1" spans="1:25">
      <c r="A4323" s="203" t="s">
        <v>448</v>
      </c>
      <c r="B4323" s="204" t="s">
        <v>5519</v>
      </c>
      <c r="C4323" s="204" t="s">
        <v>125</v>
      </c>
      <c r="D4323" s="204" t="s">
        <v>3939</v>
      </c>
      <c r="E4323" s="205" t="s">
        <v>5622</v>
      </c>
      <c r="F4323" s="203" t="s">
        <v>5521</v>
      </c>
      <c r="G4323" s="203" t="s">
        <v>88</v>
      </c>
      <c r="H4323" s="25" t="s">
        <v>5623</v>
      </c>
      <c r="I4323" s="46" t="e">
        <f>VLOOKUP(H4323,'合同高级查询数据-4月返'!A:A,1,FALSE)</f>
        <v>#N/A</v>
      </c>
      <c r="J4323" s="47" t="s">
        <v>2423</v>
      </c>
      <c r="K4323" s="203" t="s">
        <v>5624</v>
      </c>
      <c r="L4323" s="206" t="s">
        <v>5625</v>
      </c>
      <c r="M4323" s="49" t="s">
        <v>5626</v>
      </c>
      <c r="N4323" s="73">
        <v>44779</v>
      </c>
      <c r="O4323" s="73" t="s">
        <v>163</v>
      </c>
      <c r="P4323" s="396">
        <v>4166.67</v>
      </c>
      <c r="Q4323" s="212">
        <v>-7</v>
      </c>
      <c r="R4323" s="386">
        <f t="shared" si="141"/>
        <v>-29166.69</v>
      </c>
      <c r="S4323" s="279">
        <v>202304</v>
      </c>
      <c r="T4323" s="184" t="s">
        <v>5650</v>
      </c>
      <c r="U4323" s="213"/>
      <c r="V4323" s="210"/>
      <c r="W4323" s="214"/>
      <c r="X4323" s="73">
        <v>44774</v>
      </c>
      <c r="Y4323" s="73">
        <v>45138</v>
      </c>
    </row>
    <row r="4324" s="5" customFormat="1" customHeight="1" spans="1:25">
      <c r="A4324" s="203" t="s">
        <v>448</v>
      </c>
      <c r="B4324" s="204" t="s">
        <v>5519</v>
      </c>
      <c r="C4324" s="204" t="s">
        <v>125</v>
      </c>
      <c r="D4324" s="204" t="s">
        <v>3939</v>
      </c>
      <c r="E4324" s="205" t="s">
        <v>5622</v>
      </c>
      <c r="F4324" s="203" t="s">
        <v>5521</v>
      </c>
      <c r="G4324" s="203" t="s">
        <v>88</v>
      </c>
      <c r="H4324" s="25" t="s">
        <v>5623</v>
      </c>
      <c r="I4324" s="46" t="e">
        <f>VLOOKUP(H4324,'合同高级查询数据-4月返'!A:A,1,FALSE)</f>
        <v>#N/A</v>
      </c>
      <c r="J4324" s="47" t="s">
        <v>2423</v>
      </c>
      <c r="K4324" s="203" t="s">
        <v>5624</v>
      </c>
      <c r="L4324" s="206" t="s">
        <v>5625</v>
      </c>
      <c r="M4324" s="49" t="s">
        <v>5626</v>
      </c>
      <c r="N4324" s="73">
        <v>44783</v>
      </c>
      <c r="O4324" s="73" t="s">
        <v>163</v>
      </c>
      <c r="P4324" s="396">
        <v>4166.67</v>
      </c>
      <c r="Q4324" s="212">
        <v>-1</v>
      </c>
      <c r="R4324" s="386">
        <f t="shared" si="141"/>
        <v>-4166.67</v>
      </c>
      <c r="S4324" s="279">
        <v>202304</v>
      </c>
      <c r="T4324" s="184" t="s">
        <v>5651</v>
      </c>
      <c r="U4324" s="213"/>
      <c r="V4324" s="210"/>
      <c r="W4324" s="214"/>
      <c r="X4324" s="73">
        <v>44774</v>
      </c>
      <c r="Y4324" s="73">
        <v>45138</v>
      </c>
    </row>
    <row r="4325" s="5" customFormat="1" customHeight="1" spans="1:25">
      <c r="A4325" s="203" t="s">
        <v>448</v>
      </c>
      <c r="B4325" s="204" t="s">
        <v>5519</v>
      </c>
      <c r="C4325" s="204" t="s">
        <v>125</v>
      </c>
      <c r="D4325" s="204" t="s">
        <v>3939</v>
      </c>
      <c r="E4325" s="205" t="s">
        <v>5622</v>
      </c>
      <c r="F4325" s="203" t="s">
        <v>5521</v>
      </c>
      <c r="G4325" s="203" t="s">
        <v>31</v>
      </c>
      <c r="H4325" s="25" t="s">
        <v>5623</v>
      </c>
      <c r="I4325" s="46" t="e">
        <f>VLOOKUP(H4325,'合同高级查询数据-4月返'!A:A,1,FALSE)</f>
        <v>#N/A</v>
      </c>
      <c r="J4325" s="47" t="s">
        <v>3189</v>
      </c>
      <c r="K4325" s="203" t="s">
        <v>5652</v>
      </c>
      <c r="L4325" s="206" t="s">
        <v>5625</v>
      </c>
      <c r="M4325" s="49" t="s">
        <v>5626</v>
      </c>
      <c r="N4325" s="73" t="s">
        <v>1329</v>
      </c>
      <c r="O4325" s="73"/>
      <c r="P4325" s="396">
        <v>0</v>
      </c>
      <c r="Q4325" s="212">
        <v>800</v>
      </c>
      <c r="R4325" s="386">
        <f t="shared" si="141"/>
        <v>0</v>
      </c>
      <c r="S4325" s="279">
        <v>202304</v>
      </c>
      <c r="T4325" s="184" t="s">
        <v>5653</v>
      </c>
      <c r="U4325" s="213"/>
      <c r="V4325" s="210"/>
      <c r="W4325" s="214"/>
      <c r="X4325" s="73">
        <v>44774</v>
      </c>
      <c r="Y4325" s="73">
        <v>45138</v>
      </c>
    </row>
    <row r="4326" s="5" customFormat="1" customHeight="1" spans="1:25">
      <c r="A4326" s="203" t="s">
        <v>448</v>
      </c>
      <c r="B4326" s="204" t="s">
        <v>5519</v>
      </c>
      <c r="C4326" s="204" t="s">
        <v>125</v>
      </c>
      <c r="D4326" s="204" t="s">
        <v>3939</v>
      </c>
      <c r="E4326" s="205" t="s">
        <v>5622</v>
      </c>
      <c r="F4326" s="203" t="s">
        <v>5521</v>
      </c>
      <c r="G4326" s="203" t="s">
        <v>31</v>
      </c>
      <c r="H4326" s="25" t="s">
        <v>5623</v>
      </c>
      <c r="I4326" s="46" t="e">
        <f>VLOOKUP(H4326,'合同高级查询数据-4月返'!A:A,1,FALSE)</f>
        <v>#N/A</v>
      </c>
      <c r="J4326" s="47" t="s">
        <v>3189</v>
      </c>
      <c r="K4326" s="203" t="s">
        <v>5652</v>
      </c>
      <c r="L4326" s="206" t="s">
        <v>5643</v>
      </c>
      <c r="M4326" s="49" t="s">
        <v>5626</v>
      </c>
      <c r="N4326" s="73" t="s">
        <v>1329</v>
      </c>
      <c r="O4326" s="73"/>
      <c r="P4326" s="396">
        <v>0</v>
      </c>
      <c r="Q4326" s="212">
        <v>544</v>
      </c>
      <c r="R4326" s="386">
        <f t="shared" si="141"/>
        <v>0</v>
      </c>
      <c r="S4326" s="279">
        <v>202304</v>
      </c>
      <c r="T4326" s="184" t="s">
        <v>5654</v>
      </c>
      <c r="U4326" s="213"/>
      <c r="V4326" s="210"/>
      <c r="W4326" s="214"/>
      <c r="X4326" s="73">
        <v>44774</v>
      </c>
      <c r="Y4326" s="73">
        <v>45138</v>
      </c>
    </row>
    <row r="4327" s="5" customFormat="1" customHeight="1" spans="1:25">
      <c r="A4327" s="203" t="s">
        <v>448</v>
      </c>
      <c r="B4327" s="204" t="s">
        <v>5519</v>
      </c>
      <c r="C4327" s="204" t="s">
        <v>125</v>
      </c>
      <c r="D4327" s="204" t="s">
        <v>3939</v>
      </c>
      <c r="E4327" s="205" t="s">
        <v>5622</v>
      </c>
      <c r="F4327" s="203" t="s">
        <v>5521</v>
      </c>
      <c r="G4327" s="203" t="s">
        <v>31</v>
      </c>
      <c r="H4327" s="25" t="s">
        <v>5623</v>
      </c>
      <c r="I4327" s="46" t="e">
        <f>VLOOKUP(H4327,'合同高级查询数据-4月返'!A:A,1,FALSE)</f>
        <v>#N/A</v>
      </c>
      <c r="J4327" s="47" t="s">
        <v>3189</v>
      </c>
      <c r="K4327" s="203" t="s">
        <v>5652</v>
      </c>
      <c r="L4327" s="206" t="s">
        <v>5655</v>
      </c>
      <c r="M4327" s="49" t="s">
        <v>5626</v>
      </c>
      <c r="N4327" s="73" t="s">
        <v>1329</v>
      </c>
      <c r="O4327" s="73"/>
      <c r="P4327" s="396">
        <v>0</v>
      </c>
      <c r="Q4327" s="212">
        <v>544</v>
      </c>
      <c r="R4327" s="386">
        <f t="shared" si="141"/>
        <v>0</v>
      </c>
      <c r="S4327" s="279">
        <v>202304</v>
      </c>
      <c r="T4327" s="184" t="s">
        <v>5656</v>
      </c>
      <c r="U4327" s="213"/>
      <c r="V4327" s="210"/>
      <c r="W4327" s="214"/>
      <c r="X4327" s="73">
        <v>44774</v>
      </c>
      <c r="Y4327" s="73">
        <v>45138</v>
      </c>
    </row>
    <row r="4328" s="5" customFormat="1" customHeight="1" spans="1:25">
      <c r="A4328" s="203" t="s">
        <v>448</v>
      </c>
      <c r="B4328" s="204" t="s">
        <v>5519</v>
      </c>
      <c r="C4328" s="204" t="s">
        <v>125</v>
      </c>
      <c r="D4328" s="204" t="s">
        <v>3939</v>
      </c>
      <c r="E4328" s="205" t="s">
        <v>5622</v>
      </c>
      <c r="F4328" s="203" t="s">
        <v>5521</v>
      </c>
      <c r="G4328" s="203" t="s">
        <v>31</v>
      </c>
      <c r="H4328" s="25" t="s">
        <v>5623</v>
      </c>
      <c r="I4328" s="46" t="e">
        <f>VLOOKUP(H4328,'合同高级查询数据-4月返'!A:A,1,FALSE)</f>
        <v>#N/A</v>
      </c>
      <c r="J4328" s="47" t="s">
        <v>3189</v>
      </c>
      <c r="K4328" s="203" t="s">
        <v>5652</v>
      </c>
      <c r="L4328" s="206" t="s">
        <v>5655</v>
      </c>
      <c r="M4328" s="49" t="s">
        <v>5626</v>
      </c>
      <c r="N4328" s="73">
        <v>44712</v>
      </c>
      <c r="O4328" s="73"/>
      <c r="P4328" s="396">
        <v>0</v>
      </c>
      <c r="Q4328" s="212">
        <v>-544</v>
      </c>
      <c r="R4328" s="386">
        <f t="shared" si="141"/>
        <v>0</v>
      </c>
      <c r="S4328" s="279">
        <v>202304</v>
      </c>
      <c r="T4328" s="184" t="s">
        <v>5657</v>
      </c>
      <c r="U4328" s="213"/>
      <c r="V4328" s="210"/>
      <c r="W4328" s="214"/>
      <c r="X4328" s="73">
        <v>44774</v>
      </c>
      <c r="Y4328" s="73">
        <v>45138</v>
      </c>
    </row>
    <row r="4329" s="5" customFormat="1" customHeight="1" spans="1:25">
      <c r="A4329" s="203" t="s">
        <v>448</v>
      </c>
      <c r="B4329" s="204" t="s">
        <v>5519</v>
      </c>
      <c r="C4329" s="204" t="s">
        <v>125</v>
      </c>
      <c r="D4329" s="204" t="s">
        <v>3939</v>
      </c>
      <c r="E4329" s="205" t="s">
        <v>5622</v>
      </c>
      <c r="F4329" s="203" t="s">
        <v>5521</v>
      </c>
      <c r="G4329" s="203" t="s">
        <v>31</v>
      </c>
      <c r="H4329" s="25" t="s">
        <v>5623</v>
      </c>
      <c r="I4329" s="46" t="e">
        <f>VLOOKUP(H4329,'合同高级查询数据-4月返'!A:A,1,FALSE)</f>
        <v>#N/A</v>
      </c>
      <c r="J4329" s="47" t="s">
        <v>3189</v>
      </c>
      <c r="K4329" s="203" t="s">
        <v>5652</v>
      </c>
      <c r="L4329" s="206" t="s">
        <v>5629</v>
      </c>
      <c r="M4329" s="49" t="s">
        <v>5626</v>
      </c>
      <c r="N4329" s="73" t="s">
        <v>1329</v>
      </c>
      <c r="O4329" s="73"/>
      <c r="P4329" s="396">
        <v>0</v>
      </c>
      <c r="Q4329" s="212">
        <v>288</v>
      </c>
      <c r="R4329" s="386">
        <f t="shared" si="141"/>
        <v>0</v>
      </c>
      <c r="S4329" s="279">
        <v>202304</v>
      </c>
      <c r="T4329" s="184" t="s">
        <v>5658</v>
      </c>
      <c r="U4329" s="213"/>
      <c r="V4329" s="210"/>
      <c r="W4329" s="214"/>
      <c r="X4329" s="73">
        <v>44774</v>
      </c>
      <c r="Y4329" s="73">
        <v>45138</v>
      </c>
    </row>
    <row r="4330" s="5" customFormat="1" customHeight="1" spans="1:25">
      <c r="A4330" s="203" t="s">
        <v>448</v>
      </c>
      <c r="B4330" s="204" t="s">
        <v>5519</v>
      </c>
      <c r="C4330" s="204" t="s">
        <v>125</v>
      </c>
      <c r="D4330" s="204" t="s">
        <v>3939</v>
      </c>
      <c r="E4330" s="205" t="s">
        <v>5622</v>
      </c>
      <c r="F4330" s="203" t="s">
        <v>5521</v>
      </c>
      <c r="G4330" s="203" t="s">
        <v>31</v>
      </c>
      <c r="H4330" s="25" t="s">
        <v>5623</v>
      </c>
      <c r="I4330" s="46" t="e">
        <f>VLOOKUP(H4330,'合同高级查询数据-4月返'!A:A,1,FALSE)</f>
        <v>#N/A</v>
      </c>
      <c r="J4330" s="47" t="s">
        <v>3189</v>
      </c>
      <c r="K4330" s="203" t="s">
        <v>5652</v>
      </c>
      <c r="L4330" s="206" t="s">
        <v>5629</v>
      </c>
      <c r="M4330" s="49" t="s">
        <v>5626</v>
      </c>
      <c r="N4330" s="73">
        <v>44712</v>
      </c>
      <c r="O4330" s="73"/>
      <c r="P4330" s="396">
        <v>0</v>
      </c>
      <c r="Q4330" s="212">
        <v>-288</v>
      </c>
      <c r="R4330" s="386">
        <f t="shared" si="141"/>
        <v>0</v>
      </c>
      <c r="S4330" s="279">
        <v>202304</v>
      </c>
      <c r="T4330" s="184" t="s">
        <v>5659</v>
      </c>
      <c r="U4330" s="213"/>
      <c r="V4330" s="210"/>
      <c r="W4330" s="214"/>
      <c r="X4330" s="73">
        <v>44774</v>
      </c>
      <c r="Y4330" s="73">
        <v>45138</v>
      </c>
    </row>
    <row r="4331" s="5" customFormat="1" customHeight="1" spans="1:25">
      <c r="A4331" s="203" t="s">
        <v>448</v>
      </c>
      <c r="B4331" s="204" t="s">
        <v>5519</v>
      </c>
      <c r="C4331" s="204" t="s">
        <v>125</v>
      </c>
      <c r="D4331" s="204" t="s">
        <v>3939</v>
      </c>
      <c r="E4331" s="205" t="s">
        <v>5622</v>
      </c>
      <c r="F4331" s="203" t="s">
        <v>5521</v>
      </c>
      <c r="G4331" s="203" t="s">
        <v>31</v>
      </c>
      <c r="H4331" s="25" t="s">
        <v>5623</v>
      </c>
      <c r="I4331" s="46" t="e">
        <f>VLOOKUP(H4331,'合同高级查询数据-4月返'!A:A,1,FALSE)</f>
        <v>#N/A</v>
      </c>
      <c r="J4331" s="47" t="s">
        <v>1273</v>
      </c>
      <c r="K4331" s="203" t="s">
        <v>5652</v>
      </c>
      <c r="L4331" s="206"/>
      <c r="M4331" s="49" t="s">
        <v>5626</v>
      </c>
      <c r="N4331" s="73">
        <v>43769</v>
      </c>
      <c r="O4331" s="73"/>
      <c r="P4331" s="396">
        <v>0</v>
      </c>
      <c r="Q4331" s="212">
        <v>1024</v>
      </c>
      <c r="R4331" s="386">
        <f t="shared" si="141"/>
        <v>0</v>
      </c>
      <c r="S4331" s="279">
        <v>202304</v>
      </c>
      <c r="T4331" s="189" t="s">
        <v>5660</v>
      </c>
      <c r="U4331" s="213"/>
      <c r="V4331" s="210"/>
      <c r="W4331" s="214"/>
      <c r="X4331" s="73">
        <v>44774</v>
      </c>
      <c r="Y4331" s="73">
        <v>45138</v>
      </c>
    </row>
    <row r="4332" s="5" customFormat="1" customHeight="1" spans="1:25">
      <c r="A4332" s="203" t="s">
        <v>448</v>
      </c>
      <c r="B4332" s="204" t="s">
        <v>5519</v>
      </c>
      <c r="C4332" s="204" t="s">
        <v>125</v>
      </c>
      <c r="D4332" s="204" t="s">
        <v>3939</v>
      </c>
      <c r="E4332" s="205" t="s">
        <v>5622</v>
      </c>
      <c r="F4332" s="203" t="s">
        <v>5521</v>
      </c>
      <c r="G4332" s="203" t="s">
        <v>88</v>
      </c>
      <c r="H4332" s="25" t="s">
        <v>5623</v>
      </c>
      <c r="I4332" s="46" t="e">
        <f>VLOOKUP(H4332,'合同高级查询数据-4月返'!A:A,1,FALSE)</f>
        <v>#N/A</v>
      </c>
      <c r="J4332" s="47" t="s">
        <v>162</v>
      </c>
      <c r="K4332" s="203" t="s">
        <v>5628</v>
      </c>
      <c r="L4332" s="206"/>
      <c r="M4332" s="49" t="s">
        <v>5630</v>
      </c>
      <c r="N4332" s="73">
        <v>44094</v>
      </c>
      <c r="O4332" s="73" t="s">
        <v>503</v>
      </c>
      <c r="P4332" s="396">
        <v>0</v>
      </c>
      <c r="Q4332" s="212">
        <v>8</v>
      </c>
      <c r="R4332" s="386">
        <f t="shared" si="141"/>
        <v>0</v>
      </c>
      <c r="S4332" s="279">
        <v>202304</v>
      </c>
      <c r="T4332" s="184" t="s">
        <v>5661</v>
      </c>
      <c r="U4332" s="213"/>
      <c r="V4332" s="210"/>
      <c r="W4332" s="214"/>
      <c r="X4332" s="73">
        <v>44774</v>
      </c>
      <c r="Y4332" s="73">
        <v>45138</v>
      </c>
    </row>
    <row r="4333" s="5" customFormat="1" customHeight="1" spans="1:25">
      <c r="A4333" s="203" t="s">
        <v>448</v>
      </c>
      <c r="B4333" s="204" t="s">
        <v>5519</v>
      </c>
      <c r="C4333" s="204" t="s">
        <v>125</v>
      </c>
      <c r="D4333" s="204" t="s">
        <v>3939</v>
      </c>
      <c r="E4333" s="205" t="s">
        <v>5622</v>
      </c>
      <c r="F4333" s="203" t="s">
        <v>5521</v>
      </c>
      <c r="G4333" s="203" t="s">
        <v>88</v>
      </c>
      <c r="H4333" s="25" t="s">
        <v>5623</v>
      </c>
      <c r="I4333" s="46" t="e">
        <f>VLOOKUP(H4333,'合同高级查询数据-4月返'!A:A,1,FALSE)</f>
        <v>#N/A</v>
      </c>
      <c r="J4333" s="47" t="s">
        <v>162</v>
      </c>
      <c r="K4333" s="203" t="s">
        <v>5628</v>
      </c>
      <c r="L4333" s="206"/>
      <c r="M4333" s="49" t="s">
        <v>5630</v>
      </c>
      <c r="N4333" s="73">
        <v>44317</v>
      </c>
      <c r="O4333" s="73" t="s">
        <v>503</v>
      </c>
      <c r="P4333" s="396">
        <v>0</v>
      </c>
      <c r="Q4333" s="212">
        <v>6</v>
      </c>
      <c r="R4333" s="386">
        <f t="shared" si="141"/>
        <v>0</v>
      </c>
      <c r="S4333" s="279">
        <v>202304</v>
      </c>
      <c r="T4333" s="184" t="s">
        <v>5662</v>
      </c>
      <c r="U4333" s="213"/>
      <c r="V4333" s="210"/>
      <c r="W4333" s="214"/>
      <c r="X4333" s="73">
        <v>44774</v>
      </c>
      <c r="Y4333" s="73">
        <v>45138</v>
      </c>
    </row>
    <row r="4334" s="5" customFormat="1" customHeight="1" spans="1:25">
      <c r="A4334" s="203" t="s">
        <v>448</v>
      </c>
      <c r="B4334" s="204" t="s">
        <v>5519</v>
      </c>
      <c r="C4334" s="204" t="s">
        <v>125</v>
      </c>
      <c r="D4334" s="204" t="s">
        <v>3939</v>
      </c>
      <c r="E4334" s="205" t="s">
        <v>5622</v>
      </c>
      <c r="F4334" s="203" t="s">
        <v>5521</v>
      </c>
      <c r="G4334" s="203" t="s">
        <v>31</v>
      </c>
      <c r="H4334" s="25" t="s">
        <v>5623</v>
      </c>
      <c r="I4334" s="46" t="e">
        <f>VLOOKUP(H4334,'合同高级查询数据-4月返'!A:A,1,FALSE)</f>
        <v>#N/A</v>
      </c>
      <c r="J4334" s="47" t="s">
        <v>3189</v>
      </c>
      <c r="K4334" s="203" t="s">
        <v>5663</v>
      </c>
      <c r="L4334" s="206"/>
      <c r="M4334" s="49"/>
      <c r="N4334" s="73">
        <v>44094</v>
      </c>
      <c r="O4334" s="73" t="s">
        <v>37</v>
      </c>
      <c r="P4334" s="396">
        <v>0</v>
      </c>
      <c r="Q4334" s="212">
        <v>544</v>
      </c>
      <c r="R4334" s="386">
        <f t="shared" si="141"/>
        <v>0</v>
      </c>
      <c r="S4334" s="279">
        <v>202304</v>
      </c>
      <c r="T4334" s="189" t="s">
        <v>5664</v>
      </c>
      <c r="U4334" s="213"/>
      <c r="V4334" s="210"/>
      <c r="W4334" s="214"/>
      <c r="X4334" s="73">
        <v>44774</v>
      </c>
      <c r="Y4334" s="73">
        <v>45138</v>
      </c>
    </row>
    <row r="4335" s="5" customFormat="1" customHeight="1" spans="1:25">
      <c r="A4335" s="203" t="s">
        <v>448</v>
      </c>
      <c r="B4335" s="204" t="s">
        <v>5519</v>
      </c>
      <c r="C4335" s="204" t="s">
        <v>125</v>
      </c>
      <c r="D4335" s="204" t="s">
        <v>3939</v>
      </c>
      <c r="E4335" s="205" t="s">
        <v>5622</v>
      </c>
      <c r="F4335" s="203" t="s">
        <v>5521</v>
      </c>
      <c r="G4335" s="203" t="s">
        <v>31</v>
      </c>
      <c r="H4335" s="25" t="s">
        <v>5623</v>
      </c>
      <c r="I4335" s="46" t="e">
        <f>VLOOKUP(H4335,'合同高级查询数据-4月返'!A:A,1,FALSE)</f>
        <v>#N/A</v>
      </c>
      <c r="J4335" s="47" t="s">
        <v>3189</v>
      </c>
      <c r="K4335" s="203" t="s">
        <v>5663</v>
      </c>
      <c r="L4335" s="206"/>
      <c r="M4335" s="49"/>
      <c r="N4335" s="73">
        <v>44218</v>
      </c>
      <c r="O4335" s="73" t="s">
        <v>37</v>
      </c>
      <c r="P4335" s="396">
        <v>0</v>
      </c>
      <c r="Q4335" s="212">
        <v>256</v>
      </c>
      <c r="R4335" s="386">
        <f t="shared" si="141"/>
        <v>0</v>
      </c>
      <c r="S4335" s="279">
        <v>202304</v>
      </c>
      <c r="T4335" s="189" t="s">
        <v>5665</v>
      </c>
      <c r="U4335" s="213"/>
      <c r="V4335" s="210"/>
      <c r="W4335" s="214"/>
      <c r="X4335" s="73">
        <v>44774</v>
      </c>
      <c r="Y4335" s="73">
        <v>45138</v>
      </c>
    </row>
    <row r="4336" s="5" customFormat="1" customHeight="1" spans="1:25">
      <c r="A4336" s="203" t="s">
        <v>448</v>
      </c>
      <c r="B4336" s="204" t="s">
        <v>5519</v>
      </c>
      <c r="C4336" s="204" t="s">
        <v>125</v>
      </c>
      <c r="D4336" s="204" t="s">
        <v>3939</v>
      </c>
      <c r="E4336" s="205" t="s">
        <v>5622</v>
      </c>
      <c r="F4336" s="203" t="s">
        <v>5521</v>
      </c>
      <c r="G4336" s="203" t="s">
        <v>31</v>
      </c>
      <c r="H4336" s="25" t="s">
        <v>5623</v>
      </c>
      <c r="I4336" s="46" t="e">
        <f>VLOOKUP(H4336,'合同高级查询数据-4月返'!A:A,1,FALSE)</f>
        <v>#N/A</v>
      </c>
      <c r="J4336" s="47" t="s">
        <v>3189</v>
      </c>
      <c r="K4336" s="203" t="s">
        <v>5652</v>
      </c>
      <c r="L4336" s="206" t="s">
        <v>5625</v>
      </c>
      <c r="M4336" s="49" t="s">
        <v>5626</v>
      </c>
      <c r="N4336" s="73">
        <v>44779</v>
      </c>
      <c r="O4336" s="73"/>
      <c r="P4336" s="396">
        <v>0</v>
      </c>
      <c r="Q4336" s="212">
        <v>-384</v>
      </c>
      <c r="R4336" s="386">
        <f t="shared" si="141"/>
        <v>0</v>
      </c>
      <c r="S4336" s="279">
        <v>202304</v>
      </c>
      <c r="T4336" s="184" t="s">
        <v>5666</v>
      </c>
      <c r="U4336" s="213"/>
      <c r="V4336" s="210"/>
      <c r="W4336" s="214"/>
      <c r="X4336" s="73">
        <v>44774</v>
      </c>
      <c r="Y4336" s="73">
        <v>45138</v>
      </c>
    </row>
    <row r="4337" s="3" customFormat="1" customHeight="1" spans="1:25">
      <c r="A4337" s="154" t="s">
        <v>448</v>
      </c>
      <c r="B4337" s="292" t="s">
        <v>5519</v>
      </c>
      <c r="C4337" s="292" t="s">
        <v>125</v>
      </c>
      <c r="D4337" s="292" t="s">
        <v>3939</v>
      </c>
      <c r="E4337" s="153" t="s">
        <v>5622</v>
      </c>
      <c r="F4337" s="154" t="s">
        <v>5521</v>
      </c>
      <c r="G4337" s="154" t="s">
        <v>31</v>
      </c>
      <c r="H4337" s="110" t="s">
        <v>5667</v>
      </c>
      <c r="I4337" s="30" t="e">
        <f>VLOOKUP(H4337,'合同高级查询数据-4月返'!A:A,1,FALSE)</f>
        <v>#N/A</v>
      </c>
      <c r="J4337" s="31" t="s">
        <v>3092</v>
      </c>
      <c r="K4337" s="154"/>
      <c r="L4337" s="293" t="s">
        <v>5668</v>
      </c>
      <c r="M4337" s="113"/>
      <c r="N4337" s="146" t="s">
        <v>1329</v>
      </c>
      <c r="O4337" s="146" t="s">
        <v>37</v>
      </c>
      <c r="P4337" s="400">
        <v>0</v>
      </c>
      <c r="Q4337" s="295">
        <v>1024</v>
      </c>
      <c r="R4337" s="390">
        <f t="shared" si="141"/>
        <v>0</v>
      </c>
      <c r="S4337" s="277">
        <v>202304</v>
      </c>
      <c r="T4337" s="198" t="s">
        <v>5669</v>
      </c>
      <c r="U4337" s="391"/>
      <c r="V4337" s="61"/>
      <c r="W4337" s="393"/>
      <c r="X4337" s="146">
        <v>44440</v>
      </c>
      <c r="Y4337" s="146"/>
    </row>
    <row r="4338" s="3" customFormat="1" customHeight="1" spans="1:25">
      <c r="A4338" s="154" t="s">
        <v>448</v>
      </c>
      <c r="B4338" s="292" t="s">
        <v>5519</v>
      </c>
      <c r="C4338" s="292" t="s">
        <v>125</v>
      </c>
      <c r="D4338" s="292" t="s">
        <v>3939</v>
      </c>
      <c r="E4338" s="153" t="s">
        <v>5622</v>
      </c>
      <c r="F4338" s="154" t="s">
        <v>5521</v>
      </c>
      <c r="G4338" s="154" t="s">
        <v>31</v>
      </c>
      <c r="H4338" s="110" t="s">
        <v>5667</v>
      </c>
      <c r="I4338" s="30" t="e">
        <f>VLOOKUP(H4338,'合同高级查询数据-4月返'!A:A,1,FALSE)</f>
        <v>#N/A</v>
      </c>
      <c r="J4338" s="31" t="s">
        <v>3092</v>
      </c>
      <c r="K4338" s="154"/>
      <c r="L4338" s="293" t="s">
        <v>5668</v>
      </c>
      <c r="M4338" s="113"/>
      <c r="N4338" s="146">
        <v>44765</v>
      </c>
      <c r="O4338" s="146" t="s">
        <v>37</v>
      </c>
      <c r="P4338" s="400">
        <v>0</v>
      </c>
      <c r="Q4338" s="295">
        <v>224</v>
      </c>
      <c r="R4338" s="390">
        <f t="shared" si="141"/>
        <v>0</v>
      </c>
      <c r="S4338" s="277">
        <v>202304</v>
      </c>
      <c r="T4338" s="198" t="s">
        <v>5670</v>
      </c>
      <c r="U4338" s="391"/>
      <c r="V4338" s="61"/>
      <c r="W4338" s="393"/>
      <c r="X4338" s="146">
        <v>44440</v>
      </c>
      <c r="Y4338" s="146"/>
    </row>
    <row r="4339" s="5" customFormat="1" customHeight="1" spans="1:25">
      <c r="A4339" s="203" t="s">
        <v>446</v>
      </c>
      <c r="B4339" s="204" t="s">
        <v>5519</v>
      </c>
      <c r="C4339" s="204" t="s">
        <v>125</v>
      </c>
      <c r="D4339" s="204" t="s">
        <v>3939</v>
      </c>
      <c r="E4339" s="205" t="s">
        <v>5671</v>
      </c>
      <c r="F4339" s="203" t="s">
        <v>5672</v>
      </c>
      <c r="G4339" s="203" t="s">
        <v>88</v>
      </c>
      <c r="H4339" s="25" t="s">
        <v>5673</v>
      </c>
      <c r="I4339" s="46" t="e">
        <f>VLOOKUP(H4339,'合同高级查询数据-4月返'!A:A,1,FALSE)</f>
        <v>#N/A</v>
      </c>
      <c r="J4339" s="47" t="s">
        <v>162</v>
      </c>
      <c r="K4339" s="203" t="s">
        <v>5652</v>
      </c>
      <c r="L4339" s="206"/>
      <c r="M4339" s="49" t="s">
        <v>5674</v>
      </c>
      <c r="N4339" s="73">
        <v>41579</v>
      </c>
      <c r="O4339" s="73" t="s">
        <v>163</v>
      </c>
      <c r="P4339" s="396">
        <v>4166</v>
      </c>
      <c r="Q4339" s="212">
        <v>3</v>
      </c>
      <c r="R4339" s="386">
        <f t="shared" si="141"/>
        <v>12498</v>
      </c>
      <c r="S4339" s="279">
        <v>202304</v>
      </c>
      <c r="T4339" s="184"/>
      <c r="U4339" s="213"/>
      <c r="V4339" s="210"/>
      <c r="W4339" s="214"/>
      <c r="X4339" s="73">
        <v>43983</v>
      </c>
      <c r="Y4339" s="73">
        <v>45077</v>
      </c>
    </row>
    <row r="4340" s="5" customFormat="1" customHeight="1" spans="1:25">
      <c r="A4340" s="203" t="s">
        <v>446</v>
      </c>
      <c r="B4340" s="204" t="s">
        <v>5519</v>
      </c>
      <c r="C4340" s="204" t="s">
        <v>125</v>
      </c>
      <c r="D4340" s="204" t="s">
        <v>3939</v>
      </c>
      <c r="E4340" s="205" t="s">
        <v>5671</v>
      </c>
      <c r="F4340" s="203" t="s">
        <v>5672</v>
      </c>
      <c r="G4340" s="203" t="s">
        <v>88</v>
      </c>
      <c r="H4340" s="25" t="s">
        <v>5673</v>
      </c>
      <c r="I4340" s="46" t="e">
        <f>VLOOKUP(H4340,'合同高级查询数据-4月返'!A:A,1,FALSE)</f>
        <v>#N/A</v>
      </c>
      <c r="J4340" s="47" t="s">
        <v>162</v>
      </c>
      <c r="K4340" s="203" t="s">
        <v>5652</v>
      </c>
      <c r="L4340" s="206"/>
      <c r="M4340" s="49" t="s">
        <v>5674</v>
      </c>
      <c r="N4340" s="73">
        <v>44301</v>
      </c>
      <c r="O4340" s="73" t="s">
        <v>163</v>
      </c>
      <c r="P4340" s="396">
        <v>0</v>
      </c>
      <c r="Q4340" s="212">
        <v>2</v>
      </c>
      <c r="R4340" s="386">
        <f t="shared" si="141"/>
        <v>0</v>
      </c>
      <c r="S4340" s="279">
        <v>202304</v>
      </c>
      <c r="T4340" s="184" t="s">
        <v>5675</v>
      </c>
      <c r="U4340" s="213"/>
      <c r="V4340" s="210"/>
      <c r="W4340" s="214"/>
      <c r="X4340" s="73">
        <v>43983</v>
      </c>
      <c r="Y4340" s="73">
        <v>45077</v>
      </c>
    </row>
    <row r="4341" s="5" customFormat="1" customHeight="1" spans="1:25">
      <c r="A4341" s="203" t="s">
        <v>446</v>
      </c>
      <c r="B4341" s="204" t="s">
        <v>5519</v>
      </c>
      <c r="C4341" s="204" t="s">
        <v>125</v>
      </c>
      <c r="D4341" s="204" t="s">
        <v>3939</v>
      </c>
      <c r="E4341" s="205" t="s">
        <v>5671</v>
      </c>
      <c r="F4341" s="203" t="s">
        <v>5672</v>
      </c>
      <c r="G4341" s="203" t="s">
        <v>88</v>
      </c>
      <c r="H4341" s="25" t="s">
        <v>5673</v>
      </c>
      <c r="I4341" s="46" t="e">
        <f>VLOOKUP(H4341,'合同高级查询数据-4月返'!A:A,1,FALSE)</f>
        <v>#N/A</v>
      </c>
      <c r="J4341" s="47" t="s">
        <v>162</v>
      </c>
      <c r="K4341" s="203" t="s">
        <v>5652</v>
      </c>
      <c r="L4341" s="206"/>
      <c r="M4341" s="49" t="s">
        <v>5674</v>
      </c>
      <c r="N4341" s="73">
        <v>44348</v>
      </c>
      <c r="O4341" s="73" t="s">
        <v>163</v>
      </c>
      <c r="P4341" s="396">
        <v>0</v>
      </c>
      <c r="Q4341" s="212">
        <v>1</v>
      </c>
      <c r="R4341" s="386">
        <f t="shared" si="141"/>
        <v>0</v>
      </c>
      <c r="S4341" s="279">
        <v>202304</v>
      </c>
      <c r="T4341" s="184" t="s">
        <v>5676</v>
      </c>
      <c r="U4341" s="213"/>
      <c r="V4341" s="210"/>
      <c r="W4341" s="214"/>
      <c r="X4341" s="73">
        <v>43983</v>
      </c>
      <c r="Y4341" s="73">
        <v>45077</v>
      </c>
    </row>
    <row r="4342" s="5" customFormat="1" customHeight="1" spans="1:25">
      <c r="A4342" s="203" t="s">
        <v>446</v>
      </c>
      <c r="B4342" s="204" t="s">
        <v>5519</v>
      </c>
      <c r="C4342" s="204" t="s">
        <v>125</v>
      </c>
      <c r="D4342" s="204" t="s">
        <v>3939</v>
      </c>
      <c r="E4342" s="205" t="s">
        <v>5671</v>
      </c>
      <c r="F4342" s="203" t="s">
        <v>5672</v>
      </c>
      <c r="G4342" s="203" t="s">
        <v>88</v>
      </c>
      <c r="H4342" s="25" t="s">
        <v>5673</v>
      </c>
      <c r="I4342" s="46" t="e">
        <f>VLOOKUP(H4342,'合同高级查询数据-4月返'!A:A,1,FALSE)</f>
        <v>#N/A</v>
      </c>
      <c r="J4342" s="47" t="s">
        <v>162</v>
      </c>
      <c r="K4342" s="203" t="s">
        <v>5652</v>
      </c>
      <c r="L4342" s="206"/>
      <c r="M4342" s="49" t="s">
        <v>5674</v>
      </c>
      <c r="N4342" s="73">
        <v>44681</v>
      </c>
      <c r="O4342" s="73" t="s">
        <v>163</v>
      </c>
      <c r="P4342" s="396">
        <v>4166</v>
      </c>
      <c r="Q4342" s="212">
        <v>-3</v>
      </c>
      <c r="R4342" s="386">
        <f t="shared" si="141"/>
        <v>-12498</v>
      </c>
      <c r="S4342" s="279">
        <v>202304</v>
      </c>
      <c r="T4342" s="184" t="s">
        <v>5677</v>
      </c>
      <c r="U4342" s="213"/>
      <c r="V4342" s="210"/>
      <c r="W4342" s="214"/>
      <c r="X4342" s="73">
        <v>43983</v>
      </c>
      <c r="Y4342" s="73">
        <v>45077</v>
      </c>
    </row>
    <row r="4343" s="5" customFormat="1" customHeight="1" spans="1:25">
      <c r="A4343" s="203" t="s">
        <v>446</v>
      </c>
      <c r="B4343" s="204" t="s">
        <v>5519</v>
      </c>
      <c r="C4343" s="204" t="s">
        <v>125</v>
      </c>
      <c r="D4343" s="204" t="s">
        <v>3939</v>
      </c>
      <c r="E4343" s="205" t="s">
        <v>5671</v>
      </c>
      <c r="F4343" s="203" t="s">
        <v>5672</v>
      </c>
      <c r="G4343" s="203" t="s">
        <v>88</v>
      </c>
      <c r="H4343" s="25" t="s">
        <v>5673</v>
      </c>
      <c r="I4343" s="46" t="e">
        <f>VLOOKUP(H4343,'合同高级查询数据-4月返'!A:A,1,FALSE)</f>
        <v>#N/A</v>
      </c>
      <c r="J4343" s="47" t="s">
        <v>162</v>
      </c>
      <c r="K4343" s="203" t="s">
        <v>5652</v>
      </c>
      <c r="L4343" s="206"/>
      <c r="M4343" s="49" t="s">
        <v>5674</v>
      </c>
      <c r="N4343" s="73">
        <v>44681</v>
      </c>
      <c r="O4343" s="73" t="s">
        <v>163</v>
      </c>
      <c r="P4343" s="396">
        <v>0</v>
      </c>
      <c r="Q4343" s="212">
        <v>-2</v>
      </c>
      <c r="R4343" s="386">
        <f t="shared" si="141"/>
        <v>0</v>
      </c>
      <c r="S4343" s="279">
        <v>202304</v>
      </c>
      <c r="T4343" s="184" t="s">
        <v>5678</v>
      </c>
      <c r="U4343" s="213"/>
      <c r="V4343" s="210"/>
      <c r="W4343" s="214"/>
      <c r="X4343" s="73">
        <v>43983</v>
      </c>
      <c r="Y4343" s="73">
        <v>45077</v>
      </c>
    </row>
    <row r="4344" s="5" customFormat="1" customHeight="1" spans="1:25">
      <c r="A4344" s="203" t="s">
        <v>446</v>
      </c>
      <c r="B4344" s="204" t="s">
        <v>5519</v>
      </c>
      <c r="C4344" s="204" t="s">
        <v>125</v>
      </c>
      <c r="D4344" s="204" t="s">
        <v>3939</v>
      </c>
      <c r="E4344" s="205" t="s">
        <v>5671</v>
      </c>
      <c r="F4344" s="203" t="s">
        <v>5672</v>
      </c>
      <c r="G4344" s="203" t="s">
        <v>88</v>
      </c>
      <c r="H4344" s="25" t="s">
        <v>5673</v>
      </c>
      <c r="I4344" s="46" t="e">
        <f>VLOOKUP(H4344,'合同高级查询数据-4月返'!A:A,1,FALSE)</f>
        <v>#N/A</v>
      </c>
      <c r="J4344" s="47" t="s">
        <v>162</v>
      </c>
      <c r="K4344" s="203" t="s">
        <v>5652</v>
      </c>
      <c r="L4344" s="206"/>
      <c r="M4344" s="49" t="s">
        <v>5674</v>
      </c>
      <c r="N4344" s="73">
        <v>44712</v>
      </c>
      <c r="O4344" s="73" t="s">
        <v>163</v>
      </c>
      <c r="P4344" s="396">
        <v>0</v>
      </c>
      <c r="Q4344" s="212">
        <v>-1</v>
      </c>
      <c r="R4344" s="386">
        <f t="shared" si="141"/>
        <v>0</v>
      </c>
      <c r="S4344" s="279">
        <v>202304</v>
      </c>
      <c r="T4344" s="184" t="s">
        <v>5679</v>
      </c>
      <c r="U4344" s="213"/>
      <c r="V4344" s="210"/>
      <c r="W4344" s="214"/>
      <c r="X4344" s="73">
        <v>43983</v>
      </c>
      <c r="Y4344" s="73">
        <v>45077</v>
      </c>
    </row>
    <row r="4345" s="5" customFormat="1" customHeight="1" spans="1:25">
      <c r="A4345" s="203" t="s">
        <v>446</v>
      </c>
      <c r="B4345" s="204" t="s">
        <v>5519</v>
      </c>
      <c r="C4345" s="204" t="s">
        <v>125</v>
      </c>
      <c r="D4345" s="204" t="s">
        <v>3939</v>
      </c>
      <c r="E4345" s="205" t="s">
        <v>5671</v>
      </c>
      <c r="F4345" s="203" t="s">
        <v>5672</v>
      </c>
      <c r="G4345" s="203" t="s">
        <v>31</v>
      </c>
      <c r="H4345" s="25" t="s">
        <v>5673</v>
      </c>
      <c r="I4345" s="46" t="e">
        <f>VLOOKUP(H4345,'合同高级查询数据-4月返'!A:A,1,FALSE)</f>
        <v>#N/A</v>
      </c>
      <c r="J4345" s="47" t="s">
        <v>3189</v>
      </c>
      <c r="K4345" s="203" t="s">
        <v>5652</v>
      </c>
      <c r="L4345" s="206" t="s">
        <v>5680</v>
      </c>
      <c r="M4345" s="49"/>
      <c r="N4345" s="73">
        <v>41579</v>
      </c>
      <c r="O4345" s="73"/>
      <c r="P4345" s="396">
        <v>0</v>
      </c>
      <c r="Q4345" s="212">
        <v>416</v>
      </c>
      <c r="R4345" s="386">
        <f t="shared" si="141"/>
        <v>0</v>
      </c>
      <c r="S4345" s="279">
        <v>202304</v>
      </c>
      <c r="T4345" s="184" t="s">
        <v>5681</v>
      </c>
      <c r="U4345" s="213"/>
      <c r="V4345" s="210"/>
      <c r="W4345" s="214"/>
      <c r="X4345" s="73">
        <v>43983</v>
      </c>
      <c r="Y4345" s="73">
        <v>45077</v>
      </c>
    </row>
    <row r="4346" s="5" customFormat="1" customHeight="1" spans="1:25">
      <c r="A4346" s="203" t="s">
        <v>446</v>
      </c>
      <c r="B4346" s="204" t="s">
        <v>5519</v>
      </c>
      <c r="C4346" s="204" t="s">
        <v>125</v>
      </c>
      <c r="D4346" s="204" t="s">
        <v>3939</v>
      </c>
      <c r="E4346" s="205" t="s">
        <v>5671</v>
      </c>
      <c r="F4346" s="203" t="s">
        <v>5672</v>
      </c>
      <c r="G4346" s="203" t="s">
        <v>31</v>
      </c>
      <c r="H4346" s="25" t="s">
        <v>5673</v>
      </c>
      <c r="I4346" s="46" t="e">
        <f>VLOOKUP(H4346,'合同高级查询数据-4月返'!A:A,1,FALSE)</f>
        <v>#N/A</v>
      </c>
      <c r="J4346" s="47" t="s">
        <v>3189</v>
      </c>
      <c r="K4346" s="203" t="s">
        <v>5652</v>
      </c>
      <c r="L4346" s="206" t="s">
        <v>5680</v>
      </c>
      <c r="M4346" s="49"/>
      <c r="N4346" s="73">
        <v>44712</v>
      </c>
      <c r="O4346" s="73"/>
      <c r="P4346" s="396">
        <v>0</v>
      </c>
      <c r="Q4346" s="212">
        <v>-416</v>
      </c>
      <c r="R4346" s="386">
        <f t="shared" si="141"/>
        <v>0</v>
      </c>
      <c r="S4346" s="279">
        <v>202304</v>
      </c>
      <c r="T4346" s="184" t="s">
        <v>5682</v>
      </c>
      <c r="U4346" s="213"/>
      <c r="V4346" s="210"/>
      <c r="W4346" s="214"/>
      <c r="X4346" s="73">
        <v>43983</v>
      </c>
      <c r="Y4346" s="73">
        <v>45077</v>
      </c>
    </row>
    <row r="4347" s="5" customFormat="1" customHeight="1" spans="1:25">
      <c r="A4347" s="203" t="s">
        <v>446</v>
      </c>
      <c r="B4347" s="204" t="s">
        <v>5519</v>
      </c>
      <c r="C4347" s="204" t="s">
        <v>125</v>
      </c>
      <c r="D4347" s="204" t="s">
        <v>3939</v>
      </c>
      <c r="E4347" s="205" t="s">
        <v>5671</v>
      </c>
      <c r="F4347" s="203" t="s">
        <v>5672</v>
      </c>
      <c r="G4347" s="203" t="s">
        <v>88</v>
      </c>
      <c r="H4347" s="25" t="s">
        <v>5673</v>
      </c>
      <c r="I4347" s="46" t="e">
        <f>VLOOKUP(H4347,'合同高级查询数据-4月返'!A:A,1,FALSE)</f>
        <v>#N/A</v>
      </c>
      <c r="J4347" s="47" t="s">
        <v>162</v>
      </c>
      <c r="K4347" s="203" t="s">
        <v>5652</v>
      </c>
      <c r="L4347" s="206"/>
      <c r="M4347" s="49" t="s">
        <v>5674</v>
      </c>
      <c r="N4347" s="73">
        <v>43766</v>
      </c>
      <c r="O4347" s="73" t="s">
        <v>163</v>
      </c>
      <c r="P4347" s="396">
        <v>4166</v>
      </c>
      <c r="Q4347" s="212">
        <v>1</v>
      </c>
      <c r="R4347" s="386">
        <f t="shared" si="141"/>
        <v>4166</v>
      </c>
      <c r="S4347" s="279">
        <v>202304</v>
      </c>
      <c r="T4347" s="184" t="s">
        <v>5683</v>
      </c>
      <c r="U4347" s="213"/>
      <c r="V4347" s="210"/>
      <c r="W4347" s="214"/>
      <c r="X4347" s="73">
        <v>43983</v>
      </c>
      <c r="Y4347" s="73">
        <v>45077</v>
      </c>
    </row>
    <row r="4348" s="5" customFormat="1" customHeight="1" spans="1:25">
      <c r="A4348" s="203" t="s">
        <v>446</v>
      </c>
      <c r="B4348" s="204" t="s">
        <v>5519</v>
      </c>
      <c r="C4348" s="204" t="s">
        <v>125</v>
      </c>
      <c r="D4348" s="204" t="s">
        <v>3939</v>
      </c>
      <c r="E4348" s="205" t="s">
        <v>5671</v>
      </c>
      <c r="F4348" s="203" t="s">
        <v>5672</v>
      </c>
      <c r="G4348" s="203" t="s">
        <v>88</v>
      </c>
      <c r="H4348" s="25" t="s">
        <v>5673</v>
      </c>
      <c r="I4348" s="46" t="e">
        <f>VLOOKUP(H4348,'合同高级查询数据-4月返'!A:A,1,FALSE)</f>
        <v>#N/A</v>
      </c>
      <c r="J4348" s="47" t="s">
        <v>162</v>
      </c>
      <c r="K4348" s="203" t="s">
        <v>5652</v>
      </c>
      <c r="L4348" s="206"/>
      <c r="M4348" s="49" t="s">
        <v>5674</v>
      </c>
      <c r="N4348" s="73">
        <v>44712</v>
      </c>
      <c r="O4348" s="73" t="s">
        <v>163</v>
      </c>
      <c r="P4348" s="396">
        <v>4166</v>
      </c>
      <c r="Q4348" s="212">
        <v>-1</v>
      </c>
      <c r="R4348" s="386">
        <f t="shared" si="141"/>
        <v>-4166</v>
      </c>
      <c r="S4348" s="279">
        <v>202304</v>
      </c>
      <c r="T4348" s="184" t="s">
        <v>5684</v>
      </c>
      <c r="U4348" s="213"/>
      <c r="V4348" s="210"/>
      <c r="W4348" s="214"/>
      <c r="X4348" s="73">
        <v>43983</v>
      </c>
      <c r="Y4348" s="73">
        <v>45077</v>
      </c>
    </row>
    <row r="4349" s="5" customFormat="1" customHeight="1" spans="1:25">
      <c r="A4349" s="203" t="s">
        <v>446</v>
      </c>
      <c r="B4349" s="204" t="s">
        <v>5519</v>
      </c>
      <c r="C4349" s="204" t="s">
        <v>125</v>
      </c>
      <c r="D4349" s="204" t="s">
        <v>3939</v>
      </c>
      <c r="E4349" s="205" t="s">
        <v>5671</v>
      </c>
      <c r="F4349" s="203" t="s">
        <v>5672</v>
      </c>
      <c r="G4349" s="203" t="s">
        <v>31</v>
      </c>
      <c r="H4349" s="25" t="s">
        <v>5673</v>
      </c>
      <c r="I4349" s="46" t="e">
        <f>VLOOKUP(H4349,'合同高级查询数据-4月返'!A:A,1,FALSE)</f>
        <v>#N/A</v>
      </c>
      <c r="J4349" s="47" t="s">
        <v>3189</v>
      </c>
      <c r="K4349" s="203" t="s">
        <v>5685</v>
      </c>
      <c r="L4349" s="206" t="s">
        <v>5686</v>
      </c>
      <c r="M4349" s="49"/>
      <c r="N4349" s="73">
        <v>44078</v>
      </c>
      <c r="O4349" s="73" t="s">
        <v>37</v>
      </c>
      <c r="P4349" s="396">
        <v>0</v>
      </c>
      <c r="Q4349" s="212">
        <v>256</v>
      </c>
      <c r="R4349" s="386">
        <f t="shared" si="141"/>
        <v>0</v>
      </c>
      <c r="S4349" s="279">
        <v>202304</v>
      </c>
      <c r="T4349" s="184" t="s">
        <v>5687</v>
      </c>
      <c r="U4349" s="213"/>
      <c r="V4349" s="210"/>
      <c r="W4349" s="214"/>
      <c r="X4349" s="73">
        <v>43983</v>
      </c>
      <c r="Y4349" s="73">
        <v>45077</v>
      </c>
    </row>
    <row r="4350" s="5" customFormat="1" customHeight="1" spans="1:25">
      <c r="A4350" s="203" t="s">
        <v>446</v>
      </c>
      <c r="B4350" s="204" t="s">
        <v>5519</v>
      </c>
      <c r="C4350" s="204" t="s">
        <v>125</v>
      </c>
      <c r="D4350" s="204" t="s">
        <v>3939</v>
      </c>
      <c r="E4350" s="205" t="s">
        <v>5671</v>
      </c>
      <c r="F4350" s="203" t="s">
        <v>5672</v>
      </c>
      <c r="G4350" s="203" t="s">
        <v>31</v>
      </c>
      <c r="H4350" s="25" t="s">
        <v>5673</v>
      </c>
      <c r="I4350" s="46" t="e">
        <f>VLOOKUP(H4350,'合同高级查询数据-4月返'!A:A,1,FALSE)</f>
        <v>#N/A</v>
      </c>
      <c r="J4350" s="47" t="s">
        <v>3189</v>
      </c>
      <c r="K4350" s="203" t="s">
        <v>5685</v>
      </c>
      <c r="L4350" s="206" t="s">
        <v>5686</v>
      </c>
      <c r="M4350" s="49"/>
      <c r="N4350" s="73">
        <v>44218</v>
      </c>
      <c r="O4350" s="73" t="s">
        <v>37</v>
      </c>
      <c r="P4350" s="396">
        <v>0</v>
      </c>
      <c r="Q4350" s="212">
        <v>256</v>
      </c>
      <c r="R4350" s="386">
        <f t="shared" si="141"/>
        <v>0</v>
      </c>
      <c r="S4350" s="279">
        <v>202304</v>
      </c>
      <c r="T4350" s="184" t="s">
        <v>5688</v>
      </c>
      <c r="U4350" s="213"/>
      <c r="V4350" s="210"/>
      <c r="W4350" s="214"/>
      <c r="X4350" s="73">
        <v>43983</v>
      </c>
      <c r="Y4350" s="73">
        <v>45077</v>
      </c>
    </row>
    <row r="4351" s="3" customFormat="1" customHeight="1" spans="1:25">
      <c r="A4351" s="154" t="s">
        <v>446</v>
      </c>
      <c r="B4351" s="292" t="s">
        <v>5519</v>
      </c>
      <c r="C4351" s="292" t="s">
        <v>125</v>
      </c>
      <c r="D4351" s="292" t="s">
        <v>3939</v>
      </c>
      <c r="E4351" s="153" t="s">
        <v>5671</v>
      </c>
      <c r="F4351" s="154" t="s">
        <v>5672</v>
      </c>
      <c r="G4351" s="154" t="s">
        <v>31</v>
      </c>
      <c r="H4351" s="110" t="s">
        <v>5689</v>
      </c>
      <c r="I4351" s="30" t="e">
        <f>VLOOKUP(H4351,'合同高级查询数据-4月返'!A:A,1,FALSE)</f>
        <v>#N/A</v>
      </c>
      <c r="J4351" s="31" t="s">
        <v>3092</v>
      </c>
      <c r="K4351" s="154" t="s">
        <v>5690</v>
      </c>
      <c r="L4351" s="293" t="s">
        <v>5691</v>
      </c>
      <c r="M4351" s="113"/>
      <c r="N4351" s="146" t="s">
        <v>1329</v>
      </c>
      <c r="O4351" s="146" t="s">
        <v>37</v>
      </c>
      <c r="P4351" s="400">
        <v>0</v>
      </c>
      <c r="Q4351" s="295">
        <v>512</v>
      </c>
      <c r="R4351" s="390">
        <f t="shared" si="141"/>
        <v>0</v>
      </c>
      <c r="S4351" s="277">
        <v>202304</v>
      </c>
      <c r="T4351" s="198" t="s">
        <v>5692</v>
      </c>
      <c r="U4351" s="391"/>
      <c r="V4351" s="61"/>
      <c r="W4351" s="393"/>
      <c r="X4351" s="146"/>
      <c r="Y4351" s="146"/>
    </row>
    <row r="4352" s="3" customFormat="1" customHeight="1" spans="1:25">
      <c r="A4352" s="154" t="s">
        <v>446</v>
      </c>
      <c r="B4352" s="292" t="s">
        <v>5519</v>
      </c>
      <c r="C4352" s="292" t="s">
        <v>125</v>
      </c>
      <c r="D4352" s="292" t="s">
        <v>3939</v>
      </c>
      <c r="E4352" s="153" t="s">
        <v>5671</v>
      </c>
      <c r="F4352" s="154" t="s">
        <v>5672</v>
      </c>
      <c r="G4352" s="154" t="s">
        <v>31</v>
      </c>
      <c r="H4352" s="110" t="s">
        <v>5689</v>
      </c>
      <c r="I4352" s="30" t="e">
        <f>VLOOKUP(H4352,'合同高级查询数据-4月返'!A:A,1,FALSE)</f>
        <v>#N/A</v>
      </c>
      <c r="J4352" s="31" t="s">
        <v>3092</v>
      </c>
      <c r="K4352" s="154" t="s">
        <v>5690</v>
      </c>
      <c r="L4352" s="293" t="s">
        <v>5691</v>
      </c>
      <c r="M4352" s="113"/>
      <c r="N4352" s="146">
        <v>44767</v>
      </c>
      <c r="O4352" s="146" t="s">
        <v>37</v>
      </c>
      <c r="P4352" s="400">
        <v>50</v>
      </c>
      <c r="Q4352" s="295">
        <v>192</v>
      </c>
      <c r="R4352" s="390">
        <f t="shared" si="141"/>
        <v>9600</v>
      </c>
      <c r="S4352" s="277">
        <v>202304</v>
      </c>
      <c r="T4352" s="416" t="s">
        <v>5693</v>
      </c>
      <c r="U4352" s="391"/>
      <c r="V4352" s="61"/>
      <c r="W4352" s="393"/>
      <c r="X4352" s="146"/>
      <c r="Y4352" s="146"/>
    </row>
    <row r="4353" s="3" customFormat="1" customHeight="1" spans="1:25">
      <c r="A4353" s="154" t="s">
        <v>446</v>
      </c>
      <c r="B4353" s="292" t="s">
        <v>5519</v>
      </c>
      <c r="C4353" s="292" t="s">
        <v>125</v>
      </c>
      <c r="D4353" s="292" t="s">
        <v>3939</v>
      </c>
      <c r="E4353" s="153" t="s">
        <v>5671</v>
      </c>
      <c r="F4353" s="154" t="s">
        <v>5672</v>
      </c>
      <c r="G4353" s="154" t="s">
        <v>31</v>
      </c>
      <c r="H4353" s="110" t="s">
        <v>5689</v>
      </c>
      <c r="I4353" s="30" t="e">
        <f>VLOOKUP(H4353,'合同高级查询数据-4月返'!A:A,1,FALSE)</f>
        <v>#N/A</v>
      </c>
      <c r="J4353" s="31" t="s">
        <v>3092</v>
      </c>
      <c r="K4353" s="154" t="s">
        <v>5690</v>
      </c>
      <c r="L4353" s="293" t="s">
        <v>5691</v>
      </c>
      <c r="M4353" s="113"/>
      <c r="N4353" s="146">
        <v>44767</v>
      </c>
      <c r="O4353" s="146" t="s">
        <v>37</v>
      </c>
      <c r="P4353" s="400">
        <v>50</v>
      </c>
      <c r="Q4353" s="295">
        <f>448-192</f>
        <v>256</v>
      </c>
      <c r="R4353" s="390">
        <f t="shared" si="141"/>
        <v>12800</v>
      </c>
      <c r="S4353" s="277">
        <v>202304</v>
      </c>
      <c r="T4353" s="198" t="s">
        <v>5694</v>
      </c>
      <c r="U4353" s="391"/>
      <c r="V4353" s="61"/>
      <c r="W4353" s="393"/>
      <c r="X4353" s="146"/>
      <c r="Y4353" s="146"/>
    </row>
    <row r="4354" s="5" customFormat="1" customHeight="1" spans="1:25">
      <c r="A4354" s="203" t="s">
        <v>446</v>
      </c>
      <c r="B4354" s="204" t="s">
        <v>5519</v>
      </c>
      <c r="C4354" s="204" t="s">
        <v>125</v>
      </c>
      <c r="D4354" s="204" t="s">
        <v>3939</v>
      </c>
      <c r="E4354" s="205" t="s">
        <v>5671</v>
      </c>
      <c r="F4354" s="203" t="s">
        <v>5672</v>
      </c>
      <c r="G4354" s="203" t="s">
        <v>31</v>
      </c>
      <c r="H4354" s="25" t="s">
        <v>5673</v>
      </c>
      <c r="I4354" s="46" t="e">
        <f>VLOOKUP(H4354,'合同高级查询数据-4月返'!A:A,1,FALSE)</f>
        <v>#N/A</v>
      </c>
      <c r="J4354" s="47" t="s">
        <v>3092</v>
      </c>
      <c r="K4354" s="203" t="s">
        <v>5695</v>
      </c>
      <c r="L4354" s="206"/>
      <c r="M4354" s="49"/>
      <c r="N4354" s="73">
        <v>44317</v>
      </c>
      <c r="O4354" s="73" t="s">
        <v>37</v>
      </c>
      <c r="P4354" s="396">
        <v>0</v>
      </c>
      <c r="Q4354" s="212">
        <v>512</v>
      </c>
      <c r="R4354" s="386">
        <f t="shared" si="141"/>
        <v>0</v>
      </c>
      <c r="S4354" s="279">
        <v>202304</v>
      </c>
      <c r="T4354" s="184" t="s">
        <v>5696</v>
      </c>
      <c r="U4354" s="213"/>
      <c r="V4354" s="210"/>
      <c r="W4354" s="214"/>
      <c r="X4354" s="73">
        <v>43983</v>
      </c>
      <c r="Y4354" s="73">
        <v>45077</v>
      </c>
    </row>
    <row r="4355" s="5" customFormat="1" customHeight="1" spans="1:25">
      <c r="A4355" s="203" t="s">
        <v>446</v>
      </c>
      <c r="B4355" s="204" t="s">
        <v>5519</v>
      </c>
      <c r="C4355" s="204" t="s">
        <v>125</v>
      </c>
      <c r="D4355" s="204" t="s">
        <v>3939</v>
      </c>
      <c r="E4355" s="205" t="s">
        <v>5671</v>
      </c>
      <c r="F4355" s="203" t="s">
        <v>5672</v>
      </c>
      <c r="G4355" s="203" t="s">
        <v>31</v>
      </c>
      <c r="H4355" s="25" t="s">
        <v>5673</v>
      </c>
      <c r="I4355" s="46" t="e">
        <f>VLOOKUP(H4355,'合同高级查询数据-4月返'!A:A,1,FALSE)</f>
        <v>#N/A</v>
      </c>
      <c r="J4355" s="47" t="s">
        <v>3092</v>
      </c>
      <c r="K4355" s="203" t="s">
        <v>5695</v>
      </c>
      <c r="L4355" s="206"/>
      <c r="M4355" s="49"/>
      <c r="N4355" s="73">
        <v>44317</v>
      </c>
      <c r="O4355" s="73" t="s">
        <v>37</v>
      </c>
      <c r="P4355" s="396">
        <v>50</v>
      </c>
      <c r="Q4355" s="212">
        <v>1280</v>
      </c>
      <c r="R4355" s="386">
        <f t="shared" si="141"/>
        <v>64000</v>
      </c>
      <c r="S4355" s="279">
        <v>202304</v>
      </c>
      <c r="T4355" s="184" t="s">
        <v>5697</v>
      </c>
      <c r="U4355" s="213"/>
      <c r="V4355" s="210"/>
      <c r="W4355" s="214"/>
      <c r="X4355" s="73">
        <v>43983</v>
      </c>
      <c r="Y4355" s="73">
        <v>45077</v>
      </c>
    </row>
    <row r="4356" s="5" customFormat="1" customHeight="1" spans="1:25">
      <c r="A4356" s="203" t="s">
        <v>446</v>
      </c>
      <c r="B4356" s="204" t="s">
        <v>5519</v>
      </c>
      <c r="C4356" s="204" t="s">
        <v>125</v>
      </c>
      <c r="D4356" s="204" t="s">
        <v>3939</v>
      </c>
      <c r="E4356" s="205" t="s">
        <v>5671</v>
      </c>
      <c r="F4356" s="203" t="s">
        <v>5672</v>
      </c>
      <c r="G4356" s="203" t="s">
        <v>31</v>
      </c>
      <c r="H4356" s="25" t="s">
        <v>5673</v>
      </c>
      <c r="I4356" s="46" t="e">
        <f>VLOOKUP(H4356,'合同高级查询数据-4月返'!A:A,1,FALSE)</f>
        <v>#N/A</v>
      </c>
      <c r="J4356" s="47" t="s">
        <v>3092</v>
      </c>
      <c r="K4356" s="203" t="s">
        <v>5695</v>
      </c>
      <c r="L4356" s="206"/>
      <c r="M4356" s="49"/>
      <c r="N4356" s="73">
        <v>44317</v>
      </c>
      <c r="O4356" s="73" t="s">
        <v>179</v>
      </c>
      <c r="P4356" s="396">
        <v>0</v>
      </c>
      <c r="Q4356" s="212">
        <v>4</v>
      </c>
      <c r="R4356" s="386">
        <f t="shared" si="141"/>
        <v>0</v>
      </c>
      <c r="S4356" s="279">
        <v>202304</v>
      </c>
      <c r="T4356" s="184" t="s">
        <v>5698</v>
      </c>
      <c r="U4356" s="213"/>
      <c r="V4356" s="210"/>
      <c r="W4356" s="214"/>
      <c r="X4356" s="73">
        <v>43983</v>
      </c>
      <c r="Y4356" s="73">
        <v>45077</v>
      </c>
    </row>
    <row r="4357" s="5" customFormat="1" customHeight="1" spans="1:25">
      <c r="A4357" s="203" t="s">
        <v>446</v>
      </c>
      <c r="B4357" s="204" t="s">
        <v>5519</v>
      </c>
      <c r="C4357" s="204" t="s">
        <v>125</v>
      </c>
      <c r="D4357" s="204" t="s">
        <v>3939</v>
      </c>
      <c r="E4357" s="205" t="s">
        <v>5671</v>
      </c>
      <c r="F4357" s="203" t="s">
        <v>5672</v>
      </c>
      <c r="G4357" s="203" t="s">
        <v>88</v>
      </c>
      <c r="H4357" s="25" t="s">
        <v>5699</v>
      </c>
      <c r="I4357" s="46" t="e">
        <f>VLOOKUP(H4357,'合同高级查询数据-4月返'!A:A,1,FALSE)</f>
        <v>#N/A</v>
      </c>
      <c r="J4357" s="47" t="s">
        <v>90</v>
      </c>
      <c r="K4357" s="203" t="s">
        <v>5652</v>
      </c>
      <c r="L4357" s="206"/>
      <c r="M4357" s="49" t="s">
        <v>5700</v>
      </c>
      <c r="N4357" s="73">
        <v>43915</v>
      </c>
      <c r="O4357" s="73" t="s">
        <v>503</v>
      </c>
      <c r="P4357" s="396">
        <v>5000</v>
      </c>
      <c r="Q4357" s="212">
        <v>3</v>
      </c>
      <c r="R4357" s="386">
        <f t="shared" si="141"/>
        <v>15000</v>
      </c>
      <c r="S4357" s="279">
        <v>202304</v>
      </c>
      <c r="T4357" s="184" t="s">
        <v>5701</v>
      </c>
      <c r="U4357" s="213"/>
      <c r="V4357" s="210"/>
      <c r="W4357" s="214"/>
      <c r="X4357" s="73">
        <v>43922</v>
      </c>
      <c r="Y4357" s="73">
        <v>46234</v>
      </c>
    </row>
    <row r="4358" s="5" customFormat="1" customHeight="1" spans="1:25">
      <c r="A4358" s="203" t="s">
        <v>446</v>
      </c>
      <c r="B4358" s="204" t="s">
        <v>5519</v>
      </c>
      <c r="C4358" s="204" t="s">
        <v>125</v>
      </c>
      <c r="D4358" s="204" t="s">
        <v>3939</v>
      </c>
      <c r="E4358" s="205" t="s">
        <v>5671</v>
      </c>
      <c r="F4358" s="203" t="s">
        <v>5672</v>
      </c>
      <c r="G4358" s="203" t="s">
        <v>88</v>
      </c>
      <c r="H4358" s="25" t="s">
        <v>5699</v>
      </c>
      <c r="I4358" s="46" t="e">
        <f>VLOOKUP(H4358,'合同高级查询数据-4月返'!A:A,1,FALSE)</f>
        <v>#N/A</v>
      </c>
      <c r="J4358" s="47" t="s">
        <v>90</v>
      </c>
      <c r="K4358" s="203" t="s">
        <v>5652</v>
      </c>
      <c r="L4358" s="206"/>
      <c r="M4358" s="49" t="s">
        <v>5700</v>
      </c>
      <c r="N4358" s="73">
        <v>43930</v>
      </c>
      <c r="O4358" s="73" t="s">
        <v>503</v>
      </c>
      <c r="P4358" s="396">
        <v>5000</v>
      </c>
      <c r="Q4358" s="212">
        <v>1</v>
      </c>
      <c r="R4358" s="386">
        <f t="shared" si="141"/>
        <v>5000</v>
      </c>
      <c r="S4358" s="279">
        <v>202304</v>
      </c>
      <c r="T4358" s="184" t="s">
        <v>5702</v>
      </c>
      <c r="U4358" s="213"/>
      <c r="V4358" s="210"/>
      <c r="W4358" s="214"/>
      <c r="X4358" s="73">
        <v>43922</v>
      </c>
      <c r="Y4358" s="73">
        <v>46234</v>
      </c>
    </row>
    <row r="4359" s="5" customFormat="1" customHeight="1" spans="1:25">
      <c r="A4359" s="203" t="s">
        <v>446</v>
      </c>
      <c r="B4359" s="204" t="s">
        <v>5519</v>
      </c>
      <c r="C4359" s="204" t="s">
        <v>125</v>
      </c>
      <c r="D4359" s="204" t="s">
        <v>3939</v>
      </c>
      <c r="E4359" s="205" t="s">
        <v>5671</v>
      </c>
      <c r="F4359" s="203" t="s">
        <v>5672</v>
      </c>
      <c r="G4359" s="203" t="s">
        <v>88</v>
      </c>
      <c r="H4359" s="25" t="s">
        <v>5699</v>
      </c>
      <c r="I4359" s="46" t="e">
        <f>VLOOKUP(H4359,'合同高级查询数据-4月返'!A:A,1,FALSE)</f>
        <v>#N/A</v>
      </c>
      <c r="J4359" s="47" t="s">
        <v>90</v>
      </c>
      <c r="K4359" s="203" t="s">
        <v>5652</v>
      </c>
      <c r="L4359" s="206"/>
      <c r="M4359" s="49" t="s">
        <v>5700</v>
      </c>
      <c r="N4359" s="73">
        <v>43938</v>
      </c>
      <c r="O4359" s="73" t="s">
        <v>503</v>
      </c>
      <c r="P4359" s="396">
        <v>5000</v>
      </c>
      <c r="Q4359" s="212">
        <v>2</v>
      </c>
      <c r="R4359" s="386">
        <f t="shared" si="141"/>
        <v>10000</v>
      </c>
      <c r="S4359" s="279">
        <v>202304</v>
      </c>
      <c r="T4359" s="184" t="s">
        <v>5703</v>
      </c>
      <c r="U4359" s="213"/>
      <c r="V4359" s="210"/>
      <c r="W4359" s="214"/>
      <c r="X4359" s="73">
        <v>43922</v>
      </c>
      <c r="Y4359" s="73">
        <v>46234</v>
      </c>
    </row>
    <row r="4360" s="5" customFormat="1" customHeight="1" spans="1:25">
      <c r="A4360" s="203" t="s">
        <v>446</v>
      </c>
      <c r="B4360" s="204" t="s">
        <v>5519</v>
      </c>
      <c r="C4360" s="204" t="s">
        <v>125</v>
      </c>
      <c r="D4360" s="204" t="s">
        <v>3939</v>
      </c>
      <c r="E4360" s="205" t="s">
        <v>5671</v>
      </c>
      <c r="F4360" s="203" t="s">
        <v>5672</v>
      </c>
      <c r="G4360" s="203" t="s">
        <v>88</v>
      </c>
      <c r="H4360" s="25" t="s">
        <v>5699</v>
      </c>
      <c r="I4360" s="46" t="e">
        <f>VLOOKUP(H4360,'合同高级查询数据-4月返'!A:A,1,FALSE)</f>
        <v>#N/A</v>
      </c>
      <c r="J4360" s="47" t="s">
        <v>90</v>
      </c>
      <c r="K4360" s="203" t="s">
        <v>5652</v>
      </c>
      <c r="L4360" s="206"/>
      <c r="M4360" s="49" t="s">
        <v>5700</v>
      </c>
      <c r="N4360" s="73">
        <v>43964</v>
      </c>
      <c r="O4360" s="73" t="s">
        <v>503</v>
      </c>
      <c r="P4360" s="396">
        <v>5000</v>
      </c>
      <c r="Q4360" s="212">
        <v>1</v>
      </c>
      <c r="R4360" s="386">
        <f t="shared" si="141"/>
        <v>5000</v>
      </c>
      <c r="S4360" s="279">
        <v>202304</v>
      </c>
      <c r="T4360" s="184" t="s">
        <v>5704</v>
      </c>
      <c r="U4360" s="213"/>
      <c r="V4360" s="210"/>
      <c r="W4360" s="214"/>
      <c r="X4360" s="73">
        <v>43922</v>
      </c>
      <c r="Y4360" s="73">
        <v>46234</v>
      </c>
    </row>
    <row r="4361" s="5" customFormat="1" customHeight="1" spans="1:25">
      <c r="A4361" s="203" t="s">
        <v>446</v>
      </c>
      <c r="B4361" s="204" t="s">
        <v>5519</v>
      </c>
      <c r="C4361" s="204" t="s">
        <v>125</v>
      </c>
      <c r="D4361" s="204" t="s">
        <v>3939</v>
      </c>
      <c r="E4361" s="205" t="s">
        <v>5671</v>
      </c>
      <c r="F4361" s="203" t="s">
        <v>5672</v>
      </c>
      <c r="G4361" s="203" t="s">
        <v>88</v>
      </c>
      <c r="H4361" s="25" t="s">
        <v>5699</v>
      </c>
      <c r="I4361" s="46" t="e">
        <f>VLOOKUP(H4361,'合同高级查询数据-4月返'!A:A,1,FALSE)</f>
        <v>#N/A</v>
      </c>
      <c r="J4361" s="47" t="s">
        <v>90</v>
      </c>
      <c r="K4361" s="203" t="s">
        <v>5652</v>
      </c>
      <c r="L4361" s="206"/>
      <c r="M4361" s="49" t="s">
        <v>5700</v>
      </c>
      <c r="N4361" s="73">
        <v>43949</v>
      </c>
      <c r="O4361" s="73" t="s">
        <v>503</v>
      </c>
      <c r="P4361" s="396">
        <v>5000</v>
      </c>
      <c r="Q4361" s="212">
        <v>1</v>
      </c>
      <c r="R4361" s="386">
        <f t="shared" si="141"/>
        <v>5000</v>
      </c>
      <c r="S4361" s="279">
        <v>202304</v>
      </c>
      <c r="T4361" s="184" t="s">
        <v>5705</v>
      </c>
      <c r="U4361" s="213"/>
      <c r="V4361" s="210"/>
      <c r="W4361" s="214"/>
      <c r="X4361" s="73">
        <v>43922</v>
      </c>
      <c r="Y4361" s="73">
        <v>46234</v>
      </c>
    </row>
    <row r="4362" s="5" customFormat="1" customHeight="1" spans="1:25">
      <c r="A4362" s="203" t="s">
        <v>446</v>
      </c>
      <c r="B4362" s="204" t="s">
        <v>5519</v>
      </c>
      <c r="C4362" s="204" t="s">
        <v>125</v>
      </c>
      <c r="D4362" s="204" t="s">
        <v>3939</v>
      </c>
      <c r="E4362" s="205" t="s">
        <v>5671</v>
      </c>
      <c r="F4362" s="203" t="s">
        <v>5672</v>
      </c>
      <c r="G4362" s="203" t="s">
        <v>88</v>
      </c>
      <c r="H4362" s="25" t="s">
        <v>5699</v>
      </c>
      <c r="I4362" s="46" t="e">
        <f>VLOOKUP(H4362,'合同高级查询数据-4月返'!A:A,1,FALSE)</f>
        <v>#N/A</v>
      </c>
      <c r="J4362" s="47" t="s">
        <v>90</v>
      </c>
      <c r="K4362" s="203" t="s">
        <v>5652</v>
      </c>
      <c r="L4362" s="206"/>
      <c r="M4362" s="49" t="s">
        <v>5700</v>
      </c>
      <c r="N4362" s="73">
        <v>44001</v>
      </c>
      <c r="O4362" s="73" t="s">
        <v>503</v>
      </c>
      <c r="P4362" s="396">
        <v>5000</v>
      </c>
      <c r="Q4362" s="212">
        <v>1</v>
      </c>
      <c r="R4362" s="386">
        <f t="shared" si="141"/>
        <v>5000</v>
      </c>
      <c r="S4362" s="279">
        <v>202304</v>
      </c>
      <c r="T4362" s="184" t="s">
        <v>5706</v>
      </c>
      <c r="U4362" s="213"/>
      <c r="V4362" s="210"/>
      <c r="W4362" s="214"/>
      <c r="X4362" s="73">
        <v>43922</v>
      </c>
      <c r="Y4362" s="73">
        <v>46234</v>
      </c>
    </row>
    <row r="4363" s="5" customFormat="1" customHeight="1" spans="1:25">
      <c r="A4363" s="203" t="s">
        <v>446</v>
      </c>
      <c r="B4363" s="204" t="s">
        <v>5519</v>
      </c>
      <c r="C4363" s="204" t="s">
        <v>125</v>
      </c>
      <c r="D4363" s="204" t="s">
        <v>3939</v>
      </c>
      <c r="E4363" s="205" t="s">
        <v>5671</v>
      </c>
      <c r="F4363" s="203" t="s">
        <v>5672</v>
      </c>
      <c r="G4363" s="203" t="s">
        <v>88</v>
      </c>
      <c r="H4363" s="25" t="s">
        <v>5699</v>
      </c>
      <c r="I4363" s="46" t="e">
        <f>VLOOKUP(H4363,'合同高级查询数据-4月返'!A:A,1,FALSE)</f>
        <v>#N/A</v>
      </c>
      <c r="J4363" s="47" t="s">
        <v>90</v>
      </c>
      <c r="K4363" s="203" t="s">
        <v>5652</v>
      </c>
      <c r="L4363" s="206"/>
      <c r="M4363" s="49" t="s">
        <v>5700</v>
      </c>
      <c r="N4363" s="73">
        <v>44046</v>
      </c>
      <c r="O4363" s="73" t="s">
        <v>503</v>
      </c>
      <c r="P4363" s="396">
        <v>5000</v>
      </c>
      <c r="Q4363" s="212">
        <v>1</v>
      </c>
      <c r="R4363" s="386">
        <f t="shared" si="141"/>
        <v>5000</v>
      </c>
      <c r="S4363" s="279">
        <v>202304</v>
      </c>
      <c r="T4363" s="184" t="s">
        <v>5707</v>
      </c>
      <c r="U4363" s="213"/>
      <c r="V4363" s="210"/>
      <c r="W4363" s="214"/>
      <c r="X4363" s="73">
        <v>43922</v>
      </c>
      <c r="Y4363" s="73">
        <v>46234</v>
      </c>
    </row>
    <row r="4364" s="5" customFormat="1" customHeight="1" spans="1:25">
      <c r="A4364" s="203" t="s">
        <v>446</v>
      </c>
      <c r="B4364" s="204" t="s">
        <v>5519</v>
      </c>
      <c r="C4364" s="204" t="s">
        <v>125</v>
      </c>
      <c r="D4364" s="204" t="s">
        <v>3939</v>
      </c>
      <c r="E4364" s="205" t="s">
        <v>5671</v>
      </c>
      <c r="F4364" s="203" t="s">
        <v>5672</v>
      </c>
      <c r="G4364" s="203" t="s">
        <v>88</v>
      </c>
      <c r="H4364" s="25" t="s">
        <v>5699</v>
      </c>
      <c r="I4364" s="46" t="e">
        <f>VLOOKUP(H4364,'合同高级查询数据-4月返'!A:A,1,FALSE)</f>
        <v>#N/A</v>
      </c>
      <c r="J4364" s="47" t="s">
        <v>90</v>
      </c>
      <c r="K4364" s="203" t="s">
        <v>5652</v>
      </c>
      <c r="L4364" s="206"/>
      <c r="M4364" s="49" t="s">
        <v>5700</v>
      </c>
      <c r="N4364" s="73">
        <v>44061</v>
      </c>
      <c r="O4364" s="73" t="s">
        <v>503</v>
      </c>
      <c r="P4364" s="396">
        <v>5000</v>
      </c>
      <c r="Q4364" s="212">
        <v>1</v>
      </c>
      <c r="R4364" s="386">
        <f t="shared" si="141"/>
        <v>5000</v>
      </c>
      <c r="S4364" s="279">
        <v>202304</v>
      </c>
      <c r="T4364" s="184" t="s">
        <v>5708</v>
      </c>
      <c r="U4364" s="213"/>
      <c r="V4364" s="210"/>
      <c r="W4364" s="214"/>
      <c r="X4364" s="73">
        <v>43922</v>
      </c>
      <c r="Y4364" s="73">
        <v>46234</v>
      </c>
    </row>
    <row r="4365" s="5" customFormat="1" customHeight="1" spans="1:25">
      <c r="A4365" s="203" t="s">
        <v>446</v>
      </c>
      <c r="B4365" s="204" t="s">
        <v>5519</v>
      </c>
      <c r="C4365" s="204" t="s">
        <v>125</v>
      </c>
      <c r="D4365" s="204" t="s">
        <v>3939</v>
      </c>
      <c r="E4365" s="205" t="s">
        <v>5671</v>
      </c>
      <c r="F4365" s="203" t="s">
        <v>5672</v>
      </c>
      <c r="G4365" s="203" t="s">
        <v>88</v>
      </c>
      <c r="H4365" s="25" t="s">
        <v>5699</v>
      </c>
      <c r="I4365" s="46" t="e">
        <f>VLOOKUP(H4365,'合同高级查询数据-4月返'!A:A,1,FALSE)</f>
        <v>#N/A</v>
      </c>
      <c r="J4365" s="47" t="s">
        <v>90</v>
      </c>
      <c r="K4365" s="203" t="s">
        <v>5652</v>
      </c>
      <c r="L4365" s="206"/>
      <c r="M4365" s="49" t="s">
        <v>5700</v>
      </c>
      <c r="N4365" s="73">
        <v>44076</v>
      </c>
      <c r="O4365" s="73" t="s">
        <v>503</v>
      </c>
      <c r="P4365" s="396">
        <v>5000</v>
      </c>
      <c r="Q4365" s="212">
        <v>1</v>
      </c>
      <c r="R4365" s="386">
        <f t="shared" si="141"/>
        <v>5000</v>
      </c>
      <c r="S4365" s="279">
        <v>202304</v>
      </c>
      <c r="T4365" s="184" t="s">
        <v>5709</v>
      </c>
      <c r="U4365" s="213"/>
      <c r="V4365" s="210"/>
      <c r="W4365" s="214"/>
      <c r="X4365" s="73">
        <v>43922</v>
      </c>
      <c r="Y4365" s="73">
        <v>46234</v>
      </c>
    </row>
    <row r="4366" s="5" customFormat="1" customHeight="1" spans="1:25">
      <c r="A4366" s="203" t="s">
        <v>446</v>
      </c>
      <c r="B4366" s="204" t="s">
        <v>5519</v>
      </c>
      <c r="C4366" s="204" t="s">
        <v>125</v>
      </c>
      <c r="D4366" s="204" t="s">
        <v>3939</v>
      </c>
      <c r="E4366" s="205" t="s">
        <v>5671</v>
      </c>
      <c r="F4366" s="203" t="s">
        <v>5672</v>
      </c>
      <c r="G4366" s="203" t="s">
        <v>88</v>
      </c>
      <c r="H4366" s="25" t="s">
        <v>5699</v>
      </c>
      <c r="I4366" s="46" t="e">
        <f>VLOOKUP(H4366,'合同高级查询数据-4月返'!A:A,1,FALSE)</f>
        <v>#N/A</v>
      </c>
      <c r="J4366" s="47" t="s">
        <v>90</v>
      </c>
      <c r="K4366" s="203" t="s">
        <v>5652</v>
      </c>
      <c r="L4366" s="206"/>
      <c r="M4366" s="49" t="s">
        <v>5700</v>
      </c>
      <c r="N4366" s="73">
        <v>44083</v>
      </c>
      <c r="O4366" s="73" t="s">
        <v>503</v>
      </c>
      <c r="P4366" s="396">
        <v>5000</v>
      </c>
      <c r="Q4366" s="212">
        <v>-1</v>
      </c>
      <c r="R4366" s="386">
        <f t="shared" si="141"/>
        <v>-5000</v>
      </c>
      <c r="S4366" s="279">
        <v>202304</v>
      </c>
      <c r="T4366" s="184" t="s">
        <v>5710</v>
      </c>
      <c r="U4366" s="213"/>
      <c r="V4366" s="210"/>
      <c r="W4366" s="214"/>
      <c r="X4366" s="73">
        <v>43922</v>
      </c>
      <c r="Y4366" s="73">
        <v>46234</v>
      </c>
    </row>
    <row r="4367" s="5" customFormat="1" customHeight="1" spans="1:25">
      <c r="A4367" s="203" t="s">
        <v>446</v>
      </c>
      <c r="B4367" s="204" t="s">
        <v>5519</v>
      </c>
      <c r="C4367" s="204" t="s">
        <v>125</v>
      </c>
      <c r="D4367" s="204" t="s">
        <v>3939</v>
      </c>
      <c r="E4367" s="205" t="s">
        <v>5671</v>
      </c>
      <c r="F4367" s="203" t="s">
        <v>5672</v>
      </c>
      <c r="G4367" s="203" t="s">
        <v>88</v>
      </c>
      <c r="H4367" s="25" t="s">
        <v>5699</v>
      </c>
      <c r="I4367" s="46" t="e">
        <f>VLOOKUP(H4367,'合同高级查询数据-4月返'!A:A,1,FALSE)</f>
        <v>#N/A</v>
      </c>
      <c r="J4367" s="47" t="s">
        <v>90</v>
      </c>
      <c r="K4367" s="203" t="s">
        <v>5652</v>
      </c>
      <c r="L4367" s="206"/>
      <c r="M4367" s="49" t="s">
        <v>5700</v>
      </c>
      <c r="N4367" s="73">
        <v>44091</v>
      </c>
      <c r="O4367" s="73" t="s">
        <v>503</v>
      </c>
      <c r="P4367" s="396">
        <v>5000</v>
      </c>
      <c r="Q4367" s="212">
        <v>1</v>
      </c>
      <c r="R4367" s="386">
        <f t="shared" si="141"/>
        <v>5000</v>
      </c>
      <c r="S4367" s="279">
        <v>202304</v>
      </c>
      <c r="T4367" s="184" t="s">
        <v>5711</v>
      </c>
      <c r="U4367" s="213"/>
      <c r="V4367" s="210"/>
      <c r="W4367" s="214"/>
      <c r="X4367" s="73">
        <v>43922</v>
      </c>
      <c r="Y4367" s="73">
        <v>46234</v>
      </c>
    </row>
    <row r="4368" s="5" customFormat="1" customHeight="1" spans="1:25">
      <c r="A4368" s="203" t="s">
        <v>446</v>
      </c>
      <c r="B4368" s="204" t="s">
        <v>5519</v>
      </c>
      <c r="C4368" s="204" t="s">
        <v>125</v>
      </c>
      <c r="D4368" s="204" t="s">
        <v>3939</v>
      </c>
      <c r="E4368" s="205" t="s">
        <v>5671</v>
      </c>
      <c r="F4368" s="203" t="s">
        <v>5672</v>
      </c>
      <c r="G4368" s="203" t="s">
        <v>88</v>
      </c>
      <c r="H4368" s="25" t="s">
        <v>5699</v>
      </c>
      <c r="I4368" s="46" t="e">
        <f>VLOOKUP(H4368,'合同高级查询数据-4月返'!A:A,1,FALSE)</f>
        <v>#N/A</v>
      </c>
      <c r="J4368" s="47" t="s">
        <v>90</v>
      </c>
      <c r="K4368" s="203" t="s">
        <v>5652</v>
      </c>
      <c r="L4368" s="206"/>
      <c r="M4368" s="49" t="s">
        <v>5700</v>
      </c>
      <c r="N4368" s="73">
        <v>44097</v>
      </c>
      <c r="O4368" s="73" t="s">
        <v>503</v>
      </c>
      <c r="P4368" s="396">
        <v>5000</v>
      </c>
      <c r="Q4368" s="212">
        <v>1</v>
      </c>
      <c r="R4368" s="386">
        <f t="shared" si="141"/>
        <v>5000</v>
      </c>
      <c r="S4368" s="279">
        <v>202304</v>
      </c>
      <c r="T4368" s="184" t="s">
        <v>5712</v>
      </c>
      <c r="U4368" s="213"/>
      <c r="V4368" s="210"/>
      <c r="W4368" s="214"/>
      <c r="X4368" s="73">
        <v>43922</v>
      </c>
      <c r="Y4368" s="73">
        <v>46234</v>
      </c>
    </row>
    <row r="4369" s="5" customFormat="1" customHeight="1" spans="1:25">
      <c r="A4369" s="203" t="s">
        <v>446</v>
      </c>
      <c r="B4369" s="204" t="s">
        <v>5519</v>
      </c>
      <c r="C4369" s="204" t="s">
        <v>125</v>
      </c>
      <c r="D4369" s="204" t="s">
        <v>3939</v>
      </c>
      <c r="E4369" s="205" t="s">
        <v>5671</v>
      </c>
      <c r="F4369" s="203" t="s">
        <v>5672</v>
      </c>
      <c r="G4369" s="203" t="s">
        <v>88</v>
      </c>
      <c r="H4369" s="25" t="s">
        <v>5699</v>
      </c>
      <c r="I4369" s="46" t="e">
        <f>VLOOKUP(H4369,'合同高级查询数据-4月返'!A:A,1,FALSE)</f>
        <v>#N/A</v>
      </c>
      <c r="J4369" s="47" t="s">
        <v>90</v>
      </c>
      <c r="K4369" s="203" t="s">
        <v>5652</v>
      </c>
      <c r="L4369" s="206"/>
      <c r="M4369" s="49" t="s">
        <v>5713</v>
      </c>
      <c r="N4369" s="73">
        <v>44037</v>
      </c>
      <c r="O4369" s="73" t="s">
        <v>503</v>
      </c>
      <c r="P4369" s="396">
        <v>5000</v>
      </c>
      <c r="Q4369" s="212">
        <v>102</v>
      </c>
      <c r="R4369" s="386">
        <f t="shared" ref="R4369:R4403" si="142">ROUND(P4369*Q4369,2)</f>
        <v>510000</v>
      </c>
      <c r="S4369" s="279">
        <v>202304</v>
      </c>
      <c r="T4369" s="184" t="s">
        <v>5714</v>
      </c>
      <c r="U4369" s="213"/>
      <c r="V4369" s="210"/>
      <c r="W4369" s="214"/>
      <c r="X4369" s="73">
        <v>43922</v>
      </c>
      <c r="Y4369" s="73">
        <v>46234</v>
      </c>
    </row>
    <row r="4370" s="5" customFormat="1" customHeight="1" spans="1:25">
      <c r="A4370" s="203" t="s">
        <v>446</v>
      </c>
      <c r="B4370" s="204" t="s">
        <v>5519</v>
      </c>
      <c r="C4370" s="204" t="s">
        <v>125</v>
      </c>
      <c r="D4370" s="204" t="s">
        <v>3939</v>
      </c>
      <c r="E4370" s="205" t="s">
        <v>5671</v>
      </c>
      <c r="F4370" s="203" t="s">
        <v>5672</v>
      </c>
      <c r="G4370" s="203" t="s">
        <v>88</v>
      </c>
      <c r="H4370" s="25" t="s">
        <v>5699</v>
      </c>
      <c r="I4370" s="46" t="e">
        <f>VLOOKUP(H4370,'合同高级查询数据-4月返'!A:A,1,FALSE)</f>
        <v>#N/A</v>
      </c>
      <c r="J4370" s="47" t="s">
        <v>90</v>
      </c>
      <c r="K4370" s="203" t="s">
        <v>5652</v>
      </c>
      <c r="L4370" s="206"/>
      <c r="M4370" s="49" t="s">
        <v>5713</v>
      </c>
      <c r="N4370" s="73">
        <v>44039</v>
      </c>
      <c r="O4370" s="73" t="s">
        <v>503</v>
      </c>
      <c r="P4370" s="396">
        <v>5000</v>
      </c>
      <c r="Q4370" s="212">
        <v>16</v>
      </c>
      <c r="R4370" s="386">
        <f t="shared" si="142"/>
        <v>80000</v>
      </c>
      <c r="S4370" s="279">
        <v>202304</v>
      </c>
      <c r="T4370" s="184" t="s">
        <v>5715</v>
      </c>
      <c r="U4370" s="213"/>
      <c r="V4370" s="210"/>
      <c r="W4370" s="214"/>
      <c r="X4370" s="73">
        <v>43922</v>
      </c>
      <c r="Y4370" s="73">
        <v>46234</v>
      </c>
    </row>
    <row r="4371" s="5" customFormat="1" customHeight="1" spans="1:25">
      <c r="A4371" s="203" t="s">
        <v>446</v>
      </c>
      <c r="B4371" s="204" t="s">
        <v>5519</v>
      </c>
      <c r="C4371" s="204" t="s">
        <v>125</v>
      </c>
      <c r="D4371" s="204" t="s">
        <v>3939</v>
      </c>
      <c r="E4371" s="205" t="s">
        <v>5671</v>
      </c>
      <c r="F4371" s="203" t="s">
        <v>5672</v>
      </c>
      <c r="G4371" s="203" t="s">
        <v>88</v>
      </c>
      <c r="H4371" s="25" t="s">
        <v>5699</v>
      </c>
      <c r="I4371" s="46" t="e">
        <f>VLOOKUP(H4371,'合同高级查询数据-4月返'!A:A,1,FALSE)</f>
        <v>#N/A</v>
      </c>
      <c r="J4371" s="47" t="s">
        <v>90</v>
      </c>
      <c r="K4371" s="203" t="s">
        <v>5652</v>
      </c>
      <c r="L4371" s="206"/>
      <c r="M4371" s="49" t="s">
        <v>5713</v>
      </c>
      <c r="N4371" s="73">
        <v>44037</v>
      </c>
      <c r="O4371" s="73" t="s">
        <v>606</v>
      </c>
      <c r="P4371" s="396">
        <v>27415</v>
      </c>
      <c r="Q4371" s="212">
        <v>10</v>
      </c>
      <c r="R4371" s="386">
        <f t="shared" si="142"/>
        <v>274150</v>
      </c>
      <c r="S4371" s="279">
        <v>202304</v>
      </c>
      <c r="T4371" s="184" t="s">
        <v>5716</v>
      </c>
      <c r="U4371" s="213"/>
      <c r="V4371" s="210"/>
      <c r="W4371" s="214"/>
      <c r="X4371" s="73">
        <v>43922</v>
      </c>
      <c r="Y4371" s="73">
        <v>46234</v>
      </c>
    </row>
    <row r="4372" s="5" customFormat="1" customHeight="1" spans="1:25">
      <c r="A4372" s="203" t="s">
        <v>446</v>
      </c>
      <c r="B4372" s="204" t="s">
        <v>5519</v>
      </c>
      <c r="C4372" s="204" t="s">
        <v>125</v>
      </c>
      <c r="D4372" s="204" t="s">
        <v>3939</v>
      </c>
      <c r="E4372" s="205" t="s">
        <v>5671</v>
      </c>
      <c r="F4372" s="203" t="s">
        <v>5672</v>
      </c>
      <c r="G4372" s="203" t="s">
        <v>88</v>
      </c>
      <c r="H4372" s="25" t="s">
        <v>5699</v>
      </c>
      <c r="I4372" s="46" t="e">
        <f>VLOOKUP(H4372,'合同高级查询数据-4月返'!A:A,1,FALSE)</f>
        <v>#N/A</v>
      </c>
      <c r="J4372" s="47" t="s">
        <v>90</v>
      </c>
      <c r="K4372" s="203" t="s">
        <v>5652</v>
      </c>
      <c r="L4372" s="206"/>
      <c r="M4372" s="49" t="s">
        <v>5713</v>
      </c>
      <c r="N4372" s="73">
        <v>44044</v>
      </c>
      <c r="O4372" s="73" t="s">
        <v>600</v>
      </c>
      <c r="P4372" s="396">
        <v>3000</v>
      </c>
      <c r="Q4372" s="212">
        <v>12</v>
      </c>
      <c r="R4372" s="386">
        <f t="shared" si="142"/>
        <v>36000</v>
      </c>
      <c r="S4372" s="279">
        <v>202304</v>
      </c>
      <c r="T4372" s="184" t="s">
        <v>5717</v>
      </c>
      <c r="U4372" s="213"/>
      <c r="V4372" s="210"/>
      <c r="W4372" s="214"/>
      <c r="X4372" s="73">
        <v>43922</v>
      </c>
      <c r="Y4372" s="73">
        <v>46234</v>
      </c>
    </row>
    <row r="4373" s="5" customFormat="1" customHeight="1" spans="1:25">
      <c r="A4373" s="203" t="s">
        <v>446</v>
      </c>
      <c r="B4373" s="204" t="s">
        <v>5519</v>
      </c>
      <c r="C4373" s="204" t="s">
        <v>125</v>
      </c>
      <c r="D4373" s="204" t="s">
        <v>3939</v>
      </c>
      <c r="E4373" s="205" t="s">
        <v>5671</v>
      </c>
      <c r="F4373" s="203" t="s">
        <v>5672</v>
      </c>
      <c r="G4373" s="203" t="s">
        <v>88</v>
      </c>
      <c r="H4373" s="25" t="s">
        <v>5699</v>
      </c>
      <c r="I4373" s="46" t="e">
        <f>VLOOKUP(H4373,'合同高级查询数据-4月返'!A:A,1,FALSE)</f>
        <v>#N/A</v>
      </c>
      <c r="J4373" s="47" t="s">
        <v>90</v>
      </c>
      <c r="K4373" s="203" t="s">
        <v>5652</v>
      </c>
      <c r="L4373" s="206"/>
      <c r="M4373" s="49" t="s">
        <v>5713</v>
      </c>
      <c r="N4373" s="73">
        <v>44053</v>
      </c>
      <c r="O4373" s="73" t="s">
        <v>503</v>
      </c>
      <c r="P4373" s="396">
        <v>5000</v>
      </c>
      <c r="Q4373" s="212">
        <v>3</v>
      </c>
      <c r="R4373" s="386">
        <f t="shared" si="142"/>
        <v>15000</v>
      </c>
      <c r="S4373" s="279">
        <v>202304</v>
      </c>
      <c r="T4373" s="184" t="s">
        <v>5718</v>
      </c>
      <c r="U4373" s="213"/>
      <c r="V4373" s="210"/>
      <c r="W4373" s="214"/>
      <c r="X4373" s="73">
        <v>43922</v>
      </c>
      <c r="Y4373" s="73">
        <v>46234</v>
      </c>
    </row>
    <row r="4374" s="5" customFormat="1" customHeight="1" spans="1:25">
      <c r="A4374" s="203" t="s">
        <v>446</v>
      </c>
      <c r="B4374" s="204" t="s">
        <v>5519</v>
      </c>
      <c r="C4374" s="204" t="s">
        <v>125</v>
      </c>
      <c r="D4374" s="204" t="s">
        <v>3939</v>
      </c>
      <c r="E4374" s="205" t="s">
        <v>5671</v>
      </c>
      <c r="F4374" s="203" t="s">
        <v>5672</v>
      </c>
      <c r="G4374" s="203" t="s">
        <v>88</v>
      </c>
      <c r="H4374" s="25" t="s">
        <v>5699</v>
      </c>
      <c r="I4374" s="46" t="e">
        <f>VLOOKUP(H4374,'合同高级查询数据-4月返'!A:A,1,FALSE)</f>
        <v>#N/A</v>
      </c>
      <c r="J4374" s="47" t="s">
        <v>90</v>
      </c>
      <c r="K4374" s="203" t="s">
        <v>5652</v>
      </c>
      <c r="L4374" s="206"/>
      <c r="M4374" s="49" t="s">
        <v>5713</v>
      </c>
      <c r="N4374" s="73">
        <v>44057</v>
      </c>
      <c r="O4374" s="73" t="s">
        <v>503</v>
      </c>
      <c r="P4374" s="396">
        <v>5000</v>
      </c>
      <c r="Q4374" s="212">
        <v>2</v>
      </c>
      <c r="R4374" s="386">
        <f t="shared" si="142"/>
        <v>10000</v>
      </c>
      <c r="S4374" s="279">
        <v>202304</v>
      </c>
      <c r="T4374" s="184" t="s">
        <v>5719</v>
      </c>
      <c r="U4374" s="213"/>
      <c r="V4374" s="210"/>
      <c r="W4374" s="214"/>
      <c r="X4374" s="73">
        <v>43922</v>
      </c>
      <c r="Y4374" s="73">
        <v>46234</v>
      </c>
    </row>
    <row r="4375" s="5" customFormat="1" customHeight="1" spans="1:25">
      <c r="A4375" s="203" t="s">
        <v>446</v>
      </c>
      <c r="B4375" s="204" t="s">
        <v>5519</v>
      </c>
      <c r="C4375" s="204" t="s">
        <v>125</v>
      </c>
      <c r="D4375" s="204" t="s">
        <v>3939</v>
      </c>
      <c r="E4375" s="205" t="s">
        <v>5671</v>
      </c>
      <c r="F4375" s="203" t="s">
        <v>5672</v>
      </c>
      <c r="G4375" s="203" t="s">
        <v>88</v>
      </c>
      <c r="H4375" s="25" t="s">
        <v>5699</v>
      </c>
      <c r="I4375" s="46" t="e">
        <f>VLOOKUP(H4375,'合同高级查询数据-4月返'!A:A,1,FALSE)</f>
        <v>#N/A</v>
      </c>
      <c r="J4375" s="47" t="s">
        <v>90</v>
      </c>
      <c r="K4375" s="203" t="s">
        <v>5652</v>
      </c>
      <c r="L4375" s="206"/>
      <c r="M4375" s="49" t="s">
        <v>5713</v>
      </c>
      <c r="N4375" s="73">
        <v>44074</v>
      </c>
      <c r="O4375" s="73" t="s">
        <v>503</v>
      </c>
      <c r="P4375" s="396">
        <v>5000</v>
      </c>
      <c r="Q4375" s="212">
        <v>2</v>
      </c>
      <c r="R4375" s="386">
        <f t="shared" si="142"/>
        <v>10000</v>
      </c>
      <c r="S4375" s="279">
        <v>202304</v>
      </c>
      <c r="T4375" s="184" t="s">
        <v>5720</v>
      </c>
      <c r="U4375" s="213"/>
      <c r="V4375" s="210"/>
      <c r="W4375" s="214"/>
      <c r="X4375" s="73">
        <v>43922</v>
      </c>
      <c r="Y4375" s="73">
        <v>46234</v>
      </c>
    </row>
    <row r="4376" s="5" customFormat="1" customHeight="1" spans="1:25">
      <c r="A4376" s="203" t="s">
        <v>446</v>
      </c>
      <c r="B4376" s="204" t="s">
        <v>5519</v>
      </c>
      <c r="C4376" s="204" t="s">
        <v>125</v>
      </c>
      <c r="D4376" s="204" t="s">
        <v>3939</v>
      </c>
      <c r="E4376" s="205" t="s">
        <v>5671</v>
      </c>
      <c r="F4376" s="203" t="s">
        <v>5672</v>
      </c>
      <c r="G4376" s="203" t="s">
        <v>88</v>
      </c>
      <c r="H4376" s="25" t="s">
        <v>5699</v>
      </c>
      <c r="I4376" s="46" t="e">
        <f>VLOOKUP(H4376,'合同高级查询数据-4月返'!A:A,1,FALSE)</f>
        <v>#N/A</v>
      </c>
      <c r="J4376" s="47" t="s">
        <v>90</v>
      </c>
      <c r="K4376" s="203" t="s">
        <v>5652</v>
      </c>
      <c r="L4376" s="206"/>
      <c r="M4376" s="49" t="s">
        <v>5700</v>
      </c>
      <c r="N4376" s="73">
        <v>44104</v>
      </c>
      <c r="O4376" s="73" t="s">
        <v>503</v>
      </c>
      <c r="P4376" s="396">
        <v>5000</v>
      </c>
      <c r="Q4376" s="212">
        <v>3</v>
      </c>
      <c r="R4376" s="386">
        <f t="shared" si="142"/>
        <v>15000</v>
      </c>
      <c r="S4376" s="279">
        <v>202304</v>
      </c>
      <c r="T4376" s="184" t="s">
        <v>5721</v>
      </c>
      <c r="U4376" s="213"/>
      <c r="V4376" s="210"/>
      <c r="W4376" s="214"/>
      <c r="X4376" s="73">
        <v>43922</v>
      </c>
      <c r="Y4376" s="73">
        <v>46234</v>
      </c>
    </row>
    <row r="4377" s="5" customFormat="1" customHeight="1" spans="1:25">
      <c r="A4377" s="203" t="s">
        <v>446</v>
      </c>
      <c r="B4377" s="204" t="s">
        <v>5519</v>
      </c>
      <c r="C4377" s="204" t="s">
        <v>125</v>
      </c>
      <c r="D4377" s="204" t="s">
        <v>3939</v>
      </c>
      <c r="E4377" s="205" t="s">
        <v>5671</v>
      </c>
      <c r="F4377" s="203" t="s">
        <v>5672</v>
      </c>
      <c r="G4377" s="203" t="s">
        <v>88</v>
      </c>
      <c r="H4377" s="25" t="s">
        <v>5699</v>
      </c>
      <c r="I4377" s="46" t="e">
        <f>VLOOKUP(H4377,'合同高级查询数据-4月返'!A:A,1,FALSE)</f>
        <v>#N/A</v>
      </c>
      <c r="J4377" s="47" t="s">
        <v>90</v>
      </c>
      <c r="K4377" s="203" t="s">
        <v>5652</v>
      </c>
      <c r="L4377" s="206"/>
      <c r="M4377" s="49" t="s">
        <v>5713</v>
      </c>
      <c r="N4377" s="73">
        <v>44102</v>
      </c>
      <c r="O4377" s="73" t="s">
        <v>503</v>
      </c>
      <c r="P4377" s="396">
        <v>5000</v>
      </c>
      <c r="Q4377" s="212">
        <v>14</v>
      </c>
      <c r="R4377" s="386">
        <f t="shared" si="142"/>
        <v>70000</v>
      </c>
      <c r="S4377" s="279">
        <v>202304</v>
      </c>
      <c r="T4377" s="184" t="s">
        <v>5722</v>
      </c>
      <c r="U4377" s="213"/>
      <c r="V4377" s="210"/>
      <c r="W4377" s="214"/>
      <c r="X4377" s="73">
        <v>43922</v>
      </c>
      <c r="Y4377" s="73">
        <v>46234</v>
      </c>
    </row>
    <row r="4378" s="5" customFormat="1" customHeight="1" spans="1:25">
      <c r="A4378" s="203" t="s">
        <v>446</v>
      </c>
      <c r="B4378" s="204" t="s">
        <v>5519</v>
      </c>
      <c r="C4378" s="204" t="s">
        <v>125</v>
      </c>
      <c r="D4378" s="204" t="s">
        <v>3939</v>
      </c>
      <c r="E4378" s="205" t="s">
        <v>5671</v>
      </c>
      <c r="F4378" s="203" t="s">
        <v>5672</v>
      </c>
      <c r="G4378" s="203" t="s">
        <v>88</v>
      </c>
      <c r="H4378" s="25" t="s">
        <v>5699</v>
      </c>
      <c r="I4378" s="46" t="e">
        <f>VLOOKUP(H4378,'合同高级查询数据-4月返'!A:A,1,FALSE)</f>
        <v>#N/A</v>
      </c>
      <c r="J4378" s="47" t="s">
        <v>90</v>
      </c>
      <c r="K4378" s="203" t="s">
        <v>5652</v>
      </c>
      <c r="L4378" s="206"/>
      <c r="M4378" s="49" t="s">
        <v>5713</v>
      </c>
      <c r="N4378" s="73">
        <v>44125</v>
      </c>
      <c r="O4378" s="73" t="s">
        <v>503</v>
      </c>
      <c r="P4378" s="396">
        <v>5000</v>
      </c>
      <c r="Q4378" s="212">
        <v>13</v>
      </c>
      <c r="R4378" s="386">
        <f t="shared" si="142"/>
        <v>65000</v>
      </c>
      <c r="S4378" s="279">
        <v>202304</v>
      </c>
      <c r="T4378" s="184" t="s">
        <v>5723</v>
      </c>
      <c r="U4378" s="213"/>
      <c r="V4378" s="210"/>
      <c r="W4378" s="214"/>
      <c r="X4378" s="73">
        <v>43922</v>
      </c>
      <c r="Y4378" s="73">
        <v>46234</v>
      </c>
    </row>
    <row r="4379" s="5" customFormat="1" customHeight="1" spans="1:25">
      <c r="A4379" s="203" t="s">
        <v>446</v>
      </c>
      <c r="B4379" s="204" t="s">
        <v>5519</v>
      </c>
      <c r="C4379" s="204" t="s">
        <v>125</v>
      </c>
      <c r="D4379" s="204" t="s">
        <v>3939</v>
      </c>
      <c r="E4379" s="205" t="s">
        <v>5671</v>
      </c>
      <c r="F4379" s="203" t="s">
        <v>5672</v>
      </c>
      <c r="G4379" s="203" t="s">
        <v>88</v>
      </c>
      <c r="H4379" s="25" t="s">
        <v>5699</v>
      </c>
      <c r="I4379" s="46" t="e">
        <f>VLOOKUP(H4379,'合同高级查询数据-4月返'!A:A,1,FALSE)</f>
        <v>#N/A</v>
      </c>
      <c r="J4379" s="47" t="s">
        <v>90</v>
      </c>
      <c r="K4379" s="203" t="s">
        <v>5652</v>
      </c>
      <c r="L4379" s="206"/>
      <c r="M4379" s="49" t="s">
        <v>5700</v>
      </c>
      <c r="N4379" s="73">
        <v>44116</v>
      </c>
      <c r="O4379" s="73" t="s">
        <v>503</v>
      </c>
      <c r="P4379" s="396">
        <v>5000</v>
      </c>
      <c r="Q4379" s="212">
        <v>1</v>
      </c>
      <c r="R4379" s="386">
        <f t="shared" si="142"/>
        <v>5000</v>
      </c>
      <c r="S4379" s="279">
        <v>202304</v>
      </c>
      <c r="T4379" s="184" t="s">
        <v>5724</v>
      </c>
      <c r="U4379" s="213"/>
      <c r="V4379" s="210"/>
      <c r="W4379" s="214"/>
      <c r="X4379" s="73">
        <v>43922</v>
      </c>
      <c r="Y4379" s="73">
        <v>46234</v>
      </c>
    </row>
    <row r="4380" s="5" customFormat="1" customHeight="1" spans="1:25">
      <c r="A4380" s="203" t="s">
        <v>446</v>
      </c>
      <c r="B4380" s="204" t="s">
        <v>5519</v>
      </c>
      <c r="C4380" s="204" t="s">
        <v>125</v>
      </c>
      <c r="D4380" s="204" t="s">
        <v>3939</v>
      </c>
      <c r="E4380" s="205" t="s">
        <v>5671</v>
      </c>
      <c r="F4380" s="203" t="s">
        <v>5672</v>
      </c>
      <c r="G4380" s="203" t="s">
        <v>88</v>
      </c>
      <c r="H4380" s="25" t="s">
        <v>5699</v>
      </c>
      <c r="I4380" s="46" t="e">
        <f>VLOOKUP(H4380,'合同高级查询数据-4月返'!A:A,1,FALSE)</f>
        <v>#N/A</v>
      </c>
      <c r="J4380" s="47" t="s">
        <v>90</v>
      </c>
      <c r="K4380" s="203" t="s">
        <v>5652</v>
      </c>
      <c r="L4380" s="206"/>
      <c r="M4380" s="49" t="s">
        <v>5700</v>
      </c>
      <c r="N4380" s="73">
        <v>44127</v>
      </c>
      <c r="O4380" s="73" t="s">
        <v>503</v>
      </c>
      <c r="P4380" s="396">
        <v>5000</v>
      </c>
      <c r="Q4380" s="212">
        <v>1</v>
      </c>
      <c r="R4380" s="386">
        <f t="shared" si="142"/>
        <v>5000</v>
      </c>
      <c r="S4380" s="279">
        <v>202304</v>
      </c>
      <c r="T4380" s="184" t="s">
        <v>5725</v>
      </c>
      <c r="U4380" s="213"/>
      <c r="V4380" s="210"/>
      <c r="W4380" s="214"/>
      <c r="X4380" s="73">
        <v>43922</v>
      </c>
      <c r="Y4380" s="73">
        <v>46234</v>
      </c>
    </row>
    <row r="4381" s="5" customFormat="1" customHeight="1" spans="1:25">
      <c r="A4381" s="203" t="s">
        <v>446</v>
      </c>
      <c r="B4381" s="204" t="s">
        <v>5519</v>
      </c>
      <c r="C4381" s="204" t="s">
        <v>125</v>
      </c>
      <c r="D4381" s="204" t="s">
        <v>3939</v>
      </c>
      <c r="E4381" s="205" t="s">
        <v>5671</v>
      </c>
      <c r="F4381" s="203" t="s">
        <v>5672</v>
      </c>
      <c r="G4381" s="203" t="s">
        <v>88</v>
      </c>
      <c r="H4381" s="25" t="s">
        <v>5699</v>
      </c>
      <c r="I4381" s="46" t="e">
        <f>VLOOKUP(H4381,'合同高级查询数据-4月返'!A:A,1,FALSE)</f>
        <v>#N/A</v>
      </c>
      <c r="J4381" s="47" t="s">
        <v>90</v>
      </c>
      <c r="K4381" s="203" t="s">
        <v>5652</v>
      </c>
      <c r="L4381" s="206"/>
      <c r="M4381" s="49" t="s">
        <v>5713</v>
      </c>
      <c r="N4381" s="73">
        <v>44158</v>
      </c>
      <c r="O4381" s="73" t="s">
        <v>503</v>
      </c>
      <c r="P4381" s="396">
        <v>5000</v>
      </c>
      <c r="Q4381" s="212">
        <v>14</v>
      </c>
      <c r="R4381" s="386">
        <f t="shared" si="142"/>
        <v>70000</v>
      </c>
      <c r="S4381" s="279">
        <v>202304</v>
      </c>
      <c r="T4381" s="184" t="s">
        <v>5726</v>
      </c>
      <c r="U4381" s="213"/>
      <c r="V4381" s="210"/>
      <c r="W4381" s="214"/>
      <c r="X4381" s="73">
        <v>43922</v>
      </c>
      <c r="Y4381" s="73">
        <v>46234</v>
      </c>
    </row>
    <row r="4382" s="5" customFormat="1" customHeight="1" spans="1:25">
      <c r="A4382" s="203" t="s">
        <v>446</v>
      </c>
      <c r="B4382" s="204" t="s">
        <v>5519</v>
      </c>
      <c r="C4382" s="204" t="s">
        <v>125</v>
      </c>
      <c r="D4382" s="204" t="s">
        <v>3939</v>
      </c>
      <c r="E4382" s="205" t="s">
        <v>5671</v>
      </c>
      <c r="F4382" s="203" t="s">
        <v>5672</v>
      </c>
      <c r="G4382" s="203" t="s">
        <v>88</v>
      </c>
      <c r="H4382" s="25" t="s">
        <v>5699</v>
      </c>
      <c r="I4382" s="46" t="e">
        <f>VLOOKUP(H4382,'合同高级查询数据-4月返'!A:A,1,FALSE)</f>
        <v>#N/A</v>
      </c>
      <c r="J4382" s="47" t="s">
        <v>90</v>
      </c>
      <c r="K4382" s="203" t="s">
        <v>5652</v>
      </c>
      <c r="L4382" s="206"/>
      <c r="M4382" s="49" t="s">
        <v>5713</v>
      </c>
      <c r="N4382" s="73">
        <v>44166</v>
      </c>
      <c r="O4382" s="73" t="s">
        <v>503</v>
      </c>
      <c r="P4382" s="396">
        <v>5000</v>
      </c>
      <c r="Q4382" s="212">
        <v>8</v>
      </c>
      <c r="R4382" s="386">
        <f t="shared" si="142"/>
        <v>40000</v>
      </c>
      <c r="S4382" s="279">
        <v>202304</v>
      </c>
      <c r="T4382" s="184" t="s">
        <v>5727</v>
      </c>
      <c r="U4382" s="213"/>
      <c r="V4382" s="210"/>
      <c r="W4382" s="214"/>
      <c r="X4382" s="73">
        <v>43922</v>
      </c>
      <c r="Y4382" s="73">
        <v>46234</v>
      </c>
    </row>
    <row r="4383" s="5" customFormat="1" customHeight="1" spans="1:25">
      <c r="A4383" s="203" t="s">
        <v>446</v>
      </c>
      <c r="B4383" s="204" t="s">
        <v>5519</v>
      </c>
      <c r="C4383" s="204" t="s">
        <v>125</v>
      </c>
      <c r="D4383" s="204" t="s">
        <v>3939</v>
      </c>
      <c r="E4383" s="205" t="s">
        <v>5671</v>
      </c>
      <c r="F4383" s="203" t="s">
        <v>5672</v>
      </c>
      <c r="G4383" s="203" t="s">
        <v>88</v>
      </c>
      <c r="H4383" s="25" t="s">
        <v>5699</v>
      </c>
      <c r="I4383" s="46" t="e">
        <f>VLOOKUP(H4383,'合同高级查询数据-4月返'!A:A,1,FALSE)</f>
        <v>#N/A</v>
      </c>
      <c r="J4383" s="47" t="s">
        <v>90</v>
      </c>
      <c r="K4383" s="203" t="s">
        <v>5652</v>
      </c>
      <c r="L4383" s="206"/>
      <c r="M4383" s="49" t="s">
        <v>5713</v>
      </c>
      <c r="N4383" s="73">
        <v>44169</v>
      </c>
      <c r="O4383" s="73" t="s">
        <v>503</v>
      </c>
      <c r="P4383" s="396">
        <v>5000</v>
      </c>
      <c r="Q4383" s="212">
        <v>6</v>
      </c>
      <c r="R4383" s="386">
        <f t="shared" si="142"/>
        <v>30000</v>
      </c>
      <c r="S4383" s="279">
        <v>202304</v>
      </c>
      <c r="T4383" s="184" t="s">
        <v>5728</v>
      </c>
      <c r="U4383" s="213"/>
      <c r="V4383" s="210"/>
      <c r="W4383" s="214"/>
      <c r="X4383" s="73">
        <v>43922</v>
      </c>
      <c r="Y4383" s="73">
        <v>46234</v>
      </c>
    </row>
    <row r="4384" s="5" customFormat="1" customHeight="1" spans="1:25">
      <c r="A4384" s="203" t="s">
        <v>446</v>
      </c>
      <c r="B4384" s="204" t="s">
        <v>5519</v>
      </c>
      <c r="C4384" s="204" t="s">
        <v>125</v>
      </c>
      <c r="D4384" s="204" t="s">
        <v>3939</v>
      </c>
      <c r="E4384" s="205" t="s">
        <v>5671</v>
      </c>
      <c r="F4384" s="203" t="s">
        <v>5672</v>
      </c>
      <c r="G4384" s="203" t="s">
        <v>88</v>
      </c>
      <c r="H4384" s="25" t="s">
        <v>5699</v>
      </c>
      <c r="I4384" s="46" t="e">
        <f>VLOOKUP(H4384,'合同高级查询数据-4月返'!A:A,1,FALSE)</f>
        <v>#N/A</v>
      </c>
      <c r="J4384" s="47" t="s">
        <v>90</v>
      </c>
      <c r="K4384" s="203" t="s">
        <v>5652</v>
      </c>
      <c r="L4384" s="206"/>
      <c r="M4384" s="49" t="s">
        <v>5700</v>
      </c>
      <c r="N4384" s="73">
        <v>44187</v>
      </c>
      <c r="O4384" s="73" t="s">
        <v>503</v>
      </c>
      <c r="P4384" s="396">
        <v>5000</v>
      </c>
      <c r="Q4384" s="212">
        <v>3</v>
      </c>
      <c r="R4384" s="386">
        <f t="shared" si="142"/>
        <v>15000</v>
      </c>
      <c r="S4384" s="279">
        <v>202304</v>
      </c>
      <c r="T4384" s="184" t="s">
        <v>5729</v>
      </c>
      <c r="U4384" s="213"/>
      <c r="V4384" s="210"/>
      <c r="W4384" s="214"/>
      <c r="X4384" s="73">
        <v>43922</v>
      </c>
      <c r="Y4384" s="73">
        <v>46234</v>
      </c>
    </row>
    <row r="4385" s="5" customFormat="1" customHeight="1" spans="1:25">
      <c r="A4385" s="203" t="s">
        <v>446</v>
      </c>
      <c r="B4385" s="204" t="s">
        <v>5519</v>
      </c>
      <c r="C4385" s="204" t="s">
        <v>125</v>
      </c>
      <c r="D4385" s="204" t="s">
        <v>3939</v>
      </c>
      <c r="E4385" s="205" t="s">
        <v>5671</v>
      </c>
      <c r="F4385" s="203" t="s">
        <v>5672</v>
      </c>
      <c r="G4385" s="203" t="s">
        <v>88</v>
      </c>
      <c r="H4385" s="25" t="s">
        <v>5699</v>
      </c>
      <c r="I4385" s="46" t="e">
        <f>VLOOKUP(H4385,'合同高级查询数据-4月返'!A:A,1,FALSE)</f>
        <v>#N/A</v>
      </c>
      <c r="J4385" s="47" t="s">
        <v>90</v>
      </c>
      <c r="K4385" s="203" t="s">
        <v>5652</v>
      </c>
      <c r="L4385" s="206"/>
      <c r="M4385" s="49" t="s">
        <v>5700</v>
      </c>
      <c r="N4385" s="73">
        <v>44190</v>
      </c>
      <c r="O4385" s="73" t="s">
        <v>503</v>
      </c>
      <c r="P4385" s="396">
        <v>5000</v>
      </c>
      <c r="Q4385" s="212">
        <v>-2</v>
      </c>
      <c r="R4385" s="386">
        <f t="shared" si="142"/>
        <v>-10000</v>
      </c>
      <c r="S4385" s="279">
        <v>202304</v>
      </c>
      <c r="T4385" s="184" t="s">
        <v>5730</v>
      </c>
      <c r="U4385" s="213"/>
      <c r="V4385" s="210"/>
      <c r="W4385" s="214"/>
      <c r="X4385" s="73">
        <v>43922</v>
      </c>
      <c r="Y4385" s="73">
        <v>46234</v>
      </c>
    </row>
    <row r="4386" s="5" customFormat="1" customHeight="1" spans="1:25">
      <c r="A4386" s="203" t="s">
        <v>446</v>
      </c>
      <c r="B4386" s="204" t="s">
        <v>5519</v>
      </c>
      <c r="C4386" s="204" t="s">
        <v>125</v>
      </c>
      <c r="D4386" s="204" t="s">
        <v>3939</v>
      </c>
      <c r="E4386" s="205" t="s">
        <v>5671</v>
      </c>
      <c r="F4386" s="203" t="s">
        <v>5672</v>
      </c>
      <c r="G4386" s="203" t="s">
        <v>88</v>
      </c>
      <c r="H4386" s="25" t="s">
        <v>5699</v>
      </c>
      <c r="I4386" s="46" t="e">
        <f>VLOOKUP(H4386,'合同高级查询数据-4月返'!A:A,1,FALSE)</f>
        <v>#N/A</v>
      </c>
      <c r="J4386" s="47" t="s">
        <v>90</v>
      </c>
      <c r="K4386" s="203" t="s">
        <v>5652</v>
      </c>
      <c r="L4386" s="206"/>
      <c r="M4386" s="49" t="s">
        <v>5700</v>
      </c>
      <c r="N4386" s="73">
        <v>44172</v>
      </c>
      <c r="O4386" s="73" t="s">
        <v>503</v>
      </c>
      <c r="P4386" s="396">
        <v>5000</v>
      </c>
      <c r="Q4386" s="212">
        <v>1</v>
      </c>
      <c r="R4386" s="386">
        <f t="shared" si="142"/>
        <v>5000</v>
      </c>
      <c r="S4386" s="279">
        <v>202304</v>
      </c>
      <c r="T4386" s="184" t="s">
        <v>5731</v>
      </c>
      <c r="U4386" s="213"/>
      <c r="V4386" s="210"/>
      <c r="W4386" s="214"/>
      <c r="X4386" s="73">
        <v>43922</v>
      </c>
      <c r="Y4386" s="73">
        <v>46234</v>
      </c>
    </row>
    <row r="4387" s="5" customFormat="1" customHeight="1" spans="1:25">
      <c r="A4387" s="203" t="s">
        <v>446</v>
      </c>
      <c r="B4387" s="204" t="s">
        <v>5519</v>
      </c>
      <c r="C4387" s="204" t="s">
        <v>125</v>
      </c>
      <c r="D4387" s="204" t="s">
        <v>3939</v>
      </c>
      <c r="E4387" s="205" t="s">
        <v>5671</v>
      </c>
      <c r="F4387" s="203" t="s">
        <v>5672</v>
      </c>
      <c r="G4387" s="203" t="s">
        <v>88</v>
      </c>
      <c r="H4387" s="25" t="s">
        <v>5699</v>
      </c>
      <c r="I4387" s="46" t="e">
        <f>VLOOKUP(H4387,'合同高级查询数据-4月返'!A:A,1,FALSE)</f>
        <v>#N/A</v>
      </c>
      <c r="J4387" s="47" t="s">
        <v>90</v>
      </c>
      <c r="K4387" s="203" t="s">
        <v>5652</v>
      </c>
      <c r="L4387" s="206"/>
      <c r="M4387" s="49" t="s">
        <v>5700</v>
      </c>
      <c r="N4387" s="73">
        <v>44188</v>
      </c>
      <c r="O4387" s="73" t="s">
        <v>503</v>
      </c>
      <c r="P4387" s="396">
        <v>5000</v>
      </c>
      <c r="Q4387" s="212">
        <v>-1</v>
      </c>
      <c r="R4387" s="386">
        <f t="shared" si="142"/>
        <v>-5000</v>
      </c>
      <c r="S4387" s="279">
        <v>202304</v>
      </c>
      <c r="T4387" s="184" t="s">
        <v>5732</v>
      </c>
      <c r="U4387" s="213"/>
      <c r="V4387" s="210"/>
      <c r="W4387" s="214"/>
      <c r="X4387" s="73">
        <v>43922</v>
      </c>
      <c r="Y4387" s="73">
        <v>46234</v>
      </c>
    </row>
    <row r="4388" s="5" customFormat="1" customHeight="1" spans="1:25">
      <c r="A4388" s="203" t="s">
        <v>446</v>
      </c>
      <c r="B4388" s="204" t="s">
        <v>5519</v>
      </c>
      <c r="C4388" s="204" t="s">
        <v>125</v>
      </c>
      <c r="D4388" s="204" t="s">
        <v>3939</v>
      </c>
      <c r="E4388" s="205" t="s">
        <v>5671</v>
      </c>
      <c r="F4388" s="203" t="s">
        <v>5672</v>
      </c>
      <c r="G4388" s="203" t="s">
        <v>88</v>
      </c>
      <c r="H4388" s="25" t="s">
        <v>5699</v>
      </c>
      <c r="I4388" s="46" t="e">
        <f>VLOOKUP(H4388,'合同高级查询数据-4月返'!A:A,1,FALSE)</f>
        <v>#N/A</v>
      </c>
      <c r="J4388" s="47" t="s">
        <v>90</v>
      </c>
      <c r="K4388" s="203" t="s">
        <v>5652</v>
      </c>
      <c r="L4388" s="206"/>
      <c r="M4388" s="49" t="s">
        <v>5700</v>
      </c>
      <c r="N4388" s="73">
        <v>44189</v>
      </c>
      <c r="O4388" s="73" t="s">
        <v>503</v>
      </c>
      <c r="P4388" s="396">
        <v>5000</v>
      </c>
      <c r="Q4388" s="212">
        <v>2</v>
      </c>
      <c r="R4388" s="386">
        <f t="shared" si="142"/>
        <v>10000</v>
      </c>
      <c r="S4388" s="279">
        <v>202304</v>
      </c>
      <c r="T4388" s="184" t="s">
        <v>5733</v>
      </c>
      <c r="U4388" s="213"/>
      <c r="V4388" s="210"/>
      <c r="W4388" s="214"/>
      <c r="X4388" s="73">
        <v>43922</v>
      </c>
      <c r="Y4388" s="73">
        <v>46234</v>
      </c>
    </row>
    <row r="4389" s="5" customFormat="1" customHeight="1" spans="1:25">
      <c r="A4389" s="203" t="s">
        <v>446</v>
      </c>
      <c r="B4389" s="204" t="s">
        <v>5519</v>
      </c>
      <c r="C4389" s="204" t="s">
        <v>125</v>
      </c>
      <c r="D4389" s="204" t="s">
        <v>3939</v>
      </c>
      <c r="E4389" s="205" t="s">
        <v>5671</v>
      </c>
      <c r="F4389" s="203" t="s">
        <v>5672</v>
      </c>
      <c r="G4389" s="203" t="s">
        <v>88</v>
      </c>
      <c r="H4389" s="25" t="s">
        <v>5699</v>
      </c>
      <c r="I4389" s="46" t="e">
        <f>VLOOKUP(H4389,'合同高级查询数据-4月返'!A:A,1,FALSE)</f>
        <v>#N/A</v>
      </c>
      <c r="J4389" s="47" t="s">
        <v>90</v>
      </c>
      <c r="K4389" s="203" t="s">
        <v>5652</v>
      </c>
      <c r="L4389" s="206"/>
      <c r="M4389" s="49" t="s">
        <v>5700</v>
      </c>
      <c r="N4389" s="73">
        <v>44194</v>
      </c>
      <c r="O4389" s="73" t="s">
        <v>503</v>
      </c>
      <c r="P4389" s="396">
        <v>5000</v>
      </c>
      <c r="Q4389" s="212">
        <v>1</v>
      </c>
      <c r="R4389" s="386">
        <f t="shared" si="142"/>
        <v>5000</v>
      </c>
      <c r="S4389" s="279">
        <v>202304</v>
      </c>
      <c r="T4389" s="184" t="s">
        <v>5734</v>
      </c>
      <c r="U4389" s="213"/>
      <c r="V4389" s="210"/>
      <c r="W4389" s="214"/>
      <c r="X4389" s="73">
        <v>43922</v>
      </c>
      <c r="Y4389" s="73">
        <v>46234</v>
      </c>
    </row>
    <row r="4390" s="5" customFormat="1" customHeight="1" spans="1:25">
      <c r="A4390" s="203" t="s">
        <v>446</v>
      </c>
      <c r="B4390" s="204" t="s">
        <v>5519</v>
      </c>
      <c r="C4390" s="204" t="s">
        <v>125</v>
      </c>
      <c r="D4390" s="204" t="s">
        <v>3939</v>
      </c>
      <c r="E4390" s="205" t="s">
        <v>5671</v>
      </c>
      <c r="F4390" s="203" t="s">
        <v>5672</v>
      </c>
      <c r="G4390" s="203" t="s">
        <v>88</v>
      </c>
      <c r="H4390" s="25" t="s">
        <v>5699</v>
      </c>
      <c r="I4390" s="46" t="e">
        <f>VLOOKUP(H4390,'合同高级查询数据-4月返'!A:A,1,FALSE)</f>
        <v>#N/A</v>
      </c>
      <c r="J4390" s="47" t="s">
        <v>90</v>
      </c>
      <c r="K4390" s="203" t="s">
        <v>5652</v>
      </c>
      <c r="L4390" s="206"/>
      <c r="M4390" s="49" t="s">
        <v>5713</v>
      </c>
      <c r="N4390" s="73">
        <v>44202</v>
      </c>
      <c r="O4390" s="73" t="s">
        <v>503</v>
      </c>
      <c r="P4390" s="396">
        <v>5000</v>
      </c>
      <c r="Q4390" s="212">
        <v>1</v>
      </c>
      <c r="R4390" s="386">
        <f t="shared" si="142"/>
        <v>5000</v>
      </c>
      <c r="S4390" s="279">
        <v>202304</v>
      </c>
      <c r="T4390" s="184" t="s">
        <v>5735</v>
      </c>
      <c r="U4390" s="213"/>
      <c r="V4390" s="210"/>
      <c r="W4390" s="214"/>
      <c r="X4390" s="73">
        <v>43922</v>
      </c>
      <c r="Y4390" s="73">
        <v>46234</v>
      </c>
    </row>
    <row r="4391" s="5" customFormat="1" customHeight="1" spans="1:25">
      <c r="A4391" s="203" t="s">
        <v>446</v>
      </c>
      <c r="B4391" s="204" t="s">
        <v>5519</v>
      </c>
      <c r="C4391" s="204" t="s">
        <v>125</v>
      </c>
      <c r="D4391" s="204" t="s">
        <v>3939</v>
      </c>
      <c r="E4391" s="205" t="s">
        <v>5671</v>
      </c>
      <c r="F4391" s="203" t="s">
        <v>5672</v>
      </c>
      <c r="G4391" s="203" t="s">
        <v>88</v>
      </c>
      <c r="H4391" s="25" t="s">
        <v>5699</v>
      </c>
      <c r="I4391" s="46" t="e">
        <f>VLOOKUP(H4391,'合同高级查询数据-4月返'!A:A,1,FALSE)</f>
        <v>#N/A</v>
      </c>
      <c r="J4391" s="47" t="s">
        <v>90</v>
      </c>
      <c r="K4391" s="203" t="s">
        <v>5652</v>
      </c>
      <c r="L4391" s="206"/>
      <c r="M4391" s="49" t="s">
        <v>5700</v>
      </c>
      <c r="N4391" s="73">
        <v>44214</v>
      </c>
      <c r="O4391" s="73" t="s">
        <v>503</v>
      </c>
      <c r="P4391" s="396">
        <v>5000</v>
      </c>
      <c r="Q4391" s="212">
        <v>1</v>
      </c>
      <c r="R4391" s="386">
        <f t="shared" si="142"/>
        <v>5000</v>
      </c>
      <c r="S4391" s="279">
        <v>202304</v>
      </c>
      <c r="T4391" s="184" t="s">
        <v>5736</v>
      </c>
      <c r="U4391" s="213"/>
      <c r="V4391" s="210"/>
      <c r="W4391" s="214"/>
      <c r="X4391" s="73">
        <v>43922</v>
      </c>
      <c r="Y4391" s="73">
        <v>46234</v>
      </c>
    </row>
    <row r="4392" s="5" customFormat="1" customHeight="1" spans="1:25">
      <c r="A4392" s="203" t="s">
        <v>446</v>
      </c>
      <c r="B4392" s="204" t="s">
        <v>5519</v>
      </c>
      <c r="C4392" s="204" t="s">
        <v>125</v>
      </c>
      <c r="D4392" s="204" t="s">
        <v>3939</v>
      </c>
      <c r="E4392" s="205" t="s">
        <v>5671</v>
      </c>
      <c r="F4392" s="203" t="s">
        <v>5672</v>
      </c>
      <c r="G4392" s="203" t="s">
        <v>88</v>
      </c>
      <c r="H4392" s="25" t="s">
        <v>5699</v>
      </c>
      <c r="I4392" s="46" t="e">
        <f>VLOOKUP(H4392,'合同高级查询数据-4月返'!A:A,1,FALSE)</f>
        <v>#N/A</v>
      </c>
      <c r="J4392" s="47" t="s">
        <v>90</v>
      </c>
      <c r="K4392" s="203" t="s">
        <v>5652</v>
      </c>
      <c r="L4392" s="206"/>
      <c r="M4392" s="49" t="s">
        <v>5700</v>
      </c>
      <c r="N4392" s="73">
        <v>44222</v>
      </c>
      <c r="O4392" s="73" t="s">
        <v>503</v>
      </c>
      <c r="P4392" s="396">
        <v>5000</v>
      </c>
      <c r="Q4392" s="212">
        <v>2</v>
      </c>
      <c r="R4392" s="386">
        <f t="shared" si="142"/>
        <v>10000</v>
      </c>
      <c r="S4392" s="279">
        <v>202304</v>
      </c>
      <c r="T4392" s="184" t="s">
        <v>5737</v>
      </c>
      <c r="U4392" s="213"/>
      <c r="V4392" s="210"/>
      <c r="W4392" s="214"/>
      <c r="X4392" s="73">
        <v>43922</v>
      </c>
      <c r="Y4392" s="73">
        <v>46234</v>
      </c>
    </row>
    <row r="4393" s="5" customFormat="1" customHeight="1" spans="1:25">
      <c r="A4393" s="203" t="s">
        <v>446</v>
      </c>
      <c r="B4393" s="204" t="s">
        <v>5519</v>
      </c>
      <c r="C4393" s="204" t="s">
        <v>125</v>
      </c>
      <c r="D4393" s="204" t="s">
        <v>3939</v>
      </c>
      <c r="E4393" s="205" t="s">
        <v>5671</v>
      </c>
      <c r="F4393" s="203" t="s">
        <v>5672</v>
      </c>
      <c r="G4393" s="203" t="s">
        <v>88</v>
      </c>
      <c r="H4393" s="25" t="s">
        <v>5699</v>
      </c>
      <c r="I4393" s="46" t="e">
        <f>VLOOKUP(H4393,'合同高级查询数据-4月返'!A:A,1,FALSE)</f>
        <v>#N/A</v>
      </c>
      <c r="J4393" s="47" t="s">
        <v>90</v>
      </c>
      <c r="K4393" s="203" t="s">
        <v>5652</v>
      </c>
      <c r="L4393" s="206"/>
      <c r="M4393" s="49" t="s">
        <v>5700</v>
      </c>
      <c r="N4393" s="73">
        <v>44221</v>
      </c>
      <c r="O4393" s="73" t="s">
        <v>503</v>
      </c>
      <c r="P4393" s="396">
        <v>5000</v>
      </c>
      <c r="Q4393" s="212">
        <v>2</v>
      </c>
      <c r="R4393" s="386">
        <f t="shared" si="142"/>
        <v>10000</v>
      </c>
      <c r="S4393" s="279">
        <v>202304</v>
      </c>
      <c r="T4393" s="184" t="s">
        <v>5738</v>
      </c>
      <c r="U4393" s="213"/>
      <c r="V4393" s="210"/>
      <c r="W4393" s="214"/>
      <c r="X4393" s="73">
        <v>43922</v>
      </c>
      <c r="Y4393" s="73">
        <v>46234</v>
      </c>
    </row>
    <row r="4394" s="5" customFormat="1" customHeight="1" spans="1:25">
      <c r="A4394" s="203" t="s">
        <v>446</v>
      </c>
      <c r="B4394" s="204" t="s">
        <v>5519</v>
      </c>
      <c r="C4394" s="204" t="s">
        <v>125</v>
      </c>
      <c r="D4394" s="204" t="s">
        <v>3939</v>
      </c>
      <c r="E4394" s="205" t="s">
        <v>5671</v>
      </c>
      <c r="F4394" s="203" t="s">
        <v>5672</v>
      </c>
      <c r="G4394" s="203" t="s">
        <v>88</v>
      </c>
      <c r="H4394" s="25" t="s">
        <v>5699</v>
      </c>
      <c r="I4394" s="46" t="e">
        <f>VLOOKUP(H4394,'合同高级查询数据-4月返'!A:A,1,FALSE)</f>
        <v>#N/A</v>
      </c>
      <c r="J4394" s="47" t="s">
        <v>90</v>
      </c>
      <c r="K4394" s="203" t="s">
        <v>5652</v>
      </c>
      <c r="L4394" s="206"/>
      <c r="M4394" s="49" t="s">
        <v>5700</v>
      </c>
      <c r="N4394" s="73">
        <v>44224</v>
      </c>
      <c r="O4394" s="73" t="s">
        <v>503</v>
      </c>
      <c r="P4394" s="396">
        <v>5000</v>
      </c>
      <c r="Q4394" s="212">
        <v>1</v>
      </c>
      <c r="R4394" s="386">
        <f t="shared" si="142"/>
        <v>5000</v>
      </c>
      <c r="S4394" s="279">
        <v>202304</v>
      </c>
      <c r="T4394" s="184" t="s">
        <v>5739</v>
      </c>
      <c r="U4394" s="213"/>
      <c r="V4394" s="210"/>
      <c r="W4394" s="214"/>
      <c r="X4394" s="73">
        <v>43922</v>
      </c>
      <c r="Y4394" s="73">
        <v>46234</v>
      </c>
    </row>
    <row r="4395" s="5" customFormat="1" customHeight="1" spans="1:25">
      <c r="A4395" s="203" t="s">
        <v>446</v>
      </c>
      <c r="B4395" s="204" t="s">
        <v>5519</v>
      </c>
      <c r="C4395" s="204" t="s">
        <v>125</v>
      </c>
      <c r="D4395" s="204" t="s">
        <v>3939</v>
      </c>
      <c r="E4395" s="205" t="s">
        <v>5671</v>
      </c>
      <c r="F4395" s="203" t="s">
        <v>5672</v>
      </c>
      <c r="G4395" s="203" t="s">
        <v>88</v>
      </c>
      <c r="H4395" s="25" t="s">
        <v>5699</v>
      </c>
      <c r="I4395" s="46" t="e">
        <f>VLOOKUP(H4395,'合同高级查询数据-4月返'!A:A,1,FALSE)</f>
        <v>#N/A</v>
      </c>
      <c r="J4395" s="47" t="s">
        <v>90</v>
      </c>
      <c r="K4395" s="203" t="s">
        <v>5652</v>
      </c>
      <c r="L4395" s="206"/>
      <c r="M4395" s="49" t="s">
        <v>5713</v>
      </c>
      <c r="N4395" s="73">
        <v>44225</v>
      </c>
      <c r="O4395" s="73" t="s">
        <v>503</v>
      </c>
      <c r="P4395" s="396">
        <v>5000</v>
      </c>
      <c r="Q4395" s="212">
        <v>28</v>
      </c>
      <c r="R4395" s="386">
        <f t="shared" si="142"/>
        <v>140000</v>
      </c>
      <c r="S4395" s="279">
        <v>202304</v>
      </c>
      <c r="T4395" s="184" t="s">
        <v>5740</v>
      </c>
      <c r="U4395" s="213"/>
      <c r="V4395" s="210"/>
      <c r="W4395" s="214"/>
      <c r="X4395" s="73">
        <v>43922</v>
      </c>
      <c r="Y4395" s="73">
        <v>46234</v>
      </c>
    </row>
    <row r="4396" s="5" customFormat="1" customHeight="1" spans="1:25">
      <c r="A4396" s="203" t="s">
        <v>446</v>
      </c>
      <c r="B4396" s="204" t="s">
        <v>5519</v>
      </c>
      <c r="C4396" s="204" t="s">
        <v>125</v>
      </c>
      <c r="D4396" s="204" t="s">
        <v>3939</v>
      </c>
      <c r="E4396" s="205" t="s">
        <v>5671</v>
      </c>
      <c r="F4396" s="203" t="s">
        <v>5672</v>
      </c>
      <c r="G4396" s="203" t="s">
        <v>88</v>
      </c>
      <c r="H4396" s="25" t="s">
        <v>5699</v>
      </c>
      <c r="I4396" s="46" t="e">
        <f>VLOOKUP(H4396,'合同高级查询数据-4月返'!A:A,1,FALSE)</f>
        <v>#N/A</v>
      </c>
      <c r="J4396" s="47" t="s">
        <v>90</v>
      </c>
      <c r="K4396" s="203" t="s">
        <v>5652</v>
      </c>
      <c r="L4396" s="206"/>
      <c r="M4396" s="49" t="s">
        <v>5713</v>
      </c>
      <c r="N4396" s="73">
        <v>44226</v>
      </c>
      <c r="O4396" s="73" t="s">
        <v>503</v>
      </c>
      <c r="P4396" s="396">
        <v>5000</v>
      </c>
      <c r="Q4396" s="212">
        <v>77</v>
      </c>
      <c r="R4396" s="386">
        <f t="shared" si="142"/>
        <v>385000</v>
      </c>
      <c r="S4396" s="279">
        <v>202304</v>
      </c>
      <c r="T4396" s="184" t="s">
        <v>5741</v>
      </c>
      <c r="U4396" s="213"/>
      <c r="V4396" s="210"/>
      <c r="W4396" s="214"/>
      <c r="X4396" s="73">
        <v>43922</v>
      </c>
      <c r="Y4396" s="73">
        <v>46234</v>
      </c>
    </row>
    <row r="4397" s="5" customFormat="1" customHeight="1" spans="1:25">
      <c r="A4397" s="203" t="s">
        <v>446</v>
      </c>
      <c r="B4397" s="204" t="s">
        <v>5519</v>
      </c>
      <c r="C4397" s="204" t="s">
        <v>125</v>
      </c>
      <c r="D4397" s="204" t="s">
        <v>3939</v>
      </c>
      <c r="E4397" s="205" t="s">
        <v>5671</v>
      </c>
      <c r="F4397" s="203" t="s">
        <v>5672</v>
      </c>
      <c r="G4397" s="203" t="s">
        <v>88</v>
      </c>
      <c r="H4397" s="25" t="s">
        <v>5699</v>
      </c>
      <c r="I4397" s="46" t="e">
        <f>VLOOKUP(H4397,'合同高级查询数据-4月返'!A:A,1,FALSE)</f>
        <v>#N/A</v>
      </c>
      <c r="J4397" s="47" t="s">
        <v>90</v>
      </c>
      <c r="K4397" s="203" t="s">
        <v>5652</v>
      </c>
      <c r="L4397" s="206"/>
      <c r="M4397" s="49" t="s">
        <v>5713</v>
      </c>
      <c r="N4397" s="73">
        <v>44227</v>
      </c>
      <c r="O4397" s="73" t="s">
        <v>503</v>
      </c>
      <c r="P4397" s="396">
        <v>5000</v>
      </c>
      <c r="Q4397" s="212">
        <v>5</v>
      </c>
      <c r="R4397" s="386">
        <f t="shared" si="142"/>
        <v>25000</v>
      </c>
      <c r="S4397" s="279">
        <v>202304</v>
      </c>
      <c r="T4397" s="184" t="s">
        <v>5742</v>
      </c>
      <c r="U4397" s="213"/>
      <c r="V4397" s="210"/>
      <c r="W4397" s="214"/>
      <c r="X4397" s="73">
        <v>43922</v>
      </c>
      <c r="Y4397" s="73">
        <v>46234</v>
      </c>
    </row>
    <row r="4398" s="5" customFormat="1" customHeight="1" spans="1:25">
      <c r="A4398" s="203" t="s">
        <v>446</v>
      </c>
      <c r="B4398" s="204" t="s">
        <v>5519</v>
      </c>
      <c r="C4398" s="204" t="s">
        <v>125</v>
      </c>
      <c r="D4398" s="204" t="s">
        <v>3939</v>
      </c>
      <c r="E4398" s="205" t="s">
        <v>5671</v>
      </c>
      <c r="F4398" s="203" t="s">
        <v>5672</v>
      </c>
      <c r="G4398" s="203" t="s">
        <v>88</v>
      </c>
      <c r="H4398" s="25" t="s">
        <v>5699</v>
      </c>
      <c r="I4398" s="46" t="e">
        <f>VLOOKUP(H4398,'合同高级查询数据-4月返'!A:A,1,FALSE)</f>
        <v>#N/A</v>
      </c>
      <c r="J4398" s="47" t="s">
        <v>90</v>
      </c>
      <c r="K4398" s="203" t="s">
        <v>5652</v>
      </c>
      <c r="L4398" s="206"/>
      <c r="M4398" s="49" t="s">
        <v>5713</v>
      </c>
      <c r="N4398" s="73">
        <v>44232</v>
      </c>
      <c r="O4398" s="73" t="s">
        <v>503</v>
      </c>
      <c r="P4398" s="396">
        <v>5000</v>
      </c>
      <c r="Q4398" s="212">
        <v>5</v>
      </c>
      <c r="R4398" s="386">
        <f t="shared" si="142"/>
        <v>25000</v>
      </c>
      <c r="S4398" s="279">
        <v>202304</v>
      </c>
      <c r="T4398" s="184" t="s">
        <v>5743</v>
      </c>
      <c r="U4398" s="213"/>
      <c r="V4398" s="210"/>
      <c r="W4398" s="214"/>
      <c r="X4398" s="73">
        <v>43922</v>
      </c>
      <c r="Y4398" s="73">
        <v>46234</v>
      </c>
    </row>
    <row r="4399" s="5" customFormat="1" customHeight="1" spans="1:25">
      <c r="A4399" s="203" t="s">
        <v>446</v>
      </c>
      <c r="B4399" s="204" t="s">
        <v>5519</v>
      </c>
      <c r="C4399" s="204" t="s">
        <v>125</v>
      </c>
      <c r="D4399" s="204" t="s">
        <v>3939</v>
      </c>
      <c r="E4399" s="205" t="s">
        <v>5671</v>
      </c>
      <c r="F4399" s="203" t="s">
        <v>5672</v>
      </c>
      <c r="G4399" s="203" t="s">
        <v>88</v>
      </c>
      <c r="H4399" s="25" t="s">
        <v>5699</v>
      </c>
      <c r="I4399" s="46" t="e">
        <f>VLOOKUP(H4399,'合同高级查询数据-4月返'!A:A,1,FALSE)</f>
        <v>#N/A</v>
      </c>
      <c r="J4399" s="47" t="s">
        <v>90</v>
      </c>
      <c r="K4399" s="203" t="s">
        <v>5652</v>
      </c>
      <c r="L4399" s="206"/>
      <c r="M4399" s="49" t="s">
        <v>5713</v>
      </c>
      <c r="N4399" s="73">
        <v>44234</v>
      </c>
      <c r="O4399" s="73" t="s">
        <v>503</v>
      </c>
      <c r="P4399" s="396">
        <v>5000</v>
      </c>
      <c r="Q4399" s="212">
        <v>18</v>
      </c>
      <c r="R4399" s="386">
        <f t="shared" si="142"/>
        <v>90000</v>
      </c>
      <c r="S4399" s="279">
        <v>202304</v>
      </c>
      <c r="T4399" s="184" t="s">
        <v>5744</v>
      </c>
      <c r="U4399" s="213"/>
      <c r="V4399" s="210"/>
      <c r="W4399" s="214"/>
      <c r="X4399" s="73">
        <v>43922</v>
      </c>
      <c r="Y4399" s="73">
        <v>46234</v>
      </c>
    </row>
    <row r="4400" s="5" customFormat="1" customHeight="1" spans="1:25">
      <c r="A4400" s="203" t="s">
        <v>446</v>
      </c>
      <c r="B4400" s="204" t="s">
        <v>5519</v>
      </c>
      <c r="C4400" s="204" t="s">
        <v>125</v>
      </c>
      <c r="D4400" s="204" t="s">
        <v>3939</v>
      </c>
      <c r="E4400" s="205" t="s">
        <v>5671</v>
      </c>
      <c r="F4400" s="203" t="s">
        <v>5672</v>
      </c>
      <c r="G4400" s="203" t="s">
        <v>88</v>
      </c>
      <c r="H4400" s="25" t="s">
        <v>5699</v>
      </c>
      <c r="I4400" s="46" t="e">
        <f>VLOOKUP(H4400,'合同高级查询数据-4月返'!A:A,1,FALSE)</f>
        <v>#N/A</v>
      </c>
      <c r="J4400" s="47" t="s">
        <v>90</v>
      </c>
      <c r="K4400" s="203" t="s">
        <v>5652</v>
      </c>
      <c r="L4400" s="206"/>
      <c r="M4400" s="49" t="s">
        <v>5713</v>
      </c>
      <c r="N4400" s="73">
        <v>44251</v>
      </c>
      <c r="O4400" s="73" t="s">
        <v>503</v>
      </c>
      <c r="P4400" s="396">
        <v>5000</v>
      </c>
      <c r="Q4400" s="212">
        <v>4</v>
      </c>
      <c r="R4400" s="386">
        <f t="shared" si="142"/>
        <v>20000</v>
      </c>
      <c r="S4400" s="279">
        <v>202304</v>
      </c>
      <c r="T4400" s="184" t="s">
        <v>5745</v>
      </c>
      <c r="U4400" s="213"/>
      <c r="V4400" s="210"/>
      <c r="W4400" s="214"/>
      <c r="X4400" s="73">
        <v>43922</v>
      </c>
      <c r="Y4400" s="73">
        <v>46234</v>
      </c>
    </row>
    <row r="4401" s="5" customFormat="1" customHeight="1" spans="1:25">
      <c r="A4401" s="203" t="s">
        <v>446</v>
      </c>
      <c r="B4401" s="204" t="s">
        <v>5519</v>
      </c>
      <c r="C4401" s="204" t="s">
        <v>125</v>
      </c>
      <c r="D4401" s="204" t="s">
        <v>3939</v>
      </c>
      <c r="E4401" s="205" t="s">
        <v>5671</v>
      </c>
      <c r="F4401" s="203" t="s">
        <v>5672</v>
      </c>
      <c r="G4401" s="203" t="s">
        <v>88</v>
      </c>
      <c r="H4401" s="25" t="s">
        <v>5699</v>
      </c>
      <c r="I4401" s="46" t="e">
        <f>VLOOKUP(H4401,'合同高级查询数据-4月返'!A:A,1,FALSE)</f>
        <v>#N/A</v>
      </c>
      <c r="J4401" s="47" t="s">
        <v>90</v>
      </c>
      <c r="K4401" s="203" t="s">
        <v>5652</v>
      </c>
      <c r="L4401" s="206"/>
      <c r="M4401" s="49" t="s">
        <v>5713</v>
      </c>
      <c r="N4401" s="73">
        <v>44258</v>
      </c>
      <c r="O4401" s="73" t="s">
        <v>503</v>
      </c>
      <c r="P4401" s="396">
        <v>5000</v>
      </c>
      <c r="Q4401" s="212">
        <v>7</v>
      </c>
      <c r="R4401" s="386">
        <f t="shared" si="142"/>
        <v>35000</v>
      </c>
      <c r="S4401" s="279">
        <v>202304</v>
      </c>
      <c r="T4401" s="184" t="s">
        <v>5746</v>
      </c>
      <c r="U4401" s="213"/>
      <c r="V4401" s="210"/>
      <c r="W4401" s="214"/>
      <c r="X4401" s="73">
        <v>43922</v>
      </c>
      <c r="Y4401" s="73">
        <v>46234</v>
      </c>
    </row>
    <row r="4402" s="5" customFormat="1" customHeight="1" spans="1:25">
      <c r="A4402" s="203" t="s">
        <v>446</v>
      </c>
      <c r="B4402" s="204" t="s">
        <v>5519</v>
      </c>
      <c r="C4402" s="204" t="s">
        <v>125</v>
      </c>
      <c r="D4402" s="204" t="s">
        <v>3939</v>
      </c>
      <c r="E4402" s="205" t="s">
        <v>5671</v>
      </c>
      <c r="F4402" s="203" t="s">
        <v>5672</v>
      </c>
      <c r="G4402" s="203" t="s">
        <v>88</v>
      </c>
      <c r="H4402" s="25" t="s">
        <v>5699</v>
      </c>
      <c r="I4402" s="46" t="e">
        <f>VLOOKUP(H4402,'合同高级查询数据-4月返'!A:A,1,FALSE)</f>
        <v>#N/A</v>
      </c>
      <c r="J4402" s="47" t="s">
        <v>90</v>
      </c>
      <c r="K4402" s="203" t="s">
        <v>5652</v>
      </c>
      <c r="L4402" s="206"/>
      <c r="M4402" s="49" t="s">
        <v>5700</v>
      </c>
      <c r="N4402" s="73">
        <v>44282</v>
      </c>
      <c r="O4402" s="73" t="s">
        <v>503</v>
      </c>
      <c r="P4402" s="396">
        <v>5000</v>
      </c>
      <c r="Q4402" s="212">
        <v>1</v>
      </c>
      <c r="R4402" s="386">
        <f t="shared" si="142"/>
        <v>5000</v>
      </c>
      <c r="S4402" s="279">
        <v>202304</v>
      </c>
      <c r="T4402" s="184" t="s">
        <v>5747</v>
      </c>
      <c r="U4402" s="213"/>
      <c r="V4402" s="210"/>
      <c r="W4402" s="214"/>
      <c r="X4402" s="73">
        <v>43922</v>
      </c>
      <c r="Y4402" s="73">
        <v>46234</v>
      </c>
    </row>
    <row r="4403" s="5" customFormat="1" customHeight="1" spans="1:25">
      <c r="A4403" s="203" t="s">
        <v>446</v>
      </c>
      <c r="B4403" s="204" t="s">
        <v>5519</v>
      </c>
      <c r="C4403" s="204" t="s">
        <v>125</v>
      </c>
      <c r="D4403" s="204" t="s">
        <v>3939</v>
      </c>
      <c r="E4403" s="205" t="s">
        <v>5671</v>
      </c>
      <c r="F4403" s="203" t="s">
        <v>5672</v>
      </c>
      <c r="G4403" s="203" t="s">
        <v>88</v>
      </c>
      <c r="H4403" s="25" t="s">
        <v>5699</v>
      </c>
      <c r="I4403" s="46" t="e">
        <f>VLOOKUP(H4403,'合同高级查询数据-4月返'!A:A,1,FALSE)</f>
        <v>#N/A</v>
      </c>
      <c r="J4403" s="47" t="s">
        <v>90</v>
      </c>
      <c r="K4403" s="203" t="s">
        <v>5652</v>
      </c>
      <c r="L4403" s="206"/>
      <c r="M4403" s="49" t="s">
        <v>5713</v>
      </c>
      <c r="N4403" s="73">
        <v>44284</v>
      </c>
      <c r="O4403" s="73" t="s">
        <v>503</v>
      </c>
      <c r="P4403" s="396">
        <v>5000</v>
      </c>
      <c r="Q4403" s="212">
        <v>5</v>
      </c>
      <c r="R4403" s="386">
        <f t="shared" si="142"/>
        <v>25000</v>
      </c>
      <c r="S4403" s="279">
        <v>202304</v>
      </c>
      <c r="T4403" s="184" t="s">
        <v>5748</v>
      </c>
      <c r="U4403" s="213"/>
      <c r="V4403" s="210"/>
      <c r="W4403" s="214"/>
      <c r="X4403" s="73">
        <v>43922</v>
      </c>
      <c r="Y4403" s="73">
        <v>46234</v>
      </c>
    </row>
    <row r="4404" s="5" customFormat="1" customHeight="1" spans="1:25">
      <c r="A4404" s="203" t="s">
        <v>446</v>
      </c>
      <c r="B4404" s="204" t="s">
        <v>5519</v>
      </c>
      <c r="C4404" s="204" t="s">
        <v>125</v>
      </c>
      <c r="D4404" s="204" t="s">
        <v>3939</v>
      </c>
      <c r="E4404" s="205" t="s">
        <v>5671</v>
      </c>
      <c r="F4404" s="203" t="s">
        <v>5672</v>
      </c>
      <c r="G4404" s="203" t="s">
        <v>88</v>
      </c>
      <c r="H4404" s="25" t="s">
        <v>5699</v>
      </c>
      <c r="I4404" s="46" t="e">
        <f>VLOOKUP(H4404,'合同高级查询数据-4月返'!A:A,1,FALSE)</f>
        <v>#N/A</v>
      </c>
      <c r="J4404" s="47" t="s">
        <v>90</v>
      </c>
      <c r="K4404" s="203" t="s">
        <v>5652</v>
      </c>
      <c r="L4404" s="206"/>
      <c r="M4404" s="49" t="s">
        <v>5713</v>
      </c>
      <c r="N4404" s="73">
        <v>44288</v>
      </c>
      <c r="O4404" s="73" t="s">
        <v>503</v>
      </c>
      <c r="P4404" s="396">
        <v>5000</v>
      </c>
      <c r="Q4404" s="212">
        <v>4</v>
      </c>
      <c r="R4404" s="386">
        <f t="shared" ref="R4404:R4448" si="143">ROUND(P4404*Q4404,2)</f>
        <v>20000</v>
      </c>
      <c r="S4404" s="279">
        <v>202304</v>
      </c>
      <c r="T4404" s="184" t="s">
        <v>5749</v>
      </c>
      <c r="U4404" s="213"/>
      <c r="V4404" s="210"/>
      <c r="W4404" s="214"/>
      <c r="X4404" s="73">
        <v>43922</v>
      </c>
      <c r="Y4404" s="73">
        <v>46234</v>
      </c>
    </row>
    <row r="4405" s="5" customFormat="1" customHeight="1" spans="1:25">
      <c r="A4405" s="203" t="s">
        <v>446</v>
      </c>
      <c r="B4405" s="204" t="s">
        <v>5519</v>
      </c>
      <c r="C4405" s="204" t="s">
        <v>125</v>
      </c>
      <c r="D4405" s="204" t="s">
        <v>3939</v>
      </c>
      <c r="E4405" s="205" t="s">
        <v>5671</v>
      </c>
      <c r="F4405" s="203" t="s">
        <v>5672</v>
      </c>
      <c r="G4405" s="203" t="s">
        <v>88</v>
      </c>
      <c r="H4405" s="25" t="s">
        <v>5699</v>
      </c>
      <c r="I4405" s="46" t="e">
        <f>VLOOKUP(H4405,'合同高级查询数据-4月返'!A:A,1,FALSE)</f>
        <v>#N/A</v>
      </c>
      <c r="J4405" s="47" t="s">
        <v>90</v>
      </c>
      <c r="K4405" s="203" t="s">
        <v>5652</v>
      </c>
      <c r="L4405" s="206"/>
      <c r="M4405" s="49" t="s">
        <v>5713</v>
      </c>
      <c r="N4405" s="73">
        <v>44292</v>
      </c>
      <c r="O4405" s="73" t="s">
        <v>503</v>
      </c>
      <c r="P4405" s="396">
        <v>5000</v>
      </c>
      <c r="Q4405" s="212">
        <v>8</v>
      </c>
      <c r="R4405" s="386">
        <f t="shared" si="143"/>
        <v>40000</v>
      </c>
      <c r="S4405" s="279">
        <v>202304</v>
      </c>
      <c r="T4405" s="184" t="s">
        <v>5750</v>
      </c>
      <c r="U4405" s="213"/>
      <c r="V4405" s="210"/>
      <c r="W4405" s="214"/>
      <c r="X4405" s="73">
        <v>43922</v>
      </c>
      <c r="Y4405" s="73">
        <v>46234</v>
      </c>
    </row>
    <row r="4406" s="5" customFormat="1" customHeight="1" spans="1:25">
      <c r="A4406" s="203" t="s">
        <v>446</v>
      </c>
      <c r="B4406" s="204" t="s">
        <v>5519</v>
      </c>
      <c r="C4406" s="204" t="s">
        <v>125</v>
      </c>
      <c r="D4406" s="204" t="s">
        <v>3939</v>
      </c>
      <c r="E4406" s="205" t="s">
        <v>5671</v>
      </c>
      <c r="F4406" s="203" t="s">
        <v>5672</v>
      </c>
      <c r="G4406" s="203" t="s">
        <v>88</v>
      </c>
      <c r="H4406" s="25" t="s">
        <v>5699</v>
      </c>
      <c r="I4406" s="46" t="e">
        <f>VLOOKUP(H4406,'合同高级查询数据-4月返'!A:A,1,FALSE)</f>
        <v>#N/A</v>
      </c>
      <c r="J4406" s="47" t="s">
        <v>90</v>
      </c>
      <c r="K4406" s="203" t="s">
        <v>5652</v>
      </c>
      <c r="L4406" s="206"/>
      <c r="M4406" s="49" t="s">
        <v>5713</v>
      </c>
      <c r="N4406" s="73">
        <v>44293</v>
      </c>
      <c r="O4406" s="73" t="s">
        <v>503</v>
      </c>
      <c r="P4406" s="396">
        <v>5000</v>
      </c>
      <c r="Q4406" s="212">
        <v>8</v>
      </c>
      <c r="R4406" s="386">
        <f t="shared" si="143"/>
        <v>40000</v>
      </c>
      <c r="S4406" s="279">
        <v>202304</v>
      </c>
      <c r="T4406" s="184" t="s">
        <v>5751</v>
      </c>
      <c r="U4406" s="213"/>
      <c r="V4406" s="210"/>
      <c r="W4406" s="214"/>
      <c r="X4406" s="73">
        <v>43922</v>
      </c>
      <c r="Y4406" s="73">
        <v>46234</v>
      </c>
    </row>
    <row r="4407" s="5" customFormat="1" customHeight="1" spans="1:25">
      <c r="A4407" s="203" t="s">
        <v>446</v>
      </c>
      <c r="B4407" s="204" t="s">
        <v>5519</v>
      </c>
      <c r="C4407" s="204" t="s">
        <v>125</v>
      </c>
      <c r="D4407" s="204" t="s">
        <v>3939</v>
      </c>
      <c r="E4407" s="205" t="s">
        <v>5671</v>
      </c>
      <c r="F4407" s="203" t="s">
        <v>5672</v>
      </c>
      <c r="G4407" s="203" t="s">
        <v>88</v>
      </c>
      <c r="H4407" s="25" t="s">
        <v>5699</v>
      </c>
      <c r="I4407" s="46" t="e">
        <f>VLOOKUP(H4407,'合同高级查询数据-4月返'!A:A,1,FALSE)</f>
        <v>#N/A</v>
      </c>
      <c r="J4407" s="47" t="s">
        <v>90</v>
      </c>
      <c r="K4407" s="203" t="s">
        <v>5652</v>
      </c>
      <c r="L4407" s="206"/>
      <c r="M4407" s="49" t="s">
        <v>5700</v>
      </c>
      <c r="N4407" s="73">
        <v>44293</v>
      </c>
      <c r="O4407" s="73" t="s">
        <v>503</v>
      </c>
      <c r="P4407" s="396">
        <v>5000</v>
      </c>
      <c r="Q4407" s="212">
        <v>3</v>
      </c>
      <c r="R4407" s="386">
        <f t="shared" si="143"/>
        <v>15000</v>
      </c>
      <c r="S4407" s="279">
        <v>202304</v>
      </c>
      <c r="T4407" s="184" t="s">
        <v>5752</v>
      </c>
      <c r="U4407" s="213"/>
      <c r="V4407" s="210"/>
      <c r="W4407" s="214"/>
      <c r="X4407" s="73">
        <v>43922</v>
      </c>
      <c r="Y4407" s="73">
        <v>46234</v>
      </c>
    </row>
    <row r="4408" s="5" customFormat="1" customHeight="1" spans="1:25">
      <c r="A4408" s="203" t="s">
        <v>446</v>
      </c>
      <c r="B4408" s="204" t="s">
        <v>5519</v>
      </c>
      <c r="C4408" s="204" t="s">
        <v>125</v>
      </c>
      <c r="D4408" s="204" t="s">
        <v>3939</v>
      </c>
      <c r="E4408" s="205" t="s">
        <v>5671</v>
      </c>
      <c r="F4408" s="203" t="s">
        <v>5672</v>
      </c>
      <c r="G4408" s="203" t="s">
        <v>88</v>
      </c>
      <c r="H4408" s="25" t="s">
        <v>5699</v>
      </c>
      <c r="I4408" s="46" t="e">
        <f>VLOOKUP(H4408,'合同高级查询数据-4月返'!A:A,1,FALSE)</f>
        <v>#N/A</v>
      </c>
      <c r="J4408" s="47" t="s">
        <v>90</v>
      </c>
      <c r="K4408" s="203" t="s">
        <v>5652</v>
      </c>
      <c r="L4408" s="206"/>
      <c r="M4408" s="49" t="s">
        <v>5700</v>
      </c>
      <c r="N4408" s="73">
        <v>44298</v>
      </c>
      <c r="O4408" s="73" t="s">
        <v>503</v>
      </c>
      <c r="P4408" s="396">
        <v>5000</v>
      </c>
      <c r="Q4408" s="212">
        <v>1</v>
      </c>
      <c r="R4408" s="386">
        <f t="shared" si="143"/>
        <v>5000</v>
      </c>
      <c r="S4408" s="279">
        <v>202304</v>
      </c>
      <c r="T4408" s="184" t="s">
        <v>5753</v>
      </c>
      <c r="U4408" s="213"/>
      <c r="V4408" s="210"/>
      <c r="W4408" s="214"/>
      <c r="X4408" s="73">
        <v>43922</v>
      </c>
      <c r="Y4408" s="73">
        <v>46234</v>
      </c>
    </row>
    <row r="4409" s="5" customFormat="1" customHeight="1" spans="1:25">
      <c r="A4409" s="203" t="s">
        <v>446</v>
      </c>
      <c r="B4409" s="204" t="s">
        <v>5519</v>
      </c>
      <c r="C4409" s="204" t="s">
        <v>125</v>
      </c>
      <c r="D4409" s="204" t="s">
        <v>3939</v>
      </c>
      <c r="E4409" s="205" t="s">
        <v>5671</v>
      </c>
      <c r="F4409" s="203" t="s">
        <v>5672</v>
      </c>
      <c r="G4409" s="203" t="s">
        <v>88</v>
      </c>
      <c r="H4409" s="25" t="s">
        <v>5699</v>
      </c>
      <c r="I4409" s="46" t="e">
        <f>VLOOKUP(H4409,'合同高级查询数据-4月返'!A:A,1,FALSE)</f>
        <v>#N/A</v>
      </c>
      <c r="J4409" s="47" t="s">
        <v>90</v>
      </c>
      <c r="K4409" s="203" t="s">
        <v>5652</v>
      </c>
      <c r="L4409" s="206"/>
      <c r="M4409" s="49" t="s">
        <v>5700</v>
      </c>
      <c r="N4409" s="73">
        <v>44300</v>
      </c>
      <c r="O4409" s="73" t="s">
        <v>503</v>
      </c>
      <c r="P4409" s="396">
        <v>5000</v>
      </c>
      <c r="Q4409" s="212">
        <v>2</v>
      </c>
      <c r="R4409" s="386">
        <f t="shared" si="143"/>
        <v>10000</v>
      </c>
      <c r="S4409" s="279">
        <v>202304</v>
      </c>
      <c r="T4409" s="184" t="s">
        <v>5754</v>
      </c>
      <c r="U4409" s="213"/>
      <c r="V4409" s="210"/>
      <c r="W4409" s="214"/>
      <c r="X4409" s="73">
        <v>43922</v>
      </c>
      <c r="Y4409" s="73">
        <v>46234</v>
      </c>
    </row>
    <row r="4410" s="5" customFormat="1" customHeight="1" spans="1:25">
      <c r="A4410" s="203" t="s">
        <v>446</v>
      </c>
      <c r="B4410" s="204" t="s">
        <v>5519</v>
      </c>
      <c r="C4410" s="204" t="s">
        <v>125</v>
      </c>
      <c r="D4410" s="204" t="s">
        <v>3939</v>
      </c>
      <c r="E4410" s="205" t="s">
        <v>5671</v>
      </c>
      <c r="F4410" s="203" t="s">
        <v>5672</v>
      </c>
      <c r="G4410" s="203" t="s">
        <v>88</v>
      </c>
      <c r="H4410" s="25" t="s">
        <v>5699</v>
      </c>
      <c r="I4410" s="46" t="e">
        <f>VLOOKUP(H4410,'合同高级查询数据-4月返'!A:A,1,FALSE)</f>
        <v>#N/A</v>
      </c>
      <c r="J4410" s="47" t="s">
        <v>90</v>
      </c>
      <c r="K4410" s="203" t="s">
        <v>5652</v>
      </c>
      <c r="L4410" s="206"/>
      <c r="M4410" s="49" t="s">
        <v>5713</v>
      </c>
      <c r="N4410" s="73">
        <v>44301</v>
      </c>
      <c r="O4410" s="73" t="s">
        <v>503</v>
      </c>
      <c r="P4410" s="396">
        <v>5000</v>
      </c>
      <c r="Q4410" s="212">
        <v>18</v>
      </c>
      <c r="R4410" s="386">
        <f t="shared" si="143"/>
        <v>90000</v>
      </c>
      <c r="S4410" s="279">
        <v>202304</v>
      </c>
      <c r="T4410" s="184" t="s">
        <v>5755</v>
      </c>
      <c r="U4410" s="213"/>
      <c r="V4410" s="210"/>
      <c r="W4410" s="214"/>
      <c r="X4410" s="73">
        <v>43922</v>
      </c>
      <c r="Y4410" s="73">
        <v>46234</v>
      </c>
    </row>
    <row r="4411" s="5" customFormat="1" customHeight="1" spans="1:25">
      <c r="A4411" s="203" t="s">
        <v>446</v>
      </c>
      <c r="B4411" s="204" t="s">
        <v>5519</v>
      </c>
      <c r="C4411" s="204" t="s">
        <v>125</v>
      </c>
      <c r="D4411" s="204" t="s">
        <v>3939</v>
      </c>
      <c r="E4411" s="205" t="s">
        <v>5671</v>
      </c>
      <c r="F4411" s="203" t="s">
        <v>5672</v>
      </c>
      <c r="G4411" s="203" t="s">
        <v>88</v>
      </c>
      <c r="H4411" s="25" t="s">
        <v>5699</v>
      </c>
      <c r="I4411" s="46" t="e">
        <f>VLOOKUP(H4411,'合同高级查询数据-4月返'!A:A,1,FALSE)</f>
        <v>#N/A</v>
      </c>
      <c r="J4411" s="47" t="s">
        <v>90</v>
      </c>
      <c r="K4411" s="203" t="s">
        <v>5652</v>
      </c>
      <c r="L4411" s="206"/>
      <c r="M4411" s="49" t="s">
        <v>5713</v>
      </c>
      <c r="N4411" s="73">
        <v>44307</v>
      </c>
      <c r="O4411" s="73" t="s">
        <v>503</v>
      </c>
      <c r="P4411" s="396">
        <v>5000</v>
      </c>
      <c r="Q4411" s="212">
        <v>17</v>
      </c>
      <c r="R4411" s="386">
        <f t="shared" si="143"/>
        <v>85000</v>
      </c>
      <c r="S4411" s="279">
        <v>202304</v>
      </c>
      <c r="T4411" s="184" t="s">
        <v>5756</v>
      </c>
      <c r="U4411" s="213"/>
      <c r="V4411" s="210"/>
      <c r="W4411" s="214"/>
      <c r="X4411" s="73">
        <v>43922</v>
      </c>
      <c r="Y4411" s="73">
        <v>46234</v>
      </c>
    </row>
    <row r="4412" s="5" customFormat="1" customHeight="1" spans="1:25">
      <c r="A4412" s="203" t="s">
        <v>446</v>
      </c>
      <c r="B4412" s="204" t="s">
        <v>5519</v>
      </c>
      <c r="C4412" s="204" t="s">
        <v>125</v>
      </c>
      <c r="D4412" s="204" t="s">
        <v>3939</v>
      </c>
      <c r="E4412" s="205" t="s">
        <v>5671</v>
      </c>
      <c r="F4412" s="203" t="s">
        <v>5672</v>
      </c>
      <c r="G4412" s="203" t="s">
        <v>88</v>
      </c>
      <c r="H4412" s="25" t="s">
        <v>5699</v>
      </c>
      <c r="I4412" s="46" t="e">
        <f>VLOOKUP(H4412,'合同高级查询数据-4月返'!A:A,1,FALSE)</f>
        <v>#N/A</v>
      </c>
      <c r="J4412" s="47" t="s">
        <v>90</v>
      </c>
      <c r="K4412" s="203" t="s">
        <v>5652</v>
      </c>
      <c r="L4412" s="206"/>
      <c r="M4412" s="49" t="s">
        <v>5713</v>
      </c>
      <c r="N4412" s="73">
        <v>44307</v>
      </c>
      <c r="O4412" s="73" t="s">
        <v>503</v>
      </c>
      <c r="P4412" s="396">
        <v>5000</v>
      </c>
      <c r="Q4412" s="212">
        <v>2</v>
      </c>
      <c r="R4412" s="386">
        <f t="shared" si="143"/>
        <v>10000</v>
      </c>
      <c r="S4412" s="279">
        <v>202304</v>
      </c>
      <c r="T4412" s="184" t="s">
        <v>5757</v>
      </c>
      <c r="U4412" s="213"/>
      <c r="V4412" s="210"/>
      <c r="W4412" s="214"/>
      <c r="X4412" s="73">
        <v>43922</v>
      </c>
      <c r="Y4412" s="73">
        <v>46234</v>
      </c>
    </row>
    <row r="4413" s="5" customFormat="1" customHeight="1" spans="1:25">
      <c r="A4413" s="203" t="s">
        <v>446</v>
      </c>
      <c r="B4413" s="204" t="s">
        <v>5519</v>
      </c>
      <c r="C4413" s="204" t="s">
        <v>125</v>
      </c>
      <c r="D4413" s="204" t="s">
        <v>3939</v>
      </c>
      <c r="E4413" s="205" t="s">
        <v>5671</v>
      </c>
      <c r="F4413" s="203" t="s">
        <v>5672</v>
      </c>
      <c r="G4413" s="203" t="s">
        <v>88</v>
      </c>
      <c r="H4413" s="25" t="s">
        <v>5699</v>
      </c>
      <c r="I4413" s="46" t="e">
        <f>VLOOKUP(H4413,'合同高级查询数据-4月返'!A:A,1,FALSE)</f>
        <v>#N/A</v>
      </c>
      <c r="J4413" s="47" t="s">
        <v>90</v>
      </c>
      <c r="K4413" s="203" t="s">
        <v>5652</v>
      </c>
      <c r="L4413" s="206"/>
      <c r="M4413" s="49" t="s">
        <v>5700</v>
      </c>
      <c r="N4413" s="73">
        <v>44307</v>
      </c>
      <c r="O4413" s="73" t="s">
        <v>503</v>
      </c>
      <c r="P4413" s="396">
        <v>5000</v>
      </c>
      <c r="Q4413" s="212">
        <v>3</v>
      </c>
      <c r="R4413" s="386">
        <f t="shared" si="143"/>
        <v>15000</v>
      </c>
      <c r="S4413" s="279">
        <v>202304</v>
      </c>
      <c r="T4413" s="184" t="s">
        <v>5758</v>
      </c>
      <c r="U4413" s="213"/>
      <c r="V4413" s="210"/>
      <c r="W4413" s="214"/>
      <c r="X4413" s="73">
        <v>43922</v>
      </c>
      <c r="Y4413" s="73">
        <v>46234</v>
      </c>
    </row>
    <row r="4414" s="5" customFormat="1" customHeight="1" spans="1:25">
      <c r="A4414" s="203" t="s">
        <v>446</v>
      </c>
      <c r="B4414" s="204" t="s">
        <v>5519</v>
      </c>
      <c r="C4414" s="204" t="s">
        <v>125</v>
      </c>
      <c r="D4414" s="204" t="s">
        <v>3939</v>
      </c>
      <c r="E4414" s="205" t="s">
        <v>5671</v>
      </c>
      <c r="F4414" s="203" t="s">
        <v>5672</v>
      </c>
      <c r="G4414" s="203" t="s">
        <v>88</v>
      </c>
      <c r="H4414" s="25" t="s">
        <v>5699</v>
      </c>
      <c r="I4414" s="46" t="e">
        <f>VLOOKUP(H4414,'合同高级查询数据-4月返'!A:A,1,FALSE)</f>
        <v>#N/A</v>
      </c>
      <c r="J4414" s="47" t="s">
        <v>90</v>
      </c>
      <c r="K4414" s="203" t="s">
        <v>5652</v>
      </c>
      <c r="L4414" s="206"/>
      <c r="M4414" s="49" t="s">
        <v>5700</v>
      </c>
      <c r="N4414" s="73">
        <v>44308</v>
      </c>
      <c r="O4414" s="73" t="s">
        <v>503</v>
      </c>
      <c r="P4414" s="396">
        <v>5000</v>
      </c>
      <c r="Q4414" s="212">
        <v>-3</v>
      </c>
      <c r="R4414" s="386">
        <f t="shared" si="143"/>
        <v>-15000</v>
      </c>
      <c r="S4414" s="279">
        <v>202304</v>
      </c>
      <c r="T4414" s="184" t="s">
        <v>5759</v>
      </c>
      <c r="U4414" s="213"/>
      <c r="V4414" s="210"/>
      <c r="W4414" s="214"/>
      <c r="X4414" s="73">
        <v>43922</v>
      </c>
      <c r="Y4414" s="73">
        <v>46234</v>
      </c>
    </row>
    <row r="4415" s="5" customFormat="1" customHeight="1" spans="1:25">
      <c r="A4415" s="203" t="s">
        <v>446</v>
      </c>
      <c r="B4415" s="204" t="s">
        <v>5519</v>
      </c>
      <c r="C4415" s="204" t="s">
        <v>125</v>
      </c>
      <c r="D4415" s="204" t="s">
        <v>3939</v>
      </c>
      <c r="E4415" s="205" t="s">
        <v>5671</v>
      </c>
      <c r="F4415" s="203" t="s">
        <v>5672</v>
      </c>
      <c r="G4415" s="203" t="s">
        <v>88</v>
      </c>
      <c r="H4415" s="25" t="s">
        <v>5699</v>
      </c>
      <c r="I4415" s="46" t="e">
        <f>VLOOKUP(H4415,'合同高级查询数据-4月返'!A:A,1,FALSE)</f>
        <v>#N/A</v>
      </c>
      <c r="J4415" s="47" t="s">
        <v>90</v>
      </c>
      <c r="K4415" s="203" t="s">
        <v>5652</v>
      </c>
      <c r="L4415" s="206"/>
      <c r="M4415" s="49" t="s">
        <v>5700</v>
      </c>
      <c r="N4415" s="73">
        <v>44309</v>
      </c>
      <c r="O4415" s="73" t="s">
        <v>503</v>
      </c>
      <c r="P4415" s="396">
        <v>5000</v>
      </c>
      <c r="Q4415" s="212">
        <v>15</v>
      </c>
      <c r="R4415" s="386">
        <f t="shared" si="143"/>
        <v>75000</v>
      </c>
      <c r="S4415" s="279">
        <v>202304</v>
      </c>
      <c r="T4415" s="184" t="s">
        <v>5760</v>
      </c>
      <c r="U4415" s="213"/>
      <c r="V4415" s="210"/>
      <c r="W4415" s="214"/>
      <c r="X4415" s="73">
        <v>43922</v>
      </c>
      <c r="Y4415" s="73">
        <v>46234</v>
      </c>
    </row>
    <row r="4416" s="5" customFormat="1" customHeight="1" spans="1:25">
      <c r="A4416" s="203" t="s">
        <v>446</v>
      </c>
      <c r="B4416" s="204" t="s">
        <v>5519</v>
      </c>
      <c r="C4416" s="204" t="s">
        <v>125</v>
      </c>
      <c r="D4416" s="204" t="s">
        <v>3939</v>
      </c>
      <c r="E4416" s="205" t="s">
        <v>5671</v>
      </c>
      <c r="F4416" s="203" t="s">
        <v>5672</v>
      </c>
      <c r="G4416" s="203" t="s">
        <v>88</v>
      </c>
      <c r="H4416" s="25" t="s">
        <v>5699</v>
      </c>
      <c r="I4416" s="46" t="e">
        <f>VLOOKUP(H4416,'合同高级查询数据-4月返'!A:A,1,FALSE)</f>
        <v>#N/A</v>
      </c>
      <c r="J4416" s="47" t="s">
        <v>90</v>
      </c>
      <c r="K4416" s="203" t="s">
        <v>5652</v>
      </c>
      <c r="L4416" s="206"/>
      <c r="M4416" s="49" t="s">
        <v>5713</v>
      </c>
      <c r="N4416" s="73">
        <v>44312</v>
      </c>
      <c r="O4416" s="73" t="s">
        <v>503</v>
      </c>
      <c r="P4416" s="396">
        <v>5000</v>
      </c>
      <c r="Q4416" s="212">
        <v>1</v>
      </c>
      <c r="R4416" s="386">
        <f t="shared" si="143"/>
        <v>5000</v>
      </c>
      <c r="S4416" s="279">
        <v>202304</v>
      </c>
      <c r="T4416" s="184" t="s">
        <v>5761</v>
      </c>
      <c r="U4416" s="213"/>
      <c r="V4416" s="210"/>
      <c r="W4416" s="214"/>
      <c r="X4416" s="73">
        <v>43922</v>
      </c>
      <c r="Y4416" s="73">
        <v>46234</v>
      </c>
    </row>
    <row r="4417" s="5" customFormat="1" customHeight="1" spans="1:25">
      <c r="A4417" s="203" t="s">
        <v>446</v>
      </c>
      <c r="B4417" s="204" t="s">
        <v>5519</v>
      </c>
      <c r="C4417" s="204" t="s">
        <v>125</v>
      </c>
      <c r="D4417" s="204" t="s">
        <v>3939</v>
      </c>
      <c r="E4417" s="205" t="s">
        <v>5671</v>
      </c>
      <c r="F4417" s="203" t="s">
        <v>5672</v>
      </c>
      <c r="G4417" s="203" t="s">
        <v>88</v>
      </c>
      <c r="H4417" s="25" t="s">
        <v>5699</v>
      </c>
      <c r="I4417" s="46" t="e">
        <f>VLOOKUP(H4417,'合同高级查询数据-4月返'!A:A,1,FALSE)</f>
        <v>#N/A</v>
      </c>
      <c r="J4417" s="47" t="s">
        <v>90</v>
      </c>
      <c r="K4417" s="203" t="s">
        <v>5652</v>
      </c>
      <c r="L4417" s="206"/>
      <c r="M4417" s="49" t="s">
        <v>5700</v>
      </c>
      <c r="N4417" s="73">
        <v>44313</v>
      </c>
      <c r="O4417" s="73" t="s">
        <v>503</v>
      </c>
      <c r="P4417" s="396">
        <v>5000</v>
      </c>
      <c r="Q4417" s="212">
        <v>6</v>
      </c>
      <c r="R4417" s="386">
        <f t="shared" si="143"/>
        <v>30000</v>
      </c>
      <c r="S4417" s="279">
        <v>202304</v>
      </c>
      <c r="T4417" s="184" t="s">
        <v>5762</v>
      </c>
      <c r="U4417" s="213"/>
      <c r="V4417" s="210"/>
      <c r="W4417" s="214"/>
      <c r="X4417" s="73">
        <v>43922</v>
      </c>
      <c r="Y4417" s="73">
        <v>46234</v>
      </c>
    </row>
    <row r="4418" s="5" customFormat="1" customHeight="1" spans="1:25">
      <c r="A4418" s="203" t="s">
        <v>446</v>
      </c>
      <c r="B4418" s="204" t="s">
        <v>5519</v>
      </c>
      <c r="C4418" s="204" t="s">
        <v>125</v>
      </c>
      <c r="D4418" s="204" t="s">
        <v>3939</v>
      </c>
      <c r="E4418" s="205" t="s">
        <v>5671</v>
      </c>
      <c r="F4418" s="203" t="s">
        <v>5672</v>
      </c>
      <c r="G4418" s="203" t="s">
        <v>88</v>
      </c>
      <c r="H4418" s="25" t="s">
        <v>5699</v>
      </c>
      <c r="I4418" s="46" t="e">
        <f>VLOOKUP(H4418,'合同高级查询数据-4月返'!A:A,1,FALSE)</f>
        <v>#N/A</v>
      </c>
      <c r="J4418" s="47" t="s">
        <v>90</v>
      </c>
      <c r="K4418" s="203" t="s">
        <v>5652</v>
      </c>
      <c r="L4418" s="206"/>
      <c r="M4418" s="49" t="s">
        <v>5700</v>
      </c>
      <c r="N4418" s="73">
        <v>44316</v>
      </c>
      <c r="O4418" s="73" t="s">
        <v>503</v>
      </c>
      <c r="P4418" s="396">
        <v>5000</v>
      </c>
      <c r="Q4418" s="212">
        <v>3</v>
      </c>
      <c r="R4418" s="386">
        <f t="shared" si="143"/>
        <v>15000</v>
      </c>
      <c r="S4418" s="279">
        <v>202304</v>
      </c>
      <c r="T4418" s="184" t="s">
        <v>5763</v>
      </c>
      <c r="U4418" s="213"/>
      <c r="V4418" s="210"/>
      <c r="W4418" s="214"/>
      <c r="X4418" s="73">
        <v>43922</v>
      </c>
      <c r="Y4418" s="73">
        <v>46234</v>
      </c>
    </row>
    <row r="4419" s="5" customFormat="1" customHeight="1" spans="1:25">
      <c r="A4419" s="203" t="s">
        <v>446</v>
      </c>
      <c r="B4419" s="204" t="s">
        <v>5519</v>
      </c>
      <c r="C4419" s="204" t="s">
        <v>125</v>
      </c>
      <c r="D4419" s="204" t="s">
        <v>3939</v>
      </c>
      <c r="E4419" s="205" t="s">
        <v>5671</v>
      </c>
      <c r="F4419" s="203" t="s">
        <v>5672</v>
      </c>
      <c r="G4419" s="203" t="s">
        <v>88</v>
      </c>
      <c r="H4419" s="25" t="s">
        <v>5699</v>
      </c>
      <c r="I4419" s="46" t="e">
        <f>VLOOKUP(H4419,'合同高级查询数据-4月返'!A:A,1,FALSE)</f>
        <v>#N/A</v>
      </c>
      <c r="J4419" s="47" t="s">
        <v>90</v>
      </c>
      <c r="K4419" s="203" t="s">
        <v>5652</v>
      </c>
      <c r="L4419" s="206"/>
      <c r="M4419" s="49" t="s">
        <v>5700</v>
      </c>
      <c r="N4419" s="73">
        <v>44322</v>
      </c>
      <c r="O4419" s="73" t="s">
        <v>503</v>
      </c>
      <c r="P4419" s="396">
        <v>5000</v>
      </c>
      <c r="Q4419" s="212">
        <v>2</v>
      </c>
      <c r="R4419" s="386">
        <f t="shared" si="143"/>
        <v>10000</v>
      </c>
      <c r="S4419" s="279">
        <v>202304</v>
      </c>
      <c r="T4419" s="184" t="s">
        <v>5764</v>
      </c>
      <c r="U4419" s="213"/>
      <c r="V4419" s="210"/>
      <c r="W4419" s="214"/>
      <c r="X4419" s="73">
        <v>43922</v>
      </c>
      <c r="Y4419" s="73">
        <v>46234</v>
      </c>
    </row>
    <row r="4420" s="5" customFormat="1" customHeight="1" spans="1:25">
      <c r="A4420" s="203" t="s">
        <v>446</v>
      </c>
      <c r="B4420" s="204" t="s">
        <v>5519</v>
      </c>
      <c r="C4420" s="204" t="s">
        <v>125</v>
      </c>
      <c r="D4420" s="204" t="s">
        <v>3939</v>
      </c>
      <c r="E4420" s="205" t="s">
        <v>5671</v>
      </c>
      <c r="F4420" s="203" t="s">
        <v>5672</v>
      </c>
      <c r="G4420" s="203" t="s">
        <v>88</v>
      </c>
      <c r="H4420" s="25" t="s">
        <v>5699</v>
      </c>
      <c r="I4420" s="46" t="e">
        <f>VLOOKUP(H4420,'合同高级查询数据-4月返'!A:A,1,FALSE)</f>
        <v>#N/A</v>
      </c>
      <c r="J4420" s="47" t="s">
        <v>90</v>
      </c>
      <c r="K4420" s="203" t="s">
        <v>5652</v>
      </c>
      <c r="L4420" s="206"/>
      <c r="M4420" s="49" t="s">
        <v>5700</v>
      </c>
      <c r="N4420" s="73">
        <v>44323</v>
      </c>
      <c r="O4420" s="73" t="s">
        <v>503</v>
      </c>
      <c r="P4420" s="396">
        <v>5000</v>
      </c>
      <c r="Q4420" s="212">
        <v>10</v>
      </c>
      <c r="R4420" s="386">
        <f t="shared" si="143"/>
        <v>50000</v>
      </c>
      <c r="S4420" s="279">
        <v>202304</v>
      </c>
      <c r="T4420" s="184" t="s">
        <v>5765</v>
      </c>
      <c r="U4420" s="213"/>
      <c r="V4420" s="210"/>
      <c r="W4420" s="214"/>
      <c r="X4420" s="73">
        <v>43922</v>
      </c>
      <c r="Y4420" s="73">
        <v>46234</v>
      </c>
    </row>
    <row r="4421" s="5" customFormat="1" customHeight="1" spans="1:25">
      <c r="A4421" s="203" t="s">
        <v>446</v>
      </c>
      <c r="B4421" s="204" t="s">
        <v>5519</v>
      </c>
      <c r="C4421" s="204" t="s">
        <v>125</v>
      </c>
      <c r="D4421" s="204" t="s">
        <v>3939</v>
      </c>
      <c r="E4421" s="205" t="s">
        <v>5671</v>
      </c>
      <c r="F4421" s="203" t="s">
        <v>5672</v>
      </c>
      <c r="G4421" s="203" t="s">
        <v>88</v>
      </c>
      <c r="H4421" s="25" t="s">
        <v>5699</v>
      </c>
      <c r="I4421" s="46" t="e">
        <f>VLOOKUP(H4421,'合同高级查询数据-4月返'!A:A,1,FALSE)</f>
        <v>#N/A</v>
      </c>
      <c r="J4421" s="47" t="s">
        <v>90</v>
      </c>
      <c r="K4421" s="203" t="s">
        <v>5652</v>
      </c>
      <c r="L4421" s="206"/>
      <c r="M4421" s="49" t="s">
        <v>5700</v>
      </c>
      <c r="N4421" s="73">
        <v>44324</v>
      </c>
      <c r="O4421" s="73" t="s">
        <v>503</v>
      </c>
      <c r="P4421" s="396">
        <v>5000</v>
      </c>
      <c r="Q4421" s="212">
        <v>6</v>
      </c>
      <c r="R4421" s="386">
        <f t="shared" si="143"/>
        <v>30000</v>
      </c>
      <c r="S4421" s="279">
        <v>202304</v>
      </c>
      <c r="T4421" s="184" t="s">
        <v>5766</v>
      </c>
      <c r="U4421" s="213"/>
      <c r="V4421" s="210"/>
      <c r="W4421" s="214"/>
      <c r="X4421" s="73">
        <v>43922</v>
      </c>
      <c r="Y4421" s="73">
        <v>46234</v>
      </c>
    </row>
    <row r="4422" s="5" customFormat="1" customHeight="1" spans="1:25">
      <c r="A4422" s="203" t="s">
        <v>446</v>
      </c>
      <c r="B4422" s="204" t="s">
        <v>5519</v>
      </c>
      <c r="C4422" s="204" t="s">
        <v>125</v>
      </c>
      <c r="D4422" s="204" t="s">
        <v>3939</v>
      </c>
      <c r="E4422" s="205" t="s">
        <v>5671</v>
      </c>
      <c r="F4422" s="203" t="s">
        <v>5672</v>
      </c>
      <c r="G4422" s="203" t="s">
        <v>88</v>
      </c>
      <c r="H4422" s="25" t="s">
        <v>5699</v>
      </c>
      <c r="I4422" s="46" t="e">
        <f>VLOOKUP(H4422,'合同高级查询数据-4月返'!A:A,1,FALSE)</f>
        <v>#N/A</v>
      </c>
      <c r="J4422" s="47" t="s">
        <v>90</v>
      </c>
      <c r="K4422" s="203" t="s">
        <v>5652</v>
      </c>
      <c r="L4422" s="206"/>
      <c r="M4422" s="49" t="s">
        <v>5700</v>
      </c>
      <c r="N4422" s="73">
        <v>44326</v>
      </c>
      <c r="O4422" s="73" t="s">
        <v>503</v>
      </c>
      <c r="P4422" s="396">
        <v>5000</v>
      </c>
      <c r="Q4422" s="212">
        <v>4</v>
      </c>
      <c r="R4422" s="386">
        <f t="shared" si="143"/>
        <v>20000</v>
      </c>
      <c r="S4422" s="279">
        <v>202304</v>
      </c>
      <c r="T4422" s="184" t="s">
        <v>5767</v>
      </c>
      <c r="U4422" s="213"/>
      <c r="V4422" s="210"/>
      <c r="W4422" s="214"/>
      <c r="X4422" s="73">
        <v>43922</v>
      </c>
      <c r="Y4422" s="73">
        <v>46234</v>
      </c>
    </row>
    <row r="4423" s="5" customFormat="1" customHeight="1" spans="1:25">
      <c r="A4423" s="203" t="s">
        <v>446</v>
      </c>
      <c r="B4423" s="204" t="s">
        <v>5519</v>
      </c>
      <c r="C4423" s="204" t="s">
        <v>125</v>
      </c>
      <c r="D4423" s="204" t="s">
        <v>3939</v>
      </c>
      <c r="E4423" s="205" t="s">
        <v>5671</v>
      </c>
      <c r="F4423" s="203" t="s">
        <v>5672</v>
      </c>
      <c r="G4423" s="203" t="s">
        <v>88</v>
      </c>
      <c r="H4423" s="25" t="s">
        <v>5699</v>
      </c>
      <c r="I4423" s="46" t="e">
        <f>VLOOKUP(H4423,'合同高级查询数据-4月返'!A:A,1,FALSE)</f>
        <v>#N/A</v>
      </c>
      <c r="J4423" s="47" t="s">
        <v>90</v>
      </c>
      <c r="K4423" s="203" t="s">
        <v>5652</v>
      </c>
      <c r="L4423" s="206"/>
      <c r="M4423" s="49" t="s">
        <v>5700</v>
      </c>
      <c r="N4423" s="73">
        <v>44328</v>
      </c>
      <c r="O4423" s="73" t="s">
        <v>503</v>
      </c>
      <c r="P4423" s="396">
        <v>5000</v>
      </c>
      <c r="Q4423" s="212">
        <v>4</v>
      </c>
      <c r="R4423" s="386">
        <f t="shared" si="143"/>
        <v>20000</v>
      </c>
      <c r="S4423" s="279">
        <v>202304</v>
      </c>
      <c r="T4423" s="184" t="s">
        <v>5768</v>
      </c>
      <c r="U4423" s="213"/>
      <c r="V4423" s="210"/>
      <c r="W4423" s="214"/>
      <c r="X4423" s="73">
        <v>43922</v>
      </c>
      <c r="Y4423" s="73">
        <v>46234</v>
      </c>
    </row>
    <row r="4424" s="5" customFormat="1" customHeight="1" spans="1:25">
      <c r="A4424" s="203" t="s">
        <v>446</v>
      </c>
      <c r="B4424" s="204" t="s">
        <v>5519</v>
      </c>
      <c r="C4424" s="204" t="s">
        <v>125</v>
      </c>
      <c r="D4424" s="204" t="s">
        <v>3939</v>
      </c>
      <c r="E4424" s="205" t="s">
        <v>5671</v>
      </c>
      <c r="F4424" s="203" t="s">
        <v>5672</v>
      </c>
      <c r="G4424" s="203" t="s">
        <v>88</v>
      </c>
      <c r="H4424" s="25" t="s">
        <v>5699</v>
      </c>
      <c r="I4424" s="46" t="e">
        <f>VLOOKUP(H4424,'合同高级查询数据-4月返'!A:A,1,FALSE)</f>
        <v>#N/A</v>
      </c>
      <c r="J4424" s="47" t="s">
        <v>90</v>
      </c>
      <c r="K4424" s="203" t="s">
        <v>5652</v>
      </c>
      <c r="L4424" s="206"/>
      <c r="M4424" s="49" t="s">
        <v>5713</v>
      </c>
      <c r="N4424" s="73">
        <v>44380</v>
      </c>
      <c r="O4424" s="73" t="s">
        <v>503</v>
      </c>
      <c r="P4424" s="396">
        <v>5000</v>
      </c>
      <c r="Q4424" s="212">
        <v>3</v>
      </c>
      <c r="R4424" s="386">
        <f t="shared" si="143"/>
        <v>15000</v>
      </c>
      <c r="S4424" s="279">
        <v>202304</v>
      </c>
      <c r="T4424" s="184" t="s">
        <v>5769</v>
      </c>
      <c r="U4424" s="213"/>
      <c r="V4424" s="210"/>
      <c r="W4424" s="214"/>
      <c r="X4424" s="73">
        <v>43922</v>
      </c>
      <c r="Y4424" s="73">
        <v>46234</v>
      </c>
    </row>
    <row r="4425" s="5" customFormat="1" customHeight="1" spans="1:25">
      <c r="A4425" s="203" t="s">
        <v>446</v>
      </c>
      <c r="B4425" s="204" t="s">
        <v>5519</v>
      </c>
      <c r="C4425" s="204" t="s">
        <v>125</v>
      </c>
      <c r="D4425" s="204" t="s">
        <v>3939</v>
      </c>
      <c r="E4425" s="205" t="s">
        <v>5671</v>
      </c>
      <c r="F4425" s="203" t="s">
        <v>5672</v>
      </c>
      <c r="G4425" s="203" t="s">
        <v>88</v>
      </c>
      <c r="H4425" s="25" t="s">
        <v>5699</v>
      </c>
      <c r="I4425" s="46" t="e">
        <f>VLOOKUP(H4425,'合同高级查询数据-4月返'!A:A,1,FALSE)</f>
        <v>#N/A</v>
      </c>
      <c r="J4425" s="47" t="s">
        <v>90</v>
      </c>
      <c r="K4425" s="203" t="s">
        <v>5652</v>
      </c>
      <c r="L4425" s="206"/>
      <c r="M4425" s="49" t="s">
        <v>5700</v>
      </c>
      <c r="N4425" s="73">
        <v>44380</v>
      </c>
      <c r="O4425" s="73" t="s">
        <v>503</v>
      </c>
      <c r="P4425" s="396">
        <v>5000</v>
      </c>
      <c r="Q4425" s="212">
        <v>27</v>
      </c>
      <c r="R4425" s="386">
        <f t="shared" si="143"/>
        <v>135000</v>
      </c>
      <c r="S4425" s="279">
        <v>202304</v>
      </c>
      <c r="T4425" s="184" t="s">
        <v>5770</v>
      </c>
      <c r="U4425" s="213"/>
      <c r="V4425" s="210"/>
      <c r="W4425" s="214"/>
      <c r="X4425" s="73">
        <v>43922</v>
      </c>
      <c r="Y4425" s="73">
        <v>46234</v>
      </c>
    </row>
    <row r="4426" s="5" customFormat="1" customHeight="1" spans="1:25">
      <c r="A4426" s="203" t="s">
        <v>446</v>
      </c>
      <c r="B4426" s="204" t="s">
        <v>5519</v>
      </c>
      <c r="C4426" s="204" t="s">
        <v>125</v>
      </c>
      <c r="D4426" s="204" t="s">
        <v>3939</v>
      </c>
      <c r="E4426" s="205" t="s">
        <v>5671</v>
      </c>
      <c r="F4426" s="203" t="s">
        <v>5672</v>
      </c>
      <c r="G4426" s="203" t="s">
        <v>88</v>
      </c>
      <c r="H4426" s="25" t="s">
        <v>5699</v>
      </c>
      <c r="I4426" s="46" t="e">
        <f>VLOOKUP(H4426,'合同高级查询数据-4月返'!A:A,1,FALSE)</f>
        <v>#N/A</v>
      </c>
      <c r="J4426" s="47" t="s">
        <v>90</v>
      </c>
      <c r="K4426" s="203" t="s">
        <v>5652</v>
      </c>
      <c r="L4426" s="206"/>
      <c r="M4426" s="49" t="s">
        <v>5713</v>
      </c>
      <c r="N4426" s="73">
        <v>44410</v>
      </c>
      <c r="O4426" s="73" t="s">
        <v>503</v>
      </c>
      <c r="P4426" s="396">
        <v>5000</v>
      </c>
      <c r="Q4426" s="212">
        <v>5</v>
      </c>
      <c r="R4426" s="386">
        <f t="shared" si="143"/>
        <v>25000</v>
      </c>
      <c r="S4426" s="279">
        <v>202304</v>
      </c>
      <c r="T4426" s="184" t="s">
        <v>5771</v>
      </c>
      <c r="U4426" s="213"/>
      <c r="V4426" s="210"/>
      <c r="W4426" s="214"/>
      <c r="X4426" s="73">
        <v>43922</v>
      </c>
      <c r="Y4426" s="73">
        <v>46234</v>
      </c>
    </row>
    <row r="4427" s="5" customFormat="1" customHeight="1" spans="1:25">
      <c r="A4427" s="203" t="s">
        <v>446</v>
      </c>
      <c r="B4427" s="204" t="s">
        <v>5519</v>
      </c>
      <c r="C4427" s="204" t="s">
        <v>125</v>
      </c>
      <c r="D4427" s="204" t="s">
        <v>3939</v>
      </c>
      <c r="E4427" s="205" t="s">
        <v>5671</v>
      </c>
      <c r="F4427" s="203" t="s">
        <v>5672</v>
      </c>
      <c r="G4427" s="203" t="s">
        <v>88</v>
      </c>
      <c r="H4427" s="25" t="s">
        <v>5699</v>
      </c>
      <c r="I4427" s="46" t="e">
        <f>VLOOKUP(H4427,'合同高级查询数据-4月返'!A:A,1,FALSE)</f>
        <v>#N/A</v>
      </c>
      <c r="J4427" s="47" t="s">
        <v>90</v>
      </c>
      <c r="K4427" s="203" t="s">
        <v>5652</v>
      </c>
      <c r="L4427" s="206"/>
      <c r="M4427" s="49" t="s">
        <v>5713</v>
      </c>
      <c r="N4427" s="73">
        <v>44426</v>
      </c>
      <c r="O4427" s="73" t="s">
        <v>503</v>
      </c>
      <c r="P4427" s="396">
        <v>5000</v>
      </c>
      <c r="Q4427" s="212">
        <v>5</v>
      </c>
      <c r="R4427" s="386">
        <f t="shared" si="143"/>
        <v>25000</v>
      </c>
      <c r="S4427" s="279">
        <v>202304</v>
      </c>
      <c r="T4427" s="184" t="s">
        <v>5772</v>
      </c>
      <c r="U4427" s="213"/>
      <c r="V4427" s="210"/>
      <c r="W4427" s="214"/>
      <c r="X4427" s="73">
        <v>43922</v>
      </c>
      <c r="Y4427" s="73">
        <v>46234</v>
      </c>
    </row>
    <row r="4428" s="5" customFormat="1" customHeight="1" spans="1:25">
      <c r="A4428" s="203" t="s">
        <v>446</v>
      </c>
      <c r="B4428" s="204" t="s">
        <v>5519</v>
      </c>
      <c r="C4428" s="204" t="s">
        <v>125</v>
      </c>
      <c r="D4428" s="204" t="s">
        <v>3939</v>
      </c>
      <c r="E4428" s="205" t="s">
        <v>5671</v>
      </c>
      <c r="F4428" s="203" t="s">
        <v>5672</v>
      </c>
      <c r="G4428" s="203" t="s">
        <v>88</v>
      </c>
      <c r="H4428" s="25" t="s">
        <v>5699</v>
      </c>
      <c r="I4428" s="46" t="e">
        <f>VLOOKUP(H4428,'合同高级查询数据-4月返'!A:A,1,FALSE)</f>
        <v>#N/A</v>
      </c>
      <c r="J4428" s="47" t="s">
        <v>90</v>
      </c>
      <c r="K4428" s="203" t="s">
        <v>5652</v>
      </c>
      <c r="L4428" s="206"/>
      <c r="M4428" s="49" t="s">
        <v>5700</v>
      </c>
      <c r="N4428" s="73">
        <v>44439</v>
      </c>
      <c r="O4428" s="73" t="s">
        <v>503</v>
      </c>
      <c r="P4428" s="396">
        <v>5000</v>
      </c>
      <c r="Q4428" s="212">
        <v>3</v>
      </c>
      <c r="R4428" s="386">
        <f t="shared" si="143"/>
        <v>15000</v>
      </c>
      <c r="S4428" s="279">
        <v>202304</v>
      </c>
      <c r="T4428" s="184" t="s">
        <v>5773</v>
      </c>
      <c r="U4428" s="213"/>
      <c r="V4428" s="210"/>
      <c r="W4428" s="214"/>
      <c r="X4428" s="73">
        <v>43922</v>
      </c>
      <c r="Y4428" s="73">
        <v>46234</v>
      </c>
    </row>
    <row r="4429" s="5" customFormat="1" customHeight="1" spans="1:25">
      <c r="A4429" s="203" t="s">
        <v>446</v>
      </c>
      <c r="B4429" s="204" t="s">
        <v>5519</v>
      </c>
      <c r="C4429" s="204" t="s">
        <v>125</v>
      </c>
      <c r="D4429" s="204" t="s">
        <v>3939</v>
      </c>
      <c r="E4429" s="205" t="s">
        <v>5671</v>
      </c>
      <c r="F4429" s="203" t="s">
        <v>5672</v>
      </c>
      <c r="G4429" s="203" t="s">
        <v>88</v>
      </c>
      <c r="H4429" s="25" t="s">
        <v>5699</v>
      </c>
      <c r="I4429" s="46" t="e">
        <f>VLOOKUP(H4429,'合同高级查询数据-4月返'!A:A,1,FALSE)</f>
        <v>#N/A</v>
      </c>
      <c r="J4429" s="47" t="s">
        <v>90</v>
      </c>
      <c r="K4429" s="203" t="s">
        <v>5652</v>
      </c>
      <c r="L4429" s="206"/>
      <c r="M4429" s="49" t="s">
        <v>5713</v>
      </c>
      <c r="N4429" s="73">
        <v>44439</v>
      </c>
      <c r="O4429" s="73" t="s">
        <v>503</v>
      </c>
      <c r="P4429" s="396">
        <v>5000</v>
      </c>
      <c r="Q4429" s="212">
        <v>6</v>
      </c>
      <c r="R4429" s="386">
        <f t="shared" si="143"/>
        <v>30000</v>
      </c>
      <c r="S4429" s="279">
        <v>202304</v>
      </c>
      <c r="T4429" s="184" t="s">
        <v>5774</v>
      </c>
      <c r="U4429" s="213"/>
      <c r="V4429" s="210"/>
      <c r="W4429" s="214"/>
      <c r="X4429" s="73">
        <v>43922</v>
      </c>
      <c r="Y4429" s="73">
        <v>46234</v>
      </c>
    </row>
    <row r="4430" s="5" customFormat="1" customHeight="1" spans="1:25">
      <c r="A4430" s="203" t="s">
        <v>446</v>
      </c>
      <c r="B4430" s="204" t="s">
        <v>5519</v>
      </c>
      <c r="C4430" s="204" t="s">
        <v>125</v>
      </c>
      <c r="D4430" s="204" t="s">
        <v>3939</v>
      </c>
      <c r="E4430" s="205" t="s">
        <v>5671</v>
      </c>
      <c r="F4430" s="203" t="s">
        <v>5672</v>
      </c>
      <c r="G4430" s="203" t="s">
        <v>88</v>
      </c>
      <c r="H4430" s="25" t="s">
        <v>5699</v>
      </c>
      <c r="I4430" s="46" t="e">
        <f>VLOOKUP(H4430,'合同高级查询数据-4月返'!A:A,1,FALSE)</f>
        <v>#N/A</v>
      </c>
      <c r="J4430" s="47" t="s">
        <v>90</v>
      </c>
      <c r="K4430" s="203" t="s">
        <v>5652</v>
      </c>
      <c r="L4430" s="206"/>
      <c r="M4430" s="49" t="s">
        <v>5700</v>
      </c>
      <c r="N4430" s="73">
        <v>44510</v>
      </c>
      <c r="O4430" s="73" t="s">
        <v>503</v>
      </c>
      <c r="P4430" s="396">
        <v>5000</v>
      </c>
      <c r="Q4430" s="212">
        <v>-9</v>
      </c>
      <c r="R4430" s="386">
        <f t="shared" si="143"/>
        <v>-45000</v>
      </c>
      <c r="S4430" s="279">
        <v>202304</v>
      </c>
      <c r="T4430" s="184" t="s">
        <v>5775</v>
      </c>
      <c r="U4430" s="213"/>
      <c r="V4430" s="210"/>
      <c r="W4430" s="214"/>
      <c r="X4430" s="73">
        <v>43922</v>
      </c>
      <c r="Y4430" s="73">
        <v>46234</v>
      </c>
    </row>
    <row r="4431" s="5" customFormat="1" customHeight="1" spans="1:25">
      <c r="A4431" s="203" t="s">
        <v>446</v>
      </c>
      <c r="B4431" s="204" t="s">
        <v>5519</v>
      </c>
      <c r="C4431" s="204" t="s">
        <v>125</v>
      </c>
      <c r="D4431" s="204" t="s">
        <v>3939</v>
      </c>
      <c r="E4431" s="205" t="s">
        <v>5671</v>
      </c>
      <c r="F4431" s="203" t="s">
        <v>5672</v>
      </c>
      <c r="G4431" s="203" t="s">
        <v>88</v>
      </c>
      <c r="H4431" s="25" t="s">
        <v>5699</v>
      </c>
      <c r="I4431" s="46" t="e">
        <f>VLOOKUP(H4431,'合同高级查询数据-4月返'!A:A,1,FALSE)</f>
        <v>#N/A</v>
      </c>
      <c r="J4431" s="47" t="s">
        <v>90</v>
      </c>
      <c r="K4431" s="203" t="s">
        <v>5652</v>
      </c>
      <c r="L4431" s="206"/>
      <c r="M4431" s="49" t="s">
        <v>5700</v>
      </c>
      <c r="N4431" s="73">
        <v>44532</v>
      </c>
      <c r="O4431" s="73" t="s">
        <v>503</v>
      </c>
      <c r="P4431" s="396">
        <v>5000</v>
      </c>
      <c r="Q4431" s="212">
        <v>1</v>
      </c>
      <c r="R4431" s="386">
        <f t="shared" si="143"/>
        <v>5000</v>
      </c>
      <c r="S4431" s="279">
        <v>202304</v>
      </c>
      <c r="T4431" s="184" t="s">
        <v>5776</v>
      </c>
      <c r="U4431" s="213"/>
      <c r="V4431" s="210"/>
      <c r="W4431" s="214"/>
      <c r="X4431" s="73">
        <v>43922</v>
      </c>
      <c r="Y4431" s="73">
        <v>46234</v>
      </c>
    </row>
    <row r="4432" s="5" customFormat="1" customHeight="1" spans="1:25">
      <c r="A4432" s="203" t="s">
        <v>446</v>
      </c>
      <c r="B4432" s="204" t="s">
        <v>5519</v>
      </c>
      <c r="C4432" s="204" t="s">
        <v>125</v>
      </c>
      <c r="D4432" s="204" t="s">
        <v>3939</v>
      </c>
      <c r="E4432" s="205" t="s">
        <v>5671</v>
      </c>
      <c r="F4432" s="203" t="s">
        <v>5672</v>
      </c>
      <c r="G4432" s="203" t="s">
        <v>88</v>
      </c>
      <c r="H4432" s="25" t="s">
        <v>5699</v>
      </c>
      <c r="I4432" s="46" t="e">
        <f>VLOOKUP(H4432,'合同高级查询数据-4月返'!A:A,1,FALSE)</f>
        <v>#N/A</v>
      </c>
      <c r="J4432" s="47" t="s">
        <v>90</v>
      </c>
      <c r="K4432" s="203" t="s">
        <v>5652</v>
      </c>
      <c r="L4432" s="206"/>
      <c r="M4432" s="49" t="s">
        <v>5713</v>
      </c>
      <c r="N4432" s="73">
        <v>44537</v>
      </c>
      <c r="O4432" s="73" t="s">
        <v>503</v>
      </c>
      <c r="P4432" s="396">
        <v>5000</v>
      </c>
      <c r="Q4432" s="212">
        <v>11</v>
      </c>
      <c r="R4432" s="386">
        <f t="shared" si="143"/>
        <v>55000</v>
      </c>
      <c r="S4432" s="279">
        <v>202304</v>
      </c>
      <c r="T4432" s="184" t="s">
        <v>5777</v>
      </c>
      <c r="U4432" s="213"/>
      <c r="V4432" s="210"/>
      <c r="W4432" s="214"/>
      <c r="X4432" s="73">
        <v>43922</v>
      </c>
      <c r="Y4432" s="73">
        <v>46234</v>
      </c>
    </row>
    <row r="4433" s="5" customFormat="1" customHeight="1" spans="1:25">
      <c r="A4433" s="203" t="s">
        <v>446</v>
      </c>
      <c r="B4433" s="204" t="s">
        <v>5519</v>
      </c>
      <c r="C4433" s="204" t="s">
        <v>125</v>
      </c>
      <c r="D4433" s="204" t="s">
        <v>3939</v>
      </c>
      <c r="E4433" s="205" t="s">
        <v>5671</v>
      </c>
      <c r="F4433" s="203" t="s">
        <v>5672</v>
      </c>
      <c r="G4433" s="203" t="s">
        <v>88</v>
      </c>
      <c r="H4433" s="25" t="s">
        <v>5699</v>
      </c>
      <c r="I4433" s="46" t="e">
        <f>VLOOKUP(H4433,'合同高级查询数据-4月返'!A:A,1,FALSE)</f>
        <v>#N/A</v>
      </c>
      <c r="J4433" s="47" t="s">
        <v>90</v>
      </c>
      <c r="K4433" s="203" t="s">
        <v>5652</v>
      </c>
      <c r="L4433" s="206"/>
      <c r="M4433" s="49" t="s">
        <v>5700</v>
      </c>
      <c r="N4433" s="73">
        <v>44561</v>
      </c>
      <c r="O4433" s="73" t="s">
        <v>503</v>
      </c>
      <c r="P4433" s="396">
        <v>5000</v>
      </c>
      <c r="Q4433" s="212">
        <v>-10</v>
      </c>
      <c r="R4433" s="386">
        <f t="shared" si="143"/>
        <v>-50000</v>
      </c>
      <c r="S4433" s="279">
        <v>202304</v>
      </c>
      <c r="T4433" s="184" t="s">
        <v>5778</v>
      </c>
      <c r="U4433" s="213"/>
      <c r="V4433" s="210"/>
      <c r="W4433" s="214"/>
      <c r="X4433" s="73">
        <v>43922</v>
      </c>
      <c r="Y4433" s="73">
        <v>46234</v>
      </c>
    </row>
    <row r="4434" s="5" customFormat="1" customHeight="1" spans="1:25">
      <c r="A4434" s="203" t="s">
        <v>446</v>
      </c>
      <c r="B4434" s="204" t="s">
        <v>5519</v>
      </c>
      <c r="C4434" s="204" t="s">
        <v>125</v>
      </c>
      <c r="D4434" s="204" t="s">
        <v>3939</v>
      </c>
      <c r="E4434" s="205" t="s">
        <v>5671</v>
      </c>
      <c r="F4434" s="203" t="s">
        <v>5672</v>
      </c>
      <c r="G4434" s="203" t="s">
        <v>88</v>
      </c>
      <c r="H4434" s="25" t="s">
        <v>5699</v>
      </c>
      <c r="I4434" s="46" t="e">
        <f>VLOOKUP(H4434,'合同高级查询数据-4月返'!A:A,1,FALSE)</f>
        <v>#N/A</v>
      </c>
      <c r="J4434" s="47" t="s">
        <v>90</v>
      </c>
      <c r="K4434" s="203" t="s">
        <v>5652</v>
      </c>
      <c r="L4434" s="206"/>
      <c r="M4434" s="49" t="s">
        <v>5700</v>
      </c>
      <c r="N4434" s="73">
        <v>44573</v>
      </c>
      <c r="O4434" s="73" t="s">
        <v>503</v>
      </c>
      <c r="P4434" s="396">
        <v>5000</v>
      </c>
      <c r="Q4434" s="212">
        <v>-3</v>
      </c>
      <c r="R4434" s="386">
        <f t="shared" si="143"/>
        <v>-15000</v>
      </c>
      <c r="S4434" s="279">
        <v>202304</v>
      </c>
      <c r="T4434" s="184" t="s">
        <v>5779</v>
      </c>
      <c r="U4434" s="213"/>
      <c r="V4434" s="210"/>
      <c r="W4434" s="214"/>
      <c r="X4434" s="73">
        <v>43922</v>
      </c>
      <c r="Y4434" s="73">
        <v>46234</v>
      </c>
    </row>
    <row r="4435" s="5" customFormat="1" customHeight="1" spans="1:25">
      <c r="A4435" s="203" t="s">
        <v>446</v>
      </c>
      <c r="B4435" s="204" t="s">
        <v>5519</v>
      </c>
      <c r="C4435" s="204" t="s">
        <v>125</v>
      </c>
      <c r="D4435" s="204" t="s">
        <v>3939</v>
      </c>
      <c r="E4435" s="205" t="s">
        <v>5671</v>
      </c>
      <c r="F4435" s="203" t="s">
        <v>5672</v>
      </c>
      <c r="G4435" s="203" t="s">
        <v>88</v>
      </c>
      <c r="H4435" s="25" t="s">
        <v>5699</v>
      </c>
      <c r="I4435" s="46" t="e">
        <f>VLOOKUP(H4435,'合同高级查询数据-4月返'!A:A,1,FALSE)</f>
        <v>#N/A</v>
      </c>
      <c r="J4435" s="47" t="s">
        <v>90</v>
      </c>
      <c r="K4435" s="203" t="s">
        <v>5652</v>
      </c>
      <c r="L4435" s="206"/>
      <c r="M4435" s="49" t="s">
        <v>5700</v>
      </c>
      <c r="N4435" s="73">
        <v>44602</v>
      </c>
      <c r="O4435" s="73" t="s">
        <v>503</v>
      </c>
      <c r="P4435" s="396">
        <v>5000</v>
      </c>
      <c r="Q4435" s="212">
        <v>2</v>
      </c>
      <c r="R4435" s="386">
        <f t="shared" si="143"/>
        <v>10000</v>
      </c>
      <c r="S4435" s="279">
        <v>202304</v>
      </c>
      <c r="T4435" s="184" t="s">
        <v>5780</v>
      </c>
      <c r="U4435" s="213"/>
      <c r="V4435" s="210"/>
      <c r="W4435" s="214"/>
      <c r="X4435" s="73">
        <v>43922</v>
      </c>
      <c r="Y4435" s="73">
        <v>46234</v>
      </c>
    </row>
    <row r="4436" s="5" customFormat="1" customHeight="1" spans="1:25">
      <c r="A4436" s="203" t="s">
        <v>446</v>
      </c>
      <c r="B4436" s="204" t="s">
        <v>5519</v>
      </c>
      <c r="C4436" s="204" t="s">
        <v>125</v>
      </c>
      <c r="D4436" s="204" t="s">
        <v>3939</v>
      </c>
      <c r="E4436" s="205" t="s">
        <v>5671</v>
      </c>
      <c r="F4436" s="203" t="s">
        <v>5672</v>
      </c>
      <c r="G4436" s="203" t="s">
        <v>88</v>
      </c>
      <c r="H4436" s="25" t="s">
        <v>5699</v>
      </c>
      <c r="I4436" s="46" t="e">
        <f>VLOOKUP(H4436,'合同高级查询数据-4月返'!A:A,1,FALSE)</f>
        <v>#N/A</v>
      </c>
      <c r="J4436" s="47" t="s">
        <v>90</v>
      </c>
      <c r="K4436" s="203" t="s">
        <v>5652</v>
      </c>
      <c r="L4436" s="206"/>
      <c r="M4436" s="49" t="s">
        <v>5700</v>
      </c>
      <c r="N4436" s="73">
        <v>44606</v>
      </c>
      <c r="O4436" s="73" t="s">
        <v>503</v>
      </c>
      <c r="P4436" s="396">
        <v>5000</v>
      </c>
      <c r="Q4436" s="212">
        <v>-1</v>
      </c>
      <c r="R4436" s="386">
        <f t="shared" si="143"/>
        <v>-5000</v>
      </c>
      <c r="S4436" s="279">
        <v>202304</v>
      </c>
      <c r="T4436" s="184" t="s">
        <v>5781</v>
      </c>
      <c r="U4436" s="213"/>
      <c r="V4436" s="210"/>
      <c r="W4436" s="214"/>
      <c r="X4436" s="73">
        <v>43922</v>
      </c>
      <c r="Y4436" s="73">
        <v>46234</v>
      </c>
    </row>
    <row r="4437" s="5" customFormat="1" customHeight="1" spans="1:25">
      <c r="A4437" s="203" t="s">
        <v>446</v>
      </c>
      <c r="B4437" s="204" t="s">
        <v>5519</v>
      </c>
      <c r="C4437" s="204" t="s">
        <v>125</v>
      </c>
      <c r="D4437" s="204" t="s">
        <v>3939</v>
      </c>
      <c r="E4437" s="205" t="s">
        <v>5671</v>
      </c>
      <c r="F4437" s="203" t="s">
        <v>5672</v>
      </c>
      <c r="G4437" s="203" t="s">
        <v>88</v>
      </c>
      <c r="H4437" s="25" t="s">
        <v>5699</v>
      </c>
      <c r="I4437" s="46" t="e">
        <f>VLOOKUP(H4437,'合同高级查询数据-4月返'!A:A,1,FALSE)</f>
        <v>#N/A</v>
      </c>
      <c r="J4437" s="47" t="s">
        <v>90</v>
      </c>
      <c r="K4437" s="203" t="s">
        <v>5652</v>
      </c>
      <c r="L4437" s="206"/>
      <c r="M4437" s="49" t="s">
        <v>5700</v>
      </c>
      <c r="N4437" s="73">
        <v>44671</v>
      </c>
      <c r="O4437" s="73" t="s">
        <v>503</v>
      </c>
      <c r="P4437" s="396">
        <v>5000</v>
      </c>
      <c r="Q4437" s="212">
        <v>-8</v>
      </c>
      <c r="R4437" s="386">
        <f t="shared" si="143"/>
        <v>-40000</v>
      </c>
      <c r="S4437" s="279">
        <v>202304</v>
      </c>
      <c r="T4437" s="184" t="s">
        <v>5782</v>
      </c>
      <c r="U4437" s="213"/>
      <c r="V4437" s="210"/>
      <c r="W4437" s="214"/>
      <c r="X4437" s="73">
        <v>43922</v>
      </c>
      <c r="Y4437" s="73">
        <v>46234</v>
      </c>
    </row>
    <row r="4438" s="5" customFormat="1" customHeight="1" spans="1:25">
      <c r="A4438" s="203" t="s">
        <v>446</v>
      </c>
      <c r="B4438" s="204" t="s">
        <v>5519</v>
      </c>
      <c r="C4438" s="204" t="s">
        <v>125</v>
      </c>
      <c r="D4438" s="204" t="s">
        <v>3939</v>
      </c>
      <c r="E4438" s="205" t="s">
        <v>5671</v>
      </c>
      <c r="F4438" s="203" t="s">
        <v>5672</v>
      </c>
      <c r="G4438" s="203" t="s">
        <v>88</v>
      </c>
      <c r="H4438" s="25" t="s">
        <v>5699</v>
      </c>
      <c r="I4438" s="46" t="e">
        <f>VLOOKUP(H4438,'合同高级查询数据-4月返'!A:A,1,FALSE)</f>
        <v>#N/A</v>
      </c>
      <c r="J4438" s="47" t="s">
        <v>90</v>
      </c>
      <c r="K4438" s="203" t="s">
        <v>5652</v>
      </c>
      <c r="L4438" s="206"/>
      <c r="M4438" s="49" t="s">
        <v>5713</v>
      </c>
      <c r="N4438" s="73">
        <v>44676</v>
      </c>
      <c r="O4438" s="73" t="s">
        <v>503</v>
      </c>
      <c r="P4438" s="396">
        <v>5000</v>
      </c>
      <c r="Q4438" s="212">
        <v>30</v>
      </c>
      <c r="R4438" s="386">
        <f t="shared" si="143"/>
        <v>150000</v>
      </c>
      <c r="S4438" s="279">
        <v>202304</v>
      </c>
      <c r="T4438" s="184" t="s">
        <v>5783</v>
      </c>
      <c r="U4438" s="213"/>
      <c r="V4438" s="210"/>
      <c r="W4438" s="214"/>
      <c r="X4438" s="73">
        <v>43922</v>
      </c>
      <c r="Y4438" s="73">
        <v>46234</v>
      </c>
    </row>
    <row r="4439" s="5" customFormat="1" customHeight="1" spans="1:25">
      <c r="A4439" s="203" t="s">
        <v>446</v>
      </c>
      <c r="B4439" s="204" t="s">
        <v>5519</v>
      </c>
      <c r="C4439" s="204" t="s">
        <v>125</v>
      </c>
      <c r="D4439" s="204" t="s">
        <v>3939</v>
      </c>
      <c r="E4439" s="205" t="s">
        <v>5671</v>
      </c>
      <c r="F4439" s="203" t="s">
        <v>5672</v>
      </c>
      <c r="G4439" s="203" t="s">
        <v>88</v>
      </c>
      <c r="H4439" s="25" t="s">
        <v>5699</v>
      </c>
      <c r="I4439" s="46" t="e">
        <f>VLOOKUP(H4439,'合同高级查询数据-4月返'!A:A,1,FALSE)</f>
        <v>#N/A</v>
      </c>
      <c r="J4439" s="47" t="s">
        <v>90</v>
      </c>
      <c r="K4439" s="203" t="s">
        <v>5652</v>
      </c>
      <c r="L4439" s="206"/>
      <c r="M4439" s="49" t="s">
        <v>5713</v>
      </c>
      <c r="N4439" s="73">
        <v>44678</v>
      </c>
      <c r="O4439" s="73" t="s">
        <v>503</v>
      </c>
      <c r="P4439" s="396">
        <v>5000</v>
      </c>
      <c r="Q4439" s="212">
        <v>14</v>
      </c>
      <c r="R4439" s="386">
        <f t="shared" si="143"/>
        <v>70000</v>
      </c>
      <c r="S4439" s="279">
        <v>202304</v>
      </c>
      <c r="T4439" s="184" t="s">
        <v>5784</v>
      </c>
      <c r="U4439" s="213"/>
      <c r="V4439" s="210"/>
      <c r="W4439" s="214"/>
      <c r="X4439" s="73">
        <v>43922</v>
      </c>
      <c r="Y4439" s="73">
        <v>46234</v>
      </c>
    </row>
    <row r="4440" s="5" customFormat="1" customHeight="1" spans="1:25">
      <c r="A4440" s="203" t="s">
        <v>446</v>
      </c>
      <c r="B4440" s="204" t="s">
        <v>5519</v>
      </c>
      <c r="C4440" s="204" t="s">
        <v>125</v>
      </c>
      <c r="D4440" s="204" t="s">
        <v>3939</v>
      </c>
      <c r="E4440" s="205" t="s">
        <v>5671</v>
      </c>
      <c r="F4440" s="203" t="s">
        <v>5672</v>
      </c>
      <c r="G4440" s="203" t="s">
        <v>88</v>
      </c>
      <c r="H4440" s="25" t="s">
        <v>5699</v>
      </c>
      <c r="I4440" s="46" t="e">
        <f>VLOOKUP(H4440,'合同高级查询数据-4月返'!A:A,1,FALSE)</f>
        <v>#N/A</v>
      </c>
      <c r="J4440" s="47" t="s">
        <v>90</v>
      </c>
      <c r="K4440" s="203" t="s">
        <v>5652</v>
      </c>
      <c r="L4440" s="206"/>
      <c r="M4440" s="49" t="s">
        <v>5700</v>
      </c>
      <c r="N4440" s="73">
        <v>44756</v>
      </c>
      <c r="O4440" s="73" t="s">
        <v>503</v>
      </c>
      <c r="P4440" s="396">
        <v>5000</v>
      </c>
      <c r="Q4440" s="212">
        <v>11</v>
      </c>
      <c r="R4440" s="386">
        <f t="shared" si="143"/>
        <v>55000</v>
      </c>
      <c r="S4440" s="279">
        <v>202304</v>
      </c>
      <c r="T4440" s="184" t="s">
        <v>5785</v>
      </c>
      <c r="U4440" s="213"/>
      <c r="V4440" s="210"/>
      <c r="W4440" s="214"/>
      <c r="X4440" s="73">
        <v>43922</v>
      </c>
      <c r="Y4440" s="73">
        <v>46234</v>
      </c>
    </row>
    <row r="4441" s="5" customFormat="1" customHeight="1" spans="1:25">
      <c r="A4441" s="203" t="s">
        <v>446</v>
      </c>
      <c r="B4441" s="204" t="s">
        <v>5519</v>
      </c>
      <c r="C4441" s="204" t="s">
        <v>125</v>
      </c>
      <c r="D4441" s="204" t="s">
        <v>3939</v>
      </c>
      <c r="E4441" s="205" t="s">
        <v>5671</v>
      </c>
      <c r="F4441" s="203" t="s">
        <v>5672</v>
      </c>
      <c r="G4441" s="203" t="s">
        <v>88</v>
      </c>
      <c r="H4441" s="25" t="s">
        <v>5699</v>
      </c>
      <c r="I4441" s="46" t="e">
        <f>VLOOKUP(H4441,'合同高级查询数据-4月返'!A:A,1,FALSE)</f>
        <v>#N/A</v>
      </c>
      <c r="J4441" s="47" t="s">
        <v>90</v>
      </c>
      <c r="K4441" s="203" t="s">
        <v>5652</v>
      </c>
      <c r="L4441" s="206"/>
      <c r="M4441" s="49" t="s">
        <v>5700</v>
      </c>
      <c r="N4441" s="73">
        <v>44756</v>
      </c>
      <c r="O4441" s="73" t="s">
        <v>503</v>
      </c>
      <c r="P4441" s="396">
        <v>5000</v>
      </c>
      <c r="Q4441" s="212">
        <v>-2</v>
      </c>
      <c r="R4441" s="386">
        <f t="shared" si="143"/>
        <v>-10000</v>
      </c>
      <c r="S4441" s="279">
        <v>202304</v>
      </c>
      <c r="T4441" s="184" t="s">
        <v>5786</v>
      </c>
      <c r="U4441" s="213"/>
      <c r="V4441" s="210"/>
      <c r="W4441" s="214"/>
      <c r="X4441" s="73">
        <v>43922</v>
      </c>
      <c r="Y4441" s="73">
        <v>46234</v>
      </c>
    </row>
    <row r="4442" s="5" customFormat="1" customHeight="1" spans="1:25">
      <c r="A4442" s="203" t="s">
        <v>446</v>
      </c>
      <c r="B4442" s="204" t="s">
        <v>5519</v>
      </c>
      <c r="C4442" s="204" t="s">
        <v>125</v>
      </c>
      <c r="D4442" s="204" t="s">
        <v>3939</v>
      </c>
      <c r="E4442" s="205" t="s">
        <v>5671</v>
      </c>
      <c r="F4442" s="203" t="s">
        <v>5672</v>
      </c>
      <c r="G4442" s="203" t="s">
        <v>88</v>
      </c>
      <c r="H4442" s="25" t="s">
        <v>5699</v>
      </c>
      <c r="I4442" s="46" t="e">
        <f>VLOOKUP(H4442,'合同高级查询数据-4月返'!A:A,1,FALSE)</f>
        <v>#N/A</v>
      </c>
      <c r="J4442" s="47" t="s">
        <v>90</v>
      </c>
      <c r="K4442" s="203" t="s">
        <v>5652</v>
      </c>
      <c r="L4442" s="206"/>
      <c r="M4442" s="49" t="s">
        <v>5700</v>
      </c>
      <c r="N4442" s="73">
        <v>44757</v>
      </c>
      <c r="O4442" s="73" t="s">
        <v>503</v>
      </c>
      <c r="P4442" s="396">
        <v>5000</v>
      </c>
      <c r="Q4442" s="212">
        <v>2</v>
      </c>
      <c r="R4442" s="386">
        <f t="shared" si="143"/>
        <v>10000</v>
      </c>
      <c r="S4442" s="279">
        <v>202304</v>
      </c>
      <c r="T4442" s="184" t="s">
        <v>5787</v>
      </c>
      <c r="U4442" s="213"/>
      <c r="V4442" s="210"/>
      <c r="W4442" s="214"/>
      <c r="X4442" s="73">
        <v>43922</v>
      </c>
      <c r="Y4442" s="73">
        <v>46234</v>
      </c>
    </row>
    <row r="4443" s="5" customFormat="1" customHeight="1" spans="1:25">
      <c r="A4443" s="203" t="s">
        <v>446</v>
      </c>
      <c r="B4443" s="204" t="s">
        <v>5519</v>
      </c>
      <c r="C4443" s="204" t="s">
        <v>125</v>
      </c>
      <c r="D4443" s="204" t="s">
        <v>3939</v>
      </c>
      <c r="E4443" s="205" t="s">
        <v>5671</v>
      </c>
      <c r="F4443" s="203" t="s">
        <v>5672</v>
      </c>
      <c r="G4443" s="203" t="s">
        <v>88</v>
      </c>
      <c r="H4443" s="25" t="s">
        <v>5699</v>
      </c>
      <c r="I4443" s="46" t="e">
        <f>VLOOKUP(H4443,'合同高级查询数据-4月返'!A:A,1,FALSE)</f>
        <v>#N/A</v>
      </c>
      <c r="J4443" s="47" t="s">
        <v>90</v>
      </c>
      <c r="K4443" s="203" t="s">
        <v>5652</v>
      </c>
      <c r="L4443" s="206"/>
      <c r="M4443" s="49" t="s">
        <v>5713</v>
      </c>
      <c r="N4443" s="73">
        <v>44861.40625</v>
      </c>
      <c r="O4443" s="73" t="s">
        <v>503</v>
      </c>
      <c r="P4443" s="396">
        <v>5000</v>
      </c>
      <c r="Q4443" s="212">
        <v>-6</v>
      </c>
      <c r="R4443" s="386">
        <f t="shared" si="143"/>
        <v>-30000</v>
      </c>
      <c r="S4443" s="279">
        <v>202304</v>
      </c>
      <c r="T4443" s="189" t="s">
        <v>5788</v>
      </c>
      <c r="U4443" s="213"/>
      <c r="V4443" s="210"/>
      <c r="W4443" s="214"/>
      <c r="X4443" s="73">
        <v>43922</v>
      </c>
      <c r="Y4443" s="73">
        <v>46234</v>
      </c>
    </row>
    <row r="4444" s="5" customFormat="1" customHeight="1" spans="1:25">
      <c r="A4444" s="203" t="s">
        <v>446</v>
      </c>
      <c r="B4444" s="204" t="s">
        <v>5519</v>
      </c>
      <c r="C4444" s="204" t="s">
        <v>125</v>
      </c>
      <c r="D4444" s="204" t="s">
        <v>3939</v>
      </c>
      <c r="E4444" s="205" t="s">
        <v>5671</v>
      </c>
      <c r="F4444" s="203" t="s">
        <v>5672</v>
      </c>
      <c r="G4444" s="203" t="s">
        <v>88</v>
      </c>
      <c r="H4444" s="25" t="s">
        <v>5699</v>
      </c>
      <c r="I4444" s="46" t="e">
        <f>VLOOKUP(H4444,'合同高级查询数据-4月返'!A:A,1,FALSE)</f>
        <v>#N/A</v>
      </c>
      <c r="J4444" s="47" t="s">
        <v>90</v>
      </c>
      <c r="K4444" s="203" t="s">
        <v>5652</v>
      </c>
      <c r="L4444" s="206"/>
      <c r="M4444" s="49" t="s">
        <v>5713</v>
      </c>
      <c r="N4444" s="73">
        <v>44868</v>
      </c>
      <c r="O4444" s="73" t="s">
        <v>503</v>
      </c>
      <c r="P4444" s="396">
        <v>5000</v>
      </c>
      <c r="Q4444" s="385">
        <v>1</v>
      </c>
      <c r="R4444" s="386">
        <f t="shared" si="143"/>
        <v>5000</v>
      </c>
      <c r="S4444" s="279">
        <v>202304</v>
      </c>
      <c r="T4444" s="189" t="s">
        <v>5789</v>
      </c>
      <c r="U4444" s="213"/>
      <c r="V4444" s="210"/>
      <c r="W4444" s="214"/>
      <c r="X4444" s="73">
        <v>43922</v>
      </c>
      <c r="Y4444" s="73">
        <v>46234</v>
      </c>
    </row>
    <row r="4445" s="5" customFormat="1" customHeight="1" spans="1:25">
      <c r="A4445" s="203" t="s">
        <v>446</v>
      </c>
      <c r="B4445" s="204" t="s">
        <v>5519</v>
      </c>
      <c r="C4445" s="204" t="s">
        <v>125</v>
      </c>
      <c r="D4445" s="204" t="s">
        <v>3939</v>
      </c>
      <c r="E4445" s="205" t="s">
        <v>5671</v>
      </c>
      <c r="F4445" s="203" t="s">
        <v>5672</v>
      </c>
      <c r="G4445" s="203" t="s">
        <v>88</v>
      </c>
      <c r="H4445" s="25" t="s">
        <v>5699</v>
      </c>
      <c r="I4445" s="46" t="e">
        <f>VLOOKUP(H4445,'合同高级查询数据-4月返'!A:A,1,FALSE)</f>
        <v>#N/A</v>
      </c>
      <c r="J4445" s="47" t="s">
        <v>90</v>
      </c>
      <c r="K4445" s="203" t="s">
        <v>5652</v>
      </c>
      <c r="L4445" s="206"/>
      <c r="M4445" s="49" t="s">
        <v>5713</v>
      </c>
      <c r="N4445" s="73">
        <v>44883</v>
      </c>
      <c r="O4445" s="73" t="s">
        <v>503</v>
      </c>
      <c r="P4445" s="396">
        <v>5000</v>
      </c>
      <c r="Q4445" s="212">
        <v>-7</v>
      </c>
      <c r="R4445" s="386">
        <f t="shared" si="143"/>
        <v>-35000</v>
      </c>
      <c r="S4445" s="279">
        <v>202304</v>
      </c>
      <c r="T4445" s="189" t="s">
        <v>5790</v>
      </c>
      <c r="U4445" s="213"/>
      <c r="V4445" s="210"/>
      <c r="W4445" s="214"/>
      <c r="X4445" s="73">
        <v>43922</v>
      </c>
      <c r="Y4445" s="73">
        <v>46234</v>
      </c>
    </row>
    <row r="4446" s="5" customFormat="1" customHeight="1" spans="1:25">
      <c r="A4446" s="203" t="s">
        <v>446</v>
      </c>
      <c r="B4446" s="204" t="s">
        <v>5519</v>
      </c>
      <c r="C4446" s="204" t="s">
        <v>125</v>
      </c>
      <c r="D4446" s="204" t="s">
        <v>3939</v>
      </c>
      <c r="E4446" s="205" t="s">
        <v>5671</v>
      </c>
      <c r="F4446" s="203" t="s">
        <v>5672</v>
      </c>
      <c r="G4446" s="203" t="s">
        <v>88</v>
      </c>
      <c r="H4446" s="25" t="s">
        <v>5699</v>
      </c>
      <c r="I4446" s="46" t="e">
        <f>VLOOKUP(H4446,'合同高级查询数据-4月返'!A:A,1,FALSE)</f>
        <v>#N/A</v>
      </c>
      <c r="J4446" s="47" t="s">
        <v>90</v>
      </c>
      <c r="K4446" s="203" t="s">
        <v>5652</v>
      </c>
      <c r="L4446" s="206"/>
      <c r="M4446" s="49" t="s">
        <v>5713</v>
      </c>
      <c r="N4446" s="73">
        <v>44914</v>
      </c>
      <c r="O4446" s="73" t="s">
        <v>503</v>
      </c>
      <c r="P4446" s="396">
        <v>5000</v>
      </c>
      <c r="Q4446" s="212">
        <v>-2</v>
      </c>
      <c r="R4446" s="114">
        <f t="shared" si="143"/>
        <v>-10000</v>
      </c>
      <c r="S4446" s="279">
        <v>202304</v>
      </c>
      <c r="T4446" s="189" t="s">
        <v>5791</v>
      </c>
      <c r="U4446" s="213"/>
      <c r="V4446" s="210"/>
      <c r="W4446" s="214"/>
      <c r="X4446" s="73">
        <v>43922</v>
      </c>
      <c r="Y4446" s="73">
        <v>46234</v>
      </c>
    </row>
    <row r="4447" s="5" customFormat="1" customHeight="1" spans="1:25">
      <c r="A4447" s="203" t="s">
        <v>446</v>
      </c>
      <c r="B4447" s="204" t="s">
        <v>5519</v>
      </c>
      <c r="C4447" s="204" t="s">
        <v>125</v>
      </c>
      <c r="D4447" s="204" t="s">
        <v>3939</v>
      </c>
      <c r="E4447" s="205" t="s">
        <v>5671</v>
      </c>
      <c r="F4447" s="203" t="s">
        <v>5672</v>
      </c>
      <c r="G4447" s="203" t="s">
        <v>88</v>
      </c>
      <c r="H4447" s="25" t="s">
        <v>5699</v>
      </c>
      <c r="I4447" s="46" t="e">
        <f>VLOOKUP(H4447,'合同高级查询数据-4月返'!A:A,1,FALSE)</f>
        <v>#N/A</v>
      </c>
      <c r="J4447" s="47" t="s">
        <v>90</v>
      </c>
      <c r="K4447" s="203" t="s">
        <v>5652</v>
      </c>
      <c r="L4447" s="206"/>
      <c r="M4447" s="49" t="s">
        <v>5713</v>
      </c>
      <c r="N4447" s="73">
        <v>44986.4075694444</v>
      </c>
      <c r="O4447" s="73" t="s">
        <v>503</v>
      </c>
      <c r="P4447" s="396">
        <v>5000</v>
      </c>
      <c r="Q4447" s="212">
        <v>1</v>
      </c>
      <c r="R4447" s="114">
        <f t="shared" si="143"/>
        <v>5000</v>
      </c>
      <c r="S4447" s="279">
        <v>202304</v>
      </c>
      <c r="T4447" s="189" t="s">
        <v>5792</v>
      </c>
      <c r="U4447" s="213"/>
      <c r="V4447" s="210"/>
      <c r="W4447" s="214"/>
      <c r="X4447" s="73">
        <v>43922</v>
      </c>
      <c r="Y4447" s="73">
        <v>46234</v>
      </c>
    </row>
    <row r="4448" s="5" customFormat="1" customHeight="1" spans="1:25">
      <c r="A4448" s="203" t="s">
        <v>446</v>
      </c>
      <c r="B4448" s="204" t="s">
        <v>5519</v>
      </c>
      <c r="C4448" s="204" t="s">
        <v>125</v>
      </c>
      <c r="D4448" s="204" t="s">
        <v>3939</v>
      </c>
      <c r="E4448" s="205" t="s">
        <v>5671</v>
      </c>
      <c r="F4448" s="203" t="s">
        <v>5672</v>
      </c>
      <c r="G4448" s="203" t="s">
        <v>88</v>
      </c>
      <c r="H4448" s="25" t="s">
        <v>5699</v>
      </c>
      <c r="I4448" s="46" t="e">
        <f>VLOOKUP(H4448,'合同高级查询数据-4月返'!A:A,1,FALSE)</f>
        <v>#N/A</v>
      </c>
      <c r="J4448" s="47" t="s">
        <v>90</v>
      </c>
      <c r="K4448" s="203" t="s">
        <v>5652</v>
      </c>
      <c r="L4448" s="206"/>
      <c r="M4448" s="49" t="s">
        <v>5713</v>
      </c>
      <c r="N4448" s="73">
        <v>45012.6875</v>
      </c>
      <c r="O4448" s="73" t="s">
        <v>503</v>
      </c>
      <c r="P4448" s="396">
        <v>5000</v>
      </c>
      <c r="Q4448" s="212">
        <v>-1</v>
      </c>
      <c r="R4448" s="114">
        <f t="shared" si="143"/>
        <v>-5000</v>
      </c>
      <c r="S4448" s="279">
        <v>202304</v>
      </c>
      <c r="T4448" s="189" t="s">
        <v>5793</v>
      </c>
      <c r="U4448" s="213"/>
      <c r="V4448" s="210"/>
      <c r="W4448" s="214"/>
      <c r="X4448" s="73">
        <v>43922</v>
      </c>
      <c r="Y4448" s="73">
        <v>46234</v>
      </c>
    </row>
    <row r="4449" s="5" customFormat="1" customHeight="1" spans="1:25">
      <c r="A4449" s="203" t="s">
        <v>446</v>
      </c>
      <c r="B4449" s="204" t="s">
        <v>5519</v>
      </c>
      <c r="C4449" s="204" t="s">
        <v>125</v>
      </c>
      <c r="D4449" s="204" t="s">
        <v>3939</v>
      </c>
      <c r="E4449" s="205" t="s">
        <v>5671</v>
      </c>
      <c r="F4449" s="203" t="s">
        <v>5672</v>
      </c>
      <c r="G4449" s="203" t="s">
        <v>88</v>
      </c>
      <c r="H4449" s="25" t="s">
        <v>5699</v>
      </c>
      <c r="I4449" s="46" t="e">
        <f>VLOOKUP(H4449,'合同高级查询数据-4月返'!A:A,1,FALSE)</f>
        <v>#N/A</v>
      </c>
      <c r="J4449" s="47" t="s">
        <v>90</v>
      </c>
      <c r="K4449" s="203" t="s">
        <v>5652</v>
      </c>
      <c r="L4449" s="206"/>
      <c r="M4449" s="49" t="s">
        <v>5700</v>
      </c>
      <c r="N4449" s="73">
        <v>45034</v>
      </c>
      <c r="O4449" s="73" t="s">
        <v>503</v>
      </c>
      <c r="P4449" s="396">
        <v>5000</v>
      </c>
      <c r="Q4449" s="212">
        <v>-6</v>
      </c>
      <c r="R4449" s="114">
        <f>ROUND(P4449*Q4449*12/30,2)</f>
        <v>-12000</v>
      </c>
      <c r="S4449" s="279">
        <v>202304</v>
      </c>
      <c r="T4449" s="398" t="s">
        <v>5794</v>
      </c>
      <c r="U4449" s="213"/>
      <c r="V4449" s="210"/>
      <c r="W4449" s="214"/>
      <c r="X4449" s="73">
        <v>43922</v>
      </c>
      <c r="Y4449" s="73">
        <v>46234</v>
      </c>
    </row>
    <row r="4450" s="3" customFormat="1" customHeight="1" spans="1:25">
      <c r="A4450" s="154" t="s">
        <v>446</v>
      </c>
      <c r="B4450" s="292" t="s">
        <v>5519</v>
      </c>
      <c r="C4450" s="292" t="s">
        <v>125</v>
      </c>
      <c r="D4450" s="292" t="s">
        <v>3939</v>
      </c>
      <c r="E4450" s="153" t="s">
        <v>5671</v>
      </c>
      <c r="F4450" s="154" t="s">
        <v>5672</v>
      </c>
      <c r="G4450" s="154" t="s">
        <v>78</v>
      </c>
      <c r="H4450" s="110" t="s">
        <v>5795</v>
      </c>
      <c r="I4450" s="30" t="e">
        <f>VLOOKUP(H4450,'合同高级查询数据-4月返'!A:A,1,FALSE)</f>
        <v>#N/A</v>
      </c>
      <c r="J4450" s="31" t="s">
        <v>530</v>
      </c>
      <c r="K4450" s="154" t="s">
        <v>5652</v>
      </c>
      <c r="L4450" s="293"/>
      <c r="M4450" s="113" t="s">
        <v>5700</v>
      </c>
      <c r="N4450" s="146"/>
      <c r="O4450" s="146"/>
      <c r="P4450" s="400">
        <v>2500</v>
      </c>
      <c r="Q4450" s="295">
        <v>17</v>
      </c>
      <c r="R4450" s="454">
        <f>ROUND(P4450*5+P4450*6*12/30+P4450*3*2/30+P4450*3*1/30,2)</f>
        <v>19250</v>
      </c>
      <c r="S4450" s="277">
        <v>202304</v>
      </c>
      <c r="T4450" s="198" t="s">
        <v>5796</v>
      </c>
      <c r="U4450" s="391"/>
      <c r="V4450" s="61"/>
      <c r="W4450" s="393"/>
      <c r="X4450" s="146"/>
      <c r="Y4450" s="146"/>
    </row>
    <row r="4451" s="5" customFormat="1" customHeight="1" spans="1:25">
      <c r="A4451" s="203" t="s">
        <v>446</v>
      </c>
      <c r="B4451" s="204" t="s">
        <v>5519</v>
      </c>
      <c r="C4451" s="204" t="s">
        <v>125</v>
      </c>
      <c r="D4451" s="204" t="s">
        <v>3939</v>
      </c>
      <c r="E4451" s="205" t="s">
        <v>5671</v>
      </c>
      <c r="F4451" s="203" t="s">
        <v>5672</v>
      </c>
      <c r="G4451" s="203" t="s">
        <v>31</v>
      </c>
      <c r="H4451" s="25" t="s">
        <v>5797</v>
      </c>
      <c r="I4451" s="46" t="e">
        <f>VLOOKUP(H4451,'合同高级查询数据-4月返'!A:A,1,FALSE)</f>
        <v>#N/A</v>
      </c>
      <c r="J4451" s="47" t="s">
        <v>3186</v>
      </c>
      <c r="K4451" s="203" t="s">
        <v>5652</v>
      </c>
      <c r="L4451" s="206"/>
      <c r="M4451" s="49"/>
      <c r="N4451" s="73">
        <v>43840</v>
      </c>
      <c r="O4451" s="73" t="s">
        <v>5798</v>
      </c>
      <c r="P4451" s="396">
        <v>5000</v>
      </c>
      <c r="Q4451" s="212">
        <v>1</v>
      </c>
      <c r="R4451" s="386">
        <f t="shared" ref="R4451:R4516" si="144">ROUND(P4451*Q4451,2)</f>
        <v>5000</v>
      </c>
      <c r="S4451" s="279">
        <v>202304</v>
      </c>
      <c r="T4451" s="184" t="s">
        <v>5799</v>
      </c>
      <c r="U4451" s="213"/>
      <c r="V4451" s="210"/>
      <c r="W4451" s="214"/>
      <c r="X4451" s="73">
        <v>43800</v>
      </c>
      <c r="Y4451" s="73">
        <v>45260</v>
      </c>
    </row>
    <row r="4452" s="5" customFormat="1" customHeight="1" spans="1:25">
      <c r="A4452" s="203" t="s">
        <v>446</v>
      </c>
      <c r="B4452" s="204" t="s">
        <v>5519</v>
      </c>
      <c r="C4452" s="204" t="s">
        <v>125</v>
      </c>
      <c r="D4452" s="204" t="s">
        <v>3939</v>
      </c>
      <c r="E4452" s="205" t="s">
        <v>5671</v>
      </c>
      <c r="F4452" s="203" t="s">
        <v>5672</v>
      </c>
      <c r="G4452" s="203" t="s">
        <v>31</v>
      </c>
      <c r="H4452" s="25" t="s">
        <v>5797</v>
      </c>
      <c r="I4452" s="46" t="e">
        <f>VLOOKUP(H4452,'合同高级查询数据-4月返'!A:A,1,FALSE)</f>
        <v>#N/A</v>
      </c>
      <c r="J4452" s="47" t="s">
        <v>3186</v>
      </c>
      <c r="K4452" s="203" t="s">
        <v>5652</v>
      </c>
      <c r="L4452" s="206"/>
      <c r="M4452" s="49"/>
      <c r="N4452" s="73">
        <v>44005</v>
      </c>
      <c r="O4452" s="73" t="s">
        <v>1221</v>
      </c>
      <c r="P4452" s="396">
        <v>5000</v>
      </c>
      <c r="Q4452" s="212">
        <v>2</v>
      </c>
      <c r="R4452" s="386">
        <f t="shared" si="144"/>
        <v>10000</v>
      </c>
      <c r="S4452" s="279">
        <v>202304</v>
      </c>
      <c r="T4452" s="184" t="s">
        <v>5800</v>
      </c>
      <c r="U4452" s="213"/>
      <c r="V4452" s="210"/>
      <c r="W4452" s="214"/>
      <c r="X4452" s="73">
        <v>43800</v>
      </c>
      <c r="Y4452" s="73">
        <v>45260</v>
      </c>
    </row>
    <row r="4453" s="5" customFormat="1" customHeight="1" spans="1:25">
      <c r="A4453" s="203" t="s">
        <v>446</v>
      </c>
      <c r="B4453" s="204" t="s">
        <v>5519</v>
      </c>
      <c r="C4453" s="204" t="s">
        <v>125</v>
      </c>
      <c r="D4453" s="204" t="s">
        <v>3939</v>
      </c>
      <c r="E4453" s="205" t="s">
        <v>5671</v>
      </c>
      <c r="F4453" s="203" t="s">
        <v>5672</v>
      </c>
      <c r="G4453" s="203" t="s">
        <v>31</v>
      </c>
      <c r="H4453" s="25" t="s">
        <v>5797</v>
      </c>
      <c r="I4453" s="46" t="e">
        <f>VLOOKUP(H4453,'合同高级查询数据-4月返'!A:A,1,FALSE)</f>
        <v>#N/A</v>
      </c>
      <c r="J4453" s="47" t="s">
        <v>3186</v>
      </c>
      <c r="K4453" s="203" t="s">
        <v>5652</v>
      </c>
      <c r="L4453" s="206"/>
      <c r="M4453" s="49"/>
      <c r="N4453" s="73">
        <v>44261</v>
      </c>
      <c r="O4453" s="73" t="s">
        <v>1221</v>
      </c>
      <c r="P4453" s="396">
        <v>5000</v>
      </c>
      <c r="Q4453" s="212">
        <v>2</v>
      </c>
      <c r="R4453" s="386">
        <f t="shared" si="144"/>
        <v>10000</v>
      </c>
      <c r="S4453" s="279">
        <v>202304</v>
      </c>
      <c r="T4453" s="184" t="s">
        <v>5801</v>
      </c>
      <c r="U4453" s="213"/>
      <c r="V4453" s="210"/>
      <c r="W4453" s="214"/>
      <c r="X4453" s="73">
        <v>43800</v>
      </c>
      <c r="Y4453" s="73">
        <v>45260</v>
      </c>
    </row>
    <row r="4454" s="5" customFormat="1" customHeight="1" spans="1:25">
      <c r="A4454" s="203" t="s">
        <v>446</v>
      </c>
      <c r="B4454" s="204" t="s">
        <v>5519</v>
      </c>
      <c r="C4454" s="204" t="s">
        <v>125</v>
      </c>
      <c r="D4454" s="204" t="s">
        <v>3939</v>
      </c>
      <c r="E4454" s="205" t="s">
        <v>5671</v>
      </c>
      <c r="F4454" s="203" t="s">
        <v>5672</v>
      </c>
      <c r="G4454" s="203" t="s">
        <v>67</v>
      </c>
      <c r="H4454" s="25" t="s">
        <v>5797</v>
      </c>
      <c r="I4454" s="46" t="e">
        <f>VLOOKUP(H4454,'合同高级查询数据-4月返'!A:A,1,FALSE)</f>
        <v>#N/A</v>
      </c>
      <c r="J4454" s="47" t="s">
        <v>69</v>
      </c>
      <c r="K4454" s="203" t="s">
        <v>5802</v>
      </c>
      <c r="L4454" s="206"/>
      <c r="M4454" s="49"/>
      <c r="N4454" s="73">
        <v>43800</v>
      </c>
      <c r="O4454" s="73" t="s">
        <v>71</v>
      </c>
      <c r="P4454" s="396">
        <v>500</v>
      </c>
      <c r="Q4454" s="212">
        <v>1</v>
      </c>
      <c r="R4454" s="386">
        <f t="shared" si="144"/>
        <v>500</v>
      </c>
      <c r="S4454" s="279">
        <v>202304</v>
      </c>
      <c r="T4454" s="184" t="s">
        <v>5803</v>
      </c>
      <c r="U4454" s="213"/>
      <c r="V4454" s="210"/>
      <c r="W4454" s="214"/>
      <c r="X4454" s="73">
        <v>43800</v>
      </c>
      <c r="Y4454" s="73">
        <v>45260</v>
      </c>
    </row>
    <row r="4455" s="5" customFormat="1" customHeight="1" spans="1:25">
      <c r="A4455" s="203" t="s">
        <v>446</v>
      </c>
      <c r="B4455" s="204" t="s">
        <v>5519</v>
      </c>
      <c r="C4455" s="204" t="s">
        <v>125</v>
      </c>
      <c r="D4455" s="204" t="s">
        <v>3939</v>
      </c>
      <c r="E4455" s="205" t="s">
        <v>5671</v>
      </c>
      <c r="F4455" s="203" t="s">
        <v>5672</v>
      </c>
      <c r="G4455" s="203" t="s">
        <v>67</v>
      </c>
      <c r="H4455" s="25" t="s">
        <v>5797</v>
      </c>
      <c r="I4455" s="46" t="e">
        <f>VLOOKUP(H4455,'合同高级查询数据-4月返'!A:A,1,FALSE)</f>
        <v>#N/A</v>
      </c>
      <c r="J4455" s="47" t="s">
        <v>69</v>
      </c>
      <c r="K4455" s="203" t="s">
        <v>5802</v>
      </c>
      <c r="L4455" s="206"/>
      <c r="M4455" s="49"/>
      <c r="N4455" s="73">
        <v>43800</v>
      </c>
      <c r="O4455" s="73" t="s">
        <v>71</v>
      </c>
      <c r="P4455" s="396">
        <v>500</v>
      </c>
      <c r="Q4455" s="212">
        <v>1</v>
      </c>
      <c r="R4455" s="386">
        <f t="shared" si="144"/>
        <v>500</v>
      </c>
      <c r="S4455" s="279">
        <v>202304</v>
      </c>
      <c r="T4455" s="184" t="s">
        <v>5803</v>
      </c>
      <c r="U4455" s="213"/>
      <c r="V4455" s="210"/>
      <c r="W4455" s="214"/>
      <c r="X4455" s="73">
        <v>43800</v>
      </c>
      <c r="Y4455" s="73">
        <v>45260</v>
      </c>
    </row>
    <row r="4456" s="5" customFormat="1" customHeight="1" spans="1:25">
      <c r="A4456" s="203" t="s">
        <v>446</v>
      </c>
      <c r="B4456" s="204" t="s">
        <v>5519</v>
      </c>
      <c r="C4456" s="204" t="s">
        <v>125</v>
      </c>
      <c r="D4456" s="204" t="s">
        <v>3939</v>
      </c>
      <c r="E4456" s="205" t="s">
        <v>5671</v>
      </c>
      <c r="F4456" s="203" t="s">
        <v>5672</v>
      </c>
      <c r="G4456" s="203" t="s">
        <v>67</v>
      </c>
      <c r="H4456" s="25" t="s">
        <v>5797</v>
      </c>
      <c r="I4456" s="46" t="e">
        <f>VLOOKUP(H4456,'合同高级查询数据-4月返'!A:A,1,FALSE)</f>
        <v>#N/A</v>
      </c>
      <c r="J4456" s="47" t="s">
        <v>69</v>
      </c>
      <c r="K4456" s="203" t="s">
        <v>5802</v>
      </c>
      <c r="L4456" s="206"/>
      <c r="M4456" s="49"/>
      <c r="N4456" s="73">
        <v>44012</v>
      </c>
      <c r="O4456" s="73" t="s">
        <v>71</v>
      </c>
      <c r="P4456" s="396">
        <v>500</v>
      </c>
      <c r="Q4456" s="212">
        <v>1</v>
      </c>
      <c r="R4456" s="386">
        <f t="shared" si="144"/>
        <v>500</v>
      </c>
      <c r="S4456" s="279">
        <v>202304</v>
      </c>
      <c r="T4456" s="184" t="s">
        <v>5804</v>
      </c>
      <c r="U4456" s="213"/>
      <c r="V4456" s="210"/>
      <c r="W4456" s="214"/>
      <c r="X4456" s="73">
        <v>43800</v>
      </c>
      <c r="Y4456" s="73">
        <v>45260</v>
      </c>
    </row>
    <row r="4457" s="5" customFormat="1" customHeight="1" spans="1:25">
      <c r="A4457" s="203" t="s">
        <v>446</v>
      </c>
      <c r="B4457" s="204" t="s">
        <v>5519</v>
      </c>
      <c r="C4457" s="204" t="s">
        <v>125</v>
      </c>
      <c r="D4457" s="204" t="s">
        <v>3939</v>
      </c>
      <c r="E4457" s="205" t="s">
        <v>5671</v>
      </c>
      <c r="F4457" s="203" t="s">
        <v>5672</v>
      </c>
      <c r="G4457" s="203" t="s">
        <v>67</v>
      </c>
      <c r="H4457" s="25" t="s">
        <v>5797</v>
      </c>
      <c r="I4457" s="46" t="e">
        <f>VLOOKUP(H4457,'合同高级查询数据-4月返'!A:A,1,FALSE)</f>
        <v>#N/A</v>
      </c>
      <c r="J4457" s="47" t="s">
        <v>69</v>
      </c>
      <c r="K4457" s="203" t="s">
        <v>5802</v>
      </c>
      <c r="L4457" s="206"/>
      <c r="M4457" s="49"/>
      <c r="N4457" s="73">
        <v>44012</v>
      </c>
      <c r="O4457" s="73" t="s">
        <v>71</v>
      </c>
      <c r="P4457" s="396">
        <v>500</v>
      </c>
      <c r="Q4457" s="212">
        <v>1</v>
      </c>
      <c r="R4457" s="386">
        <f t="shared" si="144"/>
        <v>500</v>
      </c>
      <c r="S4457" s="279">
        <v>202304</v>
      </c>
      <c r="T4457" s="184" t="s">
        <v>5805</v>
      </c>
      <c r="U4457" s="213"/>
      <c r="V4457" s="210"/>
      <c r="W4457" s="214"/>
      <c r="X4457" s="73">
        <v>43800</v>
      </c>
      <c r="Y4457" s="73">
        <v>45260</v>
      </c>
    </row>
    <row r="4458" s="5" customFormat="1" customHeight="1" spans="1:25">
      <c r="A4458" s="203" t="s">
        <v>446</v>
      </c>
      <c r="B4458" s="204" t="s">
        <v>5519</v>
      </c>
      <c r="C4458" s="204" t="s">
        <v>125</v>
      </c>
      <c r="D4458" s="204" t="s">
        <v>3939</v>
      </c>
      <c r="E4458" s="205" t="s">
        <v>5671</v>
      </c>
      <c r="F4458" s="203" t="s">
        <v>5672</v>
      </c>
      <c r="G4458" s="203" t="s">
        <v>67</v>
      </c>
      <c r="H4458" s="25" t="s">
        <v>5797</v>
      </c>
      <c r="I4458" s="46" t="e">
        <f>VLOOKUP(H4458,'合同高级查询数据-4月返'!A:A,1,FALSE)</f>
        <v>#N/A</v>
      </c>
      <c r="J4458" s="47" t="s">
        <v>69</v>
      </c>
      <c r="K4458" s="203" t="s">
        <v>5802</v>
      </c>
      <c r="L4458" s="206"/>
      <c r="M4458" s="49"/>
      <c r="N4458" s="73">
        <v>44021</v>
      </c>
      <c r="O4458" s="73" t="s">
        <v>71</v>
      </c>
      <c r="P4458" s="396">
        <v>500</v>
      </c>
      <c r="Q4458" s="212">
        <v>1</v>
      </c>
      <c r="R4458" s="386">
        <f t="shared" si="144"/>
        <v>500</v>
      </c>
      <c r="S4458" s="279">
        <v>202304</v>
      </c>
      <c r="T4458" s="184" t="s">
        <v>5804</v>
      </c>
      <c r="U4458" s="213"/>
      <c r="V4458" s="210"/>
      <c r="W4458" s="214"/>
      <c r="X4458" s="73">
        <v>43800</v>
      </c>
      <c r="Y4458" s="73">
        <v>45260</v>
      </c>
    </row>
    <row r="4459" s="5" customFormat="1" customHeight="1" spans="1:25">
      <c r="A4459" s="203" t="s">
        <v>446</v>
      </c>
      <c r="B4459" s="204" t="s">
        <v>5519</v>
      </c>
      <c r="C4459" s="204" t="s">
        <v>125</v>
      </c>
      <c r="D4459" s="204" t="s">
        <v>3939</v>
      </c>
      <c r="E4459" s="205" t="s">
        <v>5671</v>
      </c>
      <c r="F4459" s="203" t="s">
        <v>5672</v>
      </c>
      <c r="G4459" s="203" t="s">
        <v>67</v>
      </c>
      <c r="H4459" s="25" t="s">
        <v>5797</v>
      </c>
      <c r="I4459" s="46" t="e">
        <f>VLOOKUP(H4459,'合同高级查询数据-4月返'!A:A,1,FALSE)</f>
        <v>#N/A</v>
      </c>
      <c r="J4459" s="47" t="s">
        <v>69</v>
      </c>
      <c r="K4459" s="203" t="s">
        <v>5802</v>
      </c>
      <c r="L4459" s="206"/>
      <c r="M4459" s="49"/>
      <c r="N4459" s="73">
        <v>44021</v>
      </c>
      <c r="O4459" s="73" t="s">
        <v>71</v>
      </c>
      <c r="P4459" s="396">
        <v>500</v>
      </c>
      <c r="Q4459" s="212">
        <v>1</v>
      </c>
      <c r="R4459" s="386">
        <f t="shared" si="144"/>
        <v>500</v>
      </c>
      <c r="S4459" s="279">
        <v>202304</v>
      </c>
      <c r="T4459" s="184" t="s">
        <v>5804</v>
      </c>
      <c r="U4459" s="213"/>
      <c r="V4459" s="210"/>
      <c r="W4459" s="214"/>
      <c r="X4459" s="73">
        <v>43800</v>
      </c>
      <c r="Y4459" s="73">
        <v>45260</v>
      </c>
    </row>
    <row r="4460" s="5" customFormat="1" customHeight="1" spans="1:25">
      <c r="A4460" s="203" t="s">
        <v>446</v>
      </c>
      <c r="B4460" s="204" t="s">
        <v>5519</v>
      </c>
      <c r="C4460" s="204" t="s">
        <v>125</v>
      </c>
      <c r="D4460" s="204" t="s">
        <v>3939</v>
      </c>
      <c r="E4460" s="205" t="s">
        <v>5671</v>
      </c>
      <c r="F4460" s="203" t="s">
        <v>5672</v>
      </c>
      <c r="G4460" s="203" t="s">
        <v>67</v>
      </c>
      <c r="H4460" s="25" t="s">
        <v>5797</v>
      </c>
      <c r="I4460" s="46" t="e">
        <f>VLOOKUP(H4460,'合同高级查询数据-4月返'!A:A,1,FALSE)</f>
        <v>#N/A</v>
      </c>
      <c r="J4460" s="47" t="s">
        <v>69</v>
      </c>
      <c r="K4460" s="203" t="s">
        <v>5802</v>
      </c>
      <c r="L4460" s="206"/>
      <c r="M4460" s="49"/>
      <c r="N4460" s="73">
        <v>44021</v>
      </c>
      <c r="O4460" s="73" t="s">
        <v>71</v>
      </c>
      <c r="P4460" s="396">
        <v>500</v>
      </c>
      <c r="Q4460" s="212">
        <v>1</v>
      </c>
      <c r="R4460" s="386">
        <f t="shared" si="144"/>
        <v>500</v>
      </c>
      <c r="S4460" s="279">
        <v>202304</v>
      </c>
      <c r="T4460" s="184" t="s">
        <v>5805</v>
      </c>
      <c r="U4460" s="213"/>
      <c r="V4460" s="210"/>
      <c r="W4460" s="214"/>
      <c r="X4460" s="73">
        <v>43800</v>
      </c>
      <c r="Y4460" s="73">
        <v>45260</v>
      </c>
    </row>
    <row r="4461" s="5" customFormat="1" customHeight="1" spans="1:25">
      <c r="A4461" s="203" t="s">
        <v>446</v>
      </c>
      <c r="B4461" s="204" t="s">
        <v>5519</v>
      </c>
      <c r="C4461" s="204" t="s">
        <v>125</v>
      </c>
      <c r="D4461" s="204" t="s">
        <v>3939</v>
      </c>
      <c r="E4461" s="205" t="s">
        <v>5671</v>
      </c>
      <c r="F4461" s="203" t="s">
        <v>5672</v>
      </c>
      <c r="G4461" s="203" t="s">
        <v>67</v>
      </c>
      <c r="H4461" s="25" t="s">
        <v>5797</v>
      </c>
      <c r="I4461" s="46" t="e">
        <f>VLOOKUP(H4461,'合同高级查询数据-4月返'!A:A,1,FALSE)</f>
        <v>#N/A</v>
      </c>
      <c r="J4461" s="47" t="s">
        <v>69</v>
      </c>
      <c r="K4461" s="203" t="s">
        <v>5802</v>
      </c>
      <c r="L4461" s="206"/>
      <c r="M4461" s="49"/>
      <c r="N4461" s="73">
        <v>44021</v>
      </c>
      <c r="O4461" s="73" t="s">
        <v>71</v>
      </c>
      <c r="P4461" s="396">
        <v>500</v>
      </c>
      <c r="Q4461" s="212">
        <v>1</v>
      </c>
      <c r="R4461" s="386">
        <f t="shared" si="144"/>
        <v>500</v>
      </c>
      <c r="S4461" s="279">
        <v>202304</v>
      </c>
      <c r="T4461" s="184" t="s">
        <v>5805</v>
      </c>
      <c r="U4461" s="213"/>
      <c r="V4461" s="210"/>
      <c r="W4461" s="214"/>
      <c r="X4461" s="73">
        <v>43800</v>
      </c>
      <c r="Y4461" s="73">
        <v>45260</v>
      </c>
    </row>
    <row r="4462" s="5" customFormat="1" customHeight="1" spans="1:25">
      <c r="A4462" s="203" t="s">
        <v>446</v>
      </c>
      <c r="B4462" s="204" t="s">
        <v>5519</v>
      </c>
      <c r="C4462" s="204" t="s">
        <v>125</v>
      </c>
      <c r="D4462" s="204" t="s">
        <v>3939</v>
      </c>
      <c r="E4462" s="205" t="s">
        <v>5806</v>
      </c>
      <c r="F4462" s="203" t="s">
        <v>5807</v>
      </c>
      <c r="G4462" s="203" t="s">
        <v>88</v>
      </c>
      <c r="H4462" s="25" t="s">
        <v>5808</v>
      </c>
      <c r="I4462" s="46" t="e">
        <f>VLOOKUP(H4462,'合同高级查询数据-4月返'!A:A,1,FALSE)</f>
        <v>#N/A</v>
      </c>
      <c r="J4462" s="47" t="s">
        <v>162</v>
      </c>
      <c r="K4462" s="203" t="s">
        <v>5652</v>
      </c>
      <c r="L4462" s="206" t="s">
        <v>5809</v>
      </c>
      <c r="M4462" s="49" t="s">
        <v>5674</v>
      </c>
      <c r="N4462" s="73">
        <v>44409</v>
      </c>
      <c r="O4462" s="73" t="s">
        <v>3999</v>
      </c>
      <c r="P4462" s="396">
        <v>0</v>
      </c>
      <c r="Q4462" s="212">
        <v>4</v>
      </c>
      <c r="R4462" s="386">
        <f t="shared" si="144"/>
        <v>0</v>
      </c>
      <c r="S4462" s="279">
        <v>202304</v>
      </c>
      <c r="T4462" s="184" t="s">
        <v>5810</v>
      </c>
      <c r="U4462" s="213"/>
      <c r="V4462" s="210"/>
      <c r="W4462" s="214"/>
      <c r="X4462" s="73">
        <v>44409</v>
      </c>
      <c r="Y4462" s="73">
        <v>45138</v>
      </c>
    </row>
    <row r="4463" s="5" customFormat="1" customHeight="1" spans="1:25">
      <c r="A4463" s="203" t="s">
        <v>446</v>
      </c>
      <c r="B4463" s="204" t="s">
        <v>5519</v>
      </c>
      <c r="C4463" s="204" t="s">
        <v>125</v>
      </c>
      <c r="D4463" s="204" t="s">
        <v>3939</v>
      </c>
      <c r="E4463" s="205" t="s">
        <v>5806</v>
      </c>
      <c r="F4463" s="203" t="s">
        <v>5807</v>
      </c>
      <c r="G4463" s="203" t="s">
        <v>88</v>
      </c>
      <c r="H4463" s="25" t="s">
        <v>5808</v>
      </c>
      <c r="I4463" s="46" t="e">
        <f>VLOOKUP(H4463,'合同高级查询数据-4月返'!A:A,1,FALSE)</f>
        <v>#N/A</v>
      </c>
      <c r="J4463" s="47" t="s">
        <v>162</v>
      </c>
      <c r="K4463" s="203" t="s">
        <v>5652</v>
      </c>
      <c r="L4463" s="206" t="s">
        <v>5809</v>
      </c>
      <c r="M4463" s="49" t="s">
        <v>5674</v>
      </c>
      <c r="N4463" s="73">
        <v>44478</v>
      </c>
      <c r="O4463" s="73" t="s">
        <v>3999</v>
      </c>
      <c r="P4463" s="396">
        <v>0</v>
      </c>
      <c r="Q4463" s="212">
        <v>2</v>
      </c>
      <c r="R4463" s="386">
        <f t="shared" si="144"/>
        <v>0</v>
      </c>
      <c r="S4463" s="279">
        <v>202304</v>
      </c>
      <c r="T4463" s="189" t="s">
        <v>5811</v>
      </c>
      <c r="U4463" s="213"/>
      <c r="V4463" s="210"/>
      <c r="W4463" s="214"/>
      <c r="X4463" s="73">
        <v>44409</v>
      </c>
      <c r="Y4463" s="73">
        <v>45138</v>
      </c>
    </row>
    <row r="4464" s="3" customFormat="1" customHeight="1" spans="1:25">
      <c r="A4464" s="154" t="s">
        <v>446</v>
      </c>
      <c r="B4464" s="292" t="s">
        <v>5519</v>
      </c>
      <c r="C4464" s="292" t="s">
        <v>125</v>
      </c>
      <c r="D4464" s="292" t="s">
        <v>3939</v>
      </c>
      <c r="E4464" s="153" t="s">
        <v>5806</v>
      </c>
      <c r="F4464" s="154" t="s">
        <v>5807</v>
      </c>
      <c r="G4464" s="154" t="s">
        <v>88</v>
      </c>
      <c r="H4464" s="110" t="s">
        <v>5812</v>
      </c>
      <c r="I4464" s="30" t="e">
        <f>VLOOKUP(H4464,'合同高级查询数据-4月返'!A:A,1,FALSE)</f>
        <v>#N/A</v>
      </c>
      <c r="J4464" s="31" t="s">
        <v>162</v>
      </c>
      <c r="K4464" s="154" t="s">
        <v>5652</v>
      </c>
      <c r="L4464" s="293" t="s">
        <v>5809</v>
      </c>
      <c r="M4464" s="113" t="s">
        <v>5674</v>
      </c>
      <c r="N4464" s="146">
        <v>44688</v>
      </c>
      <c r="O4464" s="146" t="s">
        <v>561</v>
      </c>
      <c r="P4464" s="400">
        <v>0</v>
      </c>
      <c r="Q4464" s="295">
        <v>2</v>
      </c>
      <c r="R4464" s="390">
        <f t="shared" si="144"/>
        <v>0</v>
      </c>
      <c r="S4464" s="277">
        <v>202304</v>
      </c>
      <c r="T4464" s="198" t="s">
        <v>5813</v>
      </c>
      <c r="U4464" s="391"/>
      <c r="V4464" s="61"/>
      <c r="W4464" s="393"/>
      <c r="X4464" s="146">
        <v>44688</v>
      </c>
      <c r="Y4464" s="146"/>
    </row>
    <row r="4465" s="3" customFormat="1" customHeight="1" spans="1:25">
      <c r="A4465" s="154" t="s">
        <v>446</v>
      </c>
      <c r="B4465" s="292" t="s">
        <v>5519</v>
      </c>
      <c r="C4465" s="292" t="s">
        <v>125</v>
      </c>
      <c r="D4465" s="292" t="s">
        <v>3939</v>
      </c>
      <c r="E4465" s="153" t="s">
        <v>5806</v>
      </c>
      <c r="F4465" s="154" t="s">
        <v>5807</v>
      </c>
      <c r="G4465" s="154" t="s">
        <v>31</v>
      </c>
      <c r="H4465" s="110" t="s">
        <v>5812</v>
      </c>
      <c r="I4465" s="30" t="e">
        <f>VLOOKUP(H4465,'合同高级查询数据-4月返'!A:A,1,FALSE)</f>
        <v>#N/A</v>
      </c>
      <c r="J4465" s="31" t="s">
        <v>3189</v>
      </c>
      <c r="K4465" s="154" t="s">
        <v>5652</v>
      </c>
      <c r="L4465" s="293" t="s">
        <v>5809</v>
      </c>
      <c r="M4465" s="113"/>
      <c r="N4465" s="146">
        <v>44696</v>
      </c>
      <c r="O4465" s="146" t="s">
        <v>37</v>
      </c>
      <c r="P4465" s="400">
        <v>0</v>
      </c>
      <c r="Q4465" s="295">
        <v>128</v>
      </c>
      <c r="R4465" s="390">
        <f t="shared" si="144"/>
        <v>0</v>
      </c>
      <c r="S4465" s="277">
        <v>202304</v>
      </c>
      <c r="T4465" s="416" t="s">
        <v>5814</v>
      </c>
      <c r="U4465" s="391"/>
      <c r="V4465" s="61"/>
      <c r="W4465" s="393"/>
      <c r="X4465" s="146">
        <v>44688</v>
      </c>
      <c r="Y4465" s="146"/>
    </row>
    <row r="4466" s="5" customFormat="1" customHeight="1" spans="1:25">
      <c r="A4466" s="203" t="s">
        <v>446</v>
      </c>
      <c r="B4466" s="204" t="s">
        <v>5519</v>
      </c>
      <c r="C4466" s="204" t="s">
        <v>125</v>
      </c>
      <c r="D4466" s="204" t="s">
        <v>3939</v>
      </c>
      <c r="E4466" s="205" t="s">
        <v>5806</v>
      </c>
      <c r="F4466" s="203" t="s">
        <v>5807</v>
      </c>
      <c r="G4466" s="203" t="s">
        <v>31</v>
      </c>
      <c r="H4466" s="25" t="s">
        <v>5808</v>
      </c>
      <c r="I4466" s="46" t="e">
        <f>VLOOKUP(H4466,'合同高级查询数据-4月返'!A:A,1,FALSE)</f>
        <v>#N/A</v>
      </c>
      <c r="J4466" s="47" t="s">
        <v>3189</v>
      </c>
      <c r="K4466" s="203" t="s">
        <v>5652</v>
      </c>
      <c r="L4466" s="206" t="s">
        <v>5809</v>
      </c>
      <c r="M4466" s="49"/>
      <c r="N4466" s="73">
        <v>44410</v>
      </c>
      <c r="O4466" s="73" t="s">
        <v>37</v>
      </c>
      <c r="P4466" s="396">
        <v>0</v>
      </c>
      <c r="Q4466" s="212">
        <v>288</v>
      </c>
      <c r="R4466" s="386">
        <f t="shared" si="144"/>
        <v>0</v>
      </c>
      <c r="S4466" s="279">
        <v>202304</v>
      </c>
      <c r="T4466" s="189" t="s">
        <v>5815</v>
      </c>
      <c r="U4466" s="213"/>
      <c r="V4466" s="210"/>
      <c r="W4466" s="214"/>
      <c r="X4466" s="73">
        <v>44409</v>
      </c>
      <c r="Y4466" s="73">
        <v>45138</v>
      </c>
    </row>
    <row r="4467" s="5" customFormat="1" customHeight="1" spans="1:25">
      <c r="A4467" s="203" t="s">
        <v>444</v>
      </c>
      <c r="B4467" s="204" t="s">
        <v>5519</v>
      </c>
      <c r="C4467" s="204" t="s">
        <v>125</v>
      </c>
      <c r="D4467" s="204" t="s">
        <v>3939</v>
      </c>
      <c r="E4467" s="205" t="s">
        <v>5816</v>
      </c>
      <c r="F4467" s="203" t="s">
        <v>5817</v>
      </c>
      <c r="G4467" s="203" t="s">
        <v>31</v>
      </c>
      <c r="H4467" s="25" t="s">
        <v>5818</v>
      </c>
      <c r="I4467" s="46" t="str">
        <f>VLOOKUP(H4467,'合同高级查询数据-4月返'!A:A,1,FALSE)</f>
        <v>182315IDC00140</v>
      </c>
      <c r="J4467" s="47" t="s">
        <v>3189</v>
      </c>
      <c r="K4467" s="203" t="s">
        <v>5819</v>
      </c>
      <c r="L4467" s="206"/>
      <c r="M4467" s="49"/>
      <c r="N4467" s="73">
        <v>44084</v>
      </c>
      <c r="O4467" s="73" t="s">
        <v>37</v>
      </c>
      <c r="P4467" s="396">
        <v>0</v>
      </c>
      <c r="Q4467" s="212">
        <v>288</v>
      </c>
      <c r="R4467" s="386">
        <f t="shared" si="144"/>
        <v>0</v>
      </c>
      <c r="S4467" s="279">
        <v>202304</v>
      </c>
      <c r="T4467" s="189" t="s">
        <v>5820</v>
      </c>
      <c r="U4467" s="213"/>
      <c r="V4467" s="210"/>
      <c r="W4467" s="214"/>
      <c r="X4467" s="73">
        <v>44927</v>
      </c>
      <c r="Y4467" s="73">
        <v>45107</v>
      </c>
    </row>
    <row r="4468" s="5" customFormat="1" customHeight="1" spans="1:25">
      <c r="A4468" s="203" t="s">
        <v>444</v>
      </c>
      <c r="B4468" s="204" t="s">
        <v>5519</v>
      </c>
      <c r="C4468" s="204" t="s">
        <v>125</v>
      </c>
      <c r="D4468" s="204" t="s">
        <v>3939</v>
      </c>
      <c r="E4468" s="205" t="s">
        <v>5816</v>
      </c>
      <c r="F4468" s="203" t="s">
        <v>5817</v>
      </c>
      <c r="G4468" s="203" t="s">
        <v>31</v>
      </c>
      <c r="H4468" s="25" t="s">
        <v>5818</v>
      </c>
      <c r="I4468" s="46" t="str">
        <f>VLOOKUP(H4468,'合同高级查询数据-4月返'!A:A,1,FALSE)</f>
        <v>182315IDC00140</v>
      </c>
      <c r="J4468" s="47" t="s">
        <v>3189</v>
      </c>
      <c r="K4468" s="203" t="s">
        <v>5819</v>
      </c>
      <c r="L4468" s="206"/>
      <c r="M4468" s="49"/>
      <c r="N4468" s="73" t="s">
        <v>5821</v>
      </c>
      <c r="O4468" s="73" t="s">
        <v>37</v>
      </c>
      <c r="P4468" s="396">
        <v>0</v>
      </c>
      <c r="Q4468" s="212">
        <v>256</v>
      </c>
      <c r="R4468" s="386">
        <f t="shared" si="144"/>
        <v>0</v>
      </c>
      <c r="S4468" s="279">
        <v>202304</v>
      </c>
      <c r="T4468" s="184" t="s">
        <v>5822</v>
      </c>
      <c r="U4468" s="213"/>
      <c r="V4468" s="210"/>
      <c r="W4468" s="214"/>
      <c r="X4468" s="73">
        <v>44927</v>
      </c>
      <c r="Y4468" s="73">
        <v>45107</v>
      </c>
    </row>
    <row r="4469" s="5" customFormat="1" customHeight="1" spans="1:25">
      <c r="A4469" s="203" t="s">
        <v>444</v>
      </c>
      <c r="B4469" s="204" t="s">
        <v>5519</v>
      </c>
      <c r="C4469" s="204" t="s">
        <v>125</v>
      </c>
      <c r="D4469" s="204" t="s">
        <v>3939</v>
      </c>
      <c r="E4469" s="205" t="s">
        <v>5823</v>
      </c>
      <c r="F4469" s="203" t="s">
        <v>5824</v>
      </c>
      <c r="G4469" s="203" t="s">
        <v>88</v>
      </c>
      <c r="H4469" s="25" t="s">
        <v>5825</v>
      </c>
      <c r="I4469" s="46" t="str">
        <f>VLOOKUP(H4469,'合同高级查询数据-4月返'!A:A,1,FALSE)</f>
        <v>182315IDC00157</v>
      </c>
      <c r="J4469" s="47" t="s">
        <v>2423</v>
      </c>
      <c r="K4469" s="203" t="s">
        <v>5652</v>
      </c>
      <c r="L4469" s="206"/>
      <c r="M4469" s="49" t="s">
        <v>5826</v>
      </c>
      <c r="N4469" s="73">
        <v>42320</v>
      </c>
      <c r="O4469" s="73" t="s">
        <v>163</v>
      </c>
      <c r="P4469" s="396">
        <v>5000</v>
      </c>
      <c r="Q4469" s="212">
        <v>5</v>
      </c>
      <c r="R4469" s="386">
        <f t="shared" si="144"/>
        <v>25000</v>
      </c>
      <c r="S4469" s="279">
        <v>202304</v>
      </c>
      <c r="T4469" s="184"/>
      <c r="U4469" s="213"/>
      <c r="V4469" s="210"/>
      <c r="W4469" s="214"/>
      <c r="X4469" s="73">
        <v>44927</v>
      </c>
      <c r="Y4469" s="73">
        <v>45107</v>
      </c>
    </row>
    <row r="4470" s="5" customFormat="1" customHeight="1" spans="1:25">
      <c r="A4470" s="203" t="s">
        <v>444</v>
      </c>
      <c r="B4470" s="204" t="s">
        <v>5519</v>
      </c>
      <c r="C4470" s="204" t="s">
        <v>125</v>
      </c>
      <c r="D4470" s="204" t="s">
        <v>3939</v>
      </c>
      <c r="E4470" s="205" t="s">
        <v>5823</v>
      </c>
      <c r="F4470" s="203" t="s">
        <v>5824</v>
      </c>
      <c r="G4470" s="203" t="s">
        <v>88</v>
      </c>
      <c r="H4470" s="25" t="s">
        <v>5825</v>
      </c>
      <c r="I4470" s="46" t="str">
        <f>VLOOKUP(H4470,'合同高级查询数据-4月返'!A:A,1,FALSE)</f>
        <v>182315IDC00157</v>
      </c>
      <c r="J4470" s="47" t="s">
        <v>2423</v>
      </c>
      <c r="K4470" s="203" t="s">
        <v>5652</v>
      </c>
      <c r="L4470" s="206"/>
      <c r="M4470" s="49" t="s">
        <v>5826</v>
      </c>
      <c r="N4470" s="73">
        <v>44773</v>
      </c>
      <c r="O4470" s="73" t="s">
        <v>163</v>
      </c>
      <c r="P4470" s="396">
        <v>5000</v>
      </c>
      <c r="Q4470" s="212">
        <v>-5</v>
      </c>
      <c r="R4470" s="386">
        <f t="shared" si="144"/>
        <v>-25000</v>
      </c>
      <c r="S4470" s="279">
        <v>202304</v>
      </c>
      <c r="T4470" s="184" t="s">
        <v>5827</v>
      </c>
      <c r="U4470" s="213"/>
      <c r="V4470" s="210"/>
      <c r="W4470" s="214"/>
      <c r="X4470" s="73">
        <v>44927</v>
      </c>
      <c r="Y4470" s="73">
        <v>45107</v>
      </c>
    </row>
    <row r="4471" s="5" customFormat="1" customHeight="1" spans="1:25">
      <c r="A4471" s="203" t="s">
        <v>444</v>
      </c>
      <c r="B4471" s="204" t="s">
        <v>5519</v>
      </c>
      <c r="C4471" s="204" t="s">
        <v>125</v>
      </c>
      <c r="D4471" s="204" t="s">
        <v>3939</v>
      </c>
      <c r="E4471" s="205" t="s">
        <v>5823</v>
      </c>
      <c r="F4471" s="203" t="s">
        <v>5824</v>
      </c>
      <c r="G4471" s="203" t="s">
        <v>88</v>
      </c>
      <c r="H4471" s="25" t="s">
        <v>5825</v>
      </c>
      <c r="I4471" s="46" t="str">
        <f>VLOOKUP(H4471,'合同高级查询数据-4月返'!A:A,1,FALSE)</f>
        <v>182315IDC00157</v>
      </c>
      <c r="J4471" s="47" t="s">
        <v>2423</v>
      </c>
      <c r="K4471" s="203" t="s">
        <v>126</v>
      </c>
      <c r="L4471" s="206" t="s">
        <v>5828</v>
      </c>
      <c r="M4471" s="49" t="s">
        <v>5829</v>
      </c>
      <c r="N4471" s="73">
        <v>43459</v>
      </c>
      <c r="O4471" s="73" t="s">
        <v>163</v>
      </c>
      <c r="P4471" s="396">
        <v>5000</v>
      </c>
      <c r="Q4471" s="212">
        <v>6</v>
      </c>
      <c r="R4471" s="386">
        <f t="shared" si="144"/>
        <v>30000</v>
      </c>
      <c r="S4471" s="279">
        <v>202304</v>
      </c>
      <c r="T4471" s="184"/>
      <c r="U4471" s="213"/>
      <c r="V4471" s="210"/>
      <c r="W4471" s="214"/>
      <c r="X4471" s="73">
        <v>44927</v>
      </c>
      <c r="Y4471" s="73">
        <v>45107</v>
      </c>
    </row>
    <row r="4472" s="5" customFormat="1" customHeight="1" spans="1:25">
      <c r="A4472" s="203" t="s">
        <v>444</v>
      </c>
      <c r="B4472" s="204" t="s">
        <v>5519</v>
      </c>
      <c r="C4472" s="204" t="s">
        <v>125</v>
      </c>
      <c r="D4472" s="204" t="s">
        <v>3939</v>
      </c>
      <c r="E4472" s="205" t="s">
        <v>5823</v>
      </c>
      <c r="F4472" s="203" t="s">
        <v>5824</v>
      </c>
      <c r="G4472" s="203" t="s">
        <v>88</v>
      </c>
      <c r="H4472" s="25" t="s">
        <v>5825</v>
      </c>
      <c r="I4472" s="46" t="str">
        <f>VLOOKUP(H4472,'合同高级查询数据-4月返'!A:A,1,FALSE)</f>
        <v>182315IDC00157</v>
      </c>
      <c r="J4472" s="47" t="s">
        <v>2423</v>
      </c>
      <c r="K4472" s="203" t="s">
        <v>126</v>
      </c>
      <c r="L4472" s="206" t="s">
        <v>5830</v>
      </c>
      <c r="M4472" s="49" t="s">
        <v>5829</v>
      </c>
      <c r="N4472" s="73">
        <v>43499</v>
      </c>
      <c r="O4472" s="73" t="s">
        <v>163</v>
      </c>
      <c r="P4472" s="396">
        <v>5000</v>
      </c>
      <c r="Q4472" s="212">
        <v>6</v>
      </c>
      <c r="R4472" s="386">
        <f t="shared" si="144"/>
        <v>30000</v>
      </c>
      <c r="S4472" s="279">
        <v>202304</v>
      </c>
      <c r="T4472" s="184"/>
      <c r="U4472" s="213"/>
      <c r="V4472" s="210"/>
      <c r="W4472" s="214"/>
      <c r="X4472" s="73">
        <v>44927</v>
      </c>
      <c r="Y4472" s="73">
        <v>45107</v>
      </c>
    </row>
    <row r="4473" s="5" customFormat="1" customHeight="1" spans="1:25">
      <c r="A4473" s="203" t="s">
        <v>444</v>
      </c>
      <c r="B4473" s="204" t="s">
        <v>5519</v>
      </c>
      <c r="C4473" s="204" t="s">
        <v>125</v>
      </c>
      <c r="D4473" s="204" t="s">
        <v>3939</v>
      </c>
      <c r="E4473" s="205" t="s">
        <v>5823</v>
      </c>
      <c r="F4473" s="203" t="s">
        <v>5824</v>
      </c>
      <c r="G4473" s="203" t="s">
        <v>88</v>
      </c>
      <c r="H4473" s="25" t="s">
        <v>5825</v>
      </c>
      <c r="I4473" s="46" t="str">
        <f>VLOOKUP(H4473,'合同高级查询数据-4月返'!A:A,1,FALSE)</f>
        <v>182315IDC00157</v>
      </c>
      <c r="J4473" s="47" t="s">
        <v>2423</v>
      </c>
      <c r="K4473" s="203" t="s">
        <v>126</v>
      </c>
      <c r="L4473" s="206" t="s">
        <v>5830</v>
      </c>
      <c r="M4473" s="49" t="s">
        <v>5829</v>
      </c>
      <c r="N4473" s="73">
        <v>43767</v>
      </c>
      <c r="O4473" s="73" t="s">
        <v>163</v>
      </c>
      <c r="P4473" s="396">
        <v>5000</v>
      </c>
      <c r="Q4473" s="212">
        <v>2</v>
      </c>
      <c r="R4473" s="386">
        <f t="shared" si="144"/>
        <v>10000</v>
      </c>
      <c r="S4473" s="279">
        <v>202304</v>
      </c>
      <c r="T4473" s="184" t="s">
        <v>5831</v>
      </c>
      <c r="U4473" s="213"/>
      <c r="V4473" s="210"/>
      <c r="W4473" s="214"/>
      <c r="X4473" s="73">
        <v>44927</v>
      </c>
      <c r="Y4473" s="73">
        <v>45107</v>
      </c>
    </row>
    <row r="4474" s="5" customFormat="1" customHeight="1" spans="1:25">
      <c r="A4474" s="203" t="s">
        <v>444</v>
      </c>
      <c r="B4474" s="204" t="s">
        <v>5519</v>
      </c>
      <c r="C4474" s="204" t="s">
        <v>125</v>
      </c>
      <c r="D4474" s="204" t="s">
        <v>3939</v>
      </c>
      <c r="E4474" s="205" t="s">
        <v>5823</v>
      </c>
      <c r="F4474" s="203" t="s">
        <v>5824</v>
      </c>
      <c r="G4474" s="203" t="s">
        <v>88</v>
      </c>
      <c r="H4474" s="25" t="s">
        <v>5825</v>
      </c>
      <c r="I4474" s="46" t="str">
        <f>VLOOKUP(H4474,'合同高级查询数据-4月返'!A:A,1,FALSE)</f>
        <v>182315IDC00157</v>
      </c>
      <c r="J4474" s="47" t="s">
        <v>2423</v>
      </c>
      <c r="K4474" s="203" t="s">
        <v>126</v>
      </c>
      <c r="L4474" s="206" t="s">
        <v>5830</v>
      </c>
      <c r="M4474" s="49" t="s">
        <v>5829</v>
      </c>
      <c r="N4474" s="73">
        <v>44698</v>
      </c>
      <c r="O4474" s="73" t="s">
        <v>163</v>
      </c>
      <c r="P4474" s="396">
        <v>5000</v>
      </c>
      <c r="Q4474" s="212">
        <v>-2</v>
      </c>
      <c r="R4474" s="386">
        <f t="shared" si="144"/>
        <v>-10000</v>
      </c>
      <c r="S4474" s="279">
        <v>202304</v>
      </c>
      <c r="T4474" s="189" t="s">
        <v>5832</v>
      </c>
      <c r="U4474" s="213"/>
      <c r="V4474" s="210"/>
      <c r="W4474" s="214"/>
      <c r="X4474" s="73">
        <v>44927</v>
      </c>
      <c r="Y4474" s="73">
        <v>45107</v>
      </c>
    </row>
    <row r="4475" s="5" customFormat="1" customHeight="1" spans="1:25">
      <c r="A4475" s="203" t="s">
        <v>444</v>
      </c>
      <c r="B4475" s="204" t="s">
        <v>5519</v>
      </c>
      <c r="C4475" s="204" t="s">
        <v>125</v>
      </c>
      <c r="D4475" s="204" t="s">
        <v>3939</v>
      </c>
      <c r="E4475" s="205" t="s">
        <v>5823</v>
      </c>
      <c r="F4475" s="203" t="s">
        <v>5824</v>
      </c>
      <c r="G4475" s="203" t="s">
        <v>88</v>
      </c>
      <c r="H4475" s="25" t="s">
        <v>5825</v>
      </c>
      <c r="I4475" s="46" t="str">
        <f>VLOOKUP(H4475,'合同高级查询数据-4月返'!A:A,1,FALSE)</f>
        <v>182315IDC00157</v>
      </c>
      <c r="J4475" s="47" t="s">
        <v>2423</v>
      </c>
      <c r="K4475" s="203" t="s">
        <v>126</v>
      </c>
      <c r="L4475" s="206" t="s">
        <v>5828</v>
      </c>
      <c r="M4475" s="49" t="s">
        <v>5829</v>
      </c>
      <c r="N4475" s="73">
        <v>44700</v>
      </c>
      <c r="O4475" s="73" t="s">
        <v>163</v>
      </c>
      <c r="P4475" s="396">
        <v>5000</v>
      </c>
      <c r="Q4475" s="212">
        <v>2</v>
      </c>
      <c r="R4475" s="386">
        <f t="shared" si="144"/>
        <v>10000</v>
      </c>
      <c r="S4475" s="279">
        <v>202304</v>
      </c>
      <c r="T4475" s="189" t="s">
        <v>5833</v>
      </c>
      <c r="U4475" s="213"/>
      <c r="V4475" s="210"/>
      <c r="W4475" s="214"/>
      <c r="X4475" s="73">
        <v>44927</v>
      </c>
      <c r="Y4475" s="73">
        <v>45107</v>
      </c>
    </row>
    <row r="4476" s="5" customFormat="1" customHeight="1" spans="1:25">
      <c r="A4476" s="203" t="s">
        <v>444</v>
      </c>
      <c r="B4476" s="204" t="s">
        <v>5519</v>
      </c>
      <c r="C4476" s="204" t="s">
        <v>125</v>
      </c>
      <c r="D4476" s="204" t="s">
        <v>3939</v>
      </c>
      <c r="E4476" s="205" t="s">
        <v>5823</v>
      </c>
      <c r="F4476" s="203" t="s">
        <v>5824</v>
      </c>
      <c r="G4476" s="203" t="s">
        <v>31</v>
      </c>
      <c r="H4476" s="25" t="s">
        <v>5825</v>
      </c>
      <c r="I4476" s="46" t="str">
        <f>VLOOKUP(H4476,'合同高级查询数据-4月返'!A:A,1,FALSE)</f>
        <v>182315IDC00157</v>
      </c>
      <c r="J4476" s="47" t="s">
        <v>3189</v>
      </c>
      <c r="K4476" s="203" t="s">
        <v>5652</v>
      </c>
      <c r="L4476" s="206"/>
      <c r="M4476" s="49" t="s">
        <v>5826</v>
      </c>
      <c r="N4476" s="73">
        <v>43767</v>
      </c>
      <c r="O4476" s="73"/>
      <c r="P4476" s="396">
        <v>0</v>
      </c>
      <c r="Q4476" s="212">
        <v>544</v>
      </c>
      <c r="R4476" s="386">
        <f t="shared" si="144"/>
        <v>0</v>
      </c>
      <c r="S4476" s="279">
        <v>202304</v>
      </c>
      <c r="T4476" s="184" t="s">
        <v>5834</v>
      </c>
      <c r="U4476" s="213"/>
      <c r="V4476" s="210"/>
      <c r="W4476" s="214"/>
      <c r="X4476" s="73">
        <v>44927</v>
      </c>
      <c r="Y4476" s="73">
        <v>45107</v>
      </c>
    </row>
    <row r="4477" s="5" customFormat="1" customHeight="1" spans="1:25">
      <c r="A4477" s="203" t="s">
        <v>444</v>
      </c>
      <c r="B4477" s="204" t="s">
        <v>5519</v>
      </c>
      <c r="C4477" s="204" t="s">
        <v>125</v>
      </c>
      <c r="D4477" s="204" t="s">
        <v>3939</v>
      </c>
      <c r="E4477" s="205" t="s">
        <v>5823</v>
      </c>
      <c r="F4477" s="203" t="s">
        <v>5824</v>
      </c>
      <c r="G4477" s="203" t="s">
        <v>31</v>
      </c>
      <c r="H4477" s="25" t="s">
        <v>5825</v>
      </c>
      <c r="I4477" s="46" t="str">
        <f>VLOOKUP(H4477,'合同高级查询数据-4月返'!A:A,1,FALSE)</f>
        <v>182315IDC00157</v>
      </c>
      <c r="J4477" s="47" t="s">
        <v>3189</v>
      </c>
      <c r="K4477" s="203" t="s">
        <v>5652</v>
      </c>
      <c r="L4477" s="206"/>
      <c r="M4477" s="49" t="s">
        <v>5826</v>
      </c>
      <c r="N4477" s="73">
        <v>44773</v>
      </c>
      <c r="O4477" s="73"/>
      <c r="P4477" s="396">
        <v>0</v>
      </c>
      <c r="Q4477" s="212">
        <v>-544</v>
      </c>
      <c r="R4477" s="386">
        <f t="shared" si="144"/>
        <v>0</v>
      </c>
      <c r="S4477" s="279">
        <v>202304</v>
      </c>
      <c r="T4477" s="184" t="s">
        <v>5835</v>
      </c>
      <c r="U4477" s="213"/>
      <c r="V4477" s="210"/>
      <c r="W4477" s="214"/>
      <c r="X4477" s="73">
        <v>44927</v>
      </c>
      <c r="Y4477" s="73">
        <v>45107</v>
      </c>
    </row>
    <row r="4478" s="5" customFormat="1" customHeight="1" spans="1:25">
      <c r="A4478" s="203" t="s">
        <v>444</v>
      </c>
      <c r="B4478" s="204" t="s">
        <v>5519</v>
      </c>
      <c r="C4478" s="204" t="s">
        <v>125</v>
      </c>
      <c r="D4478" s="204" t="s">
        <v>3939</v>
      </c>
      <c r="E4478" s="205" t="s">
        <v>5823</v>
      </c>
      <c r="F4478" s="203" t="s">
        <v>5824</v>
      </c>
      <c r="G4478" s="203" t="s">
        <v>31</v>
      </c>
      <c r="H4478" s="25" t="s">
        <v>5825</v>
      </c>
      <c r="I4478" s="46" t="str">
        <f>VLOOKUP(H4478,'合同高级查询数据-4月返'!A:A,1,FALSE)</f>
        <v>182315IDC00157</v>
      </c>
      <c r="J4478" s="47" t="s">
        <v>3189</v>
      </c>
      <c r="K4478" s="203" t="s">
        <v>126</v>
      </c>
      <c r="L4478" s="206" t="s">
        <v>5836</v>
      </c>
      <c r="M4478" s="49" t="s">
        <v>5829</v>
      </c>
      <c r="N4478" s="73">
        <v>43767</v>
      </c>
      <c r="O4478" s="73"/>
      <c r="P4478" s="396">
        <v>0</v>
      </c>
      <c r="Q4478" s="212">
        <v>1088</v>
      </c>
      <c r="R4478" s="386">
        <f t="shared" si="144"/>
        <v>0</v>
      </c>
      <c r="S4478" s="279">
        <v>202304</v>
      </c>
      <c r="T4478" s="184" t="s">
        <v>5837</v>
      </c>
      <c r="U4478" s="213"/>
      <c r="V4478" s="210"/>
      <c r="W4478" s="214"/>
      <c r="X4478" s="73">
        <v>44927</v>
      </c>
      <c r="Y4478" s="73">
        <v>45107</v>
      </c>
    </row>
    <row r="4479" s="5" customFormat="1" customHeight="1" spans="1:25">
      <c r="A4479" s="203" t="s">
        <v>444</v>
      </c>
      <c r="B4479" s="204" t="s">
        <v>5519</v>
      </c>
      <c r="C4479" s="204" t="s">
        <v>125</v>
      </c>
      <c r="D4479" s="204" t="s">
        <v>3939</v>
      </c>
      <c r="E4479" s="205" t="s">
        <v>5823</v>
      </c>
      <c r="F4479" s="203" t="s">
        <v>5824</v>
      </c>
      <c r="G4479" s="203" t="s">
        <v>31</v>
      </c>
      <c r="H4479" s="25" t="s">
        <v>5825</v>
      </c>
      <c r="I4479" s="46" t="str">
        <f>VLOOKUP(H4479,'合同高级查询数据-4月返'!A:A,1,FALSE)</f>
        <v>182315IDC00157</v>
      </c>
      <c r="J4479" s="47" t="s">
        <v>3189</v>
      </c>
      <c r="K4479" s="203" t="s">
        <v>126</v>
      </c>
      <c r="L4479" s="206" t="s">
        <v>5838</v>
      </c>
      <c r="M4479" s="49" t="s">
        <v>5829</v>
      </c>
      <c r="N4479" s="73">
        <v>44698</v>
      </c>
      <c r="O4479" s="73"/>
      <c r="P4479" s="396">
        <v>0</v>
      </c>
      <c r="Q4479" s="212">
        <v>-128</v>
      </c>
      <c r="R4479" s="386">
        <f t="shared" si="144"/>
        <v>0</v>
      </c>
      <c r="S4479" s="279">
        <v>202304</v>
      </c>
      <c r="T4479" s="184" t="s">
        <v>5839</v>
      </c>
      <c r="U4479" s="213"/>
      <c r="V4479" s="210"/>
      <c r="W4479" s="214"/>
      <c r="X4479" s="73">
        <v>44927</v>
      </c>
      <c r="Y4479" s="73">
        <v>45107</v>
      </c>
    </row>
    <row r="4480" s="5" customFormat="1" customHeight="1" spans="1:25">
      <c r="A4480" s="203" t="s">
        <v>444</v>
      </c>
      <c r="B4480" s="204" t="s">
        <v>5519</v>
      </c>
      <c r="C4480" s="204" t="s">
        <v>125</v>
      </c>
      <c r="D4480" s="204" t="s">
        <v>3939</v>
      </c>
      <c r="E4480" s="205" t="s">
        <v>5823</v>
      </c>
      <c r="F4480" s="203" t="s">
        <v>5824</v>
      </c>
      <c r="G4480" s="203" t="s">
        <v>88</v>
      </c>
      <c r="H4480" s="25" t="s">
        <v>5840</v>
      </c>
      <c r="I4480" s="46" t="e">
        <f>VLOOKUP(H4480,'合同高级查询数据-4月返'!A:A,1,FALSE)</f>
        <v>#N/A</v>
      </c>
      <c r="J4480" s="47" t="s">
        <v>90</v>
      </c>
      <c r="K4480" s="203" t="s">
        <v>5841</v>
      </c>
      <c r="L4480" s="206"/>
      <c r="M4480" s="49" t="s">
        <v>5695</v>
      </c>
      <c r="N4480" s="73">
        <v>43910</v>
      </c>
      <c r="O4480" s="73" t="s">
        <v>600</v>
      </c>
      <c r="P4480" s="396">
        <v>0</v>
      </c>
      <c r="Q4480" s="212">
        <v>14</v>
      </c>
      <c r="R4480" s="386">
        <f t="shared" si="144"/>
        <v>0</v>
      </c>
      <c r="S4480" s="279">
        <v>202304</v>
      </c>
      <c r="T4480" s="189" t="s">
        <v>5842</v>
      </c>
      <c r="U4480" s="213"/>
      <c r="V4480" s="210"/>
      <c r="W4480" s="214"/>
      <c r="X4480" s="73">
        <v>43815</v>
      </c>
      <c r="Y4480" s="73">
        <v>46006</v>
      </c>
    </row>
    <row r="4481" s="5" customFormat="1" customHeight="1" spans="1:25">
      <c r="A4481" s="203" t="s">
        <v>444</v>
      </c>
      <c r="B4481" s="204" t="s">
        <v>5519</v>
      </c>
      <c r="C4481" s="204" t="s">
        <v>125</v>
      </c>
      <c r="D4481" s="204" t="s">
        <v>3939</v>
      </c>
      <c r="E4481" s="205" t="s">
        <v>5823</v>
      </c>
      <c r="F4481" s="203" t="s">
        <v>5824</v>
      </c>
      <c r="G4481" s="203" t="s">
        <v>88</v>
      </c>
      <c r="H4481" s="25" t="s">
        <v>5840</v>
      </c>
      <c r="I4481" s="46" t="e">
        <f>VLOOKUP(H4481,'合同高级查询数据-4月返'!A:A,1,FALSE)</f>
        <v>#N/A</v>
      </c>
      <c r="J4481" s="47" t="s">
        <v>90</v>
      </c>
      <c r="K4481" s="203" t="s">
        <v>5841</v>
      </c>
      <c r="L4481" s="206"/>
      <c r="M4481" s="49" t="s">
        <v>5695</v>
      </c>
      <c r="N4481" s="73">
        <v>43910</v>
      </c>
      <c r="O4481" s="73" t="s">
        <v>503</v>
      </c>
      <c r="P4481" s="396">
        <v>4790</v>
      </c>
      <c r="Q4481" s="212">
        <v>18</v>
      </c>
      <c r="R4481" s="386">
        <f t="shared" si="144"/>
        <v>86220</v>
      </c>
      <c r="S4481" s="279">
        <v>202304</v>
      </c>
      <c r="T4481" s="184" t="s">
        <v>5843</v>
      </c>
      <c r="U4481" s="213"/>
      <c r="V4481" s="210"/>
      <c r="W4481" s="214"/>
      <c r="X4481" s="73">
        <v>43815</v>
      </c>
      <c r="Y4481" s="73">
        <v>46006</v>
      </c>
    </row>
    <row r="4482" s="5" customFormat="1" customHeight="1" spans="1:25">
      <c r="A4482" s="203" t="s">
        <v>444</v>
      </c>
      <c r="B4482" s="204" t="s">
        <v>5519</v>
      </c>
      <c r="C4482" s="204" t="s">
        <v>125</v>
      </c>
      <c r="D4482" s="204" t="s">
        <v>3939</v>
      </c>
      <c r="E4482" s="205" t="s">
        <v>5823</v>
      </c>
      <c r="F4482" s="203" t="s">
        <v>5824</v>
      </c>
      <c r="G4482" s="203" t="s">
        <v>88</v>
      </c>
      <c r="H4482" s="25" t="s">
        <v>5840</v>
      </c>
      <c r="I4482" s="46" t="e">
        <f>VLOOKUP(H4482,'合同高级查询数据-4月返'!A:A,1,FALSE)</f>
        <v>#N/A</v>
      </c>
      <c r="J4482" s="47" t="s">
        <v>90</v>
      </c>
      <c r="K4482" s="203" t="s">
        <v>5841</v>
      </c>
      <c r="L4482" s="206"/>
      <c r="M4482" s="49" t="s">
        <v>5695</v>
      </c>
      <c r="N4482" s="73">
        <v>43910</v>
      </c>
      <c r="O4482" s="73" t="s">
        <v>507</v>
      </c>
      <c r="P4482" s="396">
        <v>9580</v>
      </c>
      <c r="Q4482" s="212">
        <v>17</v>
      </c>
      <c r="R4482" s="386">
        <f t="shared" si="144"/>
        <v>162860</v>
      </c>
      <c r="S4482" s="279">
        <v>202304</v>
      </c>
      <c r="T4482" s="184" t="s">
        <v>5844</v>
      </c>
      <c r="U4482" s="213"/>
      <c r="V4482" s="210"/>
      <c r="W4482" s="214"/>
      <c r="X4482" s="73">
        <v>43815</v>
      </c>
      <c r="Y4482" s="73">
        <v>46006</v>
      </c>
    </row>
    <row r="4483" s="5" customFormat="1" customHeight="1" spans="1:25">
      <c r="A4483" s="203" t="s">
        <v>444</v>
      </c>
      <c r="B4483" s="204" t="s">
        <v>5519</v>
      </c>
      <c r="C4483" s="204" t="s">
        <v>125</v>
      </c>
      <c r="D4483" s="204" t="s">
        <v>3939</v>
      </c>
      <c r="E4483" s="205" t="s">
        <v>5823</v>
      </c>
      <c r="F4483" s="203" t="s">
        <v>5824</v>
      </c>
      <c r="G4483" s="203" t="s">
        <v>88</v>
      </c>
      <c r="H4483" s="25" t="s">
        <v>5840</v>
      </c>
      <c r="I4483" s="46" t="e">
        <f>VLOOKUP(H4483,'合同高级查询数据-4月返'!A:A,1,FALSE)</f>
        <v>#N/A</v>
      </c>
      <c r="J4483" s="47" t="s">
        <v>90</v>
      </c>
      <c r="K4483" s="203" t="s">
        <v>5841</v>
      </c>
      <c r="L4483" s="206"/>
      <c r="M4483" s="49" t="s">
        <v>5695</v>
      </c>
      <c r="N4483" s="73">
        <v>43910</v>
      </c>
      <c r="O4483" s="73" t="s">
        <v>566</v>
      </c>
      <c r="P4483" s="396">
        <v>10860</v>
      </c>
      <c r="Q4483" s="212">
        <v>4</v>
      </c>
      <c r="R4483" s="386">
        <f t="shared" si="144"/>
        <v>43440</v>
      </c>
      <c r="S4483" s="279">
        <v>202304</v>
      </c>
      <c r="T4483" s="184" t="s">
        <v>5845</v>
      </c>
      <c r="U4483" s="213"/>
      <c r="V4483" s="210"/>
      <c r="W4483" s="214"/>
      <c r="X4483" s="73">
        <v>43815</v>
      </c>
      <c r="Y4483" s="73">
        <v>46006</v>
      </c>
    </row>
    <row r="4484" s="5" customFormat="1" customHeight="1" spans="1:25">
      <c r="A4484" s="203" t="s">
        <v>444</v>
      </c>
      <c r="B4484" s="204" t="s">
        <v>5519</v>
      </c>
      <c r="C4484" s="204" t="s">
        <v>125</v>
      </c>
      <c r="D4484" s="204" t="s">
        <v>3939</v>
      </c>
      <c r="E4484" s="205" t="s">
        <v>5823</v>
      </c>
      <c r="F4484" s="203" t="s">
        <v>5824</v>
      </c>
      <c r="G4484" s="203" t="s">
        <v>88</v>
      </c>
      <c r="H4484" s="25" t="s">
        <v>5840</v>
      </c>
      <c r="I4484" s="46" t="e">
        <f>VLOOKUP(H4484,'合同高级查询数据-4月返'!A:A,1,FALSE)</f>
        <v>#N/A</v>
      </c>
      <c r="J4484" s="47" t="s">
        <v>90</v>
      </c>
      <c r="K4484" s="203" t="s">
        <v>5841</v>
      </c>
      <c r="L4484" s="206"/>
      <c r="M4484" s="49" t="s">
        <v>5695</v>
      </c>
      <c r="N4484" s="73">
        <v>43910</v>
      </c>
      <c r="O4484" s="73" t="s">
        <v>606</v>
      </c>
      <c r="P4484" s="396">
        <v>30630</v>
      </c>
      <c r="Q4484" s="212">
        <v>10</v>
      </c>
      <c r="R4484" s="386">
        <f t="shared" si="144"/>
        <v>306300</v>
      </c>
      <c r="S4484" s="279">
        <v>202304</v>
      </c>
      <c r="T4484" s="184" t="s">
        <v>5846</v>
      </c>
      <c r="U4484" s="213"/>
      <c r="V4484" s="210"/>
      <c r="W4484" s="214"/>
      <c r="X4484" s="73">
        <v>43815</v>
      </c>
      <c r="Y4484" s="73">
        <v>46006</v>
      </c>
    </row>
    <row r="4485" s="5" customFormat="1" customHeight="1" spans="1:25">
      <c r="A4485" s="203" t="s">
        <v>444</v>
      </c>
      <c r="B4485" s="204" t="s">
        <v>5519</v>
      </c>
      <c r="C4485" s="204" t="s">
        <v>125</v>
      </c>
      <c r="D4485" s="204" t="s">
        <v>3939</v>
      </c>
      <c r="E4485" s="205" t="s">
        <v>5823</v>
      </c>
      <c r="F4485" s="203" t="s">
        <v>5824</v>
      </c>
      <c r="G4485" s="203" t="s">
        <v>88</v>
      </c>
      <c r="H4485" s="25" t="s">
        <v>5840</v>
      </c>
      <c r="I4485" s="46" t="e">
        <f>VLOOKUP(H4485,'合同高级查询数据-4月返'!A:A,1,FALSE)</f>
        <v>#N/A</v>
      </c>
      <c r="J4485" s="47" t="s">
        <v>90</v>
      </c>
      <c r="K4485" s="203" t="s">
        <v>5841</v>
      </c>
      <c r="L4485" s="206"/>
      <c r="M4485" s="49" t="s">
        <v>5695</v>
      </c>
      <c r="N4485" s="73">
        <v>43917</v>
      </c>
      <c r="O4485" s="73" t="s">
        <v>507</v>
      </c>
      <c r="P4485" s="396">
        <v>9580</v>
      </c>
      <c r="Q4485" s="212">
        <v>4</v>
      </c>
      <c r="R4485" s="386">
        <f t="shared" si="144"/>
        <v>38320</v>
      </c>
      <c r="S4485" s="279">
        <v>202304</v>
      </c>
      <c r="T4485" s="184" t="s">
        <v>5847</v>
      </c>
      <c r="U4485" s="213"/>
      <c r="V4485" s="210"/>
      <c r="W4485" s="214"/>
      <c r="X4485" s="73">
        <v>43815</v>
      </c>
      <c r="Y4485" s="73">
        <v>46006</v>
      </c>
    </row>
    <row r="4486" s="5" customFormat="1" customHeight="1" spans="1:25">
      <c r="A4486" s="203" t="s">
        <v>444</v>
      </c>
      <c r="B4486" s="204" t="s">
        <v>5519</v>
      </c>
      <c r="C4486" s="204" t="s">
        <v>125</v>
      </c>
      <c r="D4486" s="204" t="s">
        <v>3939</v>
      </c>
      <c r="E4486" s="205" t="s">
        <v>5823</v>
      </c>
      <c r="F4486" s="203" t="s">
        <v>5824</v>
      </c>
      <c r="G4486" s="203" t="s">
        <v>88</v>
      </c>
      <c r="H4486" s="25" t="s">
        <v>5840</v>
      </c>
      <c r="I4486" s="46" t="e">
        <f>VLOOKUP(H4486,'合同高级查询数据-4月返'!A:A,1,FALSE)</f>
        <v>#N/A</v>
      </c>
      <c r="J4486" s="47" t="s">
        <v>90</v>
      </c>
      <c r="K4486" s="203" t="s">
        <v>5841</v>
      </c>
      <c r="L4486" s="206"/>
      <c r="M4486" s="49" t="s">
        <v>5695</v>
      </c>
      <c r="N4486" s="73">
        <v>43918</v>
      </c>
      <c r="O4486" s="73" t="s">
        <v>507</v>
      </c>
      <c r="P4486" s="396">
        <v>9580</v>
      </c>
      <c r="Q4486" s="212">
        <v>3</v>
      </c>
      <c r="R4486" s="386">
        <f t="shared" si="144"/>
        <v>28740</v>
      </c>
      <c r="S4486" s="279">
        <v>202304</v>
      </c>
      <c r="T4486" s="184" t="s">
        <v>5848</v>
      </c>
      <c r="U4486" s="213"/>
      <c r="V4486" s="210"/>
      <c r="W4486" s="214"/>
      <c r="X4486" s="73">
        <v>43815</v>
      </c>
      <c r="Y4486" s="73">
        <v>46006</v>
      </c>
    </row>
    <row r="4487" s="5" customFormat="1" customHeight="1" spans="1:25">
      <c r="A4487" s="203" t="s">
        <v>444</v>
      </c>
      <c r="B4487" s="204" t="s">
        <v>5519</v>
      </c>
      <c r="C4487" s="204" t="s">
        <v>125</v>
      </c>
      <c r="D4487" s="204" t="s">
        <v>3939</v>
      </c>
      <c r="E4487" s="205" t="s">
        <v>5823</v>
      </c>
      <c r="F4487" s="203" t="s">
        <v>5824</v>
      </c>
      <c r="G4487" s="203" t="s">
        <v>88</v>
      </c>
      <c r="H4487" s="25" t="s">
        <v>5840</v>
      </c>
      <c r="I4487" s="46" t="e">
        <f>VLOOKUP(H4487,'合同高级查询数据-4月返'!A:A,1,FALSE)</f>
        <v>#N/A</v>
      </c>
      <c r="J4487" s="47" t="s">
        <v>90</v>
      </c>
      <c r="K4487" s="203" t="s">
        <v>5841</v>
      </c>
      <c r="L4487" s="206"/>
      <c r="M4487" s="49" t="s">
        <v>5695</v>
      </c>
      <c r="N4487" s="73">
        <v>43919</v>
      </c>
      <c r="O4487" s="73" t="s">
        <v>507</v>
      </c>
      <c r="P4487" s="396">
        <v>9580</v>
      </c>
      <c r="Q4487" s="212">
        <v>3</v>
      </c>
      <c r="R4487" s="386">
        <f t="shared" si="144"/>
        <v>28740</v>
      </c>
      <c r="S4487" s="279">
        <v>202304</v>
      </c>
      <c r="T4487" s="184" t="s">
        <v>5849</v>
      </c>
      <c r="U4487" s="213"/>
      <c r="V4487" s="210"/>
      <c r="W4487" s="214"/>
      <c r="X4487" s="73">
        <v>43815</v>
      </c>
      <c r="Y4487" s="73">
        <v>46006</v>
      </c>
    </row>
    <row r="4488" s="5" customFormat="1" customHeight="1" spans="1:25">
      <c r="A4488" s="203" t="s">
        <v>444</v>
      </c>
      <c r="B4488" s="204" t="s">
        <v>5519</v>
      </c>
      <c r="C4488" s="204" t="s">
        <v>125</v>
      </c>
      <c r="D4488" s="204" t="s">
        <v>3939</v>
      </c>
      <c r="E4488" s="205" t="s">
        <v>5823</v>
      </c>
      <c r="F4488" s="203" t="s">
        <v>5824</v>
      </c>
      <c r="G4488" s="203" t="s">
        <v>88</v>
      </c>
      <c r="H4488" s="25" t="s">
        <v>5840</v>
      </c>
      <c r="I4488" s="46" t="e">
        <f>VLOOKUP(H4488,'合同高级查询数据-4月返'!A:A,1,FALSE)</f>
        <v>#N/A</v>
      </c>
      <c r="J4488" s="47" t="s">
        <v>90</v>
      </c>
      <c r="K4488" s="203" t="s">
        <v>5841</v>
      </c>
      <c r="L4488" s="206"/>
      <c r="M4488" s="49" t="s">
        <v>5695</v>
      </c>
      <c r="N4488" s="73">
        <v>43920</v>
      </c>
      <c r="O4488" s="73" t="s">
        <v>507</v>
      </c>
      <c r="P4488" s="396">
        <v>9580</v>
      </c>
      <c r="Q4488" s="212">
        <v>9</v>
      </c>
      <c r="R4488" s="386">
        <f t="shared" si="144"/>
        <v>86220</v>
      </c>
      <c r="S4488" s="279">
        <v>202304</v>
      </c>
      <c r="T4488" s="184" t="s">
        <v>5850</v>
      </c>
      <c r="U4488" s="213"/>
      <c r="V4488" s="210"/>
      <c r="W4488" s="214"/>
      <c r="X4488" s="73">
        <v>43815</v>
      </c>
      <c r="Y4488" s="73">
        <v>46006</v>
      </c>
    </row>
    <row r="4489" s="5" customFormat="1" customHeight="1" spans="1:25">
      <c r="A4489" s="203" t="s">
        <v>444</v>
      </c>
      <c r="B4489" s="204" t="s">
        <v>5519</v>
      </c>
      <c r="C4489" s="204" t="s">
        <v>125</v>
      </c>
      <c r="D4489" s="204" t="s">
        <v>3939</v>
      </c>
      <c r="E4489" s="205" t="s">
        <v>5823</v>
      </c>
      <c r="F4489" s="203" t="s">
        <v>5824</v>
      </c>
      <c r="G4489" s="203" t="s">
        <v>88</v>
      </c>
      <c r="H4489" s="25" t="s">
        <v>5840</v>
      </c>
      <c r="I4489" s="46" t="e">
        <f>VLOOKUP(H4489,'合同高级查询数据-4月返'!A:A,1,FALSE)</f>
        <v>#N/A</v>
      </c>
      <c r="J4489" s="47" t="s">
        <v>90</v>
      </c>
      <c r="K4489" s="203" t="s">
        <v>5841</v>
      </c>
      <c r="L4489" s="206"/>
      <c r="M4489" s="49" t="s">
        <v>5695</v>
      </c>
      <c r="N4489" s="73">
        <v>43921</v>
      </c>
      <c r="O4489" s="73" t="s">
        <v>507</v>
      </c>
      <c r="P4489" s="396">
        <v>9580</v>
      </c>
      <c r="Q4489" s="212">
        <v>9</v>
      </c>
      <c r="R4489" s="386">
        <f t="shared" si="144"/>
        <v>86220</v>
      </c>
      <c r="S4489" s="279">
        <v>202304</v>
      </c>
      <c r="T4489" s="184" t="s">
        <v>5851</v>
      </c>
      <c r="U4489" s="213"/>
      <c r="V4489" s="210"/>
      <c r="W4489" s="214"/>
      <c r="X4489" s="73">
        <v>43815</v>
      </c>
      <c r="Y4489" s="73">
        <v>46006</v>
      </c>
    </row>
    <row r="4490" s="5" customFormat="1" customHeight="1" spans="1:25">
      <c r="A4490" s="203" t="s">
        <v>444</v>
      </c>
      <c r="B4490" s="204" t="s">
        <v>5519</v>
      </c>
      <c r="C4490" s="204" t="s">
        <v>125</v>
      </c>
      <c r="D4490" s="204" t="s">
        <v>3939</v>
      </c>
      <c r="E4490" s="205" t="s">
        <v>5823</v>
      </c>
      <c r="F4490" s="203" t="s">
        <v>5824</v>
      </c>
      <c r="G4490" s="203" t="s">
        <v>88</v>
      </c>
      <c r="H4490" s="25" t="s">
        <v>5840</v>
      </c>
      <c r="I4490" s="46" t="e">
        <f>VLOOKUP(H4490,'合同高级查询数据-4月返'!A:A,1,FALSE)</f>
        <v>#N/A</v>
      </c>
      <c r="J4490" s="47" t="s">
        <v>90</v>
      </c>
      <c r="K4490" s="203" t="s">
        <v>5841</v>
      </c>
      <c r="L4490" s="206"/>
      <c r="M4490" s="49" t="s">
        <v>5695</v>
      </c>
      <c r="N4490" s="73">
        <v>43924</v>
      </c>
      <c r="O4490" s="73" t="s">
        <v>507</v>
      </c>
      <c r="P4490" s="396">
        <v>9580</v>
      </c>
      <c r="Q4490" s="212">
        <v>35</v>
      </c>
      <c r="R4490" s="386">
        <f t="shared" si="144"/>
        <v>335300</v>
      </c>
      <c r="S4490" s="279">
        <v>202304</v>
      </c>
      <c r="T4490" s="184" t="s">
        <v>5852</v>
      </c>
      <c r="U4490" s="213"/>
      <c r="V4490" s="210"/>
      <c r="W4490" s="214"/>
      <c r="X4490" s="73">
        <v>43815</v>
      </c>
      <c r="Y4490" s="73">
        <v>46006</v>
      </c>
    </row>
    <row r="4491" s="5" customFormat="1" customHeight="1" spans="1:25">
      <c r="A4491" s="203" t="s">
        <v>444</v>
      </c>
      <c r="B4491" s="204" t="s">
        <v>5519</v>
      </c>
      <c r="C4491" s="204" t="s">
        <v>125</v>
      </c>
      <c r="D4491" s="204" t="s">
        <v>3939</v>
      </c>
      <c r="E4491" s="205" t="s">
        <v>5823</v>
      </c>
      <c r="F4491" s="203" t="s">
        <v>5824</v>
      </c>
      <c r="G4491" s="203" t="s">
        <v>88</v>
      </c>
      <c r="H4491" s="25" t="s">
        <v>5840</v>
      </c>
      <c r="I4491" s="46" t="e">
        <f>VLOOKUP(H4491,'合同高级查询数据-4月返'!A:A,1,FALSE)</f>
        <v>#N/A</v>
      </c>
      <c r="J4491" s="47" t="s">
        <v>90</v>
      </c>
      <c r="K4491" s="203" t="s">
        <v>5841</v>
      </c>
      <c r="L4491" s="206"/>
      <c r="M4491" s="49" t="s">
        <v>5695</v>
      </c>
      <c r="N4491" s="73">
        <v>43928</v>
      </c>
      <c r="O4491" s="73" t="s">
        <v>507</v>
      </c>
      <c r="P4491" s="396">
        <v>9580</v>
      </c>
      <c r="Q4491" s="212">
        <v>4</v>
      </c>
      <c r="R4491" s="386">
        <f t="shared" si="144"/>
        <v>38320</v>
      </c>
      <c r="S4491" s="279">
        <v>202304</v>
      </c>
      <c r="T4491" s="184" t="s">
        <v>5853</v>
      </c>
      <c r="U4491" s="213"/>
      <c r="V4491" s="210"/>
      <c r="W4491" s="214"/>
      <c r="X4491" s="73">
        <v>43815</v>
      </c>
      <c r="Y4491" s="73">
        <v>46006</v>
      </c>
    </row>
    <row r="4492" s="5" customFormat="1" customHeight="1" spans="1:25">
      <c r="A4492" s="203" t="s">
        <v>444</v>
      </c>
      <c r="B4492" s="204" t="s">
        <v>5519</v>
      </c>
      <c r="C4492" s="204" t="s">
        <v>125</v>
      </c>
      <c r="D4492" s="204" t="s">
        <v>3939</v>
      </c>
      <c r="E4492" s="205" t="s">
        <v>5823</v>
      </c>
      <c r="F4492" s="203" t="s">
        <v>5824</v>
      </c>
      <c r="G4492" s="203" t="s">
        <v>88</v>
      </c>
      <c r="H4492" s="25" t="s">
        <v>5840</v>
      </c>
      <c r="I4492" s="46" t="e">
        <f>VLOOKUP(H4492,'合同高级查询数据-4月返'!A:A,1,FALSE)</f>
        <v>#N/A</v>
      </c>
      <c r="J4492" s="47" t="s">
        <v>90</v>
      </c>
      <c r="K4492" s="203" t="s">
        <v>5841</v>
      </c>
      <c r="L4492" s="206"/>
      <c r="M4492" s="49" t="s">
        <v>5695</v>
      </c>
      <c r="N4492" s="73">
        <v>43929</v>
      </c>
      <c r="O4492" s="73" t="s">
        <v>507</v>
      </c>
      <c r="P4492" s="396">
        <v>9580</v>
      </c>
      <c r="Q4492" s="212">
        <v>1</v>
      </c>
      <c r="R4492" s="386">
        <f t="shared" si="144"/>
        <v>9580</v>
      </c>
      <c r="S4492" s="279">
        <v>202304</v>
      </c>
      <c r="T4492" s="184" t="s">
        <v>5854</v>
      </c>
      <c r="U4492" s="213"/>
      <c r="V4492" s="210"/>
      <c r="W4492" s="214"/>
      <c r="X4492" s="73">
        <v>43815</v>
      </c>
      <c r="Y4492" s="73">
        <v>46006</v>
      </c>
    </row>
    <row r="4493" s="5" customFormat="1" customHeight="1" spans="1:25">
      <c r="A4493" s="203" t="s">
        <v>444</v>
      </c>
      <c r="B4493" s="204" t="s">
        <v>5519</v>
      </c>
      <c r="C4493" s="204" t="s">
        <v>125</v>
      </c>
      <c r="D4493" s="204" t="s">
        <v>3939</v>
      </c>
      <c r="E4493" s="205" t="s">
        <v>5823</v>
      </c>
      <c r="F4493" s="203" t="s">
        <v>5824</v>
      </c>
      <c r="G4493" s="203" t="s">
        <v>88</v>
      </c>
      <c r="H4493" s="25" t="s">
        <v>5840</v>
      </c>
      <c r="I4493" s="46" t="e">
        <f>VLOOKUP(H4493,'合同高级查询数据-4月返'!A:A,1,FALSE)</f>
        <v>#N/A</v>
      </c>
      <c r="J4493" s="47" t="s">
        <v>90</v>
      </c>
      <c r="K4493" s="203" t="s">
        <v>5841</v>
      </c>
      <c r="L4493" s="206"/>
      <c r="M4493" s="49" t="s">
        <v>5695</v>
      </c>
      <c r="N4493" s="73">
        <v>43930</v>
      </c>
      <c r="O4493" s="73" t="s">
        <v>507</v>
      </c>
      <c r="P4493" s="396">
        <v>9580</v>
      </c>
      <c r="Q4493" s="212">
        <v>14</v>
      </c>
      <c r="R4493" s="386">
        <f t="shared" si="144"/>
        <v>134120</v>
      </c>
      <c r="S4493" s="279">
        <v>202304</v>
      </c>
      <c r="T4493" s="184" t="s">
        <v>5855</v>
      </c>
      <c r="U4493" s="213"/>
      <c r="V4493" s="210"/>
      <c r="W4493" s="214"/>
      <c r="X4493" s="73">
        <v>43815</v>
      </c>
      <c r="Y4493" s="73">
        <v>46006</v>
      </c>
    </row>
    <row r="4494" s="5" customFormat="1" customHeight="1" spans="1:25">
      <c r="A4494" s="203" t="s">
        <v>444</v>
      </c>
      <c r="B4494" s="204" t="s">
        <v>5519</v>
      </c>
      <c r="C4494" s="204" t="s">
        <v>125</v>
      </c>
      <c r="D4494" s="204" t="s">
        <v>3939</v>
      </c>
      <c r="E4494" s="205" t="s">
        <v>5823</v>
      </c>
      <c r="F4494" s="203" t="s">
        <v>5824</v>
      </c>
      <c r="G4494" s="203" t="s">
        <v>88</v>
      </c>
      <c r="H4494" s="25" t="s">
        <v>5840</v>
      </c>
      <c r="I4494" s="46" t="e">
        <f>VLOOKUP(H4494,'合同高级查询数据-4月返'!A:A,1,FALSE)</f>
        <v>#N/A</v>
      </c>
      <c r="J4494" s="47" t="s">
        <v>90</v>
      </c>
      <c r="K4494" s="203" t="s">
        <v>5841</v>
      </c>
      <c r="L4494" s="206"/>
      <c r="M4494" s="49" t="s">
        <v>5695</v>
      </c>
      <c r="N4494" s="73">
        <v>43931</v>
      </c>
      <c r="O4494" s="73" t="s">
        <v>507</v>
      </c>
      <c r="P4494" s="396">
        <v>9580</v>
      </c>
      <c r="Q4494" s="212">
        <v>6</v>
      </c>
      <c r="R4494" s="386">
        <f t="shared" si="144"/>
        <v>57480</v>
      </c>
      <c r="S4494" s="279">
        <v>202304</v>
      </c>
      <c r="T4494" s="184" t="s">
        <v>5856</v>
      </c>
      <c r="U4494" s="213"/>
      <c r="V4494" s="210"/>
      <c r="W4494" s="214"/>
      <c r="X4494" s="73">
        <v>43815</v>
      </c>
      <c r="Y4494" s="73">
        <v>46006</v>
      </c>
    </row>
    <row r="4495" s="5" customFormat="1" customHeight="1" spans="1:25">
      <c r="A4495" s="203" t="s">
        <v>444</v>
      </c>
      <c r="B4495" s="204" t="s">
        <v>5519</v>
      </c>
      <c r="C4495" s="204" t="s">
        <v>125</v>
      </c>
      <c r="D4495" s="204" t="s">
        <v>3939</v>
      </c>
      <c r="E4495" s="205" t="s">
        <v>5823</v>
      </c>
      <c r="F4495" s="203" t="s">
        <v>5824</v>
      </c>
      <c r="G4495" s="203" t="s">
        <v>88</v>
      </c>
      <c r="H4495" s="25" t="s">
        <v>5840</v>
      </c>
      <c r="I4495" s="46" t="e">
        <f>VLOOKUP(H4495,'合同高级查询数据-4月返'!A:A,1,FALSE)</f>
        <v>#N/A</v>
      </c>
      <c r="J4495" s="47" t="s">
        <v>90</v>
      </c>
      <c r="K4495" s="203" t="s">
        <v>5841</v>
      </c>
      <c r="L4495" s="206"/>
      <c r="M4495" s="49" t="s">
        <v>5695</v>
      </c>
      <c r="N4495" s="73">
        <v>43934</v>
      </c>
      <c r="O4495" s="73" t="s">
        <v>507</v>
      </c>
      <c r="P4495" s="396">
        <v>9580</v>
      </c>
      <c r="Q4495" s="212">
        <v>4</v>
      </c>
      <c r="R4495" s="386">
        <f t="shared" si="144"/>
        <v>38320</v>
      </c>
      <c r="S4495" s="279">
        <v>202304</v>
      </c>
      <c r="T4495" s="184" t="s">
        <v>5857</v>
      </c>
      <c r="U4495" s="213"/>
      <c r="V4495" s="210"/>
      <c r="W4495" s="214"/>
      <c r="X4495" s="73">
        <v>43815</v>
      </c>
      <c r="Y4495" s="73">
        <v>46006</v>
      </c>
    </row>
    <row r="4496" s="5" customFormat="1" customHeight="1" spans="1:25">
      <c r="A4496" s="203" t="s">
        <v>444</v>
      </c>
      <c r="B4496" s="204" t="s">
        <v>5519</v>
      </c>
      <c r="C4496" s="204" t="s">
        <v>125</v>
      </c>
      <c r="D4496" s="204" t="s">
        <v>3939</v>
      </c>
      <c r="E4496" s="205" t="s">
        <v>5823</v>
      </c>
      <c r="F4496" s="203" t="s">
        <v>5824</v>
      </c>
      <c r="G4496" s="203" t="s">
        <v>88</v>
      </c>
      <c r="H4496" s="25" t="s">
        <v>5840</v>
      </c>
      <c r="I4496" s="46" t="e">
        <f>VLOOKUP(H4496,'合同高级查询数据-4月返'!A:A,1,FALSE)</f>
        <v>#N/A</v>
      </c>
      <c r="J4496" s="47" t="s">
        <v>90</v>
      </c>
      <c r="K4496" s="203" t="s">
        <v>5841</v>
      </c>
      <c r="L4496" s="206"/>
      <c r="M4496" s="49" t="s">
        <v>5695</v>
      </c>
      <c r="N4496" s="73">
        <v>43935</v>
      </c>
      <c r="O4496" s="73" t="s">
        <v>507</v>
      </c>
      <c r="P4496" s="396">
        <v>9580</v>
      </c>
      <c r="Q4496" s="212">
        <v>20</v>
      </c>
      <c r="R4496" s="386">
        <f t="shared" si="144"/>
        <v>191600</v>
      </c>
      <c r="S4496" s="279">
        <v>202304</v>
      </c>
      <c r="T4496" s="184" t="s">
        <v>5858</v>
      </c>
      <c r="U4496" s="213"/>
      <c r="V4496" s="210"/>
      <c r="W4496" s="214"/>
      <c r="X4496" s="73">
        <v>43815</v>
      </c>
      <c r="Y4496" s="73">
        <v>46006</v>
      </c>
    </row>
    <row r="4497" s="5" customFormat="1" customHeight="1" spans="1:25">
      <c r="A4497" s="203" t="s">
        <v>444</v>
      </c>
      <c r="B4497" s="204" t="s">
        <v>5519</v>
      </c>
      <c r="C4497" s="204" t="s">
        <v>125</v>
      </c>
      <c r="D4497" s="204" t="s">
        <v>3939</v>
      </c>
      <c r="E4497" s="205" t="s">
        <v>5823</v>
      </c>
      <c r="F4497" s="203" t="s">
        <v>5824</v>
      </c>
      <c r="G4497" s="203" t="s">
        <v>88</v>
      </c>
      <c r="H4497" s="25" t="s">
        <v>5840</v>
      </c>
      <c r="I4497" s="46" t="e">
        <f>VLOOKUP(H4497,'合同高级查询数据-4月返'!A:A,1,FALSE)</f>
        <v>#N/A</v>
      </c>
      <c r="J4497" s="47" t="s">
        <v>90</v>
      </c>
      <c r="K4497" s="203" t="s">
        <v>5841</v>
      </c>
      <c r="L4497" s="206"/>
      <c r="M4497" s="49" t="s">
        <v>5695</v>
      </c>
      <c r="N4497" s="73">
        <v>43936</v>
      </c>
      <c r="O4497" s="73" t="s">
        <v>507</v>
      </c>
      <c r="P4497" s="396">
        <v>9580</v>
      </c>
      <c r="Q4497" s="212">
        <v>12</v>
      </c>
      <c r="R4497" s="386">
        <f t="shared" si="144"/>
        <v>114960</v>
      </c>
      <c r="S4497" s="279">
        <v>202304</v>
      </c>
      <c r="T4497" s="184" t="s">
        <v>5859</v>
      </c>
      <c r="U4497" s="213"/>
      <c r="V4497" s="210"/>
      <c r="W4497" s="214"/>
      <c r="X4497" s="73">
        <v>43815</v>
      </c>
      <c r="Y4497" s="73">
        <v>46006</v>
      </c>
    </row>
    <row r="4498" s="5" customFormat="1" customHeight="1" spans="1:25">
      <c r="A4498" s="203" t="s">
        <v>444</v>
      </c>
      <c r="B4498" s="204" t="s">
        <v>5519</v>
      </c>
      <c r="C4498" s="204" t="s">
        <v>125</v>
      </c>
      <c r="D4498" s="204" t="s">
        <v>3939</v>
      </c>
      <c r="E4498" s="205" t="s">
        <v>5823</v>
      </c>
      <c r="F4498" s="203" t="s">
        <v>5824</v>
      </c>
      <c r="G4498" s="203" t="s">
        <v>88</v>
      </c>
      <c r="H4498" s="25" t="s">
        <v>5840</v>
      </c>
      <c r="I4498" s="46" t="e">
        <f>VLOOKUP(H4498,'合同高级查询数据-4月返'!A:A,1,FALSE)</f>
        <v>#N/A</v>
      </c>
      <c r="J4498" s="47" t="s">
        <v>90</v>
      </c>
      <c r="K4498" s="203" t="s">
        <v>5841</v>
      </c>
      <c r="L4498" s="206"/>
      <c r="M4498" s="49" t="s">
        <v>5695</v>
      </c>
      <c r="N4498" s="73">
        <v>43937</v>
      </c>
      <c r="O4498" s="73" t="s">
        <v>507</v>
      </c>
      <c r="P4498" s="396">
        <v>9580</v>
      </c>
      <c r="Q4498" s="212">
        <v>23</v>
      </c>
      <c r="R4498" s="386">
        <f t="shared" si="144"/>
        <v>220340</v>
      </c>
      <c r="S4498" s="279">
        <v>202304</v>
      </c>
      <c r="T4498" s="184" t="s">
        <v>5860</v>
      </c>
      <c r="U4498" s="213"/>
      <c r="V4498" s="210"/>
      <c r="W4498" s="214"/>
      <c r="X4498" s="73">
        <v>43815</v>
      </c>
      <c r="Y4498" s="73">
        <v>46006</v>
      </c>
    </row>
    <row r="4499" s="5" customFormat="1" customHeight="1" spans="1:25">
      <c r="A4499" s="203" t="s">
        <v>444</v>
      </c>
      <c r="B4499" s="204" t="s">
        <v>5519</v>
      </c>
      <c r="C4499" s="204" t="s">
        <v>125</v>
      </c>
      <c r="D4499" s="204" t="s">
        <v>3939</v>
      </c>
      <c r="E4499" s="205" t="s">
        <v>5823</v>
      </c>
      <c r="F4499" s="203" t="s">
        <v>5824</v>
      </c>
      <c r="G4499" s="203" t="s">
        <v>88</v>
      </c>
      <c r="H4499" s="25" t="s">
        <v>5840</v>
      </c>
      <c r="I4499" s="46" t="e">
        <f>VLOOKUP(H4499,'合同高级查询数据-4月返'!A:A,1,FALSE)</f>
        <v>#N/A</v>
      </c>
      <c r="J4499" s="47" t="s">
        <v>90</v>
      </c>
      <c r="K4499" s="203" t="s">
        <v>5841</v>
      </c>
      <c r="L4499" s="206"/>
      <c r="M4499" s="49" t="s">
        <v>5695</v>
      </c>
      <c r="N4499" s="73">
        <v>43938</v>
      </c>
      <c r="O4499" s="73" t="s">
        <v>507</v>
      </c>
      <c r="P4499" s="396">
        <v>9580</v>
      </c>
      <c r="Q4499" s="212">
        <v>24</v>
      </c>
      <c r="R4499" s="386">
        <f t="shared" si="144"/>
        <v>229920</v>
      </c>
      <c r="S4499" s="279">
        <v>202304</v>
      </c>
      <c r="T4499" s="184" t="s">
        <v>5861</v>
      </c>
      <c r="U4499" s="213"/>
      <c r="V4499" s="210"/>
      <c r="W4499" s="214"/>
      <c r="X4499" s="73">
        <v>43815</v>
      </c>
      <c r="Y4499" s="73">
        <v>46006</v>
      </c>
    </row>
    <row r="4500" s="5" customFormat="1" customHeight="1" spans="1:25">
      <c r="A4500" s="203" t="s">
        <v>444</v>
      </c>
      <c r="B4500" s="204" t="s">
        <v>5519</v>
      </c>
      <c r="C4500" s="204" t="s">
        <v>125</v>
      </c>
      <c r="D4500" s="204" t="s">
        <v>3939</v>
      </c>
      <c r="E4500" s="205" t="s">
        <v>5823</v>
      </c>
      <c r="F4500" s="203" t="s">
        <v>5824</v>
      </c>
      <c r="G4500" s="203" t="s">
        <v>88</v>
      </c>
      <c r="H4500" s="25" t="s">
        <v>5840</v>
      </c>
      <c r="I4500" s="46" t="e">
        <f>VLOOKUP(H4500,'合同高级查询数据-4月返'!A:A,1,FALSE)</f>
        <v>#N/A</v>
      </c>
      <c r="J4500" s="47" t="s">
        <v>90</v>
      </c>
      <c r="K4500" s="203" t="s">
        <v>5841</v>
      </c>
      <c r="L4500" s="206"/>
      <c r="M4500" s="49" t="s">
        <v>5695</v>
      </c>
      <c r="N4500" s="73">
        <v>43941</v>
      </c>
      <c r="O4500" s="73" t="s">
        <v>507</v>
      </c>
      <c r="P4500" s="396">
        <v>9580</v>
      </c>
      <c r="Q4500" s="212">
        <v>14</v>
      </c>
      <c r="R4500" s="386">
        <f t="shared" si="144"/>
        <v>134120</v>
      </c>
      <c r="S4500" s="279">
        <v>202304</v>
      </c>
      <c r="T4500" s="184" t="s">
        <v>5862</v>
      </c>
      <c r="U4500" s="213"/>
      <c r="V4500" s="210"/>
      <c r="W4500" s="214"/>
      <c r="X4500" s="73">
        <v>43815</v>
      </c>
      <c r="Y4500" s="73">
        <v>46006</v>
      </c>
    </row>
    <row r="4501" s="5" customFormat="1" customHeight="1" spans="1:25">
      <c r="A4501" s="203" t="s">
        <v>444</v>
      </c>
      <c r="B4501" s="204" t="s">
        <v>5519</v>
      </c>
      <c r="C4501" s="204" t="s">
        <v>125</v>
      </c>
      <c r="D4501" s="204" t="s">
        <v>3939</v>
      </c>
      <c r="E4501" s="205" t="s">
        <v>5823</v>
      </c>
      <c r="F4501" s="203" t="s">
        <v>5824</v>
      </c>
      <c r="G4501" s="203" t="s">
        <v>88</v>
      </c>
      <c r="H4501" s="25" t="s">
        <v>5840</v>
      </c>
      <c r="I4501" s="46" t="e">
        <f>VLOOKUP(H4501,'合同高级查询数据-4月返'!A:A,1,FALSE)</f>
        <v>#N/A</v>
      </c>
      <c r="J4501" s="47" t="s">
        <v>90</v>
      </c>
      <c r="K4501" s="203" t="s">
        <v>5841</v>
      </c>
      <c r="L4501" s="206"/>
      <c r="M4501" s="49" t="s">
        <v>5695</v>
      </c>
      <c r="N4501" s="73">
        <v>43943</v>
      </c>
      <c r="O4501" s="73" t="s">
        <v>507</v>
      </c>
      <c r="P4501" s="396">
        <v>9580</v>
      </c>
      <c r="Q4501" s="212">
        <v>20</v>
      </c>
      <c r="R4501" s="386">
        <f t="shared" si="144"/>
        <v>191600</v>
      </c>
      <c r="S4501" s="279">
        <v>202304</v>
      </c>
      <c r="T4501" s="184" t="s">
        <v>5863</v>
      </c>
      <c r="U4501" s="213"/>
      <c r="V4501" s="210"/>
      <c r="W4501" s="214"/>
      <c r="X4501" s="73">
        <v>43815</v>
      </c>
      <c r="Y4501" s="73">
        <v>46006</v>
      </c>
    </row>
    <row r="4502" s="5" customFormat="1" customHeight="1" spans="1:25">
      <c r="A4502" s="203" t="s">
        <v>444</v>
      </c>
      <c r="B4502" s="204" t="s">
        <v>5519</v>
      </c>
      <c r="C4502" s="204" t="s">
        <v>125</v>
      </c>
      <c r="D4502" s="204" t="s">
        <v>3939</v>
      </c>
      <c r="E4502" s="205" t="s">
        <v>5823</v>
      </c>
      <c r="F4502" s="203" t="s">
        <v>5824</v>
      </c>
      <c r="G4502" s="203" t="s">
        <v>88</v>
      </c>
      <c r="H4502" s="25" t="s">
        <v>5840</v>
      </c>
      <c r="I4502" s="46" t="e">
        <f>VLOOKUP(H4502,'合同高级查询数据-4月返'!A:A,1,FALSE)</f>
        <v>#N/A</v>
      </c>
      <c r="J4502" s="47" t="s">
        <v>90</v>
      </c>
      <c r="K4502" s="203" t="s">
        <v>5841</v>
      </c>
      <c r="L4502" s="206"/>
      <c r="M4502" s="49" t="s">
        <v>5695</v>
      </c>
      <c r="N4502" s="73">
        <v>43958</v>
      </c>
      <c r="O4502" s="73" t="s">
        <v>507</v>
      </c>
      <c r="P4502" s="396">
        <v>9580</v>
      </c>
      <c r="Q4502" s="212">
        <v>-39</v>
      </c>
      <c r="R4502" s="386">
        <f t="shared" si="144"/>
        <v>-373620</v>
      </c>
      <c r="S4502" s="279">
        <v>202304</v>
      </c>
      <c r="T4502" s="184" t="s">
        <v>5864</v>
      </c>
      <c r="U4502" s="213"/>
      <c r="V4502" s="210"/>
      <c r="W4502" s="214"/>
      <c r="X4502" s="73">
        <v>43815</v>
      </c>
      <c r="Y4502" s="73">
        <v>46006</v>
      </c>
    </row>
    <row r="4503" s="5" customFormat="1" customHeight="1" spans="1:25">
      <c r="A4503" s="203" t="s">
        <v>444</v>
      </c>
      <c r="B4503" s="204" t="s">
        <v>5519</v>
      </c>
      <c r="C4503" s="204" t="s">
        <v>125</v>
      </c>
      <c r="D4503" s="204" t="s">
        <v>3939</v>
      </c>
      <c r="E4503" s="205" t="s">
        <v>5823</v>
      </c>
      <c r="F4503" s="203" t="s">
        <v>5824</v>
      </c>
      <c r="G4503" s="203" t="s">
        <v>88</v>
      </c>
      <c r="H4503" s="25" t="s">
        <v>5840</v>
      </c>
      <c r="I4503" s="46" t="e">
        <f>VLOOKUP(H4503,'合同高级查询数据-4月返'!A:A,1,FALSE)</f>
        <v>#N/A</v>
      </c>
      <c r="J4503" s="47" t="s">
        <v>90</v>
      </c>
      <c r="K4503" s="203" t="s">
        <v>5841</v>
      </c>
      <c r="L4503" s="206"/>
      <c r="M4503" s="49" t="s">
        <v>5695</v>
      </c>
      <c r="N4503" s="73">
        <v>43970</v>
      </c>
      <c r="O4503" s="73" t="s">
        <v>507</v>
      </c>
      <c r="P4503" s="396">
        <v>9580</v>
      </c>
      <c r="Q4503" s="212">
        <v>-20</v>
      </c>
      <c r="R4503" s="386">
        <f t="shared" si="144"/>
        <v>-191600</v>
      </c>
      <c r="S4503" s="279">
        <v>202304</v>
      </c>
      <c r="T4503" s="184" t="s">
        <v>5865</v>
      </c>
      <c r="U4503" s="213"/>
      <c r="V4503" s="210"/>
      <c r="W4503" s="214"/>
      <c r="X4503" s="73">
        <v>43815</v>
      </c>
      <c r="Y4503" s="73">
        <v>46006</v>
      </c>
    </row>
    <row r="4504" s="5" customFormat="1" customHeight="1" spans="1:25">
      <c r="A4504" s="203" t="s">
        <v>444</v>
      </c>
      <c r="B4504" s="204" t="s">
        <v>5519</v>
      </c>
      <c r="C4504" s="204" t="s">
        <v>125</v>
      </c>
      <c r="D4504" s="204" t="s">
        <v>3939</v>
      </c>
      <c r="E4504" s="205" t="s">
        <v>5823</v>
      </c>
      <c r="F4504" s="203" t="s">
        <v>5824</v>
      </c>
      <c r="G4504" s="203" t="s">
        <v>88</v>
      </c>
      <c r="H4504" s="25" t="s">
        <v>5840</v>
      </c>
      <c r="I4504" s="46" t="e">
        <f>VLOOKUP(H4504,'合同高级查询数据-4月返'!A:A,1,FALSE)</f>
        <v>#N/A</v>
      </c>
      <c r="J4504" s="47" t="s">
        <v>90</v>
      </c>
      <c r="K4504" s="203" t="s">
        <v>5841</v>
      </c>
      <c r="L4504" s="206"/>
      <c r="M4504" s="49" t="s">
        <v>5695</v>
      </c>
      <c r="N4504" s="73">
        <v>43963</v>
      </c>
      <c r="O4504" s="73" t="s">
        <v>507</v>
      </c>
      <c r="P4504" s="396">
        <v>9580</v>
      </c>
      <c r="Q4504" s="212">
        <v>3</v>
      </c>
      <c r="R4504" s="386">
        <f t="shared" si="144"/>
        <v>28740</v>
      </c>
      <c r="S4504" s="279">
        <v>202304</v>
      </c>
      <c r="T4504" s="184" t="s">
        <v>5866</v>
      </c>
      <c r="U4504" s="213"/>
      <c r="V4504" s="210"/>
      <c r="W4504" s="214"/>
      <c r="X4504" s="73">
        <v>43815</v>
      </c>
      <c r="Y4504" s="73">
        <v>46006</v>
      </c>
    </row>
    <row r="4505" s="5" customFormat="1" customHeight="1" spans="1:25">
      <c r="A4505" s="203" t="s">
        <v>444</v>
      </c>
      <c r="B4505" s="204" t="s">
        <v>5519</v>
      </c>
      <c r="C4505" s="204" t="s">
        <v>125</v>
      </c>
      <c r="D4505" s="204" t="s">
        <v>3939</v>
      </c>
      <c r="E4505" s="205" t="s">
        <v>5823</v>
      </c>
      <c r="F4505" s="203" t="s">
        <v>5824</v>
      </c>
      <c r="G4505" s="203" t="s">
        <v>88</v>
      </c>
      <c r="H4505" s="25" t="s">
        <v>5840</v>
      </c>
      <c r="I4505" s="46" t="e">
        <f>VLOOKUP(H4505,'合同高级查询数据-4月返'!A:A,1,FALSE)</f>
        <v>#N/A</v>
      </c>
      <c r="J4505" s="47" t="s">
        <v>90</v>
      </c>
      <c r="K4505" s="203" t="s">
        <v>5841</v>
      </c>
      <c r="L4505" s="206"/>
      <c r="M4505" s="49" t="s">
        <v>5695</v>
      </c>
      <c r="N4505" s="73">
        <v>43964</v>
      </c>
      <c r="O4505" s="73" t="s">
        <v>507</v>
      </c>
      <c r="P4505" s="396">
        <v>9580</v>
      </c>
      <c r="Q4505" s="212">
        <v>3</v>
      </c>
      <c r="R4505" s="386">
        <f t="shared" si="144"/>
        <v>28740</v>
      </c>
      <c r="S4505" s="279">
        <v>202304</v>
      </c>
      <c r="T4505" s="184" t="s">
        <v>5867</v>
      </c>
      <c r="U4505" s="213"/>
      <c r="V4505" s="210"/>
      <c r="W4505" s="214"/>
      <c r="X4505" s="73">
        <v>43815</v>
      </c>
      <c r="Y4505" s="73">
        <v>46006</v>
      </c>
    </row>
    <row r="4506" s="5" customFormat="1" customHeight="1" spans="1:25">
      <c r="A4506" s="203" t="s">
        <v>444</v>
      </c>
      <c r="B4506" s="204" t="s">
        <v>5519</v>
      </c>
      <c r="C4506" s="204" t="s">
        <v>125</v>
      </c>
      <c r="D4506" s="204" t="s">
        <v>3939</v>
      </c>
      <c r="E4506" s="205" t="s">
        <v>5823</v>
      </c>
      <c r="F4506" s="203" t="s">
        <v>5824</v>
      </c>
      <c r="G4506" s="203" t="s">
        <v>88</v>
      </c>
      <c r="H4506" s="25" t="s">
        <v>5840</v>
      </c>
      <c r="I4506" s="46" t="e">
        <f>VLOOKUP(H4506,'合同高级查询数据-4月返'!A:A,1,FALSE)</f>
        <v>#N/A</v>
      </c>
      <c r="J4506" s="47" t="s">
        <v>90</v>
      </c>
      <c r="K4506" s="203" t="s">
        <v>5841</v>
      </c>
      <c r="L4506" s="206"/>
      <c r="M4506" s="49" t="s">
        <v>5695</v>
      </c>
      <c r="N4506" s="73">
        <v>43966</v>
      </c>
      <c r="O4506" s="73" t="s">
        <v>507</v>
      </c>
      <c r="P4506" s="396">
        <v>9580</v>
      </c>
      <c r="Q4506" s="212">
        <v>2</v>
      </c>
      <c r="R4506" s="386">
        <f t="shared" si="144"/>
        <v>19160</v>
      </c>
      <c r="S4506" s="279">
        <v>202304</v>
      </c>
      <c r="T4506" s="184" t="s">
        <v>5868</v>
      </c>
      <c r="U4506" s="213"/>
      <c r="V4506" s="210"/>
      <c r="W4506" s="214"/>
      <c r="X4506" s="73">
        <v>43815</v>
      </c>
      <c r="Y4506" s="73">
        <v>46006</v>
      </c>
    </row>
    <row r="4507" s="5" customFormat="1" customHeight="1" spans="1:25">
      <c r="A4507" s="203" t="s">
        <v>444</v>
      </c>
      <c r="B4507" s="204" t="s">
        <v>5519</v>
      </c>
      <c r="C4507" s="204" t="s">
        <v>125</v>
      </c>
      <c r="D4507" s="204" t="s">
        <v>3939</v>
      </c>
      <c r="E4507" s="205" t="s">
        <v>5823</v>
      </c>
      <c r="F4507" s="203" t="s">
        <v>5824</v>
      </c>
      <c r="G4507" s="203" t="s">
        <v>88</v>
      </c>
      <c r="H4507" s="25" t="s">
        <v>5840</v>
      </c>
      <c r="I4507" s="46" t="e">
        <f>VLOOKUP(H4507,'合同高级查询数据-4月返'!A:A,1,FALSE)</f>
        <v>#N/A</v>
      </c>
      <c r="J4507" s="47" t="s">
        <v>90</v>
      </c>
      <c r="K4507" s="203" t="s">
        <v>5841</v>
      </c>
      <c r="L4507" s="206"/>
      <c r="M4507" s="49" t="s">
        <v>5695</v>
      </c>
      <c r="N4507" s="73">
        <v>43984</v>
      </c>
      <c r="O4507" s="73" t="s">
        <v>507</v>
      </c>
      <c r="P4507" s="396">
        <v>9580</v>
      </c>
      <c r="Q4507" s="212">
        <v>4</v>
      </c>
      <c r="R4507" s="386">
        <f t="shared" si="144"/>
        <v>38320</v>
      </c>
      <c r="S4507" s="279">
        <v>202304</v>
      </c>
      <c r="T4507" s="184" t="s">
        <v>5869</v>
      </c>
      <c r="U4507" s="213"/>
      <c r="V4507" s="210"/>
      <c r="W4507" s="214"/>
      <c r="X4507" s="73">
        <v>43815</v>
      </c>
      <c r="Y4507" s="73">
        <v>46006</v>
      </c>
    </row>
    <row r="4508" s="5" customFormat="1" customHeight="1" spans="1:25">
      <c r="A4508" s="203" t="s">
        <v>444</v>
      </c>
      <c r="B4508" s="204" t="s">
        <v>5519</v>
      </c>
      <c r="C4508" s="204" t="s">
        <v>125</v>
      </c>
      <c r="D4508" s="204" t="s">
        <v>3939</v>
      </c>
      <c r="E4508" s="205" t="s">
        <v>5823</v>
      </c>
      <c r="F4508" s="203" t="s">
        <v>5824</v>
      </c>
      <c r="G4508" s="203" t="s">
        <v>88</v>
      </c>
      <c r="H4508" s="25" t="s">
        <v>5840</v>
      </c>
      <c r="I4508" s="46" t="e">
        <f>VLOOKUP(H4508,'合同高级查询数据-4月返'!A:A,1,FALSE)</f>
        <v>#N/A</v>
      </c>
      <c r="J4508" s="47" t="s">
        <v>90</v>
      </c>
      <c r="K4508" s="203" t="s">
        <v>5841</v>
      </c>
      <c r="L4508" s="206"/>
      <c r="M4508" s="49" t="s">
        <v>5695</v>
      </c>
      <c r="N4508" s="73">
        <v>43992</v>
      </c>
      <c r="O4508" s="73" t="s">
        <v>507</v>
      </c>
      <c r="P4508" s="396">
        <v>9580</v>
      </c>
      <c r="Q4508" s="212">
        <v>1</v>
      </c>
      <c r="R4508" s="386">
        <f t="shared" si="144"/>
        <v>9580</v>
      </c>
      <c r="S4508" s="279">
        <v>202304</v>
      </c>
      <c r="T4508" s="184" t="s">
        <v>5870</v>
      </c>
      <c r="U4508" s="213"/>
      <c r="V4508" s="210"/>
      <c r="W4508" s="214"/>
      <c r="X4508" s="73">
        <v>43815</v>
      </c>
      <c r="Y4508" s="73">
        <v>46006</v>
      </c>
    </row>
    <row r="4509" s="5" customFormat="1" customHeight="1" spans="1:25">
      <c r="A4509" s="203" t="s">
        <v>444</v>
      </c>
      <c r="B4509" s="204" t="s">
        <v>5519</v>
      </c>
      <c r="C4509" s="204" t="s">
        <v>125</v>
      </c>
      <c r="D4509" s="204" t="s">
        <v>3939</v>
      </c>
      <c r="E4509" s="205" t="s">
        <v>5823</v>
      </c>
      <c r="F4509" s="203" t="s">
        <v>5824</v>
      </c>
      <c r="G4509" s="203" t="s">
        <v>88</v>
      </c>
      <c r="H4509" s="25" t="s">
        <v>5840</v>
      </c>
      <c r="I4509" s="46" t="e">
        <f>VLOOKUP(H4509,'合同高级查询数据-4月返'!A:A,1,FALSE)</f>
        <v>#N/A</v>
      </c>
      <c r="J4509" s="47" t="s">
        <v>90</v>
      </c>
      <c r="K4509" s="203" t="s">
        <v>5841</v>
      </c>
      <c r="L4509" s="206"/>
      <c r="M4509" s="49" t="s">
        <v>5695</v>
      </c>
      <c r="N4509" s="73">
        <v>44011</v>
      </c>
      <c r="O4509" s="73" t="s">
        <v>566</v>
      </c>
      <c r="P4509" s="396">
        <v>10860</v>
      </c>
      <c r="Q4509" s="212">
        <v>4</v>
      </c>
      <c r="R4509" s="386">
        <f t="shared" si="144"/>
        <v>43440</v>
      </c>
      <c r="S4509" s="279">
        <v>202304</v>
      </c>
      <c r="T4509" s="184" t="s">
        <v>5871</v>
      </c>
      <c r="U4509" s="213"/>
      <c r="V4509" s="210"/>
      <c r="W4509" s="214"/>
      <c r="X4509" s="73">
        <v>43815</v>
      </c>
      <c r="Y4509" s="73">
        <v>46006</v>
      </c>
    </row>
    <row r="4510" s="5" customFormat="1" customHeight="1" spans="1:25">
      <c r="A4510" s="203" t="s">
        <v>444</v>
      </c>
      <c r="B4510" s="204" t="s">
        <v>5519</v>
      </c>
      <c r="C4510" s="204" t="s">
        <v>125</v>
      </c>
      <c r="D4510" s="204" t="s">
        <v>3939</v>
      </c>
      <c r="E4510" s="205" t="s">
        <v>5823</v>
      </c>
      <c r="F4510" s="203" t="s">
        <v>5824</v>
      </c>
      <c r="G4510" s="203" t="s">
        <v>88</v>
      </c>
      <c r="H4510" s="25" t="s">
        <v>5840</v>
      </c>
      <c r="I4510" s="46" t="e">
        <f>VLOOKUP(H4510,'合同高级查询数据-4月返'!A:A,1,FALSE)</f>
        <v>#N/A</v>
      </c>
      <c r="J4510" s="47" t="s">
        <v>90</v>
      </c>
      <c r="K4510" s="203" t="s">
        <v>5841</v>
      </c>
      <c r="L4510" s="206"/>
      <c r="M4510" s="49" t="s">
        <v>5695</v>
      </c>
      <c r="N4510" s="73">
        <v>44012</v>
      </c>
      <c r="O4510" s="73" t="s">
        <v>507</v>
      </c>
      <c r="P4510" s="396">
        <v>9580</v>
      </c>
      <c r="Q4510" s="212">
        <v>5</v>
      </c>
      <c r="R4510" s="386">
        <f t="shared" si="144"/>
        <v>47900</v>
      </c>
      <c r="S4510" s="279">
        <v>202304</v>
      </c>
      <c r="T4510" s="184" t="s">
        <v>5872</v>
      </c>
      <c r="U4510" s="213"/>
      <c r="V4510" s="210"/>
      <c r="W4510" s="214"/>
      <c r="X4510" s="73">
        <v>43815</v>
      </c>
      <c r="Y4510" s="73">
        <v>46006</v>
      </c>
    </row>
    <row r="4511" s="5" customFormat="1" customHeight="1" spans="1:25">
      <c r="A4511" s="203" t="s">
        <v>444</v>
      </c>
      <c r="B4511" s="204" t="s">
        <v>5519</v>
      </c>
      <c r="C4511" s="204" t="s">
        <v>125</v>
      </c>
      <c r="D4511" s="204" t="s">
        <v>3939</v>
      </c>
      <c r="E4511" s="205" t="s">
        <v>5823</v>
      </c>
      <c r="F4511" s="203" t="s">
        <v>5824</v>
      </c>
      <c r="G4511" s="203" t="s">
        <v>88</v>
      </c>
      <c r="H4511" s="25" t="s">
        <v>5840</v>
      </c>
      <c r="I4511" s="46" t="e">
        <f>VLOOKUP(H4511,'合同高级查询数据-4月返'!A:A,1,FALSE)</f>
        <v>#N/A</v>
      </c>
      <c r="J4511" s="47" t="s">
        <v>90</v>
      </c>
      <c r="K4511" s="203" t="s">
        <v>5841</v>
      </c>
      <c r="L4511" s="206"/>
      <c r="M4511" s="49" t="s">
        <v>5695</v>
      </c>
      <c r="N4511" s="73">
        <v>44016</v>
      </c>
      <c r="O4511" s="73" t="s">
        <v>507</v>
      </c>
      <c r="P4511" s="396">
        <v>9580</v>
      </c>
      <c r="Q4511" s="212">
        <v>3</v>
      </c>
      <c r="R4511" s="386">
        <f t="shared" si="144"/>
        <v>28740</v>
      </c>
      <c r="S4511" s="279">
        <v>202304</v>
      </c>
      <c r="T4511" s="184" t="s">
        <v>5873</v>
      </c>
      <c r="U4511" s="213"/>
      <c r="V4511" s="210"/>
      <c r="W4511" s="214"/>
      <c r="X4511" s="73">
        <v>43815</v>
      </c>
      <c r="Y4511" s="73">
        <v>46006</v>
      </c>
    </row>
    <row r="4512" s="5" customFormat="1" customHeight="1" spans="1:25">
      <c r="A4512" s="203" t="s">
        <v>444</v>
      </c>
      <c r="B4512" s="204" t="s">
        <v>5519</v>
      </c>
      <c r="C4512" s="204" t="s">
        <v>125</v>
      </c>
      <c r="D4512" s="204" t="s">
        <v>3939</v>
      </c>
      <c r="E4512" s="205" t="s">
        <v>5823</v>
      </c>
      <c r="F4512" s="203" t="s">
        <v>5824</v>
      </c>
      <c r="G4512" s="203" t="s">
        <v>88</v>
      </c>
      <c r="H4512" s="25" t="s">
        <v>5840</v>
      </c>
      <c r="I4512" s="46" t="e">
        <f>VLOOKUP(H4512,'合同高级查询数据-4月返'!A:A,1,FALSE)</f>
        <v>#N/A</v>
      </c>
      <c r="J4512" s="47" t="s">
        <v>90</v>
      </c>
      <c r="K4512" s="203" t="s">
        <v>5841</v>
      </c>
      <c r="L4512" s="206"/>
      <c r="M4512" s="49" t="s">
        <v>5695</v>
      </c>
      <c r="N4512" s="73">
        <v>44032</v>
      </c>
      <c r="O4512" s="73" t="s">
        <v>507</v>
      </c>
      <c r="P4512" s="396">
        <v>9580</v>
      </c>
      <c r="Q4512" s="212">
        <v>13</v>
      </c>
      <c r="R4512" s="386">
        <f t="shared" si="144"/>
        <v>124540</v>
      </c>
      <c r="S4512" s="279">
        <v>202304</v>
      </c>
      <c r="T4512" s="184" t="s">
        <v>5874</v>
      </c>
      <c r="U4512" s="213"/>
      <c r="V4512" s="210"/>
      <c r="W4512" s="214"/>
      <c r="X4512" s="73">
        <v>43815</v>
      </c>
      <c r="Y4512" s="73">
        <v>46006</v>
      </c>
    </row>
    <row r="4513" s="5" customFormat="1" customHeight="1" spans="1:25">
      <c r="A4513" s="203" t="s">
        <v>444</v>
      </c>
      <c r="B4513" s="204" t="s">
        <v>5519</v>
      </c>
      <c r="C4513" s="204" t="s">
        <v>125</v>
      </c>
      <c r="D4513" s="204" t="s">
        <v>3939</v>
      </c>
      <c r="E4513" s="205" t="s">
        <v>5823</v>
      </c>
      <c r="F4513" s="203" t="s">
        <v>5824</v>
      </c>
      <c r="G4513" s="203" t="s">
        <v>88</v>
      </c>
      <c r="H4513" s="25" t="s">
        <v>5840</v>
      </c>
      <c r="I4513" s="46" t="e">
        <f>VLOOKUP(H4513,'合同高级查询数据-4月返'!A:A,1,FALSE)</f>
        <v>#N/A</v>
      </c>
      <c r="J4513" s="47" t="s">
        <v>90</v>
      </c>
      <c r="K4513" s="203" t="s">
        <v>5841</v>
      </c>
      <c r="L4513" s="206"/>
      <c r="M4513" s="49" t="s">
        <v>5695</v>
      </c>
      <c r="N4513" s="73">
        <v>44032</v>
      </c>
      <c r="O4513" s="73" t="s">
        <v>503</v>
      </c>
      <c r="P4513" s="396">
        <v>4790</v>
      </c>
      <c r="Q4513" s="212">
        <v>1</v>
      </c>
      <c r="R4513" s="386">
        <f t="shared" si="144"/>
        <v>4790</v>
      </c>
      <c r="S4513" s="279">
        <v>202304</v>
      </c>
      <c r="T4513" s="184" t="s">
        <v>5875</v>
      </c>
      <c r="U4513" s="213"/>
      <c r="V4513" s="210"/>
      <c r="W4513" s="214"/>
      <c r="X4513" s="73">
        <v>43815</v>
      </c>
      <c r="Y4513" s="73">
        <v>46006</v>
      </c>
    </row>
    <row r="4514" s="5" customFormat="1" customHeight="1" spans="1:25">
      <c r="A4514" s="203" t="s">
        <v>444</v>
      </c>
      <c r="B4514" s="204" t="s">
        <v>5519</v>
      </c>
      <c r="C4514" s="204" t="s">
        <v>125</v>
      </c>
      <c r="D4514" s="204" t="s">
        <v>3939</v>
      </c>
      <c r="E4514" s="205" t="s">
        <v>5823</v>
      </c>
      <c r="F4514" s="203" t="s">
        <v>5824</v>
      </c>
      <c r="G4514" s="203" t="s">
        <v>88</v>
      </c>
      <c r="H4514" s="25" t="s">
        <v>5840</v>
      </c>
      <c r="I4514" s="46" t="e">
        <f>VLOOKUP(H4514,'合同高级查询数据-4月返'!A:A,1,FALSE)</f>
        <v>#N/A</v>
      </c>
      <c r="J4514" s="47" t="s">
        <v>90</v>
      </c>
      <c r="K4514" s="203" t="s">
        <v>5841</v>
      </c>
      <c r="L4514" s="206"/>
      <c r="M4514" s="49" t="s">
        <v>5695</v>
      </c>
      <c r="N4514" s="73">
        <v>44012</v>
      </c>
      <c r="O4514" s="73" t="s">
        <v>507</v>
      </c>
      <c r="P4514" s="396">
        <v>9580</v>
      </c>
      <c r="Q4514" s="212">
        <v>-5</v>
      </c>
      <c r="R4514" s="386">
        <f t="shared" si="144"/>
        <v>-47900</v>
      </c>
      <c r="S4514" s="279">
        <v>202304</v>
      </c>
      <c r="T4514" s="184" t="s">
        <v>5876</v>
      </c>
      <c r="U4514" s="213"/>
      <c r="V4514" s="210"/>
      <c r="W4514" s="214"/>
      <c r="X4514" s="73">
        <v>43815</v>
      </c>
      <c r="Y4514" s="73">
        <v>46006</v>
      </c>
    </row>
    <row r="4515" s="5" customFormat="1" customHeight="1" spans="1:25">
      <c r="A4515" s="203" t="s">
        <v>444</v>
      </c>
      <c r="B4515" s="204" t="s">
        <v>5519</v>
      </c>
      <c r="C4515" s="204" t="s">
        <v>125</v>
      </c>
      <c r="D4515" s="204" t="s">
        <v>3939</v>
      </c>
      <c r="E4515" s="205" t="s">
        <v>5823</v>
      </c>
      <c r="F4515" s="203" t="s">
        <v>5824</v>
      </c>
      <c r="G4515" s="203" t="s">
        <v>88</v>
      </c>
      <c r="H4515" s="25" t="s">
        <v>5840</v>
      </c>
      <c r="I4515" s="46" t="e">
        <f>VLOOKUP(H4515,'合同高级查询数据-4月返'!A:A,1,FALSE)</f>
        <v>#N/A</v>
      </c>
      <c r="J4515" s="47" t="s">
        <v>90</v>
      </c>
      <c r="K4515" s="203" t="s">
        <v>5841</v>
      </c>
      <c r="L4515" s="206"/>
      <c r="M4515" s="49" t="s">
        <v>5695</v>
      </c>
      <c r="N4515" s="73">
        <v>44021</v>
      </c>
      <c r="O4515" s="73" t="s">
        <v>507</v>
      </c>
      <c r="P4515" s="396">
        <v>9580</v>
      </c>
      <c r="Q4515" s="212">
        <v>45</v>
      </c>
      <c r="R4515" s="386">
        <f t="shared" si="144"/>
        <v>431100</v>
      </c>
      <c r="S4515" s="279">
        <v>202304</v>
      </c>
      <c r="T4515" s="184" t="s">
        <v>5877</v>
      </c>
      <c r="U4515" s="213"/>
      <c r="V4515" s="210"/>
      <c r="W4515" s="214"/>
      <c r="X4515" s="73">
        <v>43815</v>
      </c>
      <c r="Y4515" s="73">
        <v>46006</v>
      </c>
    </row>
    <row r="4516" s="5" customFormat="1" customHeight="1" spans="1:25">
      <c r="A4516" s="203" t="s">
        <v>444</v>
      </c>
      <c r="B4516" s="204" t="s">
        <v>5519</v>
      </c>
      <c r="C4516" s="204" t="s">
        <v>125</v>
      </c>
      <c r="D4516" s="204" t="s">
        <v>3939</v>
      </c>
      <c r="E4516" s="205" t="s">
        <v>5823</v>
      </c>
      <c r="F4516" s="203" t="s">
        <v>5824</v>
      </c>
      <c r="G4516" s="203" t="s">
        <v>88</v>
      </c>
      <c r="H4516" s="25" t="s">
        <v>5840</v>
      </c>
      <c r="I4516" s="46" t="e">
        <f>VLOOKUP(H4516,'合同高级查询数据-4月返'!A:A,1,FALSE)</f>
        <v>#N/A</v>
      </c>
      <c r="J4516" s="47" t="s">
        <v>90</v>
      </c>
      <c r="K4516" s="203" t="s">
        <v>5841</v>
      </c>
      <c r="L4516" s="206"/>
      <c r="M4516" s="49" t="s">
        <v>5695</v>
      </c>
      <c r="N4516" s="73">
        <v>44029</v>
      </c>
      <c r="O4516" s="73" t="s">
        <v>507</v>
      </c>
      <c r="P4516" s="396">
        <v>9580</v>
      </c>
      <c r="Q4516" s="212">
        <v>2</v>
      </c>
      <c r="R4516" s="386">
        <f t="shared" si="144"/>
        <v>19160</v>
      </c>
      <c r="S4516" s="279">
        <v>202304</v>
      </c>
      <c r="T4516" s="184" t="s">
        <v>5878</v>
      </c>
      <c r="U4516" s="213"/>
      <c r="V4516" s="210"/>
      <c r="W4516" s="214"/>
      <c r="X4516" s="73">
        <v>43815</v>
      </c>
      <c r="Y4516" s="73">
        <v>46006</v>
      </c>
    </row>
    <row r="4517" s="5" customFormat="1" customHeight="1" spans="1:25">
      <c r="A4517" s="203" t="s">
        <v>444</v>
      </c>
      <c r="B4517" s="204" t="s">
        <v>5519</v>
      </c>
      <c r="C4517" s="204" t="s">
        <v>125</v>
      </c>
      <c r="D4517" s="204" t="s">
        <v>3939</v>
      </c>
      <c r="E4517" s="205" t="s">
        <v>5823</v>
      </c>
      <c r="F4517" s="203" t="s">
        <v>5824</v>
      </c>
      <c r="G4517" s="203" t="s">
        <v>88</v>
      </c>
      <c r="H4517" s="25" t="s">
        <v>5840</v>
      </c>
      <c r="I4517" s="46" t="e">
        <f>VLOOKUP(H4517,'合同高级查询数据-4月返'!A:A,1,FALSE)</f>
        <v>#N/A</v>
      </c>
      <c r="J4517" s="47" t="s">
        <v>90</v>
      </c>
      <c r="K4517" s="203" t="s">
        <v>5841</v>
      </c>
      <c r="L4517" s="206"/>
      <c r="M4517" s="49" t="s">
        <v>5695</v>
      </c>
      <c r="N4517" s="73">
        <v>44057</v>
      </c>
      <c r="O4517" s="73" t="s">
        <v>507</v>
      </c>
      <c r="P4517" s="396">
        <v>9580</v>
      </c>
      <c r="Q4517" s="212">
        <v>2</v>
      </c>
      <c r="R4517" s="386">
        <f t="shared" ref="R4517:R4547" si="145">ROUND(P4517*Q4517,2)</f>
        <v>19160</v>
      </c>
      <c r="S4517" s="279">
        <v>202304</v>
      </c>
      <c r="T4517" s="184" t="s">
        <v>5879</v>
      </c>
      <c r="U4517" s="213"/>
      <c r="V4517" s="210"/>
      <c r="W4517" s="214"/>
      <c r="X4517" s="73">
        <v>43815</v>
      </c>
      <c r="Y4517" s="73">
        <v>46006</v>
      </c>
    </row>
    <row r="4518" s="5" customFormat="1" customHeight="1" spans="1:25">
      <c r="A4518" s="203" t="s">
        <v>444</v>
      </c>
      <c r="B4518" s="204" t="s">
        <v>5519</v>
      </c>
      <c r="C4518" s="204" t="s">
        <v>125</v>
      </c>
      <c r="D4518" s="204" t="s">
        <v>3939</v>
      </c>
      <c r="E4518" s="205" t="s">
        <v>5823</v>
      </c>
      <c r="F4518" s="203" t="s">
        <v>5824</v>
      </c>
      <c r="G4518" s="203" t="s">
        <v>88</v>
      </c>
      <c r="H4518" s="25" t="s">
        <v>5840</v>
      </c>
      <c r="I4518" s="46" t="e">
        <f>VLOOKUP(H4518,'合同高级查询数据-4月返'!A:A,1,FALSE)</f>
        <v>#N/A</v>
      </c>
      <c r="J4518" s="47" t="s">
        <v>90</v>
      </c>
      <c r="K4518" s="203" t="s">
        <v>5841</v>
      </c>
      <c r="L4518" s="206"/>
      <c r="M4518" s="49" t="s">
        <v>5695</v>
      </c>
      <c r="N4518" s="73">
        <v>44104</v>
      </c>
      <c r="O4518" s="73" t="s">
        <v>507</v>
      </c>
      <c r="P4518" s="396">
        <v>9580</v>
      </c>
      <c r="Q4518" s="212">
        <v>7</v>
      </c>
      <c r="R4518" s="386">
        <f t="shared" si="145"/>
        <v>67060</v>
      </c>
      <c r="S4518" s="279">
        <v>202304</v>
      </c>
      <c r="T4518" s="184" t="s">
        <v>5880</v>
      </c>
      <c r="U4518" s="213"/>
      <c r="V4518" s="210"/>
      <c r="W4518" s="214"/>
      <c r="X4518" s="73">
        <v>43815</v>
      </c>
      <c r="Y4518" s="73">
        <v>46006</v>
      </c>
    </row>
    <row r="4519" s="5" customFormat="1" customHeight="1" spans="1:25">
      <c r="A4519" s="203" t="s">
        <v>444</v>
      </c>
      <c r="B4519" s="204" t="s">
        <v>5519</v>
      </c>
      <c r="C4519" s="204" t="s">
        <v>125</v>
      </c>
      <c r="D4519" s="204" t="s">
        <v>3939</v>
      </c>
      <c r="E4519" s="205" t="s">
        <v>5823</v>
      </c>
      <c r="F4519" s="203" t="s">
        <v>5824</v>
      </c>
      <c r="G4519" s="203" t="s">
        <v>88</v>
      </c>
      <c r="H4519" s="25" t="s">
        <v>5840</v>
      </c>
      <c r="I4519" s="46" t="e">
        <f>VLOOKUP(H4519,'合同高级查询数据-4月返'!A:A,1,FALSE)</f>
        <v>#N/A</v>
      </c>
      <c r="J4519" s="47" t="s">
        <v>90</v>
      </c>
      <c r="K4519" s="203" t="s">
        <v>5841</v>
      </c>
      <c r="L4519" s="206"/>
      <c r="M4519" s="49" t="s">
        <v>5695</v>
      </c>
      <c r="N4519" s="73">
        <v>44125</v>
      </c>
      <c r="O4519" s="73" t="s">
        <v>507</v>
      </c>
      <c r="P4519" s="396">
        <v>9580</v>
      </c>
      <c r="Q4519" s="212">
        <v>6</v>
      </c>
      <c r="R4519" s="386">
        <f t="shared" si="145"/>
        <v>57480</v>
      </c>
      <c r="S4519" s="279">
        <v>202304</v>
      </c>
      <c r="T4519" s="184" t="s">
        <v>5881</v>
      </c>
      <c r="U4519" s="213"/>
      <c r="V4519" s="210"/>
      <c r="W4519" s="214"/>
      <c r="X4519" s="73">
        <v>43815</v>
      </c>
      <c r="Y4519" s="73">
        <v>46006</v>
      </c>
    </row>
    <row r="4520" s="5" customFormat="1" customHeight="1" spans="1:25">
      <c r="A4520" s="203" t="s">
        <v>444</v>
      </c>
      <c r="B4520" s="204" t="s">
        <v>5519</v>
      </c>
      <c r="C4520" s="204" t="s">
        <v>125</v>
      </c>
      <c r="D4520" s="204" t="s">
        <v>3939</v>
      </c>
      <c r="E4520" s="205" t="s">
        <v>5823</v>
      </c>
      <c r="F4520" s="203" t="s">
        <v>5824</v>
      </c>
      <c r="G4520" s="203" t="s">
        <v>88</v>
      </c>
      <c r="H4520" s="25" t="s">
        <v>5840</v>
      </c>
      <c r="I4520" s="46" t="e">
        <f>VLOOKUP(H4520,'合同高级查询数据-4月返'!A:A,1,FALSE)</f>
        <v>#N/A</v>
      </c>
      <c r="J4520" s="47" t="s">
        <v>90</v>
      </c>
      <c r="K4520" s="203" t="s">
        <v>5841</v>
      </c>
      <c r="L4520" s="206"/>
      <c r="M4520" s="49" t="s">
        <v>5695</v>
      </c>
      <c r="N4520" s="73">
        <v>44137</v>
      </c>
      <c r="O4520" s="73" t="s">
        <v>566</v>
      </c>
      <c r="P4520" s="396">
        <v>10860</v>
      </c>
      <c r="Q4520" s="212">
        <v>1</v>
      </c>
      <c r="R4520" s="386">
        <f t="shared" si="145"/>
        <v>10860</v>
      </c>
      <c r="S4520" s="279">
        <v>202304</v>
      </c>
      <c r="T4520" s="184" t="s">
        <v>5882</v>
      </c>
      <c r="U4520" s="213"/>
      <c r="V4520" s="210"/>
      <c r="W4520" s="214"/>
      <c r="X4520" s="73">
        <v>43815</v>
      </c>
      <c r="Y4520" s="73">
        <v>46006</v>
      </c>
    </row>
    <row r="4521" s="5" customFormat="1" customHeight="1" spans="1:25">
      <c r="A4521" s="203" t="s">
        <v>444</v>
      </c>
      <c r="B4521" s="204" t="s">
        <v>5519</v>
      </c>
      <c r="C4521" s="204" t="s">
        <v>125</v>
      </c>
      <c r="D4521" s="204" t="s">
        <v>3939</v>
      </c>
      <c r="E4521" s="205" t="s">
        <v>5823</v>
      </c>
      <c r="F4521" s="203" t="s">
        <v>5824</v>
      </c>
      <c r="G4521" s="203" t="s">
        <v>88</v>
      </c>
      <c r="H4521" s="25" t="s">
        <v>5840</v>
      </c>
      <c r="I4521" s="46" t="e">
        <f>VLOOKUP(H4521,'合同高级查询数据-4月返'!A:A,1,FALSE)</f>
        <v>#N/A</v>
      </c>
      <c r="J4521" s="47" t="s">
        <v>90</v>
      </c>
      <c r="K4521" s="203" t="s">
        <v>5841</v>
      </c>
      <c r="L4521" s="206"/>
      <c r="M4521" s="49" t="s">
        <v>5695</v>
      </c>
      <c r="N4521" s="73">
        <v>44140</v>
      </c>
      <c r="O4521" s="73" t="s">
        <v>566</v>
      </c>
      <c r="P4521" s="396">
        <v>10860</v>
      </c>
      <c r="Q4521" s="212">
        <v>2</v>
      </c>
      <c r="R4521" s="386">
        <f t="shared" si="145"/>
        <v>21720</v>
      </c>
      <c r="S4521" s="279">
        <v>202304</v>
      </c>
      <c r="T4521" s="184" t="s">
        <v>5883</v>
      </c>
      <c r="U4521" s="213"/>
      <c r="V4521" s="210"/>
      <c r="W4521" s="214"/>
      <c r="X4521" s="73">
        <v>43815</v>
      </c>
      <c r="Y4521" s="73">
        <v>46006</v>
      </c>
    </row>
    <row r="4522" s="5" customFormat="1" customHeight="1" spans="1:25">
      <c r="A4522" s="203" t="s">
        <v>444</v>
      </c>
      <c r="B4522" s="204" t="s">
        <v>5519</v>
      </c>
      <c r="C4522" s="204" t="s">
        <v>125</v>
      </c>
      <c r="D4522" s="204" t="s">
        <v>3939</v>
      </c>
      <c r="E4522" s="205" t="s">
        <v>5823</v>
      </c>
      <c r="F4522" s="203" t="s">
        <v>5824</v>
      </c>
      <c r="G4522" s="203" t="s">
        <v>88</v>
      </c>
      <c r="H4522" s="25" t="s">
        <v>5840</v>
      </c>
      <c r="I4522" s="46" t="e">
        <f>VLOOKUP(H4522,'合同高级查询数据-4月返'!A:A,1,FALSE)</f>
        <v>#N/A</v>
      </c>
      <c r="J4522" s="47" t="s">
        <v>90</v>
      </c>
      <c r="K4522" s="203" t="s">
        <v>5841</v>
      </c>
      <c r="L4522" s="206"/>
      <c r="M4522" s="49" t="s">
        <v>5695</v>
      </c>
      <c r="N4522" s="73">
        <v>44140</v>
      </c>
      <c r="O4522" s="73" t="s">
        <v>606</v>
      </c>
      <c r="P4522" s="396">
        <v>30630</v>
      </c>
      <c r="Q4522" s="212">
        <v>2</v>
      </c>
      <c r="R4522" s="386">
        <f t="shared" si="145"/>
        <v>61260</v>
      </c>
      <c r="S4522" s="279">
        <v>202304</v>
      </c>
      <c r="T4522" s="184" t="s">
        <v>5884</v>
      </c>
      <c r="U4522" s="213"/>
      <c r="V4522" s="210"/>
      <c r="W4522" s="214"/>
      <c r="X4522" s="73">
        <v>43815</v>
      </c>
      <c r="Y4522" s="73">
        <v>46006</v>
      </c>
    </row>
    <row r="4523" s="5" customFormat="1" customHeight="1" spans="1:25">
      <c r="A4523" s="203" t="s">
        <v>444</v>
      </c>
      <c r="B4523" s="204" t="s">
        <v>5519</v>
      </c>
      <c r="C4523" s="204" t="s">
        <v>125</v>
      </c>
      <c r="D4523" s="204" t="s">
        <v>3939</v>
      </c>
      <c r="E4523" s="205" t="s">
        <v>5823</v>
      </c>
      <c r="F4523" s="203" t="s">
        <v>5824</v>
      </c>
      <c r="G4523" s="203" t="s">
        <v>88</v>
      </c>
      <c r="H4523" s="25" t="s">
        <v>5840</v>
      </c>
      <c r="I4523" s="46" t="e">
        <f>VLOOKUP(H4523,'合同高级查询数据-4月返'!A:A,1,FALSE)</f>
        <v>#N/A</v>
      </c>
      <c r="J4523" s="47" t="s">
        <v>90</v>
      </c>
      <c r="K4523" s="203" t="s">
        <v>5841</v>
      </c>
      <c r="L4523" s="206"/>
      <c r="M4523" s="49" t="s">
        <v>5695</v>
      </c>
      <c r="N4523" s="73">
        <v>44161</v>
      </c>
      <c r="O4523" s="73" t="s">
        <v>507</v>
      </c>
      <c r="P4523" s="396">
        <v>9580</v>
      </c>
      <c r="Q4523" s="212">
        <v>7</v>
      </c>
      <c r="R4523" s="386">
        <f t="shared" si="145"/>
        <v>67060</v>
      </c>
      <c r="S4523" s="279">
        <v>202304</v>
      </c>
      <c r="T4523" s="184" t="s">
        <v>5885</v>
      </c>
      <c r="U4523" s="213"/>
      <c r="V4523" s="210"/>
      <c r="W4523" s="214"/>
      <c r="X4523" s="73">
        <v>43815</v>
      </c>
      <c r="Y4523" s="73">
        <v>46006</v>
      </c>
    </row>
    <row r="4524" s="5" customFormat="1" customHeight="1" spans="1:25">
      <c r="A4524" s="203" t="s">
        <v>444</v>
      </c>
      <c r="B4524" s="204" t="s">
        <v>5519</v>
      </c>
      <c r="C4524" s="204" t="s">
        <v>125</v>
      </c>
      <c r="D4524" s="204" t="s">
        <v>3939</v>
      </c>
      <c r="E4524" s="205" t="s">
        <v>5823</v>
      </c>
      <c r="F4524" s="203" t="s">
        <v>5824</v>
      </c>
      <c r="G4524" s="203" t="s">
        <v>88</v>
      </c>
      <c r="H4524" s="25" t="s">
        <v>5840</v>
      </c>
      <c r="I4524" s="46" t="e">
        <f>VLOOKUP(H4524,'合同高级查询数据-4月返'!A:A,1,FALSE)</f>
        <v>#N/A</v>
      </c>
      <c r="J4524" s="47" t="s">
        <v>90</v>
      </c>
      <c r="K4524" s="203" t="s">
        <v>5841</v>
      </c>
      <c r="L4524" s="206"/>
      <c r="M4524" s="49" t="s">
        <v>5695</v>
      </c>
      <c r="N4524" s="73">
        <v>44196</v>
      </c>
      <c r="O4524" s="73" t="s">
        <v>507</v>
      </c>
      <c r="P4524" s="396">
        <v>9580</v>
      </c>
      <c r="Q4524" s="212">
        <v>6</v>
      </c>
      <c r="R4524" s="386">
        <f t="shared" si="145"/>
        <v>57480</v>
      </c>
      <c r="S4524" s="279">
        <v>202304</v>
      </c>
      <c r="T4524" s="184" t="s">
        <v>5886</v>
      </c>
      <c r="U4524" s="213"/>
      <c r="V4524" s="210"/>
      <c r="W4524" s="214"/>
      <c r="X4524" s="73">
        <v>43815</v>
      </c>
      <c r="Y4524" s="73">
        <v>46006</v>
      </c>
    </row>
    <row r="4525" s="5" customFormat="1" customHeight="1" spans="1:25">
      <c r="A4525" s="203" t="s">
        <v>444</v>
      </c>
      <c r="B4525" s="204" t="s">
        <v>5519</v>
      </c>
      <c r="C4525" s="204" t="s">
        <v>125</v>
      </c>
      <c r="D4525" s="204" t="s">
        <v>3939</v>
      </c>
      <c r="E4525" s="205" t="s">
        <v>5823</v>
      </c>
      <c r="F4525" s="203" t="s">
        <v>5824</v>
      </c>
      <c r="G4525" s="203" t="s">
        <v>88</v>
      </c>
      <c r="H4525" s="25" t="s">
        <v>5840</v>
      </c>
      <c r="I4525" s="46" t="e">
        <f>VLOOKUP(H4525,'合同高级查询数据-4月返'!A:A,1,FALSE)</f>
        <v>#N/A</v>
      </c>
      <c r="J4525" s="47" t="s">
        <v>90</v>
      </c>
      <c r="K4525" s="203" t="s">
        <v>5841</v>
      </c>
      <c r="L4525" s="206"/>
      <c r="M4525" s="49" t="s">
        <v>5695</v>
      </c>
      <c r="N4525" s="73">
        <v>44208</v>
      </c>
      <c r="O4525" s="73" t="s">
        <v>507</v>
      </c>
      <c r="P4525" s="396">
        <v>9580</v>
      </c>
      <c r="Q4525" s="212">
        <v>5</v>
      </c>
      <c r="R4525" s="386">
        <f t="shared" si="145"/>
        <v>47900</v>
      </c>
      <c r="S4525" s="279">
        <v>202304</v>
      </c>
      <c r="T4525" s="184" t="s">
        <v>5887</v>
      </c>
      <c r="U4525" s="213"/>
      <c r="V4525" s="210"/>
      <c r="W4525" s="214"/>
      <c r="X4525" s="73">
        <v>43815</v>
      </c>
      <c r="Y4525" s="73">
        <v>46006</v>
      </c>
    </row>
    <row r="4526" s="5" customFormat="1" customHeight="1" spans="1:25">
      <c r="A4526" s="203" t="s">
        <v>444</v>
      </c>
      <c r="B4526" s="204" t="s">
        <v>5519</v>
      </c>
      <c r="C4526" s="204" t="s">
        <v>125</v>
      </c>
      <c r="D4526" s="204" t="s">
        <v>3939</v>
      </c>
      <c r="E4526" s="205" t="s">
        <v>5823</v>
      </c>
      <c r="F4526" s="203" t="s">
        <v>5824</v>
      </c>
      <c r="G4526" s="203" t="s">
        <v>88</v>
      </c>
      <c r="H4526" s="25" t="s">
        <v>5840</v>
      </c>
      <c r="I4526" s="46" t="e">
        <f>VLOOKUP(H4526,'合同高级查询数据-4月返'!A:A,1,FALSE)</f>
        <v>#N/A</v>
      </c>
      <c r="J4526" s="47" t="s">
        <v>90</v>
      </c>
      <c r="K4526" s="203" t="s">
        <v>5841</v>
      </c>
      <c r="L4526" s="206"/>
      <c r="M4526" s="49" t="s">
        <v>5695</v>
      </c>
      <c r="N4526" s="73">
        <v>44209</v>
      </c>
      <c r="O4526" s="73" t="s">
        <v>507</v>
      </c>
      <c r="P4526" s="396">
        <v>9580</v>
      </c>
      <c r="Q4526" s="212">
        <v>1</v>
      </c>
      <c r="R4526" s="386">
        <f t="shared" si="145"/>
        <v>9580</v>
      </c>
      <c r="S4526" s="279">
        <v>202304</v>
      </c>
      <c r="T4526" s="184" t="s">
        <v>5888</v>
      </c>
      <c r="U4526" s="213"/>
      <c r="V4526" s="210"/>
      <c r="W4526" s="214"/>
      <c r="X4526" s="73">
        <v>43815</v>
      </c>
      <c r="Y4526" s="73">
        <v>46006</v>
      </c>
    </row>
    <row r="4527" s="5" customFormat="1" customHeight="1" spans="1:25">
      <c r="A4527" s="203" t="s">
        <v>444</v>
      </c>
      <c r="B4527" s="204" t="s">
        <v>5519</v>
      </c>
      <c r="C4527" s="204" t="s">
        <v>125</v>
      </c>
      <c r="D4527" s="204" t="s">
        <v>3939</v>
      </c>
      <c r="E4527" s="205" t="s">
        <v>5823</v>
      </c>
      <c r="F4527" s="203" t="s">
        <v>5824</v>
      </c>
      <c r="G4527" s="203" t="s">
        <v>88</v>
      </c>
      <c r="H4527" s="25" t="s">
        <v>5840</v>
      </c>
      <c r="I4527" s="46" t="e">
        <f>VLOOKUP(H4527,'合同高级查询数据-4月返'!A:A,1,FALSE)</f>
        <v>#N/A</v>
      </c>
      <c r="J4527" s="47" t="s">
        <v>90</v>
      </c>
      <c r="K4527" s="203" t="s">
        <v>5841</v>
      </c>
      <c r="L4527" s="206"/>
      <c r="M4527" s="49" t="s">
        <v>5695</v>
      </c>
      <c r="N4527" s="73">
        <v>44214</v>
      </c>
      <c r="O4527" s="73" t="s">
        <v>503</v>
      </c>
      <c r="P4527" s="396">
        <v>4790</v>
      </c>
      <c r="Q4527" s="212">
        <v>2</v>
      </c>
      <c r="R4527" s="386">
        <f t="shared" si="145"/>
        <v>9580</v>
      </c>
      <c r="S4527" s="279">
        <v>202304</v>
      </c>
      <c r="T4527" s="184" t="s">
        <v>5889</v>
      </c>
      <c r="U4527" s="213"/>
      <c r="V4527" s="210"/>
      <c r="W4527" s="214"/>
      <c r="X4527" s="73">
        <v>43815</v>
      </c>
      <c r="Y4527" s="73">
        <v>46006</v>
      </c>
    </row>
    <row r="4528" s="5" customFormat="1" customHeight="1" spans="1:25">
      <c r="A4528" s="203" t="s">
        <v>444</v>
      </c>
      <c r="B4528" s="204" t="s">
        <v>5519</v>
      </c>
      <c r="C4528" s="204" t="s">
        <v>125</v>
      </c>
      <c r="D4528" s="204" t="s">
        <v>3939</v>
      </c>
      <c r="E4528" s="205" t="s">
        <v>5823</v>
      </c>
      <c r="F4528" s="203" t="s">
        <v>5824</v>
      </c>
      <c r="G4528" s="203" t="s">
        <v>88</v>
      </c>
      <c r="H4528" s="25" t="s">
        <v>5840</v>
      </c>
      <c r="I4528" s="46" t="e">
        <f>VLOOKUP(H4528,'合同高级查询数据-4月返'!A:A,1,FALSE)</f>
        <v>#N/A</v>
      </c>
      <c r="J4528" s="47" t="s">
        <v>90</v>
      </c>
      <c r="K4528" s="203" t="s">
        <v>5841</v>
      </c>
      <c r="L4528" s="206"/>
      <c r="M4528" s="49" t="s">
        <v>5695</v>
      </c>
      <c r="N4528" s="73">
        <v>44224</v>
      </c>
      <c r="O4528" s="73" t="s">
        <v>507</v>
      </c>
      <c r="P4528" s="396">
        <v>9580</v>
      </c>
      <c r="Q4528" s="212">
        <v>1</v>
      </c>
      <c r="R4528" s="386">
        <f t="shared" si="145"/>
        <v>9580</v>
      </c>
      <c r="S4528" s="279">
        <v>202304</v>
      </c>
      <c r="T4528" s="184" t="s">
        <v>5890</v>
      </c>
      <c r="U4528" s="213"/>
      <c r="V4528" s="210"/>
      <c r="W4528" s="214"/>
      <c r="X4528" s="73">
        <v>43815</v>
      </c>
      <c r="Y4528" s="73">
        <v>46006</v>
      </c>
    </row>
    <row r="4529" s="5" customFormat="1" customHeight="1" spans="1:25">
      <c r="A4529" s="203" t="s">
        <v>444</v>
      </c>
      <c r="B4529" s="204" t="s">
        <v>5519</v>
      </c>
      <c r="C4529" s="204" t="s">
        <v>125</v>
      </c>
      <c r="D4529" s="204" t="s">
        <v>3939</v>
      </c>
      <c r="E4529" s="205" t="s">
        <v>5823</v>
      </c>
      <c r="F4529" s="203" t="s">
        <v>5824</v>
      </c>
      <c r="G4529" s="203" t="s">
        <v>88</v>
      </c>
      <c r="H4529" s="25" t="s">
        <v>5840</v>
      </c>
      <c r="I4529" s="46" t="e">
        <f>VLOOKUP(H4529,'合同高级查询数据-4月返'!A:A,1,FALSE)</f>
        <v>#N/A</v>
      </c>
      <c r="J4529" s="47" t="s">
        <v>90</v>
      </c>
      <c r="K4529" s="203" t="s">
        <v>5841</v>
      </c>
      <c r="L4529" s="206"/>
      <c r="M4529" s="49" t="s">
        <v>5695</v>
      </c>
      <c r="N4529" s="73">
        <v>44232</v>
      </c>
      <c r="O4529" s="73" t="s">
        <v>507</v>
      </c>
      <c r="P4529" s="396">
        <v>9580</v>
      </c>
      <c r="Q4529" s="212">
        <v>9</v>
      </c>
      <c r="R4529" s="386">
        <f t="shared" si="145"/>
        <v>86220</v>
      </c>
      <c r="S4529" s="279">
        <v>202304</v>
      </c>
      <c r="T4529" s="184" t="s">
        <v>5891</v>
      </c>
      <c r="U4529" s="213"/>
      <c r="V4529" s="210"/>
      <c r="W4529" s="214"/>
      <c r="X4529" s="73">
        <v>43815</v>
      </c>
      <c r="Y4529" s="73">
        <v>46006</v>
      </c>
    </row>
    <row r="4530" s="5" customFormat="1" customHeight="1" spans="1:25">
      <c r="A4530" s="203" t="s">
        <v>444</v>
      </c>
      <c r="B4530" s="204" t="s">
        <v>5519</v>
      </c>
      <c r="C4530" s="204" t="s">
        <v>125</v>
      </c>
      <c r="D4530" s="204" t="s">
        <v>3939</v>
      </c>
      <c r="E4530" s="205" t="s">
        <v>5823</v>
      </c>
      <c r="F4530" s="203" t="s">
        <v>5824</v>
      </c>
      <c r="G4530" s="203" t="s">
        <v>88</v>
      </c>
      <c r="H4530" s="25" t="s">
        <v>5840</v>
      </c>
      <c r="I4530" s="46" t="e">
        <f>VLOOKUP(H4530,'合同高级查询数据-4月返'!A:A,1,FALSE)</f>
        <v>#N/A</v>
      </c>
      <c r="J4530" s="47" t="s">
        <v>90</v>
      </c>
      <c r="K4530" s="203" t="s">
        <v>5841</v>
      </c>
      <c r="L4530" s="206"/>
      <c r="M4530" s="49" t="s">
        <v>5695</v>
      </c>
      <c r="N4530" s="73">
        <v>44278</v>
      </c>
      <c r="O4530" s="73" t="s">
        <v>507</v>
      </c>
      <c r="P4530" s="396">
        <v>9580</v>
      </c>
      <c r="Q4530" s="212">
        <v>13</v>
      </c>
      <c r="R4530" s="386">
        <f t="shared" si="145"/>
        <v>124540</v>
      </c>
      <c r="S4530" s="279">
        <v>202304</v>
      </c>
      <c r="T4530" s="184" t="s">
        <v>5892</v>
      </c>
      <c r="U4530" s="213"/>
      <c r="V4530" s="210"/>
      <c r="W4530" s="214"/>
      <c r="X4530" s="73">
        <v>43815</v>
      </c>
      <c r="Y4530" s="73">
        <v>46006</v>
      </c>
    </row>
    <row r="4531" s="5" customFormat="1" customHeight="1" spans="1:25">
      <c r="A4531" s="203" t="s">
        <v>444</v>
      </c>
      <c r="B4531" s="204" t="s">
        <v>5519</v>
      </c>
      <c r="C4531" s="204" t="s">
        <v>125</v>
      </c>
      <c r="D4531" s="204" t="s">
        <v>3939</v>
      </c>
      <c r="E4531" s="205" t="s">
        <v>5823</v>
      </c>
      <c r="F4531" s="203" t="s">
        <v>5824</v>
      </c>
      <c r="G4531" s="203" t="s">
        <v>88</v>
      </c>
      <c r="H4531" s="25" t="s">
        <v>5840</v>
      </c>
      <c r="I4531" s="46" t="e">
        <f>VLOOKUP(H4531,'合同高级查询数据-4月返'!A:A,1,FALSE)</f>
        <v>#N/A</v>
      </c>
      <c r="J4531" s="47" t="s">
        <v>90</v>
      </c>
      <c r="K4531" s="203" t="s">
        <v>5841</v>
      </c>
      <c r="L4531" s="206"/>
      <c r="M4531" s="49" t="s">
        <v>5695</v>
      </c>
      <c r="N4531" s="73">
        <v>44278</v>
      </c>
      <c r="O4531" s="73" t="s">
        <v>507</v>
      </c>
      <c r="P4531" s="396">
        <v>9580</v>
      </c>
      <c r="Q4531" s="212">
        <v>4</v>
      </c>
      <c r="R4531" s="386">
        <f t="shared" si="145"/>
        <v>38320</v>
      </c>
      <c r="S4531" s="279">
        <v>202304</v>
      </c>
      <c r="T4531" s="184" t="s">
        <v>5893</v>
      </c>
      <c r="U4531" s="213"/>
      <c r="V4531" s="210"/>
      <c r="W4531" s="214"/>
      <c r="X4531" s="73">
        <v>43815</v>
      </c>
      <c r="Y4531" s="73">
        <v>46006</v>
      </c>
    </row>
    <row r="4532" s="5" customFormat="1" customHeight="1" spans="1:25">
      <c r="A4532" s="203" t="s">
        <v>444</v>
      </c>
      <c r="B4532" s="204" t="s">
        <v>5519</v>
      </c>
      <c r="C4532" s="204" t="s">
        <v>125</v>
      </c>
      <c r="D4532" s="204" t="s">
        <v>3939</v>
      </c>
      <c r="E4532" s="205" t="s">
        <v>5823</v>
      </c>
      <c r="F4532" s="203" t="s">
        <v>5824</v>
      </c>
      <c r="G4532" s="203" t="s">
        <v>88</v>
      </c>
      <c r="H4532" s="25" t="s">
        <v>5840</v>
      </c>
      <c r="I4532" s="46" t="e">
        <f>VLOOKUP(H4532,'合同高级查询数据-4月返'!A:A,1,FALSE)</f>
        <v>#N/A</v>
      </c>
      <c r="J4532" s="47" t="s">
        <v>90</v>
      </c>
      <c r="K4532" s="203" t="s">
        <v>5841</v>
      </c>
      <c r="L4532" s="206"/>
      <c r="M4532" s="49" t="s">
        <v>5695</v>
      </c>
      <c r="N4532" s="73">
        <v>44286</v>
      </c>
      <c r="O4532" s="73" t="s">
        <v>507</v>
      </c>
      <c r="P4532" s="396">
        <v>9580</v>
      </c>
      <c r="Q4532" s="212">
        <v>6</v>
      </c>
      <c r="R4532" s="386">
        <f t="shared" si="145"/>
        <v>57480</v>
      </c>
      <c r="S4532" s="279">
        <v>202304</v>
      </c>
      <c r="T4532" s="184" t="s">
        <v>5894</v>
      </c>
      <c r="U4532" s="213"/>
      <c r="V4532" s="210"/>
      <c r="W4532" s="214"/>
      <c r="X4532" s="73">
        <v>43815</v>
      </c>
      <c r="Y4532" s="73">
        <v>46006</v>
      </c>
    </row>
    <row r="4533" s="5" customFormat="1" customHeight="1" spans="1:25">
      <c r="A4533" s="203" t="s">
        <v>444</v>
      </c>
      <c r="B4533" s="204" t="s">
        <v>5519</v>
      </c>
      <c r="C4533" s="204" t="s">
        <v>125</v>
      </c>
      <c r="D4533" s="204" t="s">
        <v>3939</v>
      </c>
      <c r="E4533" s="205" t="s">
        <v>5823</v>
      </c>
      <c r="F4533" s="203" t="s">
        <v>5824</v>
      </c>
      <c r="G4533" s="203" t="s">
        <v>88</v>
      </c>
      <c r="H4533" s="25" t="s">
        <v>5840</v>
      </c>
      <c r="I4533" s="46" t="e">
        <f>VLOOKUP(H4533,'合同高级查询数据-4月返'!A:A,1,FALSE)</f>
        <v>#N/A</v>
      </c>
      <c r="J4533" s="47" t="s">
        <v>90</v>
      </c>
      <c r="K4533" s="203" t="s">
        <v>5841</v>
      </c>
      <c r="L4533" s="206"/>
      <c r="M4533" s="49" t="s">
        <v>5695</v>
      </c>
      <c r="N4533" s="73">
        <v>44286</v>
      </c>
      <c r="O4533" s="73" t="s">
        <v>507</v>
      </c>
      <c r="P4533" s="396">
        <v>9580</v>
      </c>
      <c r="Q4533" s="212">
        <v>19</v>
      </c>
      <c r="R4533" s="386">
        <f t="shared" si="145"/>
        <v>182020</v>
      </c>
      <c r="S4533" s="279">
        <v>202304</v>
      </c>
      <c r="T4533" s="184" t="s">
        <v>5895</v>
      </c>
      <c r="U4533" s="213"/>
      <c r="V4533" s="210"/>
      <c r="W4533" s="214"/>
      <c r="X4533" s="73">
        <v>43815</v>
      </c>
      <c r="Y4533" s="73">
        <v>46006</v>
      </c>
    </row>
    <row r="4534" s="5" customFormat="1" customHeight="1" spans="1:25">
      <c r="A4534" s="203" t="s">
        <v>444</v>
      </c>
      <c r="B4534" s="204" t="s">
        <v>5519</v>
      </c>
      <c r="C4534" s="204" t="s">
        <v>125</v>
      </c>
      <c r="D4534" s="204" t="s">
        <v>3939</v>
      </c>
      <c r="E4534" s="205" t="s">
        <v>5823</v>
      </c>
      <c r="F4534" s="203" t="s">
        <v>5824</v>
      </c>
      <c r="G4534" s="203" t="s">
        <v>88</v>
      </c>
      <c r="H4534" s="25" t="s">
        <v>5840</v>
      </c>
      <c r="I4534" s="46" t="e">
        <f>VLOOKUP(H4534,'合同高级查询数据-4月返'!A:A,1,FALSE)</f>
        <v>#N/A</v>
      </c>
      <c r="J4534" s="47" t="s">
        <v>90</v>
      </c>
      <c r="K4534" s="203" t="s">
        <v>5841</v>
      </c>
      <c r="L4534" s="206"/>
      <c r="M4534" s="49" t="s">
        <v>5695</v>
      </c>
      <c r="N4534" s="73">
        <v>44286</v>
      </c>
      <c r="O4534" s="73" t="s">
        <v>507</v>
      </c>
      <c r="P4534" s="396">
        <v>9580</v>
      </c>
      <c r="Q4534" s="212">
        <v>4</v>
      </c>
      <c r="R4534" s="386">
        <f t="shared" si="145"/>
        <v>38320</v>
      </c>
      <c r="S4534" s="279">
        <v>202304</v>
      </c>
      <c r="T4534" s="184" t="s">
        <v>5896</v>
      </c>
      <c r="U4534" s="213"/>
      <c r="V4534" s="210"/>
      <c r="W4534" s="214"/>
      <c r="X4534" s="73">
        <v>43815</v>
      </c>
      <c r="Y4534" s="73">
        <v>46006</v>
      </c>
    </row>
    <row r="4535" s="5" customFormat="1" customHeight="1" spans="1:25">
      <c r="A4535" s="203" t="s">
        <v>444</v>
      </c>
      <c r="B4535" s="204" t="s">
        <v>5519</v>
      </c>
      <c r="C4535" s="204" t="s">
        <v>125</v>
      </c>
      <c r="D4535" s="204" t="s">
        <v>3939</v>
      </c>
      <c r="E4535" s="205" t="s">
        <v>5823</v>
      </c>
      <c r="F4535" s="203" t="s">
        <v>5824</v>
      </c>
      <c r="G4535" s="203" t="s">
        <v>88</v>
      </c>
      <c r="H4535" s="25" t="s">
        <v>5840</v>
      </c>
      <c r="I4535" s="46" t="e">
        <f>VLOOKUP(H4535,'合同高级查询数据-4月返'!A:A,1,FALSE)</f>
        <v>#N/A</v>
      </c>
      <c r="J4535" s="47" t="s">
        <v>90</v>
      </c>
      <c r="K4535" s="203" t="s">
        <v>5841</v>
      </c>
      <c r="L4535" s="206"/>
      <c r="M4535" s="49" t="s">
        <v>5695</v>
      </c>
      <c r="N4535" s="73">
        <v>44288</v>
      </c>
      <c r="O4535" s="73" t="s">
        <v>507</v>
      </c>
      <c r="P4535" s="396">
        <v>9580</v>
      </c>
      <c r="Q4535" s="212">
        <v>2</v>
      </c>
      <c r="R4535" s="386">
        <f t="shared" si="145"/>
        <v>19160</v>
      </c>
      <c r="S4535" s="279">
        <v>202304</v>
      </c>
      <c r="T4535" s="184" t="s">
        <v>5897</v>
      </c>
      <c r="U4535" s="213"/>
      <c r="V4535" s="210"/>
      <c r="W4535" s="214"/>
      <c r="X4535" s="73">
        <v>43815</v>
      </c>
      <c r="Y4535" s="73">
        <v>46006</v>
      </c>
    </row>
    <row r="4536" s="5" customFormat="1" customHeight="1" spans="1:25">
      <c r="A4536" s="203" t="s">
        <v>444</v>
      </c>
      <c r="B4536" s="204" t="s">
        <v>5519</v>
      </c>
      <c r="C4536" s="204" t="s">
        <v>125</v>
      </c>
      <c r="D4536" s="204" t="s">
        <v>3939</v>
      </c>
      <c r="E4536" s="205" t="s">
        <v>5823</v>
      </c>
      <c r="F4536" s="203" t="s">
        <v>5824</v>
      </c>
      <c r="G4536" s="203" t="s">
        <v>88</v>
      </c>
      <c r="H4536" s="25" t="s">
        <v>5840</v>
      </c>
      <c r="I4536" s="46" t="e">
        <f>VLOOKUP(H4536,'合同高级查询数据-4月返'!A:A,1,FALSE)</f>
        <v>#N/A</v>
      </c>
      <c r="J4536" s="47" t="s">
        <v>90</v>
      </c>
      <c r="K4536" s="203" t="s">
        <v>5841</v>
      </c>
      <c r="L4536" s="206"/>
      <c r="M4536" s="49" t="s">
        <v>5695</v>
      </c>
      <c r="N4536" s="73">
        <v>44290</v>
      </c>
      <c r="O4536" s="73" t="s">
        <v>507</v>
      </c>
      <c r="P4536" s="396">
        <v>9580</v>
      </c>
      <c r="Q4536" s="212">
        <v>1</v>
      </c>
      <c r="R4536" s="386">
        <f t="shared" si="145"/>
        <v>9580</v>
      </c>
      <c r="S4536" s="279">
        <v>202304</v>
      </c>
      <c r="T4536" s="184" t="s">
        <v>5898</v>
      </c>
      <c r="U4536" s="213"/>
      <c r="V4536" s="210"/>
      <c r="W4536" s="214"/>
      <c r="X4536" s="73">
        <v>43815</v>
      </c>
      <c r="Y4536" s="73">
        <v>46006</v>
      </c>
    </row>
    <row r="4537" s="5" customFormat="1" customHeight="1" spans="1:25">
      <c r="A4537" s="203" t="s">
        <v>444</v>
      </c>
      <c r="B4537" s="204" t="s">
        <v>5519</v>
      </c>
      <c r="C4537" s="204" t="s">
        <v>125</v>
      </c>
      <c r="D4537" s="204" t="s">
        <v>3939</v>
      </c>
      <c r="E4537" s="205" t="s">
        <v>5823</v>
      </c>
      <c r="F4537" s="203" t="s">
        <v>5824</v>
      </c>
      <c r="G4537" s="203" t="s">
        <v>88</v>
      </c>
      <c r="H4537" s="25" t="s">
        <v>5840</v>
      </c>
      <c r="I4537" s="46" t="e">
        <f>VLOOKUP(H4537,'合同高级查询数据-4月返'!A:A,1,FALSE)</f>
        <v>#N/A</v>
      </c>
      <c r="J4537" s="47" t="s">
        <v>90</v>
      </c>
      <c r="K4537" s="203" t="s">
        <v>5841</v>
      </c>
      <c r="L4537" s="206"/>
      <c r="M4537" s="49" t="s">
        <v>5695</v>
      </c>
      <c r="N4537" s="73">
        <v>44293</v>
      </c>
      <c r="O4537" s="73" t="s">
        <v>507</v>
      </c>
      <c r="P4537" s="396">
        <v>9580</v>
      </c>
      <c r="Q4537" s="212">
        <v>4</v>
      </c>
      <c r="R4537" s="386">
        <f t="shared" si="145"/>
        <v>38320</v>
      </c>
      <c r="S4537" s="279">
        <v>202304</v>
      </c>
      <c r="T4537" s="184" t="s">
        <v>5899</v>
      </c>
      <c r="U4537" s="213"/>
      <c r="V4537" s="210"/>
      <c r="W4537" s="214"/>
      <c r="X4537" s="73">
        <v>43815</v>
      </c>
      <c r="Y4537" s="73">
        <v>46006</v>
      </c>
    </row>
    <row r="4538" s="5" customFormat="1" customHeight="1" spans="1:25">
      <c r="A4538" s="203" t="s">
        <v>444</v>
      </c>
      <c r="B4538" s="204" t="s">
        <v>5519</v>
      </c>
      <c r="C4538" s="204" t="s">
        <v>125</v>
      </c>
      <c r="D4538" s="204" t="s">
        <v>3939</v>
      </c>
      <c r="E4538" s="205" t="s">
        <v>5823</v>
      </c>
      <c r="F4538" s="203" t="s">
        <v>5824</v>
      </c>
      <c r="G4538" s="203" t="s">
        <v>88</v>
      </c>
      <c r="H4538" s="25" t="s">
        <v>5840</v>
      </c>
      <c r="I4538" s="46" t="e">
        <f>VLOOKUP(H4538,'合同高级查询数据-4月返'!A:A,1,FALSE)</f>
        <v>#N/A</v>
      </c>
      <c r="J4538" s="47" t="s">
        <v>90</v>
      </c>
      <c r="K4538" s="203" t="s">
        <v>5841</v>
      </c>
      <c r="L4538" s="206"/>
      <c r="M4538" s="49" t="s">
        <v>5695</v>
      </c>
      <c r="N4538" s="73">
        <v>44301</v>
      </c>
      <c r="O4538" s="73" t="s">
        <v>507</v>
      </c>
      <c r="P4538" s="396">
        <v>9580</v>
      </c>
      <c r="Q4538" s="212">
        <v>16</v>
      </c>
      <c r="R4538" s="386">
        <f t="shared" si="145"/>
        <v>153280</v>
      </c>
      <c r="S4538" s="279">
        <v>202304</v>
      </c>
      <c r="T4538" s="184" t="s">
        <v>5900</v>
      </c>
      <c r="U4538" s="213"/>
      <c r="V4538" s="210"/>
      <c r="W4538" s="214"/>
      <c r="X4538" s="73">
        <v>43815</v>
      </c>
      <c r="Y4538" s="73">
        <v>46006</v>
      </c>
    </row>
    <row r="4539" s="5" customFormat="1" customHeight="1" spans="1:25">
      <c r="A4539" s="203" t="s">
        <v>444</v>
      </c>
      <c r="B4539" s="204" t="s">
        <v>5519</v>
      </c>
      <c r="C4539" s="204" t="s">
        <v>125</v>
      </c>
      <c r="D4539" s="204" t="s">
        <v>3939</v>
      </c>
      <c r="E4539" s="205" t="s">
        <v>5823</v>
      </c>
      <c r="F4539" s="203" t="s">
        <v>5824</v>
      </c>
      <c r="G4539" s="203" t="s">
        <v>88</v>
      </c>
      <c r="H4539" s="25" t="s">
        <v>5840</v>
      </c>
      <c r="I4539" s="46" t="e">
        <f>VLOOKUP(H4539,'合同高级查询数据-4月返'!A:A,1,FALSE)</f>
        <v>#N/A</v>
      </c>
      <c r="J4539" s="47" t="s">
        <v>90</v>
      </c>
      <c r="K4539" s="203" t="s">
        <v>5841</v>
      </c>
      <c r="L4539" s="206"/>
      <c r="M4539" s="49" t="s">
        <v>5695</v>
      </c>
      <c r="N4539" s="73">
        <v>44306</v>
      </c>
      <c r="O4539" s="73" t="s">
        <v>507</v>
      </c>
      <c r="P4539" s="396">
        <v>9580</v>
      </c>
      <c r="Q4539" s="212">
        <v>7</v>
      </c>
      <c r="R4539" s="386">
        <f t="shared" si="145"/>
        <v>67060</v>
      </c>
      <c r="S4539" s="279">
        <v>202304</v>
      </c>
      <c r="T4539" s="184" t="s">
        <v>5901</v>
      </c>
      <c r="U4539" s="213"/>
      <c r="V4539" s="210"/>
      <c r="W4539" s="214"/>
      <c r="X4539" s="73">
        <v>43815</v>
      </c>
      <c r="Y4539" s="73">
        <v>46006</v>
      </c>
    </row>
    <row r="4540" s="5" customFormat="1" customHeight="1" spans="1:25">
      <c r="A4540" s="203" t="s">
        <v>444</v>
      </c>
      <c r="B4540" s="204" t="s">
        <v>5519</v>
      </c>
      <c r="C4540" s="204" t="s">
        <v>125</v>
      </c>
      <c r="D4540" s="204" t="s">
        <v>3939</v>
      </c>
      <c r="E4540" s="205" t="s">
        <v>5823</v>
      </c>
      <c r="F4540" s="203" t="s">
        <v>5824</v>
      </c>
      <c r="G4540" s="203" t="s">
        <v>88</v>
      </c>
      <c r="H4540" s="25" t="s">
        <v>5840</v>
      </c>
      <c r="I4540" s="46" t="e">
        <f>VLOOKUP(H4540,'合同高级查询数据-4月返'!A:A,1,FALSE)</f>
        <v>#N/A</v>
      </c>
      <c r="J4540" s="47" t="s">
        <v>90</v>
      </c>
      <c r="K4540" s="203" t="s">
        <v>5841</v>
      </c>
      <c r="L4540" s="206"/>
      <c r="M4540" s="49" t="s">
        <v>5695</v>
      </c>
      <c r="N4540" s="73">
        <v>44306</v>
      </c>
      <c r="O4540" s="73" t="s">
        <v>503</v>
      </c>
      <c r="P4540" s="396">
        <v>4790</v>
      </c>
      <c r="Q4540" s="212">
        <v>1</v>
      </c>
      <c r="R4540" s="386">
        <f t="shared" si="145"/>
        <v>4790</v>
      </c>
      <c r="S4540" s="279">
        <v>202304</v>
      </c>
      <c r="T4540" s="184" t="s">
        <v>5902</v>
      </c>
      <c r="U4540" s="213"/>
      <c r="V4540" s="210"/>
      <c r="W4540" s="214"/>
      <c r="X4540" s="73">
        <v>43815</v>
      </c>
      <c r="Y4540" s="73">
        <v>46006</v>
      </c>
    </row>
    <row r="4541" s="5" customFormat="1" customHeight="1" spans="1:25">
      <c r="A4541" s="203" t="s">
        <v>444</v>
      </c>
      <c r="B4541" s="204" t="s">
        <v>5519</v>
      </c>
      <c r="C4541" s="204" t="s">
        <v>125</v>
      </c>
      <c r="D4541" s="204" t="s">
        <v>3939</v>
      </c>
      <c r="E4541" s="205" t="s">
        <v>5823</v>
      </c>
      <c r="F4541" s="203" t="s">
        <v>5824</v>
      </c>
      <c r="G4541" s="203" t="s">
        <v>88</v>
      </c>
      <c r="H4541" s="25" t="s">
        <v>5840</v>
      </c>
      <c r="I4541" s="46" t="e">
        <f>VLOOKUP(H4541,'合同高级查询数据-4月返'!A:A,1,FALSE)</f>
        <v>#N/A</v>
      </c>
      <c r="J4541" s="47" t="s">
        <v>90</v>
      </c>
      <c r="K4541" s="203" t="s">
        <v>5841</v>
      </c>
      <c r="L4541" s="206"/>
      <c r="M4541" s="49" t="s">
        <v>5695</v>
      </c>
      <c r="N4541" s="73">
        <v>44309</v>
      </c>
      <c r="O4541" s="73" t="s">
        <v>507</v>
      </c>
      <c r="P4541" s="396">
        <v>9580</v>
      </c>
      <c r="Q4541" s="212">
        <v>19</v>
      </c>
      <c r="R4541" s="386">
        <f t="shared" si="145"/>
        <v>182020</v>
      </c>
      <c r="S4541" s="279">
        <v>202304</v>
      </c>
      <c r="T4541" s="184" t="s">
        <v>5903</v>
      </c>
      <c r="U4541" s="213"/>
      <c r="V4541" s="210"/>
      <c r="W4541" s="214"/>
      <c r="X4541" s="73">
        <v>43815</v>
      </c>
      <c r="Y4541" s="73">
        <v>46006</v>
      </c>
    </row>
    <row r="4542" s="5" customFormat="1" customHeight="1" spans="1:25">
      <c r="A4542" s="203" t="s">
        <v>444</v>
      </c>
      <c r="B4542" s="204" t="s">
        <v>5519</v>
      </c>
      <c r="C4542" s="204" t="s">
        <v>125</v>
      </c>
      <c r="D4542" s="204" t="s">
        <v>3939</v>
      </c>
      <c r="E4542" s="205" t="s">
        <v>5823</v>
      </c>
      <c r="F4542" s="203" t="s">
        <v>5824</v>
      </c>
      <c r="G4542" s="203" t="s">
        <v>88</v>
      </c>
      <c r="H4542" s="25" t="s">
        <v>5840</v>
      </c>
      <c r="I4542" s="46" t="e">
        <f>VLOOKUP(H4542,'合同高级查询数据-4月返'!A:A,1,FALSE)</f>
        <v>#N/A</v>
      </c>
      <c r="J4542" s="47" t="s">
        <v>90</v>
      </c>
      <c r="K4542" s="203" t="s">
        <v>5841</v>
      </c>
      <c r="L4542" s="206"/>
      <c r="M4542" s="49" t="s">
        <v>5695</v>
      </c>
      <c r="N4542" s="73">
        <v>44315</v>
      </c>
      <c r="O4542" s="73" t="s">
        <v>507</v>
      </c>
      <c r="P4542" s="396">
        <v>9580</v>
      </c>
      <c r="Q4542" s="212">
        <v>14</v>
      </c>
      <c r="R4542" s="386">
        <f t="shared" si="145"/>
        <v>134120</v>
      </c>
      <c r="S4542" s="279">
        <v>202304</v>
      </c>
      <c r="T4542" s="184" t="s">
        <v>5904</v>
      </c>
      <c r="U4542" s="213"/>
      <c r="V4542" s="210"/>
      <c r="W4542" s="214"/>
      <c r="X4542" s="73">
        <v>43815</v>
      </c>
      <c r="Y4542" s="73">
        <v>46006</v>
      </c>
    </row>
    <row r="4543" s="5" customFormat="1" customHeight="1" spans="1:25">
      <c r="A4543" s="203" t="s">
        <v>444</v>
      </c>
      <c r="B4543" s="204" t="s">
        <v>5519</v>
      </c>
      <c r="C4543" s="204" t="s">
        <v>125</v>
      </c>
      <c r="D4543" s="204" t="s">
        <v>3939</v>
      </c>
      <c r="E4543" s="205" t="s">
        <v>5823</v>
      </c>
      <c r="F4543" s="203" t="s">
        <v>5824</v>
      </c>
      <c r="G4543" s="203" t="s">
        <v>88</v>
      </c>
      <c r="H4543" s="25" t="s">
        <v>5840</v>
      </c>
      <c r="I4543" s="46" t="e">
        <f>VLOOKUP(H4543,'合同高级查询数据-4月返'!A:A,1,FALSE)</f>
        <v>#N/A</v>
      </c>
      <c r="J4543" s="47" t="s">
        <v>90</v>
      </c>
      <c r="K4543" s="203" t="s">
        <v>5841</v>
      </c>
      <c r="L4543" s="206"/>
      <c r="M4543" s="49" t="s">
        <v>5695</v>
      </c>
      <c r="N4543" s="73">
        <v>44316</v>
      </c>
      <c r="O4543" s="73" t="s">
        <v>507</v>
      </c>
      <c r="P4543" s="396">
        <v>9580</v>
      </c>
      <c r="Q4543" s="212">
        <v>17</v>
      </c>
      <c r="R4543" s="386">
        <f t="shared" si="145"/>
        <v>162860</v>
      </c>
      <c r="S4543" s="279">
        <v>202304</v>
      </c>
      <c r="T4543" s="184" t="s">
        <v>5905</v>
      </c>
      <c r="U4543" s="213"/>
      <c r="V4543" s="210"/>
      <c r="W4543" s="214"/>
      <c r="X4543" s="73">
        <v>43815</v>
      </c>
      <c r="Y4543" s="73">
        <v>46006</v>
      </c>
    </row>
    <row r="4544" s="5" customFormat="1" customHeight="1" spans="1:25">
      <c r="A4544" s="203" t="s">
        <v>444</v>
      </c>
      <c r="B4544" s="204" t="s">
        <v>5519</v>
      </c>
      <c r="C4544" s="204" t="s">
        <v>125</v>
      </c>
      <c r="D4544" s="204" t="s">
        <v>3939</v>
      </c>
      <c r="E4544" s="205" t="s">
        <v>5823</v>
      </c>
      <c r="F4544" s="203" t="s">
        <v>5824</v>
      </c>
      <c r="G4544" s="203" t="s">
        <v>88</v>
      </c>
      <c r="H4544" s="25" t="s">
        <v>5840</v>
      </c>
      <c r="I4544" s="46" t="e">
        <f>VLOOKUP(H4544,'合同高级查询数据-4月返'!A:A,1,FALSE)</f>
        <v>#N/A</v>
      </c>
      <c r="J4544" s="47" t="s">
        <v>90</v>
      </c>
      <c r="K4544" s="203" t="s">
        <v>5841</v>
      </c>
      <c r="L4544" s="206"/>
      <c r="M4544" s="49" t="s">
        <v>5695</v>
      </c>
      <c r="N4544" s="73">
        <v>44322</v>
      </c>
      <c r="O4544" s="73" t="s">
        <v>507</v>
      </c>
      <c r="P4544" s="396">
        <v>9580</v>
      </c>
      <c r="Q4544" s="212">
        <v>11</v>
      </c>
      <c r="R4544" s="386">
        <f t="shared" si="145"/>
        <v>105380</v>
      </c>
      <c r="S4544" s="279">
        <v>202304</v>
      </c>
      <c r="T4544" s="184" t="s">
        <v>5906</v>
      </c>
      <c r="U4544" s="213"/>
      <c r="V4544" s="210"/>
      <c r="W4544" s="214"/>
      <c r="X4544" s="73">
        <v>43815</v>
      </c>
      <c r="Y4544" s="73">
        <v>46006</v>
      </c>
    </row>
    <row r="4545" s="5" customFormat="1" customHeight="1" spans="1:25">
      <c r="A4545" s="203" t="s">
        <v>444</v>
      </c>
      <c r="B4545" s="204" t="s">
        <v>5519</v>
      </c>
      <c r="C4545" s="204" t="s">
        <v>125</v>
      </c>
      <c r="D4545" s="204" t="s">
        <v>3939</v>
      </c>
      <c r="E4545" s="205" t="s">
        <v>5823</v>
      </c>
      <c r="F4545" s="203" t="s">
        <v>5824</v>
      </c>
      <c r="G4545" s="203" t="s">
        <v>88</v>
      </c>
      <c r="H4545" s="25" t="s">
        <v>5840</v>
      </c>
      <c r="I4545" s="46" t="e">
        <f>VLOOKUP(H4545,'合同高级查询数据-4月返'!A:A,1,FALSE)</f>
        <v>#N/A</v>
      </c>
      <c r="J4545" s="47" t="s">
        <v>90</v>
      </c>
      <c r="K4545" s="203" t="s">
        <v>5841</v>
      </c>
      <c r="L4545" s="206"/>
      <c r="M4545" s="49" t="s">
        <v>5695</v>
      </c>
      <c r="N4545" s="73">
        <v>44322</v>
      </c>
      <c r="O4545" s="73" t="s">
        <v>503</v>
      </c>
      <c r="P4545" s="396">
        <v>4790</v>
      </c>
      <c r="Q4545" s="212">
        <v>4</v>
      </c>
      <c r="R4545" s="386">
        <f t="shared" si="145"/>
        <v>19160</v>
      </c>
      <c r="S4545" s="279">
        <v>202304</v>
      </c>
      <c r="T4545" s="184" t="s">
        <v>5907</v>
      </c>
      <c r="U4545" s="213"/>
      <c r="V4545" s="210"/>
      <c r="W4545" s="214"/>
      <c r="X4545" s="73">
        <v>43815</v>
      </c>
      <c r="Y4545" s="73">
        <v>46006</v>
      </c>
    </row>
    <row r="4546" s="5" customFormat="1" customHeight="1" spans="1:25">
      <c r="A4546" s="203" t="s">
        <v>444</v>
      </c>
      <c r="B4546" s="204" t="s">
        <v>5519</v>
      </c>
      <c r="C4546" s="204" t="s">
        <v>125</v>
      </c>
      <c r="D4546" s="204" t="s">
        <v>3939</v>
      </c>
      <c r="E4546" s="205" t="s">
        <v>5823</v>
      </c>
      <c r="F4546" s="203" t="s">
        <v>5824</v>
      </c>
      <c r="G4546" s="203" t="s">
        <v>88</v>
      </c>
      <c r="H4546" s="25" t="s">
        <v>5840</v>
      </c>
      <c r="I4546" s="46" t="e">
        <f>VLOOKUP(H4546,'合同高级查询数据-4月返'!A:A,1,FALSE)</f>
        <v>#N/A</v>
      </c>
      <c r="J4546" s="47" t="s">
        <v>90</v>
      </c>
      <c r="K4546" s="203" t="s">
        <v>5841</v>
      </c>
      <c r="L4546" s="206"/>
      <c r="M4546" s="49" t="s">
        <v>5695</v>
      </c>
      <c r="N4546" s="73">
        <v>44323</v>
      </c>
      <c r="O4546" s="73" t="s">
        <v>507</v>
      </c>
      <c r="P4546" s="396">
        <v>9580</v>
      </c>
      <c r="Q4546" s="212">
        <v>1</v>
      </c>
      <c r="R4546" s="386">
        <f t="shared" si="145"/>
        <v>9580</v>
      </c>
      <c r="S4546" s="279">
        <v>202304</v>
      </c>
      <c r="T4546" s="184" t="s">
        <v>5908</v>
      </c>
      <c r="U4546" s="213"/>
      <c r="V4546" s="210"/>
      <c r="W4546" s="214"/>
      <c r="X4546" s="73">
        <v>43815</v>
      </c>
      <c r="Y4546" s="73">
        <v>46006</v>
      </c>
    </row>
    <row r="4547" s="5" customFormat="1" customHeight="1" spans="1:25">
      <c r="A4547" s="203" t="s">
        <v>444</v>
      </c>
      <c r="B4547" s="204" t="s">
        <v>5519</v>
      </c>
      <c r="C4547" s="204" t="s">
        <v>125</v>
      </c>
      <c r="D4547" s="204" t="s">
        <v>3939</v>
      </c>
      <c r="E4547" s="205" t="s">
        <v>5823</v>
      </c>
      <c r="F4547" s="203" t="s">
        <v>5824</v>
      </c>
      <c r="G4547" s="203" t="s">
        <v>88</v>
      </c>
      <c r="H4547" s="25" t="s">
        <v>5840</v>
      </c>
      <c r="I4547" s="46" t="e">
        <f>VLOOKUP(H4547,'合同高级查询数据-4月返'!A:A,1,FALSE)</f>
        <v>#N/A</v>
      </c>
      <c r="J4547" s="47" t="s">
        <v>90</v>
      </c>
      <c r="K4547" s="203" t="s">
        <v>5841</v>
      </c>
      <c r="L4547" s="206"/>
      <c r="M4547" s="49" t="s">
        <v>5695</v>
      </c>
      <c r="N4547" s="73">
        <v>44326</v>
      </c>
      <c r="O4547" s="73" t="s">
        <v>507</v>
      </c>
      <c r="P4547" s="396">
        <v>9580</v>
      </c>
      <c r="Q4547" s="212">
        <v>4</v>
      </c>
      <c r="R4547" s="386">
        <f t="shared" si="145"/>
        <v>38320</v>
      </c>
      <c r="S4547" s="279">
        <v>202304</v>
      </c>
      <c r="T4547" s="184" t="s">
        <v>5909</v>
      </c>
      <c r="U4547" s="213"/>
      <c r="V4547" s="210"/>
      <c r="W4547" s="214"/>
      <c r="X4547" s="73">
        <v>43815</v>
      </c>
      <c r="Y4547" s="73">
        <v>46006</v>
      </c>
    </row>
    <row r="4548" s="5" customFormat="1" customHeight="1" spans="1:25">
      <c r="A4548" s="203" t="s">
        <v>444</v>
      </c>
      <c r="B4548" s="204" t="s">
        <v>5519</v>
      </c>
      <c r="C4548" s="204" t="s">
        <v>125</v>
      </c>
      <c r="D4548" s="204" t="s">
        <v>3939</v>
      </c>
      <c r="E4548" s="205" t="s">
        <v>5823</v>
      </c>
      <c r="F4548" s="203" t="s">
        <v>5824</v>
      </c>
      <c r="G4548" s="203" t="s">
        <v>88</v>
      </c>
      <c r="H4548" s="25" t="s">
        <v>5840</v>
      </c>
      <c r="I4548" s="46" t="e">
        <f>VLOOKUP(H4548,'合同高级查询数据-4月返'!A:A,1,FALSE)</f>
        <v>#N/A</v>
      </c>
      <c r="J4548" s="47" t="s">
        <v>90</v>
      </c>
      <c r="K4548" s="203" t="s">
        <v>5841</v>
      </c>
      <c r="L4548" s="206"/>
      <c r="M4548" s="49" t="s">
        <v>5695</v>
      </c>
      <c r="N4548" s="73">
        <v>44327</v>
      </c>
      <c r="O4548" s="73" t="s">
        <v>507</v>
      </c>
      <c r="P4548" s="396">
        <v>9580</v>
      </c>
      <c r="Q4548" s="212">
        <v>6</v>
      </c>
      <c r="R4548" s="386">
        <f t="shared" ref="R4548:R4640" si="146">ROUND(P4548*Q4548,2)</f>
        <v>57480</v>
      </c>
      <c r="S4548" s="279">
        <v>202304</v>
      </c>
      <c r="T4548" s="184" t="s">
        <v>5910</v>
      </c>
      <c r="U4548" s="213"/>
      <c r="V4548" s="210"/>
      <c r="W4548" s="214"/>
      <c r="X4548" s="73">
        <v>43815</v>
      </c>
      <c r="Y4548" s="73">
        <v>46006</v>
      </c>
    </row>
    <row r="4549" s="5" customFormat="1" customHeight="1" spans="1:25">
      <c r="A4549" s="203" t="s">
        <v>444</v>
      </c>
      <c r="B4549" s="204" t="s">
        <v>5519</v>
      </c>
      <c r="C4549" s="204" t="s">
        <v>125</v>
      </c>
      <c r="D4549" s="204" t="s">
        <v>3939</v>
      </c>
      <c r="E4549" s="205" t="s">
        <v>5823</v>
      </c>
      <c r="F4549" s="203" t="s">
        <v>5824</v>
      </c>
      <c r="G4549" s="203" t="s">
        <v>88</v>
      </c>
      <c r="H4549" s="25" t="s">
        <v>5840</v>
      </c>
      <c r="I4549" s="46" t="e">
        <f>VLOOKUP(H4549,'合同高级查询数据-4月返'!A:A,1,FALSE)</f>
        <v>#N/A</v>
      </c>
      <c r="J4549" s="47" t="s">
        <v>90</v>
      </c>
      <c r="K4549" s="203" t="s">
        <v>5841</v>
      </c>
      <c r="L4549" s="206"/>
      <c r="M4549" s="49" t="s">
        <v>5695</v>
      </c>
      <c r="N4549" s="73">
        <v>44332</v>
      </c>
      <c r="O4549" s="73" t="s">
        <v>507</v>
      </c>
      <c r="P4549" s="396">
        <v>9580</v>
      </c>
      <c r="Q4549" s="212">
        <v>9</v>
      </c>
      <c r="R4549" s="386">
        <f t="shared" si="146"/>
        <v>86220</v>
      </c>
      <c r="S4549" s="279">
        <v>202304</v>
      </c>
      <c r="T4549" s="184" t="s">
        <v>5911</v>
      </c>
      <c r="U4549" s="213"/>
      <c r="V4549" s="210"/>
      <c r="W4549" s="214"/>
      <c r="X4549" s="73">
        <v>43815</v>
      </c>
      <c r="Y4549" s="73">
        <v>46006</v>
      </c>
    </row>
    <row r="4550" s="5" customFormat="1" customHeight="1" spans="1:25">
      <c r="A4550" s="203" t="s">
        <v>444</v>
      </c>
      <c r="B4550" s="204" t="s">
        <v>5519</v>
      </c>
      <c r="C4550" s="204" t="s">
        <v>125</v>
      </c>
      <c r="D4550" s="204" t="s">
        <v>3939</v>
      </c>
      <c r="E4550" s="205" t="s">
        <v>5823</v>
      </c>
      <c r="F4550" s="203" t="s">
        <v>5824</v>
      </c>
      <c r="G4550" s="203" t="s">
        <v>88</v>
      </c>
      <c r="H4550" s="25" t="s">
        <v>5840</v>
      </c>
      <c r="I4550" s="46" t="e">
        <f>VLOOKUP(H4550,'合同高级查询数据-4月返'!A:A,1,FALSE)</f>
        <v>#N/A</v>
      </c>
      <c r="J4550" s="47" t="s">
        <v>90</v>
      </c>
      <c r="K4550" s="203" t="s">
        <v>5841</v>
      </c>
      <c r="L4550" s="206"/>
      <c r="M4550" s="49" t="s">
        <v>5695</v>
      </c>
      <c r="N4550" s="73">
        <v>44333</v>
      </c>
      <c r="O4550" s="73" t="s">
        <v>507</v>
      </c>
      <c r="P4550" s="396">
        <v>9580</v>
      </c>
      <c r="Q4550" s="212">
        <v>1</v>
      </c>
      <c r="R4550" s="386">
        <f t="shared" si="146"/>
        <v>9580</v>
      </c>
      <c r="S4550" s="279">
        <v>202304</v>
      </c>
      <c r="T4550" s="184" t="s">
        <v>5912</v>
      </c>
      <c r="U4550" s="213"/>
      <c r="V4550" s="210"/>
      <c r="W4550" s="214"/>
      <c r="X4550" s="73">
        <v>43815</v>
      </c>
      <c r="Y4550" s="73">
        <v>46006</v>
      </c>
    </row>
    <row r="4551" s="5" customFormat="1" customHeight="1" spans="1:25">
      <c r="A4551" s="203" t="s">
        <v>444</v>
      </c>
      <c r="B4551" s="204" t="s">
        <v>5519</v>
      </c>
      <c r="C4551" s="204" t="s">
        <v>125</v>
      </c>
      <c r="D4551" s="204" t="s">
        <v>3939</v>
      </c>
      <c r="E4551" s="205" t="s">
        <v>5823</v>
      </c>
      <c r="F4551" s="203" t="s">
        <v>5824</v>
      </c>
      <c r="G4551" s="203" t="s">
        <v>88</v>
      </c>
      <c r="H4551" s="25" t="s">
        <v>5840</v>
      </c>
      <c r="I4551" s="46" t="e">
        <f>VLOOKUP(H4551,'合同高级查询数据-4月返'!A:A,1,FALSE)</f>
        <v>#N/A</v>
      </c>
      <c r="J4551" s="47" t="s">
        <v>90</v>
      </c>
      <c r="K4551" s="203" t="s">
        <v>5841</v>
      </c>
      <c r="L4551" s="206"/>
      <c r="M4551" s="49" t="s">
        <v>5695</v>
      </c>
      <c r="N4551" s="73">
        <v>44334</v>
      </c>
      <c r="O4551" s="73" t="s">
        <v>507</v>
      </c>
      <c r="P4551" s="396">
        <v>9580</v>
      </c>
      <c r="Q4551" s="212">
        <v>5</v>
      </c>
      <c r="R4551" s="386">
        <f t="shared" si="146"/>
        <v>47900</v>
      </c>
      <c r="S4551" s="279">
        <v>202304</v>
      </c>
      <c r="T4551" s="184" t="s">
        <v>5913</v>
      </c>
      <c r="U4551" s="213"/>
      <c r="V4551" s="210"/>
      <c r="W4551" s="214"/>
      <c r="X4551" s="73">
        <v>43815</v>
      </c>
      <c r="Y4551" s="73">
        <v>46006</v>
      </c>
    </row>
    <row r="4552" s="5" customFormat="1" customHeight="1" spans="1:25">
      <c r="A4552" s="203" t="s">
        <v>444</v>
      </c>
      <c r="B4552" s="204" t="s">
        <v>5519</v>
      </c>
      <c r="C4552" s="204" t="s">
        <v>125</v>
      </c>
      <c r="D4552" s="204" t="s">
        <v>3939</v>
      </c>
      <c r="E4552" s="205" t="s">
        <v>5823</v>
      </c>
      <c r="F4552" s="203" t="s">
        <v>5824</v>
      </c>
      <c r="G4552" s="203" t="s">
        <v>88</v>
      </c>
      <c r="H4552" s="25" t="s">
        <v>5840</v>
      </c>
      <c r="I4552" s="46" t="e">
        <f>VLOOKUP(H4552,'合同高级查询数据-4月返'!A:A,1,FALSE)</f>
        <v>#N/A</v>
      </c>
      <c r="J4552" s="47" t="s">
        <v>90</v>
      </c>
      <c r="K4552" s="203" t="s">
        <v>5841</v>
      </c>
      <c r="L4552" s="206"/>
      <c r="M4552" s="49" t="s">
        <v>5695</v>
      </c>
      <c r="N4552" s="73">
        <v>44351</v>
      </c>
      <c r="O4552" s="73" t="s">
        <v>507</v>
      </c>
      <c r="P4552" s="396">
        <v>9580</v>
      </c>
      <c r="Q4552" s="212">
        <v>5</v>
      </c>
      <c r="R4552" s="386">
        <f t="shared" si="146"/>
        <v>47900</v>
      </c>
      <c r="S4552" s="279">
        <v>202304</v>
      </c>
      <c r="T4552" s="184" t="s">
        <v>5914</v>
      </c>
      <c r="U4552" s="213"/>
      <c r="V4552" s="210"/>
      <c r="W4552" s="214"/>
      <c r="X4552" s="73">
        <v>43815</v>
      </c>
      <c r="Y4552" s="73">
        <v>46006</v>
      </c>
    </row>
    <row r="4553" s="5" customFormat="1" customHeight="1" spans="1:25">
      <c r="A4553" s="203" t="s">
        <v>444</v>
      </c>
      <c r="B4553" s="204" t="s">
        <v>5519</v>
      </c>
      <c r="C4553" s="204" t="s">
        <v>125</v>
      </c>
      <c r="D4553" s="204" t="s">
        <v>3939</v>
      </c>
      <c r="E4553" s="205" t="s">
        <v>5823</v>
      </c>
      <c r="F4553" s="203" t="s">
        <v>5824</v>
      </c>
      <c r="G4553" s="203" t="s">
        <v>88</v>
      </c>
      <c r="H4553" s="25" t="s">
        <v>5840</v>
      </c>
      <c r="I4553" s="46" t="e">
        <f>VLOOKUP(H4553,'合同高级查询数据-4月返'!A:A,1,FALSE)</f>
        <v>#N/A</v>
      </c>
      <c r="J4553" s="47" t="s">
        <v>90</v>
      </c>
      <c r="K4553" s="203" t="s">
        <v>5841</v>
      </c>
      <c r="L4553" s="206"/>
      <c r="M4553" s="49" t="s">
        <v>5695</v>
      </c>
      <c r="N4553" s="73">
        <v>44357</v>
      </c>
      <c r="O4553" s="73" t="s">
        <v>507</v>
      </c>
      <c r="P4553" s="396">
        <v>9580</v>
      </c>
      <c r="Q4553" s="212">
        <v>15</v>
      </c>
      <c r="R4553" s="386">
        <f t="shared" si="146"/>
        <v>143700</v>
      </c>
      <c r="S4553" s="279">
        <v>202304</v>
      </c>
      <c r="T4553" s="184" t="s">
        <v>5915</v>
      </c>
      <c r="U4553" s="213"/>
      <c r="V4553" s="210"/>
      <c r="W4553" s="214"/>
      <c r="X4553" s="73">
        <v>43815</v>
      </c>
      <c r="Y4553" s="73">
        <v>46006</v>
      </c>
    </row>
    <row r="4554" s="5" customFormat="1" customHeight="1" spans="1:25">
      <c r="A4554" s="203" t="s">
        <v>444</v>
      </c>
      <c r="B4554" s="204" t="s">
        <v>5519</v>
      </c>
      <c r="C4554" s="204" t="s">
        <v>125</v>
      </c>
      <c r="D4554" s="204" t="s">
        <v>3939</v>
      </c>
      <c r="E4554" s="205" t="s">
        <v>5823</v>
      </c>
      <c r="F4554" s="203" t="s">
        <v>5824</v>
      </c>
      <c r="G4554" s="203" t="s">
        <v>88</v>
      </c>
      <c r="H4554" s="25" t="s">
        <v>5840</v>
      </c>
      <c r="I4554" s="46" t="e">
        <f>VLOOKUP(H4554,'合同高级查询数据-4月返'!A:A,1,FALSE)</f>
        <v>#N/A</v>
      </c>
      <c r="J4554" s="47" t="s">
        <v>90</v>
      </c>
      <c r="K4554" s="203" t="s">
        <v>5841</v>
      </c>
      <c r="L4554" s="206"/>
      <c r="M4554" s="49" t="s">
        <v>5695</v>
      </c>
      <c r="N4554" s="73">
        <v>44357</v>
      </c>
      <c r="O4554" s="73" t="s">
        <v>595</v>
      </c>
      <c r="P4554" s="396">
        <v>38430</v>
      </c>
      <c r="Q4554" s="212">
        <v>2</v>
      </c>
      <c r="R4554" s="386">
        <f t="shared" si="146"/>
        <v>76860</v>
      </c>
      <c r="S4554" s="279">
        <v>202304</v>
      </c>
      <c r="T4554" s="184" t="s">
        <v>5916</v>
      </c>
      <c r="U4554" s="213"/>
      <c r="V4554" s="210"/>
      <c r="W4554" s="214"/>
      <c r="X4554" s="73">
        <v>43815</v>
      </c>
      <c r="Y4554" s="73">
        <v>46006</v>
      </c>
    </row>
    <row r="4555" s="5" customFormat="1" customHeight="1" spans="1:25">
      <c r="A4555" s="203" t="s">
        <v>444</v>
      </c>
      <c r="B4555" s="204" t="s">
        <v>5519</v>
      </c>
      <c r="C4555" s="204" t="s">
        <v>125</v>
      </c>
      <c r="D4555" s="204" t="s">
        <v>3939</v>
      </c>
      <c r="E4555" s="205" t="s">
        <v>5823</v>
      </c>
      <c r="F4555" s="203" t="s">
        <v>5824</v>
      </c>
      <c r="G4555" s="203" t="s">
        <v>88</v>
      </c>
      <c r="H4555" s="25" t="s">
        <v>5917</v>
      </c>
      <c r="I4555" s="46" t="e">
        <f>VLOOKUP(H4555,'合同高级查询数据-4月返'!A:A,1,FALSE)</f>
        <v>#N/A</v>
      </c>
      <c r="J4555" s="47" t="s">
        <v>90</v>
      </c>
      <c r="K4555" s="203" t="s">
        <v>5841</v>
      </c>
      <c r="L4555" s="206"/>
      <c r="M4555" s="49" t="s">
        <v>5918</v>
      </c>
      <c r="N4555" s="73">
        <v>44368</v>
      </c>
      <c r="O4555" s="73" t="s">
        <v>92</v>
      </c>
      <c r="P4555" s="396">
        <v>3950</v>
      </c>
      <c r="Q4555" s="212">
        <v>1</v>
      </c>
      <c r="R4555" s="386">
        <f t="shared" si="146"/>
        <v>3950</v>
      </c>
      <c r="S4555" s="279">
        <v>202304</v>
      </c>
      <c r="T4555" s="184" t="s">
        <v>5919</v>
      </c>
      <c r="U4555" s="213"/>
      <c r="V4555" s="210"/>
      <c r="W4555" s="214"/>
      <c r="X4555" s="73">
        <v>44368</v>
      </c>
      <c r="Y4555" s="73">
        <v>46006</v>
      </c>
    </row>
    <row r="4556" s="5" customFormat="1" customHeight="1" spans="1:25">
      <c r="A4556" s="203" t="s">
        <v>444</v>
      </c>
      <c r="B4556" s="204" t="s">
        <v>5519</v>
      </c>
      <c r="C4556" s="204" t="s">
        <v>125</v>
      </c>
      <c r="D4556" s="204" t="s">
        <v>3939</v>
      </c>
      <c r="E4556" s="205" t="s">
        <v>5823</v>
      </c>
      <c r="F4556" s="203" t="s">
        <v>5824</v>
      </c>
      <c r="G4556" s="203" t="s">
        <v>88</v>
      </c>
      <c r="H4556" s="25" t="s">
        <v>5840</v>
      </c>
      <c r="I4556" s="46" t="e">
        <f>VLOOKUP(H4556,'合同高级查询数据-4月返'!A:A,1,FALSE)</f>
        <v>#N/A</v>
      </c>
      <c r="J4556" s="47" t="s">
        <v>90</v>
      </c>
      <c r="K4556" s="203" t="s">
        <v>5841</v>
      </c>
      <c r="L4556" s="206"/>
      <c r="M4556" s="49" t="s">
        <v>5695</v>
      </c>
      <c r="N4556" s="73">
        <v>44370</v>
      </c>
      <c r="O4556" s="73" t="s">
        <v>507</v>
      </c>
      <c r="P4556" s="396">
        <v>9580</v>
      </c>
      <c r="Q4556" s="212">
        <v>2</v>
      </c>
      <c r="R4556" s="386">
        <f t="shared" si="146"/>
        <v>19160</v>
      </c>
      <c r="S4556" s="279">
        <v>202304</v>
      </c>
      <c r="T4556" s="184" t="s">
        <v>5920</v>
      </c>
      <c r="U4556" s="213"/>
      <c r="V4556" s="210"/>
      <c r="W4556" s="214"/>
      <c r="X4556" s="73">
        <v>43815</v>
      </c>
      <c r="Y4556" s="73">
        <v>46006</v>
      </c>
    </row>
    <row r="4557" s="5" customFormat="1" customHeight="1" spans="1:25">
      <c r="A4557" s="203" t="s">
        <v>444</v>
      </c>
      <c r="B4557" s="204" t="s">
        <v>5519</v>
      </c>
      <c r="C4557" s="204" t="s">
        <v>125</v>
      </c>
      <c r="D4557" s="204" t="s">
        <v>3939</v>
      </c>
      <c r="E4557" s="205" t="s">
        <v>5823</v>
      </c>
      <c r="F4557" s="203" t="s">
        <v>5824</v>
      </c>
      <c r="G4557" s="203" t="s">
        <v>88</v>
      </c>
      <c r="H4557" s="25" t="s">
        <v>5840</v>
      </c>
      <c r="I4557" s="46" t="e">
        <f>VLOOKUP(H4557,'合同高级查询数据-4月返'!A:A,1,FALSE)</f>
        <v>#N/A</v>
      </c>
      <c r="J4557" s="47" t="s">
        <v>90</v>
      </c>
      <c r="K4557" s="203" t="s">
        <v>5841</v>
      </c>
      <c r="L4557" s="206"/>
      <c r="M4557" s="49" t="s">
        <v>5695</v>
      </c>
      <c r="N4557" s="73">
        <v>44370</v>
      </c>
      <c r="O4557" s="73" t="s">
        <v>503</v>
      </c>
      <c r="P4557" s="396">
        <v>4790</v>
      </c>
      <c r="Q4557" s="212">
        <v>1</v>
      </c>
      <c r="R4557" s="386">
        <f t="shared" si="146"/>
        <v>4790</v>
      </c>
      <c r="S4557" s="279">
        <v>202304</v>
      </c>
      <c r="T4557" s="184" t="s">
        <v>5921</v>
      </c>
      <c r="U4557" s="213"/>
      <c r="V4557" s="210"/>
      <c r="W4557" s="214"/>
      <c r="X4557" s="73">
        <v>43815</v>
      </c>
      <c r="Y4557" s="73">
        <v>46006</v>
      </c>
    </row>
    <row r="4558" s="5" customFormat="1" customHeight="1" spans="1:25">
      <c r="A4558" s="203" t="s">
        <v>444</v>
      </c>
      <c r="B4558" s="204" t="s">
        <v>5519</v>
      </c>
      <c r="C4558" s="204" t="s">
        <v>125</v>
      </c>
      <c r="D4558" s="204" t="s">
        <v>3939</v>
      </c>
      <c r="E4558" s="205" t="s">
        <v>5823</v>
      </c>
      <c r="F4558" s="203" t="s">
        <v>5824</v>
      </c>
      <c r="G4558" s="203" t="s">
        <v>88</v>
      </c>
      <c r="H4558" s="25" t="s">
        <v>5840</v>
      </c>
      <c r="I4558" s="46" t="e">
        <f>VLOOKUP(H4558,'合同高级查询数据-4月返'!A:A,1,FALSE)</f>
        <v>#N/A</v>
      </c>
      <c r="J4558" s="47" t="s">
        <v>90</v>
      </c>
      <c r="K4558" s="203" t="s">
        <v>5841</v>
      </c>
      <c r="L4558" s="206"/>
      <c r="M4558" s="49" t="s">
        <v>5695</v>
      </c>
      <c r="N4558" s="73">
        <v>44371</v>
      </c>
      <c r="O4558" s="73" t="s">
        <v>507</v>
      </c>
      <c r="P4558" s="396">
        <v>9580</v>
      </c>
      <c r="Q4558" s="212">
        <v>2</v>
      </c>
      <c r="R4558" s="386">
        <f t="shared" si="146"/>
        <v>19160</v>
      </c>
      <c r="S4558" s="279">
        <v>202304</v>
      </c>
      <c r="T4558" s="184" t="s">
        <v>5922</v>
      </c>
      <c r="U4558" s="213"/>
      <c r="V4558" s="210"/>
      <c r="W4558" s="214"/>
      <c r="X4558" s="73">
        <v>43815</v>
      </c>
      <c r="Y4558" s="73">
        <v>46006</v>
      </c>
    </row>
    <row r="4559" s="5" customFormat="1" customHeight="1" spans="1:25">
      <c r="A4559" s="203" t="s">
        <v>444</v>
      </c>
      <c r="B4559" s="204" t="s">
        <v>5519</v>
      </c>
      <c r="C4559" s="204" t="s">
        <v>125</v>
      </c>
      <c r="D4559" s="204" t="s">
        <v>3939</v>
      </c>
      <c r="E4559" s="205" t="s">
        <v>5823</v>
      </c>
      <c r="F4559" s="203" t="s">
        <v>5824</v>
      </c>
      <c r="G4559" s="203" t="s">
        <v>88</v>
      </c>
      <c r="H4559" s="25" t="s">
        <v>5840</v>
      </c>
      <c r="I4559" s="46" t="e">
        <f>VLOOKUP(H4559,'合同高级查询数据-4月返'!A:A,1,FALSE)</f>
        <v>#N/A</v>
      </c>
      <c r="J4559" s="47" t="s">
        <v>90</v>
      </c>
      <c r="K4559" s="203" t="s">
        <v>5841</v>
      </c>
      <c r="L4559" s="206"/>
      <c r="M4559" s="49" t="s">
        <v>5695</v>
      </c>
      <c r="N4559" s="73">
        <v>44380</v>
      </c>
      <c r="O4559" s="73" t="s">
        <v>507</v>
      </c>
      <c r="P4559" s="396">
        <v>9580</v>
      </c>
      <c r="Q4559" s="212">
        <v>12</v>
      </c>
      <c r="R4559" s="386">
        <f t="shared" si="146"/>
        <v>114960</v>
      </c>
      <c r="S4559" s="279">
        <v>202304</v>
      </c>
      <c r="T4559" s="184" t="s">
        <v>5923</v>
      </c>
      <c r="U4559" s="213"/>
      <c r="V4559" s="210"/>
      <c r="W4559" s="214"/>
      <c r="X4559" s="73">
        <v>43815</v>
      </c>
      <c r="Y4559" s="73">
        <v>46006</v>
      </c>
    </row>
    <row r="4560" s="5" customFormat="1" customHeight="1" spans="1:25">
      <c r="A4560" s="203" t="s">
        <v>444</v>
      </c>
      <c r="B4560" s="204" t="s">
        <v>5519</v>
      </c>
      <c r="C4560" s="204" t="s">
        <v>125</v>
      </c>
      <c r="D4560" s="204" t="s">
        <v>3939</v>
      </c>
      <c r="E4560" s="205" t="s">
        <v>5823</v>
      </c>
      <c r="F4560" s="203" t="s">
        <v>5824</v>
      </c>
      <c r="G4560" s="203" t="s">
        <v>88</v>
      </c>
      <c r="H4560" s="25" t="s">
        <v>5840</v>
      </c>
      <c r="I4560" s="46" t="e">
        <f>VLOOKUP(H4560,'合同高级查询数据-4月返'!A:A,1,FALSE)</f>
        <v>#N/A</v>
      </c>
      <c r="J4560" s="47" t="s">
        <v>90</v>
      </c>
      <c r="K4560" s="203" t="s">
        <v>5841</v>
      </c>
      <c r="L4560" s="206"/>
      <c r="M4560" s="49" t="s">
        <v>5695</v>
      </c>
      <c r="N4560" s="73">
        <v>44399</v>
      </c>
      <c r="O4560" s="73" t="s">
        <v>507</v>
      </c>
      <c r="P4560" s="396">
        <v>9580</v>
      </c>
      <c r="Q4560" s="212">
        <v>1</v>
      </c>
      <c r="R4560" s="386">
        <f t="shared" si="146"/>
        <v>9580</v>
      </c>
      <c r="S4560" s="279">
        <v>202304</v>
      </c>
      <c r="T4560" s="184" t="s">
        <v>5924</v>
      </c>
      <c r="U4560" s="213"/>
      <c r="V4560" s="210"/>
      <c r="W4560" s="214"/>
      <c r="X4560" s="73">
        <v>43815</v>
      </c>
      <c r="Y4560" s="73">
        <v>46006</v>
      </c>
    </row>
    <row r="4561" s="5" customFormat="1" customHeight="1" spans="1:25">
      <c r="A4561" s="203" t="s">
        <v>444</v>
      </c>
      <c r="B4561" s="204" t="s">
        <v>5519</v>
      </c>
      <c r="C4561" s="204" t="s">
        <v>125</v>
      </c>
      <c r="D4561" s="204" t="s">
        <v>3939</v>
      </c>
      <c r="E4561" s="205" t="s">
        <v>5823</v>
      </c>
      <c r="F4561" s="203" t="s">
        <v>5824</v>
      </c>
      <c r="G4561" s="203" t="s">
        <v>88</v>
      </c>
      <c r="H4561" s="25" t="s">
        <v>5917</v>
      </c>
      <c r="I4561" s="46" t="e">
        <f>VLOOKUP(H4561,'合同高级查询数据-4月返'!A:A,1,FALSE)</f>
        <v>#N/A</v>
      </c>
      <c r="J4561" s="47" t="s">
        <v>90</v>
      </c>
      <c r="K4561" s="203" t="s">
        <v>5841</v>
      </c>
      <c r="L4561" s="206"/>
      <c r="M4561" s="49" t="s">
        <v>5918</v>
      </c>
      <c r="N4561" s="73">
        <v>44403</v>
      </c>
      <c r="O4561" s="73" t="s">
        <v>92</v>
      </c>
      <c r="P4561" s="396">
        <v>3950</v>
      </c>
      <c r="Q4561" s="212">
        <v>1</v>
      </c>
      <c r="R4561" s="386">
        <f t="shared" si="146"/>
        <v>3950</v>
      </c>
      <c r="S4561" s="279">
        <v>202304</v>
      </c>
      <c r="T4561" s="184" t="s">
        <v>5925</v>
      </c>
      <c r="U4561" s="213"/>
      <c r="V4561" s="210"/>
      <c r="W4561" s="214"/>
      <c r="X4561" s="73">
        <v>44368</v>
      </c>
      <c r="Y4561" s="73">
        <v>46006</v>
      </c>
    </row>
    <row r="4562" s="5" customFormat="1" customHeight="1" spans="1:25">
      <c r="A4562" s="203" t="s">
        <v>444</v>
      </c>
      <c r="B4562" s="204" t="s">
        <v>5519</v>
      </c>
      <c r="C4562" s="204" t="s">
        <v>125</v>
      </c>
      <c r="D4562" s="204" t="s">
        <v>3939</v>
      </c>
      <c r="E4562" s="205" t="s">
        <v>5823</v>
      </c>
      <c r="F4562" s="203" t="s">
        <v>5824</v>
      </c>
      <c r="G4562" s="203" t="s">
        <v>88</v>
      </c>
      <c r="H4562" s="25" t="s">
        <v>5840</v>
      </c>
      <c r="I4562" s="46" t="e">
        <f>VLOOKUP(H4562,'合同高级查询数据-4月返'!A:A,1,FALSE)</f>
        <v>#N/A</v>
      </c>
      <c r="J4562" s="47" t="s">
        <v>90</v>
      </c>
      <c r="K4562" s="203" t="s">
        <v>5841</v>
      </c>
      <c r="L4562" s="206"/>
      <c r="M4562" s="49" t="s">
        <v>5695</v>
      </c>
      <c r="N4562" s="73">
        <v>44410</v>
      </c>
      <c r="O4562" s="73" t="s">
        <v>507</v>
      </c>
      <c r="P4562" s="396">
        <v>9580</v>
      </c>
      <c r="Q4562" s="212">
        <v>9</v>
      </c>
      <c r="R4562" s="386">
        <f t="shared" si="146"/>
        <v>86220</v>
      </c>
      <c r="S4562" s="279">
        <v>202304</v>
      </c>
      <c r="T4562" s="184" t="s">
        <v>5926</v>
      </c>
      <c r="U4562" s="213"/>
      <c r="V4562" s="210"/>
      <c r="W4562" s="214"/>
      <c r="X4562" s="73">
        <v>43815</v>
      </c>
      <c r="Y4562" s="73">
        <v>46006</v>
      </c>
    </row>
    <row r="4563" s="5" customFormat="1" customHeight="1" spans="1:25">
      <c r="A4563" s="203" t="s">
        <v>444</v>
      </c>
      <c r="B4563" s="204" t="s">
        <v>5519</v>
      </c>
      <c r="C4563" s="204" t="s">
        <v>125</v>
      </c>
      <c r="D4563" s="204" t="s">
        <v>3939</v>
      </c>
      <c r="E4563" s="205" t="s">
        <v>5823</v>
      </c>
      <c r="F4563" s="203" t="s">
        <v>5824</v>
      </c>
      <c r="G4563" s="203" t="s">
        <v>88</v>
      </c>
      <c r="H4563" s="25" t="s">
        <v>5840</v>
      </c>
      <c r="I4563" s="46" t="e">
        <f>VLOOKUP(H4563,'合同高级查询数据-4月返'!A:A,1,FALSE)</f>
        <v>#N/A</v>
      </c>
      <c r="J4563" s="47" t="s">
        <v>90</v>
      </c>
      <c r="K4563" s="203" t="s">
        <v>5841</v>
      </c>
      <c r="L4563" s="206"/>
      <c r="M4563" s="49" t="s">
        <v>5695</v>
      </c>
      <c r="N4563" s="73">
        <v>44428</v>
      </c>
      <c r="O4563" s="73" t="s">
        <v>507</v>
      </c>
      <c r="P4563" s="396">
        <v>9580</v>
      </c>
      <c r="Q4563" s="212">
        <v>25</v>
      </c>
      <c r="R4563" s="386">
        <f t="shared" si="146"/>
        <v>239500</v>
      </c>
      <c r="S4563" s="279">
        <v>202304</v>
      </c>
      <c r="T4563" s="184" t="s">
        <v>5927</v>
      </c>
      <c r="U4563" s="213"/>
      <c r="V4563" s="210"/>
      <c r="W4563" s="214"/>
      <c r="X4563" s="73">
        <v>43815</v>
      </c>
      <c r="Y4563" s="73">
        <v>46006</v>
      </c>
    </row>
    <row r="4564" s="5" customFormat="1" customHeight="1" spans="1:25">
      <c r="A4564" s="203" t="s">
        <v>444</v>
      </c>
      <c r="B4564" s="204" t="s">
        <v>5519</v>
      </c>
      <c r="C4564" s="204" t="s">
        <v>125</v>
      </c>
      <c r="D4564" s="204" t="s">
        <v>3939</v>
      </c>
      <c r="E4564" s="205" t="s">
        <v>5823</v>
      </c>
      <c r="F4564" s="203" t="s">
        <v>5824</v>
      </c>
      <c r="G4564" s="203" t="s">
        <v>88</v>
      </c>
      <c r="H4564" s="25" t="s">
        <v>5840</v>
      </c>
      <c r="I4564" s="46" t="e">
        <f>VLOOKUP(H4564,'合同高级查询数据-4月返'!A:A,1,FALSE)</f>
        <v>#N/A</v>
      </c>
      <c r="J4564" s="47" t="s">
        <v>90</v>
      </c>
      <c r="K4564" s="203" t="s">
        <v>5841</v>
      </c>
      <c r="L4564" s="206"/>
      <c r="M4564" s="49" t="s">
        <v>5695</v>
      </c>
      <c r="N4564" s="73">
        <v>44438</v>
      </c>
      <c r="O4564" s="73" t="s">
        <v>507</v>
      </c>
      <c r="P4564" s="396">
        <v>9580</v>
      </c>
      <c r="Q4564" s="212">
        <v>6</v>
      </c>
      <c r="R4564" s="386">
        <f t="shared" si="146"/>
        <v>57480</v>
      </c>
      <c r="S4564" s="279">
        <v>202304</v>
      </c>
      <c r="T4564" s="184" t="s">
        <v>5928</v>
      </c>
      <c r="U4564" s="213"/>
      <c r="V4564" s="210"/>
      <c r="W4564" s="214"/>
      <c r="X4564" s="73">
        <v>43815</v>
      </c>
      <c r="Y4564" s="73">
        <v>46006</v>
      </c>
    </row>
    <row r="4565" s="5" customFormat="1" customHeight="1" spans="1:25">
      <c r="A4565" s="203" t="s">
        <v>444</v>
      </c>
      <c r="B4565" s="204" t="s">
        <v>5519</v>
      </c>
      <c r="C4565" s="204" t="s">
        <v>125</v>
      </c>
      <c r="D4565" s="204" t="s">
        <v>3939</v>
      </c>
      <c r="E4565" s="205" t="s">
        <v>5823</v>
      </c>
      <c r="F4565" s="203" t="s">
        <v>5824</v>
      </c>
      <c r="G4565" s="203" t="s">
        <v>88</v>
      </c>
      <c r="H4565" s="25" t="s">
        <v>5840</v>
      </c>
      <c r="I4565" s="46" t="e">
        <f>VLOOKUP(H4565,'合同高级查询数据-4月返'!A:A,1,FALSE)</f>
        <v>#N/A</v>
      </c>
      <c r="J4565" s="47" t="s">
        <v>90</v>
      </c>
      <c r="K4565" s="203" t="s">
        <v>5841</v>
      </c>
      <c r="L4565" s="206"/>
      <c r="M4565" s="49" t="s">
        <v>5695</v>
      </c>
      <c r="N4565" s="73">
        <v>44448</v>
      </c>
      <c r="O4565" s="73" t="s">
        <v>566</v>
      </c>
      <c r="P4565" s="396">
        <v>10860</v>
      </c>
      <c r="Q4565" s="212">
        <v>1</v>
      </c>
      <c r="R4565" s="386">
        <f t="shared" si="146"/>
        <v>10860</v>
      </c>
      <c r="S4565" s="279">
        <v>202304</v>
      </c>
      <c r="T4565" s="184" t="s">
        <v>5929</v>
      </c>
      <c r="U4565" s="213"/>
      <c r="V4565" s="210"/>
      <c r="W4565" s="214"/>
      <c r="X4565" s="73">
        <v>43815</v>
      </c>
      <c r="Y4565" s="73">
        <v>46006</v>
      </c>
    </row>
    <row r="4566" s="5" customFormat="1" customHeight="1" spans="1:25">
      <c r="A4566" s="203" t="s">
        <v>444</v>
      </c>
      <c r="B4566" s="204" t="s">
        <v>5519</v>
      </c>
      <c r="C4566" s="204" t="s">
        <v>125</v>
      </c>
      <c r="D4566" s="204" t="s">
        <v>3939</v>
      </c>
      <c r="E4566" s="205" t="s">
        <v>5823</v>
      </c>
      <c r="F4566" s="203" t="s">
        <v>5824</v>
      </c>
      <c r="G4566" s="203" t="s">
        <v>88</v>
      </c>
      <c r="H4566" s="25" t="s">
        <v>5840</v>
      </c>
      <c r="I4566" s="46" t="e">
        <f>VLOOKUP(H4566,'合同高级查询数据-4月返'!A:A,1,FALSE)</f>
        <v>#N/A</v>
      </c>
      <c r="J4566" s="47" t="s">
        <v>90</v>
      </c>
      <c r="K4566" s="203" t="s">
        <v>5841</v>
      </c>
      <c r="L4566" s="206"/>
      <c r="M4566" s="49" t="s">
        <v>5695</v>
      </c>
      <c r="N4566" s="73">
        <v>44463</v>
      </c>
      <c r="O4566" s="73" t="s">
        <v>507</v>
      </c>
      <c r="P4566" s="396">
        <v>9580</v>
      </c>
      <c r="Q4566" s="212">
        <v>2</v>
      </c>
      <c r="R4566" s="386">
        <f t="shared" si="146"/>
        <v>19160</v>
      </c>
      <c r="S4566" s="279">
        <v>202304</v>
      </c>
      <c r="T4566" s="184" t="s">
        <v>5930</v>
      </c>
      <c r="U4566" s="213"/>
      <c r="V4566" s="210"/>
      <c r="W4566" s="214"/>
      <c r="X4566" s="73">
        <v>43815</v>
      </c>
      <c r="Y4566" s="73">
        <v>46006</v>
      </c>
    </row>
    <row r="4567" s="5" customFormat="1" customHeight="1" spans="1:25">
      <c r="A4567" s="203" t="s">
        <v>444</v>
      </c>
      <c r="B4567" s="204" t="s">
        <v>5519</v>
      </c>
      <c r="C4567" s="204" t="s">
        <v>125</v>
      </c>
      <c r="D4567" s="204" t="s">
        <v>3939</v>
      </c>
      <c r="E4567" s="205" t="s">
        <v>5823</v>
      </c>
      <c r="F4567" s="203" t="s">
        <v>5824</v>
      </c>
      <c r="G4567" s="203" t="s">
        <v>88</v>
      </c>
      <c r="H4567" s="25" t="s">
        <v>5917</v>
      </c>
      <c r="I4567" s="46" t="e">
        <f>VLOOKUP(H4567,'合同高级查询数据-4月返'!A:A,1,FALSE)</f>
        <v>#N/A</v>
      </c>
      <c r="J4567" s="47" t="s">
        <v>90</v>
      </c>
      <c r="K4567" s="203" t="s">
        <v>5841</v>
      </c>
      <c r="L4567" s="206"/>
      <c r="M4567" s="49" t="s">
        <v>5918</v>
      </c>
      <c r="N4567" s="73">
        <v>44445</v>
      </c>
      <c r="O4567" s="73" t="s">
        <v>92</v>
      </c>
      <c r="P4567" s="396">
        <v>3950</v>
      </c>
      <c r="Q4567" s="212">
        <v>-1</v>
      </c>
      <c r="R4567" s="386">
        <f t="shared" si="146"/>
        <v>-3950</v>
      </c>
      <c r="S4567" s="279">
        <v>202304</v>
      </c>
      <c r="T4567" s="184" t="s">
        <v>5931</v>
      </c>
      <c r="U4567" s="213"/>
      <c r="V4567" s="210"/>
      <c r="W4567" s="214"/>
      <c r="X4567" s="73">
        <v>44368</v>
      </c>
      <c r="Y4567" s="73">
        <v>46006</v>
      </c>
    </row>
    <row r="4568" s="5" customFormat="1" customHeight="1" spans="1:25">
      <c r="A4568" s="203" t="s">
        <v>444</v>
      </c>
      <c r="B4568" s="204" t="s">
        <v>5519</v>
      </c>
      <c r="C4568" s="204" t="s">
        <v>125</v>
      </c>
      <c r="D4568" s="204" t="s">
        <v>3939</v>
      </c>
      <c r="E4568" s="205" t="s">
        <v>5823</v>
      </c>
      <c r="F4568" s="203" t="s">
        <v>5824</v>
      </c>
      <c r="G4568" s="203" t="s">
        <v>88</v>
      </c>
      <c r="H4568" s="25" t="s">
        <v>5917</v>
      </c>
      <c r="I4568" s="46" t="e">
        <f>VLOOKUP(H4568,'合同高级查询数据-4月返'!A:A,1,FALSE)</f>
        <v>#N/A</v>
      </c>
      <c r="J4568" s="47" t="s">
        <v>90</v>
      </c>
      <c r="K4568" s="203" t="s">
        <v>5841</v>
      </c>
      <c r="L4568" s="206"/>
      <c r="M4568" s="49" t="s">
        <v>5918</v>
      </c>
      <c r="N4568" s="73">
        <v>44465</v>
      </c>
      <c r="O4568" s="73" t="s">
        <v>92</v>
      </c>
      <c r="P4568" s="396">
        <v>3950</v>
      </c>
      <c r="Q4568" s="212">
        <v>2</v>
      </c>
      <c r="R4568" s="386">
        <f t="shared" si="146"/>
        <v>7900</v>
      </c>
      <c r="S4568" s="279">
        <v>202304</v>
      </c>
      <c r="T4568" s="184" t="s">
        <v>5932</v>
      </c>
      <c r="U4568" s="213"/>
      <c r="V4568" s="210"/>
      <c r="W4568" s="214"/>
      <c r="X4568" s="73">
        <v>44368</v>
      </c>
      <c r="Y4568" s="73">
        <v>46006</v>
      </c>
    </row>
    <row r="4569" s="5" customFormat="1" customHeight="1" spans="1:25">
      <c r="A4569" s="203" t="s">
        <v>444</v>
      </c>
      <c r="B4569" s="204" t="s">
        <v>5519</v>
      </c>
      <c r="C4569" s="204" t="s">
        <v>125</v>
      </c>
      <c r="D4569" s="204" t="s">
        <v>3939</v>
      </c>
      <c r="E4569" s="205" t="s">
        <v>5823</v>
      </c>
      <c r="F4569" s="203" t="s">
        <v>5824</v>
      </c>
      <c r="G4569" s="203" t="s">
        <v>88</v>
      </c>
      <c r="H4569" s="25" t="s">
        <v>5840</v>
      </c>
      <c r="I4569" s="46" t="e">
        <f>VLOOKUP(H4569,'合同高级查询数据-4月返'!A:A,1,FALSE)</f>
        <v>#N/A</v>
      </c>
      <c r="J4569" s="47" t="s">
        <v>90</v>
      </c>
      <c r="K4569" s="203" t="s">
        <v>5841</v>
      </c>
      <c r="L4569" s="206"/>
      <c r="M4569" s="49" t="s">
        <v>5695</v>
      </c>
      <c r="N4569" s="73">
        <v>44483</v>
      </c>
      <c r="O4569" s="73" t="s">
        <v>507</v>
      </c>
      <c r="P4569" s="396">
        <v>9580</v>
      </c>
      <c r="Q4569" s="212">
        <v>15</v>
      </c>
      <c r="R4569" s="386">
        <f t="shared" si="146"/>
        <v>143700</v>
      </c>
      <c r="S4569" s="279">
        <v>202304</v>
      </c>
      <c r="T4569" s="184" t="s">
        <v>5933</v>
      </c>
      <c r="U4569" s="213"/>
      <c r="V4569" s="210"/>
      <c r="W4569" s="214"/>
      <c r="X4569" s="73">
        <v>43815</v>
      </c>
      <c r="Y4569" s="73">
        <v>46006</v>
      </c>
    </row>
    <row r="4570" s="5" customFormat="1" customHeight="1" spans="1:25">
      <c r="A4570" s="203" t="s">
        <v>444</v>
      </c>
      <c r="B4570" s="204" t="s">
        <v>5519</v>
      </c>
      <c r="C4570" s="204" t="s">
        <v>125</v>
      </c>
      <c r="D4570" s="204" t="s">
        <v>3939</v>
      </c>
      <c r="E4570" s="205" t="s">
        <v>5823</v>
      </c>
      <c r="F4570" s="203" t="s">
        <v>5824</v>
      </c>
      <c r="G4570" s="203" t="s">
        <v>88</v>
      </c>
      <c r="H4570" s="25" t="s">
        <v>5840</v>
      </c>
      <c r="I4570" s="46" t="e">
        <f>VLOOKUP(H4570,'合同高级查询数据-4月返'!A:A,1,FALSE)</f>
        <v>#N/A</v>
      </c>
      <c r="J4570" s="47" t="s">
        <v>90</v>
      </c>
      <c r="K4570" s="203" t="s">
        <v>5841</v>
      </c>
      <c r="L4570" s="206"/>
      <c r="M4570" s="49" t="s">
        <v>5695</v>
      </c>
      <c r="N4570" s="73">
        <v>44497</v>
      </c>
      <c r="O4570" s="73" t="s">
        <v>507</v>
      </c>
      <c r="P4570" s="396">
        <v>9580</v>
      </c>
      <c r="Q4570" s="212">
        <v>9</v>
      </c>
      <c r="R4570" s="386">
        <f t="shared" si="146"/>
        <v>86220</v>
      </c>
      <c r="S4570" s="279">
        <v>202304</v>
      </c>
      <c r="T4570" s="184" t="s">
        <v>5934</v>
      </c>
      <c r="U4570" s="213"/>
      <c r="V4570" s="210"/>
      <c r="W4570" s="214"/>
      <c r="X4570" s="73">
        <v>43815</v>
      </c>
      <c r="Y4570" s="73">
        <v>46006</v>
      </c>
    </row>
    <row r="4571" s="5" customFormat="1" customHeight="1" spans="1:25">
      <c r="A4571" s="203" t="s">
        <v>444</v>
      </c>
      <c r="B4571" s="204" t="s">
        <v>5519</v>
      </c>
      <c r="C4571" s="204" t="s">
        <v>125</v>
      </c>
      <c r="D4571" s="204" t="s">
        <v>3939</v>
      </c>
      <c r="E4571" s="205" t="s">
        <v>5823</v>
      </c>
      <c r="F4571" s="203" t="s">
        <v>5824</v>
      </c>
      <c r="G4571" s="203" t="s">
        <v>88</v>
      </c>
      <c r="H4571" s="25" t="s">
        <v>5840</v>
      </c>
      <c r="I4571" s="46" t="e">
        <f>VLOOKUP(H4571,'合同高级查询数据-4月返'!A:A,1,FALSE)</f>
        <v>#N/A</v>
      </c>
      <c r="J4571" s="47" t="s">
        <v>90</v>
      </c>
      <c r="K4571" s="203" t="s">
        <v>5841</v>
      </c>
      <c r="L4571" s="206"/>
      <c r="M4571" s="49" t="s">
        <v>5695</v>
      </c>
      <c r="N4571" s="73">
        <v>44498</v>
      </c>
      <c r="O4571" s="73" t="s">
        <v>507</v>
      </c>
      <c r="P4571" s="396">
        <v>9580</v>
      </c>
      <c r="Q4571" s="212">
        <v>-1</v>
      </c>
      <c r="R4571" s="386">
        <f t="shared" si="146"/>
        <v>-9580</v>
      </c>
      <c r="S4571" s="279">
        <v>202304</v>
      </c>
      <c r="T4571" s="184" t="s">
        <v>5935</v>
      </c>
      <c r="U4571" s="213"/>
      <c r="V4571" s="210"/>
      <c r="W4571" s="214"/>
      <c r="X4571" s="73">
        <v>43815</v>
      </c>
      <c r="Y4571" s="73">
        <v>46006</v>
      </c>
    </row>
    <row r="4572" s="5" customFormat="1" customHeight="1" spans="1:25">
      <c r="A4572" s="203" t="s">
        <v>444</v>
      </c>
      <c r="B4572" s="204" t="s">
        <v>5519</v>
      </c>
      <c r="C4572" s="204" t="s">
        <v>125</v>
      </c>
      <c r="D4572" s="204" t="s">
        <v>3939</v>
      </c>
      <c r="E4572" s="205" t="s">
        <v>5823</v>
      </c>
      <c r="F4572" s="203" t="s">
        <v>5824</v>
      </c>
      <c r="G4572" s="203" t="s">
        <v>88</v>
      </c>
      <c r="H4572" s="25" t="s">
        <v>5840</v>
      </c>
      <c r="I4572" s="46" t="e">
        <f>VLOOKUP(H4572,'合同高级查询数据-4月返'!A:A,1,FALSE)</f>
        <v>#N/A</v>
      </c>
      <c r="J4572" s="47" t="s">
        <v>90</v>
      </c>
      <c r="K4572" s="203" t="s">
        <v>5841</v>
      </c>
      <c r="L4572" s="206"/>
      <c r="M4572" s="49" t="s">
        <v>5695</v>
      </c>
      <c r="N4572" s="73">
        <v>44499</v>
      </c>
      <c r="O4572" s="73" t="s">
        <v>507</v>
      </c>
      <c r="P4572" s="396">
        <v>9580</v>
      </c>
      <c r="Q4572" s="212">
        <v>-11</v>
      </c>
      <c r="R4572" s="386">
        <f t="shared" si="146"/>
        <v>-105380</v>
      </c>
      <c r="S4572" s="279">
        <v>202304</v>
      </c>
      <c r="T4572" s="184" t="s">
        <v>5936</v>
      </c>
      <c r="U4572" s="213"/>
      <c r="V4572" s="210"/>
      <c r="W4572" s="214"/>
      <c r="X4572" s="73">
        <v>43815</v>
      </c>
      <c r="Y4572" s="73">
        <v>46006</v>
      </c>
    </row>
    <row r="4573" s="5" customFormat="1" customHeight="1" spans="1:25">
      <c r="A4573" s="203" t="s">
        <v>444</v>
      </c>
      <c r="B4573" s="204" t="s">
        <v>5519</v>
      </c>
      <c r="C4573" s="204" t="s">
        <v>125</v>
      </c>
      <c r="D4573" s="204" t="s">
        <v>3939</v>
      </c>
      <c r="E4573" s="205" t="s">
        <v>5823</v>
      </c>
      <c r="F4573" s="203" t="s">
        <v>5824</v>
      </c>
      <c r="G4573" s="203" t="s">
        <v>88</v>
      </c>
      <c r="H4573" s="25" t="s">
        <v>5840</v>
      </c>
      <c r="I4573" s="46" t="e">
        <f>VLOOKUP(H4573,'合同高级查询数据-4月返'!A:A,1,FALSE)</f>
        <v>#N/A</v>
      </c>
      <c r="J4573" s="47" t="s">
        <v>90</v>
      </c>
      <c r="K4573" s="203" t="s">
        <v>5841</v>
      </c>
      <c r="L4573" s="206"/>
      <c r="M4573" s="49" t="s">
        <v>5695</v>
      </c>
      <c r="N4573" s="73">
        <v>44516</v>
      </c>
      <c r="O4573" s="73" t="s">
        <v>507</v>
      </c>
      <c r="P4573" s="396">
        <v>9580</v>
      </c>
      <c r="Q4573" s="212">
        <v>6</v>
      </c>
      <c r="R4573" s="386">
        <f t="shared" si="146"/>
        <v>57480</v>
      </c>
      <c r="S4573" s="279">
        <v>202304</v>
      </c>
      <c r="T4573" s="184" t="s">
        <v>5937</v>
      </c>
      <c r="U4573" s="213"/>
      <c r="V4573" s="210"/>
      <c r="W4573" s="214"/>
      <c r="X4573" s="73">
        <v>43815</v>
      </c>
      <c r="Y4573" s="73">
        <v>46006</v>
      </c>
    </row>
    <row r="4574" s="5" customFormat="1" customHeight="1" spans="1:25">
      <c r="A4574" s="203" t="s">
        <v>444</v>
      </c>
      <c r="B4574" s="204" t="s">
        <v>5519</v>
      </c>
      <c r="C4574" s="204" t="s">
        <v>125</v>
      </c>
      <c r="D4574" s="204" t="s">
        <v>3939</v>
      </c>
      <c r="E4574" s="205" t="s">
        <v>5823</v>
      </c>
      <c r="F4574" s="203" t="s">
        <v>5824</v>
      </c>
      <c r="G4574" s="203" t="s">
        <v>88</v>
      </c>
      <c r="H4574" s="25" t="s">
        <v>5840</v>
      </c>
      <c r="I4574" s="46" t="e">
        <f>VLOOKUP(H4574,'合同高级查询数据-4月返'!A:A,1,FALSE)</f>
        <v>#N/A</v>
      </c>
      <c r="J4574" s="47" t="s">
        <v>90</v>
      </c>
      <c r="K4574" s="203" t="s">
        <v>5841</v>
      </c>
      <c r="L4574" s="206"/>
      <c r="M4574" s="49" t="s">
        <v>5695</v>
      </c>
      <c r="N4574" s="73">
        <v>44522</v>
      </c>
      <c r="O4574" s="73" t="s">
        <v>507</v>
      </c>
      <c r="P4574" s="396">
        <v>9580</v>
      </c>
      <c r="Q4574" s="212">
        <v>6</v>
      </c>
      <c r="R4574" s="386">
        <f t="shared" si="146"/>
        <v>57480</v>
      </c>
      <c r="S4574" s="279">
        <v>202304</v>
      </c>
      <c r="T4574" s="184" t="s">
        <v>5938</v>
      </c>
      <c r="U4574" s="213"/>
      <c r="V4574" s="210"/>
      <c r="W4574" s="214"/>
      <c r="X4574" s="73">
        <v>43815</v>
      </c>
      <c r="Y4574" s="73">
        <v>46006</v>
      </c>
    </row>
    <row r="4575" s="5" customFormat="1" customHeight="1" spans="1:25">
      <c r="A4575" s="203" t="s">
        <v>444</v>
      </c>
      <c r="B4575" s="204" t="s">
        <v>5519</v>
      </c>
      <c r="C4575" s="204" t="s">
        <v>125</v>
      </c>
      <c r="D4575" s="204" t="s">
        <v>3939</v>
      </c>
      <c r="E4575" s="205" t="s">
        <v>5823</v>
      </c>
      <c r="F4575" s="203" t="s">
        <v>5824</v>
      </c>
      <c r="G4575" s="203" t="s">
        <v>88</v>
      </c>
      <c r="H4575" s="25" t="s">
        <v>5840</v>
      </c>
      <c r="I4575" s="46" t="e">
        <f>VLOOKUP(H4575,'合同高级查询数据-4月返'!A:A,1,FALSE)</f>
        <v>#N/A</v>
      </c>
      <c r="J4575" s="47" t="s">
        <v>90</v>
      </c>
      <c r="K4575" s="203" t="s">
        <v>5841</v>
      </c>
      <c r="L4575" s="206"/>
      <c r="M4575" s="49" t="s">
        <v>5695</v>
      </c>
      <c r="N4575" s="73">
        <v>44525</v>
      </c>
      <c r="O4575" s="73" t="s">
        <v>507</v>
      </c>
      <c r="P4575" s="396">
        <v>9580</v>
      </c>
      <c r="Q4575" s="212">
        <v>-11</v>
      </c>
      <c r="R4575" s="386">
        <f t="shared" si="146"/>
        <v>-105380</v>
      </c>
      <c r="S4575" s="279">
        <v>202304</v>
      </c>
      <c r="T4575" s="184" t="s">
        <v>5939</v>
      </c>
      <c r="U4575" s="213"/>
      <c r="V4575" s="210"/>
      <c r="W4575" s="214"/>
      <c r="X4575" s="73">
        <v>43815</v>
      </c>
      <c r="Y4575" s="73">
        <v>46006</v>
      </c>
    </row>
    <row r="4576" s="5" customFormat="1" customHeight="1" spans="1:25">
      <c r="A4576" s="203" t="s">
        <v>444</v>
      </c>
      <c r="B4576" s="204" t="s">
        <v>5519</v>
      </c>
      <c r="C4576" s="204" t="s">
        <v>125</v>
      </c>
      <c r="D4576" s="204" t="s">
        <v>3939</v>
      </c>
      <c r="E4576" s="205" t="s">
        <v>5823</v>
      </c>
      <c r="F4576" s="203" t="s">
        <v>5824</v>
      </c>
      <c r="G4576" s="203" t="s">
        <v>88</v>
      </c>
      <c r="H4576" s="25" t="s">
        <v>5840</v>
      </c>
      <c r="I4576" s="46" t="e">
        <f>VLOOKUP(H4576,'合同高级查询数据-4月返'!A:A,1,FALSE)</f>
        <v>#N/A</v>
      </c>
      <c r="J4576" s="47" t="s">
        <v>90</v>
      </c>
      <c r="K4576" s="203" t="s">
        <v>5841</v>
      </c>
      <c r="L4576" s="206"/>
      <c r="M4576" s="49" t="s">
        <v>5695</v>
      </c>
      <c r="N4576" s="73">
        <v>44536</v>
      </c>
      <c r="O4576" s="73" t="s">
        <v>507</v>
      </c>
      <c r="P4576" s="396">
        <v>9580</v>
      </c>
      <c r="Q4576" s="212">
        <v>2</v>
      </c>
      <c r="R4576" s="386">
        <f t="shared" si="146"/>
        <v>19160</v>
      </c>
      <c r="S4576" s="279">
        <v>202304</v>
      </c>
      <c r="T4576" s="184" t="s">
        <v>5940</v>
      </c>
      <c r="U4576" s="213"/>
      <c r="V4576" s="210"/>
      <c r="W4576" s="214"/>
      <c r="X4576" s="73">
        <v>43815</v>
      </c>
      <c r="Y4576" s="73">
        <v>46006</v>
      </c>
    </row>
    <row r="4577" s="5" customFormat="1" customHeight="1" spans="1:25">
      <c r="A4577" s="203" t="s">
        <v>444</v>
      </c>
      <c r="B4577" s="204" t="s">
        <v>5519</v>
      </c>
      <c r="C4577" s="204" t="s">
        <v>125</v>
      </c>
      <c r="D4577" s="204" t="s">
        <v>3939</v>
      </c>
      <c r="E4577" s="205" t="s">
        <v>5823</v>
      </c>
      <c r="F4577" s="203" t="s">
        <v>5824</v>
      </c>
      <c r="G4577" s="203" t="s">
        <v>88</v>
      </c>
      <c r="H4577" s="25" t="s">
        <v>5840</v>
      </c>
      <c r="I4577" s="46" t="e">
        <f>VLOOKUP(H4577,'合同高级查询数据-4月返'!A:A,1,FALSE)</f>
        <v>#N/A</v>
      </c>
      <c r="J4577" s="47" t="s">
        <v>90</v>
      </c>
      <c r="K4577" s="203" t="s">
        <v>5841</v>
      </c>
      <c r="L4577" s="206"/>
      <c r="M4577" s="49" t="s">
        <v>5695</v>
      </c>
      <c r="N4577" s="73">
        <v>44554</v>
      </c>
      <c r="O4577" s="73" t="s">
        <v>507</v>
      </c>
      <c r="P4577" s="396">
        <v>9580</v>
      </c>
      <c r="Q4577" s="212">
        <v>11</v>
      </c>
      <c r="R4577" s="386">
        <f t="shared" si="146"/>
        <v>105380</v>
      </c>
      <c r="S4577" s="279">
        <v>202304</v>
      </c>
      <c r="T4577" s="184" t="s">
        <v>5941</v>
      </c>
      <c r="U4577" s="213"/>
      <c r="V4577" s="210"/>
      <c r="W4577" s="214"/>
      <c r="X4577" s="73">
        <v>43815</v>
      </c>
      <c r="Y4577" s="73">
        <v>46006</v>
      </c>
    </row>
    <row r="4578" s="5" customFormat="1" customHeight="1" spans="1:25">
      <c r="A4578" s="203" t="s">
        <v>444</v>
      </c>
      <c r="B4578" s="204" t="s">
        <v>5519</v>
      </c>
      <c r="C4578" s="204" t="s">
        <v>125</v>
      </c>
      <c r="D4578" s="204" t="s">
        <v>3939</v>
      </c>
      <c r="E4578" s="205" t="s">
        <v>5823</v>
      </c>
      <c r="F4578" s="203" t="s">
        <v>5824</v>
      </c>
      <c r="G4578" s="203" t="s">
        <v>88</v>
      </c>
      <c r="H4578" s="25" t="s">
        <v>5840</v>
      </c>
      <c r="I4578" s="46" t="e">
        <f>VLOOKUP(H4578,'合同高级查询数据-4月返'!A:A,1,FALSE)</f>
        <v>#N/A</v>
      </c>
      <c r="J4578" s="47" t="s">
        <v>90</v>
      </c>
      <c r="K4578" s="203" t="s">
        <v>5841</v>
      </c>
      <c r="L4578" s="206"/>
      <c r="M4578" s="49" t="s">
        <v>5695</v>
      </c>
      <c r="N4578" s="73">
        <v>44608</v>
      </c>
      <c r="O4578" s="73" t="s">
        <v>507</v>
      </c>
      <c r="P4578" s="396">
        <v>9580</v>
      </c>
      <c r="Q4578" s="212">
        <v>17</v>
      </c>
      <c r="R4578" s="386">
        <f t="shared" si="146"/>
        <v>162860</v>
      </c>
      <c r="S4578" s="279">
        <v>202304</v>
      </c>
      <c r="T4578" s="184" t="s">
        <v>5942</v>
      </c>
      <c r="U4578" s="213"/>
      <c r="V4578" s="210"/>
      <c r="W4578" s="214"/>
      <c r="X4578" s="73">
        <v>43815</v>
      </c>
      <c r="Y4578" s="73">
        <v>46006</v>
      </c>
    </row>
    <row r="4579" s="5" customFormat="1" customHeight="1" spans="1:25">
      <c r="A4579" s="203" t="s">
        <v>444</v>
      </c>
      <c r="B4579" s="204" t="s">
        <v>5519</v>
      </c>
      <c r="C4579" s="204" t="s">
        <v>125</v>
      </c>
      <c r="D4579" s="204" t="s">
        <v>3939</v>
      </c>
      <c r="E4579" s="205" t="s">
        <v>5823</v>
      </c>
      <c r="F4579" s="203" t="s">
        <v>5824</v>
      </c>
      <c r="G4579" s="203" t="s">
        <v>88</v>
      </c>
      <c r="H4579" s="25" t="s">
        <v>5840</v>
      </c>
      <c r="I4579" s="46" t="e">
        <f>VLOOKUP(H4579,'合同高级查询数据-4月返'!A:A,1,FALSE)</f>
        <v>#N/A</v>
      </c>
      <c r="J4579" s="47" t="s">
        <v>90</v>
      </c>
      <c r="K4579" s="203" t="s">
        <v>5841</v>
      </c>
      <c r="L4579" s="206"/>
      <c r="M4579" s="49" t="s">
        <v>5695</v>
      </c>
      <c r="N4579" s="73">
        <v>44697</v>
      </c>
      <c r="O4579" s="73" t="s">
        <v>507</v>
      </c>
      <c r="P4579" s="396">
        <v>9580</v>
      </c>
      <c r="Q4579" s="212">
        <v>2</v>
      </c>
      <c r="R4579" s="386">
        <f t="shared" si="146"/>
        <v>19160</v>
      </c>
      <c r="S4579" s="279">
        <v>202304</v>
      </c>
      <c r="T4579" s="184" t="s">
        <v>5943</v>
      </c>
      <c r="U4579" s="213"/>
      <c r="V4579" s="210"/>
      <c r="W4579" s="214"/>
      <c r="X4579" s="73">
        <v>43815</v>
      </c>
      <c r="Y4579" s="73">
        <v>46006</v>
      </c>
    </row>
    <row r="4580" s="5" customFormat="1" customHeight="1" spans="1:25">
      <c r="A4580" s="203" t="s">
        <v>444</v>
      </c>
      <c r="B4580" s="204" t="s">
        <v>5519</v>
      </c>
      <c r="C4580" s="204" t="s">
        <v>125</v>
      </c>
      <c r="D4580" s="204" t="s">
        <v>3939</v>
      </c>
      <c r="E4580" s="205" t="s">
        <v>5823</v>
      </c>
      <c r="F4580" s="203" t="s">
        <v>5824</v>
      </c>
      <c r="G4580" s="203" t="s">
        <v>88</v>
      </c>
      <c r="H4580" s="25" t="s">
        <v>5840</v>
      </c>
      <c r="I4580" s="46" t="e">
        <f>VLOOKUP(H4580,'合同高级查询数据-4月返'!A:A,1,FALSE)</f>
        <v>#N/A</v>
      </c>
      <c r="J4580" s="47" t="s">
        <v>90</v>
      </c>
      <c r="K4580" s="203" t="s">
        <v>5841</v>
      </c>
      <c r="L4580" s="206"/>
      <c r="M4580" s="49" t="s">
        <v>5695</v>
      </c>
      <c r="N4580" s="73">
        <v>44783</v>
      </c>
      <c r="O4580" s="73" t="s">
        <v>503</v>
      </c>
      <c r="P4580" s="396">
        <v>4790</v>
      </c>
      <c r="Q4580" s="212">
        <v>1</v>
      </c>
      <c r="R4580" s="386">
        <f t="shared" si="146"/>
        <v>4790</v>
      </c>
      <c r="S4580" s="279">
        <v>202304</v>
      </c>
      <c r="T4580" s="184" t="s">
        <v>5944</v>
      </c>
      <c r="U4580" s="213"/>
      <c r="V4580" s="210"/>
      <c r="W4580" s="214"/>
      <c r="X4580" s="73">
        <v>43815</v>
      </c>
      <c r="Y4580" s="73">
        <v>46006</v>
      </c>
    </row>
    <row r="4581" s="5" customFormat="1" customHeight="1" spans="1:25">
      <c r="A4581" s="203" t="s">
        <v>444</v>
      </c>
      <c r="B4581" s="204" t="s">
        <v>5519</v>
      </c>
      <c r="C4581" s="204" t="s">
        <v>125</v>
      </c>
      <c r="D4581" s="204" t="s">
        <v>3939</v>
      </c>
      <c r="E4581" s="205" t="s">
        <v>5823</v>
      </c>
      <c r="F4581" s="203" t="s">
        <v>5824</v>
      </c>
      <c r="G4581" s="203" t="s">
        <v>88</v>
      </c>
      <c r="H4581" s="25" t="s">
        <v>5840</v>
      </c>
      <c r="I4581" s="46" t="e">
        <f>VLOOKUP(H4581,'合同高级查询数据-4月返'!A:A,1,FALSE)</f>
        <v>#N/A</v>
      </c>
      <c r="J4581" s="47" t="s">
        <v>90</v>
      </c>
      <c r="K4581" s="203" t="s">
        <v>5841</v>
      </c>
      <c r="L4581" s="206"/>
      <c r="M4581" s="49" t="s">
        <v>5695</v>
      </c>
      <c r="N4581" s="73">
        <v>44825</v>
      </c>
      <c r="O4581" s="73" t="s">
        <v>507</v>
      </c>
      <c r="P4581" s="396">
        <v>9580</v>
      </c>
      <c r="Q4581" s="212">
        <v>2</v>
      </c>
      <c r="R4581" s="386">
        <f t="shared" si="146"/>
        <v>19160</v>
      </c>
      <c r="S4581" s="279">
        <v>202304</v>
      </c>
      <c r="T4581" s="189" t="s">
        <v>5945</v>
      </c>
      <c r="U4581" s="213"/>
      <c r="V4581" s="210"/>
      <c r="W4581" s="214"/>
      <c r="X4581" s="73">
        <v>43815</v>
      </c>
      <c r="Y4581" s="73">
        <v>46006</v>
      </c>
    </row>
    <row r="4582" s="5" customFormat="1" customHeight="1" spans="1:25">
      <c r="A4582" s="203" t="s">
        <v>444</v>
      </c>
      <c r="B4582" s="204" t="s">
        <v>5519</v>
      </c>
      <c r="C4582" s="204" t="s">
        <v>125</v>
      </c>
      <c r="D4582" s="204" t="s">
        <v>3939</v>
      </c>
      <c r="E4582" s="205" t="s">
        <v>5823</v>
      </c>
      <c r="F4582" s="203" t="s">
        <v>5824</v>
      </c>
      <c r="G4582" s="203" t="s">
        <v>88</v>
      </c>
      <c r="H4582" s="25" t="s">
        <v>5840</v>
      </c>
      <c r="I4582" s="46" t="e">
        <f>VLOOKUP(H4582,'合同高级查询数据-4月返'!A:A,1,FALSE)</f>
        <v>#N/A</v>
      </c>
      <c r="J4582" s="47" t="s">
        <v>90</v>
      </c>
      <c r="K4582" s="203" t="s">
        <v>5841</v>
      </c>
      <c r="L4582" s="206"/>
      <c r="M4582" s="49" t="s">
        <v>5695</v>
      </c>
      <c r="N4582" s="73">
        <v>44827</v>
      </c>
      <c r="O4582" s="73" t="s">
        <v>507</v>
      </c>
      <c r="P4582" s="396">
        <v>9580</v>
      </c>
      <c r="Q4582" s="212">
        <v>4</v>
      </c>
      <c r="R4582" s="386">
        <f t="shared" si="146"/>
        <v>38320</v>
      </c>
      <c r="S4582" s="279">
        <v>202304</v>
      </c>
      <c r="T4582" s="189" t="s">
        <v>5946</v>
      </c>
      <c r="U4582" s="213"/>
      <c r="V4582" s="210"/>
      <c r="W4582" s="214"/>
      <c r="X4582" s="73">
        <v>43815</v>
      </c>
      <c r="Y4582" s="73">
        <v>46006</v>
      </c>
    </row>
    <row r="4583" s="5" customFormat="1" customHeight="1" spans="1:25">
      <c r="A4583" s="203" t="s">
        <v>444</v>
      </c>
      <c r="B4583" s="204" t="s">
        <v>5519</v>
      </c>
      <c r="C4583" s="204" t="s">
        <v>125</v>
      </c>
      <c r="D4583" s="204" t="s">
        <v>3939</v>
      </c>
      <c r="E4583" s="205" t="s">
        <v>5823</v>
      </c>
      <c r="F4583" s="203" t="s">
        <v>5824</v>
      </c>
      <c r="G4583" s="203" t="s">
        <v>88</v>
      </c>
      <c r="H4583" s="25" t="s">
        <v>5840</v>
      </c>
      <c r="I4583" s="46" t="e">
        <f>VLOOKUP(H4583,'合同高级查询数据-4月返'!A:A,1,FALSE)</f>
        <v>#N/A</v>
      </c>
      <c r="J4583" s="47" t="s">
        <v>90</v>
      </c>
      <c r="K4583" s="203" t="s">
        <v>5841</v>
      </c>
      <c r="L4583" s="206"/>
      <c r="M4583" s="49" t="s">
        <v>5695</v>
      </c>
      <c r="N4583" s="73">
        <v>44859</v>
      </c>
      <c r="O4583" s="73" t="s">
        <v>507</v>
      </c>
      <c r="P4583" s="396">
        <v>9580</v>
      </c>
      <c r="Q4583" s="212">
        <v>-35</v>
      </c>
      <c r="R4583" s="386">
        <f t="shared" si="146"/>
        <v>-335300</v>
      </c>
      <c r="S4583" s="279">
        <v>202304</v>
      </c>
      <c r="T4583" s="189" t="s">
        <v>5947</v>
      </c>
      <c r="U4583" s="213"/>
      <c r="V4583" s="210"/>
      <c r="W4583" s="214"/>
      <c r="X4583" s="73">
        <v>43815</v>
      </c>
      <c r="Y4583" s="73">
        <v>46006</v>
      </c>
    </row>
    <row r="4584" s="5" customFormat="1" customHeight="1" spans="1:25">
      <c r="A4584" s="203" t="s">
        <v>444</v>
      </c>
      <c r="B4584" s="204" t="s">
        <v>5519</v>
      </c>
      <c r="C4584" s="204" t="s">
        <v>125</v>
      </c>
      <c r="D4584" s="204" t="s">
        <v>3939</v>
      </c>
      <c r="E4584" s="205" t="s">
        <v>5823</v>
      </c>
      <c r="F4584" s="203" t="s">
        <v>5824</v>
      </c>
      <c r="G4584" s="203" t="s">
        <v>88</v>
      </c>
      <c r="H4584" s="25" t="s">
        <v>5840</v>
      </c>
      <c r="I4584" s="46" t="e">
        <f>VLOOKUP(H4584,'合同高级查询数据-4月返'!A:A,1,FALSE)</f>
        <v>#N/A</v>
      </c>
      <c r="J4584" s="47" t="s">
        <v>90</v>
      </c>
      <c r="K4584" s="203" t="s">
        <v>5841</v>
      </c>
      <c r="L4584" s="206"/>
      <c r="M4584" s="49" t="s">
        <v>5695</v>
      </c>
      <c r="N4584" s="73">
        <v>44881</v>
      </c>
      <c r="O4584" s="73" t="s">
        <v>503</v>
      </c>
      <c r="P4584" s="396">
        <v>4790</v>
      </c>
      <c r="Q4584" s="212">
        <v>-4</v>
      </c>
      <c r="R4584" s="386">
        <f t="shared" si="146"/>
        <v>-19160</v>
      </c>
      <c r="S4584" s="279">
        <v>202304</v>
      </c>
      <c r="T4584" s="189" t="s">
        <v>5948</v>
      </c>
      <c r="U4584" s="213"/>
      <c r="V4584" s="210"/>
      <c r="W4584" s="214"/>
      <c r="X4584" s="73">
        <v>43815</v>
      </c>
      <c r="Y4584" s="73">
        <v>46006</v>
      </c>
    </row>
    <row r="4585" s="5" customFormat="1" customHeight="1" spans="1:25">
      <c r="A4585" s="203" t="s">
        <v>444</v>
      </c>
      <c r="B4585" s="204" t="s">
        <v>5519</v>
      </c>
      <c r="C4585" s="204" t="s">
        <v>125</v>
      </c>
      <c r="D4585" s="204" t="s">
        <v>3939</v>
      </c>
      <c r="E4585" s="205" t="s">
        <v>5823</v>
      </c>
      <c r="F4585" s="203" t="s">
        <v>5824</v>
      </c>
      <c r="G4585" s="203" t="s">
        <v>88</v>
      </c>
      <c r="H4585" s="25" t="s">
        <v>5840</v>
      </c>
      <c r="I4585" s="46" t="e">
        <f>VLOOKUP(H4585,'合同高级查询数据-4月返'!A:A,1,FALSE)</f>
        <v>#N/A</v>
      </c>
      <c r="J4585" s="47" t="s">
        <v>90</v>
      </c>
      <c r="K4585" s="203" t="s">
        <v>5841</v>
      </c>
      <c r="L4585" s="206"/>
      <c r="M4585" s="49" t="s">
        <v>5695</v>
      </c>
      <c r="N4585" s="73">
        <v>44881</v>
      </c>
      <c r="O4585" s="73" t="s">
        <v>507</v>
      </c>
      <c r="P4585" s="396">
        <v>9580</v>
      </c>
      <c r="Q4585" s="212">
        <v>-1</v>
      </c>
      <c r="R4585" s="386">
        <f t="shared" si="146"/>
        <v>-9580</v>
      </c>
      <c r="S4585" s="279">
        <v>202304</v>
      </c>
      <c r="T4585" s="189" t="s">
        <v>5949</v>
      </c>
      <c r="U4585" s="213"/>
      <c r="V4585" s="210"/>
      <c r="W4585" s="214"/>
      <c r="X4585" s="73">
        <v>43815</v>
      </c>
      <c r="Y4585" s="73">
        <v>46006</v>
      </c>
    </row>
    <row r="4586" s="5" customFormat="1" customHeight="1" spans="1:25">
      <c r="A4586" s="203" t="s">
        <v>444</v>
      </c>
      <c r="B4586" s="204" t="s">
        <v>5519</v>
      </c>
      <c r="C4586" s="204" t="s">
        <v>125</v>
      </c>
      <c r="D4586" s="204" t="s">
        <v>3939</v>
      </c>
      <c r="E4586" s="205" t="s">
        <v>5823</v>
      </c>
      <c r="F4586" s="203" t="s">
        <v>5824</v>
      </c>
      <c r="G4586" s="203" t="s">
        <v>88</v>
      </c>
      <c r="H4586" s="25" t="s">
        <v>5840</v>
      </c>
      <c r="I4586" s="46" t="e">
        <f>VLOOKUP(H4586,'合同高级查询数据-4月返'!A:A,1,FALSE)</f>
        <v>#N/A</v>
      </c>
      <c r="J4586" s="47" t="s">
        <v>90</v>
      </c>
      <c r="K4586" s="203" t="s">
        <v>5841</v>
      </c>
      <c r="L4586" s="206"/>
      <c r="M4586" s="49" t="s">
        <v>5695</v>
      </c>
      <c r="N4586" s="73">
        <v>44909</v>
      </c>
      <c r="O4586" s="73" t="s">
        <v>507</v>
      </c>
      <c r="P4586" s="396">
        <v>9580</v>
      </c>
      <c r="Q4586" s="212">
        <v>-2</v>
      </c>
      <c r="R4586" s="114">
        <f t="shared" si="146"/>
        <v>-19160</v>
      </c>
      <c r="S4586" s="279">
        <v>202304</v>
      </c>
      <c r="T4586" s="189" t="s">
        <v>5950</v>
      </c>
      <c r="U4586" s="213"/>
      <c r="V4586" s="210"/>
      <c r="W4586" s="214"/>
      <c r="X4586" s="73">
        <v>43815</v>
      </c>
      <c r="Y4586" s="73">
        <v>46006</v>
      </c>
    </row>
    <row r="4587" s="5" customFormat="1" customHeight="1" spans="1:25">
      <c r="A4587" s="203" t="s">
        <v>444</v>
      </c>
      <c r="B4587" s="204" t="s">
        <v>5519</v>
      </c>
      <c r="C4587" s="204" t="s">
        <v>125</v>
      </c>
      <c r="D4587" s="204" t="s">
        <v>3939</v>
      </c>
      <c r="E4587" s="205" t="s">
        <v>5823</v>
      </c>
      <c r="F4587" s="203" t="s">
        <v>5824</v>
      </c>
      <c r="G4587" s="203" t="s">
        <v>88</v>
      </c>
      <c r="H4587" s="25" t="s">
        <v>5840</v>
      </c>
      <c r="I4587" s="46" t="e">
        <f>VLOOKUP(H4587,'合同高级查询数据-4月返'!A:A,1,FALSE)</f>
        <v>#N/A</v>
      </c>
      <c r="J4587" s="47" t="s">
        <v>90</v>
      </c>
      <c r="K4587" s="203" t="s">
        <v>5841</v>
      </c>
      <c r="L4587" s="206"/>
      <c r="M4587" s="49" t="s">
        <v>5695</v>
      </c>
      <c r="N4587" s="73">
        <v>44967</v>
      </c>
      <c r="O4587" s="73" t="s">
        <v>507</v>
      </c>
      <c r="P4587" s="396">
        <v>9580</v>
      </c>
      <c r="Q4587" s="212">
        <v>3</v>
      </c>
      <c r="R4587" s="117">
        <f t="shared" si="146"/>
        <v>28740</v>
      </c>
      <c r="S4587" s="279">
        <v>202304</v>
      </c>
      <c r="T4587" s="189" t="s">
        <v>5951</v>
      </c>
      <c r="U4587" s="455"/>
      <c r="V4587" s="210"/>
      <c r="W4587" s="214"/>
      <c r="X4587" s="73">
        <v>43815</v>
      </c>
      <c r="Y4587" s="73">
        <v>46006</v>
      </c>
    </row>
    <row r="4588" s="5" customFormat="1" customHeight="1" spans="1:25">
      <c r="A4588" s="203" t="s">
        <v>444</v>
      </c>
      <c r="B4588" s="204" t="s">
        <v>5519</v>
      </c>
      <c r="C4588" s="204" t="s">
        <v>125</v>
      </c>
      <c r="D4588" s="204" t="s">
        <v>3939</v>
      </c>
      <c r="E4588" s="205" t="s">
        <v>5823</v>
      </c>
      <c r="F4588" s="203" t="s">
        <v>5824</v>
      </c>
      <c r="G4588" s="203" t="s">
        <v>88</v>
      </c>
      <c r="H4588" s="25" t="s">
        <v>5840</v>
      </c>
      <c r="I4588" s="46" t="e">
        <f>VLOOKUP(H4588,'合同高级查询数据-4月返'!A:A,1,FALSE)</f>
        <v>#N/A</v>
      </c>
      <c r="J4588" s="47" t="s">
        <v>90</v>
      </c>
      <c r="K4588" s="203" t="s">
        <v>5841</v>
      </c>
      <c r="L4588" s="206"/>
      <c r="M4588" s="49" t="s">
        <v>5695</v>
      </c>
      <c r="N4588" s="73">
        <v>45000</v>
      </c>
      <c r="O4588" s="73" t="s">
        <v>507</v>
      </c>
      <c r="P4588" s="396">
        <v>9580</v>
      </c>
      <c r="Q4588" s="212">
        <v>3</v>
      </c>
      <c r="R4588" s="117">
        <f t="shared" si="146"/>
        <v>28740</v>
      </c>
      <c r="S4588" s="279">
        <v>202304</v>
      </c>
      <c r="T4588" s="189" t="s">
        <v>5952</v>
      </c>
      <c r="U4588" s="213"/>
      <c r="V4588" s="210"/>
      <c r="W4588" s="214"/>
      <c r="X4588" s="73">
        <v>43815</v>
      </c>
      <c r="Y4588" s="73">
        <v>46006</v>
      </c>
    </row>
    <row r="4589" s="5" customFormat="1" customHeight="1" spans="1:25">
      <c r="A4589" s="203" t="s">
        <v>444</v>
      </c>
      <c r="B4589" s="204" t="s">
        <v>5519</v>
      </c>
      <c r="C4589" s="204" t="s">
        <v>125</v>
      </c>
      <c r="D4589" s="204" t="s">
        <v>3939</v>
      </c>
      <c r="E4589" s="205" t="s">
        <v>5823</v>
      </c>
      <c r="F4589" s="203" t="s">
        <v>5824</v>
      </c>
      <c r="G4589" s="203" t="s">
        <v>88</v>
      </c>
      <c r="H4589" s="25" t="s">
        <v>5840</v>
      </c>
      <c r="I4589" s="46" t="e">
        <f>VLOOKUP(H4589,'合同高级查询数据-4月返'!A:A,1,FALSE)</f>
        <v>#N/A</v>
      </c>
      <c r="J4589" s="47" t="s">
        <v>90</v>
      </c>
      <c r="K4589" s="203" t="s">
        <v>5841</v>
      </c>
      <c r="L4589" s="206"/>
      <c r="M4589" s="49" t="s">
        <v>5695</v>
      </c>
      <c r="N4589" s="73">
        <v>45002</v>
      </c>
      <c r="O4589" s="73" t="s">
        <v>507</v>
      </c>
      <c r="P4589" s="396">
        <v>9580</v>
      </c>
      <c r="Q4589" s="212">
        <v>-4</v>
      </c>
      <c r="R4589" s="117">
        <f t="shared" si="146"/>
        <v>-38320</v>
      </c>
      <c r="S4589" s="279">
        <v>202304</v>
      </c>
      <c r="T4589" s="189" t="s">
        <v>5953</v>
      </c>
      <c r="U4589" s="213"/>
      <c r="V4589" s="210"/>
      <c r="W4589" s="214"/>
      <c r="X4589" s="73">
        <v>43815</v>
      </c>
      <c r="Y4589" s="73">
        <v>46006</v>
      </c>
    </row>
    <row r="4590" s="5" customFormat="1" customHeight="1" spans="1:25">
      <c r="A4590" s="203" t="s">
        <v>444</v>
      </c>
      <c r="B4590" s="204" t="s">
        <v>5519</v>
      </c>
      <c r="C4590" s="204" t="s">
        <v>125</v>
      </c>
      <c r="D4590" s="204" t="s">
        <v>3939</v>
      </c>
      <c r="E4590" s="205" t="s">
        <v>5823</v>
      </c>
      <c r="F4590" s="203" t="s">
        <v>5824</v>
      </c>
      <c r="G4590" s="203" t="s">
        <v>88</v>
      </c>
      <c r="H4590" s="25" t="s">
        <v>5840</v>
      </c>
      <c r="I4590" s="46" t="e">
        <f>VLOOKUP(H4590,'合同高级查询数据-4月返'!A:A,1,FALSE)</f>
        <v>#N/A</v>
      </c>
      <c r="J4590" s="47" t="s">
        <v>90</v>
      </c>
      <c r="K4590" s="203" t="s">
        <v>5841</v>
      </c>
      <c r="L4590" s="206"/>
      <c r="M4590" s="49" t="s">
        <v>5695</v>
      </c>
      <c r="N4590" s="73">
        <v>45013</v>
      </c>
      <c r="O4590" s="73" t="s">
        <v>507</v>
      </c>
      <c r="P4590" s="396">
        <v>9580</v>
      </c>
      <c r="Q4590" s="212">
        <v>-3</v>
      </c>
      <c r="R4590" s="117">
        <f t="shared" si="146"/>
        <v>-28740</v>
      </c>
      <c r="S4590" s="279">
        <v>202304</v>
      </c>
      <c r="T4590" s="189" t="s">
        <v>5954</v>
      </c>
      <c r="U4590" s="213"/>
      <c r="V4590" s="210"/>
      <c r="W4590" s="214"/>
      <c r="X4590" s="73">
        <v>43815</v>
      </c>
      <c r="Y4590" s="73">
        <v>46006</v>
      </c>
    </row>
    <row r="4591" s="5" customFormat="1" customHeight="1" spans="1:25">
      <c r="A4591" s="203" t="s">
        <v>444</v>
      </c>
      <c r="B4591" s="204" t="s">
        <v>5519</v>
      </c>
      <c r="C4591" s="204" t="s">
        <v>125</v>
      </c>
      <c r="D4591" s="204" t="s">
        <v>3939</v>
      </c>
      <c r="E4591" s="205" t="s">
        <v>5823</v>
      </c>
      <c r="F4591" s="203" t="s">
        <v>5824</v>
      </c>
      <c r="G4591" s="203" t="s">
        <v>88</v>
      </c>
      <c r="H4591" s="25" t="s">
        <v>5840</v>
      </c>
      <c r="I4591" s="46" t="e">
        <f>VLOOKUP(H4591,'合同高级查询数据-4月返'!A:A,1,FALSE)</f>
        <v>#N/A</v>
      </c>
      <c r="J4591" s="47" t="s">
        <v>90</v>
      </c>
      <c r="K4591" s="203" t="s">
        <v>5841</v>
      </c>
      <c r="L4591" s="206"/>
      <c r="M4591" s="49" t="s">
        <v>5695</v>
      </c>
      <c r="N4591" s="397">
        <v>45017</v>
      </c>
      <c r="O4591" s="73" t="s">
        <v>507</v>
      </c>
      <c r="P4591" s="396">
        <v>9580</v>
      </c>
      <c r="Q4591" s="212">
        <v>8</v>
      </c>
      <c r="R4591" s="117">
        <f t="shared" si="146"/>
        <v>76640</v>
      </c>
      <c r="S4591" s="279">
        <v>202304</v>
      </c>
      <c r="T4591" s="398" t="s">
        <v>5955</v>
      </c>
      <c r="U4591" s="213"/>
      <c r="V4591" s="210"/>
      <c r="W4591" s="214"/>
      <c r="X4591" s="73">
        <v>43815</v>
      </c>
      <c r="Y4591" s="73">
        <v>46006</v>
      </c>
    </row>
    <row r="4592" s="5" customFormat="1" customHeight="1" spans="1:25">
      <c r="A4592" s="203" t="s">
        <v>444</v>
      </c>
      <c r="B4592" s="204" t="s">
        <v>5519</v>
      </c>
      <c r="C4592" s="204" t="s">
        <v>125</v>
      </c>
      <c r="D4592" s="204" t="s">
        <v>3939</v>
      </c>
      <c r="E4592" s="205" t="s">
        <v>5823</v>
      </c>
      <c r="F4592" s="203" t="s">
        <v>5824</v>
      </c>
      <c r="G4592" s="203" t="s">
        <v>88</v>
      </c>
      <c r="H4592" s="25" t="s">
        <v>5840</v>
      </c>
      <c r="I4592" s="46" t="e">
        <f>VLOOKUP(H4592,'合同高级查询数据-4月返'!A:A,1,FALSE)</f>
        <v>#N/A</v>
      </c>
      <c r="J4592" s="47" t="s">
        <v>90</v>
      </c>
      <c r="K4592" s="203" t="s">
        <v>5841</v>
      </c>
      <c r="L4592" s="206"/>
      <c r="M4592" s="49" t="s">
        <v>5695</v>
      </c>
      <c r="N4592" s="397">
        <v>45020</v>
      </c>
      <c r="O4592" s="73" t="s">
        <v>507</v>
      </c>
      <c r="P4592" s="396">
        <v>9580</v>
      </c>
      <c r="Q4592" s="212">
        <v>3</v>
      </c>
      <c r="R4592" s="117">
        <f>ROUND(P4592*Q4592*27/30,2)</f>
        <v>25866</v>
      </c>
      <c r="S4592" s="279">
        <v>202304</v>
      </c>
      <c r="T4592" s="398" t="s">
        <v>5956</v>
      </c>
      <c r="U4592" s="213"/>
      <c r="V4592" s="210"/>
      <c r="W4592" s="214"/>
      <c r="X4592" s="73">
        <v>43815</v>
      </c>
      <c r="Y4592" s="73">
        <v>46006</v>
      </c>
    </row>
    <row r="4593" s="5" customFormat="1" customHeight="1" spans="1:25">
      <c r="A4593" s="203" t="s">
        <v>444</v>
      </c>
      <c r="B4593" s="204" t="s">
        <v>5519</v>
      </c>
      <c r="C4593" s="204" t="s">
        <v>125</v>
      </c>
      <c r="D4593" s="204" t="s">
        <v>3939</v>
      </c>
      <c r="E4593" s="205" t="s">
        <v>5823</v>
      </c>
      <c r="F4593" s="203" t="s">
        <v>5824</v>
      </c>
      <c r="G4593" s="203" t="s">
        <v>88</v>
      </c>
      <c r="H4593" s="25" t="s">
        <v>5840</v>
      </c>
      <c r="I4593" s="46" t="e">
        <f>VLOOKUP(H4593,'合同高级查询数据-4月返'!A:A,1,FALSE)</f>
        <v>#N/A</v>
      </c>
      <c r="J4593" s="47" t="s">
        <v>90</v>
      </c>
      <c r="K4593" s="203" t="s">
        <v>5841</v>
      </c>
      <c r="L4593" s="206"/>
      <c r="M4593" s="49" t="s">
        <v>5695</v>
      </c>
      <c r="N4593" s="397">
        <v>45023</v>
      </c>
      <c r="O4593" s="73" t="s">
        <v>507</v>
      </c>
      <c r="P4593" s="396">
        <v>9580</v>
      </c>
      <c r="Q4593" s="212">
        <v>8</v>
      </c>
      <c r="R4593" s="117">
        <f>ROUND(P4593*Q4593*24/30,2)</f>
        <v>61312</v>
      </c>
      <c r="S4593" s="279">
        <v>202304</v>
      </c>
      <c r="T4593" s="398" t="s">
        <v>5957</v>
      </c>
      <c r="U4593" s="213"/>
      <c r="V4593" s="210"/>
      <c r="W4593" s="214"/>
      <c r="X4593" s="73">
        <v>43815</v>
      </c>
      <c r="Y4593" s="73">
        <v>46006</v>
      </c>
    </row>
    <row r="4594" s="5" customFormat="1" customHeight="1" spans="1:25">
      <c r="A4594" s="203" t="s">
        <v>444</v>
      </c>
      <c r="B4594" s="204" t="s">
        <v>5519</v>
      </c>
      <c r="C4594" s="204" t="s">
        <v>125</v>
      </c>
      <c r="D4594" s="204" t="s">
        <v>3939</v>
      </c>
      <c r="E4594" s="205" t="s">
        <v>5823</v>
      </c>
      <c r="F4594" s="203" t="s">
        <v>5824</v>
      </c>
      <c r="G4594" s="203" t="s">
        <v>88</v>
      </c>
      <c r="H4594" s="25" t="s">
        <v>5840</v>
      </c>
      <c r="I4594" s="46" t="e">
        <f>VLOOKUP(H4594,'合同高级查询数据-4月返'!A:A,1,FALSE)</f>
        <v>#N/A</v>
      </c>
      <c r="J4594" s="47" t="s">
        <v>90</v>
      </c>
      <c r="K4594" s="203" t="s">
        <v>5841</v>
      </c>
      <c r="L4594" s="206"/>
      <c r="M4594" s="49" t="s">
        <v>5695</v>
      </c>
      <c r="N4594" s="397">
        <v>45024</v>
      </c>
      <c r="O4594" s="73" t="s">
        <v>507</v>
      </c>
      <c r="P4594" s="396">
        <v>9580</v>
      </c>
      <c r="Q4594" s="212">
        <v>20</v>
      </c>
      <c r="R4594" s="117">
        <f>ROUND(P4594*Q4594*23/30,2)</f>
        <v>146893.33</v>
      </c>
      <c r="S4594" s="279">
        <v>202304</v>
      </c>
      <c r="T4594" s="398" t="s">
        <v>5958</v>
      </c>
      <c r="U4594" s="213"/>
      <c r="V4594" s="210"/>
      <c r="W4594" s="214"/>
      <c r="X4594" s="73">
        <v>43815</v>
      </c>
      <c r="Y4594" s="73">
        <v>46006</v>
      </c>
    </row>
    <row r="4595" s="5" customFormat="1" customHeight="1" spans="1:25">
      <c r="A4595" s="203" t="s">
        <v>444</v>
      </c>
      <c r="B4595" s="204" t="s">
        <v>5519</v>
      </c>
      <c r="C4595" s="204" t="s">
        <v>125</v>
      </c>
      <c r="D4595" s="204" t="s">
        <v>3939</v>
      </c>
      <c r="E4595" s="205" t="s">
        <v>5823</v>
      </c>
      <c r="F4595" s="203" t="s">
        <v>5824</v>
      </c>
      <c r="G4595" s="203" t="s">
        <v>88</v>
      </c>
      <c r="H4595" s="25" t="s">
        <v>5959</v>
      </c>
      <c r="I4595" s="46" t="str">
        <f>VLOOKUP(H4595,'合同高级查询数据-4月返'!A:A,1,FALSE)</f>
        <v>182315IDC00071</v>
      </c>
      <c r="J4595" s="47" t="s">
        <v>90</v>
      </c>
      <c r="K4595" s="203" t="s">
        <v>5960</v>
      </c>
      <c r="L4595" s="206"/>
      <c r="M4595" s="49" t="s">
        <v>5695</v>
      </c>
      <c r="N4595" s="73">
        <v>44942</v>
      </c>
      <c r="O4595" s="73" t="s">
        <v>507</v>
      </c>
      <c r="P4595" s="396">
        <v>9300</v>
      </c>
      <c r="Q4595" s="212">
        <v>8</v>
      </c>
      <c r="R4595" s="117">
        <f t="shared" ref="R4595:R4604" si="147">ROUND(P4595*Q4595,2)</f>
        <v>74400</v>
      </c>
      <c r="S4595" s="279">
        <v>202304</v>
      </c>
      <c r="T4595" s="189" t="s">
        <v>5961</v>
      </c>
      <c r="U4595" s="213"/>
      <c r="V4595" s="210"/>
      <c r="W4595" s="214"/>
      <c r="X4595" s="73">
        <v>44896</v>
      </c>
      <c r="Y4595" s="73">
        <v>47087</v>
      </c>
    </row>
    <row r="4596" s="5" customFormat="1" customHeight="1" spans="1:25">
      <c r="A4596" s="203" t="s">
        <v>444</v>
      </c>
      <c r="B4596" s="204" t="s">
        <v>5519</v>
      </c>
      <c r="C4596" s="204" t="s">
        <v>125</v>
      </c>
      <c r="D4596" s="204" t="s">
        <v>3939</v>
      </c>
      <c r="E4596" s="205" t="s">
        <v>5823</v>
      </c>
      <c r="F4596" s="203" t="s">
        <v>5824</v>
      </c>
      <c r="G4596" s="203" t="s">
        <v>88</v>
      </c>
      <c r="H4596" s="25" t="s">
        <v>5959</v>
      </c>
      <c r="I4596" s="46" t="str">
        <f>VLOOKUP(H4596,'合同高级查询数据-4月返'!A:A,1,FALSE)</f>
        <v>182315IDC00071</v>
      </c>
      <c r="J4596" s="47" t="s">
        <v>90</v>
      </c>
      <c r="K4596" s="203" t="s">
        <v>5960</v>
      </c>
      <c r="L4596" s="206"/>
      <c r="M4596" s="49" t="s">
        <v>5695</v>
      </c>
      <c r="N4596" s="73">
        <v>44944</v>
      </c>
      <c r="O4596" s="73" t="s">
        <v>507</v>
      </c>
      <c r="P4596" s="396">
        <v>9300</v>
      </c>
      <c r="Q4596" s="212">
        <v>2</v>
      </c>
      <c r="R4596" s="117">
        <f t="shared" si="147"/>
        <v>18600</v>
      </c>
      <c r="S4596" s="279">
        <v>202304</v>
      </c>
      <c r="T4596" s="189" t="s">
        <v>5962</v>
      </c>
      <c r="U4596" s="213"/>
      <c r="V4596" s="210"/>
      <c r="W4596" s="214"/>
      <c r="X4596" s="73">
        <v>44896</v>
      </c>
      <c r="Y4596" s="73">
        <v>47087</v>
      </c>
    </row>
    <row r="4597" s="5" customFormat="1" customHeight="1" spans="1:25">
      <c r="A4597" s="203" t="s">
        <v>444</v>
      </c>
      <c r="B4597" s="204" t="s">
        <v>5519</v>
      </c>
      <c r="C4597" s="204" t="s">
        <v>125</v>
      </c>
      <c r="D4597" s="204" t="s">
        <v>3939</v>
      </c>
      <c r="E4597" s="205" t="s">
        <v>5823</v>
      </c>
      <c r="F4597" s="203" t="s">
        <v>5824</v>
      </c>
      <c r="G4597" s="203" t="s">
        <v>88</v>
      </c>
      <c r="H4597" s="25" t="s">
        <v>5959</v>
      </c>
      <c r="I4597" s="46" t="str">
        <f>VLOOKUP(H4597,'合同高级查询数据-4月返'!A:A,1,FALSE)</f>
        <v>182315IDC00071</v>
      </c>
      <c r="J4597" s="47" t="s">
        <v>90</v>
      </c>
      <c r="K4597" s="203" t="s">
        <v>5960</v>
      </c>
      <c r="L4597" s="206"/>
      <c r="M4597" s="49" t="s">
        <v>5695</v>
      </c>
      <c r="N4597" s="73">
        <v>44957</v>
      </c>
      <c r="O4597" s="73" t="s">
        <v>507</v>
      </c>
      <c r="P4597" s="396">
        <v>9300</v>
      </c>
      <c r="Q4597" s="212">
        <v>16</v>
      </c>
      <c r="R4597" s="117">
        <f t="shared" si="147"/>
        <v>148800</v>
      </c>
      <c r="S4597" s="279">
        <v>202304</v>
      </c>
      <c r="T4597" s="189" t="s">
        <v>5963</v>
      </c>
      <c r="U4597" s="213"/>
      <c r="V4597" s="210"/>
      <c r="W4597" s="214"/>
      <c r="X4597" s="73">
        <v>44896</v>
      </c>
      <c r="Y4597" s="73">
        <v>47087</v>
      </c>
    </row>
    <row r="4598" s="5" customFormat="1" customHeight="1" spans="1:25">
      <c r="A4598" s="203" t="s">
        <v>444</v>
      </c>
      <c r="B4598" s="204" t="s">
        <v>5519</v>
      </c>
      <c r="C4598" s="204" t="s">
        <v>125</v>
      </c>
      <c r="D4598" s="204" t="s">
        <v>3939</v>
      </c>
      <c r="E4598" s="205" t="s">
        <v>5823</v>
      </c>
      <c r="F4598" s="203" t="s">
        <v>5824</v>
      </c>
      <c r="G4598" s="203" t="s">
        <v>88</v>
      </c>
      <c r="H4598" s="25" t="s">
        <v>5959</v>
      </c>
      <c r="I4598" s="46" t="str">
        <f>VLOOKUP(H4598,'合同高级查询数据-4月返'!A:A,1,FALSE)</f>
        <v>182315IDC00071</v>
      </c>
      <c r="J4598" s="47" t="s">
        <v>90</v>
      </c>
      <c r="K4598" s="203" t="s">
        <v>5960</v>
      </c>
      <c r="L4598" s="206"/>
      <c r="M4598" s="49" t="s">
        <v>5695</v>
      </c>
      <c r="N4598" s="73">
        <v>44972</v>
      </c>
      <c r="O4598" s="73" t="s">
        <v>507</v>
      </c>
      <c r="P4598" s="396">
        <v>9300</v>
      </c>
      <c r="Q4598" s="212">
        <v>4</v>
      </c>
      <c r="R4598" s="117">
        <f t="shared" si="147"/>
        <v>37200</v>
      </c>
      <c r="S4598" s="279">
        <v>202304</v>
      </c>
      <c r="T4598" s="189" t="s">
        <v>5964</v>
      </c>
      <c r="U4598" s="213"/>
      <c r="V4598" s="210"/>
      <c r="W4598" s="214"/>
      <c r="X4598" s="73">
        <v>44896</v>
      </c>
      <c r="Y4598" s="73">
        <v>47087</v>
      </c>
    </row>
    <row r="4599" s="5" customFormat="1" customHeight="1" spans="1:25">
      <c r="A4599" s="203" t="s">
        <v>444</v>
      </c>
      <c r="B4599" s="204" t="s">
        <v>5519</v>
      </c>
      <c r="C4599" s="204" t="s">
        <v>125</v>
      </c>
      <c r="D4599" s="204" t="s">
        <v>3939</v>
      </c>
      <c r="E4599" s="205" t="s">
        <v>5823</v>
      </c>
      <c r="F4599" s="203" t="s">
        <v>5824</v>
      </c>
      <c r="G4599" s="203" t="s">
        <v>88</v>
      </c>
      <c r="H4599" s="25" t="s">
        <v>5959</v>
      </c>
      <c r="I4599" s="46" t="str">
        <f>VLOOKUP(H4599,'合同高级查询数据-4月返'!A:A,1,FALSE)</f>
        <v>182315IDC00071</v>
      </c>
      <c r="J4599" s="47" t="s">
        <v>90</v>
      </c>
      <c r="K4599" s="203" t="s">
        <v>5960</v>
      </c>
      <c r="L4599" s="206"/>
      <c r="M4599" s="49" t="s">
        <v>5695</v>
      </c>
      <c r="N4599" s="73">
        <v>44974</v>
      </c>
      <c r="O4599" s="73" t="s">
        <v>507</v>
      </c>
      <c r="P4599" s="396">
        <v>9300</v>
      </c>
      <c r="Q4599" s="212">
        <v>2</v>
      </c>
      <c r="R4599" s="117">
        <f t="shared" si="147"/>
        <v>18600</v>
      </c>
      <c r="S4599" s="279">
        <v>202304</v>
      </c>
      <c r="T4599" s="189" t="s">
        <v>5965</v>
      </c>
      <c r="U4599" s="213"/>
      <c r="V4599" s="210"/>
      <c r="W4599" s="214"/>
      <c r="X4599" s="73">
        <v>44896</v>
      </c>
      <c r="Y4599" s="73">
        <v>47087</v>
      </c>
    </row>
    <row r="4600" s="5" customFormat="1" customHeight="1" spans="1:25">
      <c r="A4600" s="203" t="s">
        <v>444</v>
      </c>
      <c r="B4600" s="204" t="s">
        <v>5519</v>
      </c>
      <c r="C4600" s="204" t="s">
        <v>125</v>
      </c>
      <c r="D4600" s="204" t="s">
        <v>3939</v>
      </c>
      <c r="E4600" s="205" t="s">
        <v>5823</v>
      </c>
      <c r="F4600" s="203" t="s">
        <v>5824</v>
      </c>
      <c r="G4600" s="203" t="s">
        <v>88</v>
      </c>
      <c r="H4600" s="25" t="s">
        <v>5959</v>
      </c>
      <c r="I4600" s="46" t="str">
        <f>VLOOKUP(H4600,'合同高级查询数据-4月返'!A:A,1,FALSE)</f>
        <v>182315IDC00071</v>
      </c>
      <c r="J4600" s="47" t="s">
        <v>90</v>
      </c>
      <c r="K4600" s="203" t="s">
        <v>5960</v>
      </c>
      <c r="L4600" s="206"/>
      <c r="M4600" s="49" t="s">
        <v>5695</v>
      </c>
      <c r="N4600" s="73">
        <v>44974</v>
      </c>
      <c r="O4600" s="73" t="s">
        <v>503</v>
      </c>
      <c r="P4600" s="396">
        <v>4650</v>
      </c>
      <c r="Q4600" s="212">
        <v>1</v>
      </c>
      <c r="R4600" s="117">
        <f t="shared" si="147"/>
        <v>4650</v>
      </c>
      <c r="S4600" s="279">
        <v>202304</v>
      </c>
      <c r="T4600" s="189" t="s">
        <v>5966</v>
      </c>
      <c r="U4600" s="213"/>
      <c r="V4600" s="210"/>
      <c r="W4600" s="214"/>
      <c r="X4600" s="73">
        <v>44896</v>
      </c>
      <c r="Y4600" s="73">
        <v>47087</v>
      </c>
    </row>
    <row r="4601" s="5" customFormat="1" customHeight="1" spans="1:25">
      <c r="A4601" s="203" t="s">
        <v>444</v>
      </c>
      <c r="B4601" s="204" t="s">
        <v>5519</v>
      </c>
      <c r="C4601" s="204" t="s">
        <v>125</v>
      </c>
      <c r="D4601" s="204" t="s">
        <v>3939</v>
      </c>
      <c r="E4601" s="205" t="s">
        <v>5823</v>
      </c>
      <c r="F4601" s="203" t="s">
        <v>5824</v>
      </c>
      <c r="G4601" s="203" t="s">
        <v>88</v>
      </c>
      <c r="H4601" s="25" t="s">
        <v>5959</v>
      </c>
      <c r="I4601" s="46" t="str">
        <f>VLOOKUP(H4601,'合同高级查询数据-4月返'!A:A,1,FALSE)</f>
        <v>182315IDC00071</v>
      </c>
      <c r="J4601" s="47" t="s">
        <v>90</v>
      </c>
      <c r="K4601" s="203" t="s">
        <v>5960</v>
      </c>
      <c r="L4601" s="206"/>
      <c r="M4601" s="49" t="s">
        <v>5695</v>
      </c>
      <c r="N4601" s="73">
        <v>44986</v>
      </c>
      <c r="O4601" s="73" t="s">
        <v>507</v>
      </c>
      <c r="P4601" s="396">
        <v>9300</v>
      </c>
      <c r="Q4601" s="212">
        <v>19</v>
      </c>
      <c r="R4601" s="117">
        <f t="shared" si="147"/>
        <v>176700</v>
      </c>
      <c r="S4601" s="279">
        <v>202304</v>
      </c>
      <c r="T4601" s="189" t="s">
        <v>5967</v>
      </c>
      <c r="U4601" s="213"/>
      <c r="V4601" s="210"/>
      <c r="W4601" s="214"/>
      <c r="X4601" s="73">
        <v>44896</v>
      </c>
      <c r="Y4601" s="73">
        <v>47087</v>
      </c>
    </row>
    <row r="4602" s="5" customFormat="1" customHeight="1" spans="1:25">
      <c r="A4602" s="203" t="s">
        <v>444</v>
      </c>
      <c r="B4602" s="204" t="s">
        <v>5519</v>
      </c>
      <c r="C4602" s="204" t="s">
        <v>125</v>
      </c>
      <c r="D4602" s="204" t="s">
        <v>3939</v>
      </c>
      <c r="E4602" s="205" t="s">
        <v>5823</v>
      </c>
      <c r="F4602" s="203" t="s">
        <v>5824</v>
      </c>
      <c r="G4602" s="203" t="s">
        <v>88</v>
      </c>
      <c r="H4602" s="25" t="s">
        <v>5959</v>
      </c>
      <c r="I4602" s="46" t="str">
        <f>VLOOKUP(H4602,'合同高级查询数据-4月返'!A:A,1,FALSE)</f>
        <v>182315IDC00071</v>
      </c>
      <c r="J4602" s="47" t="s">
        <v>90</v>
      </c>
      <c r="K4602" s="203" t="s">
        <v>5960</v>
      </c>
      <c r="L4602" s="206"/>
      <c r="M4602" s="49" t="s">
        <v>5695</v>
      </c>
      <c r="N4602" s="73">
        <v>44987</v>
      </c>
      <c r="O4602" s="73" t="s">
        <v>507</v>
      </c>
      <c r="P4602" s="396">
        <v>9300</v>
      </c>
      <c r="Q4602" s="212">
        <v>2</v>
      </c>
      <c r="R4602" s="117">
        <f t="shared" si="147"/>
        <v>18600</v>
      </c>
      <c r="S4602" s="279">
        <v>202304</v>
      </c>
      <c r="T4602" s="189" t="s">
        <v>5968</v>
      </c>
      <c r="U4602" s="213"/>
      <c r="V4602" s="210"/>
      <c r="W4602" s="214"/>
      <c r="X4602" s="73">
        <v>44896</v>
      </c>
      <c r="Y4602" s="73">
        <v>47087</v>
      </c>
    </row>
    <row r="4603" s="5" customFormat="1" customHeight="1" spans="1:25">
      <c r="A4603" s="203" t="s">
        <v>444</v>
      </c>
      <c r="B4603" s="204" t="s">
        <v>5519</v>
      </c>
      <c r="C4603" s="204" t="s">
        <v>125</v>
      </c>
      <c r="D4603" s="204" t="s">
        <v>3939</v>
      </c>
      <c r="E4603" s="205" t="s">
        <v>5823</v>
      </c>
      <c r="F4603" s="203" t="s">
        <v>5824</v>
      </c>
      <c r="G4603" s="203" t="s">
        <v>88</v>
      </c>
      <c r="H4603" s="25" t="s">
        <v>5959</v>
      </c>
      <c r="I4603" s="46" t="str">
        <f>VLOOKUP(H4603,'合同高级查询数据-4月返'!A:A,1,FALSE)</f>
        <v>182315IDC00071</v>
      </c>
      <c r="J4603" s="47" t="s">
        <v>90</v>
      </c>
      <c r="K4603" s="203" t="s">
        <v>5960</v>
      </c>
      <c r="L4603" s="206"/>
      <c r="M4603" s="49" t="s">
        <v>5695</v>
      </c>
      <c r="N4603" s="73">
        <v>44990</v>
      </c>
      <c r="O4603" s="73" t="s">
        <v>507</v>
      </c>
      <c r="P4603" s="396">
        <v>9300</v>
      </c>
      <c r="Q4603" s="212">
        <v>3</v>
      </c>
      <c r="R4603" s="117">
        <f t="shared" si="147"/>
        <v>27900</v>
      </c>
      <c r="S4603" s="279">
        <v>202304</v>
      </c>
      <c r="T4603" s="189" t="s">
        <v>5969</v>
      </c>
      <c r="U4603" s="213"/>
      <c r="V4603" s="210"/>
      <c r="W4603" s="214"/>
      <c r="X4603" s="73">
        <v>44896</v>
      </c>
      <c r="Y4603" s="73">
        <v>47087</v>
      </c>
    </row>
    <row r="4604" s="5" customFormat="1" customHeight="1" spans="1:25">
      <c r="A4604" s="203" t="s">
        <v>444</v>
      </c>
      <c r="B4604" s="204" t="s">
        <v>5519</v>
      </c>
      <c r="C4604" s="204" t="s">
        <v>125</v>
      </c>
      <c r="D4604" s="204" t="s">
        <v>3939</v>
      </c>
      <c r="E4604" s="205" t="s">
        <v>5823</v>
      </c>
      <c r="F4604" s="203" t="s">
        <v>5824</v>
      </c>
      <c r="G4604" s="203" t="s">
        <v>88</v>
      </c>
      <c r="H4604" s="25" t="s">
        <v>5959</v>
      </c>
      <c r="I4604" s="46" t="str">
        <f>VLOOKUP(H4604,'合同高级查询数据-4月返'!A:A,1,FALSE)</f>
        <v>182315IDC00071</v>
      </c>
      <c r="J4604" s="47" t="s">
        <v>90</v>
      </c>
      <c r="K4604" s="203" t="s">
        <v>5960</v>
      </c>
      <c r="L4604" s="206"/>
      <c r="M4604" s="49" t="s">
        <v>5695</v>
      </c>
      <c r="N4604" s="73">
        <v>44993</v>
      </c>
      <c r="O4604" s="73" t="s">
        <v>507</v>
      </c>
      <c r="P4604" s="396">
        <v>9300</v>
      </c>
      <c r="Q4604" s="212">
        <v>3</v>
      </c>
      <c r="R4604" s="117">
        <f t="shared" si="147"/>
        <v>27900</v>
      </c>
      <c r="S4604" s="279">
        <v>202304</v>
      </c>
      <c r="T4604" s="189" t="s">
        <v>5970</v>
      </c>
      <c r="U4604" s="213"/>
      <c r="V4604" s="210"/>
      <c r="W4604" s="214"/>
      <c r="X4604" s="73">
        <v>44896</v>
      </c>
      <c r="Y4604" s="73">
        <v>47087</v>
      </c>
    </row>
    <row r="4605" s="5" customFormat="1" customHeight="1" spans="1:25">
      <c r="A4605" s="203" t="s">
        <v>444</v>
      </c>
      <c r="B4605" s="204" t="s">
        <v>5519</v>
      </c>
      <c r="C4605" s="204" t="s">
        <v>125</v>
      </c>
      <c r="D4605" s="204" t="s">
        <v>3939</v>
      </c>
      <c r="E4605" s="205" t="s">
        <v>5823</v>
      </c>
      <c r="F4605" s="203" t="s">
        <v>5824</v>
      </c>
      <c r="G4605" s="203" t="s">
        <v>88</v>
      </c>
      <c r="H4605" s="25" t="s">
        <v>5959</v>
      </c>
      <c r="I4605" s="46" t="str">
        <f>VLOOKUP(H4605,'合同高级查询数据-4月返'!A:A,1,FALSE)</f>
        <v>182315IDC00071</v>
      </c>
      <c r="J4605" s="47" t="s">
        <v>90</v>
      </c>
      <c r="K4605" s="203" t="s">
        <v>5960</v>
      </c>
      <c r="L4605" s="206"/>
      <c r="M4605" s="49" t="s">
        <v>5695</v>
      </c>
      <c r="N4605" s="397">
        <v>45033</v>
      </c>
      <c r="O4605" s="73" t="s">
        <v>507</v>
      </c>
      <c r="P4605" s="396">
        <v>9300</v>
      </c>
      <c r="Q4605" s="212">
        <v>6</v>
      </c>
      <c r="R4605" s="117">
        <f>ROUND(P4605*Q4605*14/30,2)</f>
        <v>26040</v>
      </c>
      <c r="S4605" s="279">
        <v>202304</v>
      </c>
      <c r="T4605" s="398" t="s">
        <v>5971</v>
      </c>
      <c r="U4605" s="213"/>
      <c r="V4605" s="210"/>
      <c r="W4605" s="214"/>
      <c r="X4605" s="73">
        <v>44896</v>
      </c>
      <c r="Y4605" s="73">
        <v>47087</v>
      </c>
    </row>
    <row r="4606" s="5" customFormat="1" customHeight="1" spans="1:25">
      <c r="A4606" s="203" t="s">
        <v>444</v>
      </c>
      <c r="B4606" s="204" t="s">
        <v>5519</v>
      </c>
      <c r="C4606" s="204" t="s">
        <v>125</v>
      </c>
      <c r="D4606" s="204" t="s">
        <v>3939</v>
      </c>
      <c r="E4606" s="205" t="s">
        <v>5823</v>
      </c>
      <c r="F4606" s="203" t="s">
        <v>5824</v>
      </c>
      <c r="G4606" s="203" t="s">
        <v>31</v>
      </c>
      <c r="H4606" s="25" t="s">
        <v>5840</v>
      </c>
      <c r="I4606" s="46" t="e">
        <f>VLOOKUP(H4606,'合同高级查询数据-4月返'!A:A,1,FALSE)</f>
        <v>#N/A</v>
      </c>
      <c r="J4606" s="47" t="s">
        <v>3186</v>
      </c>
      <c r="K4606" s="203" t="s">
        <v>5841</v>
      </c>
      <c r="L4606" s="206"/>
      <c r="M4606" s="49" t="s">
        <v>5695</v>
      </c>
      <c r="N4606" s="73">
        <v>43840</v>
      </c>
      <c r="O4606" s="73" t="s">
        <v>37</v>
      </c>
      <c r="P4606" s="396">
        <v>5</v>
      </c>
      <c r="Q4606" s="212">
        <v>256</v>
      </c>
      <c r="R4606" s="386">
        <f t="shared" si="146"/>
        <v>1280</v>
      </c>
      <c r="S4606" s="279">
        <v>202304</v>
      </c>
      <c r="T4606" s="184" t="s">
        <v>5972</v>
      </c>
      <c r="U4606" s="213"/>
      <c r="V4606" s="210"/>
      <c r="W4606" s="214"/>
      <c r="X4606" s="73">
        <v>43815</v>
      </c>
      <c r="Y4606" s="73">
        <v>46006</v>
      </c>
    </row>
    <row r="4607" s="5" customFormat="1" customHeight="1" spans="1:25">
      <c r="A4607" s="203" t="s">
        <v>444</v>
      </c>
      <c r="B4607" s="204" t="s">
        <v>5519</v>
      </c>
      <c r="C4607" s="204" t="s">
        <v>125</v>
      </c>
      <c r="D4607" s="204" t="s">
        <v>3939</v>
      </c>
      <c r="E4607" s="205" t="s">
        <v>5823</v>
      </c>
      <c r="F4607" s="203" t="s">
        <v>5824</v>
      </c>
      <c r="G4607" s="203" t="s">
        <v>31</v>
      </c>
      <c r="H4607" s="25" t="s">
        <v>5840</v>
      </c>
      <c r="I4607" s="46" t="e">
        <f>VLOOKUP(H4607,'合同高级查询数据-4月返'!A:A,1,FALSE)</f>
        <v>#N/A</v>
      </c>
      <c r="J4607" s="47" t="s">
        <v>3186</v>
      </c>
      <c r="K4607" s="203" t="s">
        <v>5841</v>
      </c>
      <c r="L4607" s="206"/>
      <c r="M4607" s="49" t="s">
        <v>5695</v>
      </c>
      <c r="N4607" s="73">
        <v>44005</v>
      </c>
      <c r="O4607" s="73" t="s">
        <v>37</v>
      </c>
      <c r="P4607" s="396">
        <v>5</v>
      </c>
      <c r="Q4607" s="212">
        <v>512</v>
      </c>
      <c r="R4607" s="386">
        <f t="shared" si="146"/>
        <v>2560</v>
      </c>
      <c r="S4607" s="279">
        <v>202304</v>
      </c>
      <c r="T4607" s="184" t="s">
        <v>5973</v>
      </c>
      <c r="U4607" s="213"/>
      <c r="V4607" s="210"/>
      <c r="W4607" s="214"/>
      <c r="X4607" s="73">
        <v>43815</v>
      </c>
      <c r="Y4607" s="73">
        <v>46006</v>
      </c>
    </row>
    <row r="4608" s="5" customFormat="1" customHeight="1" spans="1:25">
      <c r="A4608" s="203" t="s">
        <v>444</v>
      </c>
      <c r="B4608" s="204" t="s">
        <v>5519</v>
      </c>
      <c r="C4608" s="204" t="s">
        <v>125</v>
      </c>
      <c r="D4608" s="204" t="s">
        <v>3939</v>
      </c>
      <c r="E4608" s="205" t="s">
        <v>5823</v>
      </c>
      <c r="F4608" s="203" t="s">
        <v>5824</v>
      </c>
      <c r="G4608" s="203" t="s">
        <v>31</v>
      </c>
      <c r="H4608" s="25" t="s">
        <v>5840</v>
      </c>
      <c r="I4608" s="46" t="e">
        <f>VLOOKUP(H4608,'合同高级查询数据-4月返'!A:A,1,FALSE)</f>
        <v>#N/A</v>
      </c>
      <c r="J4608" s="47" t="s">
        <v>3186</v>
      </c>
      <c r="K4608" s="203" t="s">
        <v>5841</v>
      </c>
      <c r="L4608" s="206"/>
      <c r="M4608" s="49" t="s">
        <v>5695</v>
      </c>
      <c r="N4608" s="73">
        <v>44197</v>
      </c>
      <c r="O4608" s="73" t="s">
        <v>37</v>
      </c>
      <c r="P4608" s="396">
        <v>5</v>
      </c>
      <c r="Q4608" s="212">
        <v>512</v>
      </c>
      <c r="R4608" s="386">
        <f t="shared" si="146"/>
        <v>2560</v>
      </c>
      <c r="S4608" s="279">
        <v>202304</v>
      </c>
      <c r="T4608" s="184" t="s">
        <v>5974</v>
      </c>
      <c r="U4608" s="213"/>
      <c r="V4608" s="210"/>
      <c r="W4608" s="214"/>
      <c r="X4608" s="73">
        <v>43815</v>
      </c>
      <c r="Y4608" s="73">
        <v>46006</v>
      </c>
    </row>
    <row r="4609" s="5" customFormat="1" customHeight="1" spans="1:25">
      <c r="A4609" s="203" t="s">
        <v>444</v>
      </c>
      <c r="B4609" s="204" t="s">
        <v>5519</v>
      </c>
      <c r="C4609" s="204" t="s">
        <v>125</v>
      </c>
      <c r="D4609" s="204" t="s">
        <v>3939</v>
      </c>
      <c r="E4609" s="205" t="s">
        <v>5823</v>
      </c>
      <c r="F4609" s="203" t="s">
        <v>5824</v>
      </c>
      <c r="G4609" s="203" t="s">
        <v>67</v>
      </c>
      <c r="H4609" s="25" t="s">
        <v>5840</v>
      </c>
      <c r="I4609" s="46" t="e">
        <f>VLOOKUP(H4609,'合同高级查询数据-4月返'!A:A,1,FALSE)</f>
        <v>#N/A</v>
      </c>
      <c r="J4609" s="47" t="s">
        <v>69</v>
      </c>
      <c r="K4609" s="203" t="s">
        <v>5975</v>
      </c>
      <c r="L4609" s="206"/>
      <c r="M4609" s="49"/>
      <c r="N4609" s="73">
        <v>43831</v>
      </c>
      <c r="O4609" s="73" t="s">
        <v>71</v>
      </c>
      <c r="P4609" s="396">
        <v>780</v>
      </c>
      <c r="Q4609" s="212">
        <v>1.12</v>
      </c>
      <c r="R4609" s="386">
        <f t="shared" si="146"/>
        <v>873.6</v>
      </c>
      <c r="S4609" s="279">
        <v>202304</v>
      </c>
      <c r="T4609" s="184" t="s">
        <v>5976</v>
      </c>
      <c r="U4609" s="213"/>
      <c r="V4609" s="210"/>
      <c r="W4609" s="214"/>
      <c r="X4609" s="73">
        <v>43815</v>
      </c>
      <c r="Y4609" s="73">
        <v>46006</v>
      </c>
    </row>
    <row r="4610" s="5" customFormat="1" customHeight="1" spans="1:25">
      <c r="A4610" s="203" t="s">
        <v>444</v>
      </c>
      <c r="B4610" s="204" t="s">
        <v>5519</v>
      </c>
      <c r="C4610" s="204" t="s">
        <v>125</v>
      </c>
      <c r="D4610" s="204" t="s">
        <v>3939</v>
      </c>
      <c r="E4610" s="205" t="s">
        <v>5823</v>
      </c>
      <c r="F4610" s="203" t="s">
        <v>5824</v>
      </c>
      <c r="G4610" s="203" t="s">
        <v>67</v>
      </c>
      <c r="H4610" s="25" t="s">
        <v>5840</v>
      </c>
      <c r="I4610" s="46" t="e">
        <f>VLOOKUP(H4610,'合同高级查询数据-4月返'!A:A,1,FALSE)</f>
        <v>#N/A</v>
      </c>
      <c r="J4610" s="47" t="s">
        <v>69</v>
      </c>
      <c r="K4610" s="203" t="s">
        <v>5975</v>
      </c>
      <c r="L4610" s="206"/>
      <c r="M4610" s="49"/>
      <c r="N4610" s="73">
        <v>43831</v>
      </c>
      <c r="O4610" s="73" t="s">
        <v>71</v>
      </c>
      <c r="P4610" s="396">
        <v>780</v>
      </c>
      <c r="Q4610" s="212">
        <v>2.1</v>
      </c>
      <c r="R4610" s="386">
        <f t="shared" si="146"/>
        <v>1638</v>
      </c>
      <c r="S4610" s="279">
        <v>202304</v>
      </c>
      <c r="T4610" s="184" t="s">
        <v>5977</v>
      </c>
      <c r="U4610" s="213"/>
      <c r="V4610" s="210"/>
      <c r="W4610" s="214"/>
      <c r="X4610" s="73">
        <v>43815</v>
      </c>
      <c r="Y4610" s="73">
        <v>46006</v>
      </c>
    </row>
    <row r="4611" s="5" customFormat="1" customHeight="1" spans="1:25">
      <c r="A4611" s="203" t="s">
        <v>444</v>
      </c>
      <c r="B4611" s="204" t="s">
        <v>5519</v>
      </c>
      <c r="C4611" s="204" t="s">
        <v>125</v>
      </c>
      <c r="D4611" s="204" t="s">
        <v>3939</v>
      </c>
      <c r="E4611" s="205" t="s">
        <v>5823</v>
      </c>
      <c r="F4611" s="203" t="s">
        <v>5824</v>
      </c>
      <c r="G4611" s="203" t="s">
        <v>67</v>
      </c>
      <c r="H4611" s="25" t="s">
        <v>5840</v>
      </c>
      <c r="I4611" s="46" t="e">
        <f>VLOOKUP(H4611,'合同高级查询数据-4月返'!A:A,1,FALSE)</f>
        <v>#N/A</v>
      </c>
      <c r="J4611" s="47" t="s">
        <v>69</v>
      </c>
      <c r="K4611" s="203" t="s">
        <v>5975</v>
      </c>
      <c r="L4611" s="206"/>
      <c r="M4611" s="49"/>
      <c r="N4611" s="73">
        <v>43891</v>
      </c>
      <c r="O4611" s="73" t="s">
        <v>5978</v>
      </c>
      <c r="P4611" s="396">
        <v>1170</v>
      </c>
      <c r="Q4611" s="212">
        <v>1.12</v>
      </c>
      <c r="R4611" s="386">
        <f t="shared" si="146"/>
        <v>1310.4</v>
      </c>
      <c r="S4611" s="279">
        <v>202304</v>
      </c>
      <c r="T4611" s="184" t="s">
        <v>5979</v>
      </c>
      <c r="U4611" s="213"/>
      <c r="V4611" s="210"/>
      <c r="W4611" s="214"/>
      <c r="X4611" s="73">
        <v>43815</v>
      </c>
      <c r="Y4611" s="73">
        <v>46006</v>
      </c>
    </row>
    <row r="4612" s="5" customFormat="1" customHeight="1" spans="1:25">
      <c r="A4612" s="203" t="s">
        <v>444</v>
      </c>
      <c r="B4612" s="204" t="s">
        <v>5519</v>
      </c>
      <c r="C4612" s="204" t="s">
        <v>125</v>
      </c>
      <c r="D4612" s="204" t="s">
        <v>3939</v>
      </c>
      <c r="E4612" s="205" t="s">
        <v>5823</v>
      </c>
      <c r="F4612" s="203" t="s">
        <v>5824</v>
      </c>
      <c r="G4612" s="203" t="s">
        <v>67</v>
      </c>
      <c r="H4612" s="25" t="s">
        <v>5840</v>
      </c>
      <c r="I4612" s="46" t="e">
        <f>VLOOKUP(H4612,'合同高级查询数据-4月返'!A:A,1,FALSE)</f>
        <v>#N/A</v>
      </c>
      <c r="J4612" s="47" t="s">
        <v>69</v>
      </c>
      <c r="K4612" s="203" t="s">
        <v>5975</v>
      </c>
      <c r="L4612" s="206"/>
      <c r="M4612" s="49"/>
      <c r="N4612" s="73">
        <v>43891</v>
      </c>
      <c r="O4612" s="73" t="s">
        <v>5978</v>
      </c>
      <c r="P4612" s="396">
        <v>1170</v>
      </c>
      <c r="Q4612" s="212">
        <v>2.1</v>
      </c>
      <c r="R4612" s="386">
        <f t="shared" si="146"/>
        <v>2457</v>
      </c>
      <c r="S4612" s="279">
        <v>202304</v>
      </c>
      <c r="T4612" s="184" t="s">
        <v>5980</v>
      </c>
      <c r="U4612" s="213"/>
      <c r="V4612" s="210"/>
      <c r="W4612" s="214"/>
      <c r="X4612" s="73">
        <v>43815</v>
      </c>
      <c r="Y4612" s="73">
        <v>46006</v>
      </c>
    </row>
    <row r="4613" s="5" customFormat="1" customHeight="1" spans="1:25">
      <c r="A4613" s="203" t="s">
        <v>444</v>
      </c>
      <c r="B4613" s="204" t="s">
        <v>5519</v>
      </c>
      <c r="C4613" s="204" t="s">
        <v>125</v>
      </c>
      <c r="D4613" s="204" t="s">
        <v>3939</v>
      </c>
      <c r="E4613" s="205" t="s">
        <v>5823</v>
      </c>
      <c r="F4613" s="203" t="s">
        <v>5824</v>
      </c>
      <c r="G4613" s="203" t="s">
        <v>67</v>
      </c>
      <c r="H4613" s="25" t="s">
        <v>5840</v>
      </c>
      <c r="I4613" s="46" t="e">
        <f>VLOOKUP(H4613,'合同高级查询数据-4月返'!A:A,1,FALSE)</f>
        <v>#N/A</v>
      </c>
      <c r="J4613" s="47" t="s">
        <v>69</v>
      </c>
      <c r="K4613" s="203" t="s">
        <v>5975</v>
      </c>
      <c r="L4613" s="206"/>
      <c r="M4613" s="49"/>
      <c r="N4613" s="73">
        <v>43922</v>
      </c>
      <c r="O4613" s="73" t="s">
        <v>71</v>
      </c>
      <c r="P4613" s="396">
        <v>780</v>
      </c>
      <c r="Q4613" s="212">
        <v>1.12</v>
      </c>
      <c r="R4613" s="386">
        <f t="shared" si="146"/>
        <v>873.6</v>
      </c>
      <c r="S4613" s="279">
        <v>202304</v>
      </c>
      <c r="T4613" s="184" t="s">
        <v>5981</v>
      </c>
      <c r="U4613" s="213"/>
      <c r="V4613" s="210"/>
      <c r="W4613" s="214"/>
      <c r="X4613" s="73">
        <v>43815</v>
      </c>
      <c r="Y4613" s="73">
        <v>46006</v>
      </c>
    </row>
    <row r="4614" s="5" customFormat="1" customHeight="1" spans="1:25">
      <c r="A4614" s="203" t="s">
        <v>444</v>
      </c>
      <c r="B4614" s="204" t="s">
        <v>5519</v>
      </c>
      <c r="C4614" s="204" t="s">
        <v>125</v>
      </c>
      <c r="D4614" s="204" t="s">
        <v>3939</v>
      </c>
      <c r="E4614" s="205" t="s">
        <v>5823</v>
      </c>
      <c r="F4614" s="203" t="s">
        <v>5824</v>
      </c>
      <c r="G4614" s="203" t="s">
        <v>67</v>
      </c>
      <c r="H4614" s="25" t="s">
        <v>5840</v>
      </c>
      <c r="I4614" s="46" t="e">
        <f>VLOOKUP(H4614,'合同高级查询数据-4月返'!A:A,1,FALSE)</f>
        <v>#N/A</v>
      </c>
      <c r="J4614" s="47" t="s">
        <v>69</v>
      </c>
      <c r="K4614" s="203" t="s">
        <v>5975</v>
      </c>
      <c r="L4614" s="206"/>
      <c r="M4614" s="49"/>
      <c r="N4614" s="73">
        <v>43922</v>
      </c>
      <c r="O4614" s="73" t="s">
        <v>71</v>
      </c>
      <c r="P4614" s="396">
        <v>780</v>
      </c>
      <c r="Q4614" s="212">
        <v>2.1</v>
      </c>
      <c r="R4614" s="386">
        <f t="shared" si="146"/>
        <v>1638</v>
      </c>
      <c r="S4614" s="279">
        <v>202304</v>
      </c>
      <c r="T4614" s="184" t="s">
        <v>5982</v>
      </c>
      <c r="U4614" s="213"/>
      <c r="V4614" s="210"/>
      <c r="W4614" s="214"/>
      <c r="X4614" s="73">
        <v>43815</v>
      </c>
      <c r="Y4614" s="73">
        <v>46006</v>
      </c>
    </row>
    <row r="4615" s="5" customFormat="1" customHeight="1" spans="1:25">
      <c r="A4615" s="203" t="s">
        <v>444</v>
      </c>
      <c r="B4615" s="204" t="s">
        <v>5519</v>
      </c>
      <c r="C4615" s="204" t="s">
        <v>125</v>
      </c>
      <c r="D4615" s="204" t="s">
        <v>3939</v>
      </c>
      <c r="E4615" s="205" t="s">
        <v>5823</v>
      </c>
      <c r="F4615" s="203" t="s">
        <v>5824</v>
      </c>
      <c r="G4615" s="203" t="s">
        <v>67</v>
      </c>
      <c r="H4615" s="25" t="s">
        <v>5840</v>
      </c>
      <c r="I4615" s="46" t="e">
        <f>VLOOKUP(H4615,'合同高级查询数据-4月返'!A:A,1,FALSE)</f>
        <v>#N/A</v>
      </c>
      <c r="J4615" s="47" t="s">
        <v>69</v>
      </c>
      <c r="K4615" s="203" t="s">
        <v>5975</v>
      </c>
      <c r="L4615" s="206"/>
      <c r="M4615" s="49"/>
      <c r="N4615" s="73">
        <v>44105</v>
      </c>
      <c r="O4615" s="73" t="s">
        <v>71</v>
      </c>
      <c r="P4615" s="396">
        <v>1560</v>
      </c>
      <c r="Q4615" s="212">
        <v>1.61</v>
      </c>
      <c r="R4615" s="386">
        <f t="shared" si="146"/>
        <v>2511.6</v>
      </c>
      <c r="S4615" s="279">
        <v>202304</v>
      </c>
      <c r="T4615" s="184" t="s">
        <v>5983</v>
      </c>
      <c r="U4615" s="213"/>
      <c r="V4615" s="210"/>
      <c r="W4615" s="214"/>
      <c r="X4615" s="73">
        <v>43815</v>
      </c>
      <c r="Y4615" s="73">
        <v>46006</v>
      </c>
    </row>
    <row r="4616" s="5" customFormat="1" customHeight="1" spans="1:25">
      <c r="A4616" s="203" t="s">
        <v>444</v>
      </c>
      <c r="B4616" s="204" t="s">
        <v>5519</v>
      </c>
      <c r="C4616" s="204" t="s">
        <v>125</v>
      </c>
      <c r="D4616" s="204" t="s">
        <v>3939</v>
      </c>
      <c r="E4616" s="161" t="s">
        <v>5984</v>
      </c>
      <c r="F4616" s="98" t="s">
        <v>5985</v>
      </c>
      <c r="G4616" s="309" t="s">
        <v>31</v>
      </c>
      <c r="H4616" s="309" t="s">
        <v>5986</v>
      </c>
      <c r="I4616" s="46" t="str">
        <f>VLOOKUP(H4616,'合同高级查询数据-4月返'!A:A,1,FALSE)</f>
        <v>182315IDC00156</v>
      </c>
      <c r="J4616" s="309" t="s">
        <v>5987</v>
      </c>
      <c r="K4616" s="372" t="s">
        <v>5988</v>
      </c>
      <c r="L4616" s="373" t="s">
        <v>5989</v>
      </c>
      <c r="M4616" s="312" t="s">
        <v>5990</v>
      </c>
      <c r="N4616" s="265">
        <v>44841</v>
      </c>
      <c r="O4616" s="265" t="s">
        <v>37</v>
      </c>
      <c r="P4616" s="396">
        <v>0</v>
      </c>
      <c r="Q4616" s="212">
        <v>544</v>
      </c>
      <c r="R4616" s="117">
        <f t="shared" si="146"/>
        <v>0</v>
      </c>
      <c r="S4616" s="319">
        <v>202304</v>
      </c>
      <c r="T4616" s="456" t="s">
        <v>5991</v>
      </c>
      <c r="U4616" s="347"/>
      <c r="V4616" s="453"/>
      <c r="W4616" s="320"/>
      <c r="X4616" s="229">
        <v>44927</v>
      </c>
      <c r="Y4616" s="229">
        <v>45107</v>
      </c>
    </row>
    <row r="4617" s="3" customFormat="1" customHeight="1" spans="1:25">
      <c r="A4617" s="154" t="s">
        <v>444</v>
      </c>
      <c r="B4617" s="292" t="s">
        <v>5519</v>
      </c>
      <c r="C4617" s="292" t="s">
        <v>125</v>
      </c>
      <c r="D4617" s="292" t="s">
        <v>3939</v>
      </c>
      <c r="E4617" s="170" t="s">
        <v>5823</v>
      </c>
      <c r="F4617" s="135" t="s">
        <v>5824</v>
      </c>
      <c r="G4617" s="140" t="s">
        <v>31</v>
      </c>
      <c r="H4617" s="140" t="s">
        <v>5992</v>
      </c>
      <c r="I4617" s="30" t="e">
        <f>VLOOKUP(H4617,'合同高级查询数据-4月返'!A:A,1,FALSE)</f>
        <v>#N/A</v>
      </c>
      <c r="J4617" s="140" t="s">
        <v>497</v>
      </c>
      <c r="K4617" s="370" t="s">
        <v>5841</v>
      </c>
      <c r="L4617" s="366"/>
      <c r="M4617" s="315"/>
      <c r="N4617" s="143">
        <v>44873</v>
      </c>
      <c r="O4617" s="143" t="s">
        <v>37</v>
      </c>
      <c r="P4617" s="365">
        <v>50</v>
      </c>
      <c r="Q4617" s="295">
        <v>32</v>
      </c>
      <c r="R4617" s="126">
        <f t="shared" si="146"/>
        <v>1600</v>
      </c>
      <c r="S4617" s="322">
        <v>202304</v>
      </c>
      <c r="T4617" s="198" t="s">
        <v>5993</v>
      </c>
      <c r="U4617" s="349"/>
      <c r="V4617" s="457"/>
      <c r="W4617" s="323"/>
      <c r="X4617" s="193"/>
      <c r="Y4617" s="193"/>
    </row>
    <row r="4618" s="3" customFormat="1" customHeight="1" spans="1:25">
      <c r="A4618" s="154" t="s">
        <v>444</v>
      </c>
      <c r="B4618" s="292" t="s">
        <v>5519</v>
      </c>
      <c r="C4618" s="292" t="s">
        <v>125</v>
      </c>
      <c r="D4618" s="292" t="s">
        <v>3939</v>
      </c>
      <c r="E4618" s="170" t="s">
        <v>5823</v>
      </c>
      <c r="F4618" s="135" t="s">
        <v>5824</v>
      </c>
      <c r="G4618" s="140" t="s">
        <v>31</v>
      </c>
      <c r="H4618" s="140" t="s">
        <v>5992</v>
      </c>
      <c r="I4618" s="30" t="e">
        <f>VLOOKUP(H4618,'合同高级查询数据-4月返'!A:A,1,FALSE)</f>
        <v>#N/A</v>
      </c>
      <c r="J4618" s="140" t="s">
        <v>497</v>
      </c>
      <c r="K4618" s="370" t="s">
        <v>5841</v>
      </c>
      <c r="L4618" s="366"/>
      <c r="M4618" s="315"/>
      <c r="N4618" s="143">
        <v>44873</v>
      </c>
      <c r="O4618" s="143" t="s">
        <v>179</v>
      </c>
      <c r="P4618" s="365">
        <v>0</v>
      </c>
      <c r="Q4618" s="295">
        <v>1</v>
      </c>
      <c r="R4618" s="126">
        <f t="shared" si="146"/>
        <v>0</v>
      </c>
      <c r="S4618" s="322">
        <v>202304</v>
      </c>
      <c r="T4618" s="198" t="s">
        <v>5994</v>
      </c>
      <c r="U4618" s="349"/>
      <c r="V4618" s="457"/>
      <c r="W4618" s="323"/>
      <c r="X4618" s="193"/>
      <c r="Y4618" s="193"/>
    </row>
    <row r="4619" s="5" customFormat="1" customHeight="1" spans="1:25">
      <c r="A4619" s="203" t="s">
        <v>444</v>
      </c>
      <c r="B4619" s="204" t="s">
        <v>5519</v>
      </c>
      <c r="C4619" s="204" t="s">
        <v>125</v>
      </c>
      <c r="D4619" s="204" t="s">
        <v>3939</v>
      </c>
      <c r="E4619" s="205" t="s">
        <v>5984</v>
      </c>
      <c r="F4619" s="203" t="s">
        <v>5985</v>
      </c>
      <c r="G4619" s="203" t="s">
        <v>31</v>
      </c>
      <c r="H4619" s="309" t="s">
        <v>5986</v>
      </c>
      <c r="I4619" s="46" t="str">
        <f>VLOOKUP(H4619,'合同高级查询数据-4月返'!A:A,1,FALSE)</f>
        <v>182315IDC00156</v>
      </c>
      <c r="J4619" s="47" t="s">
        <v>497</v>
      </c>
      <c r="K4619" s="203" t="s">
        <v>5841</v>
      </c>
      <c r="L4619" s="206"/>
      <c r="M4619" s="49" t="s">
        <v>5695</v>
      </c>
      <c r="N4619" s="73">
        <v>44765</v>
      </c>
      <c r="O4619" s="73" t="s">
        <v>37</v>
      </c>
      <c r="P4619" s="396">
        <v>0</v>
      </c>
      <c r="Q4619" s="212">
        <v>256</v>
      </c>
      <c r="R4619" s="386">
        <f t="shared" si="146"/>
        <v>0</v>
      </c>
      <c r="S4619" s="279">
        <v>202304</v>
      </c>
      <c r="T4619" s="189" t="s">
        <v>5995</v>
      </c>
      <c r="U4619" s="213"/>
      <c r="V4619" s="210"/>
      <c r="W4619" s="214"/>
      <c r="X4619" s="229">
        <v>44927</v>
      </c>
      <c r="Y4619" s="229">
        <v>45107</v>
      </c>
    </row>
    <row r="4620" s="5" customFormat="1" customHeight="1" spans="1:25">
      <c r="A4620" s="203" t="s">
        <v>448</v>
      </c>
      <c r="B4620" s="204" t="s">
        <v>5041</v>
      </c>
      <c r="C4620" s="204" t="s">
        <v>27</v>
      </c>
      <c r="D4620" s="204" t="s">
        <v>951</v>
      </c>
      <c r="E4620" s="205" t="s">
        <v>5996</v>
      </c>
      <c r="F4620" s="203" t="s">
        <v>5997</v>
      </c>
      <c r="G4620" s="203" t="s">
        <v>88</v>
      </c>
      <c r="H4620" s="25" t="s">
        <v>5998</v>
      </c>
      <c r="I4620" s="46" t="e">
        <f>VLOOKUP(H4620,'合同高级查询数据-4月返'!A:A,1,FALSE)</f>
        <v>#N/A</v>
      </c>
      <c r="J4620" s="47" t="s">
        <v>1287</v>
      </c>
      <c r="K4620" s="203" t="s">
        <v>5999</v>
      </c>
      <c r="L4620" s="206"/>
      <c r="M4620" s="49" t="s">
        <v>6000</v>
      </c>
      <c r="N4620" s="73" t="s">
        <v>558</v>
      </c>
      <c r="O4620" s="73" t="s">
        <v>702</v>
      </c>
      <c r="P4620" s="396">
        <v>4000</v>
      </c>
      <c r="Q4620" s="212">
        <v>4</v>
      </c>
      <c r="R4620" s="386">
        <f t="shared" si="146"/>
        <v>16000</v>
      </c>
      <c r="S4620" s="279">
        <v>202304</v>
      </c>
      <c r="T4620" s="184" t="s">
        <v>6001</v>
      </c>
      <c r="U4620" s="213"/>
      <c r="V4620" s="210"/>
      <c r="W4620" s="214"/>
      <c r="X4620" s="73">
        <v>44682</v>
      </c>
      <c r="Y4620" s="73">
        <v>45046</v>
      </c>
    </row>
    <row r="4621" s="5" customFormat="1" customHeight="1" spans="1:25">
      <c r="A4621" s="203" t="s">
        <v>448</v>
      </c>
      <c r="B4621" s="204" t="s">
        <v>5041</v>
      </c>
      <c r="C4621" s="204" t="s">
        <v>27</v>
      </c>
      <c r="D4621" s="204" t="s">
        <v>951</v>
      </c>
      <c r="E4621" s="205" t="s">
        <v>5996</v>
      </c>
      <c r="F4621" s="203" t="s">
        <v>5997</v>
      </c>
      <c r="G4621" s="203" t="s">
        <v>88</v>
      </c>
      <c r="H4621" s="25" t="s">
        <v>5998</v>
      </c>
      <c r="I4621" s="46" t="e">
        <f>VLOOKUP(H4621,'合同高级查询数据-4月返'!A:A,1,FALSE)</f>
        <v>#N/A</v>
      </c>
      <c r="J4621" s="47" t="s">
        <v>162</v>
      </c>
      <c r="K4621" s="203" t="s">
        <v>6002</v>
      </c>
      <c r="L4621" s="206"/>
      <c r="M4621" s="49" t="s">
        <v>6003</v>
      </c>
      <c r="N4621" s="73">
        <v>43003</v>
      </c>
      <c r="O4621" s="73" t="s">
        <v>702</v>
      </c>
      <c r="P4621" s="396">
        <v>4000</v>
      </c>
      <c r="Q4621" s="212">
        <v>5</v>
      </c>
      <c r="R4621" s="386">
        <f t="shared" si="146"/>
        <v>20000</v>
      </c>
      <c r="S4621" s="279">
        <v>202304</v>
      </c>
      <c r="T4621" s="184" t="s">
        <v>6004</v>
      </c>
      <c r="U4621" s="213"/>
      <c r="V4621" s="210"/>
      <c r="W4621" s="214"/>
      <c r="X4621" s="73">
        <v>44682</v>
      </c>
      <c r="Y4621" s="73">
        <v>45046</v>
      </c>
    </row>
    <row r="4622" s="5" customFormat="1" customHeight="1" spans="1:25">
      <c r="A4622" s="203" t="s">
        <v>448</v>
      </c>
      <c r="B4622" s="204" t="s">
        <v>5041</v>
      </c>
      <c r="C4622" s="204" t="s">
        <v>27</v>
      </c>
      <c r="D4622" s="204" t="s">
        <v>951</v>
      </c>
      <c r="E4622" s="205" t="s">
        <v>5996</v>
      </c>
      <c r="F4622" s="203" t="s">
        <v>5997</v>
      </c>
      <c r="G4622" s="203" t="s">
        <v>88</v>
      </c>
      <c r="H4622" s="25" t="s">
        <v>5998</v>
      </c>
      <c r="I4622" s="46" t="e">
        <f>VLOOKUP(H4622,'合同高级查询数据-4月返'!A:A,1,FALSE)</f>
        <v>#N/A</v>
      </c>
      <c r="J4622" s="47" t="s">
        <v>162</v>
      </c>
      <c r="K4622" s="203" t="s">
        <v>6002</v>
      </c>
      <c r="L4622" s="206"/>
      <c r="M4622" s="49" t="s">
        <v>6003</v>
      </c>
      <c r="N4622" s="73">
        <v>44135</v>
      </c>
      <c r="O4622" s="73" t="s">
        <v>702</v>
      </c>
      <c r="P4622" s="396">
        <v>4000</v>
      </c>
      <c r="Q4622" s="212">
        <v>-5</v>
      </c>
      <c r="R4622" s="386">
        <f t="shared" si="146"/>
        <v>-20000</v>
      </c>
      <c r="S4622" s="279">
        <v>202304</v>
      </c>
      <c r="T4622" s="184" t="s">
        <v>6005</v>
      </c>
      <c r="U4622" s="213"/>
      <c r="V4622" s="210"/>
      <c r="W4622" s="214"/>
      <c r="X4622" s="73">
        <v>44682</v>
      </c>
      <c r="Y4622" s="73">
        <v>45046</v>
      </c>
    </row>
    <row r="4623" s="5" customFormat="1" customHeight="1" spans="1:25">
      <c r="A4623" s="203" t="s">
        <v>448</v>
      </c>
      <c r="B4623" s="204" t="s">
        <v>5041</v>
      </c>
      <c r="C4623" s="204" t="s">
        <v>27</v>
      </c>
      <c r="D4623" s="204" t="s">
        <v>951</v>
      </c>
      <c r="E4623" s="205" t="s">
        <v>5996</v>
      </c>
      <c r="F4623" s="203" t="s">
        <v>5997</v>
      </c>
      <c r="G4623" s="203" t="s">
        <v>88</v>
      </c>
      <c r="H4623" s="25" t="s">
        <v>5998</v>
      </c>
      <c r="I4623" s="46" t="e">
        <f>VLOOKUP(H4623,'合同高级查询数据-4月返'!A:A,1,FALSE)</f>
        <v>#N/A</v>
      </c>
      <c r="J4623" s="47" t="s">
        <v>162</v>
      </c>
      <c r="K4623" s="203" t="s">
        <v>6006</v>
      </c>
      <c r="L4623" s="206"/>
      <c r="M4623" s="49" t="s">
        <v>6000</v>
      </c>
      <c r="N4623" s="73">
        <v>43490</v>
      </c>
      <c r="O4623" s="73" t="s">
        <v>702</v>
      </c>
      <c r="P4623" s="396">
        <v>4000</v>
      </c>
      <c r="Q4623" s="212">
        <v>6</v>
      </c>
      <c r="R4623" s="386">
        <f t="shared" si="146"/>
        <v>24000</v>
      </c>
      <c r="S4623" s="279">
        <v>202304</v>
      </c>
      <c r="T4623" s="184" t="s">
        <v>6007</v>
      </c>
      <c r="U4623" s="213"/>
      <c r="V4623" s="210"/>
      <c r="W4623" s="214"/>
      <c r="X4623" s="73">
        <v>44682</v>
      </c>
      <c r="Y4623" s="73">
        <v>45046</v>
      </c>
    </row>
    <row r="4624" s="5" customFormat="1" customHeight="1" spans="1:25">
      <c r="A4624" s="203" t="s">
        <v>448</v>
      </c>
      <c r="B4624" s="204" t="s">
        <v>5041</v>
      </c>
      <c r="C4624" s="204" t="s">
        <v>27</v>
      </c>
      <c r="D4624" s="204" t="s">
        <v>951</v>
      </c>
      <c r="E4624" s="205" t="s">
        <v>5996</v>
      </c>
      <c r="F4624" s="203" t="s">
        <v>5997</v>
      </c>
      <c r="G4624" s="203" t="s">
        <v>88</v>
      </c>
      <c r="H4624" s="25" t="s">
        <v>5998</v>
      </c>
      <c r="I4624" s="46" t="e">
        <f>VLOOKUP(H4624,'合同高级查询数据-4月返'!A:A,1,FALSE)</f>
        <v>#N/A</v>
      </c>
      <c r="J4624" s="47" t="s">
        <v>162</v>
      </c>
      <c r="K4624" s="203" t="s">
        <v>6008</v>
      </c>
      <c r="L4624" s="206"/>
      <c r="M4624" s="49" t="s">
        <v>6000</v>
      </c>
      <c r="N4624" s="73">
        <v>43558</v>
      </c>
      <c r="O4624" s="73" t="s">
        <v>702</v>
      </c>
      <c r="P4624" s="396">
        <v>4000</v>
      </c>
      <c r="Q4624" s="212">
        <v>7</v>
      </c>
      <c r="R4624" s="386">
        <f t="shared" si="146"/>
        <v>28000</v>
      </c>
      <c r="S4624" s="279">
        <v>202304</v>
      </c>
      <c r="T4624" s="184" t="s">
        <v>6009</v>
      </c>
      <c r="U4624" s="213"/>
      <c r="V4624" s="210"/>
      <c r="W4624" s="214"/>
      <c r="X4624" s="73">
        <v>44682</v>
      </c>
      <c r="Y4624" s="73">
        <v>45046</v>
      </c>
    </row>
    <row r="4625" s="5" customFormat="1" customHeight="1" spans="1:25">
      <c r="A4625" s="203" t="s">
        <v>448</v>
      </c>
      <c r="B4625" s="204" t="s">
        <v>5041</v>
      </c>
      <c r="C4625" s="204" t="s">
        <v>27</v>
      </c>
      <c r="D4625" s="204" t="s">
        <v>951</v>
      </c>
      <c r="E4625" s="205" t="s">
        <v>5996</v>
      </c>
      <c r="F4625" s="203" t="s">
        <v>5997</v>
      </c>
      <c r="G4625" s="203" t="s">
        <v>88</v>
      </c>
      <c r="H4625" s="25" t="s">
        <v>5998</v>
      </c>
      <c r="I4625" s="46" t="e">
        <f>VLOOKUP(H4625,'合同高级查询数据-4月返'!A:A,1,FALSE)</f>
        <v>#N/A</v>
      </c>
      <c r="J4625" s="47" t="s">
        <v>162</v>
      </c>
      <c r="K4625" s="203" t="s">
        <v>6010</v>
      </c>
      <c r="L4625" s="206"/>
      <c r="M4625" s="49" t="s">
        <v>6011</v>
      </c>
      <c r="N4625" s="73">
        <v>44144</v>
      </c>
      <c r="O4625" s="73" t="s">
        <v>702</v>
      </c>
      <c r="P4625" s="396">
        <v>4000</v>
      </c>
      <c r="Q4625" s="212">
        <v>3</v>
      </c>
      <c r="R4625" s="386">
        <f t="shared" si="146"/>
        <v>12000</v>
      </c>
      <c r="S4625" s="279">
        <v>202304</v>
      </c>
      <c r="T4625" s="184" t="s">
        <v>6012</v>
      </c>
      <c r="U4625" s="213"/>
      <c r="V4625" s="210"/>
      <c r="W4625" s="214"/>
      <c r="X4625" s="73">
        <v>44682</v>
      </c>
      <c r="Y4625" s="73">
        <v>45046</v>
      </c>
    </row>
    <row r="4626" s="5" customFormat="1" customHeight="1" spans="1:25">
      <c r="A4626" s="203" t="s">
        <v>448</v>
      </c>
      <c r="B4626" s="204" t="s">
        <v>5041</v>
      </c>
      <c r="C4626" s="204" t="s">
        <v>27</v>
      </c>
      <c r="D4626" s="204" t="s">
        <v>951</v>
      </c>
      <c r="E4626" s="205" t="s">
        <v>5996</v>
      </c>
      <c r="F4626" s="203" t="s">
        <v>5997</v>
      </c>
      <c r="G4626" s="203" t="s">
        <v>88</v>
      </c>
      <c r="H4626" s="25" t="s">
        <v>5998</v>
      </c>
      <c r="I4626" s="46" t="e">
        <f>VLOOKUP(H4626,'合同高级查询数据-4月返'!A:A,1,FALSE)</f>
        <v>#N/A</v>
      </c>
      <c r="J4626" s="47" t="s">
        <v>162</v>
      </c>
      <c r="K4626" s="203" t="s">
        <v>6006</v>
      </c>
      <c r="L4626" s="206"/>
      <c r="M4626" s="49" t="s">
        <v>6000</v>
      </c>
      <c r="N4626" s="73">
        <v>44712</v>
      </c>
      <c r="O4626" s="73" t="s">
        <v>702</v>
      </c>
      <c r="P4626" s="396">
        <v>4000</v>
      </c>
      <c r="Q4626" s="212">
        <v>-6</v>
      </c>
      <c r="R4626" s="386">
        <f t="shared" si="146"/>
        <v>-24000</v>
      </c>
      <c r="S4626" s="279">
        <v>202304</v>
      </c>
      <c r="T4626" s="184" t="s">
        <v>6013</v>
      </c>
      <c r="U4626" s="213"/>
      <c r="V4626" s="210"/>
      <c r="W4626" s="214"/>
      <c r="X4626" s="73">
        <v>44682</v>
      </c>
      <c r="Y4626" s="73">
        <v>45046</v>
      </c>
    </row>
    <row r="4627" s="5" customFormat="1" customHeight="1" spans="1:25">
      <c r="A4627" s="203" t="s">
        <v>448</v>
      </c>
      <c r="B4627" s="204" t="s">
        <v>5041</v>
      </c>
      <c r="C4627" s="204" t="s">
        <v>27</v>
      </c>
      <c r="D4627" s="204" t="s">
        <v>951</v>
      </c>
      <c r="E4627" s="205" t="s">
        <v>5996</v>
      </c>
      <c r="F4627" s="203" t="s">
        <v>5997</v>
      </c>
      <c r="G4627" s="203" t="s">
        <v>88</v>
      </c>
      <c r="H4627" s="25" t="s">
        <v>5998</v>
      </c>
      <c r="I4627" s="46" t="e">
        <f>VLOOKUP(H4627,'合同高级查询数据-4月返'!A:A,1,FALSE)</f>
        <v>#N/A</v>
      </c>
      <c r="J4627" s="47" t="s">
        <v>162</v>
      </c>
      <c r="K4627" s="203" t="s">
        <v>6010</v>
      </c>
      <c r="L4627" s="206"/>
      <c r="M4627" s="49" t="s">
        <v>6011</v>
      </c>
      <c r="N4627" s="73">
        <v>44712</v>
      </c>
      <c r="O4627" s="73" t="s">
        <v>702</v>
      </c>
      <c r="P4627" s="396">
        <v>4000</v>
      </c>
      <c r="Q4627" s="212">
        <v>-3</v>
      </c>
      <c r="R4627" s="386">
        <f t="shared" si="146"/>
        <v>-12000</v>
      </c>
      <c r="S4627" s="279">
        <v>202304</v>
      </c>
      <c r="T4627" s="184" t="s">
        <v>6014</v>
      </c>
      <c r="U4627" s="213"/>
      <c r="V4627" s="210"/>
      <c r="W4627" s="214"/>
      <c r="X4627" s="73">
        <v>44682</v>
      </c>
      <c r="Y4627" s="73">
        <v>45046</v>
      </c>
    </row>
    <row r="4628" s="5" customFormat="1" customHeight="1" spans="1:25">
      <c r="A4628" s="203" t="s">
        <v>448</v>
      </c>
      <c r="B4628" s="204" t="s">
        <v>5041</v>
      </c>
      <c r="C4628" s="204" t="s">
        <v>27</v>
      </c>
      <c r="D4628" s="204" t="s">
        <v>951</v>
      </c>
      <c r="E4628" s="205" t="s">
        <v>5996</v>
      </c>
      <c r="F4628" s="203" t="s">
        <v>5997</v>
      </c>
      <c r="G4628" s="203" t="s">
        <v>31</v>
      </c>
      <c r="H4628" s="25" t="s">
        <v>5998</v>
      </c>
      <c r="I4628" s="46" t="e">
        <f>VLOOKUP(H4628,'合同高级查询数据-4月返'!A:A,1,FALSE)</f>
        <v>#N/A</v>
      </c>
      <c r="J4628" s="47" t="s">
        <v>33</v>
      </c>
      <c r="K4628" s="203" t="s">
        <v>6002</v>
      </c>
      <c r="L4628" s="206"/>
      <c r="M4628" s="49" t="s">
        <v>6003</v>
      </c>
      <c r="N4628" s="73"/>
      <c r="O4628" s="73" t="s">
        <v>37</v>
      </c>
      <c r="P4628" s="396">
        <v>0</v>
      </c>
      <c r="Q4628" s="212">
        <v>256</v>
      </c>
      <c r="R4628" s="386">
        <f t="shared" si="146"/>
        <v>0</v>
      </c>
      <c r="S4628" s="279">
        <v>202304</v>
      </c>
      <c r="T4628" s="184" t="s">
        <v>6015</v>
      </c>
      <c r="U4628" s="213"/>
      <c r="V4628" s="210"/>
      <c r="W4628" s="214"/>
      <c r="X4628" s="73">
        <v>44682</v>
      </c>
      <c r="Y4628" s="73">
        <v>45046</v>
      </c>
    </row>
    <row r="4629" s="5" customFormat="1" customHeight="1" spans="1:25">
      <c r="A4629" s="203" t="s">
        <v>448</v>
      </c>
      <c r="B4629" s="204" t="s">
        <v>5041</v>
      </c>
      <c r="C4629" s="204" t="s">
        <v>27</v>
      </c>
      <c r="D4629" s="204" t="s">
        <v>951</v>
      </c>
      <c r="E4629" s="205" t="s">
        <v>5996</v>
      </c>
      <c r="F4629" s="203" t="s">
        <v>5997</v>
      </c>
      <c r="G4629" s="203" t="s">
        <v>31</v>
      </c>
      <c r="H4629" s="25" t="s">
        <v>5998</v>
      </c>
      <c r="I4629" s="46" t="e">
        <f>VLOOKUP(H4629,'合同高级查询数据-4月返'!A:A,1,FALSE)</f>
        <v>#N/A</v>
      </c>
      <c r="J4629" s="47" t="s">
        <v>33</v>
      </c>
      <c r="K4629" s="203" t="s">
        <v>6002</v>
      </c>
      <c r="L4629" s="206"/>
      <c r="M4629" s="49" t="s">
        <v>6003</v>
      </c>
      <c r="N4629" s="73">
        <v>44022</v>
      </c>
      <c r="O4629" s="73" t="s">
        <v>37</v>
      </c>
      <c r="P4629" s="396">
        <v>0</v>
      </c>
      <c r="Q4629" s="212">
        <v>32</v>
      </c>
      <c r="R4629" s="386">
        <f t="shared" si="146"/>
        <v>0</v>
      </c>
      <c r="S4629" s="279">
        <v>202304</v>
      </c>
      <c r="T4629" s="184" t="s">
        <v>6016</v>
      </c>
      <c r="U4629" s="213"/>
      <c r="V4629" s="210"/>
      <c r="W4629" s="214"/>
      <c r="X4629" s="73">
        <v>44682</v>
      </c>
      <c r="Y4629" s="73">
        <v>45046</v>
      </c>
    </row>
    <row r="4630" s="5" customFormat="1" customHeight="1" spans="1:25">
      <c r="A4630" s="203" t="s">
        <v>448</v>
      </c>
      <c r="B4630" s="204" t="s">
        <v>5041</v>
      </c>
      <c r="C4630" s="204" t="s">
        <v>27</v>
      </c>
      <c r="D4630" s="204" t="s">
        <v>951</v>
      </c>
      <c r="E4630" s="205" t="s">
        <v>5996</v>
      </c>
      <c r="F4630" s="203" t="s">
        <v>5997</v>
      </c>
      <c r="G4630" s="203" t="s">
        <v>31</v>
      </c>
      <c r="H4630" s="25" t="s">
        <v>5998</v>
      </c>
      <c r="I4630" s="46" t="e">
        <f>VLOOKUP(H4630,'合同高级查询数据-4月返'!A:A,1,FALSE)</f>
        <v>#N/A</v>
      </c>
      <c r="J4630" s="47" t="s">
        <v>33</v>
      </c>
      <c r="K4630" s="203" t="s">
        <v>6002</v>
      </c>
      <c r="L4630" s="206"/>
      <c r="M4630" s="49" t="s">
        <v>6003</v>
      </c>
      <c r="N4630" s="73">
        <v>44135</v>
      </c>
      <c r="O4630" s="73" t="s">
        <v>37</v>
      </c>
      <c r="P4630" s="396">
        <v>0</v>
      </c>
      <c r="Q4630" s="212">
        <v>-32</v>
      </c>
      <c r="R4630" s="386">
        <f t="shared" si="146"/>
        <v>0</v>
      </c>
      <c r="S4630" s="279">
        <v>202304</v>
      </c>
      <c r="T4630" s="184" t="s">
        <v>6017</v>
      </c>
      <c r="U4630" s="213"/>
      <c r="V4630" s="210"/>
      <c r="W4630" s="214"/>
      <c r="X4630" s="73">
        <v>44682</v>
      </c>
      <c r="Y4630" s="73">
        <v>45046</v>
      </c>
    </row>
    <row r="4631" s="5" customFormat="1" customHeight="1" spans="1:25">
      <c r="A4631" s="203" t="s">
        <v>448</v>
      </c>
      <c r="B4631" s="204" t="s">
        <v>5041</v>
      </c>
      <c r="C4631" s="204" t="s">
        <v>27</v>
      </c>
      <c r="D4631" s="204" t="s">
        <v>951</v>
      </c>
      <c r="E4631" s="205" t="s">
        <v>5996</v>
      </c>
      <c r="F4631" s="203" t="s">
        <v>5997</v>
      </c>
      <c r="G4631" s="203" t="s">
        <v>31</v>
      </c>
      <c r="H4631" s="25" t="s">
        <v>5998</v>
      </c>
      <c r="I4631" s="46" t="e">
        <f>VLOOKUP(H4631,'合同高级查询数据-4月返'!A:A,1,FALSE)</f>
        <v>#N/A</v>
      </c>
      <c r="J4631" s="47" t="s">
        <v>33</v>
      </c>
      <c r="K4631" s="203" t="s">
        <v>6002</v>
      </c>
      <c r="L4631" s="206"/>
      <c r="M4631" s="49" t="s">
        <v>6003</v>
      </c>
      <c r="N4631" s="73">
        <v>44135</v>
      </c>
      <c r="O4631" s="73" t="s">
        <v>37</v>
      </c>
      <c r="P4631" s="396">
        <v>0</v>
      </c>
      <c r="Q4631" s="212">
        <v>-256</v>
      </c>
      <c r="R4631" s="386">
        <f t="shared" si="146"/>
        <v>0</v>
      </c>
      <c r="S4631" s="279">
        <v>202304</v>
      </c>
      <c r="T4631" s="184" t="s">
        <v>6017</v>
      </c>
      <c r="U4631" s="213"/>
      <c r="V4631" s="210"/>
      <c r="W4631" s="214"/>
      <c r="X4631" s="73">
        <v>44682</v>
      </c>
      <c r="Y4631" s="73">
        <v>45046</v>
      </c>
    </row>
    <row r="4632" s="5" customFormat="1" customHeight="1" spans="1:25">
      <c r="A4632" s="203" t="s">
        <v>448</v>
      </c>
      <c r="B4632" s="204" t="s">
        <v>5041</v>
      </c>
      <c r="C4632" s="204" t="s">
        <v>27</v>
      </c>
      <c r="D4632" s="204" t="s">
        <v>951</v>
      </c>
      <c r="E4632" s="205" t="s">
        <v>5996</v>
      </c>
      <c r="F4632" s="203" t="s">
        <v>5997</v>
      </c>
      <c r="G4632" s="203" t="s">
        <v>31</v>
      </c>
      <c r="H4632" s="25" t="s">
        <v>5998</v>
      </c>
      <c r="I4632" s="46" t="e">
        <f>VLOOKUP(H4632,'合同高级查询数据-4月返'!A:A,1,FALSE)</f>
        <v>#N/A</v>
      </c>
      <c r="J4632" s="47" t="s">
        <v>33</v>
      </c>
      <c r="K4632" s="203" t="s">
        <v>34</v>
      </c>
      <c r="L4632" s="206"/>
      <c r="M4632" s="49" t="s">
        <v>6000</v>
      </c>
      <c r="N4632" s="73"/>
      <c r="O4632" s="73" t="s">
        <v>37</v>
      </c>
      <c r="P4632" s="396">
        <v>0</v>
      </c>
      <c r="Q4632" s="212">
        <v>1088</v>
      </c>
      <c r="R4632" s="386">
        <f t="shared" si="146"/>
        <v>0</v>
      </c>
      <c r="S4632" s="279">
        <v>202304</v>
      </c>
      <c r="T4632" s="184" t="s">
        <v>6018</v>
      </c>
      <c r="U4632" s="213"/>
      <c r="V4632" s="210"/>
      <c r="W4632" s="214"/>
      <c r="X4632" s="73">
        <v>44682</v>
      </c>
      <c r="Y4632" s="73">
        <v>45046</v>
      </c>
    </row>
    <row r="4633" s="5" customFormat="1" customHeight="1" spans="1:25">
      <c r="A4633" s="203" t="s">
        <v>448</v>
      </c>
      <c r="B4633" s="204" t="s">
        <v>5041</v>
      </c>
      <c r="C4633" s="204" t="s">
        <v>27</v>
      </c>
      <c r="D4633" s="204" t="s">
        <v>951</v>
      </c>
      <c r="E4633" s="205" t="s">
        <v>5996</v>
      </c>
      <c r="F4633" s="203" t="s">
        <v>5997</v>
      </c>
      <c r="G4633" s="203" t="s">
        <v>31</v>
      </c>
      <c r="H4633" s="25" t="s">
        <v>5998</v>
      </c>
      <c r="I4633" s="46" t="e">
        <f>VLOOKUP(H4633,'合同高级查询数据-4月返'!A:A,1,FALSE)</f>
        <v>#N/A</v>
      </c>
      <c r="J4633" s="47" t="s">
        <v>33</v>
      </c>
      <c r="K4633" s="203" t="s">
        <v>34</v>
      </c>
      <c r="L4633" s="206"/>
      <c r="M4633" s="49" t="s">
        <v>6000</v>
      </c>
      <c r="N4633" s="73">
        <v>43799</v>
      </c>
      <c r="O4633" s="73" t="s">
        <v>37</v>
      </c>
      <c r="P4633" s="396">
        <v>0</v>
      </c>
      <c r="Q4633" s="212">
        <v>-512</v>
      </c>
      <c r="R4633" s="386">
        <f t="shared" si="146"/>
        <v>0</v>
      </c>
      <c r="S4633" s="279">
        <v>202304</v>
      </c>
      <c r="T4633" s="184" t="s">
        <v>6018</v>
      </c>
      <c r="U4633" s="213"/>
      <c r="V4633" s="210"/>
      <c r="W4633" s="214"/>
      <c r="X4633" s="73">
        <v>44682</v>
      </c>
      <c r="Y4633" s="73">
        <v>45046</v>
      </c>
    </row>
    <row r="4634" s="5" customFormat="1" customHeight="1" spans="1:25">
      <c r="A4634" s="203" t="s">
        <v>448</v>
      </c>
      <c r="B4634" s="204" t="s">
        <v>5041</v>
      </c>
      <c r="C4634" s="204" t="s">
        <v>27</v>
      </c>
      <c r="D4634" s="204" t="s">
        <v>951</v>
      </c>
      <c r="E4634" s="205" t="s">
        <v>5996</v>
      </c>
      <c r="F4634" s="203" t="s">
        <v>5997</v>
      </c>
      <c r="G4634" s="203" t="s">
        <v>31</v>
      </c>
      <c r="H4634" s="25" t="s">
        <v>5998</v>
      </c>
      <c r="I4634" s="46" t="e">
        <f>VLOOKUP(H4634,'合同高级查询数据-4月返'!A:A,1,FALSE)</f>
        <v>#N/A</v>
      </c>
      <c r="J4634" s="47" t="s">
        <v>33</v>
      </c>
      <c r="K4634" s="203" t="s">
        <v>34</v>
      </c>
      <c r="L4634" s="206" t="s">
        <v>6010</v>
      </c>
      <c r="M4634" s="49" t="s">
        <v>6011</v>
      </c>
      <c r="N4634" s="73">
        <v>44158</v>
      </c>
      <c r="O4634" s="73" t="s">
        <v>37</v>
      </c>
      <c r="P4634" s="396">
        <v>0</v>
      </c>
      <c r="Q4634" s="212">
        <v>192</v>
      </c>
      <c r="R4634" s="386">
        <f t="shared" si="146"/>
        <v>0</v>
      </c>
      <c r="S4634" s="279">
        <v>202304</v>
      </c>
      <c r="T4634" s="184" t="s">
        <v>6019</v>
      </c>
      <c r="U4634" s="213"/>
      <c r="V4634" s="210"/>
      <c r="W4634" s="214"/>
      <c r="X4634" s="73">
        <v>44682</v>
      </c>
      <c r="Y4634" s="73">
        <v>45046</v>
      </c>
    </row>
    <row r="4635" s="5" customFormat="1" customHeight="1" spans="1:25">
      <c r="A4635" s="203" t="s">
        <v>448</v>
      </c>
      <c r="B4635" s="204" t="s">
        <v>5041</v>
      </c>
      <c r="C4635" s="204" t="s">
        <v>27</v>
      </c>
      <c r="D4635" s="204" t="s">
        <v>951</v>
      </c>
      <c r="E4635" s="205" t="s">
        <v>5996</v>
      </c>
      <c r="F4635" s="203" t="s">
        <v>5997</v>
      </c>
      <c r="G4635" s="203" t="s">
        <v>31</v>
      </c>
      <c r="H4635" s="25" t="s">
        <v>5998</v>
      </c>
      <c r="I4635" s="46" t="e">
        <f>VLOOKUP(H4635,'合同高级查询数据-4月返'!A:A,1,FALSE)</f>
        <v>#N/A</v>
      </c>
      <c r="J4635" s="47" t="s">
        <v>33</v>
      </c>
      <c r="K4635" s="203" t="s">
        <v>34</v>
      </c>
      <c r="L4635" s="206" t="s">
        <v>6006</v>
      </c>
      <c r="M4635" s="49" t="s">
        <v>6000</v>
      </c>
      <c r="N4635" s="73">
        <v>44712</v>
      </c>
      <c r="O4635" s="73" t="s">
        <v>37</v>
      </c>
      <c r="P4635" s="396">
        <v>0</v>
      </c>
      <c r="Q4635" s="212">
        <v>-288</v>
      </c>
      <c r="R4635" s="386">
        <f t="shared" si="146"/>
        <v>0</v>
      </c>
      <c r="S4635" s="279">
        <v>202304</v>
      </c>
      <c r="T4635" s="184" t="s">
        <v>6020</v>
      </c>
      <c r="U4635" s="213"/>
      <c r="V4635" s="210"/>
      <c r="W4635" s="214"/>
      <c r="X4635" s="73">
        <v>44682</v>
      </c>
      <c r="Y4635" s="73">
        <v>45046</v>
      </c>
    </row>
    <row r="4636" s="5" customFormat="1" customHeight="1" spans="1:25">
      <c r="A4636" s="203" t="s">
        <v>448</v>
      </c>
      <c r="B4636" s="204" t="s">
        <v>5041</v>
      </c>
      <c r="C4636" s="204" t="s">
        <v>27</v>
      </c>
      <c r="D4636" s="204" t="s">
        <v>951</v>
      </c>
      <c r="E4636" s="205" t="s">
        <v>5996</v>
      </c>
      <c r="F4636" s="203" t="s">
        <v>5997</v>
      </c>
      <c r="G4636" s="203" t="s">
        <v>31</v>
      </c>
      <c r="H4636" s="25" t="s">
        <v>5998</v>
      </c>
      <c r="I4636" s="46" t="e">
        <f>VLOOKUP(H4636,'合同高级查询数据-4月返'!A:A,1,FALSE)</f>
        <v>#N/A</v>
      </c>
      <c r="J4636" s="47" t="s">
        <v>33</v>
      </c>
      <c r="K4636" s="203" t="s">
        <v>34</v>
      </c>
      <c r="L4636" s="206" t="s">
        <v>6010</v>
      </c>
      <c r="M4636" s="49" t="s">
        <v>6011</v>
      </c>
      <c r="N4636" s="73">
        <v>44712</v>
      </c>
      <c r="O4636" s="73" t="s">
        <v>37</v>
      </c>
      <c r="P4636" s="396">
        <v>0</v>
      </c>
      <c r="Q4636" s="212">
        <v>-288</v>
      </c>
      <c r="R4636" s="386">
        <f t="shared" si="146"/>
        <v>0</v>
      </c>
      <c r="S4636" s="279">
        <v>202304</v>
      </c>
      <c r="T4636" s="184" t="s">
        <v>6021</v>
      </c>
      <c r="U4636" s="213"/>
      <c r="V4636" s="210"/>
      <c r="W4636" s="214"/>
      <c r="X4636" s="73">
        <v>44682</v>
      </c>
      <c r="Y4636" s="73">
        <v>45046</v>
      </c>
    </row>
    <row r="4637" s="5" customFormat="1" customHeight="1" spans="1:25">
      <c r="A4637" s="203" t="s">
        <v>448</v>
      </c>
      <c r="B4637" s="204" t="s">
        <v>5041</v>
      </c>
      <c r="C4637" s="204" t="s">
        <v>27</v>
      </c>
      <c r="D4637" s="204" t="s">
        <v>951</v>
      </c>
      <c r="E4637" s="205" t="s">
        <v>5996</v>
      </c>
      <c r="F4637" s="203" t="s">
        <v>5997</v>
      </c>
      <c r="G4637" s="203" t="s">
        <v>31</v>
      </c>
      <c r="H4637" s="25" t="s">
        <v>5998</v>
      </c>
      <c r="I4637" s="46" t="e">
        <f>VLOOKUP(H4637,'合同高级查询数据-4月返'!A:A,1,FALSE)</f>
        <v>#N/A</v>
      </c>
      <c r="J4637" s="47" t="s">
        <v>1273</v>
      </c>
      <c r="K4637" s="203" t="s">
        <v>34</v>
      </c>
      <c r="L4637" s="206"/>
      <c r="M4637" s="49" t="s">
        <v>6000</v>
      </c>
      <c r="N4637" s="73"/>
      <c r="O4637" s="73" t="s">
        <v>37</v>
      </c>
      <c r="P4637" s="396">
        <v>50</v>
      </c>
      <c r="Q4637" s="212">
        <v>432</v>
      </c>
      <c r="R4637" s="386">
        <f>ROUND(Q4637*P4637,2)</f>
        <v>21600</v>
      </c>
      <c r="S4637" s="279">
        <v>202304</v>
      </c>
      <c r="T4637" s="184" t="s">
        <v>6022</v>
      </c>
      <c r="U4637" s="213"/>
      <c r="V4637" s="210"/>
      <c r="W4637" s="214"/>
      <c r="X4637" s="73">
        <v>44682</v>
      </c>
      <c r="Y4637" s="73">
        <v>45046</v>
      </c>
    </row>
    <row r="4638" s="5" customFormat="1" customHeight="1" spans="1:25">
      <c r="A4638" s="203" t="s">
        <v>448</v>
      </c>
      <c r="B4638" s="204" t="s">
        <v>5041</v>
      </c>
      <c r="C4638" s="204" t="s">
        <v>27</v>
      </c>
      <c r="D4638" s="204" t="s">
        <v>951</v>
      </c>
      <c r="E4638" s="205" t="s">
        <v>5996</v>
      </c>
      <c r="F4638" s="203" t="s">
        <v>5997</v>
      </c>
      <c r="G4638" s="203" t="s">
        <v>31</v>
      </c>
      <c r="H4638" s="25" t="s">
        <v>5998</v>
      </c>
      <c r="I4638" s="46" t="e">
        <f>VLOOKUP(H4638,'合同高级查询数据-4月返'!A:A,1,FALSE)</f>
        <v>#N/A</v>
      </c>
      <c r="J4638" s="47" t="s">
        <v>1273</v>
      </c>
      <c r="K4638" s="203" t="s">
        <v>34</v>
      </c>
      <c r="L4638" s="206"/>
      <c r="M4638" s="49" t="s">
        <v>6000</v>
      </c>
      <c r="N4638" s="73"/>
      <c r="O4638" s="73" t="s">
        <v>37</v>
      </c>
      <c r="P4638" s="396">
        <v>0</v>
      </c>
      <c r="Q4638" s="212">
        <v>80</v>
      </c>
      <c r="R4638" s="386">
        <f t="shared" si="146"/>
        <v>0</v>
      </c>
      <c r="S4638" s="279">
        <v>202304</v>
      </c>
      <c r="T4638" s="184" t="s">
        <v>6022</v>
      </c>
      <c r="U4638" s="213"/>
      <c r="V4638" s="210"/>
      <c r="W4638" s="214"/>
      <c r="X4638" s="73">
        <v>44682</v>
      </c>
      <c r="Y4638" s="73">
        <v>45046</v>
      </c>
    </row>
    <row r="4639" s="5" customFormat="1" customHeight="1" spans="1:25">
      <c r="A4639" s="203" t="s">
        <v>448</v>
      </c>
      <c r="B4639" s="204" t="s">
        <v>5041</v>
      </c>
      <c r="C4639" s="204" t="s">
        <v>27</v>
      </c>
      <c r="D4639" s="204" t="s">
        <v>951</v>
      </c>
      <c r="E4639" s="205" t="s">
        <v>5996</v>
      </c>
      <c r="F4639" s="203" t="s">
        <v>5997</v>
      </c>
      <c r="G4639" s="203" t="s">
        <v>31</v>
      </c>
      <c r="H4639" s="25" t="s">
        <v>5998</v>
      </c>
      <c r="I4639" s="46" t="e">
        <f>VLOOKUP(H4639,'合同高级查询数据-4月返'!A:A,1,FALSE)</f>
        <v>#N/A</v>
      </c>
      <c r="J4639" s="47" t="s">
        <v>33</v>
      </c>
      <c r="K4639" s="203"/>
      <c r="L4639" s="206"/>
      <c r="M4639" s="49" t="s">
        <v>6023</v>
      </c>
      <c r="N4639" s="73" t="s">
        <v>1329</v>
      </c>
      <c r="O4639" s="73" t="s">
        <v>179</v>
      </c>
      <c r="P4639" s="396">
        <v>0</v>
      </c>
      <c r="Q4639" s="212">
        <v>1</v>
      </c>
      <c r="R4639" s="386">
        <f t="shared" si="146"/>
        <v>0</v>
      </c>
      <c r="S4639" s="279">
        <v>202304</v>
      </c>
      <c r="T4639" s="184" t="s">
        <v>6024</v>
      </c>
      <c r="U4639" s="213"/>
      <c r="V4639" s="210"/>
      <c r="W4639" s="214"/>
      <c r="X4639" s="73">
        <v>44682</v>
      </c>
      <c r="Y4639" s="73">
        <v>45046</v>
      </c>
    </row>
    <row r="4640" s="5" customFormat="1" customHeight="1" spans="1:25">
      <c r="A4640" s="203" t="s">
        <v>448</v>
      </c>
      <c r="B4640" s="204" t="s">
        <v>5041</v>
      </c>
      <c r="C4640" s="204" t="s">
        <v>27</v>
      </c>
      <c r="D4640" s="204" t="s">
        <v>951</v>
      </c>
      <c r="E4640" s="205" t="s">
        <v>5996</v>
      </c>
      <c r="F4640" s="203" t="s">
        <v>5997</v>
      </c>
      <c r="G4640" s="203" t="s">
        <v>31</v>
      </c>
      <c r="H4640" s="25" t="s">
        <v>5998</v>
      </c>
      <c r="I4640" s="46" t="e">
        <f>VLOOKUP(H4640,'合同高级查询数据-4月返'!A:A,1,FALSE)</f>
        <v>#N/A</v>
      </c>
      <c r="J4640" s="47" t="s">
        <v>33</v>
      </c>
      <c r="K4640" s="203"/>
      <c r="L4640" s="206"/>
      <c r="M4640" s="49" t="s">
        <v>6023</v>
      </c>
      <c r="N4640" s="73" t="s">
        <v>1329</v>
      </c>
      <c r="O4640" s="73" t="s">
        <v>179</v>
      </c>
      <c r="P4640" s="396">
        <v>0</v>
      </c>
      <c r="Q4640" s="212">
        <v>1</v>
      </c>
      <c r="R4640" s="386">
        <f t="shared" si="146"/>
        <v>0</v>
      </c>
      <c r="S4640" s="279">
        <v>202304</v>
      </c>
      <c r="T4640" s="184" t="s">
        <v>6025</v>
      </c>
      <c r="U4640" s="213"/>
      <c r="V4640" s="210"/>
      <c r="W4640" s="214"/>
      <c r="X4640" s="73">
        <v>44682</v>
      </c>
      <c r="Y4640" s="73">
        <v>45046</v>
      </c>
    </row>
    <row r="4641" s="5" customFormat="1" customHeight="1" spans="1:25">
      <c r="A4641" s="203" t="s">
        <v>448</v>
      </c>
      <c r="B4641" s="204" t="s">
        <v>5041</v>
      </c>
      <c r="C4641" s="204" t="s">
        <v>27</v>
      </c>
      <c r="D4641" s="204" t="s">
        <v>951</v>
      </c>
      <c r="E4641" s="205" t="s">
        <v>5996</v>
      </c>
      <c r="F4641" s="203" t="s">
        <v>5997</v>
      </c>
      <c r="G4641" s="203" t="s">
        <v>31</v>
      </c>
      <c r="H4641" s="25" t="s">
        <v>5998</v>
      </c>
      <c r="I4641" s="46" t="e">
        <f>VLOOKUP(H4641,'合同高级查询数据-4月返'!A:A,1,FALSE)</f>
        <v>#N/A</v>
      </c>
      <c r="J4641" s="47" t="s">
        <v>33</v>
      </c>
      <c r="K4641" s="203" t="s">
        <v>6026</v>
      </c>
      <c r="L4641" s="206" t="s">
        <v>6026</v>
      </c>
      <c r="M4641" s="49" t="s">
        <v>6023</v>
      </c>
      <c r="N4641" s="73">
        <v>44060</v>
      </c>
      <c r="O4641" s="73" t="s">
        <v>179</v>
      </c>
      <c r="P4641" s="396">
        <v>0</v>
      </c>
      <c r="Q4641" s="212">
        <v>1</v>
      </c>
      <c r="R4641" s="386">
        <f>ROUND(P4641*Q4641,2)</f>
        <v>0</v>
      </c>
      <c r="S4641" s="279">
        <v>202304</v>
      </c>
      <c r="T4641" s="184" t="s">
        <v>6027</v>
      </c>
      <c r="U4641" s="213"/>
      <c r="V4641" s="210"/>
      <c r="W4641" s="214"/>
      <c r="X4641" s="73">
        <v>44682</v>
      </c>
      <c r="Y4641" s="73">
        <v>45046</v>
      </c>
    </row>
    <row r="4642" s="5" customFormat="1" customHeight="1" spans="1:25">
      <c r="A4642" s="203" t="s">
        <v>448</v>
      </c>
      <c r="B4642" s="204" t="s">
        <v>5041</v>
      </c>
      <c r="C4642" s="204" t="s">
        <v>27</v>
      </c>
      <c r="D4642" s="204" t="s">
        <v>951</v>
      </c>
      <c r="E4642" s="205" t="s">
        <v>5996</v>
      </c>
      <c r="F4642" s="203" t="s">
        <v>5997</v>
      </c>
      <c r="G4642" s="203" t="s">
        <v>31</v>
      </c>
      <c r="H4642" s="25" t="s">
        <v>5998</v>
      </c>
      <c r="I4642" s="46" t="e">
        <f>VLOOKUP(H4642,'合同高级查询数据-4月返'!A:A,1,FALSE)</f>
        <v>#N/A</v>
      </c>
      <c r="J4642" s="47" t="s">
        <v>33</v>
      </c>
      <c r="K4642" s="203" t="s">
        <v>6026</v>
      </c>
      <c r="L4642" s="206" t="s">
        <v>6026</v>
      </c>
      <c r="M4642" s="49" t="s">
        <v>6023</v>
      </c>
      <c r="N4642" s="73">
        <v>44135</v>
      </c>
      <c r="O4642" s="73" t="s">
        <v>179</v>
      </c>
      <c r="P4642" s="396">
        <v>0</v>
      </c>
      <c r="Q4642" s="212">
        <v>-1</v>
      </c>
      <c r="R4642" s="386">
        <f>ROUND(P4642*Q4642,2)</f>
        <v>0</v>
      </c>
      <c r="S4642" s="279">
        <v>202304</v>
      </c>
      <c r="T4642" s="184" t="s">
        <v>6028</v>
      </c>
      <c r="U4642" s="213"/>
      <c r="V4642" s="210"/>
      <c r="W4642" s="214"/>
      <c r="X4642" s="73">
        <v>44682</v>
      </c>
      <c r="Y4642" s="73">
        <v>45046</v>
      </c>
    </row>
    <row r="4643" s="5" customFormat="1" customHeight="1" spans="1:25">
      <c r="A4643" s="203" t="s">
        <v>448</v>
      </c>
      <c r="B4643" s="204" t="s">
        <v>5041</v>
      </c>
      <c r="C4643" s="204" t="s">
        <v>27</v>
      </c>
      <c r="D4643" s="204" t="s">
        <v>951</v>
      </c>
      <c r="E4643" s="205" t="s">
        <v>5996</v>
      </c>
      <c r="F4643" s="203" t="s">
        <v>5997</v>
      </c>
      <c r="G4643" s="203" t="s">
        <v>31</v>
      </c>
      <c r="H4643" s="25" t="s">
        <v>5998</v>
      </c>
      <c r="I4643" s="46" t="e">
        <f>VLOOKUP(H4643,'合同高级查询数据-4月返'!A:A,1,FALSE)</f>
        <v>#N/A</v>
      </c>
      <c r="J4643" s="47" t="s">
        <v>1273</v>
      </c>
      <c r="K4643" s="203" t="s">
        <v>34</v>
      </c>
      <c r="L4643" s="206" t="s">
        <v>34</v>
      </c>
      <c r="M4643" s="49" t="s">
        <v>6023</v>
      </c>
      <c r="N4643" s="73">
        <v>44062</v>
      </c>
      <c r="O4643" s="73" t="s">
        <v>179</v>
      </c>
      <c r="P4643" s="396">
        <v>0</v>
      </c>
      <c r="Q4643" s="212">
        <v>1</v>
      </c>
      <c r="R4643" s="386">
        <f>ROUND(P4643*Q4643,2)</f>
        <v>0</v>
      </c>
      <c r="S4643" s="279">
        <v>202304</v>
      </c>
      <c r="T4643" s="184" t="s">
        <v>6029</v>
      </c>
      <c r="U4643" s="213"/>
      <c r="V4643" s="210"/>
      <c r="W4643" s="214"/>
      <c r="X4643" s="73">
        <v>44682</v>
      </c>
      <c r="Y4643" s="73">
        <v>45046</v>
      </c>
    </row>
    <row r="4644" s="5" customFormat="1" customHeight="1" spans="1:25">
      <c r="A4644" s="203" t="s">
        <v>448</v>
      </c>
      <c r="B4644" s="204" t="s">
        <v>5041</v>
      </c>
      <c r="C4644" s="204" t="s">
        <v>27</v>
      </c>
      <c r="D4644" s="204" t="s">
        <v>951</v>
      </c>
      <c r="E4644" s="205" t="s">
        <v>5996</v>
      </c>
      <c r="F4644" s="203" t="s">
        <v>5997</v>
      </c>
      <c r="G4644" s="203" t="s">
        <v>31</v>
      </c>
      <c r="H4644" s="25" t="s">
        <v>5998</v>
      </c>
      <c r="I4644" s="46" t="e">
        <f>VLOOKUP(H4644,'合同高级查询数据-4月返'!A:A,1,FALSE)</f>
        <v>#N/A</v>
      </c>
      <c r="J4644" s="47" t="s">
        <v>33</v>
      </c>
      <c r="K4644" s="203" t="s">
        <v>34</v>
      </c>
      <c r="L4644" s="206" t="s">
        <v>6010</v>
      </c>
      <c r="M4644" s="49" t="s">
        <v>6011</v>
      </c>
      <c r="N4644" s="73">
        <v>44158</v>
      </c>
      <c r="O4644" s="73" t="s">
        <v>179</v>
      </c>
      <c r="P4644" s="396">
        <v>0</v>
      </c>
      <c r="Q4644" s="212">
        <v>1</v>
      </c>
      <c r="R4644" s="386">
        <f>ROUND(P4644*Q4644,2)</f>
        <v>0</v>
      </c>
      <c r="S4644" s="279">
        <v>202304</v>
      </c>
      <c r="T4644" s="184" t="s">
        <v>6030</v>
      </c>
      <c r="U4644" s="213"/>
      <c r="V4644" s="210"/>
      <c r="W4644" s="214"/>
      <c r="X4644" s="73">
        <v>44682</v>
      </c>
      <c r="Y4644" s="73">
        <v>45046</v>
      </c>
    </row>
    <row r="4645" s="5" customFormat="1" customHeight="1" spans="1:25">
      <c r="A4645" s="203" t="s">
        <v>448</v>
      </c>
      <c r="B4645" s="204" t="s">
        <v>5041</v>
      </c>
      <c r="C4645" s="204" t="s">
        <v>27</v>
      </c>
      <c r="D4645" s="204" t="s">
        <v>951</v>
      </c>
      <c r="E4645" s="205" t="s">
        <v>5996</v>
      </c>
      <c r="F4645" s="203" t="s">
        <v>5997</v>
      </c>
      <c r="G4645" s="203" t="s">
        <v>88</v>
      </c>
      <c r="H4645" s="25" t="s">
        <v>5998</v>
      </c>
      <c r="I4645" s="46" t="e">
        <f>VLOOKUP(H4645,'合同高级查询数据-4月返'!A:A,1,FALSE)</f>
        <v>#N/A</v>
      </c>
      <c r="J4645" s="47" t="s">
        <v>162</v>
      </c>
      <c r="K4645" s="203" t="s">
        <v>34</v>
      </c>
      <c r="L4645" s="206" t="s">
        <v>6008</v>
      </c>
      <c r="M4645" s="49" t="s">
        <v>6000</v>
      </c>
      <c r="N4645" s="73">
        <v>44334</v>
      </c>
      <c r="O4645" s="73" t="s">
        <v>92</v>
      </c>
      <c r="P4645" s="396">
        <v>4000</v>
      </c>
      <c r="Q4645" s="212">
        <v>3</v>
      </c>
      <c r="R4645" s="386">
        <f t="shared" ref="R4645:R4651" si="148">ROUND(Q4645*P4645,2)</f>
        <v>12000</v>
      </c>
      <c r="S4645" s="279">
        <v>202304</v>
      </c>
      <c r="T4645" s="184" t="s">
        <v>6031</v>
      </c>
      <c r="U4645" s="213"/>
      <c r="V4645" s="210"/>
      <c r="W4645" s="214"/>
      <c r="X4645" s="73">
        <v>44682</v>
      </c>
      <c r="Y4645" s="73">
        <v>45046</v>
      </c>
    </row>
    <row r="4646" s="5" customFormat="1" customHeight="1" spans="1:25">
      <c r="A4646" s="203" t="s">
        <v>448</v>
      </c>
      <c r="B4646" s="204" t="s">
        <v>5041</v>
      </c>
      <c r="C4646" s="204" t="s">
        <v>27</v>
      </c>
      <c r="D4646" s="204" t="s">
        <v>951</v>
      </c>
      <c r="E4646" s="205" t="s">
        <v>5996</v>
      </c>
      <c r="F4646" s="203" t="s">
        <v>5997</v>
      </c>
      <c r="G4646" s="203" t="s">
        <v>31</v>
      </c>
      <c r="H4646" s="25" t="s">
        <v>5998</v>
      </c>
      <c r="I4646" s="46" t="e">
        <f>VLOOKUP(H4646,'合同高级查询数据-4月返'!A:A,1,FALSE)</f>
        <v>#N/A</v>
      </c>
      <c r="J4646" s="47" t="s">
        <v>33</v>
      </c>
      <c r="K4646" s="203" t="s">
        <v>34</v>
      </c>
      <c r="L4646" s="206" t="s">
        <v>6008</v>
      </c>
      <c r="M4646" s="49" t="s">
        <v>6000</v>
      </c>
      <c r="N4646" s="73"/>
      <c r="O4646" s="73" t="s">
        <v>37</v>
      </c>
      <c r="P4646" s="396">
        <v>50</v>
      </c>
      <c r="Q4646" s="212">
        <v>96</v>
      </c>
      <c r="R4646" s="386">
        <f t="shared" si="148"/>
        <v>4800</v>
      </c>
      <c r="S4646" s="279">
        <v>202304</v>
      </c>
      <c r="T4646" s="184" t="s">
        <v>6032</v>
      </c>
      <c r="U4646" s="213"/>
      <c r="V4646" s="210"/>
      <c r="W4646" s="214"/>
      <c r="X4646" s="73">
        <v>44682</v>
      </c>
      <c r="Y4646" s="73">
        <v>45046</v>
      </c>
    </row>
    <row r="4647" s="5" customFormat="1" customHeight="1" spans="1:25">
      <c r="A4647" s="203" t="s">
        <v>448</v>
      </c>
      <c r="B4647" s="204" t="s">
        <v>5041</v>
      </c>
      <c r="C4647" s="204" t="s">
        <v>27</v>
      </c>
      <c r="D4647" s="204" t="s">
        <v>951</v>
      </c>
      <c r="E4647" s="205" t="s">
        <v>5996</v>
      </c>
      <c r="F4647" s="203" t="s">
        <v>5997</v>
      </c>
      <c r="G4647" s="203" t="s">
        <v>31</v>
      </c>
      <c r="H4647" s="25" t="s">
        <v>5998</v>
      </c>
      <c r="I4647" s="46" t="e">
        <f>VLOOKUP(H4647,'合同高级查询数据-4月返'!A:A,1,FALSE)</f>
        <v>#N/A</v>
      </c>
      <c r="J4647" s="47" t="s">
        <v>33</v>
      </c>
      <c r="K4647" s="203" t="s">
        <v>34</v>
      </c>
      <c r="L4647" s="206" t="s">
        <v>6008</v>
      </c>
      <c r="M4647" s="49" t="s">
        <v>6000</v>
      </c>
      <c r="N4647" s="73">
        <v>44334</v>
      </c>
      <c r="O4647" s="73" t="s">
        <v>37</v>
      </c>
      <c r="P4647" s="396">
        <v>0</v>
      </c>
      <c r="Q4647" s="212">
        <v>128</v>
      </c>
      <c r="R4647" s="386">
        <f t="shared" si="148"/>
        <v>0</v>
      </c>
      <c r="S4647" s="279">
        <v>202304</v>
      </c>
      <c r="T4647" s="184" t="s">
        <v>6033</v>
      </c>
      <c r="U4647" s="213"/>
      <c r="V4647" s="210"/>
      <c r="W4647" s="214"/>
      <c r="X4647" s="73">
        <v>44682</v>
      </c>
      <c r="Y4647" s="73">
        <v>45046</v>
      </c>
    </row>
    <row r="4648" s="5" customFormat="1" customHeight="1" spans="1:25">
      <c r="A4648" s="203" t="s">
        <v>448</v>
      </c>
      <c r="B4648" s="204" t="s">
        <v>5041</v>
      </c>
      <c r="C4648" s="204" t="s">
        <v>27</v>
      </c>
      <c r="D4648" s="204" t="s">
        <v>951</v>
      </c>
      <c r="E4648" s="205" t="s">
        <v>5996</v>
      </c>
      <c r="F4648" s="203" t="s">
        <v>5997</v>
      </c>
      <c r="G4648" s="203" t="s">
        <v>31</v>
      </c>
      <c r="H4648" s="25" t="s">
        <v>5998</v>
      </c>
      <c r="I4648" s="46" t="e">
        <f>VLOOKUP(H4648,'合同高级查询数据-4月返'!A:A,1,FALSE)</f>
        <v>#N/A</v>
      </c>
      <c r="J4648" s="47" t="s">
        <v>33</v>
      </c>
      <c r="K4648" s="203" t="s">
        <v>34</v>
      </c>
      <c r="L4648" s="206" t="s">
        <v>6008</v>
      </c>
      <c r="M4648" s="49" t="s">
        <v>6000</v>
      </c>
      <c r="N4648" s="73">
        <v>44409</v>
      </c>
      <c r="O4648" s="73" t="s">
        <v>37</v>
      </c>
      <c r="P4648" s="396">
        <v>0</v>
      </c>
      <c r="Q4648" s="212">
        <v>128</v>
      </c>
      <c r="R4648" s="386">
        <f t="shared" si="148"/>
        <v>0</v>
      </c>
      <c r="S4648" s="279">
        <v>202304</v>
      </c>
      <c r="T4648" s="184" t="s">
        <v>6034</v>
      </c>
      <c r="U4648" s="213"/>
      <c r="V4648" s="210"/>
      <c r="W4648" s="214"/>
      <c r="X4648" s="73">
        <v>44682</v>
      </c>
      <c r="Y4648" s="73">
        <v>45046</v>
      </c>
    </row>
    <row r="4649" s="5" customFormat="1" customHeight="1" spans="1:25">
      <c r="A4649" s="203" t="s">
        <v>448</v>
      </c>
      <c r="B4649" s="204" t="s">
        <v>5041</v>
      </c>
      <c r="C4649" s="204" t="s">
        <v>27</v>
      </c>
      <c r="D4649" s="204" t="s">
        <v>951</v>
      </c>
      <c r="E4649" s="205" t="s">
        <v>5996</v>
      </c>
      <c r="F4649" s="203" t="s">
        <v>5997</v>
      </c>
      <c r="G4649" s="203" t="s">
        <v>88</v>
      </c>
      <c r="H4649" s="25" t="s">
        <v>5998</v>
      </c>
      <c r="I4649" s="46" t="e">
        <f>VLOOKUP(H4649,'合同高级查询数据-4月返'!A:A,1,FALSE)</f>
        <v>#N/A</v>
      </c>
      <c r="J4649" s="47" t="s">
        <v>162</v>
      </c>
      <c r="K4649" s="203" t="s">
        <v>34</v>
      </c>
      <c r="L4649" s="206" t="s">
        <v>6008</v>
      </c>
      <c r="M4649" s="49" t="s">
        <v>6000</v>
      </c>
      <c r="N4649" s="73">
        <v>44742</v>
      </c>
      <c r="O4649" s="73" t="s">
        <v>92</v>
      </c>
      <c r="P4649" s="396">
        <v>4000</v>
      </c>
      <c r="Q4649" s="212">
        <v>-4</v>
      </c>
      <c r="R4649" s="386">
        <f t="shared" si="148"/>
        <v>-16000</v>
      </c>
      <c r="S4649" s="279">
        <v>202304</v>
      </c>
      <c r="T4649" s="184" t="s">
        <v>6035</v>
      </c>
      <c r="U4649" s="213"/>
      <c r="V4649" s="210"/>
      <c r="W4649" s="214"/>
      <c r="X4649" s="73">
        <v>44682</v>
      </c>
      <c r="Y4649" s="73">
        <v>45046</v>
      </c>
    </row>
    <row r="4650" s="5" customFormat="1" customHeight="1" spans="1:25">
      <c r="A4650" s="203" t="s">
        <v>448</v>
      </c>
      <c r="B4650" s="204" t="s">
        <v>5041</v>
      </c>
      <c r="C4650" s="204" t="s">
        <v>27</v>
      </c>
      <c r="D4650" s="204" t="s">
        <v>951</v>
      </c>
      <c r="E4650" s="205" t="s">
        <v>5996</v>
      </c>
      <c r="F4650" s="203" t="s">
        <v>5997</v>
      </c>
      <c r="G4650" s="203" t="s">
        <v>31</v>
      </c>
      <c r="H4650" s="25" t="s">
        <v>5998</v>
      </c>
      <c r="I4650" s="46" t="e">
        <f>VLOOKUP(H4650,'合同高级查询数据-4月返'!A:A,1,FALSE)</f>
        <v>#N/A</v>
      </c>
      <c r="J4650" s="47" t="s">
        <v>33</v>
      </c>
      <c r="K4650" s="203" t="s">
        <v>34</v>
      </c>
      <c r="L4650" s="206" t="s">
        <v>6008</v>
      </c>
      <c r="M4650" s="49" t="s">
        <v>6000</v>
      </c>
      <c r="N4650" s="73">
        <v>44812</v>
      </c>
      <c r="O4650" s="73" t="s">
        <v>37</v>
      </c>
      <c r="P4650" s="396">
        <v>0</v>
      </c>
      <c r="Q4650" s="212">
        <v>-128</v>
      </c>
      <c r="R4650" s="386">
        <f t="shared" si="148"/>
        <v>0</v>
      </c>
      <c r="S4650" s="279">
        <v>202304</v>
      </c>
      <c r="T4650" s="184" t="s">
        <v>6036</v>
      </c>
      <c r="U4650" s="213"/>
      <c r="V4650" s="210"/>
      <c r="W4650" s="214"/>
      <c r="X4650" s="73">
        <v>44682</v>
      </c>
      <c r="Y4650" s="73">
        <v>45046</v>
      </c>
    </row>
    <row r="4651" s="5" customFormat="1" customHeight="1" spans="1:25">
      <c r="A4651" s="203" t="s">
        <v>448</v>
      </c>
      <c r="B4651" s="204" t="s">
        <v>5041</v>
      </c>
      <c r="C4651" s="204" t="s">
        <v>27</v>
      </c>
      <c r="D4651" s="204" t="s">
        <v>951</v>
      </c>
      <c r="E4651" s="205" t="s">
        <v>5996</v>
      </c>
      <c r="F4651" s="203" t="s">
        <v>5997</v>
      </c>
      <c r="G4651" s="203" t="s">
        <v>88</v>
      </c>
      <c r="H4651" s="25" t="s">
        <v>5998</v>
      </c>
      <c r="I4651" s="46" t="e">
        <f>VLOOKUP(H4651,'合同高级查询数据-4月返'!A:A,1,FALSE)</f>
        <v>#N/A</v>
      </c>
      <c r="J4651" s="47" t="s">
        <v>162</v>
      </c>
      <c r="K4651" s="203" t="s">
        <v>34</v>
      </c>
      <c r="L4651" s="206" t="s">
        <v>6008</v>
      </c>
      <c r="M4651" s="49" t="s">
        <v>6000</v>
      </c>
      <c r="N4651" s="73">
        <v>44812</v>
      </c>
      <c r="O4651" s="73" t="s">
        <v>92</v>
      </c>
      <c r="P4651" s="396">
        <v>4000</v>
      </c>
      <c r="Q4651" s="212">
        <v>-1</v>
      </c>
      <c r="R4651" s="386">
        <f t="shared" si="148"/>
        <v>-4000</v>
      </c>
      <c r="S4651" s="279">
        <v>202304</v>
      </c>
      <c r="T4651" s="184" t="s">
        <v>6037</v>
      </c>
      <c r="U4651" s="213"/>
      <c r="V4651" s="210"/>
      <c r="W4651" s="214"/>
      <c r="X4651" s="73">
        <v>44682</v>
      </c>
      <c r="Y4651" s="73">
        <v>45046</v>
      </c>
    </row>
    <row r="4652" s="5" customFormat="1" customHeight="1" spans="1:25">
      <c r="A4652" s="203" t="s">
        <v>448</v>
      </c>
      <c r="B4652" s="204" t="s">
        <v>5041</v>
      </c>
      <c r="C4652" s="204" t="s">
        <v>50</v>
      </c>
      <c r="D4652" s="204" t="s">
        <v>951</v>
      </c>
      <c r="E4652" s="205" t="s">
        <v>6038</v>
      </c>
      <c r="F4652" s="203" t="s">
        <v>6039</v>
      </c>
      <c r="G4652" s="203" t="s">
        <v>88</v>
      </c>
      <c r="H4652" s="25" t="s">
        <v>6040</v>
      </c>
      <c r="I4652" s="46" t="e">
        <f>VLOOKUP(H4652,'合同高级查询数据-4月返'!A:A,1,FALSE)</f>
        <v>#N/A</v>
      </c>
      <c r="J4652" s="47" t="s">
        <v>162</v>
      </c>
      <c r="K4652" s="203" t="s">
        <v>6041</v>
      </c>
      <c r="L4652" s="206"/>
      <c r="M4652" s="49" t="s">
        <v>6042</v>
      </c>
      <c r="N4652" s="73"/>
      <c r="O4652" s="73" t="s">
        <v>702</v>
      </c>
      <c r="P4652" s="396">
        <v>2083.33</v>
      </c>
      <c r="Q4652" s="212">
        <v>4</v>
      </c>
      <c r="R4652" s="386">
        <f t="shared" ref="R4652:R4700" si="149">ROUND(P4652*Q4652,2)</f>
        <v>8333.32</v>
      </c>
      <c r="S4652" s="279">
        <v>202304</v>
      </c>
      <c r="T4652" s="184" t="s">
        <v>6043</v>
      </c>
      <c r="U4652" s="213"/>
      <c r="V4652" s="210"/>
      <c r="W4652" s="214"/>
      <c r="X4652" s="73">
        <v>44682</v>
      </c>
      <c r="Y4652" s="73">
        <v>45046</v>
      </c>
    </row>
    <row r="4653" s="5" customFormat="1" customHeight="1" spans="1:25">
      <c r="A4653" s="203" t="s">
        <v>448</v>
      </c>
      <c r="B4653" s="204" t="s">
        <v>5041</v>
      </c>
      <c r="C4653" s="204" t="s">
        <v>50</v>
      </c>
      <c r="D4653" s="204" t="s">
        <v>951</v>
      </c>
      <c r="E4653" s="205" t="s">
        <v>6038</v>
      </c>
      <c r="F4653" s="203" t="s">
        <v>6039</v>
      </c>
      <c r="G4653" s="203" t="s">
        <v>88</v>
      </c>
      <c r="H4653" s="25" t="s">
        <v>6040</v>
      </c>
      <c r="I4653" s="46" t="e">
        <f>VLOOKUP(H4653,'合同高级查询数据-4月返'!A:A,1,FALSE)</f>
        <v>#N/A</v>
      </c>
      <c r="J4653" s="47" t="s">
        <v>162</v>
      </c>
      <c r="K4653" s="203" t="s">
        <v>6044</v>
      </c>
      <c r="L4653" s="206"/>
      <c r="M4653" s="49" t="s">
        <v>6045</v>
      </c>
      <c r="N4653" s="73"/>
      <c r="O4653" s="73" t="s">
        <v>702</v>
      </c>
      <c r="P4653" s="396">
        <v>2083.33</v>
      </c>
      <c r="Q4653" s="212">
        <v>4</v>
      </c>
      <c r="R4653" s="386">
        <f t="shared" si="149"/>
        <v>8333.32</v>
      </c>
      <c r="S4653" s="279">
        <v>202304</v>
      </c>
      <c r="T4653" s="184" t="s">
        <v>6046</v>
      </c>
      <c r="U4653" s="213"/>
      <c r="V4653" s="210"/>
      <c r="W4653" s="214"/>
      <c r="X4653" s="73">
        <v>44682</v>
      </c>
      <c r="Y4653" s="73">
        <v>45046</v>
      </c>
    </row>
    <row r="4654" s="5" customFormat="1" customHeight="1" spans="1:25">
      <c r="A4654" s="203" t="s">
        <v>448</v>
      </c>
      <c r="B4654" s="204" t="s">
        <v>5041</v>
      </c>
      <c r="C4654" s="204" t="s">
        <v>50</v>
      </c>
      <c r="D4654" s="204" t="s">
        <v>951</v>
      </c>
      <c r="E4654" s="205" t="s">
        <v>6038</v>
      </c>
      <c r="F4654" s="203" t="s">
        <v>6039</v>
      </c>
      <c r="G4654" s="203" t="s">
        <v>88</v>
      </c>
      <c r="H4654" s="25" t="s">
        <v>6040</v>
      </c>
      <c r="I4654" s="46" t="e">
        <f>VLOOKUP(H4654,'合同高级查询数据-4月返'!A:A,1,FALSE)</f>
        <v>#N/A</v>
      </c>
      <c r="J4654" s="47" t="s">
        <v>162</v>
      </c>
      <c r="K4654" s="203" t="s">
        <v>6044</v>
      </c>
      <c r="L4654" s="206"/>
      <c r="M4654" s="49" t="s">
        <v>6045</v>
      </c>
      <c r="N4654" s="73">
        <v>44978</v>
      </c>
      <c r="O4654" s="73" t="s">
        <v>702</v>
      </c>
      <c r="P4654" s="396">
        <v>2083.33</v>
      </c>
      <c r="Q4654" s="212">
        <v>-1</v>
      </c>
      <c r="R4654" s="386">
        <f t="shared" si="149"/>
        <v>-2083.33</v>
      </c>
      <c r="S4654" s="279">
        <v>202304</v>
      </c>
      <c r="T4654" s="184" t="s">
        <v>6047</v>
      </c>
      <c r="U4654" s="213"/>
      <c r="V4654" s="210"/>
      <c r="W4654" s="214"/>
      <c r="X4654" s="73">
        <v>44682</v>
      </c>
      <c r="Y4654" s="73">
        <v>45046</v>
      </c>
    </row>
    <row r="4655" s="5" customFormat="1" customHeight="1" spans="1:25">
      <c r="A4655" s="203" t="s">
        <v>448</v>
      </c>
      <c r="B4655" s="204" t="s">
        <v>5041</v>
      </c>
      <c r="C4655" s="204" t="s">
        <v>50</v>
      </c>
      <c r="D4655" s="204" t="s">
        <v>951</v>
      </c>
      <c r="E4655" s="205" t="s">
        <v>6038</v>
      </c>
      <c r="F4655" s="203" t="s">
        <v>6039</v>
      </c>
      <c r="G4655" s="203" t="s">
        <v>88</v>
      </c>
      <c r="H4655" s="25" t="s">
        <v>6040</v>
      </c>
      <c r="I4655" s="46" t="e">
        <f>VLOOKUP(H4655,'合同高级查询数据-4月返'!A:A,1,FALSE)</f>
        <v>#N/A</v>
      </c>
      <c r="J4655" s="47" t="s">
        <v>162</v>
      </c>
      <c r="K4655" s="203" t="s">
        <v>6048</v>
      </c>
      <c r="L4655" s="206"/>
      <c r="M4655" s="49" t="s">
        <v>6045</v>
      </c>
      <c r="N4655" s="73">
        <v>45040</v>
      </c>
      <c r="O4655" s="73" t="s">
        <v>702</v>
      </c>
      <c r="P4655" s="396">
        <v>2083.33</v>
      </c>
      <c r="Q4655" s="212">
        <v>-1</v>
      </c>
      <c r="R4655" s="386">
        <f>ROUND(P4655*Q4655*6/30,2)</f>
        <v>-416.67</v>
      </c>
      <c r="S4655" s="279">
        <v>202304</v>
      </c>
      <c r="T4655" s="305" t="s">
        <v>6049</v>
      </c>
      <c r="U4655" s="213"/>
      <c r="V4655" s="210"/>
      <c r="W4655" s="214"/>
      <c r="X4655" s="73">
        <v>44682</v>
      </c>
      <c r="Y4655" s="73">
        <v>45046</v>
      </c>
    </row>
    <row r="4656" s="5" customFormat="1" customHeight="1" spans="1:25">
      <c r="A4656" s="203" t="s">
        <v>448</v>
      </c>
      <c r="B4656" s="204" t="s">
        <v>5041</v>
      </c>
      <c r="C4656" s="204" t="s">
        <v>50</v>
      </c>
      <c r="D4656" s="204" t="s">
        <v>951</v>
      </c>
      <c r="E4656" s="205" t="s">
        <v>6038</v>
      </c>
      <c r="F4656" s="203" t="s">
        <v>6039</v>
      </c>
      <c r="G4656" s="203" t="s">
        <v>88</v>
      </c>
      <c r="H4656" s="25" t="s">
        <v>6040</v>
      </c>
      <c r="I4656" s="46" t="e">
        <f>VLOOKUP(H4656,'合同高级查询数据-4月返'!A:A,1,FALSE)</f>
        <v>#N/A</v>
      </c>
      <c r="J4656" s="47" t="s">
        <v>162</v>
      </c>
      <c r="K4656" s="203" t="s">
        <v>6048</v>
      </c>
      <c r="L4656" s="206"/>
      <c r="M4656" s="49" t="s">
        <v>6045</v>
      </c>
      <c r="N4656" s="73"/>
      <c r="O4656" s="73" t="s">
        <v>702</v>
      </c>
      <c r="P4656" s="396">
        <v>2083.33</v>
      </c>
      <c r="Q4656" s="212">
        <v>8</v>
      </c>
      <c r="R4656" s="386">
        <f t="shared" si="149"/>
        <v>16666.64</v>
      </c>
      <c r="S4656" s="279">
        <v>202304</v>
      </c>
      <c r="T4656" s="184" t="s">
        <v>6050</v>
      </c>
      <c r="U4656" s="213"/>
      <c r="V4656" s="210"/>
      <c r="W4656" s="214"/>
      <c r="X4656" s="73">
        <v>44682</v>
      </c>
      <c r="Y4656" s="73">
        <v>45046</v>
      </c>
    </row>
    <row r="4657" s="5" customFormat="1" customHeight="1" spans="1:25">
      <c r="A4657" s="203" t="s">
        <v>448</v>
      </c>
      <c r="B4657" s="204" t="s">
        <v>5041</v>
      </c>
      <c r="C4657" s="204" t="s">
        <v>50</v>
      </c>
      <c r="D4657" s="204" t="s">
        <v>951</v>
      </c>
      <c r="E4657" s="205" t="s">
        <v>6038</v>
      </c>
      <c r="F4657" s="203" t="s">
        <v>6039</v>
      </c>
      <c r="G4657" s="203" t="s">
        <v>88</v>
      </c>
      <c r="H4657" s="25" t="s">
        <v>6040</v>
      </c>
      <c r="I4657" s="46" t="e">
        <f>VLOOKUP(H4657,'合同高级查询数据-4月返'!A:A,1,FALSE)</f>
        <v>#N/A</v>
      </c>
      <c r="J4657" s="47" t="s">
        <v>162</v>
      </c>
      <c r="K4657" s="203" t="s">
        <v>6048</v>
      </c>
      <c r="L4657" s="206"/>
      <c r="M4657" s="49" t="s">
        <v>6045</v>
      </c>
      <c r="N4657" s="73">
        <v>44681</v>
      </c>
      <c r="O4657" s="73" t="s">
        <v>702</v>
      </c>
      <c r="P4657" s="396">
        <v>2083.33</v>
      </c>
      <c r="Q4657" s="212">
        <v>-5</v>
      </c>
      <c r="R4657" s="386">
        <f t="shared" si="149"/>
        <v>-10416.65</v>
      </c>
      <c r="S4657" s="279">
        <v>202304</v>
      </c>
      <c r="T4657" s="184" t="s">
        <v>6051</v>
      </c>
      <c r="U4657" s="213"/>
      <c r="V4657" s="210"/>
      <c r="W4657" s="214"/>
      <c r="X4657" s="73">
        <v>44682</v>
      </c>
      <c r="Y4657" s="73">
        <v>45046</v>
      </c>
    </row>
    <row r="4658" s="5" customFormat="1" customHeight="1" spans="1:25">
      <c r="A4658" s="203" t="s">
        <v>448</v>
      </c>
      <c r="B4658" s="204" t="s">
        <v>5041</v>
      </c>
      <c r="C4658" s="204" t="s">
        <v>50</v>
      </c>
      <c r="D4658" s="204" t="s">
        <v>951</v>
      </c>
      <c r="E4658" s="205" t="s">
        <v>6038</v>
      </c>
      <c r="F4658" s="203" t="s">
        <v>6039</v>
      </c>
      <c r="G4658" s="203" t="s">
        <v>88</v>
      </c>
      <c r="H4658" s="25" t="s">
        <v>6040</v>
      </c>
      <c r="I4658" s="46" t="e">
        <f>VLOOKUP(H4658,'合同高级查询数据-4月返'!A:A,1,FALSE)</f>
        <v>#N/A</v>
      </c>
      <c r="J4658" s="47" t="s">
        <v>162</v>
      </c>
      <c r="K4658" s="203" t="s">
        <v>6041</v>
      </c>
      <c r="L4658" s="206"/>
      <c r="M4658" s="49" t="s">
        <v>6045</v>
      </c>
      <c r="N4658" s="73">
        <v>44712</v>
      </c>
      <c r="O4658" s="73" t="s">
        <v>702</v>
      </c>
      <c r="P4658" s="396">
        <v>2083.33</v>
      </c>
      <c r="Q4658" s="212">
        <v>-4</v>
      </c>
      <c r="R4658" s="386">
        <f t="shared" si="149"/>
        <v>-8333.32</v>
      </c>
      <c r="S4658" s="279">
        <v>202304</v>
      </c>
      <c r="T4658" s="184" t="s">
        <v>6052</v>
      </c>
      <c r="U4658" s="213"/>
      <c r="V4658" s="210"/>
      <c r="W4658" s="214"/>
      <c r="X4658" s="73">
        <v>44682</v>
      </c>
      <c r="Y4658" s="73">
        <v>45046</v>
      </c>
    </row>
    <row r="4659" s="5" customFormat="1" customHeight="1" spans="1:25">
      <c r="A4659" s="203" t="s">
        <v>448</v>
      </c>
      <c r="B4659" s="204" t="s">
        <v>5041</v>
      </c>
      <c r="C4659" s="204" t="s">
        <v>50</v>
      </c>
      <c r="D4659" s="204" t="s">
        <v>951</v>
      </c>
      <c r="E4659" s="205" t="s">
        <v>6038</v>
      </c>
      <c r="F4659" s="203" t="s">
        <v>6039</v>
      </c>
      <c r="G4659" s="203" t="s">
        <v>88</v>
      </c>
      <c r="H4659" s="25" t="s">
        <v>6040</v>
      </c>
      <c r="I4659" s="46" t="e">
        <f>VLOOKUP(H4659,'合同高级查询数据-4月返'!A:A,1,FALSE)</f>
        <v>#N/A</v>
      </c>
      <c r="J4659" s="47" t="s">
        <v>162</v>
      </c>
      <c r="K4659" s="203" t="s">
        <v>6044</v>
      </c>
      <c r="L4659" s="206"/>
      <c r="M4659" s="49" t="s">
        <v>6045</v>
      </c>
      <c r="N4659" s="73">
        <v>44742</v>
      </c>
      <c r="O4659" s="73" t="s">
        <v>702</v>
      </c>
      <c r="P4659" s="396">
        <v>2083.33</v>
      </c>
      <c r="Q4659" s="212">
        <v>-3</v>
      </c>
      <c r="R4659" s="386">
        <f t="shared" si="149"/>
        <v>-6249.99</v>
      </c>
      <c r="S4659" s="279">
        <v>202304</v>
      </c>
      <c r="T4659" s="184" t="s">
        <v>6053</v>
      </c>
      <c r="U4659" s="213"/>
      <c r="V4659" s="210"/>
      <c r="W4659" s="214"/>
      <c r="X4659" s="73">
        <v>44682</v>
      </c>
      <c r="Y4659" s="73">
        <v>45046</v>
      </c>
    </row>
    <row r="4660" s="5" customFormat="1" customHeight="1" spans="1:25">
      <c r="A4660" s="203" t="s">
        <v>448</v>
      </c>
      <c r="B4660" s="204" t="s">
        <v>5041</v>
      </c>
      <c r="C4660" s="204" t="s">
        <v>50</v>
      </c>
      <c r="D4660" s="204" t="s">
        <v>951</v>
      </c>
      <c r="E4660" s="205" t="s">
        <v>6038</v>
      </c>
      <c r="F4660" s="203" t="s">
        <v>6039</v>
      </c>
      <c r="G4660" s="203" t="s">
        <v>88</v>
      </c>
      <c r="H4660" s="25" t="s">
        <v>6040</v>
      </c>
      <c r="I4660" s="46" t="e">
        <f>VLOOKUP(H4660,'合同高级查询数据-4月返'!A:A,1,FALSE)</f>
        <v>#N/A</v>
      </c>
      <c r="J4660" s="47" t="s">
        <v>162</v>
      </c>
      <c r="K4660" s="203" t="s">
        <v>6044</v>
      </c>
      <c r="L4660" s="206"/>
      <c r="M4660" s="49" t="s">
        <v>6045</v>
      </c>
      <c r="N4660" s="73">
        <v>44824</v>
      </c>
      <c r="O4660" s="73" t="s">
        <v>702</v>
      </c>
      <c r="P4660" s="396">
        <v>2083.33</v>
      </c>
      <c r="Q4660" s="212">
        <v>4</v>
      </c>
      <c r="R4660" s="386">
        <f t="shared" si="149"/>
        <v>8333.32</v>
      </c>
      <c r="S4660" s="279">
        <v>202304</v>
      </c>
      <c r="T4660" s="189" t="s">
        <v>6054</v>
      </c>
      <c r="U4660" s="213"/>
      <c r="V4660" s="210"/>
      <c r="W4660" s="214"/>
      <c r="X4660" s="73">
        <v>44682</v>
      </c>
      <c r="Y4660" s="73">
        <v>45046</v>
      </c>
    </row>
    <row r="4661" s="5" customFormat="1" customHeight="1" spans="1:25">
      <c r="A4661" s="203" t="s">
        <v>448</v>
      </c>
      <c r="B4661" s="204" t="s">
        <v>5041</v>
      </c>
      <c r="C4661" s="204" t="s">
        <v>50</v>
      </c>
      <c r="D4661" s="204" t="s">
        <v>951</v>
      </c>
      <c r="E4661" s="205" t="s">
        <v>6038</v>
      </c>
      <c r="F4661" s="203" t="s">
        <v>6039</v>
      </c>
      <c r="G4661" s="203" t="s">
        <v>31</v>
      </c>
      <c r="H4661" s="25" t="s">
        <v>6040</v>
      </c>
      <c r="I4661" s="46" t="e">
        <f>VLOOKUP(H4661,'合同高级查询数据-4月返'!A:A,1,FALSE)</f>
        <v>#N/A</v>
      </c>
      <c r="J4661" s="47" t="s">
        <v>33</v>
      </c>
      <c r="K4661" s="203"/>
      <c r="L4661" s="206"/>
      <c r="M4661" s="49" t="s">
        <v>6023</v>
      </c>
      <c r="N4661" s="73"/>
      <c r="O4661" s="73" t="s">
        <v>37</v>
      </c>
      <c r="P4661" s="396">
        <v>0</v>
      </c>
      <c r="Q4661" s="212">
        <v>128</v>
      </c>
      <c r="R4661" s="386">
        <f t="shared" si="149"/>
        <v>0</v>
      </c>
      <c r="S4661" s="279">
        <v>202304</v>
      </c>
      <c r="T4661" s="184" t="s">
        <v>6055</v>
      </c>
      <c r="U4661" s="213"/>
      <c r="V4661" s="210"/>
      <c r="W4661" s="214"/>
      <c r="X4661" s="73">
        <v>44682</v>
      </c>
      <c r="Y4661" s="73">
        <v>45046</v>
      </c>
    </row>
    <row r="4662" s="5" customFormat="1" customHeight="1" spans="1:25">
      <c r="A4662" s="203" t="s">
        <v>448</v>
      </c>
      <c r="B4662" s="204" t="s">
        <v>5041</v>
      </c>
      <c r="C4662" s="204" t="s">
        <v>50</v>
      </c>
      <c r="D4662" s="204" t="s">
        <v>951</v>
      </c>
      <c r="E4662" s="205" t="s">
        <v>6038</v>
      </c>
      <c r="F4662" s="203" t="s">
        <v>6039</v>
      </c>
      <c r="G4662" s="203" t="s">
        <v>31</v>
      </c>
      <c r="H4662" s="25" t="s">
        <v>6040</v>
      </c>
      <c r="I4662" s="46" t="e">
        <f>VLOOKUP(H4662,'合同高级查询数据-4月返'!A:A,1,FALSE)</f>
        <v>#N/A</v>
      </c>
      <c r="J4662" s="47" t="s">
        <v>33</v>
      </c>
      <c r="K4662" s="203"/>
      <c r="L4662" s="206"/>
      <c r="M4662" s="49" t="s">
        <v>6023</v>
      </c>
      <c r="N4662" s="73"/>
      <c r="O4662" s="73" t="s">
        <v>37</v>
      </c>
      <c r="P4662" s="396">
        <v>50</v>
      </c>
      <c r="Q4662" s="212">
        <v>1024</v>
      </c>
      <c r="R4662" s="386">
        <f t="shared" si="149"/>
        <v>51200</v>
      </c>
      <c r="S4662" s="279">
        <v>202304</v>
      </c>
      <c r="T4662" s="184" t="s">
        <v>6055</v>
      </c>
      <c r="U4662" s="213"/>
      <c r="V4662" s="210"/>
      <c r="W4662" s="214"/>
      <c r="X4662" s="73">
        <v>44682</v>
      </c>
      <c r="Y4662" s="73">
        <v>45046</v>
      </c>
    </row>
    <row r="4663" s="5" customFormat="1" customHeight="1" spans="1:25">
      <c r="A4663" s="203" t="s">
        <v>448</v>
      </c>
      <c r="B4663" s="204" t="s">
        <v>5041</v>
      </c>
      <c r="C4663" s="204" t="s">
        <v>50</v>
      </c>
      <c r="D4663" s="204" t="s">
        <v>951</v>
      </c>
      <c r="E4663" s="205" t="s">
        <v>6038</v>
      </c>
      <c r="F4663" s="203" t="s">
        <v>6039</v>
      </c>
      <c r="G4663" s="203" t="s">
        <v>31</v>
      </c>
      <c r="H4663" s="25" t="s">
        <v>6040</v>
      </c>
      <c r="I4663" s="46" t="e">
        <f>VLOOKUP(H4663,'合同高级查询数据-4月返'!A:A,1,FALSE)</f>
        <v>#N/A</v>
      </c>
      <c r="J4663" s="47" t="s">
        <v>33</v>
      </c>
      <c r="K4663" s="203"/>
      <c r="L4663" s="206"/>
      <c r="M4663" s="49" t="s">
        <v>6023</v>
      </c>
      <c r="N4663" s="73"/>
      <c r="O4663" s="73" t="s">
        <v>37</v>
      </c>
      <c r="P4663" s="396">
        <v>50</v>
      </c>
      <c r="Q4663" s="212">
        <v>192</v>
      </c>
      <c r="R4663" s="386">
        <f t="shared" si="149"/>
        <v>9600</v>
      </c>
      <c r="S4663" s="279">
        <v>202304</v>
      </c>
      <c r="T4663" s="184" t="s">
        <v>6055</v>
      </c>
      <c r="U4663" s="213"/>
      <c r="V4663" s="210"/>
      <c r="W4663" s="214"/>
      <c r="X4663" s="73">
        <v>44682</v>
      </c>
      <c r="Y4663" s="73">
        <v>45046</v>
      </c>
    </row>
    <row r="4664" s="5" customFormat="1" customHeight="1" spans="1:25">
      <c r="A4664" s="203" t="s">
        <v>448</v>
      </c>
      <c r="B4664" s="204" t="s">
        <v>5041</v>
      </c>
      <c r="C4664" s="204" t="s">
        <v>50</v>
      </c>
      <c r="D4664" s="204" t="s">
        <v>951</v>
      </c>
      <c r="E4664" s="205" t="s">
        <v>6038</v>
      </c>
      <c r="F4664" s="203" t="s">
        <v>6039</v>
      </c>
      <c r="G4664" s="203" t="s">
        <v>31</v>
      </c>
      <c r="H4664" s="25" t="s">
        <v>6040</v>
      </c>
      <c r="I4664" s="46" t="e">
        <f>VLOOKUP(H4664,'合同高级查询数据-4月返'!A:A,1,FALSE)</f>
        <v>#N/A</v>
      </c>
      <c r="J4664" s="47" t="s">
        <v>33</v>
      </c>
      <c r="K4664" s="203"/>
      <c r="L4664" s="206"/>
      <c r="M4664" s="49" t="s">
        <v>6023</v>
      </c>
      <c r="N4664" s="73">
        <v>43830</v>
      </c>
      <c r="O4664" s="73" t="s">
        <v>37</v>
      </c>
      <c r="P4664" s="396">
        <v>50</v>
      </c>
      <c r="Q4664" s="212">
        <v>-192</v>
      </c>
      <c r="R4664" s="386">
        <f t="shared" si="149"/>
        <v>-9600</v>
      </c>
      <c r="S4664" s="279">
        <v>202304</v>
      </c>
      <c r="T4664" s="184" t="s">
        <v>6055</v>
      </c>
      <c r="U4664" s="213"/>
      <c r="V4664" s="210"/>
      <c r="W4664" s="214"/>
      <c r="X4664" s="73">
        <v>44682</v>
      </c>
      <c r="Y4664" s="73">
        <v>45046</v>
      </c>
    </row>
    <row r="4665" s="5" customFormat="1" customHeight="1" spans="1:25">
      <c r="A4665" s="203" t="s">
        <v>448</v>
      </c>
      <c r="B4665" s="204" t="s">
        <v>5041</v>
      </c>
      <c r="C4665" s="204" t="s">
        <v>50</v>
      </c>
      <c r="D4665" s="204" t="s">
        <v>951</v>
      </c>
      <c r="E4665" s="205" t="s">
        <v>6038</v>
      </c>
      <c r="F4665" s="203" t="s">
        <v>6039</v>
      </c>
      <c r="G4665" s="203" t="s">
        <v>31</v>
      </c>
      <c r="H4665" s="25" t="s">
        <v>6040</v>
      </c>
      <c r="I4665" s="46" t="e">
        <f>VLOOKUP(H4665,'合同高级查询数据-4月返'!A:A,1,FALSE)</f>
        <v>#N/A</v>
      </c>
      <c r="J4665" s="47" t="s">
        <v>33</v>
      </c>
      <c r="K4665" s="203"/>
      <c r="L4665" s="206"/>
      <c r="M4665" s="49" t="s">
        <v>6023</v>
      </c>
      <c r="N4665" s="73">
        <v>43830</v>
      </c>
      <c r="O4665" s="73" t="s">
        <v>37</v>
      </c>
      <c r="P4665" s="396">
        <v>50</v>
      </c>
      <c r="Q4665" s="212">
        <v>-352</v>
      </c>
      <c r="R4665" s="386">
        <f t="shared" si="149"/>
        <v>-17600</v>
      </c>
      <c r="S4665" s="279">
        <v>202304</v>
      </c>
      <c r="T4665" s="184" t="s">
        <v>6055</v>
      </c>
      <c r="U4665" s="213"/>
      <c r="V4665" s="210"/>
      <c r="W4665" s="214"/>
      <c r="X4665" s="73">
        <v>44682</v>
      </c>
      <c r="Y4665" s="73">
        <v>45046</v>
      </c>
    </row>
    <row r="4666" s="5" customFormat="1" customHeight="1" spans="1:25">
      <c r="A4666" s="203" t="s">
        <v>448</v>
      </c>
      <c r="B4666" s="204" t="s">
        <v>5041</v>
      </c>
      <c r="C4666" s="204" t="s">
        <v>50</v>
      </c>
      <c r="D4666" s="204" t="s">
        <v>951</v>
      </c>
      <c r="E4666" s="205" t="s">
        <v>6038</v>
      </c>
      <c r="F4666" s="203" t="s">
        <v>6039</v>
      </c>
      <c r="G4666" s="203" t="s">
        <v>31</v>
      </c>
      <c r="H4666" s="25" t="s">
        <v>6040</v>
      </c>
      <c r="I4666" s="46" t="e">
        <f>VLOOKUP(H4666,'合同高级查询数据-4月返'!A:A,1,FALSE)</f>
        <v>#N/A</v>
      </c>
      <c r="J4666" s="47" t="s">
        <v>33</v>
      </c>
      <c r="K4666" s="203"/>
      <c r="L4666" s="206"/>
      <c r="M4666" s="49" t="s">
        <v>6023</v>
      </c>
      <c r="N4666" s="73"/>
      <c r="O4666" s="73" t="s">
        <v>179</v>
      </c>
      <c r="P4666" s="396">
        <v>0</v>
      </c>
      <c r="Q4666" s="212">
        <v>3</v>
      </c>
      <c r="R4666" s="386">
        <f t="shared" si="149"/>
        <v>0</v>
      </c>
      <c r="S4666" s="279">
        <v>202304</v>
      </c>
      <c r="T4666" s="184" t="s">
        <v>6056</v>
      </c>
      <c r="U4666" s="213"/>
      <c r="V4666" s="210"/>
      <c r="W4666" s="214"/>
      <c r="X4666" s="73">
        <v>44682</v>
      </c>
      <c r="Y4666" s="73">
        <v>45046</v>
      </c>
    </row>
    <row r="4667" s="5" customFormat="1" customHeight="1" spans="1:25">
      <c r="A4667" s="203" t="s">
        <v>448</v>
      </c>
      <c r="B4667" s="204" t="s">
        <v>5041</v>
      </c>
      <c r="C4667" s="204" t="s">
        <v>50</v>
      </c>
      <c r="D4667" s="204" t="s">
        <v>951</v>
      </c>
      <c r="E4667" s="205" t="s">
        <v>6038</v>
      </c>
      <c r="F4667" s="203" t="s">
        <v>6039</v>
      </c>
      <c r="G4667" s="203" t="s">
        <v>31</v>
      </c>
      <c r="H4667" s="25" t="s">
        <v>6040</v>
      </c>
      <c r="I4667" s="46" t="e">
        <f>VLOOKUP(H4667,'合同高级查询数据-4月返'!A:A,1,FALSE)</f>
        <v>#N/A</v>
      </c>
      <c r="J4667" s="47" t="s">
        <v>33</v>
      </c>
      <c r="K4667" s="203" t="s">
        <v>51</v>
      </c>
      <c r="L4667" s="206" t="s">
        <v>6057</v>
      </c>
      <c r="M4667" s="49"/>
      <c r="N4667" s="73">
        <v>44742</v>
      </c>
      <c r="O4667" s="73" t="s">
        <v>179</v>
      </c>
      <c r="P4667" s="396">
        <v>0</v>
      </c>
      <c r="Q4667" s="212">
        <v>-1</v>
      </c>
      <c r="R4667" s="386">
        <f t="shared" si="149"/>
        <v>0</v>
      </c>
      <c r="S4667" s="279">
        <v>202304</v>
      </c>
      <c r="T4667" s="184" t="s">
        <v>6058</v>
      </c>
      <c r="U4667" s="213"/>
      <c r="V4667" s="210"/>
      <c r="W4667" s="214"/>
      <c r="X4667" s="73">
        <v>44682</v>
      </c>
      <c r="Y4667" s="73">
        <v>45046</v>
      </c>
    </row>
    <row r="4668" s="5" customFormat="1" customHeight="1" spans="1:25">
      <c r="A4668" s="203" t="s">
        <v>448</v>
      </c>
      <c r="B4668" s="204" t="s">
        <v>5041</v>
      </c>
      <c r="C4668" s="204" t="s">
        <v>50</v>
      </c>
      <c r="D4668" s="204" t="s">
        <v>951</v>
      </c>
      <c r="E4668" s="205" t="s">
        <v>6038</v>
      </c>
      <c r="F4668" s="203" t="s">
        <v>6039</v>
      </c>
      <c r="G4668" s="203" t="s">
        <v>31</v>
      </c>
      <c r="H4668" s="25" t="s">
        <v>6040</v>
      </c>
      <c r="I4668" s="46" t="e">
        <f>VLOOKUP(H4668,'合同高级查询数据-4月返'!A:A,1,FALSE)</f>
        <v>#N/A</v>
      </c>
      <c r="J4668" s="47" t="s">
        <v>33</v>
      </c>
      <c r="K4668" s="203" t="s">
        <v>51</v>
      </c>
      <c r="L4668" s="206" t="s">
        <v>6057</v>
      </c>
      <c r="M4668" s="49"/>
      <c r="N4668" s="73">
        <v>44824</v>
      </c>
      <c r="O4668" s="73" t="s">
        <v>179</v>
      </c>
      <c r="P4668" s="396">
        <v>0</v>
      </c>
      <c r="Q4668" s="212">
        <v>1</v>
      </c>
      <c r="R4668" s="386">
        <v>0</v>
      </c>
      <c r="S4668" s="279">
        <v>202304</v>
      </c>
      <c r="T4668" s="184" t="s">
        <v>6059</v>
      </c>
      <c r="U4668" s="213"/>
      <c r="V4668" s="210"/>
      <c r="W4668" s="214"/>
      <c r="X4668" s="73">
        <v>44682</v>
      </c>
      <c r="Y4668" s="73">
        <v>45046</v>
      </c>
    </row>
    <row r="4669" s="5" customFormat="1" customHeight="1" spans="1:25">
      <c r="A4669" s="203" t="s">
        <v>448</v>
      </c>
      <c r="B4669" s="204" t="s">
        <v>5041</v>
      </c>
      <c r="C4669" s="204" t="s">
        <v>50</v>
      </c>
      <c r="D4669" s="204" t="s">
        <v>951</v>
      </c>
      <c r="E4669" s="205" t="s">
        <v>6038</v>
      </c>
      <c r="F4669" s="203" t="s">
        <v>6039</v>
      </c>
      <c r="G4669" s="203" t="s">
        <v>88</v>
      </c>
      <c r="H4669" s="25" t="s">
        <v>6040</v>
      </c>
      <c r="I4669" s="46" t="e">
        <f>VLOOKUP(H4669,'合同高级查询数据-4月返'!A:A,1,FALSE)</f>
        <v>#N/A</v>
      </c>
      <c r="J4669" s="47" t="s">
        <v>162</v>
      </c>
      <c r="K4669" s="203" t="s">
        <v>51</v>
      </c>
      <c r="L4669" s="206" t="s">
        <v>6057</v>
      </c>
      <c r="M4669" s="49" t="s">
        <v>6045</v>
      </c>
      <c r="N4669" s="73">
        <v>44228</v>
      </c>
      <c r="O4669" s="73" t="s">
        <v>702</v>
      </c>
      <c r="P4669" s="396">
        <v>2083.33</v>
      </c>
      <c r="Q4669" s="212">
        <v>2</v>
      </c>
      <c r="R4669" s="386">
        <f t="shared" si="149"/>
        <v>4166.66</v>
      </c>
      <c r="S4669" s="279">
        <v>202304</v>
      </c>
      <c r="T4669" s="184" t="s">
        <v>6060</v>
      </c>
      <c r="U4669" s="213"/>
      <c r="V4669" s="210"/>
      <c r="W4669" s="214"/>
      <c r="X4669" s="73">
        <v>44682</v>
      </c>
      <c r="Y4669" s="73">
        <v>45046</v>
      </c>
    </row>
    <row r="4670" s="5" customFormat="1" customHeight="1" spans="1:25">
      <c r="A4670" s="203" t="s">
        <v>448</v>
      </c>
      <c r="B4670" s="204" t="s">
        <v>5041</v>
      </c>
      <c r="C4670" s="204" t="s">
        <v>50</v>
      </c>
      <c r="D4670" s="204" t="s">
        <v>951</v>
      </c>
      <c r="E4670" s="205" t="s">
        <v>6038</v>
      </c>
      <c r="F4670" s="203" t="s">
        <v>6039</v>
      </c>
      <c r="G4670" s="203" t="s">
        <v>88</v>
      </c>
      <c r="H4670" s="25" t="s">
        <v>6040</v>
      </c>
      <c r="I4670" s="46" t="e">
        <f>VLOOKUP(H4670,'合同高级查询数据-4月返'!A:A,1,FALSE)</f>
        <v>#N/A</v>
      </c>
      <c r="J4670" s="47" t="s">
        <v>162</v>
      </c>
      <c r="K4670" s="203" t="s">
        <v>51</v>
      </c>
      <c r="L4670" s="206" t="s">
        <v>6057</v>
      </c>
      <c r="M4670" s="49" t="s">
        <v>6045</v>
      </c>
      <c r="N4670" s="73">
        <v>44228</v>
      </c>
      <c r="O4670" s="73" t="s">
        <v>702</v>
      </c>
      <c r="P4670" s="396">
        <v>2083.33</v>
      </c>
      <c r="Q4670" s="212">
        <v>1</v>
      </c>
      <c r="R4670" s="386">
        <f t="shared" si="149"/>
        <v>2083.33</v>
      </c>
      <c r="S4670" s="279">
        <v>202304</v>
      </c>
      <c r="T4670" s="184" t="s">
        <v>6061</v>
      </c>
      <c r="U4670" s="213"/>
      <c r="V4670" s="210"/>
      <c r="W4670" s="214"/>
      <c r="X4670" s="73">
        <v>44682</v>
      </c>
      <c r="Y4670" s="73">
        <v>45046</v>
      </c>
    </row>
    <row r="4671" s="5" customFormat="1" customHeight="1" spans="1:25">
      <c r="A4671" s="203" t="s">
        <v>448</v>
      </c>
      <c r="B4671" s="204" t="s">
        <v>5041</v>
      </c>
      <c r="C4671" s="204" t="s">
        <v>50</v>
      </c>
      <c r="D4671" s="204" t="s">
        <v>951</v>
      </c>
      <c r="E4671" s="205" t="s">
        <v>6038</v>
      </c>
      <c r="F4671" s="203" t="s">
        <v>6039</v>
      </c>
      <c r="G4671" s="203" t="s">
        <v>31</v>
      </c>
      <c r="H4671" s="25" t="s">
        <v>6040</v>
      </c>
      <c r="I4671" s="46" t="e">
        <f>VLOOKUP(H4671,'合同高级查询数据-4月返'!A:A,1,FALSE)</f>
        <v>#N/A</v>
      </c>
      <c r="J4671" s="47" t="s">
        <v>33</v>
      </c>
      <c r="K4671" s="203" t="s">
        <v>51</v>
      </c>
      <c r="L4671" s="206" t="s">
        <v>6057</v>
      </c>
      <c r="M4671" s="49" t="s">
        <v>6045</v>
      </c>
      <c r="N4671" s="73">
        <v>44228</v>
      </c>
      <c r="O4671" s="73" t="s">
        <v>37</v>
      </c>
      <c r="P4671" s="396">
        <v>50</v>
      </c>
      <c r="Q4671" s="212">
        <v>128</v>
      </c>
      <c r="R4671" s="386">
        <f t="shared" si="149"/>
        <v>6400</v>
      </c>
      <c r="S4671" s="279">
        <v>202304</v>
      </c>
      <c r="T4671" s="184" t="s">
        <v>6062</v>
      </c>
      <c r="U4671" s="213"/>
      <c r="V4671" s="210"/>
      <c r="W4671" s="214"/>
      <c r="X4671" s="73">
        <v>44682</v>
      </c>
      <c r="Y4671" s="73">
        <v>45046</v>
      </c>
    </row>
    <row r="4672" s="5" customFormat="1" customHeight="1" spans="1:25">
      <c r="A4672" s="203" t="s">
        <v>448</v>
      </c>
      <c r="B4672" s="204" t="s">
        <v>5041</v>
      </c>
      <c r="C4672" s="204" t="s">
        <v>50</v>
      </c>
      <c r="D4672" s="204" t="s">
        <v>951</v>
      </c>
      <c r="E4672" s="205" t="s">
        <v>6038</v>
      </c>
      <c r="F4672" s="203" t="s">
        <v>6039</v>
      </c>
      <c r="G4672" s="203" t="s">
        <v>31</v>
      </c>
      <c r="H4672" s="25" t="s">
        <v>6040</v>
      </c>
      <c r="I4672" s="46" t="e">
        <f>VLOOKUP(H4672,'合同高级查询数据-4月返'!A:A,1,FALSE)</f>
        <v>#N/A</v>
      </c>
      <c r="J4672" s="47" t="s">
        <v>33</v>
      </c>
      <c r="K4672" s="203" t="s">
        <v>51</v>
      </c>
      <c r="L4672" s="206" t="s">
        <v>6057</v>
      </c>
      <c r="M4672" s="49" t="s">
        <v>6045</v>
      </c>
      <c r="N4672" s="73">
        <v>44428</v>
      </c>
      <c r="O4672" s="73" t="s">
        <v>37</v>
      </c>
      <c r="P4672" s="396">
        <v>50</v>
      </c>
      <c r="Q4672" s="212">
        <v>128</v>
      </c>
      <c r="R4672" s="386">
        <f t="shared" si="149"/>
        <v>6400</v>
      </c>
      <c r="S4672" s="279">
        <v>202304</v>
      </c>
      <c r="T4672" s="184" t="s">
        <v>6062</v>
      </c>
      <c r="U4672" s="213"/>
      <c r="V4672" s="210"/>
      <c r="W4672" s="214"/>
      <c r="X4672" s="73">
        <v>44682</v>
      </c>
      <c r="Y4672" s="73">
        <v>45046</v>
      </c>
    </row>
    <row r="4673" s="5" customFormat="1" customHeight="1" spans="1:25">
      <c r="A4673" s="203" t="s">
        <v>448</v>
      </c>
      <c r="B4673" s="204" t="s">
        <v>5041</v>
      </c>
      <c r="C4673" s="204" t="s">
        <v>50</v>
      </c>
      <c r="D4673" s="204" t="s">
        <v>951</v>
      </c>
      <c r="E4673" s="205" t="s">
        <v>6038</v>
      </c>
      <c r="F4673" s="203" t="s">
        <v>6039</v>
      </c>
      <c r="G4673" s="203" t="s">
        <v>31</v>
      </c>
      <c r="H4673" s="25" t="s">
        <v>6040</v>
      </c>
      <c r="I4673" s="46" t="e">
        <f>VLOOKUP(H4673,'合同高级查询数据-4月返'!A:A,1,FALSE)</f>
        <v>#N/A</v>
      </c>
      <c r="J4673" s="47" t="s">
        <v>33</v>
      </c>
      <c r="K4673" s="203" t="s">
        <v>51</v>
      </c>
      <c r="L4673" s="206" t="s">
        <v>6057</v>
      </c>
      <c r="M4673" s="49" t="s">
        <v>6045</v>
      </c>
      <c r="N4673" s="73">
        <v>44712</v>
      </c>
      <c r="O4673" s="73" t="s">
        <v>37</v>
      </c>
      <c r="P4673" s="396">
        <v>50</v>
      </c>
      <c r="Q4673" s="212">
        <v>-256</v>
      </c>
      <c r="R4673" s="386">
        <f t="shared" si="149"/>
        <v>-12800</v>
      </c>
      <c r="S4673" s="279">
        <v>202304</v>
      </c>
      <c r="T4673" s="184" t="s">
        <v>6063</v>
      </c>
      <c r="U4673" s="213"/>
      <c r="V4673" s="210"/>
      <c r="W4673" s="214"/>
      <c r="X4673" s="73">
        <v>44682</v>
      </c>
      <c r="Y4673" s="73">
        <v>45046</v>
      </c>
    </row>
    <row r="4674" s="5" customFormat="1" customHeight="1" spans="1:25">
      <c r="A4674" s="203" t="s">
        <v>448</v>
      </c>
      <c r="B4674" s="204" t="s">
        <v>5041</v>
      </c>
      <c r="C4674" s="204" t="s">
        <v>50</v>
      </c>
      <c r="D4674" s="204" t="s">
        <v>951</v>
      </c>
      <c r="E4674" s="205" t="s">
        <v>6038</v>
      </c>
      <c r="F4674" s="203" t="s">
        <v>6039</v>
      </c>
      <c r="G4674" s="203" t="s">
        <v>31</v>
      </c>
      <c r="H4674" s="25" t="s">
        <v>6040</v>
      </c>
      <c r="I4674" s="46" t="e">
        <f>VLOOKUP(H4674,'合同高级查询数据-4月返'!A:A,1,FALSE)</f>
        <v>#N/A</v>
      </c>
      <c r="J4674" s="47" t="s">
        <v>33</v>
      </c>
      <c r="K4674" s="203" t="s">
        <v>51</v>
      </c>
      <c r="L4674" s="206" t="s">
        <v>6057</v>
      </c>
      <c r="M4674" s="49" t="s">
        <v>6045</v>
      </c>
      <c r="N4674" s="73">
        <v>44742</v>
      </c>
      <c r="O4674" s="73" t="s">
        <v>37</v>
      </c>
      <c r="P4674" s="396">
        <v>50</v>
      </c>
      <c r="Q4674" s="212">
        <v>-256</v>
      </c>
      <c r="R4674" s="386">
        <f t="shared" si="149"/>
        <v>-12800</v>
      </c>
      <c r="S4674" s="279">
        <v>202304</v>
      </c>
      <c r="T4674" s="184" t="s">
        <v>6064</v>
      </c>
      <c r="U4674" s="213"/>
      <c r="V4674" s="210"/>
      <c r="W4674" s="214"/>
      <c r="X4674" s="73">
        <v>44682</v>
      </c>
      <c r="Y4674" s="73">
        <v>45046</v>
      </c>
    </row>
    <row r="4675" s="5" customFormat="1" customHeight="1" spans="1:25">
      <c r="A4675" s="203" t="s">
        <v>448</v>
      </c>
      <c r="B4675" s="204" t="s">
        <v>5041</v>
      </c>
      <c r="C4675" s="204" t="s">
        <v>50</v>
      </c>
      <c r="D4675" s="204" t="s">
        <v>951</v>
      </c>
      <c r="E4675" s="205" t="s">
        <v>6038</v>
      </c>
      <c r="F4675" s="203" t="s">
        <v>6039</v>
      </c>
      <c r="G4675" s="203" t="s">
        <v>31</v>
      </c>
      <c r="H4675" s="25" t="s">
        <v>6040</v>
      </c>
      <c r="I4675" s="46" t="e">
        <f>VLOOKUP(H4675,'合同高级查询数据-4月返'!A:A,1,FALSE)</f>
        <v>#N/A</v>
      </c>
      <c r="J4675" s="47" t="s">
        <v>33</v>
      </c>
      <c r="K4675" s="203" t="s">
        <v>51</v>
      </c>
      <c r="L4675" s="206" t="s">
        <v>6057</v>
      </c>
      <c r="M4675" s="49" t="s">
        <v>6045</v>
      </c>
      <c r="N4675" s="73">
        <v>44824</v>
      </c>
      <c r="O4675" s="73" t="s">
        <v>37</v>
      </c>
      <c r="P4675" s="396">
        <v>50</v>
      </c>
      <c r="Q4675" s="212">
        <v>256</v>
      </c>
      <c r="R4675" s="386">
        <f t="shared" si="149"/>
        <v>12800</v>
      </c>
      <c r="S4675" s="279">
        <v>202304</v>
      </c>
      <c r="T4675" s="184" t="s">
        <v>6065</v>
      </c>
      <c r="U4675" s="213"/>
      <c r="V4675" s="210"/>
      <c r="W4675" s="214"/>
      <c r="X4675" s="73">
        <v>44682</v>
      </c>
      <c r="Y4675" s="73">
        <v>45046</v>
      </c>
    </row>
    <row r="4676" s="5" customFormat="1" customHeight="1" spans="1:25">
      <c r="A4676" s="203" t="s">
        <v>448</v>
      </c>
      <c r="B4676" s="204" t="s">
        <v>5041</v>
      </c>
      <c r="C4676" s="204" t="s">
        <v>50</v>
      </c>
      <c r="D4676" s="204" t="s">
        <v>951</v>
      </c>
      <c r="E4676" s="205" t="s">
        <v>6038</v>
      </c>
      <c r="F4676" s="203" t="s">
        <v>6039</v>
      </c>
      <c r="G4676" s="203" t="s">
        <v>31</v>
      </c>
      <c r="H4676" s="25" t="s">
        <v>6040</v>
      </c>
      <c r="I4676" s="46" t="e">
        <f>VLOOKUP(H4676,'合同高级查询数据-4月返'!A:A,1,FALSE)</f>
        <v>#N/A</v>
      </c>
      <c r="J4676" s="47" t="s">
        <v>33</v>
      </c>
      <c r="K4676" s="203" t="s">
        <v>51</v>
      </c>
      <c r="L4676" s="206" t="s">
        <v>6066</v>
      </c>
      <c r="M4676" s="49" t="s">
        <v>6045</v>
      </c>
      <c r="N4676" s="73">
        <v>45003</v>
      </c>
      <c r="O4676" s="73" t="s">
        <v>37</v>
      </c>
      <c r="P4676" s="396">
        <v>50</v>
      </c>
      <c r="Q4676" s="212">
        <v>-128</v>
      </c>
      <c r="R4676" s="386">
        <f t="shared" si="149"/>
        <v>-6400</v>
      </c>
      <c r="S4676" s="279">
        <v>202304</v>
      </c>
      <c r="T4676" s="184" t="s">
        <v>6067</v>
      </c>
      <c r="U4676" s="213"/>
      <c r="V4676" s="210"/>
      <c r="W4676" s="214"/>
      <c r="X4676" s="73">
        <v>44682</v>
      </c>
      <c r="Y4676" s="73">
        <v>45046</v>
      </c>
    </row>
    <row r="4677" s="5" customFormat="1" customHeight="1" spans="1:25">
      <c r="A4677" s="203" t="s">
        <v>448</v>
      </c>
      <c r="B4677" s="204" t="s">
        <v>5041</v>
      </c>
      <c r="C4677" s="204" t="s">
        <v>6068</v>
      </c>
      <c r="D4677" s="204" t="s">
        <v>951</v>
      </c>
      <c r="E4677" s="205" t="s">
        <v>6069</v>
      </c>
      <c r="F4677" s="203" t="s">
        <v>6070</v>
      </c>
      <c r="G4677" s="203" t="s">
        <v>31</v>
      </c>
      <c r="H4677" s="25" t="s">
        <v>6071</v>
      </c>
      <c r="I4677" s="46" t="e">
        <f>VLOOKUP(H4677,'合同高级查询数据-4月返'!A:A,1,FALSE)</f>
        <v>#N/A</v>
      </c>
      <c r="J4677" s="47" t="s">
        <v>33</v>
      </c>
      <c r="K4677" s="203" t="s">
        <v>6072</v>
      </c>
      <c r="L4677" s="206"/>
      <c r="M4677" s="49" t="s">
        <v>6023</v>
      </c>
      <c r="N4677" s="73">
        <v>43313</v>
      </c>
      <c r="O4677" s="73" t="s">
        <v>37</v>
      </c>
      <c r="P4677" s="396">
        <v>0</v>
      </c>
      <c r="Q4677" s="212">
        <v>288</v>
      </c>
      <c r="R4677" s="386">
        <f t="shared" si="149"/>
        <v>0</v>
      </c>
      <c r="S4677" s="279">
        <v>202304</v>
      </c>
      <c r="T4677" s="184" t="s">
        <v>6073</v>
      </c>
      <c r="U4677" s="213"/>
      <c r="V4677" s="210"/>
      <c r="W4677" s="214"/>
      <c r="X4677" s="73">
        <v>44682</v>
      </c>
      <c r="Y4677" s="73">
        <v>45046</v>
      </c>
    </row>
    <row r="4678" s="5" customFormat="1" customHeight="1" spans="1:25">
      <c r="A4678" s="203" t="s">
        <v>448</v>
      </c>
      <c r="B4678" s="204" t="s">
        <v>5041</v>
      </c>
      <c r="C4678" s="204" t="s">
        <v>6068</v>
      </c>
      <c r="D4678" s="204" t="s">
        <v>951</v>
      </c>
      <c r="E4678" s="205" t="s">
        <v>6069</v>
      </c>
      <c r="F4678" s="203" t="s">
        <v>6070</v>
      </c>
      <c r="G4678" s="203" t="s">
        <v>31</v>
      </c>
      <c r="H4678" s="25" t="s">
        <v>6071</v>
      </c>
      <c r="I4678" s="46" t="e">
        <f>VLOOKUP(H4678,'合同高级查询数据-4月返'!A:A,1,FALSE)</f>
        <v>#N/A</v>
      </c>
      <c r="J4678" s="47" t="s">
        <v>33</v>
      </c>
      <c r="K4678" s="203" t="s">
        <v>6072</v>
      </c>
      <c r="L4678" s="206"/>
      <c r="M4678" s="49" t="s">
        <v>6023</v>
      </c>
      <c r="N4678" s="73">
        <v>44025</v>
      </c>
      <c r="O4678" s="73" t="s">
        <v>37</v>
      </c>
      <c r="P4678" s="396">
        <v>0</v>
      </c>
      <c r="Q4678" s="212">
        <v>-288</v>
      </c>
      <c r="R4678" s="386">
        <f t="shared" si="149"/>
        <v>0</v>
      </c>
      <c r="S4678" s="279">
        <v>202304</v>
      </c>
      <c r="T4678" s="184" t="s">
        <v>6074</v>
      </c>
      <c r="U4678" s="213"/>
      <c r="V4678" s="210"/>
      <c r="W4678" s="214"/>
      <c r="X4678" s="73">
        <v>44682</v>
      </c>
      <c r="Y4678" s="73">
        <v>45046</v>
      </c>
    </row>
    <row r="4679" s="5" customFormat="1" customHeight="1" spans="1:25">
      <c r="A4679" s="203" t="s">
        <v>448</v>
      </c>
      <c r="B4679" s="204" t="s">
        <v>5041</v>
      </c>
      <c r="C4679" s="204" t="s">
        <v>6068</v>
      </c>
      <c r="D4679" s="204" t="s">
        <v>951</v>
      </c>
      <c r="E4679" s="205" t="s">
        <v>6069</v>
      </c>
      <c r="F4679" s="203" t="s">
        <v>6070</v>
      </c>
      <c r="G4679" s="203" t="s">
        <v>31</v>
      </c>
      <c r="H4679" s="25" t="s">
        <v>6071</v>
      </c>
      <c r="I4679" s="46" t="e">
        <f>VLOOKUP(H4679,'合同高级查询数据-4月返'!A:A,1,FALSE)</f>
        <v>#N/A</v>
      </c>
      <c r="J4679" s="47" t="s">
        <v>33</v>
      </c>
      <c r="K4679" s="203" t="s">
        <v>6075</v>
      </c>
      <c r="L4679" s="206"/>
      <c r="M4679" s="49" t="s">
        <v>6023</v>
      </c>
      <c r="N4679" s="73">
        <v>43453</v>
      </c>
      <c r="O4679" s="73" t="s">
        <v>37</v>
      </c>
      <c r="P4679" s="396">
        <v>0</v>
      </c>
      <c r="Q4679" s="212">
        <v>288</v>
      </c>
      <c r="R4679" s="386">
        <f t="shared" si="149"/>
        <v>0</v>
      </c>
      <c r="S4679" s="279">
        <v>202304</v>
      </c>
      <c r="T4679" s="184" t="s">
        <v>6076</v>
      </c>
      <c r="U4679" s="213"/>
      <c r="V4679" s="210"/>
      <c r="W4679" s="214"/>
      <c r="X4679" s="73">
        <v>44682</v>
      </c>
      <c r="Y4679" s="73">
        <v>45046</v>
      </c>
    </row>
    <row r="4680" s="5" customFormat="1" customHeight="1" spans="1:25">
      <c r="A4680" s="203" t="s">
        <v>448</v>
      </c>
      <c r="B4680" s="204" t="s">
        <v>5041</v>
      </c>
      <c r="C4680" s="204" t="s">
        <v>6068</v>
      </c>
      <c r="D4680" s="204" t="s">
        <v>951</v>
      </c>
      <c r="E4680" s="205" t="s">
        <v>6069</v>
      </c>
      <c r="F4680" s="203" t="s">
        <v>6070</v>
      </c>
      <c r="G4680" s="203" t="s">
        <v>31</v>
      </c>
      <c r="H4680" s="25" t="s">
        <v>6071</v>
      </c>
      <c r="I4680" s="46" t="e">
        <f>VLOOKUP(H4680,'合同高级查询数据-4月返'!A:A,1,FALSE)</f>
        <v>#N/A</v>
      </c>
      <c r="J4680" s="47" t="s">
        <v>33</v>
      </c>
      <c r="K4680" s="203" t="s">
        <v>6075</v>
      </c>
      <c r="L4680" s="206"/>
      <c r="M4680" s="49" t="s">
        <v>6023</v>
      </c>
      <c r="N4680" s="73" t="s">
        <v>1329</v>
      </c>
      <c r="O4680" s="73" t="s">
        <v>37</v>
      </c>
      <c r="P4680" s="396">
        <v>0</v>
      </c>
      <c r="Q4680" s="212">
        <v>128</v>
      </c>
      <c r="R4680" s="386">
        <f t="shared" si="149"/>
        <v>0</v>
      </c>
      <c r="S4680" s="279">
        <v>202304</v>
      </c>
      <c r="T4680" s="184" t="s">
        <v>6077</v>
      </c>
      <c r="U4680" s="213"/>
      <c r="V4680" s="210"/>
      <c r="W4680" s="214"/>
      <c r="X4680" s="73">
        <v>44682</v>
      </c>
      <c r="Y4680" s="73">
        <v>45046</v>
      </c>
    </row>
    <row r="4681" s="5" customFormat="1" customHeight="1" spans="1:25">
      <c r="A4681" s="203" t="s">
        <v>448</v>
      </c>
      <c r="B4681" s="204" t="s">
        <v>5041</v>
      </c>
      <c r="C4681" s="204" t="s">
        <v>6068</v>
      </c>
      <c r="D4681" s="204" t="s">
        <v>951</v>
      </c>
      <c r="E4681" s="205" t="s">
        <v>6069</v>
      </c>
      <c r="F4681" s="203" t="s">
        <v>6070</v>
      </c>
      <c r="G4681" s="203" t="s">
        <v>88</v>
      </c>
      <c r="H4681" s="25" t="s">
        <v>6071</v>
      </c>
      <c r="I4681" s="46" t="e">
        <f>VLOOKUP(H4681,'合同高级查询数据-4月返'!A:A,1,FALSE)</f>
        <v>#N/A</v>
      </c>
      <c r="J4681" s="47" t="s">
        <v>162</v>
      </c>
      <c r="K4681" s="203" t="s">
        <v>6075</v>
      </c>
      <c r="L4681" s="206"/>
      <c r="M4681" s="49" t="s">
        <v>6078</v>
      </c>
      <c r="N4681" s="73">
        <v>43453</v>
      </c>
      <c r="O4681" s="73" t="s">
        <v>92</v>
      </c>
      <c r="P4681" s="396">
        <v>4167</v>
      </c>
      <c r="Q4681" s="212">
        <v>5</v>
      </c>
      <c r="R4681" s="386">
        <f t="shared" si="149"/>
        <v>20835</v>
      </c>
      <c r="S4681" s="279">
        <v>202304</v>
      </c>
      <c r="T4681" s="184"/>
      <c r="U4681" s="213"/>
      <c r="V4681" s="210"/>
      <c r="W4681" s="214"/>
      <c r="X4681" s="73">
        <v>44682</v>
      </c>
      <c r="Y4681" s="73">
        <v>45046</v>
      </c>
    </row>
    <row r="4682" s="5" customFormat="1" customHeight="1" spans="1:25">
      <c r="A4682" s="203" t="s">
        <v>448</v>
      </c>
      <c r="B4682" s="204" t="s">
        <v>5041</v>
      </c>
      <c r="C4682" s="204" t="s">
        <v>6068</v>
      </c>
      <c r="D4682" s="204" t="s">
        <v>951</v>
      </c>
      <c r="E4682" s="205" t="s">
        <v>6069</v>
      </c>
      <c r="F4682" s="203" t="s">
        <v>6070</v>
      </c>
      <c r="G4682" s="203" t="s">
        <v>88</v>
      </c>
      <c r="H4682" s="25" t="s">
        <v>6071</v>
      </c>
      <c r="I4682" s="46" t="e">
        <f>VLOOKUP(H4682,'合同高级查询数据-4月返'!A:A,1,FALSE)</f>
        <v>#N/A</v>
      </c>
      <c r="J4682" s="47" t="s">
        <v>162</v>
      </c>
      <c r="K4682" s="203" t="s">
        <v>6075</v>
      </c>
      <c r="L4682" s="206"/>
      <c r="M4682" s="49" t="s">
        <v>6078</v>
      </c>
      <c r="N4682" s="73">
        <v>43671</v>
      </c>
      <c r="O4682" s="73" t="s">
        <v>92</v>
      </c>
      <c r="P4682" s="396">
        <v>4167</v>
      </c>
      <c r="Q4682" s="212">
        <v>4</v>
      </c>
      <c r="R4682" s="386">
        <f t="shared" si="149"/>
        <v>16668</v>
      </c>
      <c r="S4682" s="279">
        <v>202304</v>
      </c>
      <c r="T4682" s="184" t="s">
        <v>6079</v>
      </c>
      <c r="U4682" s="213"/>
      <c r="V4682" s="210"/>
      <c r="W4682" s="214"/>
      <c r="X4682" s="73">
        <v>44682</v>
      </c>
      <c r="Y4682" s="73">
        <v>45046</v>
      </c>
    </row>
    <row r="4683" s="5" customFormat="1" customHeight="1" spans="1:25">
      <c r="A4683" s="203" t="s">
        <v>448</v>
      </c>
      <c r="B4683" s="204" t="s">
        <v>5041</v>
      </c>
      <c r="C4683" s="204" t="s">
        <v>6068</v>
      </c>
      <c r="D4683" s="204" t="s">
        <v>951</v>
      </c>
      <c r="E4683" s="205" t="s">
        <v>6069</v>
      </c>
      <c r="F4683" s="203" t="s">
        <v>6070</v>
      </c>
      <c r="G4683" s="203" t="s">
        <v>88</v>
      </c>
      <c r="H4683" s="25" t="s">
        <v>6071</v>
      </c>
      <c r="I4683" s="46" t="e">
        <f>VLOOKUP(H4683,'合同高级查询数据-4月返'!A:A,1,FALSE)</f>
        <v>#N/A</v>
      </c>
      <c r="J4683" s="47" t="s">
        <v>162</v>
      </c>
      <c r="K4683" s="203" t="s">
        <v>6072</v>
      </c>
      <c r="L4683" s="206"/>
      <c r="M4683" s="49" t="s">
        <v>6078</v>
      </c>
      <c r="N4683" s="73">
        <v>44025</v>
      </c>
      <c r="O4683" s="73" t="s">
        <v>92</v>
      </c>
      <c r="P4683" s="396">
        <v>4167</v>
      </c>
      <c r="Q4683" s="212">
        <v>-1</v>
      </c>
      <c r="R4683" s="386">
        <f t="shared" si="149"/>
        <v>-4167</v>
      </c>
      <c r="S4683" s="279">
        <v>202304</v>
      </c>
      <c r="T4683" s="184" t="s">
        <v>6080</v>
      </c>
      <c r="U4683" s="213"/>
      <c r="V4683" s="210"/>
      <c r="W4683" s="214"/>
      <c r="X4683" s="73">
        <v>44682</v>
      </c>
      <c r="Y4683" s="73">
        <v>45046</v>
      </c>
    </row>
    <row r="4684" s="5" customFormat="1" customHeight="1" spans="1:25">
      <c r="A4684" s="203" t="s">
        <v>448</v>
      </c>
      <c r="B4684" s="204" t="s">
        <v>5041</v>
      </c>
      <c r="C4684" s="204" t="s">
        <v>6068</v>
      </c>
      <c r="D4684" s="204" t="s">
        <v>951</v>
      </c>
      <c r="E4684" s="205" t="s">
        <v>6069</v>
      </c>
      <c r="F4684" s="203" t="s">
        <v>6070</v>
      </c>
      <c r="G4684" s="203" t="s">
        <v>88</v>
      </c>
      <c r="H4684" s="25" t="s">
        <v>6071</v>
      </c>
      <c r="I4684" s="46" t="e">
        <f>VLOOKUP(H4684,'合同高级查询数据-4月返'!A:A,1,FALSE)</f>
        <v>#N/A</v>
      </c>
      <c r="J4684" s="47" t="s">
        <v>162</v>
      </c>
      <c r="K4684" s="203" t="s">
        <v>6075</v>
      </c>
      <c r="L4684" s="206" t="s">
        <v>6081</v>
      </c>
      <c r="M4684" s="49" t="s">
        <v>6078</v>
      </c>
      <c r="N4684" s="73">
        <v>44894</v>
      </c>
      <c r="O4684" s="73" t="s">
        <v>92</v>
      </c>
      <c r="P4684" s="396">
        <v>4167</v>
      </c>
      <c r="Q4684" s="212">
        <v>-3</v>
      </c>
      <c r="R4684" s="386">
        <f t="shared" si="149"/>
        <v>-12501</v>
      </c>
      <c r="S4684" s="279">
        <v>202304</v>
      </c>
      <c r="T4684" s="184" t="s">
        <v>6082</v>
      </c>
      <c r="U4684" s="213"/>
      <c r="V4684" s="210"/>
      <c r="W4684" s="214"/>
      <c r="X4684" s="73">
        <v>44682</v>
      </c>
      <c r="Y4684" s="73">
        <v>45046</v>
      </c>
    </row>
    <row r="4685" s="3" customFormat="1" customHeight="1" spans="1:25">
      <c r="A4685" s="154" t="s">
        <v>448</v>
      </c>
      <c r="B4685" s="292" t="s">
        <v>5041</v>
      </c>
      <c r="C4685" s="292" t="s">
        <v>6083</v>
      </c>
      <c r="D4685" s="292" t="s">
        <v>642</v>
      </c>
      <c r="E4685" s="153" t="s">
        <v>6084</v>
      </c>
      <c r="F4685" s="154" t="s">
        <v>6085</v>
      </c>
      <c r="G4685" s="154" t="s">
        <v>88</v>
      </c>
      <c r="H4685" s="110" t="s">
        <v>6086</v>
      </c>
      <c r="I4685" s="30" t="e">
        <f>VLOOKUP(H4685,'合同高级查询数据-4月返'!A:A,1,FALSE)</f>
        <v>#N/A</v>
      </c>
      <c r="J4685" s="31" t="s">
        <v>162</v>
      </c>
      <c r="K4685" s="154" t="s">
        <v>6087</v>
      </c>
      <c r="L4685" s="293"/>
      <c r="M4685" s="113" t="s">
        <v>6088</v>
      </c>
      <c r="N4685" s="146">
        <v>43491</v>
      </c>
      <c r="O4685" s="146" t="s">
        <v>702</v>
      </c>
      <c r="P4685" s="400">
        <v>4000</v>
      </c>
      <c r="Q4685" s="295">
        <v>9</v>
      </c>
      <c r="R4685" s="390">
        <f t="shared" si="149"/>
        <v>36000</v>
      </c>
      <c r="S4685" s="277">
        <v>202304</v>
      </c>
      <c r="T4685" s="198" t="s">
        <v>6089</v>
      </c>
      <c r="U4685" s="391"/>
      <c r="V4685" s="61"/>
      <c r="W4685" s="393"/>
      <c r="X4685" s="146">
        <v>44743</v>
      </c>
      <c r="Y4685" s="146"/>
    </row>
    <row r="4686" s="3" customFormat="1" customHeight="1" spans="1:25">
      <c r="A4686" s="154" t="s">
        <v>448</v>
      </c>
      <c r="B4686" s="292" t="s">
        <v>5041</v>
      </c>
      <c r="C4686" s="292" t="s">
        <v>6083</v>
      </c>
      <c r="D4686" s="292" t="s">
        <v>642</v>
      </c>
      <c r="E4686" s="153" t="s">
        <v>6084</v>
      </c>
      <c r="F4686" s="154" t="s">
        <v>6085</v>
      </c>
      <c r="G4686" s="154" t="s">
        <v>88</v>
      </c>
      <c r="H4686" s="110" t="s">
        <v>6086</v>
      </c>
      <c r="I4686" s="30" t="e">
        <f>VLOOKUP(H4686,'合同高级查询数据-4月返'!A:A,1,FALSE)</f>
        <v>#N/A</v>
      </c>
      <c r="J4686" s="31" t="s">
        <v>162</v>
      </c>
      <c r="K4686" s="154" t="s">
        <v>6087</v>
      </c>
      <c r="L4686" s="293"/>
      <c r="M4686" s="113" t="s">
        <v>6088</v>
      </c>
      <c r="N4686" s="146">
        <v>44804</v>
      </c>
      <c r="O4686" s="146" t="s">
        <v>702</v>
      </c>
      <c r="P4686" s="400">
        <v>4000</v>
      </c>
      <c r="Q4686" s="295">
        <v>-6</v>
      </c>
      <c r="R4686" s="390">
        <f t="shared" si="149"/>
        <v>-24000</v>
      </c>
      <c r="S4686" s="277">
        <v>202304</v>
      </c>
      <c r="T4686" s="198" t="s">
        <v>6090</v>
      </c>
      <c r="U4686" s="391"/>
      <c r="V4686" s="61"/>
      <c r="W4686" s="393"/>
      <c r="X4686" s="146">
        <v>44743</v>
      </c>
      <c r="Y4686" s="146"/>
    </row>
    <row r="4687" s="3" customFormat="1" customHeight="1" spans="1:25">
      <c r="A4687" s="154" t="s">
        <v>448</v>
      </c>
      <c r="B4687" s="292" t="s">
        <v>5041</v>
      </c>
      <c r="C4687" s="292" t="s">
        <v>6083</v>
      </c>
      <c r="D4687" s="292" t="s">
        <v>642</v>
      </c>
      <c r="E4687" s="153" t="s">
        <v>6084</v>
      </c>
      <c r="F4687" s="154" t="s">
        <v>6085</v>
      </c>
      <c r="G4687" s="154" t="s">
        <v>88</v>
      </c>
      <c r="H4687" s="110" t="s">
        <v>6086</v>
      </c>
      <c r="I4687" s="30" t="e">
        <f>VLOOKUP(H4687,'合同高级查询数据-4月返'!A:A,1,FALSE)</f>
        <v>#N/A</v>
      </c>
      <c r="J4687" s="31" t="s">
        <v>1287</v>
      </c>
      <c r="K4687" s="154" t="s">
        <v>6087</v>
      </c>
      <c r="L4687" s="293"/>
      <c r="M4687" s="113" t="s">
        <v>6088</v>
      </c>
      <c r="N4687" s="146" t="s">
        <v>1329</v>
      </c>
      <c r="O4687" s="146" t="s">
        <v>702</v>
      </c>
      <c r="P4687" s="400">
        <v>4000</v>
      </c>
      <c r="Q4687" s="295">
        <v>3</v>
      </c>
      <c r="R4687" s="390">
        <f t="shared" si="149"/>
        <v>12000</v>
      </c>
      <c r="S4687" s="277">
        <v>202304</v>
      </c>
      <c r="T4687" s="198" t="s">
        <v>6091</v>
      </c>
      <c r="U4687" s="391"/>
      <c r="V4687" s="61"/>
      <c r="W4687" s="393"/>
      <c r="X4687" s="146">
        <v>44743</v>
      </c>
      <c r="Y4687" s="146"/>
    </row>
    <row r="4688" s="3" customFormat="1" customHeight="1" spans="1:25">
      <c r="A4688" s="154" t="s">
        <v>448</v>
      </c>
      <c r="B4688" s="292" t="s">
        <v>5041</v>
      </c>
      <c r="C4688" s="292" t="s">
        <v>6083</v>
      </c>
      <c r="D4688" s="292" t="s">
        <v>642</v>
      </c>
      <c r="E4688" s="153" t="s">
        <v>6084</v>
      </c>
      <c r="F4688" s="154" t="s">
        <v>6085</v>
      </c>
      <c r="G4688" s="154" t="s">
        <v>88</v>
      </c>
      <c r="H4688" s="110" t="s">
        <v>6086</v>
      </c>
      <c r="I4688" s="30" t="e">
        <f>VLOOKUP(H4688,'合同高级查询数据-4月返'!A:A,1,FALSE)</f>
        <v>#N/A</v>
      </c>
      <c r="J4688" s="31" t="s">
        <v>1287</v>
      </c>
      <c r="K4688" s="154" t="s">
        <v>6087</v>
      </c>
      <c r="L4688" s="293"/>
      <c r="M4688" s="113" t="s">
        <v>6088</v>
      </c>
      <c r="N4688" s="146">
        <v>44773</v>
      </c>
      <c r="O4688" s="146" t="s">
        <v>702</v>
      </c>
      <c r="P4688" s="400">
        <v>4000</v>
      </c>
      <c r="Q4688" s="295">
        <v>-3</v>
      </c>
      <c r="R4688" s="390">
        <f t="shared" si="149"/>
        <v>-12000</v>
      </c>
      <c r="S4688" s="277">
        <v>202304</v>
      </c>
      <c r="T4688" s="198" t="s">
        <v>6092</v>
      </c>
      <c r="U4688" s="391"/>
      <c r="V4688" s="61"/>
      <c r="W4688" s="393"/>
      <c r="X4688" s="146">
        <v>44743</v>
      </c>
      <c r="Y4688" s="146"/>
    </row>
    <row r="4689" s="3" customFormat="1" customHeight="1" spans="1:25">
      <c r="A4689" s="154" t="s">
        <v>448</v>
      </c>
      <c r="B4689" s="292" t="s">
        <v>5041</v>
      </c>
      <c r="C4689" s="292" t="s">
        <v>6083</v>
      </c>
      <c r="D4689" s="292" t="s">
        <v>642</v>
      </c>
      <c r="E4689" s="153" t="s">
        <v>6084</v>
      </c>
      <c r="F4689" s="154" t="s">
        <v>6085</v>
      </c>
      <c r="G4689" s="154" t="s">
        <v>88</v>
      </c>
      <c r="H4689" s="110" t="s">
        <v>6086</v>
      </c>
      <c r="I4689" s="30" t="e">
        <f>VLOOKUP(H4689,'合同高级查询数据-4月返'!A:A,1,FALSE)</f>
        <v>#N/A</v>
      </c>
      <c r="J4689" s="31" t="s">
        <v>162</v>
      </c>
      <c r="K4689" s="154" t="s">
        <v>6093</v>
      </c>
      <c r="L4689" s="293" t="s">
        <v>6094</v>
      </c>
      <c r="M4689" s="113" t="s">
        <v>6095</v>
      </c>
      <c r="N4689" s="146">
        <v>43630</v>
      </c>
      <c r="O4689" s="146" t="s">
        <v>702</v>
      </c>
      <c r="P4689" s="400">
        <v>4000</v>
      </c>
      <c r="Q4689" s="295">
        <v>5</v>
      </c>
      <c r="R4689" s="390">
        <f t="shared" si="149"/>
        <v>20000</v>
      </c>
      <c r="S4689" s="277">
        <v>202304</v>
      </c>
      <c r="T4689" s="198" t="s">
        <v>6096</v>
      </c>
      <c r="U4689" s="391"/>
      <c r="V4689" s="61"/>
      <c r="W4689" s="393"/>
      <c r="X4689" s="146">
        <v>44743</v>
      </c>
      <c r="Y4689" s="146"/>
    </row>
    <row r="4690" s="3" customFormat="1" customHeight="1" spans="1:25">
      <c r="A4690" s="154" t="s">
        <v>448</v>
      </c>
      <c r="B4690" s="292" t="s">
        <v>5041</v>
      </c>
      <c r="C4690" s="292" t="s">
        <v>6083</v>
      </c>
      <c r="D4690" s="292" t="s">
        <v>642</v>
      </c>
      <c r="E4690" s="153" t="s">
        <v>6084</v>
      </c>
      <c r="F4690" s="154" t="s">
        <v>6085</v>
      </c>
      <c r="G4690" s="154" t="s">
        <v>31</v>
      </c>
      <c r="H4690" s="110" t="s">
        <v>6086</v>
      </c>
      <c r="I4690" s="30" t="e">
        <f>VLOOKUP(H4690,'合同高级查询数据-4月返'!A:A,1,FALSE)</f>
        <v>#N/A</v>
      </c>
      <c r="J4690" s="31" t="s">
        <v>1273</v>
      </c>
      <c r="K4690" s="154" t="s">
        <v>6097</v>
      </c>
      <c r="L4690" s="293" t="s">
        <v>6098</v>
      </c>
      <c r="M4690" s="113" t="s">
        <v>6088</v>
      </c>
      <c r="N4690" s="146" t="s">
        <v>1329</v>
      </c>
      <c r="O4690" s="146" t="s">
        <v>37</v>
      </c>
      <c r="P4690" s="400">
        <v>0</v>
      </c>
      <c r="Q4690" s="295">
        <v>256</v>
      </c>
      <c r="R4690" s="390">
        <f t="shared" si="149"/>
        <v>0</v>
      </c>
      <c r="S4690" s="277">
        <v>202304</v>
      </c>
      <c r="T4690" s="198" t="s">
        <v>6099</v>
      </c>
      <c r="U4690" s="391"/>
      <c r="V4690" s="61"/>
      <c r="W4690" s="393"/>
      <c r="X4690" s="146">
        <v>44743</v>
      </c>
      <c r="Y4690" s="146"/>
    </row>
    <row r="4691" s="3" customFormat="1" customHeight="1" spans="1:25">
      <c r="A4691" s="154" t="s">
        <v>448</v>
      </c>
      <c r="B4691" s="292" t="s">
        <v>5041</v>
      </c>
      <c r="C4691" s="292" t="s">
        <v>6083</v>
      </c>
      <c r="D4691" s="292" t="s">
        <v>642</v>
      </c>
      <c r="E4691" s="153" t="s">
        <v>6084</v>
      </c>
      <c r="F4691" s="154" t="s">
        <v>6085</v>
      </c>
      <c r="G4691" s="154" t="s">
        <v>31</v>
      </c>
      <c r="H4691" s="110" t="s">
        <v>6086</v>
      </c>
      <c r="I4691" s="30" t="e">
        <f>VLOOKUP(H4691,'合同高级查询数据-4月返'!A:A,1,FALSE)</f>
        <v>#N/A</v>
      </c>
      <c r="J4691" s="31" t="s">
        <v>1273</v>
      </c>
      <c r="K4691" s="154" t="s">
        <v>6097</v>
      </c>
      <c r="L4691" s="293" t="s">
        <v>6098</v>
      </c>
      <c r="M4691" s="113" t="s">
        <v>6088</v>
      </c>
      <c r="N4691" s="146">
        <v>44773</v>
      </c>
      <c r="O4691" s="146" t="s">
        <v>37</v>
      </c>
      <c r="P4691" s="400">
        <v>0</v>
      </c>
      <c r="Q4691" s="295">
        <v>-256</v>
      </c>
      <c r="R4691" s="390">
        <f t="shared" si="149"/>
        <v>0</v>
      </c>
      <c r="S4691" s="277">
        <v>202304</v>
      </c>
      <c r="T4691" s="198" t="s">
        <v>6100</v>
      </c>
      <c r="U4691" s="391"/>
      <c r="V4691" s="61"/>
      <c r="W4691" s="393"/>
      <c r="X4691" s="146">
        <v>44743</v>
      </c>
      <c r="Y4691" s="146"/>
    </row>
    <row r="4692" s="3" customFormat="1" customHeight="1" spans="1:25">
      <c r="A4692" s="154" t="s">
        <v>448</v>
      </c>
      <c r="B4692" s="292" t="s">
        <v>5041</v>
      </c>
      <c r="C4692" s="292" t="s">
        <v>6083</v>
      </c>
      <c r="D4692" s="292" t="s">
        <v>642</v>
      </c>
      <c r="E4692" s="153" t="s">
        <v>6084</v>
      </c>
      <c r="F4692" s="154" t="s">
        <v>6085</v>
      </c>
      <c r="G4692" s="154" t="s">
        <v>88</v>
      </c>
      <c r="H4692" s="110" t="s">
        <v>6086</v>
      </c>
      <c r="I4692" s="30" t="e">
        <f>VLOOKUP(H4692,'合同高级查询数据-4月返'!A:A,1,FALSE)</f>
        <v>#N/A</v>
      </c>
      <c r="J4692" s="31" t="s">
        <v>162</v>
      </c>
      <c r="K4692" s="154" t="s">
        <v>6093</v>
      </c>
      <c r="L4692" s="293" t="s">
        <v>6094</v>
      </c>
      <c r="M4692" s="113" t="s">
        <v>6095</v>
      </c>
      <c r="N4692" s="146">
        <v>44189</v>
      </c>
      <c r="O4692" s="146" t="s">
        <v>702</v>
      </c>
      <c r="P4692" s="400">
        <v>4000</v>
      </c>
      <c r="Q4692" s="295">
        <v>-1</v>
      </c>
      <c r="R4692" s="390">
        <f t="shared" si="149"/>
        <v>-4000</v>
      </c>
      <c r="S4692" s="277">
        <v>202304</v>
      </c>
      <c r="T4692" s="198" t="s">
        <v>6101</v>
      </c>
      <c r="U4692" s="391"/>
      <c r="V4692" s="61"/>
      <c r="W4692" s="393"/>
      <c r="X4692" s="146">
        <v>44743</v>
      </c>
      <c r="Y4692" s="146"/>
    </row>
    <row r="4693" s="3" customFormat="1" customHeight="1" spans="1:25">
      <c r="A4693" s="154" t="s">
        <v>448</v>
      </c>
      <c r="B4693" s="292" t="s">
        <v>5041</v>
      </c>
      <c r="C4693" s="292" t="s">
        <v>6083</v>
      </c>
      <c r="D4693" s="292" t="s">
        <v>642</v>
      </c>
      <c r="E4693" s="153" t="s">
        <v>6084</v>
      </c>
      <c r="F4693" s="154" t="s">
        <v>6085</v>
      </c>
      <c r="G4693" s="154" t="s">
        <v>88</v>
      </c>
      <c r="H4693" s="110" t="s">
        <v>6086</v>
      </c>
      <c r="I4693" s="30" t="e">
        <f>VLOOKUP(H4693,'合同高级查询数据-4月返'!A:A,1,FALSE)</f>
        <v>#N/A</v>
      </c>
      <c r="J4693" s="31" t="s">
        <v>162</v>
      </c>
      <c r="K4693" s="154" t="s">
        <v>6093</v>
      </c>
      <c r="L4693" s="293" t="s">
        <v>6094</v>
      </c>
      <c r="M4693" s="113" t="s">
        <v>6095</v>
      </c>
      <c r="N4693" s="146">
        <v>43990</v>
      </c>
      <c r="O4693" s="146" t="s">
        <v>702</v>
      </c>
      <c r="P4693" s="400">
        <v>4000</v>
      </c>
      <c r="Q4693" s="295">
        <v>1</v>
      </c>
      <c r="R4693" s="390">
        <f t="shared" si="149"/>
        <v>4000</v>
      </c>
      <c r="S4693" s="277">
        <v>202304</v>
      </c>
      <c r="T4693" s="198" t="s">
        <v>6102</v>
      </c>
      <c r="U4693" s="391"/>
      <c r="V4693" s="61"/>
      <c r="W4693" s="393"/>
      <c r="X4693" s="146">
        <v>44743</v>
      </c>
      <c r="Y4693" s="146"/>
    </row>
    <row r="4694" s="3" customFormat="1" customHeight="1" spans="1:25">
      <c r="A4694" s="154" t="s">
        <v>448</v>
      </c>
      <c r="B4694" s="292" t="s">
        <v>5041</v>
      </c>
      <c r="C4694" s="292" t="s">
        <v>6083</v>
      </c>
      <c r="D4694" s="292" t="s">
        <v>642</v>
      </c>
      <c r="E4694" s="153" t="s">
        <v>6084</v>
      </c>
      <c r="F4694" s="154" t="s">
        <v>6085</v>
      </c>
      <c r="G4694" s="154" t="s">
        <v>31</v>
      </c>
      <c r="H4694" s="110" t="s">
        <v>6086</v>
      </c>
      <c r="I4694" s="30" t="e">
        <f>VLOOKUP(H4694,'合同高级查询数据-4月返'!A:A,1,FALSE)</f>
        <v>#N/A</v>
      </c>
      <c r="J4694" s="31" t="s">
        <v>33</v>
      </c>
      <c r="K4694" s="154" t="s">
        <v>6103</v>
      </c>
      <c r="L4694" s="293" t="s">
        <v>6104</v>
      </c>
      <c r="M4694" s="113" t="s">
        <v>6088</v>
      </c>
      <c r="N4694" s="146" t="s">
        <v>4998</v>
      </c>
      <c r="O4694" s="146" t="s">
        <v>37</v>
      </c>
      <c r="P4694" s="400">
        <v>0</v>
      </c>
      <c r="Q4694" s="295">
        <v>288</v>
      </c>
      <c r="R4694" s="390">
        <f t="shared" si="149"/>
        <v>0</v>
      </c>
      <c r="S4694" s="277">
        <v>202304</v>
      </c>
      <c r="T4694" s="198" t="s">
        <v>6105</v>
      </c>
      <c r="U4694" s="391"/>
      <c r="V4694" s="61"/>
      <c r="W4694" s="393"/>
      <c r="X4694" s="146">
        <v>44743</v>
      </c>
      <c r="Y4694" s="146"/>
    </row>
    <row r="4695" s="3" customFormat="1" customHeight="1" spans="1:25">
      <c r="A4695" s="154" t="s">
        <v>448</v>
      </c>
      <c r="B4695" s="292" t="s">
        <v>5041</v>
      </c>
      <c r="C4695" s="292" t="s">
        <v>6083</v>
      </c>
      <c r="D4695" s="292" t="s">
        <v>642</v>
      </c>
      <c r="E4695" s="153" t="s">
        <v>6084</v>
      </c>
      <c r="F4695" s="154" t="s">
        <v>6085</v>
      </c>
      <c r="G4695" s="154" t="s">
        <v>31</v>
      </c>
      <c r="H4695" s="110" t="s">
        <v>6086</v>
      </c>
      <c r="I4695" s="30" t="e">
        <f>VLOOKUP(H4695,'合同高级查询数据-4月返'!A:A,1,FALSE)</f>
        <v>#N/A</v>
      </c>
      <c r="J4695" s="31" t="s">
        <v>33</v>
      </c>
      <c r="K4695" s="154" t="s">
        <v>6103</v>
      </c>
      <c r="L4695" s="293" t="s">
        <v>6104</v>
      </c>
      <c r="M4695" s="113" t="s">
        <v>6088</v>
      </c>
      <c r="N4695" s="146">
        <v>44804</v>
      </c>
      <c r="O4695" s="146" t="s">
        <v>37</v>
      </c>
      <c r="P4695" s="400">
        <v>0</v>
      </c>
      <c r="Q4695" s="295">
        <v>-128</v>
      </c>
      <c r="R4695" s="390">
        <f t="shared" si="149"/>
        <v>0</v>
      </c>
      <c r="S4695" s="277">
        <v>202304</v>
      </c>
      <c r="T4695" s="198" t="s">
        <v>6106</v>
      </c>
      <c r="U4695" s="391"/>
      <c r="V4695" s="61"/>
      <c r="W4695" s="393"/>
      <c r="X4695" s="146">
        <v>44743</v>
      </c>
      <c r="Y4695" s="146"/>
    </row>
    <row r="4696" s="3" customFormat="1" customHeight="1" spans="1:25">
      <c r="A4696" s="154" t="s">
        <v>448</v>
      </c>
      <c r="B4696" s="292" t="s">
        <v>5041</v>
      </c>
      <c r="C4696" s="292" t="s">
        <v>6083</v>
      </c>
      <c r="D4696" s="292" t="s">
        <v>642</v>
      </c>
      <c r="E4696" s="153" t="s">
        <v>6084</v>
      </c>
      <c r="F4696" s="154" t="s">
        <v>6085</v>
      </c>
      <c r="G4696" s="154" t="s">
        <v>31</v>
      </c>
      <c r="H4696" s="110" t="s">
        <v>6086</v>
      </c>
      <c r="I4696" s="30" t="e">
        <f>VLOOKUP(H4696,'合同高级查询数据-4月返'!A:A,1,FALSE)</f>
        <v>#N/A</v>
      </c>
      <c r="J4696" s="31" t="s">
        <v>33</v>
      </c>
      <c r="K4696" s="154" t="s">
        <v>6093</v>
      </c>
      <c r="L4696" s="293" t="s">
        <v>6094</v>
      </c>
      <c r="M4696" s="113" t="s">
        <v>6095</v>
      </c>
      <c r="N4696" s="146">
        <v>43630</v>
      </c>
      <c r="O4696" s="146" t="s">
        <v>37</v>
      </c>
      <c r="P4696" s="400">
        <v>0</v>
      </c>
      <c r="Q4696" s="295">
        <v>288</v>
      </c>
      <c r="R4696" s="390">
        <f t="shared" si="149"/>
        <v>0</v>
      </c>
      <c r="S4696" s="277">
        <v>202304</v>
      </c>
      <c r="T4696" s="198" t="s">
        <v>6107</v>
      </c>
      <c r="U4696" s="391"/>
      <c r="V4696" s="61"/>
      <c r="W4696" s="393"/>
      <c r="X4696" s="146">
        <v>44743</v>
      </c>
      <c r="Y4696" s="146"/>
    </row>
    <row r="4697" s="3" customFormat="1" customHeight="1" spans="1:25">
      <c r="A4697" s="154" t="s">
        <v>448</v>
      </c>
      <c r="B4697" s="292" t="s">
        <v>5041</v>
      </c>
      <c r="C4697" s="292" t="s">
        <v>6083</v>
      </c>
      <c r="D4697" s="292" t="s">
        <v>642</v>
      </c>
      <c r="E4697" s="153" t="s">
        <v>6084</v>
      </c>
      <c r="F4697" s="154" t="s">
        <v>6085</v>
      </c>
      <c r="G4697" s="154" t="s">
        <v>31</v>
      </c>
      <c r="H4697" s="110" t="s">
        <v>6086</v>
      </c>
      <c r="I4697" s="30" t="e">
        <f>VLOOKUP(H4697,'合同高级查询数据-4月返'!A:A,1,FALSE)</f>
        <v>#N/A</v>
      </c>
      <c r="J4697" s="31" t="s">
        <v>33</v>
      </c>
      <c r="K4697" s="154" t="s">
        <v>6093</v>
      </c>
      <c r="L4697" s="293" t="s">
        <v>6094</v>
      </c>
      <c r="M4697" s="113" t="s">
        <v>6095</v>
      </c>
      <c r="N4697" s="146">
        <v>43990</v>
      </c>
      <c r="O4697" s="146" t="s">
        <v>37</v>
      </c>
      <c r="P4697" s="400">
        <v>0</v>
      </c>
      <c r="Q4697" s="295">
        <v>128</v>
      </c>
      <c r="R4697" s="390">
        <f t="shared" si="149"/>
        <v>0</v>
      </c>
      <c r="S4697" s="277">
        <v>202304</v>
      </c>
      <c r="T4697" s="198" t="s">
        <v>6108</v>
      </c>
      <c r="U4697" s="391"/>
      <c r="V4697" s="61"/>
      <c r="W4697" s="393"/>
      <c r="X4697" s="146">
        <v>44743</v>
      </c>
      <c r="Y4697" s="146"/>
    </row>
    <row r="4698" s="3" customFormat="1" customHeight="1" spans="1:25">
      <c r="A4698" s="154" t="s">
        <v>448</v>
      </c>
      <c r="B4698" s="292" t="s">
        <v>5041</v>
      </c>
      <c r="C4698" s="292" t="s">
        <v>6083</v>
      </c>
      <c r="D4698" s="292" t="s">
        <v>642</v>
      </c>
      <c r="E4698" s="153" t="s">
        <v>6084</v>
      </c>
      <c r="F4698" s="154" t="s">
        <v>6085</v>
      </c>
      <c r="G4698" s="154" t="s">
        <v>88</v>
      </c>
      <c r="H4698" s="110" t="s">
        <v>6086</v>
      </c>
      <c r="I4698" s="30" t="e">
        <f>VLOOKUP(H4698,'合同高级查询数据-4月返'!A:A,1,FALSE)</f>
        <v>#N/A</v>
      </c>
      <c r="J4698" s="31" t="s">
        <v>162</v>
      </c>
      <c r="K4698" s="154" t="s">
        <v>6093</v>
      </c>
      <c r="L4698" s="293" t="s">
        <v>6094</v>
      </c>
      <c r="M4698" s="113" t="s">
        <v>6095</v>
      </c>
      <c r="N4698" s="146">
        <v>44190</v>
      </c>
      <c r="O4698" s="146" t="s">
        <v>702</v>
      </c>
      <c r="P4698" s="400">
        <v>4000</v>
      </c>
      <c r="Q4698" s="295">
        <v>1</v>
      </c>
      <c r="R4698" s="390">
        <f t="shared" si="149"/>
        <v>4000</v>
      </c>
      <c r="S4698" s="277">
        <v>202304</v>
      </c>
      <c r="T4698" s="198" t="s">
        <v>6109</v>
      </c>
      <c r="U4698" s="391"/>
      <c r="V4698" s="61"/>
      <c r="W4698" s="393"/>
      <c r="X4698" s="146">
        <v>44743</v>
      </c>
      <c r="Y4698" s="146"/>
    </row>
    <row r="4699" s="3" customFormat="1" customHeight="1" spans="1:25">
      <c r="A4699" s="154" t="s">
        <v>448</v>
      </c>
      <c r="B4699" s="292" t="s">
        <v>5041</v>
      </c>
      <c r="C4699" s="292" t="s">
        <v>6083</v>
      </c>
      <c r="D4699" s="292" t="s">
        <v>642</v>
      </c>
      <c r="E4699" s="153" t="s">
        <v>6084</v>
      </c>
      <c r="F4699" s="154" t="s">
        <v>6085</v>
      </c>
      <c r="G4699" s="154" t="s">
        <v>31</v>
      </c>
      <c r="H4699" s="110" t="s">
        <v>6086</v>
      </c>
      <c r="I4699" s="30" t="e">
        <f>VLOOKUP(H4699,'合同高级查询数据-4月返'!A:A,1,FALSE)</f>
        <v>#N/A</v>
      </c>
      <c r="J4699" s="31" t="s">
        <v>33</v>
      </c>
      <c r="K4699" s="154" t="s">
        <v>6093</v>
      </c>
      <c r="L4699" s="293" t="s">
        <v>6094</v>
      </c>
      <c r="M4699" s="113" t="s">
        <v>6095</v>
      </c>
      <c r="N4699" s="146">
        <v>44175</v>
      </c>
      <c r="O4699" s="146" t="s">
        <v>37</v>
      </c>
      <c r="P4699" s="400">
        <v>0</v>
      </c>
      <c r="Q4699" s="295">
        <v>128</v>
      </c>
      <c r="R4699" s="390">
        <f t="shared" si="149"/>
        <v>0</v>
      </c>
      <c r="S4699" s="277">
        <v>202304</v>
      </c>
      <c r="T4699" s="198" t="s">
        <v>6110</v>
      </c>
      <c r="U4699" s="391"/>
      <c r="V4699" s="61"/>
      <c r="W4699" s="393"/>
      <c r="X4699" s="146">
        <v>44743</v>
      </c>
      <c r="Y4699" s="146"/>
    </row>
    <row r="4700" s="3" customFormat="1" customHeight="1" spans="1:25">
      <c r="A4700" s="154" t="s">
        <v>448</v>
      </c>
      <c r="B4700" s="292" t="s">
        <v>5041</v>
      </c>
      <c r="C4700" s="292" t="s">
        <v>6083</v>
      </c>
      <c r="D4700" s="292" t="s">
        <v>642</v>
      </c>
      <c r="E4700" s="153" t="s">
        <v>6084</v>
      </c>
      <c r="F4700" s="154" t="s">
        <v>6085</v>
      </c>
      <c r="G4700" s="154" t="s">
        <v>88</v>
      </c>
      <c r="H4700" s="110" t="s">
        <v>6086</v>
      </c>
      <c r="I4700" s="30" t="e">
        <f>VLOOKUP(H4700,'合同高级查询数据-4月返'!A:A,1,FALSE)</f>
        <v>#N/A</v>
      </c>
      <c r="J4700" s="31" t="s">
        <v>162</v>
      </c>
      <c r="K4700" s="154" t="s">
        <v>6093</v>
      </c>
      <c r="L4700" s="293" t="s">
        <v>6094</v>
      </c>
      <c r="M4700" s="113" t="s">
        <v>6095</v>
      </c>
      <c r="N4700" s="146">
        <v>44311</v>
      </c>
      <c r="O4700" s="146" t="s">
        <v>702</v>
      </c>
      <c r="P4700" s="400">
        <v>4000</v>
      </c>
      <c r="Q4700" s="295">
        <v>1</v>
      </c>
      <c r="R4700" s="390">
        <f t="shared" si="149"/>
        <v>4000</v>
      </c>
      <c r="S4700" s="277">
        <v>202304</v>
      </c>
      <c r="T4700" s="198" t="s">
        <v>6111</v>
      </c>
      <c r="U4700" s="391"/>
      <c r="V4700" s="61"/>
      <c r="W4700" s="393"/>
      <c r="X4700" s="146">
        <v>44743</v>
      </c>
      <c r="Y4700" s="146"/>
    </row>
    <row r="4701" s="3" customFormat="1" customHeight="1" spans="1:25">
      <c r="A4701" s="154" t="s">
        <v>448</v>
      </c>
      <c r="B4701" s="292" t="s">
        <v>5041</v>
      </c>
      <c r="C4701" s="292" t="s">
        <v>6083</v>
      </c>
      <c r="D4701" s="292" t="s">
        <v>642</v>
      </c>
      <c r="E4701" s="153" t="s">
        <v>6084</v>
      </c>
      <c r="F4701" s="154" t="s">
        <v>6085</v>
      </c>
      <c r="G4701" s="154" t="s">
        <v>88</v>
      </c>
      <c r="H4701" s="110" t="s">
        <v>6086</v>
      </c>
      <c r="I4701" s="30" t="e">
        <f>VLOOKUP(H4701,'合同高级查询数据-4月返'!A:A,1,FALSE)</f>
        <v>#N/A</v>
      </c>
      <c r="J4701" s="31" t="s">
        <v>162</v>
      </c>
      <c r="K4701" s="154" t="s">
        <v>6093</v>
      </c>
      <c r="L4701" s="293" t="s">
        <v>6094</v>
      </c>
      <c r="M4701" s="113" t="s">
        <v>6095</v>
      </c>
      <c r="N4701" s="146">
        <v>44343</v>
      </c>
      <c r="O4701" s="146" t="s">
        <v>702</v>
      </c>
      <c r="P4701" s="400">
        <v>4000</v>
      </c>
      <c r="Q4701" s="295">
        <v>2</v>
      </c>
      <c r="R4701" s="390">
        <f>ROUND(Q4701*P4701,2)</f>
        <v>8000</v>
      </c>
      <c r="S4701" s="277">
        <v>202304</v>
      </c>
      <c r="T4701" s="198" t="s">
        <v>6112</v>
      </c>
      <c r="U4701" s="391"/>
      <c r="V4701" s="61"/>
      <c r="W4701" s="393"/>
      <c r="X4701" s="146">
        <v>44743</v>
      </c>
      <c r="Y4701" s="146"/>
    </row>
    <row r="4702" s="3" customFormat="1" customHeight="1" spans="1:25">
      <c r="A4702" s="154" t="s">
        <v>448</v>
      </c>
      <c r="B4702" s="292" t="s">
        <v>5041</v>
      </c>
      <c r="C4702" s="292" t="s">
        <v>6083</v>
      </c>
      <c r="D4702" s="292" t="s">
        <v>642</v>
      </c>
      <c r="E4702" s="153" t="s">
        <v>6084</v>
      </c>
      <c r="F4702" s="154" t="s">
        <v>6085</v>
      </c>
      <c r="G4702" s="154" t="s">
        <v>88</v>
      </c>
      <c r="H4702" s="110" t="s">
        <v>6086</v>
      </c>
      <c r="I4702" s="30" t="e">
        <f>VLOOKUP(H4702,'合同高级查询数据-4月返'!A:A,1,FALSE)</f>
        <v>#N/A</v>
      </c>
      <c r="J4702" s="31" t="s">
        <v>162</v>
      </c>
      <c r="K4702" s="154" t="s">
        <v>6093</v>
      </c>
      <c r="L4702" s="293" t="s">
        <v>6094</v>
      </c>
      <c r="M4702" s="113" t="s">
        <v>6095</v>
      </c>
      <c r="N4702" s="146">
        <v>44681</v>
      </c>
      <c r="O4702" s="146" t="s">
        <v>702</v>
      </c>
      <c r="P4702" s="400">
        <v>4000</v>
      </c>
      <c r="Q4702" s="295">
        <v>-3</v>
      </c>
      <c r="R4702" s="390">
        <f>ROUND(Q4702*P4702,2)</f>
        <v>-12000</v>
      </c>
      <c r="S4702" s="277">
        <v>202304</v>
      </c>
      <c r="T4702" s="198" t="s">
        <v>6113</v>
      </c>
      <c r="U4702" s="391"/>
      <c r="V4702" s="61"/>
      <c r="W4702" s="393"/>
      <c r="X4702" s="146">
        <v>44743</v>
      </c>
      <c r="Y4702" s="146"/>
    </row>
    <row r="4703" s="3" customFormat="1" customHeight="1" spans="1:25">
      <c r="A4703" s="154" t="s">
        <v>448</v>
      </c>
      <c r="B4703" s="292" t="s">
        <v>5041</v>
      </c>
      <c r="C4703" s="292" t="s">
        <v>6083</v>
      </c>
      <c r="D4703" s="292" t="s">
        <v>642</v>
      </c>
      <c r="E4703" s="153" t="s">
        <v>6084</v>
      </c>
      <c r="F4703" s="154" t="s">
        <v>6085</v>
      </c>
      <c r="G4703" s="154" t="s">
        <v>31</v>
      </c>
      <c r="H4703" s="110" t="s">
        <v>6086</v>
      </c>
      <c r="I4703" s="30" t="e">
        <f>VLOOKUP(H4703,'合同高级查询数据-4月返'!A:A,1,FALSE)</f>
        <v>#N/A</v>
      </c>
      <c r="J4703" s="31" t="s">
        <v>33</v>
      </c>
      <c r="K4703" s="154" t="s">
        <v>6093</v>
      </c>
      <c r="L4703" s="293" t="s">
        <v>6094</v>
      </c>
      <c r="M4703" s="113" t="s">
        <v>6095</v>
      </c>
      <c r="N4703" s="146">
        <v>44343</v>
      </c>
      <c r="O4703" s="146" t="s">
        <v>37</v>
      </c>
      <c r="P4703" s="400">
        <v>0</v>
      </c>
      <c r="Q4703" s="295">
        <v>128</v>
      </c>
      <c r="R4703" s="390">
        <f>ROUND(Q4703*P4703,2)</f>
        <v>0</v>
      </c>
      <c r="S4703" s="277">
        <v>202304</v>
      </c>
      <c r="T4703" s="198" t="s">
        <v>6114</v>
      </c>
      <c r="U4703" s="391"/>
      <c r="V4703" s="61"/>
      <c r="W4703" s="393"/>
      <c r="X4703" s="146">
        <v>44743</v>
      </c>
      <c r="Y4703" s="146"/>
    </row>
    <row r="4704" s="3" customFormat="1" customHeight="1" spans="1:25">
      <c r="A4704" s="154" t="s">
        <v>446</v>
      </c>
      <c r="B4704" s="292" t="s">
        <v>5041</v>
      </c>
      <c r="C4704" s="292" t="s">
        <v>27</v>
      </c>
      <c r="D4704" s="292" t="s">
        <v>951</v>
      </c>
      <c r="E4704" s="153" t="s">
        <v>6115</v>
      </c>
      <c r="F4704" s="154" t="s">
        <v>6116</v>
      </c>
      <c r="G4704" s="154" t="s">
        <v>88</v>
      </c>
      <c r="H4704" s="110" t="s">
        <v>6117</v>
      </c>
      <c r="I4704" s="30" t="e">
        <f>VLOOKUP(H4704,'合同高级查询数据-4月返'!A:A,1,FALSE)</f>
        <v>#N/A</v>
      </c>
      <c r="J4704" s="31" t="s">
        <v>162</v>
      </c>
      <c r="K4704" s="154" t="s">
        <v>34</v>
      </c>
      <c r="L4704" s="293"/>
      <c r="M4704" s="113" t="s">
        <v>6118</v>
      </c>
      <c r="N4704" s="146">
        <v>43739</v>
      </c>
      <c r="O4704" s="146" t="s">
        <v>1535</v>
      </c>
      <c r="P4704" s="400">
        <v>4000</v>
      </c>
      <c r="Q4704" s="295">
        <v>1</v>
      </c>
      <c r="R4704" s="390">
        <f t="shared" ref="R4704:R4707" si="150">ROUND(P4704*Q4704,2)</f>
        <v>4000</v>
      </c>
      <c r="S4704" s="277">
        <v>202304</v>
      </c>
      <c r="T4704" s="198" t="s">
        <v>6119</v>
      </c>
      <c r="U4704" s="391"/>
      <c r="V4704" s="61"/>
      <c r="W4704" s="393"/>
      <c r="X4704" s="146"/>
      <c r="Y4704" s="146"/>
    </row>
    <row r="4705" s="3" customFormat="1" customHeight="1" spans="1:25">
      <c r="A4705" s="154" t="s">
        <v>446</v>
      </c>
      <c r="B4705" s="292" t="s">
        <v>5041</v>
      </c>
      <c r="C4705" s="292" t="s">
        <v>27</v>
      </c>
      <c r="D4705" s="292" t="s">
        <v>951</v>
      </c>
      <c r="E4705" s="153" t="s">
        <v>6115</v>
      </c>
      <c r="F4705" s="154" t="s">
        <v>6116</v>
      </c>
      <c r="G4705" s="154" t="s">
        <v>88</v>
      </c>
      <c r="H4705" s="110" t="s">
        <v>6117</v>
      </c>
      <c r="I4705" s="30" t="e">
        <f>VLOOKUP(H4705,'合同高级查询数据-4月返'!A:A,1,FALSE)</f>
        <v>#N/A</v>
      </c>
      <c r="J4705" s="31" t="s">
        <v>162</v>
      </c>
      <c r="K4705" s="154" t="s">
        <v>6120</v>
      </c>
      <c r="L4705" s="293"/>
      <c r="M4705" s="113" t="s">
        <v>6118</v>
      </c>
      <c r="N4705" s="146"/>
      <c r="O4705" s="146" t="s">
        <v>1535</v>
      </c>
      <c r="P4705" s="400">
        <v>0</v>
      </c>
      <c r="Q4705" s="295">
        <v>4</v>
      </c>
      <c r="R4705" s="390">
        <f t="shared" si="150"/>
        <v>0</v>
      </c>
      <c r="S4705" s="277">
        <v>202304</v>
      </c>
      <c r="T4705" s="198" t="s">
        <v>6121</v>
      </c>
      <c r="U4705" s="391"/>
      <c r="V4705" s="61"/>
      <c r="W4705" s="393"/>
      <c r="X4705" s="146"/>
      <c r="Y4705" s="146"/>
    </row>
    <row r="4706" s="3" customFormat="1" customHeight="1" spans="1:25">
      <c r="A4706" s="154" t="s">
        <v>446</v>
      </c>
      <c r="B4706" s="292" t="s">
        <v>5041</v>
      </c>
      <c r="C4706" s="292" t="s">
        <v>27</v>
      </c>
      <c r="D4706" s="292" t="s">
        <v>951</v>
      </c>
      <c r="E4706" s="153" t="s">
        <v>6115</v>
      </c>
      <c r="F4706" s="154" t="s">
        <v>6116</v>
      </c>
      <c r="G4706" s="154" t="s">
        <v>31</v>
      </c>
      <c r="H4706" s="110" t="s">
        <v>6117</v>
      </c>
      <c r="I4706" s="30" t="e">
        <f>VLOOKUP(H4706,'合同高级查询数据-4月返'!A:A,1,FALSE)</f>
        <v>#N/A</v>
      </c>
      <c r="J4706" s="31" t="s">
        <v>33</v>
      </c>
      <c r="K4706" s="154" t="s">
        <v>34</v>
      </c>
      <c r="L4706" s="293" t="s">
        <v>6122</v>
      </c>
      <c r="M4706" s="113" t="s">
        <v>6118</v>
      </c>
      <c r="N4706" s="146"/>
      <c r="O4706" s="146" t="s">
        <v>37</v>
      </c>
      <c r="P4706" s="400">
        <v>0</v>
      </c>
      <c r="Q4706" s="295">
        <v>320</v>
      </c>
      <c r="R4706" s="390">
        <f t="shared" si="150"/>
        <v>0</v>
      </c>
      <c r="S4706" s="277">
        <v>202304</v>
      </c>
      <c r="T4706" s="198" t="s">
        <v>6123</v>
      </c>
      <c r="U4706" s="391"/>
      <c r="V4706" s="61"/>
      <c r="W4706" s="393"/>
      <c r="X4706" s="146"/>
      <c r="Y4706" s="146"/>
    </row>
    <row r="4707" s="3" customFormat="1" customHeight="1" spans="1:25">
      <c r="A4707" s="154" t="s">
        <v>446</v>
      </c>
      <c r="B4707" s="292" t="s">
        <v>5041</v>
      </c>
      <c r="C4707" s="292" t="s">
        <v>27</v>
      </c>
      <c r="D4707" s="292" t="s">
        <v>951</v>
      </c>
      <c r="E4707" s="153" t="s">
        <v>6115</v>
      </c>
      <c r="F4707" s="154" t="s">
        <v>6116</v>
      </c>
      <c r="G4707" s="154" t="s">
        <v>31</v>
      </c>
      <c r="H4707" s="110" t="s">
        <v>6117</v>
      </c>
      <c r="I4707" s="30" t="e">
        <f>VLOOKUP(H4707,'合同高级查询数据-4月返'!A:A,1,FALSE)</f>
        <v>#N/A</v>
      </c>
      <c r="J4707" s="31" t="s">
        <v>33</v>
      </c>
      <c r="K4707" s="154" t="s">
        <v>34</v>
      </c>
      <c r="L4707" s="293"/>
      <c r="M4707" s="113" t="s">
        <v>6023</v>
      </c>
      <c r="N4707" s="146"/>
      <c r="O4707" s="146" t="s">
        <v>179</v>
      </c>
      <c r="P4707" s="400">
        <v>0</v>
      </c>
      <c r="Q4707" s="295">
        <v>2</v>
      </c>
      <c r="R4707" s="390">
        <f t="shared" si="150"/>
        <v>0</v>
      </c>
      <c r="S4707" s="277">
        <v>202304</v>
      </c>
      <c r="T4707" s="198" t="s">
        <v>6124</v>
      </c>
      <c r="U4707" s="391"/>
      <c r="V4707" s="61"/>
      <c r="W4707" s="393"/>
      <c r="X4707" s="146"/>
      <c r="Y4707" s="146"/>
    </row>
    <row r="4708" s="3" customFormat="1" customHeight="1" spans="1:25">
      <c r="A4708" s="154" t="s">
        <v>446</v>
      </c>
      <c r="B4708" s="292" t="s">
        <v>5041</v>
      </c>
      <c r="C4708" s="292" t="s">
        <v>27</v>
      </c>
      <c r="D4708" s="292" t="s">
        <v>951</v>
      </c>
      <c r="E4708" s="153" t="s">
        <v>6115</v>
      </c>
      <c r="F4708" s="154" t="s">
        <v>6116</v>
      </c>
      <c r="G4708" s="154" t="s">
        <v>88</v>
      </c>
      <c r="H4708" s="110" t="s">
        <v>6117</v>
      </c>
      <c r="I4708" s="30" t="e">
        <f>VLOOKUP(H4708,'合同高级查询数据-4月返'!A:A,1,FALSE)</f>
        <v>#N/A</v>
      </c>
      <c r="J4708" s="31" t="s">
        <v>162</v>
      </c>
      <c r="K4708" s="154" t="s">
        <v>6125</v>
      </c>
      <c r="L4708" s="293" t="s">
        <v>6126</v>
      </c>
      <c r="M4708" s="113" t="s">
        <v>6118</v>
      </c>
      <c r="N4708" s="146">
        <v>44335</v>
      </c>
      <c r="O4708" s="146" t="s">
        <v>503</v>
      </c>
      <c r="P4708" s="400">
        <v>0</v>
      </c>
      <c r="Q4708" s="295">
        <v>1</v>
      </c>
      <c r="R4708" s="390">
        <f t="shared" ref="R4708:R4713" si="151">ROUND(Q4708*P4708,2)</f>
        <v>0</v>
      </c>
      <c r="S4708" s="277">
        <v>202304</v>
      </c>
      <c r="T4708" s="198" t="s">
        <v>6127</v>
      </c>
      <c r="U4708" s="391"/>
      <c r="V4708" s="61"/>
      <c r="W4708" s="393"/>
      <c r="X4708" s="146"/>
      <c r="Y4708" s="146"/>
    </row>
    <row r="4709" s="3" customFormat="1" customHeight="1" spans="1:25">
      <c r="A4709" s="154" t="s">
        <v>446</v>
      </c>
      <c r="B4709" s="292" t="s">
        <v>5041</v>
      </c>
      <c r="C4709" s="292" t="s">
        <v>27</v>
      </c>
      <c r="D4709" s="292" t="s">
        <v>951</v>
      </c>
      <c r="E4709" s="153" t="s">
        <v>6115</v>
      </c>
      <c r="F4709" s="154" t="s">
        <v>6116</v>
      </c>
      <c r="G4709" s="154" t="s">
        <v>88</v>
      </c>
      <c r="H4709" s="110" t="s">
        <v>6117</v>
      </c>
      <c r="I4709" s="30" t="e">
        <f>VLOOKUP(H4709,'合同高级查询数据-4月返'!A:A,1,FALSE)</f>
        <v>#N/A</v>
      </c>
      <c r="J4709" s="31" t="s">
        <v>162</v>
      </c>
      <c r="K4709" s="154" t="s">
        <v>6125</v>
      </c>
      <c r="L4709" s="293" t="s">
        <v>6126</v>
      </c>
      <c r="M4709" s="113" t="s">
        <v>6118</v>
      </c>
      <c r="N4709" s="146">
        <v>44335</v>
      </c>
      <c r="O4709" s="146" t="s">
        <v>503</v>
      </c>
      <c r="P4709" s="400">
        <v>4000</v>
      </c>
      <c r="Q4709" s="295">
        <v>1</v>
      </c>
      <c r="R4709" s="390">
        <f t="shared" si="151"/>
        <v>4000</v>
      </c>
      <c r="S4709" s="277">
        <v>202304</v>
      </c>
      <c r="T4709" s="198" t="s">
        <v>6127</v>
      </c>
      <c r="U4709" s="391"/>
      <c r="V4709" s="61"/>
      <c r="W4709" s="393"/>
      <c r="X4709" s="146"/>
      <c r="Y4709" s="146"/>
    </row>
    <row r="4710" s="3" customFormat="1" customHeight="1" spans="1:25">
      <c r="A4710" s="154" t="s">
        <v>446</v>
      </c>
      <c r="B4710" s="292" t="s">
        <v>5041</v>
      </c>
      <c r="C4710" s="292" t="s">
        <v>27</v>
      </c>
      <c r="D4710" s="292" t="s">
        <v>951</v>
      </c>
      <c r="E4710" s="153" t="s">
        <v>6115</v>
      </c>
      <c r="F4710" s="154" t="s">
        <v>6116</v>
      </c>
      <c r="G4710" s="154" t="s">
        <v>88</v>
      </c>
      <c r="H4710" s="110" t="s">
        <v>6128</v>
      </c>
      <c r="I4710" s="30" t="e">
        <f>VLOOKUP(H4710,'合同高级查询数据-4月返'!A:A,1,FALSE)</f>
        <v>#N/A</v>
      </c>
      <c r="J4710" s="31" t="s">
        <v>162</v>
      </c>
      <c r="K4710" s="154" t="s">
        <v>6125</v>
      </c>
      <c r="L4710" s="293" t="s">
        <v>6126</v>
      </c>
      <c r="M4710" s="113" t="s">
        <v>6118</v>
      </c>
      <c r="N4710" s="146">
        <v>44713</v>
      </c>
      <c r="O4710" s="146" t="s">
        <v>503</v>
      </c>
      <c r="P4710" s="400">
        <v>4000</v>
      </c>
      <c r="Q4710" s="295">
        <v>1</v>
      </c>
      <c r="R4710" s="390">
        <f t="shared" si="151"/>
        <v>4000</v>
      </c>
      <c r="S4710" s="277">
        <v>202304</v>
      </c>
      <c r="T4710" s="198" t="s">
        <v>6129</v>
      </c>
      <c r="U4710" s="391"/>
      <c r="V4710" s="61"/>
      <c r="W4710" s="393"/>
      <c r="X4710" s="146"/>
      <c r="Y4710" s="146"/>
    </row>
    <row r="4711" s="3" customFormat="1" customHeight="1" spans="1:25">
      <c r="A4711" s="154" t="s">
        <v>446</v>
      </c>
      <c r="B4711" s="292" t="s">
        <v>5041</v>
      </c>
      <c r="C4711" s="292" t="s">
        <v>27</v>
      </c>
      <c r="D4711" s="292" t="s">
        <v>951</v>
      </c>
      <c r="E4711" s="153" t="s">
        <v>6115</v>
      </c>
      <c r="F4711" s="154" t="s">
        <v>6116</v>
      </c>
      <c r="G4711" s="154" t="s">
        <v>31</v>
      </c>
      <c r="H4711" s="110" t="s">
        <v>6128</v>
      </c>
      <c r="I4711" s="30" t="e">
        <f>VLOOKUP(H4711,'合同高级查询数据-4月返'!A:A,1,FALSE)</f>
        <v>#N/A</v>
      </c>
      <c r="J4711" s="31" t="s">
        <v>33</v>
      </c>
      <c r="K4711" s="154" t="s">
        <v>6125</v>
      </c>
      <c r="L4711" s="293" t="s">
        <v>6126</v>
      </c>
      <c r="M4711" s="113" t="s">
        <v>6118</v>
      </c>
      <c r="N4711" s="146">
        <v>44335</v>
      </c>
      <c r="O4711" s="146" t="s">
        <v>37</v>
      </c>
      <c r="P4711" s="400">
        <v>0</v>
      </c>
      <c r="Q4711" s="295">
        <v>128</v>
      </c>
      <c r="R4711" s="390">
        <f t="shared" si="151"/>
        <v>0</v>
      </c>
      <c r="S4711" s="277">
        <v>202304</v>
      </c>
      <c r="T4711" s="198" t="s">
        <v>6130</v>
      </c>
      <c r="U4711" s="391"/>
      <c r="V4711" s="61"/>
      <c r="W4711" s="393"/>
      <c r="X4711" s="146"/>
      <c r="Y4711" s="146"/>
    </row>
    <row r="4712" s="3" customFormat="1" customHeight="1" spans="1:25">
      <c r="A4712" s="154" t="s">
        <v>446</v>
      </c>
      <c r="B4712" s="292" t="s">
        <v>5041</v>
      </c>
      <c r="C4712" s="292" t="s">
        <v>27</v>
      </c>
      <c r="D4712" s="292" t="s">
        <v>951</v>
      </c>
      <c r="E4712" s="153" t="s">
        <v>6115</v>
      </c>
      <c r="F4712" s="154" t="s">
        <v>6116</v>
      </c>
      <c r="G4712" s="154" t="s">
        <v>31</v>
      </c>
      <c r="H4712" s="110" t="s">
        <v>6117</v>
      </c>
      <c r="I4712" s="30" t="e">
        <f>VLOOKUP(H4712,'合同高级查询数据-4月返'!A:A,1,FALSE)</f>
        <v>#N/A</v>
      </c>
      <c r="J4712" s="31" t="s">
        <v>33</v>
      </c>
      <c r="K4712" s="154" t="s">
        <v>6125</v>
      </c>
      <c r="L4712" s="293" t="s">
        <v>6126</v>
      </c>
      <c r="M4712" s="113" t="s">
        <v>6118</v>
      </c>
      <c r="N4712" s="146">
        <v>44409</v>
      </c>
      <c r="O4712" s="146" t="s">
        <v>37</v>
      </c>
      <c r="P4712" s="400">
        <v>17.5</v>
      </c>
      <c r="Q4712" s="295">
        <v>128</v>
      </c>
      <c r="R4712" s="390">
        <f t="shared" si="151"/>
        <v>2240</v>
      </c>
      <c r="S4712" s="277">
        <v>202304</v>
      </c>
      <c r="T4712" s="198" t="s">
        <v>6131</v>
      </c>
      <c r="U4712" s="391"/>
      <c r="V4712" s="61"/>
      <c r="W4712" s="393"/>
      <c r="X4712" s="146"/>
      <c r="Y4712" s="146"/>
    </row>
    <row r="4713" s="3" customFormat="1" customHeight="1" spans="1:25">
      <c r="A4713" s="154" t="s">
        <v>446</v>
      </c>
      <c r="B4713" s="292" t="s">
        <v>5041</v>
      </c>
      <c r="C4713" s="292" t="s">
        <v>27</v>
      </c>
      <c r="D4713" s="292" t="s">
        <v>951</v>
      </c>
      <c r="E4713" s="153" t="s">
        <v>6115</v>
      </c>
      <c r="F4713" s="154" t="s">
        <v>6116</v>
      </c>
      <c r="G4713" s="154" t="s">
        <v>31</v>
      </c>
      <c r="H4713" s="110" t="s">
        <v>6117</v>
      </c>
      <c r="I4713" s="30" t="e">
        <f>VLOOKUP(H4713,'合同高级查询数据-4月返'!A:A,1,FALSE)</f>
        <v>#N/A</v>
      </c>
      <c r="J4713" s="31" t="s">
        <v>33</v>
      </c>
      <c r="K4713" s="154" t="s">
        <v>6125</v>
      </c>
      <c r="L4713" s="293" t="s">
        <v>6126</v>
      </c>
      <c r="M4713" s="113" t="s">
        <v>6118</v>
      </c>
      <c r="N4713" s="146">
        <v>44713</v>
      </c>
      <c r="O4713" s="146" t="s">
        <v>37</v>
      </c>
      <c r="P4713" s="400">
        <v>17.5</v>
      </c>
      <c r="Q4713" s="295">
        <v>128</v>
      </c>
      <c r="R4713" s="390">
        <f t="shared" si="151"/>
        <v>2240</v>
      </c>
      <c r="S4713" s="277">
        <v>202304</v>
      </c>
      <c r="T4713" s="198" t="s">
        <v>6132</v>
      </c>
      <c r="U4713" s="391"/>
      <c r="V4713" s="61"/>
      <c r="W4713" s="393"/>
      <c r="X4713" s="146"/>
      <c r="Y4713" s="146"/>
    </row>
    <row r="4714" s="3" customFormat="1" customHeight="1" spans="1:25">
      <c r="A4714" s="154" t="s">
        <v>446</v>
      </c>
      <c r="B4714" s="292" t="s">
        <v>5041</v>
      </c>
      <c r="C4714" s="292" t="s">
        <v>6083</v>
      </c>
      <c r="D4714" s="292" t="s">
        <v>642</v>
      </c>
      <c r="E4714" s="153" t="s">
        <v>6133</v>
      </c>
      <c r="F4714" s="154" t="s">
        <v>6134</v>
      </c>
      <c r="G4714" s="154" t="s">
        <v>88</v>
      </c>
      <c r="H4714" s="110" t="s">
        <v>6135</v>
      </c>
      <c r="I4714" s="30" t="e">
        <f>VLOOKUP(H4714,'合同高级查询数据-4月返'!A:A,1,FALSE)</f>
        <v>#N/A</v>
      </c>
      <c r="J4714" s="31" t="s">
        <v>162</v>
      </c>
      <c r="K4714" s="154" t="s">
        <v>6103</v>
      </c>
      <c r="L4714" s="293"/>
      <c r="M4714" s="113" t="s">
        <v>6136</v>
      </c>
      <c r="N4714" s="146">
        <v>41982</v>
      </c>
      <c r="O4714" s="146" t="s">
        <v>92</v>
      </c>
      <c r="P4714" s="400">
        <v>3500</v>
      </c>
      <c r="Q4714" s="295">
        <v>1</v>
      </c>
      <c r="R4714" s="390">
        <f t="shared" ref="R4714:R4736" si="152">ROUND(P4714*Q4714,2)</f>
        <v>3500</v>
      </c>
      <c r="S4714" s="277">
        <v>202304</v>
      </c>
      <c r="T4714" s="198" t="s">
        <v>6137</v>
      </c>
      <c r="U4714" s="391"/>
      <c r="V4714" s="61"/>
      <c r="W4714" s="393"/>
      <c r="X4714" s="146"/>
      <c r="Y4714" s="146"/>
    </row>
    <row r="4715" s="3" customFormat="1" customHeight="1" spans="1:25">
      <c r="A4715" s="154" t="s">
        <v>446</v>
      </c>
      <c r="B4715" s="292" t="s">
        <v>5041</v>
      </c>
      <c r="C4715" s="292" t="s">
        <v>6083</v>
      </c>
      <c r="D4715" s="292" t="s">
        <v>642</v>
      </c>
      <c r="E4715" s="153" t="s">
        <v>6133</v>
      </c>
      <c r="F4715" s="154" t="s">
        <v>6134</v>
      </c>
      <c r="G4715" s="154" t="s">
        <v>88</v>
      </c>
      <c r="H4715" s="110" t="s">
        <v>6135</v>
      </c>
      <c r="I4715" s="30" t="e">
        <f>VLOOKUP(H4715,'合同高级查询数据-4月返'!A:A,1,FALSE)</f>
        <v>#N/A</v>
      </c>
      <c r="J4715" s="31" t="s">
        <v>162</v>
      </c>
      <c r="K4715" s="154" t="s">
        <v>6103</v>
      </c>
      <c r="L4715" s="293"/>
      <c r="M4715" s="113" t="s">
        <v>6136</v>
      </c>
      <c r="N4715" s="146"/>
      <c r="O4715" s="146" t="s">
        <v>92</v>
      </c>
      <c r="P4715" s="400">
        <v>0</v>
      </c>
      <c r="Q4715" s="295">
        <v>8</v>
      </c>
      <c r="R4715" s="390">
        <f t="shared" si="152"/>
        <v>0</v>
      </c>
      <c r="S4715" s="277">
        <v>202304</v>
      </c>
      <c r="T4715" s="198" t="s">
        <v>6138</v>
      </c>
      <c r="U4715" s="391"/>
      <c r="V4715" s="61"/>
      <c r="W4715" s="393"/>
      <c r="X4715" s="146"/>
      <c r="Y4715" s="146"/>
    </row>
    <row r="4716" s="3" customFormat="1" customHeight="1" spans="1:25">
      <c r="A4716" s="154" t="s">
        <v>446</v>
      </c>
      <c r="B4716" s="292" t="s">
        <v>5041</v>
      </c>
      <c r="C4716" s="292" t="s">
        <v>6083</v>
      </c>
      <c r="D4716" s="292" t="s">
        <v>642</v>
      </c>
      <c r="E4716" s="153" t="s">
        <v>6133</v>
      </c>
      <c r="F4716" s="154" t="s">
        <v>6134</v>
      </c>
      <c r="G4716" s="154" t="s">
        <v>88</v>
      </c>
      <c r="H4716" s="110" t="s">
        <v>6135</v>
      </c>
      <c r="I4716" s="30" t="e">
        <f>VLOOKUP(H4716,'合同高级查询数据-4月返'!A:A,1,FALSE)</f>
        <v>#N/A</v>
      </c>
      <c r="J4716" s="31" t="s">
        <v>162</v>
      </c>
      <c r="K4716" s="154" t="s">
        <v>6139</v>
      </c>
      <c r="L4716" s="293"/>
      <c r="M4716" s="113" t="s">
        <v>6140</v>
      </c>
      <c r="N4716" s="146">
        <v>42993</v>
      </c>
      <c r="O4716" s="146" t="s">
        <v>92</v>
      </c>
      <c r="P4716" s="400">
        <v>0</v>
      </c>
      <c r="Q4716" s="295">
        <v>2</v>
      </c>
      <c r="R4716" s="390">
        <f t="shared" si="152"/>
        <v>0</v>
      </c>
      <c r="S4716" s="277">
        <v>202304</v>
      </c>
      <c r="T4716" s="198" t="s">
        <v>6141</v>
      </c>
      <c r="U4716" s="391"/>
      <c r="V4716" s="61"/>
      <c r="W4716" s="393"/>
      <c r="X4716" s="146"/>
      <c r="Y4716" s="146"/>
    </row>
    <row r="4717" s="3" customFormat="1" customHeight="1" spans="1:25">
      <c r="A4717" s="154" t="s">
        <v>446</v>
      </c>
      <c r="B4717" s="292" t="s">
        <v>5041</v>
      </c>
      <c r="C4717" s="292" t="s">
        <v>6083</v>
      </c>
      <c r="D4717" s="292" t="s">
        <v>642</v>
      </c>
      <c r="E4717" s="153" t="s">
        <v>6133</v>
      </c>
      <c r="F4717" s="154" t="s">
        <v>6134</v>
      </c>
      <c r="G4717" s="154" t="s">
        <v>88</v>
      </c>
      <c r="H4717" s="110" t="s">
        <v>6135</v>
      </c>
      <c r="I4717" s="30" t="e">
        <f>VLOOKUP(H4717,'合同高级查询数据-4月返'!A:A,1,FALSE)</f>
        <v>#N/A</v>
      </c>
      <c r="J4717" s="31" t="s">
        <v>162</v>
      </c>
      <c r="K4717" s="154" t="s">
        <v>6103</v>
      </c>
      <c r="L4717" s="293" t="s">
        <v>6142</v>
      </c>
      <c r="M4717" s="113" t="s">
        <v>6140</v>
      </c>
      <c r="N4717" s="146"/>
      <c r="O4717" s="146" t="s">
        <v>92</v>
      </c>
      <c r="P4717" s="400">
        <v>0</v>
      </c>
      <c r="Q4717" s="295">
        <v>3</v>
      </c>
      <c r="R4717" s="390">
        <f t="shared" si="152"/>
        <v>0</v>
      </c>
      <c r="S4717" s="277">
        <v>202304</v>
      </c>
      <c r="T4717" s="198" t="s">
        <v>6143</v>
      </c>
      <c r="U4717" s="391"/>
      <c r="V4717" s="61"/>
      <c r="W4717" s="393"/>
      <c r="X4717" s="146"/>
      <c r="Y4717" s="146"/>
    </row>
    <row r="4718" s="3" customFormat="1" customHeight="1" spans="1:25">
      <c r="A4718" s="154" t="s">
        <v>446</v>
      </c>
      <c r="B4718" s="292" t="s">
        <v>5041</v>
      </c>
      <c r="C4718" s="292" t="s">
        <v>6083</v>
      </c>
      <c r="D4718" s="292" t="s">
        <v>642</v>
      </c>
      <c r="E4718" s="153" t="s">
        <v>6133</v>
      </c>
      <c r="F4718" s="154" t="s">
        <v>6134</v>
      </c>
      <c r="G4718" s="154" t="s">
        <v>88</v>
      </c>
      <c r="H4718" s="110" t="s">
        <v>6135</v>
      </c>
      <c r="I4718" s="30" t="e">
        <f>VLOOKUP(H4718,'合同高级查询数据-4月返'!A:A,1,FALSE)</f>
        <v>#N/A</v>
      </c>
      <c r="J4718" s="31" t="s">
        <v>162</v>
      </c>
      <c r="K4718" s="154" t="s">
        <v>6103</v>
      </c>
      <c r="L4718" s="293"/>
      <c r="M4718" s="113" t="s">
        <v>6136</v>
      </c>
      <c r="N4718" s="146">
        <v>43770</v>
      </c>
      <c r="O4718" s="146" t="s">
        <v>92</v>
      </c>
      <c r="P4718" s="400">
        <v>0</v>
      </c>
      <c r="Q4718" s="295">
        <v>-4</v>
      </c>
      <c r="R4718" s="390">
        <f t="shared" si="152"/>
        <v>0</v>
      </c>
      <c r="S4718" s="277">
        <v>202304</v>
      </c>
      <c r="T4718" s="198" t="s">
        <v>6144</v>
      </c>
      <c r="U4718" s="391"/>
      <c r="V4718" s="61"/>
      <c r="W4718" s="393"/>
      <c r="X4718" s="146"/>
      <c r="Y4718" s="146"/>
    </row>
    <row r="4719" s="3" customFormat="1" customHeight="1" spans="1:25">
      <c r="A4719" s="154" t="s">
        <v>446</v>
      </c>
      <c r="B4719" s="292" t="s">
        <v>5041</v>
      </c>
      <c r="C4719" s="292" t="s">
        <v>6083</v>
      </c>
      <c r="D4719" s="292" t="s">
        <v>642</v>
      </c>
      <c r="E4719" s="153" t="s">
        <v>6133</v>
      </c>
      <c r="F4719" s="154" t="s">
        <v>6134</v>
      </c>
      <c r="G4719" s="154" t="s">
        <v>88</v>
      </c>
      <c r="H4719" s="110" t="s">
        <v>6135</v>
      </c>
      <c r="I4719" s="30" t="e">
        <f>VLOOKUP(H4719,'合同高级查询数据-4月返'!A:A,1,FALSE)</f>
        <v>#N/A</v>
      </c>
      <c r="J4719" s="31" t="s">
        <v>162</v>
      </c>
      <c r="K4719" s="154" t="s">
        <v>6103</v>
      </c>
      <c r="L4719" s="293" t="s">
        <v>6142</v>
      </c>
      <c r="M4719" s="113" t="s">
        <v>6136</v>
      </c>
      <c r="N4719" s="146">
        <v>43770</v>
      </c>
      <c r="O4719" s="146" t="s">
        <v>92</v>
      </c>
      <c r="P4719" s="400">
        <v>0</v>
      </c>
      <c r="Q4719" s="295">
        <v>-2</v>
      </c>
      <c r="R4719" s="390">
        <f t="shared" si="152"/>
        <v>0</v>
      </c>
      <c r="S4719" s="277">
        <v>202304</v>
      </c>
      <c r="T4719" s="198" t="s">
        <v>6145</v>
      </c>
      <c r="U4719" s="391"/>
      <c r="V4719" s="61"/>
      <c r="W4719" s="393"/>
      <c r="X4719" s="146"/>
      <c r="Y4719" s="146"/>
    </row>
    <row r="4720" s="3" customFormat="1" customHeight="1" spans="1:25">
      <c r="A4720" s="154" t="s">
        <v>446</v>
      </c>
      <c r="B4720" s="292" t="s">
        <v>5041</v>
      </c>
      <c r="C4720" s="292" t="s">
        <v>6083</v>
      </c>
      <c r="D4720" s="292" t="s">
        <v>642</v>
      </c>
      <c r="E4720" s="153" t="s">
        <v>6133</v>
      </c>
      <c r="F4720" s="154" t="s">
        <v>6134</v>
      </c>
      <c r="G4720" s="154" t="s">
        <v>88</v>
      </c>
      <c r="H4720" s="110" t="s">
        <v>6135</v>
      </c>
      <c r="I4720" s="30" t="e">
        <f>VLOOKUP(H4720,'合同高级查询数据-4月返'!A:A,1,FALSE)</f>
        <v>#N/A</v>
      </c>
      <c r="J4720" s="31" t="s">
        <v>162</v>
      </c>
      <c r="K4720" s="154" t="s">
        <v>6103</v>
      </c>
      <c r="L4720" s="293" t="s">
        <v>6142</v>
      </c>
      <c r="M4720" s="113" t="s">
        <v>6136</v>
      </c>
      <c r="N4720" s="146">
        <v>43861</v>
      </c>
      <c r="O4720" s="146" t="s">
        <v>92</v>
      </c>
      <c r="P4720" s="400">
        <v>0</v>
      </c>
      <c r="Q4720" s="295">
        <v>-5</v>
      </c>
      <c r="R4720" s="390">
        <f t="shared" si="152"/>
        <v>0</v>
      </c>
      <c r="S4720" s="277">
        <v>202304</v>
      </c>
      <c r="T4720" s="198" t="s">
        <v>6146</v>
      </c>
      <c r="U4720" s="391"/>
      <c r="V4720" s="61"/>
      <c r="W4720" s="393"/>
      <c r="X4720" s="146"/>
      <c r="Y4720" s="146"/>
    </row>
    <row r="4721" s="3" customFormat="1" customHeight="1" spans="1:25">
      <c r="A4721" s="154" t="s">
        <v>446</v>
      </c>
      <c r="B4721" s="292" t="s">
        <v>5041</v>
      </c>
      <c r="C4721" s="292" t="s">
        <v>6083</v>
      </c>
      <c r="D4721" s="292" t="s">
        <v>642</v>
      </c>
      <c r="E4721" s="153" t="s">
        <v>6133</v>
      </c>
      <c r="F4721" s="154" t="s">
        <v>6134</v>
      </c>
      <c r="G4721" s="154" t="s">
        <v>88</v>
      </c>
      <c r="H4721" s="110" t="s">
        <v>6135</v>
      </c>
      <c r="I4721" s="30" t="e">
        <f>VLOOKUP(H4721,'合同高级查询数据-4月返'!A:A,1,FALSE)</f>
        <v>#N/A</v>
      </c>
      <c r="J4721" s="31" t="s">
        <v>162</v>
      </c>
      <c r="K4721" s="154" t="s">
        <v>6103</v>
      </c>
      <c r="L4721" s="293" t="s">
        <v>6142</v>
      </c>
      <c r="M4721" s="113" t="s">
        <v>6147</v>
      </c>
      <c r="N4721" s="146">
        <v>43930</v>
      </c>
      <c r="O4721" s="146" t="s">
        <v>92</v>
      </c>
      <c r="P4721" s="400">
        <v>0</v>
      </c>
      <c r="Q4721" s="295">
        <v>-2</v>
      </c>
      <c r="R4721" s="390">
        <f t="shared" si="152"/>
        <v>0</v>
      </c>
      <c r="S4721" s="277">
        <v>202304</v>
      </c>
      <c r="T4721" s="198" t="s">
        <v>6148</v>
      </c>
      <c r="U4721" s="391"/>
      <c r="V4721" s="61"/>
      <c r="W4721" s="393"/>
      <c r="X4721" s="146"/>
      <c r="Y4721" s="146"/>
    </row>
    <row r="4722" s="3" customFormat="1" customHeight="1" spans="1:25">
      <c r="A4722" s="154" t="s">
        <v>446</v>
      </c>
      <c r="B4722" s="292" t="s">
        <v>5041</v>
      </c>
      <c r="C4722" s="292" t="s">
        <v>6083</v>
      </c>
      <c r="D4722" s="292" t="s">
        <v>642</v>
      </c>
      <c r="E4722" s="153" t="s">
        <v>6133</v>
      </c>
      <c r="F4722" s="154" t="s">
        <v>6134</v>
      </c>
      <c r="G4722" s="154" t="s">
        <v>88</v>
      </c>
      <c r="H4722" s="110" t="s">
        <v>6135</v>
      </c>
      <c r="I4722" s="30" t="e">
        <f>VLOOKUP(H4722,'合同高级查询数据-4月返'!A:A,1,FALSE)</f>
        <v>#N/A</v>
      </c>
      <c r="J4722" s="31" t="s">
        <v>162</v>
      </c>
      <c r="K4722" s="154" t="s">
        <v>6103</v>
      </c>
      <c r="L4722" s="293" t="s">
        <v>6142</v>
      </c>
      <c r="M4722" s="113" t="s">
        <v>6147</v>
      </c>
      <c r="N4722" s="146">
        <v>43931</v>
      </c>
      <c r="O4722" s="146" t="s">
        <v>92</v>
      </c>
      <c r="P4722" s="400">
        <v>0</v>
      </c>
      <c r="Q4722" s="295">
        <v>2</v>
      </c>
      <c r="R4722" s="390">
        <f t="shared" si="152"/>
        <v>0</v>
      </c>
      <c r="S4722" s="277">
        <v>202304</v>
      </c>
      <c r="T4722" s="198" t="s">
        <v>6148</v>
      </c>
      <c r="U4722" s="391"/>
      <c r="V4722" s="61"/>
      <c r="W4722" s="393"/>
      <c r="X4722" s="146"/>
      <c r="Y4722" s="146"/>
    </row>
    <row r="4723" s="3" customFormat="1" customHeight="1" spans="1:25">
      <c r="A4723" s="154" t="s">
        <v>446</v>
      </c>
      <c r="B4723" s="292" t="s">
        <v>5041</v>
      </c>
      <c r="C4723" s="292" t="s">
        <v>6083</v>
      </c>
      <c r="D4723" s="292" t="s">
        <v>642</v>
      </c>
      <c r="E4723" s="153" t="s">
        <v>6133</v>
      </c>
      <c r="F4723" s="154" t="s">
        <v>6134</v>
      </c>
      <c r="G4723" s="154" t="s">
        <v>31</v>
      </c>
      <c r="H4723" s="110" t="s">
        <v>6135</v>
      </c>
      <c r="I4723" s="30" t="e">
        <f>VLOOKUP(H4723,'合同高级查询数据-4月返'!A:A,1,FALSE)</f>
        <v>#N/A</v>
      </c>
      <c r="J4723" s="31" t="s">
        <v>33</v>
      </c>
      <c r="K4723" s="154" t="s">
        <v>6103</v>
      </c>
      <c r="L4723" s="293"/>
      <c r="M4723" s="113" t="s">
        <v>6023</v>
      </c>
      <c r="N4723" s="146">
        <v>41982</v>
      </c>
      <c r="O4723" s="146" t="s">
        <v>37</v>
      </c>
      <c r="P4723" s="400">
        <v>0</v>
      </c>
      <c r="Q4723" s="295">
        <v>768</v>
      </c>
      <c r="R4723" s="390">
        <f t="shared" si="152"/>
        <v>0</v>
      </c>
      <c r="S4723" s="277">
        <v>202304</v>
      </c>
      <c r="T4723" s="198" t="s">
        <v>6149</v>
      </c>
      <c r="U4723" s="391"/>
      <c r="V4723" s="61"/>
      <c r="W4723" s="393"/>
      <c r="X4723" s="146"/>
      <c r="Y4723" s="146"/>
    </row>
    <row r="4724" s="3" customFormat="1" customHeight="1" spans="1:25">
      <c r="A4724" s="154" t="s">
        <v>446</v>
      </c>
      <c r="B4724" s="292" t="s">
        <v>5041</v>
      </c>
      <c r="C4724" s="292" t="s">
        <v>6083</v>
      </c>
      <c r="D4724" s="292" t="s">
        <v>642</v>
      </c>
      <c r="E4724" s="153" t="s">
        <v>6133</v>
      </c>
      <c r="F4724" s="154" t="s">
        <v>6134</v>
      </c>
      <c r="G4724" s="154" t="s">
        <v>31</v>
      </c>
      <c r="H4724" s="110" t="s">
        <v>6135</v>
      </c>
      <c r="I4724" s="30" t="e">
        <f>VLOOKUP(H4724,'合同高级查询数据-4月返'!A:A,1,FALSE)</f>
        <v>#N/A</v>
      </c>
      <c r="J4724" s="31" t="s">
        <v>33</v>
      </c>
      <c r="K4724" s="154" t="s">
        <v>6103</v>
      </c>
      <c r="L4724" s="293"/>
      <c r="M4724" s="113" t="s">
        <v>6023</v>
      </c>
      <c r="N4724" s="146">
        <v>43769</v>
      </c>
      <c r="O4724" s="146" t="s">
        <v>37</v>
      </c>
      <c r="P4724" s="400">
        <v>0</v>
      </c>
      <c r="Q4724" s="295">
        <v>-768</v>
      </c>
      <c r="R4724" s="390">
        <f t="shared" si="152"/>
        <v>0</v>
      </c>
      <c r="S4724" s="277">
        <v>202304</v>
      </c>
      <c r="T4724" s="198" t="s">
        <v>6149</v>
      </c>
      <c r="U4724" s="391"/>
      <c r="V4724" s="61"/>
      <c r="W4724" s="393"/>
      <c r="X4724" s="146"/>
      <c r="Y4724" s="146"/>
    </row>
    <row r="4725" s="3" customFormat="1" customHeight="1" spans="1:25">
      <c r="A4725" s="154" t="s">
        <v>446</v>
      </c>
      <c r="B4725" s="292" t="s">
        <v>5041</v>
      </c>
      <c r="C4725" s="292" t="s">
        <v>6083</v>
      </c>
      <c r="D4725" s="292" t="s">
        <v>642</v>
      </c>
      <c r="E4725" s="153" t="s">
        <v>6133</v>
      </c>
      <c r="F4725" s="154" t="s">
        <v>6134</v>
      </c>
      <c r="G4725" s="154" t="s">
        <v>31</v>
      </c>
      <c r="H4725" s="110" t="s">
        <v>6135</v>
      </c>
      <c r="I4725" s="30" t="e">
        <f>VLOOKUP(H4725,'合同高级查询数据-4月返'!A:A,1,FALSE)</f>
        <v>#N/A</v>
      </c>
      <c r="J4725" s="31" t="s">
        <v>33</v>
      </c>
      <c r="K4725" s="154" t="s">
        <v>6103</v>
      </c>
      <c r="L4725" s="293" t="s">
        <v>6142</v>
      </c>
      <c r="M4725" s="113" t="s">
        <v>6140</v>
      </c>
      <c r="N4725" s="146"/>
      <c r="O4725" s="146" t="s">
        <v>37</v>
      </c>
      <c r="P4725" s="400">
        <v>0</v>
      </c>
      <c r="Q4725" s="295">
        <v>256</v>
      </c>
      <c r="R4725" s="390">
        <f t="shared" si="152"/>
        <v>0</v>
      </c>
      <c r="S4725" s="277">
        <v>202304</v>
      </c>
      <c r="T4725" s="198" t="s">
        <v>6150</v>
      </c>
      <c r="U4725" s="391"/>
      <c r="V4725" s="61"/>
      <c r="W4725" s="393"/>
      <c r="X4725" s="146"/>
      <c r="Y4725" s="146"/>
    </row>
    <row r="4726" s="3" customFormat="1" customHeight="1" spans="1:25">
      <c r="A4726" s="154" t="s">
        <v>446</v>
      </c>
      <c r="B4726" s="292" t="s">
        <v>5041</v>
      </c>
      <c r="C4726" s="292" t="s">
        <v>6083</v>
      </c>
      <c r="D4726" s="292" t="s">
        <v>642</v>
      </c>
      <c r="E4726" s="153" t="s">
        <v>6133</v>
      </c>
      <c r="F4726" s="154" t="s">
        <v>6134</v>
      </c>
      <c r="G4726" s="154" t="s">
        <v>31</v>
      </c>
      <c r="H4726" s="110" t="s">
        <v>6135</v>
      </c>
      <c r="I4726" s="30" t="e">
        <f>VLOOKUP(H4726,'合同高级查询数据-4月返'!A:A,1,FALSE)</f>
        <v>#N/A</v>
      </c>
      <c r="J4726" s="31" t="s">
        <v>33</v>
      </c>
      <c r="K4726" s="154" t="s">
        <v>6103</v>
      </c>
      <c r="L4726" s="293"/>
      <c r="M4726" s="113" t="s">
        <v>6140</v>
      </c>
      <c r="N4726" s="146"/>
      <c r="O4726" s="146" t="s">
        <v>37</v>
      </c>
      <c r="P4726" s="400">
        <v>35</v>
      </c>
      <c r="Q4726" s="295">
        <v>32</v>
      </c>
      <c r="R4726" s="390">
        <f t="shared" si="152"/>
        <v>1120</v>
      </c>
      <c r="S4726" s="277">
        <v>202304</v>
      </c>
      <c r="T4726" s="198" t="s">
        <v>6150</v>
      </c>
      <c r="U4726" s="391"/>
      <c r="V4726" s="61"/>
      <c r="W4726" s="393"/>
      <c r="X4726" s="146"/>
      <c r="Y4726" s="146"/>
    </row>
    <row r="4727" s="3" customFormat="1" customHeight="1" spans="1:25">
      <c r="A4727" s="154" t="s">
        <v>446</v>
      </c>
      <c r="B4727" s="292" t="s">
        <v>5041</v>
      </c>
      <c r="C4727" s="292" t="s">
        <v>6083</v>
      </c>
      <c r="D4727" s="292" t="s">
        <v>642</v>
      </c>
      <c r="E4727" s="153" t="s">
        <v>6133</v>
      </c>
      <c r="F4727" s="154" t="s">
        <v>6134</v>
      </c>
      <c r="G4727" s="154" t="s">
        <v>31</v>
      </c>
      <c r="H4727" s="110" t="s">
        <v>6135</v>
      </c>
      <c r="I4727" s="30" t="e">
        <f>VLOOKUP(H4727,'合同高级查询数据-4月返'!A:A,1,FALSE)</f>
        <v>#N/A</v>
      </c>
      <c r="J4727" s="31" t="s">
        <v>33</v>
      </c>
      <c r="K4727" s="154" t="s">
        <v>6103</v>
      </c>
      <c r="L4727" s="293" t="s">
        <v>6142</v>
      </c>
      <c r="M4727" s="113" t="s">
        <v>6140</v>
      </c>
      <c r="N4727" s="146">
        <v>43941</v>
      </c>
      <c r="O4727" s="146" t="s">
        <v>37</v>
      </c>
      <c r="P4727" s="400">
        <v>0</v>
      </c>
      <c r="Q4727" s="295">
        <v>-128</v>
      </c>
      <c r="R4727" s="390">
        <f t="shared" si="152"/>
        <v>0</v>
      </c>
      <c r="S4727" s="277">
        <v>202304</v>
      </c>
      <c r="T4727" s="198" t="s">
        <v>6151</v>
      </c>
      <c r="U4727" s="391"/>
      <c r="V4727" s="61"/>
      <c r="W4727" s="393"/>
      <c r="X4727" s="146"/>
      <c r="Y4727" s="146"/>
    </row>
    <row r="4728" s="3" customFormat="1" customHeight="1" spans="1:25">
      <c r="A4728" s="154" t="s">
        <v>446</v>
      </c>
      <c r="B4728" s="292" t="s">
        <v>5041</v>
      </c>
      <c r="C4728" s="292" t="s">
        <v>6083</v>
      </c>
      <c r="D4728" s="292" t="s">
        <v>642</v>
      </c>
      <c r="E4728" s="153" t="s">
        <v>6133</v>
      </c>
      <c r="F4728" s="154" t="s">
        <v>6134</v>
      </c>
      <c r="G4728" s="154" t="s">
        <v>31</v>
      </c>
      <c r="H4728" s="110" t="s">
        <v>6135</v>
      </c>
      <c r="I4728" s="30" t="e">
        <f>VLOOKUP(H4728,'合同高级查询数据-4月返'!A:A,1,FALSE)</f>
        <v>#N/A</v>
      </c>
      <c r="J4728" s="31" t="s">
        <v>33</v>
      </c>
      <c r="K4728" s="154" t="s">
        <v>6103</v>
      </c>
      <c r="L4728" s="293" t="s">
        <v>6142</v>
      </c>
      <c r="M4728" s="113" t="s">
        <v>6140</v>
      </c>
      <c r="N4728" s="146">
        <v>43942</v>
      </c>
      <c r="O4728" s="146" t="s">
        <v>37</v>
      </c>
      <c r="P4728" s="400">
        <v>0</v>
      </c>
      <c r="Q4728" s="295">
        <v>128</v>
      </c>
      <c r="R4728" s="390">
        <f t="shared" si="152"/>
        <v>0</v>
      </c>
      <c r="S4728" s="277">
        <v>202304</v>
      </c>
      <c r="T4728" s="198" t="s">
        <v>6151</v>
      </c>
      <c r="U4728" s="391"/>
      <c r="V4728" s="61"/>
      <c r="W4728" s="393"/>
      <c r="X4728" s="146"/>
      <c r="Y4728" s="146"/>
    </row>
    <row r="4729" s="3" customFormat="1" customHeight="1" spans="1:25">
      <c r="A4729" s="154" t="s">
        <v>446</v>
      </c>
      <c r="B4729" s="292" t="s">
        <v>5041</v>
      </c>
      <c r="C4729" s="292" t="s">
        <v>6083</v>
      </c>
      <c r="D4729" s="292" t="s">
        <v>642</v>
      </c>
      <c r="E4729" s="153" t="s">
        <v>6133</v>
      </c>
      <c r="F4729" s="154" t="s">
        <v>6134</v>
      </c>
      <c r="G4729" s="154" t="s">
        <v>31</v>
      </c>
      <c r="H4729" s="110" t="s">
        <v>6135</v>
      </c>
      <c r="I4729" s="30" t="e">
        <f>VLOOKUP(H4729,'合同高级查询数据-4月返'!A:A,1,FALSE)</f>
        <v>#N/A</v>
      </c>
      <c r="J4729" s="31" t="s">
        <v>33</v>
      </c>
      <c r="K4729" s="154" t="s">
        <v>6103</v>
      </c>
      <c r="L4729" s="293"/>
      <c r="M4729" s="113" t="s">
        <v>6023</v>
      </c>
      <c r="N4729" s="146"/>
      <c r="O4729" s="146" t="s">
        <v>179</v>
      </c>
      <c r="P4729" s="400">
        <v>0</v>
      </c>
      <c r="Q4729" s="295">
        <v>1</v>
      </c>
      <c r="R4729" s="390">
        <f t="shared" si="152"/>
        <v>0</v>
      </c>
      <c r="S4729" s="277">
        <v>202304</v>
      </c>
      <c r="T4729" s="198" t="s">
        <v>6152</v>
      </c>
      <c r="U4729" s="391"/>
      <c r="V4729" s="61"/>
      <c r="W4729" s="393"/>
      <c r="X4729" s="146"/>
      <c r="Y4729" s="146"/>
    </row>
    <row r="4730" s="3" customFormat="1" customHeight="1" spans="1:25">
      <c r="A4730" s="154" t="s">
        <v>446</v>
      </c>
      <c r="B4730" s="292" t="s">
        <v>5041</v>
      </c>
      <c r="C4730" s="292" t="s">
        <v>6083</v>
      </c>
      <c r="D4730" s="292" t="s">
        <v>642</v>
      </c>
      <c r="E4730" s="153" t="s">
        <v>6133</v>
      </c>
      <c r="F4730" s="154" t="s">
        <v>6134</v>
      </c>
      <c r="G4730" s="154" t="s">
        <v>88</v>
      </c>
      <c r="H4730" s="110" t="s">
        <v>6135</v>
      </c>
      <c r="I4730" s="30" t="e">
        <f>VLOOKUP(H4730,'合同高级查询数据-4月返'!A:A,1,FALSE)</f>
        <v>#N/A</v>
      </c>
      <c r="J4730" s="31" t="s">
        <v>162</v>
      </c>
      <c r="K4730" s="154" t="s">
        <v>6103</v>
      </c>
      <c r="L4730" s="293" t="s">
        <v>6142</v>
      </c>
      <c r="M4730" s="113" t="s">
        <v>6140</v>
      </c>
      <c r="N4730" s="146">
        <v>44296</v>
      </c>
      <c r="O4730" s="146" t="s">
        <v>92</v>
      </c>
      <c r="P4730" s="400">
        <v>3500</v>
      </c>
      <c r="Q4730" s="295">
        <v>1</v>
      </c>
      <c r="R4730" s="390">
        <f t="shared" si="152"/>
        <v>3500</v>
      </c>
      <c r="S4730" s="277">
        <v>202304</v>
      </c>
      <c r="T4730" s="198" t="s">
        <v>6153</v>
      </c>
      <c r="U4730" s="391"/>
      <c r="V4730" s="61"/>
      <c r="W4730" s="393"/>
      <c r="X4730" s="146"/>
      <c r="Y4730" s="146"/>
    </row>
    <row r="4731" s="3" customFormat="1" customHeight="1" spans="1:25">
      <c r="A4731" s="154" t="s">
        <v>446</v>
      </c>
      <c r="B4731" s="292" t="s">
        <v>5041</v>
      </c>
      <c r="C4731" s="292" t="s">
        <v>6083</v>
      </c>
      <c r="D4731" s="292" t="s">
        <v>642</v>
      </c>
      <c r="E4731" s="153" t="s">
        <v>6133</v>
      </c>
      <c r="F4731" s="154" t="s">
        <v>6134</v>
      </c>
      <c r="G4731" s="154" t="s">
        <v>31</v>
      </c>
      <c r="H4731" s="110" t="s">
        <v>6135</v>
      </c>
      <c r="I4731" s="30" t="e">
        <f>VLOOKUP(H4731,'合同高级查询数据-4月返'!A:A,1,FALSE)</f>
        <v>#N/A</v>
      </c>
      <c r="J4731" s="31" t="s">
        <v>33</v>
      </c>
      <c r="K4731" s="154" t="s">
        <v>6103</v>
      </c>
      <c r="L4731" s="293" t="s">
        <v>6142</v>
      </c>
      <c r="M4731" s="113" t="s">
        <v>6140</v>
      </c>
      <c r="N4731" s="146">
        <v>44296</v>
      </c>
      <c r="O4731" s="146" t="s">
        <v>37</v>
      </c>
      <c r="P4731" s="400">
        <v>35</v>
      </c>
      <c r="Q4731" s="295">
        <v>128</v>
      </c>
      <c r="R4731" s="390">
        <f t="shared" si="152"/>
        <v>4480</v>
      </c>
      <c r="S4731" s="277">
        <v>202304</v>
      </c>
      <c r="T4731" s="198" t="s">
        <v>6154</v>
      </c>
      <c r="U4731" s="391"/>
      <c r="V4731" s="61"/>
      <c r="W4731" s="393"/>
      <c r="X4731" s="146"/>
      <c r="Y4731" s="146"/>
    </row>
    <row r="4732" s="5" customFormat="1" customHeight="1" spans="1:25">
      <c r="A4732" s="203" t="s">
        <v>446</v>
      </c>
      <c r="B4732" s="204" t="s">
        <v>5041</v>
      </c>
      <c r="C4732" s="204" t="s">
        <v>6068</v>
      </c>
      <c r="D4732" s="204" t="s">
        <v>951</v>
      </c>
      <c r="E4732" s="205" t="s">
        <v>6155</v>
      </c>
      <c r="F4732" s="203" t="s">
        <v>6156</v>
      </c>
      <c r="G4732" s="203" t="s">
        <v>88</v>
      </c>
      <c r="H4732" s="25" t="s">
        <v>6157</v>
      </c>
      <c r="I4732" s="46" t="e">
        <f>VLOOKUP(H4732,'合同高级查询数据-4月返'!A:A,1,FALSE)</f>
        <v>#N/A</v>
      </c>
      <c r="J4732" s="47" t="s">
        <v>162</v>
      </c>
      <c r="K4732" s="203" t="s">
        <v>6158</v>
      </c>
      <c r="L4732" s="206"/>
      <c r="M4732" s="49" t="s">
        <v>6159</v>
      </c>
      <c r="N4732" s="73">
        <v>43306</v>
      </c>
      <c r="O4732" s="73" t="s">
        <v>92</v>
      </c>
      <c r="P4732" s="396">
        <v>4700</v>
      </c>
      <c r="Q4732" s="212">
        <v>3</v>
      </c>
      <c r="R4732" s="386">
        <f t="shared" si="152"/>
        <v>14100</v>
      </c>
      <c r="S4732" s="279">
        <v>202304</v>
      </c>
      <c r="T4732" s="184" t="s">
        <v>6160</v>
      </c>
      <c r="U4732" s="213"/>
      <c r="V4732" s="210"/>
      <c r="W4732" s="214"/>
      <c r="X4732" s="73">
        <v>44409</v>
      </c>
      <c r="Y4732" s="73">
        <v>45138</v>
      </c>
    </row>
    <row r="4733" s="5" customFormat="1" customHeight="1" spans="1:25">
      <c r="A4733" s="203" t="s">
        <v>446</v>
      </c>
      <c r="B4733" s="204" t="s">
        <v>5041</v>
      </c>
      <c r="C4733" s="204" t="s">
        <v>6068</v>
      </c>
      <c r="D4733" s="204" t="s">
        <v>951</v>
      </c>
      <c r="E4733" s="205" t="s">
        <v>6155</v>
      </c>
      <c r="F4733" s="203" t="s">
        <v>6156</v>
      </c>
      <c r="G4733" s="203" t="s">
        <v>31</v>
      </c>
      <c r="H4733" s="25" t="s">
        <v>6157</v>
      </c>
      <c r="I4733" s="46" t="e">
        <f>VLOOKUP(H4733,'合同高级查询数据-4月返'!A:A,1,FALSE)</f>
        <v>#N/A</v>
      </c>
      <c r="J4733" s="47" t="s">
        <v>33</v>
      </c>
      <c r="K4733" s="203" t="s">
        <v>6158</v>
      </c>
      <c r="L4733" s="206"/>
      <c r="M4733" s="49" t="s">
        <v>6159</v>
      </c>
      <c r="N4733" s="73">
        <v>43306</v>
      </c>
      <c r="O4733" s="73" t="s">
        <v>37</v>
      </c>
      <c r="P4733" s="396">
        <v>0</v>
      </c>
      <c r="Q4733" s="212">
        <v>160</v>
      </c>
      <c r="R4733" s="386">
        <f t="shared" si="152"/>
        <v>0</v>
      </c>
      <c r="S4733" s="279">
        <v>202304</v>
      </c>
      <c r="T4733" s="184" t="s">
        <v>6161</v>
      </c>
      <c r="U4733" s="213"/>
      <c r="V4733" s="210"/>
      <c r="W4733" s="214"/>
      <c r="X4733" s="73">
        <v>44409</v>
      </c>
      <c r="Y4733" s="73">
        <v>45138</v>
      </c>
    </row>
    <row r="4734" s="5" customFormat="1" customHeight="1" spans="1:25">
      <c r="A4734" s="203" t="s">
        <v>446</v>
      </c>
      <c r="B4734" s="204" t="s">
        <v>5041</v>
      </c>
      <c r="C4734" s="204" t="s">
        <v>50</v>
      </c>
      <c r="D4734" s="204" t="s">
        <v>951</v>
      </c>
      <c r="E4734" s="205" t="s">
        <v>6162</v>
      </c>
      <c r="F4734" s="203" t="s">
        <v>6163</v>
      </c>
      <c r="G4734" s="203" t="s">
        <v>88</v>
      </c>
      <c r="H4734" s="25" t="s">
        <v>6164</v>
      </c>
      <c r="I4734" s="46" t="e">
        <f>VLOOKUP(H4734,'合同高级查询数据-4月返'!A:A,1,FALSE)</f>
        <v>#N/A</v>
      </c>
      <c r="J4734" s="47" t="s">
        <v>162</v>
      </c>
      <c r="K4734" s="203" t="s">
        <v>51</v>
      </c>
      <c r="L4734" s="206"/>
      <c r="M4734" s="49" t="s">
        <v>6159</v>
      </c>
      <c r="N4734" s="73">
        <v>42919</v>
      </c>
      <c r="O4734" s="73" t="s">
        <v>163</v>
      </c>
      <c r="P4734" s="396">
        <v>0</v>
      </c>
      <c r="Q4734" s="212">
        <v>1</v>
      </c>
      <c r="R4734" s="386">
        <f t="shared" si="152"/>
        <v>0</v>
      </c>
      <c r="S4734" s="279">
        <v>202304</v>
      </c>
      <c r="T4734" s="184" t="s">
        <v>6165</v>
      </c>
      <c r="U4734" s="213"/>
      <c r="V4734" s="210"/>
      <c r="W4734" s="214"/>
      <c r="X4734" s="73">
        <v>44378</v>
      </c>
      <c r="Y4734" s="73">
        <v>45107</v>
      </c>
    </row>
    <row r="4735" s="5" customFormat="1" customHeight="1" spans="1:25">
      <c r="A4735" s="203" t="s">
        <v>446</v>
      </c>
      <c r="B4735" s="204" t="s">
        <v>5041</v>
      </c>
      <c r="C4735" s="204" t="s">
        <v>50</v>
      </c>
      <c r="D4735" s="204" t="s">
        <v>951</v>
      </c>
      <c r="E4735" s="205" t="s">
        <v>6162</v>
      </c>
      <c r="F4735" s="203" t="s">
        <v>6163</v>
      </c>
      <c r="G4735" s="203" t="s">
        <v>88</v>
      </c>
      <c r="H4735" s="25" t="s">
        <v>6164</v>
      </c>
      <c r="I4735" s="46" t="e">
        <f>VLOOKUP(H4735,'合同高级查询数据-4月返'!A:A,1,FALSE)</f>
        <v>#N/A</v>
      </c>
      <c r="J4735" s="47" t="s">
        <v>162</v>
      </c>
      <c r="K4735" s="203" t="s">
        <v>51</v>
      </c>
      <c r="L4735" s="206"/>
      <c r="M4735" s="49" t="s">
        <v>6159</v>
      </c>
      <c r="N4735" s="73">
        <v>42919</v>
      </c>
      <c r="O4735" s="73" t="s">
        <v>163</v>
      </c>
      <c r="P4735" s="396">
        <v>3000</v>
      </c>
      <c r="Q4735" s="212">
        <v>2</v>
      </c>
      <c r="R4735" s="386">
        <f t="shared" si="152"/>
        <v>6000</v>
      </c>
      <c r="S4735" s="279">
        <v>202304</v>
      </c>
      <c r="T4735" s="184" t="s">
        <v>6166</v>
      </c>
      <c r="U4735" s="213"/>
      <c r="V4735" s="210"/>
      <c r="W4735" s="214"/>
      <c r="X4735" s="73">
        <v>44378</v>
      </c>
      <c r="Y4735" s="73">
        <v>45107</v>
      </c>
    </row>
    <row r="4736" s="5" customFormat="1" customHeight="1" spans="1:25">
      <c r="A4736" s="203" t="s">
        <v>446</v>
      </c>
      <c r="B4736" s="204" t="s">
        <v>5041</v>
      </c>
      <c r="C4736" s="204" t="s">
        <v>50</v>
      </c>
      <c r="D4736" s="204" t="s">
        <v>951</v>
      </c>
      <c r="E4736" s="205" t="s">
        <v>6162</v>
      </c>
      <c r="F4736" s="203" t="s">
        <v>6163</v>
      </c>
      <c r="G4736" s="203" t="s">
        <v>31</v>
      </c>
      <c r="H4736" s="25" t="s">
        <v>6164</v>
      </c>
      <c r="I4736" s="46" t="e">
        <f>VLOOKUP(H4736,'合同高级查询数据-4月返'!A:A,1,FALSE)</f>
        <v>#N/A</v>
      </c>
      <c r="J4736" s="47" t="s">
        <v>33</v>
      </c>
      <c r="K4736" s="203" t="s">
        <v>51</v>
      </c>
      <c r="L4736" s="206"/>
      <c r="M4736" s="49" t="s">
        <v>6167</v>
      </c>
      <c r="N4736" s="73">
        <v>42919</v>
      </c>
      <c r="O4736" s="73" t="s">
        <v>37</v>
      </c>
      <c r="P4736" s="396">
        <v>0</v>
      </c>
      <c r="Q4736" s="212">
        <v>256</v>
      </c>
      <c r="R4736" s="386">
        <f t="shared" si="152"/>
        <v>0</v>
      </c>
      <c r="S4736" s="279">
        <v>202304</v>
      </c>
      <c r="T4736" s="184" t="s">
        <v>6168</v>
      </c>
      <c r="U4736" s="213"/>
      <c r="V4736" s="210"/>
      <c r="W4736" s="214"/>
      <c r="X4736" s="73">
        <v>44378</v>
      </c>
      <c r="Y4736" s="73">
        <v>45107</v>
      </c>
    </row>
    <row r="4737" s="5" customFormat="1" customHeight="1" spans="1:25">
      <c r="A4737" s="203" t="s">
        <v>446</v>
      </c>
      <c r="B4737" s="204" t="s">
        <v>5041</v>
      </c>
      <c r="C4737" s="204" t="s">
        <v>50</v>
      </c>
      <c r="D4737" s="204" t="s">
        <v>951</v>
      </c>
      <c r="E4737" s="205" t="s">
        <v>6162</v>
      </c>
      <c r="F4737" s="203" t="s">
        <v>6163</v>
      </c>
      <c r="G4737" s="203" t="s">
        <v>88</v>
      </c>
      <c r="H4737" s="25" t="s">
        <v>6169</v>
      </c>
      <c r="I4737" s="46" t="e">
        <f>VLOOKUP(H4737,'合同高级查询数据-4月返'!A:A,1,FALSE)</f>
        <v>#N/A</v>
      </c>
      <c r="J4737" s="47" t="s">
        <v>162</v>
      </c>
      <c r="K4737" s="203" t="s">
        <v>51</v>
      </c>
      <c r="L4737" s="206" t="s">
        <v>6170</v>
      </c>
      <c r="M4737" s="49" t="s">
        <v>6171</v>
      </c>
      <c r="N4737" s="73">
        <v>44317</v>
      </c>
      <c r="O4737" s="73" t="s">
        <v>1748</v>
      </c>
      <c r="P4737" s="396">
        <v>3000</v>
      </c>
      <c r="Q4737" s="212">
        <v>3</v>
      </c>
      <c r="R4737" s="386">
        <f>ROUND(Q4737*P4737,2)</f>
        <v>9000</v>
      </c>
      <c r="S4737" s="279">
        <v>202304</v>
      </c>
      <c r="T4737" s="184" t="s">
        <v>6172</v>
      </c>
      <c r="U4737" s="213"/>
      <c r="V4737" s="210"/>
      <c r="W4737" s="214"/>
      <c r="X4737" s="73">
        <v>44317</v>
      </c>
      <c r="Y4737" s="73">
        <v>45046</v>
      </c>
    </row>
    <row r="4738" s="5" customFormat="1" customHeight="1" spans="1:25">
      <c r="A4738" s="203" t="s">
        <v>446</v>
      </c>
      <c r="B4738" s="204" t="s">
        <v>5041</v>
      </c>
      <c r="C4738" s="204" t="s">
        <v>50</v>
      </c>
      <c r="D4738" s="204" t="s">
        <v>951</v>
      </c>
      <c r="E4738" s="205" t="s">
        <v>6162</v>
      </c>
      <c r="F4738" s="203" t="s">
        <v>6163</v>
      </c>
      <c r="G4738" s="203" t="s">
        <v>31</v>
      </c>
      <c r="H4738" s="25" t="s">
        <v>6169</v>
      </c>
      <c r="I4738" s="46" t="e">
        <f>VLOOKUP(H4738,'合同高级查询数据-4月返'!A:A,1,FALSE)</f>
        <v>#N/A</v>
      </c>
      <c r="J4738" s="47" t="s">
        <v>33</v>
      </c>
      <c r="K4738" s="203" t="s">
        <v>51</v>
      </c>
      <c r="L4738" s="206" t="s">
        <v>6170</v>
      </c>
      <c r="M4738" s="49" t="s">
        <v>6171</v>
      </c>
      <c r="N4738" s="73">
        <v>44317</v>
      </c>
      <c r="O4738" s="73" t="s">
        <v>37</v>
      </c>
      <c r="P4738" s="396">
        <v>0</v>
      </c>
      <c r="Q4738" s="212">
        <v>288</v>
      </c>
      <c r="R4738" s="386">
        <f>ROUND(Q4738*P4738,2)</f>
        <v>0</v>
      </c>
      <c r="S4738" s="279">
        <v>202304</v>
      </c>
      <c r="T4738" s="184" t="s">
        <v>6173</v>
      </c>
      <c r="U4738" s="213"/>
      <c r="V4738" s="210"/>
      <c r="W4738" s="214"/>
      <c r="X4738" s="73">
        <v>44317</v>
      </c>
      <c r="Y4738" s="73">
        <v>45046</v>
      </c>
    </row>
    <row r="4739" s="5" customFormat="1" customHeight="1" spans="1:25">
      <c r="A4739" s="203" t="s">
        <v>446</v>
      </c>
      <c r="B4739" s="204" t="s">
        <v>5041</v>
      </c>
      <c r="C4739" s="204" t="s">
        <v>50</v>
      </c>
      <c r="D4739" s="204" t="s">
        <v>951</v>
      </c>
      <c r="E4739" s="205" t="s">
        <v>6162</v>
      </c>
      <c r="F4739" s="203" t="s">
        <v>6163</v>
      </c>
      <c r="G4739" s="203" t="s">
        <v>88</v>
      </c>
      <c r="H4739" s="25" t="s">
        <v>6169</v>
      </c>
      <c r="I4739" s="46" t="e">
        <f>VLOOKUP(H4739,'合同高级查询数据-4月返'!A:A,1,FALSE)</f>
        <v>#N/A</v>
      </c>
      <c r="J4739" s="47" t="s">
        <v>162</v>
      </c>
      <c r="K4739" s="203" t="s">
        <v>51</v>
      </c>
      <c r="L4739" s="206" t="s">
        <v>6170</v>
      </c>
      <c r="M4739" s="49" t="s">
        <v>6171</v>
      </c>
      <c r="N4739" s="73">
        <v>44317</v>
      </c>
      <c r="O4739" s="73" t="s">
        <v>1748</v>
      </c>
      <c r="P4739" s="396">
        <v>3000</v>
      </c>
      <c r="Q4739" s="212">
        <v>2</v>
      </c>
      <c r="R4739" s="386">
        <f>ROUND(Q4739*P4739,2)</f>
        <v>6000</v>
      </c>
      <c r="S4739" s="279">
        <v>202304</v>
      </c>
      <c r="T4739" s="184" t="s">
        <v>6174</v>
      </c>
      <c r="U4739" s="213"/>
      <c r="V4739" s="210"/>
      <c r="W4739" s="214"/>
      <c r="X4739" s="73">
        <v>44317</v>
      </c>
      <c r="Y4739" s="73">
        <v>45046</v>
      </c>
    </row>
    <row r="4740" s="5" customFormat="1" customHeight="1" spans="1:25">
      <c r="A4740" s="203" t="s">
        <v>446</v>
      </c>
      <c r="B4740" s="204" t="s">
        <v>5041</v>
      </c>
      <c r="C4740" s="204" t="s">
        <v>50</v>
      </c>
      <c r="D4740" s="204" t="s">
        <v>951</v>
      </c>
      <c r="E4740" s="205" t="s">
        <v>6162</v>
      </c>
      <c r="F4740" s="203" t="s">
        <v>6163</v>
      </c>
      <c r="G4740" s="203" t="s">
        <v>31</v>
      </c>
      <c r="H4740" s="25" t="s">
        <v>6169</v>
      </c>
      <c r="I4740" s="46" t="e">
        <f>VLOOKUP(H4740,'合同高级查询数据-4月返'!A:A,1,FALSE)</f>
        <v>#N/A</v>
      </c>
      <c r="J4740" s="47" t="s">
        <v>33</v>
      </c>
      <c r="K4740" s="203" t="s">
        <v>51</v>
      </c>
      <c r="L4740" s="206" t="s">
        <v>6170</v>
      </c>
      <c r="M4740" s="49" t="s">
        <v>6171</v>
      </c>
      <c r="N4740" s="73">
        <v>44317</v>
      </c>
      <c r="O4740" s="73" t="s">
        <v>37</v>
      </c>
      <c r="P4740" s="396">
        <v>0</v>
      </c>
      <c r="Q4740" s="212">
        <v>128</v>
      </c>
      <c r="R4740" s="386">
        <f>ROUND(Q4740*P4740,2)</f>
        <v>0</v>
      </c>
      <c r="S4740" s="279">
        <v>202304</v>
      </c>
      <c r="T4740" s="184" t="s">
        <v>6175</v>
      </c>
      <c r="U4740" s="213"/>
      <c r="V4740" s="210"/>
      <c r="W4740" s="214"/>
      <c r="X4740" s="73">
        <v>44317</v>
      </c>
      <c r="Y4740" s="73">
        <v>45046</v>
      </c>
    </row>
    <row r="4741" s="5" customFormat="1" customHeight="1" spans="1:25">
      <c r="A4741" s="203" t="s">
        <v>446</v>
      </c>
      <c r="B4741" s="204" t="s">
        <v>5041</v>
      </c>
      <c r="C4741" s="204" t="s">
        <v>50</v>
      </c>
      <c r="D4741" s="204" t="s">
        <v>951</v>
      </c>
      <c r="E4741" s="205" t="s">
        <v>6162</v>
      </c>
      <c r="F4741" s="203" t="s">
        <v>6163</v>
      </c>
      <c r="G4741" s="203" t="s">
        <v>88</v>
      </c>
      <c r="H4741" s="25" t="s">
        <v>6169</v>
      </c>
      <c r="I4741" s="46" t="e">
        <f>VLOOKUP(H4741,'合同高级查询数据-4月返'!A:A,1,FALSE)</f>
        <v>#N/A</v>
      </c>
      <c r="J4741" s="47" t="s">
        <v>162</v>
      </c>
      <c r="K4741" s="203" t="s">
        <v>51</v>
      </c>
      <c r="L4741" s="206" t="s">
        <v>6170</v>
      </c>
      <c r="M4741" s="49" t="s">
        <v>6171</v>
      </c>
      <c r="N4741" s="73">
        <v>44420</v>
      </c>
      <c r="O4741" s="73" t="s">
        <v>1306</v>
      </c>
      <c r="P4741" s="396">
        <v>3000</v>
      </c>
      <c r="Q4741" s="212">
        <v>1</v>
      </c>
      <c r="R4741" s="386">
        <f t="shared" ref="R4741:R4783" si="153">ROUND(P4741*Q4741,2)</f>
        <v>3000</v>
      </c>
      <c r="S4741" s="279">
        <v>202304</v>
      </c>
      <c r="T4741" s="184" t="s">
        <v>6176</v>
      </c>
      <c r="U4741" s="213"/>
      <c r="V4741" s="210"/>
      <c r="W4741" s="214"/>
      <c r="X4741" s="73">
        <v>44317</v>
      </c>
      <c r="Y4741" s="73">
        <v>45046</v>
      </c>
    </row>
    <row r="4742" s="5" customFormat="1" customHeight="1" spans="1:25">
      <c r="A4742" s="203" t="s">
        <v>446</v>
      </c>
      <c r="B4742" s="204" t="s">
        <v>5041</v>
      </c>
      <c r="C4742" s="204" t="s">
        <v>50</v>
      </c>
      <c r="D4742" s="204" t="s">
        <v>951</v>
      </c>
      <c r="E4742" s="205" t="s">
        <v>6162</v>
      </c>
      <c r="F4742" s="203" t="s">
        <v>6163</v>
      </c>
      <c r="G4742" s="203" t="s">
        <v>31</v>
      </c>
      <c r="H4742" s="25" t="s">
        <v>6169</v>
      </c>
      <c r="I4742" s="46" t="e">
        <f>VLOOKUP(H4742,'合同高级查询数据-4月返'!A:A,1,FALSE)</f>
        <v>#N/A</v>
      </c>
      <c r="J4742" s="47" t="s">
        <v>33</v>
      </c>
      <c r="K4742" s="203" t="s">
        <v>51</v>
      </c>
      <c r="L4742" s="206" t="s">
        <v>6170</v>
      </c>
      <c r="M4742" s="49" t="s">
        <v>6171</v>
      </c>
      <c r="N4742" s="73">
        <v>44420</v>
      </c>
      <c r="O4742" s="73" t="s">
        <v>37</v>
      </c>
      <c r="P4742" s="396">
        <v>50</v>
      </c>
      <c r="Q4742" s="212">
        <v>128</v>
      </c>
      <c r="R4742" s="386">
        <f t="shared" si="153"/>
        <v>6400</v>
      </c>
      <c r="S4742" s="279">
        <v>202304</v>
      </c>
      <c r="T4742" s="184" t="s">
        <v>6177</v>
      </c>
      <c r="U4742" s="213"/>
      <c r="V4742" s="210"/>
      <c r="W4742" s="214"/>
      <c r="X4742" s="73">
        <v>44317</v>
      </c>
      <c r="Y4742" s="73">
        <v>45046</v>
      </c>
    </row>
    <row r="4743" s="5" customFormat="1" customHeight="1" spans="1:25">
      <c r="A4743" s="203" t="s">
        <v>446</v>
      </c>
      <c r="B4743" s="204" t="s">
        <v>5041</v>
      </c>
      <c r="C4743" s="204" t="s">
        <v>50</v>
      </c>
      <c r="D4743" s="204" t="s">
        <v>951</v>
      </c>
      <c r="E4743" s="205" t="s">
        <v>6162</v>
      </c>
      <c r="F4743" s="203" t="s">
        <v>6163</v>
      </c>
      <c r="G4743" s="203" t="s">
        <v>31</v>
      </c>
      <c r="H4743" s="25" t="s">
        <v>6169</v>
      </c>
      <c r="I4743" s="46" t="e">
        <f>VLOOKUP(H4743,'合同高级查询数据-4月返'!A:A,1,FALSE)</f>
        <v>#N/A</v>
      </c>
      <c r="J4743" s="47" t="s">
        <v>33</v>
      </c>
      <c r="K4743" s="203" t="s">
        <v>51</v>
      </c>
      <c r="L4743" s="206" t="s">
        <v>6170</v>
      </c>
      <c r="M4743" s="49" t="s">
        <v>6171</v>
      </c>
      <c r="N4743" s="73">
        <v>44874</v>
      </c>
      <c r="O4743" s="73" t="s">
        <v>37</v>
      </c>
      <c r="P4743" s="396">
        <v>50</v>
      </c>
      <c r="Q4743" s="212">
        <v>-128</v>
      </c>
      <c r="R4743" s="386">
        <f t="shared" si="153"/>
        <v>-6400</v>
      </c>
      <c r="S4743" s="279">
        <v>202304</v>
      </c>
      <c r="T4743" s="184" t="s">
        <v>6178</v>
      </c>
      <c r="U4743" s="213"/>
      <c r="V4743" s="210"/>
      <c r="W4743" s="214"/>
      <c r="X4743" s="73">
        <v>44317</v>
      </c>
      <c r="Y4743" s="73">
        <v>45046</v>
      </c>
    </row>
    <row r="4744" s="5" customFormat="1" customHeight="1" spans="1:25">
      <c r="A4744" s="203" t="s">
        <v>446</v>
      </c>
      <c r="B4744" s="204" t="s">
        <v>5041</v>
      </c>
      <c r="C4744" s="204" t="s">
        <v>50</v>
      </c>
      <c r="D4744" s="204" t="s">
        <v>951</v>
      </c>
      <c r="E4744" s="205" t="s">
        <v>6162</v>
      </c>
      <c r="F4744" s="203" t="s">
        <v>6163</v>
      </c>
      <c r="G4744" s="203" t="s">
        <v>88</v>
      </c>
      <c r="H4744" s="25" t="s">
        <v>6164</v>
      </c>
      <c r="I4744" s="46" t="e">
        <f>VLOOKUP(H4744,'合同高级查询数据-4月返'!A:A,1,FALSE)</f>
        <v>#N/A</v>
      </c>
      <c r="J4744" s="47" t="s">
        <v>162</v>
      </c>
      <c r="K4744" s="203" t="s">
        <v>51</v>
      </c>
      <c r="L4744" s="206" t="s">
        <v>6179</v>
      </c>
      <c r="M4744" s="49" t="s">
        <v>6180</v>
      </c>
      <c r="N4744" s="73">
        <v>44805</v>
      </c>
      <c r="O4744" s="73" t="s">
        <v>163</v>
      </c>
      <c r="P4744" s="396">
        <v>3000</v>
      </c>
      <c r="Q4744" s="212">
        <v>1</v>
      </c>
      <c r="R4744" s="386">
        <f t="shared" si="153"/>
        <v>3000</v>
      </c>
      <c r="S4744" s="279">
        <v>202304</v>
      </c>
      <c r="T4744" s="184" t="s">
        <v>6181</v>
      </c>
      <c r="U4744" s="213"/>
      <c r="V4744" s="210"/>
      <c r="W4744" s="214"/>
      <c r="X4744" s="73">
        <v>44378</v>
      </c>
      <c r="Y4744" s="73">
        <v>45107</v>
      </c>
    </row>
    <row r="4745" s="5" customFormat="1" customHeight="1" spans="1:25">
      <c r="A4745" s="203" t="s">
        <v>446</v>
      </c>
      <c r="B4745" s="204" t="s">
        <v>5041</v>
      </c>
      <c r="C4745" s="204" t="s">
        <v>50</v>
      </c>
      <c r="D4745" s="204" t="s">
        <v>951</v>
      </c>
      <c r="E4745" s="205" t="s">
        <v>6162</v>
      </c>
      <c r="F4745" s="203" t="s">
        <v>6163</v>
      </c>
      <c r="G4745" s="203" t="s">
        <v>88</v>
      </c>
      <c r="H4745" s="25" t="s">
        <v>6164</v>
      </c>
      <c r="I4745" s="46" t="e">
        <f>VLOOKUP(H4745,'合同高级查询数据-4月返'!A:A,1,FALSE)</f>
        <v>#N/A</v>
      </c>
      <c r="J4745" s="47" t="s">
        <v>162</v>
      </c>
      <c r="K4745" s="203" t="s">
        <v>51</v>
      </c>
      <c r="L4745" s="206" t="s">
        <v>6179</v>
      </c>
      <c r="M4745" s="49" t="s">
        <v>6180</v>
      </c>
      <c r="N4745" s="73">
        <v>44957</v>
      </c>
      <c r="O4745" s="73" t="s">
        <v>163</v>
      </c>
      <c r="P4745" s="396">
        <v>3000</v>
      </c>
      <c r="Q4745" s="212">
        <v>-1</v>
      </c>
      <c r="R4745" s="386">
        <f t="shared" si="153"/>
        <v>-3000</v>
      </c>
      <c r="S4745" s="279">
        <v>202304</v>
      </c>
      <c r="T4745" s="184" t="s">
        <v>6182</v>
      </c>
      <c r="U4745" s="213"/>
      <c r="V4745" s="210"/>
      <c r="W4745" s="214"/>
      <c r="X4745" s="73">
        <v>44378</v>
      </c>
      <c r="Y4745" s="73">
        <v>45107</v>
      </c>
    </row>
    <row r="4746" s="5" customFormat="1" customHeight="1" spans="1:25">
      <c r="A4746" s="203" t="s">
        <v>446</v>
      </c>
      <c r="B4746" s="204" t="s">
        <v>5041</v>
      </c>
      <c r="C4746" s="204" t="s">
        <v>50</v>
      </c>
      <c r="D4746" s="204" t="s">
        <v>951</v>
      </c>
      <c r="E4746" s="205" t="s">
        <v>6162</v>
      </c>
      <c r="F4746" s="203" t="s">
        <v>6163</v>
      </c>
      <c r="G4746" s="203" t="s">
        <v>31</v>
      </c>
      <c r="H4746" s="25" t="s">
        <v>6164</v>
      </c>
      <c r="I4746" s="46" t="e">
        <f>VLOOKUP(H4746,'合同高级查询数据-4月返'!A:A,1,FALSE)</f>
        <v>#N/A</v>
      </c>
      <c r="J4746" s="47" t="s">
        <v>33</v>
      </c>
      <c r="K4746" s="203" t="s">
        <v>51</v>
      </c>
      <c r="L4746" s="206" t="s">
        <v>6179</v>
      </c>
      <c r="M4746" s="49" t="s">
        <v>6180</v>
      </c>
      <c r="N4746" s="73">
        <v>44805</v>
      </c>
      <c r="O4746" s="73" t="s">
        <v>37</v>
      </c>
      <c r="P4746" s="396">
        <v>0</v>
      </c>
      <c r="Q4746" s="212">
        <v>128</v>
      </c>
      <c r="R4746" s="386">
        <f t="shared" si="153"/>
        <v>0</v>
      </c>
      <c r="S4746" s="279">
        <v>202304</v>
      </c>
      <c r="T4746" s="189" t="s">
        <v>6183</v>
      </c>
      <c r="U4746" s="213"/>
      <c r="V4746" s="210"/>
      <c r="W4746" s="214"/>
      <c r="X4746" s="73">
        <v>44378</v>
      </c>
      <c r="Y4746" s="73">
        <v>45107</v>
      </c>
    </row>
    <row r="4747" s="5" customFormat="1" customHeight="1" spans="1:25">
      <c r="A4747" s="203" t="s">
        <v>446</v>
      </c>
      <c r="B4747" s="204" t="s">
        <v>5041</v>
      </c>
      <c r="C4747" s="204" t="s">
        <v>50</v>
      </c>
      <c r="D4747" s="204" t="s">
        <v>951</v>
      </c>
      <c r="E4747" s="205" t="s">
        <v>6162</v>
      </c>
      <c r="F4747" s="203" t="s">
        <v>6163</v>
      </c>
      <c r="G4747" s="203" t="s">
        <v>31</v>
      </c>
      <c r="H4747" s="25" t="s">
        <v>6164</v>
      </c>
      <c r="I4747" s="46" t="e">
        <f>VLOOKUP(H4747,'合同高级查询数据-4月返'!A:A,1,FALSE)</f>
        <v>#N/A</v>
      </c>
      <c r="J4747" s="47" t="s">
        <v>33</v>
      </c>
      <c r="K4747" s="203" t="s">
        <v>51</v>
      </c>
      <c r="L4747" s="206" t="s">
        <v>6179</v>
      </c>
      <c r="M4747" s="49" t="s">
        <v>6180</v>
      </c>
      <c r="N4747" s="73">
        <v>44957</v>
      </c>
      <c r="O4747" s="73" t="s">
        <v>37</v>
      </c>
      <c r="P4747" s="396">
        <v>0</v>
      </c>
      <c r="Q4747" s="212">
        <v>-128</v>
      </c>
      <c r="R4747" s="386">
        <f t="shared" si="153"/>
        <v>0</v>
      </c>
      <c r="S4747" s="279">
        <v>202304</v>
      </c>
      <c r="T4747" s="189" t="s">
        <v>6182</v>
      </c>
      <c r="U4747" s="213"/>
      <c r="V4747" s="210"/>
      <c r="W4747" s="214"/>
      <c r="X4747" s="73">
        <v>44378</v>
      </c>
      <c r="Y4747" s="73">
        <v>45107</v>
      </c>
    </row>
    <row r="4748" s="5" customFormat="1" customHeight="1" spans="1:25">
      <c r="A4748" s="203" t="s">
        <v>446</v>
      </c>
      <c r="B4748" s="204" t="s">
        <v>5041</v>
      </c>
      <c r="C4748" s="204" t="s">
        <v>50</v>
      </c>
      <c r="D4748" s="204" t="s">
        <v>951</v>
      </c>
      <c r="E4748" s="205" t="s">
        <v>6162</v>
      </c>
      <c r="F4748" s="203" t="s">
        <v>6163</v>
      </c>
      <c r="G4748" s="203" t="s">
        <v>31</v>
      </c>
      <c r="H4748" s="25" t="s">
        <v>6164</v>
      </c>
      <c r="I4748" s="46" t="e">
        <f>VLOOKUP(H4748,'合同高级查询数据-4月返'!A:A,1,FALSE)</f>
        <v>#N/A</v>
      </c>
      <c r="J4748" s="47" t="s">
        <v>33</v>
      </c>
      <c r="K4748" s="203" t="s">
        <v>51</v>
      </c>
      <c r="L4748" s="206" t="s">
        <v>6179</v>
      </c>
      <c r="M4748" s="49" t="s">
        <v>6180</v>
      </c>
      <c r="N4748" s="73">
        <v>44805</v>
      </c>
      <c r="O4748" s="73" t="s">
        <v>179</v>
      </c>
      <c r="P4748" s="396">
        <v>0</v>
      </c>
      <c r="Q4748" s="212">
        <v>1</v>
      </c>
      <c r="R4748" s="386">
        <f t="shared" si="153"/>
        <v>0</v>
      </c>
      <c r="S4748" s="279">
        <v>202304</v>
      </c>
      <c r="T4748" s="184" t="s">
        <v>6184</v>
      </c>
      <c r="U4748" s="213"/>
      <c r="V4748" s="210"/>
      <c r="W4748" s="214"/>
      <c r="X4748" s="73">
        <v>44378</v>
      </c>
      <c r="Y4748" s="73">
        <v>45107</v>
      </c>
    </row>
    <row r="4749" s="5" customFormat="1" customHeight="1" spans="1:25">
      <c r="A4749" s="203" t="s">
        <v>446</v>
      </c>
      <c r="B4749" s="204" t="s">
        <v>5041</v>
      </c>
      <c r="C4749" s="204" t="s">
        <v>50</v>
      </c>
      <c r="D4749" s="204" t="s">
        <v>951</v>
      </c>
      <c r="E4749" s="205" t="s">
        <v>6162</v>
      </c>
      <c r="F4749" s="203" t="s">
        <v>6163</v>
      </c>
      <c r="G4749" s="203" t="s">
        <v>31</v>
      </c>
      <c r="H4749" s="25" t="s">
        <v>6164</v>
      </c>
      <c r="I4749" s="46" t="e">
        <f>VLOOKUP(H4749,'合同高级查询数据-4月返'!A:A,1,FALSE)</f>
        <v>#N/A</v>
      </c>
      <c r="J4749" s="47" t="s">
        <v>33</v>
      </c>
      <c r="K4749" s="203" t="s">
        <v>51</v>
      </c>
      <c r="L4749" s="206" t="s">
        <v>6179</v>
      </c>
      <c r="M4749" s="49" t="s">
        <v>6180</v>
      </c>
      <c r="N4749" s="73">
        <v>44957</v>
      </c>
      <c r="O4749" s="73" t="s">
        <v>179</v>
      </c>
      <c r="P4749" s="396">
        <v>0</v>
      </c>
      <c r="Q4749" s="212">
        <v>-1</v>
      </c>
      <c r="R4749" s="386">
        <f t="shared" si="153"/>
        <v>0</v>
      </c>
      <c r="S4749" s="279">
        <v>202304</v>
      </c>
      <c r="T4749" s="189" t="s">
        <v>6182</v>
      </c>
      <c r="U4749" s="213"/>
      <c r="V4749" s="210"/>
      <c r="W4749" s="214"/>
      <c r="X4749" s="73">
        <v>44378</v>
      </c>
      <c r="Y4749" s="73">
        <v>45107</v>
      </c>
    </row>
    <row r="4750" s="3" customFormat="1" customHeight="1" spans="1:25">
      <c r="A4750" s="154" t="s">
        <v>446</v>
      </c>
      <c r="B4750" s="292" t="s">
        <v>5041</v>
      </c>
      <c r="C4750" s="292" t="s">
        <v>50</v>
      </c>
      <c r="D4750" s="292" t="s">
        <v>951</v>
      </c>
      <c r="E4750" s="153" t="s">
        <v>6162</v>
      </c>
      <c r="F4750" s="144" t="s">
        <v>6163</v>
      </c>
      <c r="G4750" s="154" t="s">
        <v>88</v>
      </c>
      <c r="H4750" s="110" t="s">
        <v>6185</v>
      </c>
      <c r="I4750" s="30" t="e">
        <f>VLOOKUP(H4750,'合同高级查询数据-4月返'!A:A,1,FALSE)</f>
        <v>#N/A</v>
      </c>
      <c r="J4750" s="31" t="s">
        <v>162</v>
      </c>
      <c r="K4750" s="144" t="s">
        <v>51</v>
      </c>
      <c r="L4750" s="315" t="s">
        <v>6186</v>
      </c>
      <c r="M4750" s="326" t="s">
        <v>6180</v>
      </c>
      <c r="N4750" s="143">
        <v>45017</v>
      </c>
      <c r="O4750" s="458" t="s">
        <v>163</v>
      </c>
      <c r="P4750" s="400">
        <v>3000</v>
      </c>
      <c r="Q4750" s="295">
        <v>1</v>
      </c>
      <c r="R4750" s="460">
        <f t="shared" si="153"/>
        <v>3000</v>
      </c>
      <c r="S4750" s="322">
        <v>202304</v>
      </c>
      <c r="T4750" s="461" t="s">
        <v>6187</v>
      </c>
      <c r="U4750" s="323"/>
      <c r="V4750" s="438"/>
      <c r="W4750" s="462"/>
      <c r="X4750" s="146"/>
      <c r="Y4750" s="146"/>
    </row>
    <row r="4751" s="3" customFormat="1" customHeight="1" spans="1:25">
      <c r="A4751" s="154" t="s">
        <v>446</v>
      </c>
      <c r="B4751" s="292" t="s">
        <v>5041</v>
      </c>
      <c r="C4751" s="292" t="s">
        <v>50</v>
      </c>
      <c r="D4751" s="292" t="s">
        <v>951</v>
      </c>
      <c r="E4751" s="153" t="s">
        <v>6162</v>
      </c>
      <c r="F4751" s="144" t="s">
        <v>6163</v>
      </c>
      <c r="G4751" s="140" t="s">
        <v>31</v>
      </c>
      <c r="H4751" s="110" t="s">
        <v>6185</v>
      </c>
      <c r="I4751" s="30" t="e">
        <f>VLOOKUP(H4751,'合同高级查询数据-4月返'!A:A,1,FALSE)</f>
        <v>#N/A</v>
      </c>
      <c r="J4751" s="31" t="s">
        <v>33</v>
      </c>
      <c r="K4751" s="144" t="s">
        <v>51</v>
      </c>
      <c r="L4751" s="315" t="s">
        <v>6186</v>
      </c>
      <c r="M4751" s="326" t="s">
        <v>6180</v>
      </c>
      <c r="N4751" s="143">
        <v>45017</v>
      </c>
      <c r="O4751" s="458" t="s">
        <v>37</v>
      </c>
      <c r="P4751" s="459">
        <v>0</v>
      </c>
      <c r="Q4751" s="112">
        <v>128</v>
      </c>
      <c r="R4751" s="460">
        <f t="shared" si="153"/>
        <v>0</v>
      </c>
      <c r="S4751" s="322">
        <v>202304</v>
      </c>
      <c r="T4751" s="463" t="s">
        <v>6188</v>
      </c>
      <c r="U4751" s="323"/>
      <c r="V4751" s="438"/>
      <c r="W4751" s="462"/>
      <c r="X4751" s="146"/>
      <c r="Y4751" s="146"/>
    </row>
    <row r="4752" s="3" customFormat="1" customHeight="1" spans="1:25">
      <c r="A4752" s="154" t="s">
        <v>446</v>
      </c>
      <c r="B4752" s="292" t="s">
        <v>5041</v>
      </c>
      <c r="C4752" s="292" t="s">
        <v>50</v>
      </c>
      <c r="D4752" s="292" t="s">
        <v>951</v>
      </c>
      <c r="E4752" s="153" t="s">
        <v>6162</v>
      </c>
      <c r="F4752" s="144" t="s">
        <v>6163</v>
      </c>
      <c r="G4752" s="140" t="s">
        <v>31</v>
      </c>
      <c r="H4752" s="110" t="s">
        <v>6185</v>
      </c>
      <c r="I4752" s="30" t="e">
        <f>VLOOKUP(H4752,'合同高级查询数据-4月返'!A:A,1,FALSE)</f>
        <v>#N/A</v>
      </c>
      <c r="J4752" s="31" t="s">
        <v>33</v>
      </c>
      <c r="K4752" s="144" t="s">
        <v>51</v>
      </c>
      <c r="L4752" s="315" t="s">
        <v>6186</v>
      </c>
      <c r="M4752" s="326" t="s">
        <v>6180</v>
      </c>
      <c r="N4752" s="143">
        <v>45017</v>
      </c>
      <c r="O4752" s="458" t="s">
        <v>179</v>
      </c>
      <c r="P4752" s="459">
        <v>0</v>
      </c>
      <c r="Q4752" s="112">
        <v>1</v>
      </c>
      <c r="R4752" s="460">
        <f t="shared" si="153"/>
        <v>0</v>
      </c>
      <c r="S4752" s="322">
        <v>202304</v>
      </c>
      <c r="T4752" s="463" t="s">
        <v>6189</v>
      </c>
      <c r="U4752" s="323"/>
      <c r="V4752" s="438"/>
      <c r="W4752" s="462"/>
      <c r="X4752" s="146"/>
      <c r="Y4752" s="146"/>
    </row>
    <row r="4753" s="3" customFormat="1" customHeight="1" spans="1:25">
      <c r="A4753" s="154" t="s">
        <v>444</v>
      </c>
      <c r="B4753" s="292" t="s">
        <v>5041</v>
      </c>
      <c r="C4753" s="292" t="s">
        <v>6068</v>
      </c>
      <c r="D4753" s="292" t="s">
        <v>951</v>
      </c>
      <c r="E4753" s="153" t="s">
        <v>6190</v>
      </c>
      <c r="F4753" s="154" t="s">
        <v>6191</v>
      </c>
      <c r="G4753" s="154" t="s">
        <v>88</v>
      </c>
      <c r="H4753" s="110" t="s">
        <v>6192</v>
      </c>
      <c r="I4753" s="30" t="e">
        <f>VLOOKUP(H4753,'合同高级查询数据-4月返'!A:A,1,FALSE)</f>
        <v>#N/A</v>
      </c>
      <c r="J4753" s="31" t="s">
        <v>162</v>
      </c>
      <c r="K4753" s="154" t="s">
        <v>6193</v>
      </c>
      <c r="L4753" s="293"/>
      <c r="M4753" s="113" t="s">
        <v>6194</v>
      </c>
      <c r="N4753" s="146">
        <v>43475</v>
      </c>
      <c r="O4753" s="146" t="s">
        <v>163</v>
      </c>
      <c r="P4753" s="400">
        <v>5000</v>
      </c>
      <c r="Q4753" s="295">
        <v>2</v>
      </c>
      <c r="R4753" s="390">
        <f t="shared" si="153"/>
        <v>10000</v>
      </c>
      <c r="S4753" s="277">
        <v>202304</v>
      </c>
      <c r="T4753" s="198" t="s">
        <v>6195</v>
      </c>
      <c r="U4753" s="391"/>
      <c r="V4753" s="61"/>
      <c r="W4753" s="393"/>
      <c r="X4753" s="146"/>
      <c r="Y4753" s="146"/>
    </row>
    <row r="4754" s="3" customFormat="1" customHeight="1" spans="1:25">
      <c r="A4754" s="154" t="s">
        <v>444</v>
      </c>
      <c r="B4754" s="292" t="s">
        <v>5041</v>
      </c>
      <c r="C4754" s="292" t="s">
        <v>6068</v>
      </c>
      <c r="D4754" s="292" t="s">
        <v>951</v>
      </c>
      <c r="E4754" s="153" t="s">
        <v>6190</v>
      </c>
      <c r="F4754" s="154" t="s">
        <v>6191</v>
      </c>
      <c r="G4754" s="154" t="s">
        <v>31</v>
      </c>
      <c r="H4754" s="110" t="s">
        <v>6192</v>
      </c>
      <c r="I4754" s="30" t="e">
        <f>VLOOKUP(H4754,'合同高级查询数据-4月返'!A:A,1,FALSE)</f>
        <v>#N/A</v>
      </c>
      <c r="J4754" s="31" t="s">
        <v>33</v>
      </c>
      <c r="K4754" s="154" t="s">
        <v>6193</v>
      </c>
      <c r="L4754" s="293" t="s">
        <v>6196</v>
      </c>
      <c r="M4754" s="113" t="s">
        <v>6194</v>
      </c>
      <c r="N4754" s="146">
        <v>44011</v>
      </c>
      <c r="O4754" s="146" t="s">
        <v>37</v>
      </c>
      <c r="P4754" s="400">
        <v>0</v>
      </c>
      <c r="Q4754" s="295">
        <v>288</v>
      </c>
      <c r="R4754" s="390">
        <f t="shared" si="153"/>
        <v>0</v>
      </c>
      <c r="S4754" s="277">
        <v>202304</v>
      </c>
      <c r="T4754" s="198" t="s">
        <v>6197</v>
      </c>
      <c r="U4754" s="391"/>
      <c r="V4754" s="61"/>
      <c r="W4754" s="393"/>
      <c r="X4754" s="146"/>
      <c r="Y4754" s="146"/>
    </row>
    <row r="4755" s="3" customFormat="1" customHeight="1" spans="1:25">
      <c r="A4755" s="154" t="s">
        <v>444</v>
      </c>
      <c r="B4755" s="292" t="s">
        <v>5041</v>
      </c>
      <c r="C4755" s="292" t="s">
        <v>6068</v>
      </c>
      <c r="D4755" s="292" t="s">
        <v>951</v>
      </c>
      <c r="E4755" s="153" t="s">
        <v>6190</v>
      </c>
      <c r="F4755" s="154" t="s">
        <v>6191</v>
      </c>
      <c r="G4755" s="154" t="s">
        <v>88</v>
      </c>
      <c r="H4755" s="110" t="s">
        <v>6192</v>
      </c>
      <c r="I4755" s="30" t="e">
        <f>VLOOKUP(H4755,'合同高级查询数据-4月返'!A:A,1,FALSE)</f>
        <v>#N/A</v>
      </c>
      <c r="J4755" s="31" t="s">
        <v>162</v>
      </c>
      <c r="K4755" s="154" t="s">
        <v>6193</v>
      </c>
      <c r="L4755" s="293" t="s">
        <v>6196</v>
      </c>
      <c r="M4755" s="113" t="s">
        <v>6194</v>
      </c>
      <c r="N4755" s="146">
        <v>44011</v>
      </c>
      <c r="O4755" s="146" t="s">
        <v>503</v>
      </c>
      <c r="P4755" s="400">
        <v>5500</v>
      </c>
      <c r="Q4755" s="295">
        <v>2</v>
      </c>
      <c r="R4755" s="390">
        <f t="shared" si="153"/>
        <v>11000</v>
      </c>
      <c r="S4755" s="277">
        <v>202304</v>
      </c>
      <c r="T4755" s="198" t="s">
        <v>6198</v>
      </c>
      <c r="U4755" s="391"/>
      <c r="V4755" s="61"/>
      <c r="W4755" s="393"/>
      <c r="X4755" s="146"/>
      <c r="Y4755" s="146"/>
    </row>
    <row r="4756" s="3" customFormat="1" customHeight="1" spans="1:25">
      <c r="A4756" s="154" t="s">
        <v>444</v>
      </c>
      <c r="B4756" s="292" t="s">
        <v>5041</v>
      </c>
      <c r="C4756" s="292" t="s">
        <v>6068</v>
      </c>
      <c r="D4756" s="292" t="s">
        <v>951</v>
      </c>
      <c r="E4756" s="153" t="s">
        <v>6190</v>
      </c>
      <c r="F4756" s="154" t="s">
        <v>6191</v>
      </c>
      <c r="G4756" s="154" t="s">
        <v>88</v>
      </c>
      <c r="H4756" s="110" t="s">
        <v>6192</v>
      </c>
      <c r="I4756" s="30" t="e">
        <f>VLOOKUP(H4756,'合同高级查询数据-4月返'!A:A,1,FALSE)</f>
        <v>#N/A</v>
      </c>
      <c r="J4756" s="31" t="s">
        <v>162</v>
      </c>
      <c r="K4756" s="154" t="s">
        <v>6193</v>
      </c>
      <c r="L4756" s="293" t="s">
        <v>6196</v>
      </c>
      <c r="M4756" s="113" t="s">
        <v>6194</v>
      </c>
      <c r="N4756" s="146">
        <v>44011</v>
      </c>
      <c r="O4756" s="146" t="s">
        <v>503</v>
      </c>
      <c r="P4756" s="400">
        <v>5500</v>
      </c>
      <c r="Q4756" s="295">
        <v>1</v>
      </c>
      <c r="R4756" s="390">
        <f t="shared" si="153"/>
        <v>5500</v>
      </c>
      <c r="S4756" s="277">
        <v>202304</v>
      </c>
      <c r="T4756" s="198" t="s">
        <v>6199</v>
      </c>
      <c r="U4756" s="391"/>
      <c r="V4756" s="61"/>
      <c r="W4756" s="393"/>
      <c r="X4756" s="146"/>
      <c r="Y4756" s="146"/>
    </row>
    <row r="4757" s="3" customFormat="1" customHeight="1" spans="1:25">
      <c r="A4757" s="154" t="s">
        <v>444</v>
      </c>
      <c r="B4757" s="292" t="s">
        <v>5041</v>
      </c>
      <c r="C4757" s="292" t="s">
        <v>6068</v>
      </c>
      <c r="D4757" s="292" t="s">
        <v>951</v>
      </c>
      <c r="E4757" s="153" t="s">
        <v>6190</v>
      </c>
      <c r="F4757" s="154" t="s">
        <v>6191</v>
      </c>
      <c r="G4757" s="154" t="s">
        <v>88</v>
      </c>
      <c r="H4757" s="110" t="s">
        <v>6192</v>
      </c>
      <c r="I4757" s="30" t="e">
        <f>VLOOKUP(H4757,'合同高级查询数据-4月返'!A:A,1,FALSE)</f>
        <v>#N/A</v>
      </c>
      <c r="J4757" s="31" t="s">
        <v>162</v>
      </c>
      <c r="K4757" s="154" t="s">
        <v>6193</v>
      </c>
      <c r="L4757" s="293" t="s">
        <v>6196</v>
      </c>
      <c r="M4757" s="113" t="s">
        <v>6194</v>
      </c>
      <c r="N4757" s="146">
        <v>44712</v>
      </c>
      <c r="O4757" s="146" t="s">
        <v>503</v>
      </c>
      <c r="P4757" s="400">
        <v>5000</v>
      </c>
      <c r="Q4757" s="295">
        <v>-2</v>
      </c>
      <c r="R4757" s="390">
        <f t="shared" si="153"/>
        <v>-10000</v>
      </c>
      <c r="S4757" s="277">
        <v>202304</v>
      </c>
      <c r="T4757" s="198" t="s">
        <v>6200</v>
      </c>
      <c r="U4757" s="391"/>
      <c r="V4757" s="61"/>
      <c r="W4757" s="393"/>
      <c r="X4757" s="146"/>
      <c r="Y4757" s="146"/>
    </row>
    <row r="4758" s="3" customFormat="1" customHeight="1" spans="1:25">
      <c r="A4758" s="154" t="s">
        <v>444</v>
      </c>
      <c r="B4758" s="292" t="s">
        <v>5041</v>
      </c>
      <c r="C4758" s="292" t="s">
        <v>6068</v>
      </c>
      <c r="D4758" s="292" t="s">
        <v>951</v>
      </c>
      <c r="E4758" s="153" t="s">
        <v>6190</v>
      </c>
      <c r="F4758" s="154" t="s">
        <v>6191</v>
      </c>
      <c r="G4758" s="154" t="s">
        <v>31</v>
      </c>
      <c r="H4758" s="110" t="s">
        <v>6192</v>
      </c>
      <c r="I4758" s="30" t="e">
        <f>VLOOKUP(H4758,'合同高级查询数据-4月返'!A:A,1,FALSE)</f>
        <v>#N/A</v>
      </c>
      <c r="J4758" s="31" t="s">
        <v>33</v>
      </c>
      <c r="K4758" s="154" t="s">
        <v>6193</v>
      </c>
      <c r="L4758" s="293" t="s">
        <v>6196</v>
      </c>
      <c r="M4758" s="113" t="s">
        <v>6194</v>
      </c>
      <c r="N4758" s="146">
        <v>44011</v>
      </c>
      <c r="O4758" s="146" t="s">
        <v>37</v>
      </c>
      <c r="P4758" s="400">
        <v>0</v>
      </c>
      <c r="Q4758" s="295">
        <v>128</v>
      </c>
      <c r="R4758" s="390">
        <f t="shared" si="153"/>
        <v>0</v>
      </c>
      <c r="S4758" s="277">
        <v>202304</v>
      </c>
      <c r="T4758" s="198" t="s">
        <v>6201</v>
      </c>
      <c r="U4758" s="391"/>
      <c r="V4758" s="61"/>
      <c r="W4758" s="393"/>
      <c r="X4758" s="146"/>
      <c r="Y4758" s="146"/>
    </row>
    <row r="4759" s="3" customFormat="1" customHeight="1" spans="1:25">
      <c r="A4759" s="154" t="s">
        <v>444</v>
      </c>
      <c r="B4759" s="292" t="s">
        <v>5041</v>
      </c>
      <c r="C4759" s="292" t="s">
        <v>6068</v>
      </c>
      <c r="D4759" s="292" t="s">
        <v>951</v>
      </c>
      <c r="E4759" s="153" t="s">
        <v>6190</v>
      </c>
      <c r="F4759" s="154" t="s">
        <v>6191</v>
      </c>
      <c r="G4759" s="154" t="s">
        <v>31</v>
      </c>
      <c r="H4759" s="110" t="s">
        <v>6192</v>
      </c>
      <c r="I4759" s="30" t="e">
        <f>VLOOKUP(H4759,'合同高级查询数据-4月返'!A:A,1,FALSE)</f>
        <v>#N/A</v>
      </c>
      <c r="J4759" s="31" t="s">
        <v>33</v>
      </c>
      <c r="K4759" s="154" t="s">
        <v>6193</v>
      </c>
      <c r="L4759" s="293" t="s">
        <v>6202</v>
      </c>
      <c r="M4759" s="113" t="s">
        <v>6194</v>
      </c>
      <c r="N4759" s="146">
        <v>43475</v>
      </c>
      <c r="O4759" s="146" t="s">
        <v>37</v>
      </c>
      <c r="P4759" s="400">
        <v>0</v>
      </c>
      <c r="Q4759" s="295">
        <v>160</v>
      </c>
      <c r="R4759" s="390">
        <f t="shared" si="153"/>
        <v>0</v>
      </c>
      <c r="S4759" s="277">
        <v>202304</v>
      </c>
      <c r="T4759" s="198" t="s">
        <v>6203</v>
      </c>
      <c r="U4759" s="391"/>
      <c r="V4759" s="61"/>
      <c r="W4759" s="393"/>
      <c r="X4759" s="146"/>
      <c r="Y4759" s="146"/>
    </row>
    <row r="4760" s="3" customFormat="1" customHeight="1" spans="1:25">
      <c r="A4760" s="154" t="s">
        <v>444</v>
      </c>
      <c r="B4760" s="292" t="s">
        <v>5041</v>
      </c>
      <c r="C4760" s="292" t="s">
        <v>6068</v>
      </c>
      <c r="D4760" s="292" t="s">
        <v>951</v>
      </c>
      <c r="E4760" s="153" t="s">
        <v>6190</v>
      </c>
      <c r="F4760" s="154" t="s">
        <v>6191</v>
      </c>
      <c r="G4760" s="154" t="s">
        <v>31</v>
      </c>
      <c r="H4760" s="110" t="s">
        <v>6192</v>
      </c>
      <c r="I4760" s="30" t="e">
        <f>VLOOKUP(H4760,'合同高级查询数据-4月返'!A:A,1,FALSE)</f>
        <v>#N/A</v>
      </c>
      <c r="J4760" s="31" t="s">
        <v>33</v>
      </c>
      <c r="K4760" s="154" t="s">
        <v>6193</v>
      </c>
      <c r="L4760" s="293" t="s">
        <v>6202</v>
      </c>
      <c r="M4760" s="113" t="s">
        <v>6194</v>
      </c>
      <c r="N4760" s="146">
        <v>44712</v>
      </c>
      <c r="O4760" s="146" t="s">
        <v>37</v>
      </c>
      <c r="P4760" s="400">
        <v>0</v>
      </c>
      <c r="Q4760" s="295">
        <v>-160</v>
      </c>
      <c r="R4760" s="390">
        <f t="shared" si="153"/>
        <v>0</v>
      </c>
      <c r="S4760" s="277">
        <v>202304</v>
      </c>
      <c r="T4760" s="198" t="s">
        <v>6204</v>
      </c>
      <c r="U4760" s="391"/>
      <c r="V4760" s="61"/>
      <c r="W4760" s="393"/>
      <c r="X4760" s="146"/>
      <c r="Y4760" s="146"/>
    </row>
    <row r="4761" s="3" customFormat="1" customHeight="1" spans="1:25">
      <c r="A4761" s="154" t="s">
        <v>444</v>
      </c>
      <c r="B4761" s="292" t="s">
        <v>5041</v>
      </c>
      <c r="C4761" s="292" t="s">
        <v>6068</v>
      </c>
      <c r="D4761" s="292" t="s">
        <v>951</v>
      </c>
      <c r="E4761" s="153" t="s">
        <v>6190</v>
      </c>
      <c r="F4761" s="154" t="s">
        <v>6191</v>
      </c>
      <c r="G4761" s="154" t="s">
        <v>88</v>
      </c>
      <c r="H4761" s="110" t="s">
        <v>6192</v>
      </c>
      <c r="I4761" s="30" t="e">
        <f>VLOOKUP(H4761,'合同高级查询数据-4月返'!A:A,1,FALSE)</f>
        <v>#N/A</v>
      </c>
      <c r="J4761" s="31" t="s">
        <v>162</v>
      </c>
      <c r="K4761" s="154" t="s">
        <v>6193</v>
      </c>
      <c r="L4761" s="293" t="s">
        <v>6196</v>
      </c>
      <c r="M4761" s="113" t="s">
        <v>6194</v>
      </c>
      <c r="N4761" s="146">
        <v>44783</v>
      </c>
      <c r="O4761" s="146" t="s">
        <v>163</v>
      </c>
      <c r="P4761" s="400">
        <v>5500</v>
      </c>
      <c r="Q4761" s="295">
        <v>-1</v>
      </c>
      <c r="R4761" s="390">
        <f t="shared" si="153"/>
        <v>-5500</v>
      </c>
      <c r="S4761" s="277">
        <v>202304</v>
      </c>
      <c r="T4761" s="198" t="s">
        <v>6205</v>
      </c>
      <c r="U4761" s="391"/>
      <c r="V4761" s="61"/>
      <c r="W4761" s="393"/>
      <c r="X4761" s="146"/>
      <c r="Y4761" s="146"/>
    </row>
    <row r="4762" s="3" customFormat="1" customHeight="1" spans="1:25">
      <c r="A4762" s="154" t="s">
        <v>444</v>
      </c>
      <c r="B4762" s="292" t="s">
        <v>5041</v>
      </c>
      <c r="C4762" s="292" t="s">
        <v>6068</v>
      </c>
      <c r="D4762" s="292" t="s">
        <v>951</v>
      </c>
      <c r="E4762" s="153" t="s">
        <v>6190</v>
      </c>
      <c r="F4762" s="154" t="s">
        <v>6191</v>
      </c>
      <c r="G4762" s="154" t="s">
        <v>88</v>
      </c>
      <c r="H4762" s="110" t="s">
        <v>6192</v>
      </c>
      <c r="I4762" s="30" t="e">
        <f>VLOOKUP(H4762,'合同高级查询数据-4月返'!A:A,1,FALSE)</f>
        <v>#N/A</v>
      </c>
      <c r="J4762" s="31" t="s">
        <v>162</v>
      </c>
      <c r="K4762" s="154" t="s">
        <v>6193</v>
      </c>
      <c r="L4762" s="293" t="s">
        <v>6196</v>
      </c>
      <c r="M4762" s="113" t="s">
        <v>6194</v>
      </c>
      <c r="N4762" s="146">
        <v>45016</v>
      </c>
      <c r="O4762" s="146" t="s">
        <v>163</v>
      </c>
      <c r="P4762" s="400">
        <v>5500</v>
      </c>
      <c r="Q4762" s="295">
        <v>-1</v>
      </c>
      <c r="R4762" s="390">
        <v>-5500</v>
      </c>
      <c r="S4762" s="277">
        <v>202304</v>
      </c>
      <c r="T4762" s="198" t="s">
        <v>6206</v>
      </c>
      <c r="U4762" s="391"/>
      <c r="V4762" s="61"/>
      <c r="W4762" s="393"/>
      <c r="X4762" s="146"/>
      <c r="Y4762" s="146"/>
    </row>
    <row r="4763" s="3" customFormat="1" customHeight="1" spans="1:25">
      <c r="A4763" s="154" t="s">
        <v>444</v>
      </c>
      <c r="B4763" s="292" t="s">
        <v>5041</v>
      </c>
      <c r="C4763" s="292" t="s">
        <v>6068</v>
      </c>
      <c r="D4763" s="292" t="s">
        <v>951</v>
      </c>
      <c r="E4763" s="153" t="s">
        <v>6190</v>
      </c>
      <c r="F4763" s="154" t="s">
        <v>6191</v>
      </c>
      <c r="G4763" s="154" t="s">
        <v>31</v>
      </c>
      <c r="H4763" s="110" t="s">
        <v>6192</v>
      </c>
      <c r="I4763" s="30" t="e">
        <f>VLOOKUP(H4763,'合同高级查询数据-4月返'!A:A,1,FALSE)</f>
        <v>#N/A</v>
      </c>
      <c r="J4763" s="31" t="s">
        <v>33</v>
      </c>
      <c r="K4763" s="154" t="s">
        <v>6193</v>
      </c>
      <c r="L4763" s="293" t="s">
        <v>6196</v>
      </c>
      <c r="M4763" s="113" t="s">
        <v>6194</v>
      </c>
      <c r="N4763" s="146">
        <v>44783</v>
      </c>
      <c r="O4763" s="146" t="s">
        <v>37</v>
      </c>
      <c r="P4763" s="400">
        <v>0</v>
      </c>
      <c r="Q4763" s="295">
        <v>-128</v>
      </c>
      <c r="R4763" s="390">
        <f t="shared" si="153"/>
        <v>0</v>
      </c>
      <c r="S4763" s="277">
        <v>202304</v>
      </c>
      <c r="T4763" s="198" t="s">
        <v>6207</v>
      </c>
      <c r="U4763" s="391"/>
      <c r="V4763" s="61"/>
      <c r="W4763" s="393"/>
      <c r="X4763" s="146"/>
      <c r="Y4763" s="146"/>
    </row>
    <row r="4764" s="3" customFormat="1" customHeight="1" spans="1:25">
      <c r="A4764" s="154" t="s">
        <v>444</v>
      </c>
      <c r="B4764" s="292" t="s">
        <v>5041</v>
      </c>
      <c r="C4764" s="292" t="s">
        <v>6068</v>
      </c>
      <c r="D4764" s="292" t="s">
        <v>951</v>
      </c>
      <c r="E4764" s="153" t="s">
        <v>6190</v>
      </c>
      <c r="F4764" s="154" t="s">
        <v>6191</v>
      </c>
      <c r="G4764" s="154" t="s">
        <v>31</v>
      </c>
      <c r="H4764" s="110" t="s">
        <v>6192</v>
      </c>
      <c r="I4764" s="30" t="e">
        <f>VLOOKUP(H4764,'合同高级查询数据-4月返'!A:A,1,FALSE)</f>
        <v>#N/A</v>
      </c>
      <c r="J4764" s="31" t="s">
        <v>33</v>
      </c>
      <c r="K4764" s="154" t="s">
        <v>6193</v>
      </c>
      <c r="L4764" s="293" t="s">
        <v>6196</v>
      </c>
      <c r="M4764" s="113" t="s">
        <v>6194</v>
      </c>
      <c r="N4764" s="146">
        <v>45016</v>
      </c>
      <c r="O4764" s="146" t="s">
        <v>37</v>
      </c>
      <c r="P4764" s="400">
        <v>0</v>
      </c>
      <c r="Q4764" s="295">
        <v>-128</v>
      </c>
      <c r="R4764" s="390">
        <v>0</v>
      </c>
      <c r="S4764" s="277">
        <v>202304</v>
      </c>
      <c r="T4764" s="198" t="s">
        <v>6208</v>
      </c>
      <c r="U4764" s="391"/>
      <c r="V4764" s="61"/>
      <c r="W4764" s="393"/>
      <c r="X4764" s="146"/>
      <c r="Y4764" s="146"/>
    </row>
    <row r="4765" s="3" customFormat="1" customHeight="1" spans="1:25">
      <c r="A4765" s="154" t="s">
        <v>444</v>
      </c>
      <c r="B4765" s="292" t="s">
        <v>5041</v>
      </c>
      <c r="C4765" s="292" t="s">
        <v>6083</v>
      </c>
      <c r="D4765" s="292" t="s">
        <v>642</v>
      </c>
      <c r="E4765" s="153" t="s">
        <v>6209</v>
      </c>
      <c r="F4765" s="154" t="s">
        <v>6210</v>
      </c>
      <c r="G4765" s="154" t="s">
        <v>88</v>
      </c>
      <c r="H4765" s="110" t="s">
        <v>6211</v>
      </c>
      <c r="I4765" s="30" t="e">
        <f>VLOOKUP(H4765,'合同高级查询数据-4月返'!A:A,1,FALSE)</f>
        <v>#N/A</v>
      </c>
      <c r="J4765" s="31" t="s">
        <v>162</v>
      </c>
      <c r="K4765" s="154" t="s">
        <v>6103</v>
      </c>
      <c r="L4765" s="293"/>
      <c r="M4765" s="113" t="s">
        <v>6212</v>
      </c>
      <c r="N4765" s="146">
        <v>43008</v>
      </c>
      <c r="O4765" s="146" t="s">
        <v>163</v>
      </c>
      <c r="P4765" s="400">
        <v>5000</v>
      </c>
      <c r="Q4765" s="295">
        <v>2</v>
      </c>
      <c r="R4765" s="390">
        <f t="shared" si="153"/>
        <v>10000</v>
      </c>
      <c r="S4765" s="277">
        <v>202304</v>
      </c>
      <c r="T4765" s="198" t="s">
        <v>6213</v>
      </c>
      <c r="U4765" s="391"/>
      <c r="V4765" s="61"/>
      <c r="W4765" s="393"/>
      <c r="X4765" s="146"/>
      <c r="Y4765" s="146"/>
    </row>
    <row r="4766" s="3" customFormat="1" customHeight="1" spans="1:25">
      <c r="A4766" s="154" t="s">
        <v>444</v>
      </c>
      <c r="B4766" s="292" t="s">
        <v>5041</v>
      </c>
      <c r="C4766" s="292" t="s">
        <v>6083</v>
      </c>
      <c r="D4766" s="292" t="s">
        <v>642</v>
      </c>
      <c r="E4766" s="153" t="s">
        <v>6209</v>
      </c>
      <c r="F4766" s="154" t="s">
        <v>6210</v>
      </c>
      <c r="G4766" s="154" t="s">
        <v>31</v>
      </c>
      <c r="H4766" s="110" t="s">
        <v>6211</v>
      </c>
      <c r="I4766" s="30" t="e">
        <f>VLOOKUP(H4766,'合同高级查询数据-4月返'!A:A,1,FALSE)</f>
        <v>#N/A</v>
      </c>
      <c r="J4766" s="31" t="s">
        <v>33</v>
      </c>
      <c r="K4766" s="154" t="s">
        <v>6103</v>
      </c>
      <c r="L4766" s="293" t="s">
        <v>6210</v>
      </c>
      <c r="M4766" s="113" t="s">
        <v>6023</v>
      </c>
      <c r="N4766" s="146">
        <v>43008</v>
      </c>
      <c r="O4766" s="146" t="s">
        <v>37</v>
      </c>
      <c r="P4766" s="400">
        <v>0</v>
      </c>
      <c r="Q4766" s="295">
        <v>288</v>
      </c>
      <c r="R4766" s="390">
        <f t="shared" si="153"/>
        <v>0</v>
      </c>
      <c r="S4766" s="277">
        <v>202304</v>
      </c>
      <c r="T4766" s="198" t="s">
        <v>6214</v>
      </c>
      <c r="U4766" s="391"/>
      <c r="V4766" s="61"/>
      <c r="W4766" s="393"/>
      <c r="X4766" s="146"/>
      <c r="Y4766" s="146"/>
    </row>
    <row r="4767" s="3" customFormat="1" customHeight="1" spans="1:25">
      <c r="A4767" s="154" t="s">
        <v>444</v>
      </c>
      <c r="B4767" s="292" t="s">
        <v>5041</v>
      </c>
      <c r="C4767" s="292" t="s">
        <v>6083</v>
      </c>
      <c r="D4767" s="292" t="s">
        <v>642</v>
      </c>
      <c r="E4767" s="153" t="s">
        <v>6209</v>
      </c>
      <c r="F4767" s="154" t="s">
        <v>6210</v>
      </c>
      <c r="G4767" s="154" t="s">
        <v>88</v>
      </c>
      <c r="H4767" s="110" t="s">
        <v>6211</v>
      </c>
      <c r="I4767" s="30" t="e">
        <f>VLOOKUP(H4767,'合同高级查询数据-4月返'!A:A,1,FALSE)</f>
        <v>#N/A</v>
      </c>
      <c r="J4767" s="31" t="s">
        <v>162</v>
      </c>
      <c r="K4767" s="154" t="s">
        <v>6103</v>
      </c>
      <c r="L4767" s="293" t="s">
        <v>6215</v>
      </c>
      <c r="M4767" s="113" t="s">
        <v>6216</v>
      </c>
      <c r="N4767" s="146" t="s">
        <v>1329</v>
      </c>
      <c r="O4767" s="146" t="s">
        <v>503</v>
      </c>
      <c r="P4767" s="400">
        <v>5500</v>
      </c>
      <c r="Q4767" s="295">
        <v>1</v>
      </c>
      <c r="R4767" s="390">
        <f t="shared" si="153"/>
        <v>5500</v>
      </c>
      <c r="S4767" s="277">
        <v>202304</v>
      </c>
      <c r="T4767" s="198" t="s">
        <v>6217</v>
      </c>
      <c r="U4767" s="391"/>
      <c r="V4767" s="61"/>
      <c r="W4767" s="393"/>
      <c r="X4767" s="146"/>
      <c r="Y4767" s="146"/>
    </row>
    <row r="4768" s="3" customFormat="1" customHeight="1" spans="1:25">
      <c r="A4768" s="154" t="s">
        <v>444</v>
      </c>
      <c r="B4768" s="292" t="s">
        <v>5041</v>
      </c>
      <c r="C4768" s="292" t="s">
        <v>6083</v>
      </c>
      <c r="D4768" s="292" t="s">
        <v>642</v>
      </c>
      <c r="E4768" s="153" t="s">
        <v>6209</v>
      </c>
      <c r="F4768" s="154" t="s">
        <v>6210</v>
      </c>
      <c r="G4768" s="154" t="s">
        <v>88</v>
      </c>
      <c r="H4768" s="110" t="s">
        <v>6211</v>
      </c>
      <c r="I4768" s="30" t="e">
        <f>VLOOKUP(H4768,'合同高级查询数据-4月返'!A:A,1,FALSE)</f>
        <v>#N/A</v>
      </c>
      <c r="J4768" s="31" t="s">
        <v>162</v>
      </c>
      <c r="K4768" s="154" t="s">
        <v>6103</v>
      </c>
      <c r="L4768" s="293"/>
      <c r="M4768" s="113" t="s">
        <v>6216</v>
      </c>
      <c r="N4768" s="146" t="s">
        <v>1329</v>
      </c>
      <c r="O4768" s="146" t="s">
        <v>503</v>
      </c>
      <c r="P4768" s="400">
        <v>5500</v>
      </c>
      <c r="Q4768" s="295">
        <v>2</v>
      </c>
      <c r="R4768" s="390">
        <f t="shared" si="153"/>
        <v>11000</v>
      </c>
      <c r="S4768" s="277">
        <v>202304</v>
      </c>
      <c r="T4768" s="198" t="s">
        <v>6218</v>
      </c>
      <c r="U4768" s="391"/>
      <c r="V4768" s="61"/>
      <c r="W4768" s="393"/>
      <c r="X4768" s="146"/>
      <c r="Y4768" s="146"/>
    </row>
    <row r="4769" s="3" customFormat="1" customHeight="1" spans="1:25">
      <c r="A4769" s="154" t="s">
        <v>444</v>
      </c>
      <c r="B4769" s="292" t="s">
        <v>5041</v>
      </c>
      <c r="C4769" s="292" t="s">
        <v>6083</v>
      </c>
      <c r="D4769" s="292" t="s">
        <v>642</v>
      </c>
      <c r="E4769" s="153" t="s">
        <v>6209</v>
      </c>
      <c r="F4769" s="154" t="s">
        <v>6210</v>
      </c>
      <c r="G4769" s="154" t="s">
        <v>31</v>
      </c>
      <c r="H4769" s="110" t="s">
        <v>6211</v>
      </c>
      <c r="I4769" s="30" t="e">
        <f>VLOOKUP(H4769,'合同高级查询数据-4月返'!A:A,1,FALSE)</f>
        <v>#N/A</v>
      </c>
      <c r="J4769" s="31" t="s">
        <v>33</v>
      </c>
      <c r="K4769" s="154" t="s">
        <v>6219</v>
      </c>
      <c r="L4769" s="293" t="s">
        <v>6215</v>
      </c>
      <c r="M4769" s="113" t="s">
        <v>6023</v>
      </c>
      <c r="N4769" s="146">
        <v>43008</v>
      </c>
      <c r="O4769" s="146" t="s">
        <v>37</v>
      </c>
      <c r="P4769" s="400">
        <v>0</v>
      </c>
      <c r="Q4769" s="295">
        <v>288</v>
      </c>
      <c r="R4769" s="390">
        <f t="shared" si="153"/>
        <v>0</v>
      </c>
      <c r="S4769" s="277">
        <v>202304</v>
      </c>
      <c r="T4769" s="198" t="s">
        <v>6214</v>
      </c>
      <c r="U4769" s="391"/>
      <c r="V4769" s="61"/>
      <c r="W4769" s="393"/>
      <c r="X4769" s="146"/>
      <c r="Y4769" s="146"/>
    </row>
    <row r="4770" s="3" customFormat="1" customHeight="1" spans="1:25">
      <c r="A4770" s="154" t="s">
        <v>444</v>
      </c>
      <c r="B4770" s="292" t="s">
        <v>5041</v>
      </c>
      <c r="C4770" s="292" t="s">
        <v>6083</v>
      </c>
      <c r="D4770" s="292" t="s">
        <v>642</v>
      </c>
      <c r="E4770" s="153" t="s">
        <v>6209</v>
      </c>
      <c r="F4770" s="154" t="s">
        <v>6210</v>
      </c>
      <c r="G4770" s="154" t="s">
        <v>88</v>
      </c>
      <c r="H4770" s="110" t="s">
        <v>6211</v>
      </c>
      <c r="I4770" s="30" t="e">
        <f>VLOOKUP(H4770,'合同高级查询数据-4月返'!A:A,1,FALSE)</f>
        <v>#N/A</v>
      </c>
      <c r="J4770" s="31" t="s">
        <v>162</v>
      </c>
      <c r="K4770" s="154" t="s">
        <v>6220</v>
      </c>
      <c r="L4770" s="293" t="s">
        <v>6221</v>
      </c>
      <c r="M4770" s="113" t="s">
        <v>6216</v>
      </c>
      <c r="N4770" s="146">
        <v>43354</v>
      </c>
      <c r="O4770" s="146" t="s">
        <v>503</v>
      </c>
      <c r="P4770" s="400">
        <v>5500</v>
      </c>
      <c r="Q4770" s="295">
        <v>3</v>
      </c>
      <c r="R4770" s="390">
        <f t="shared" si="153"/>
        <v>16500</v>
      </c>
      <c r="S4770" s="277">
        <v>202304</v>
      </c>
      <c r="T4770" s="198"/>
      <c r="U4770" s="391"/>
      <c r="V4770" s="61"/>
      <c r="W4770" s="393"/>
      <c r="X4770" s="146"/>
      <c r="Y4770" s="146"/>
    </row>
    <row r="4771" s="3" customFormat="1" customHeight="1" spans="1:25">
      <c r="A4771" s="154" t="s">
        <v>444</v>
      </c>
      <c r="B4771" s="292" t="s">
        <v>5041</v>
      </c>
      <c r="C4771" s="292" t="s">
        <v>6083</v>
      </c>
      <c r="D4771" s="292" t="s">
        <v>642</v>
      </c>
      <c r="E4771" s="153" t="s">
        <v>6209</v>
      </c>
      <c r="F4771" s="154" t="s">
        <v>6210</v>
      </c>
      <c r="G4771" s="154" t="s">
        <v>31</v>
      </c>
      <c r="H4771" s="110" t="s">
        <v>6211</v>
      </c>
      <c r="I4771" s="30" t="e">
        <f>VLOOKUP(H4771,'合同高级查询数据-4月返'!A:A,1,FALSE)</f>
        <v>#N/A</v>
      </c>
      <c r="J4771" s="31" t="s">
        <v>33</v>
      </c>
      <c r="K4771" s="154" t="s">
        <v>6222</v>
      </c>
      <c r="L4771" s="293" t="s">
        <v>6223</v>
      </c>
      <c r="M4771" s="113" t="s">
        <v>6023</v>
      </c>
      <c r="N4771" s="146">
        <v>43354</v>
      </c>
      <c r="O4771" s="146" t="s">
        <v>37</v>
      </c>
      <c r="P4771" s="400">
        <v>0</v>
      </c>
      <c r="Q4771" s="295">
        <v>416</v>
      </c>
      <c r="R4771" s="390">
        <f t="shared" si="153"/>
        <v>0</v>
      </c>
      <c r="S4771" s="277">
        <v>202304</v>
      </c>
      <c r="T4771" s="198" t="s">
        <v>6224</v>
      </c>
      <c r="U4771" s="391"/>
      <c r="V4771" s="61"/>
      <c r="W4771" s="393"/>
      <c r="X4771" s="146"/>
      <c r="Y4771" s="146"/>
    </row>
    <row r="4772" s="3" customFormat="1" customHeight="1" spans="1:25">
      <c r="A4772" s="154" t="s">
        <v>444</v>
      </c>
      <c r="B4772" s="292" t="s">
        <v>5041</v>
      </c>
      <c r="C4772" s="292" t="s">
        <v>6083</v>
      </c>
      <c r="D4772" s="292" t="s">
        <v>642</v>
      </c>
      <c r="E4772" s="153" t="s">
        <v>6209</v>
      </c>
      <c r="F4772" s="154" t="s">
        <v>6210</v>
      </c>
      <c r="G4772" s="154" t="s">
        <v>88</v>
      </c>
      <c r="H4772" s="110" t="s">
        <v>6211</v>
      </c>
      <c r="I4772" s="30" t="e">
        <f>VLOOKUP(H4772,'合同高级查询数据-4月返'!A:A,1,FALSE)</f>
        <v>#N/A</v>
      </c>
      <c r="J4772" s="31" t="s">
        <v>162</v>
      </c>
      <c r="K4772" s="154" t="s">
        <v>6103</v>
      </c>
      <c r="L4772" s="293" t="s">
        <v>6221</v>
      </c>
      <c r="M4772" s="113" t="s">
        <v>6216</v>
      </c>
      <c r="N4772" s="146">
        <v>44011</v>
      </c>
      <c r="O4772" s="146" t="s">
        <v>503</v>
      </c>
      <c r="P4772" s="400">
        <v>5500</v>
      </c>
      <c r="Q4772" s="295">
        <v>1</v>
      </c>
      <c r="R4772" s="390">
        <f t="shared" si="153"/>
        <v>5500</v>
      </c>
      <c r="S4772" s="277">
        <v>202304</v>
      </c>
      <c r="T4772" s="198" t="s">
        <v>6225</v>
      </c>
      <c r="U4772" s="391"/>
      <c r="V4772" s="61"/>
      <c r="W4772" s="393"/>
      <c r="X4772" s="146"/>
      <c r="Y4772" s="146"/>
    </row>
    <row r="4773" s="3" customFormat="1" customHeight="1" spans="1:25">
      <c r="A4773" s="154" t="s">
        <v>444</v>
      </c>
      <c r="B4773" s="292" t="s">
        <v>5041</v>
      </c>
      <c r="C4773" s="292" t="s">
        <v>6083</v>
      </c>
      <c r="D4773" s="292" t="s">
        <v>642</v>
      </c>
      <c r="E4773" s="153" t="s">
        <v>6209</v>
      </c>
      <c r="F4773" s="154" t="s">
        <v>6210</v>
      </c>
      <c r="G4773" s="154" t="s">
        <v>88</v>
      </c>
      <c r="H4773" s="110" t="s">
        <v>6211</v>
      </c>
      <c r="I4773" s="30" t="e">
        <f>VLOOKUP(H4773,'合同高级查询数据-4月返'!A:A,1,FALSE)</f>
        <v>#N/A</v>
      </c>
      <c r="J4773" s="31" t="s">
        <v>162</v>
      </c>
      <c r="K4773" s="154" t="s">
        <v>6103</v>
      </c>
      <c r="L4773" s="293" t="s">
        <v>6221</v>
      </c>
      <c r="M4773" s="113" t="s">
        <v>6216</v>
      </c>
      <c r="N4773" s="146">
        <v>44681</v>
      </c>
      <c r="O4773" s="146" t="s">
        <v>503</v>
      </c>
      <c r="P4773" s="400">
        <v>5500</v>
      </c>
      <c r="Q4773" s="295">
        <v>-2</v>
      </c>
      <c r="R4773" s="390">
        <f t="shared" si="153"/>
        <v>-11000</v>
      </c>
      <c r="S4773" s="277">
        <v>202304</v>
      </c>
      <c r="T4773" s="198" t="s">
        <v>6226</v>
      </c>
      <c r="U4773" s="391"/>
      <c r="V4773" s="61"/>
      <c r="W4773" s="393"/>
      <c r="X4773" s="146"/>
      <c r="Y4773" s="146"/>
    </row>
    <row r="4774" s="3" customFormat="1" customHeight="1" spans="1:25">
      <c r="A4774" s="154" t="s">
        <v>444</v>
      </c>
      <c r="B4774" s="292" t="s">
        <v>5041</v>
      </c>
      <c r="C4774" s="292" t="s">
        <v>6083</v>
      </c>
      <c r="D4774" s="292" t="s">
        <v>642</v>
      </c>
      <c r="E4774" s="153" t="s">
        <v>6209</v>
      </c>
      <c r="F4774" s="154" t="s">
        <v>6210</v>
      </c>
      <c r="G4774" s="154" t="s">
        <v>88</v>
      </c>
      <c r="H4774" s="110" t="s">
        <v>6211</v>
      </c>
      <c r="I4774" s="30" t="e">
        <f>VLOOKUP(H4774,'合同高级查询数据-4月返'!A:A,1,FALSE)</f>
        <v>#N/A</v>
      </c>
      <c r="J4774" s="31" t="s">
        <v>162</v>
      </c>
      <c r="K4774" s="154" t="s">
        <v>6103</v>
      </c>
      <c r="L4774" s="293"/>
      <c r="M4774" s="113" t="s">
        <v>6216</v>
      </c>
      <c r="N4774" s="146">
        <v>44011</v>
      </c>
      <c r="O4774" s="146" t="s">
        <v>503</v>
      </c>
      <c r="P4774" s="400">
        <v>5500</v>
      </c>
      <c r="Q4774" s="295">
        <v>1</v>
      </c>
      <c r="R4774" s="390">
        <f t="shared" si="153"/>
        <v>5500</v>
      </c>
      <c r="S4774" s="277">
        <v>202304</v>
      </c>
      <c r="T4774" s="198" t="s">
        <v>6227</v>
      </c>
      <c r="U4774" s="391"/>
      <c r="V4774" s="61"/>
      <c r="W4774" s="393"/>
      <c r="X4774" s="146"/>
      <c r="Y4774" s="146"/>
    </row>
    <row r="4775" s="3" customFormat="1" customHeight="1" spans="1:25">
      <c r="A4775" s="154" t="s">
        <v>444</v>
      </c>
      <c r="B4775" s="292" t="s">
        <v>5041</v>
      </c>
      <c r="C4775" s="292" t="s">
        <v>6083</v>
      </c>
      <c r="D4775" s="292" t="s">
        <v>642</v>
      </c>
      <c r="E4775" s="153" t="s">
        <v>6209</v>
      </c>
      <c r="F4775" s="154" t="s">
        <v>6210</v>
      </c>
      <c r="G4775" s="154" t="s">
        <v>31</v>
      </c>
      <c r="H4775" s="110" t="s">
        <v>6211</v>
      </c>
      <c r="I4775" s="30" t="e">
        <f>VLOOKUP(H4775,'合同高级查询数据-4月返'!A:A,1,FALSE)</f>
        <v>#N/A</v>
      </c>
      <c r="J4775" s="31" t="s">
        <v>33</v>
      </c>
      <c r="K4775" s="154" t="s">
        <v>6103</v>
      </c>
      <c r="L4775" s="293"/>
      <c r="M4775" s="113" t="s">
        <v>6023</v>
      </c>
      <c r="N4775" s="146"/>
      <c r="O4775" s="146" t="s">
        <v>179</v>
      </c>
      <c r="P4775" s="400">
        <v>0</v>
      </c>
      <c r="Q4775" s="295">
        <v>3</v>
      </c>
      <c r="R4775" s="390">
        <f t="shared" si="153"/>
        <v>0</v>
      </c>
      <c r="S4775" s="277">
        <v>202304</v>
      </c>
      <c r="T4775" s="198" t="s">
        <v>6228</v>
      </c>
      <c r="U4775" s="391"/>
      <c r="V4775" s="61"/>
      <c r="W4775" s="393"/>
      <c r="X4775" s="146"/>
      <c r="Y4775" s="146"/>
    </row>
    <row r="4776" s="3" customFormat="1" customHeight="1" spans="1:25">
      <c r="A4776" s="154" t="s">
        <v>444</v>
      </c>
      <c r="B4776" s="292" t="s">
        <v>5041</v>
      </c>
      <c r="C4776" s="292" t="s">
        <v>6083</v>
      </c>
      <c r="D4776" s="292" t="s">
        <v>642</v>
      </c>
      <c r="E4776" s="153" t="s">
        <v>6209</v>
      </c>
      <c r="F4776" s="154" t="s">
        <v>6210</v>
      </c>
      <c r="G4776" s="154" t="s">
        <v>88</v>
      </c>
      <c r="H4776" s="110" t="s">
        <v>6211</v>
      </c>
      <c r="I4776" s="30" t="e">
        <f>VLOOKUP(H4776,'合同高级查询数据-4月返'!A:A,1,FALSE)</f>
        <v>#N/A</v>
      </c>
      <c r="J4776" s="31" t="s">
        <v>162</v>
      </c>
      <c r="K4776" s="154" t="s">
        <v>6103</v>
      </c>
      <c r="L4776" s="293" t="s">
        <v>6215</v>
      </c>
      <c r="M4776" s="113" t="s">
        <v>6216</v>
      </c>
      <c r="N4776" s="146">
        <v>44306</v>
      </c>
      <c r="O4776" s="146" t="s">
        <v>503</v>
      </c>
      <c r="P4776" s="400">
        <v>5500</v>
      </c>
      <c r="Q4776" s="295">
        <v>1</v>
      </c>
      <c r="R4776" s="390">
        <f t="shared" si="153"/>
        <v>5500</v>
      </c>
      <c r="S4776" s="277">
        <v>202304</v>
      </c>
      <c r="T4776" s="198" t="s">
        <v>6229</v>
      </c>
      <c r="U4776" s="391"/>
      <c r="V4776" s="61"/>
      <c r="W4776" s="393"/>
      <c r="X4776" s="146"/>
      <c r="Y4776" s="146"/>
    </row>
    <row r="4777" s="3" customFormat="1" customHeight="1" spans="1:25">
      <c r="A4777" s="154" t="s">
        <v>444</v>
      </c>
      <c r="B4777" s="292" t="s">
        <v>5041</v>
      </c>
      <c r="C4777" s="292" t="s">
        <v>6083</v>
      </c>
      <c r="D4777" s="292" t="s">
        <v>642</v>
      </c>
      <c r="E4777" s="153" t="s">
        <v>6209</v>
      </c>
      <c r="F4777" s="154" t="s">
        <v>6210</v>
      </c>
      <c r="G4777" s="154" t="s">
        <v>31</v>
      </c>
      <c r="H4777" s="110" t="s">
        <v>6211</v>
      </c>
      <c r="I4777" s="30" t="e">
        <f>VLOOKUP(H4777,'合同高级查询数据-4月返'!A:A,1,FALSE)</f>
        <v>#N/A</v>
      </c>
      <c r="J4777" s="31" t="s">
        <v>33</v>
      </c>
      <c r="K4777" s="154" t="s">
        <v>6103</v>
      </c>
      <c r="L4777" s="293" t="s">
        <v>6215</v>
      </c>
      <c r="M4777" s="113" t="s">
        <v>6216</v>
      </c>
      <c r="N4777" s="146">
        <v>44306</v>
      </c>
      <c r="O4777" s="146" t="s">
        <v>37</v>
      </c>
      <c r="P4777" s="400">
        <v>0</v>
      </c>
      <c r="Q4777" s="295">
        <v>128</v>
      </c>
      <c r="R4777" s="390">
        <f t="shared" si="153"/>
        <v>0</v>
      </c>
      <c r="S4777" s="277">
        <v>202304</v>
      </c>
      <c r="T4777" s="198" t="s">
        <v>6230</v>
      </c>
      <c r="U4777" s="391"/>
      <c r="V4777" s="61"/>
      <c r="W4777" s="393"/>
      <c r="X4777" s="146"/>
      <c r="Y4777" s="146"/>
    </row>
    <row r="4778" s="3" customFormat="1" customHeight="1" spans="1:25">
      <c r="A4778" s="154" t="s">
        <v>444</v>
      </c>
      <c r="B4778" s="292" t="s">
        <v>5041</v>
      </c>
      <c r="C4778" s="292" t="s">
        <v>6083</v>
      </c>
      <c r="D4778" s="292" t="s">
        <v>642</v>
      </c>
      <c r="E4778" s="153" t="s">
        <v>6209</v>
      </c>
      <c r="F4778" s="154" t="s">
        <v>6210</v>
      </c>
      <c r="G4778" s="154" t="s">
        <v>31</v>
      </c>
      <c r="H4778" s="110" t="s">
        <v>6211</v>
      </c>
      <c r="I4778" s="30" t="e">
        <f>VLOOKUP(H4778,'合同高级查询数据-4月返'!A:A,1,FALSE)</f>
        <v>#N/A</v>
      </c>
      <c r="J4778" s="31" t="s">
        <v>33</v>
      </c>
      <c r="K4778" s="154" t="s">
        <v>6103</v>
      </c>
      <c r="L4778" s="293" t="s">
        <v>6215</v>
      </c>
      <c r="M4778" s="113" t="s">
        <v>6216</v>
      </c>
      <c r="N4778" s="146">
        <v>44694</v>
      </c>
      <c r="O4778" s="146" t="s">
        <v>37</v>
      </c>
      <c r="P4778" s="400">
        <v>0</v>
      </c>
      <c r="Q4778" s="295">
        <v>-288</v>
      </c>
      <c r="R4778" s="390">
        <f t="shared" si="153"/>
        <v>0</v>
      </c>
      <c r="S4778" s="277">
        <v>202304</v>
      </c>
      <c r="T4778" s="198" t="s">
        <v>6231</v>
      </c>
      <c r="U4778" s="391"/>
      <c r="V4778" s="61"/>
      <c r="W4778" s="393"/>
      <c r="X4778" s="146"/>
      <c r="Y4778" s="146"/>
    </row>
    <row r="4779" s="3" customFormat="1" customHeight="1" spans="1:25">
      <c r="A4779" s="154" t="s">
        <v>444</v>
      </c>
      <c r="B4779" s="292" t="s">
        <v>5041</v>
      </c>
      <c r="C4779" s="292" t="s">
        <v>6083</v>
      </c>
      <c r="D4779" s="292" t="s">
        <v>642</v>
      </c>
      <c r="E4779" s="153" t="s">
        <v>6209</v>
      </c>
      <c r="F4779" s="154" t="s">
        <v>6210</v>
      </c>
      <c r="G4779" s="154" t="s">
        <v>88</v>
      </c>
      <c r="H4779" s="110" t="s">
        <v>6211</v>
      </c>
      <c r="I4779" s="30" t="e">
        <f>VLOOKUP(H4779,'合同高级查询数据-4月返'!A:A,1,FALSE)</f>
        <v>#N/A</v>
      </c>
      <c r="J4779" s="31" t="s">
        <v>162</v>
      </c>
      <c r="K4779" s="154" t="s">
        <v>6103</v>
      </c>
      <c r="L4779" s="293" t="s">
        <v>6215</v>
      </c>
      <c r="M4779" s="113" t="s">
        <v>6216</v>
      </c>
      <c r="N4779" s="146">
        <v>44489</v>
      </c>
      <c r="O4779" s="146" t="s">
        <v>503</v>
      </c>
      <c r="P4779" s="400">
        <v>5500</v>
      </c>
      <c r="Q4779" s="295">
        <v>1</v>
      </c>
      <c r="R4779" s="390">
        <f t="shared" si="153"/>
        <v>5500</v>
      </c>
      <c r="S4779" s="277">
        <v>202304</v>
      </c>
      <c r="T4779" s="198" t="s">
        <v>6232</v>
      </c>
      <c r="U4779" s="391"/>
      <c r="V4779" s="61"/>
      <c r="W4779" s="393"/>
      <c r="X4779" s="146"/>
      <c r="Y4779" s="146"/>
    </row>
    <row r="4780" s="3" customFormat="1" customHeight="1" spans="1:25">
      <c r="A4780" s="154" t="s">
        <v>444</v>
      </c>
      <c r="B4780" s="292" t="s">
        <v>5041</v>
      </c>
      <c r="C4780" s="292" t="s">
        <v>6083</v>
      </c>
      <c r="D4780" s="292" t="s">
        <v>642</v>
      </c>
      <c r="E4780" s="153" t="s">
        <v>6209</v>
      </c>
      <c r="F4780" s="154" t="s">
        <v>6210</v>
      </c>
      <c r="G4780" s="154" t="s">
        <v>88</v>
      </c>
      <c r="H4780" s="110" t="s">
        <v>6211</v>
      </c>
      <c r="I4780" s="30" t="e">
        <f>VLOOKUP(H4780,'合同高级查询数据-4月返'!A:A,1,FALSE)</f>
        <v>#N/A</v>
      </c>
      <c r="J4780" s="31" t="s">
        <v>162</v>
      </c>
      <c r="K4780" s="154" t="s">
        <v>6103</v>
      </c>
      <c r="L4780" s="293" t="s">
        <v>6215</v>
      </c>
      <c r="M4780" s="113" t="s">
        <v>6216</v>
      </c>
      <c r="N4780" s="146">
        <v>44694</v>
      </c>
      <c r="O4780" s="146" t="s">
        <v>503</v>
      </c>
      <c r="P4780" s="400">
        <v>5500</v>
      </c>
      <c r="Q4780" s="295">
        <v>-2</v>
      </c>
      <c r="R4780" s="390">
        <f t="shared" si="153"/>
        <v>-11000</v>
      </c>
      <c r="S4780" s="277">
        <v>202304</v>
      </c>
      <c r="T4780" s="198" t="s">
        <v>6233</v>
      </c>
      <c r="U4780" s="391"/>
      <c r="V4780" s="61"/>
      <c r="W4780" s="393"/>
      <c r="X4780" s="146"/>
      <c r="Y4780" s="146"/>
    </row>
    <row r="4781" s="3" customFormat="1" customHeight="1" spans="1:25">
      <c r="A4781" s="154" t="s">
        <v>444</v>
      </c>
      <c r="B4781" s="292" t="s">
        <v>5041</v>
      </c>
      <c r="C4781" s="292" t="s">
        <v>6083</v>
      </c>
      <c r="D4781" s="292" t="s">
        <v>642</v>
      </c>
      <c r="E4781" s="153" t="s">
        <v>6209</v>
      </c>
      <c r="F4781" s="154" t="s">
        <v>6210</v>
      </c>
      <c r="G4781" s="154" t="s">
        <v>88</v>
      </c>
      <c r="H4781" s="110" t="s">
        <v>6211</v>
      </c>
      <c r="I4781" s="30" t="e">
        <f>VLOOKUP(H4781,'合同高级查询数据-4月返'!A:A,1,FALSE)</f>
        <v>#N/A</v>
      </c>
      <c r="J4781" s="31" t="s">
        <v>162</v>
      </c>
      <c r="K4781" s="154" t="s">
        <v>6103</v>
      </c>
      <c r="L4781" s="293" t="s">
        <v>6210</v>
      </c>
      <c r="M4781" s="113" t="s">
        <v>6212</v>
      </c>
      <c r="N4781" s="146">
        <v>44773</v>
      </c>
      <c r="O4781" s="146" t="s">
        <v>503</v>
      </c>
      <c r="P4781" s="400">
        <v>5000</v>
      </c>
      <c r="Q4781" s="295">
        <v>-2</v>
      </c>
      <c r="R4781" s="390">
        <f t="shared" si="153"/>
        <v>-10000</v>
      </c>
      <c r="S4781" s="277">
        <v>202304</v>
      </c>
      <c r="T4781" s="198" t="s">
        <v>6234</v>
      </c>
      <c r="U4781" s="391"/>
      <c r="V4781" s="61"/>
      <c r="W4781" s="393"/>
      <c r="X4781" s="146"/>
      <c r="Y4781" s="146"/>
    </row>
    <row r="4782" s="3" customFormat="1" customHeight="1" spans="1:25">
      <c r="A4782" s="154" t="s">
        <v>444</v>
      </c>
      <c r="B4782" s="292" t="s">
        <v>5041</v>
      </c>
      <c r="C4782" s="292" t="s">
        <v>6083</v>
      </c>
      <c r="D4782" s="292" t="s">
        <v>642</v>
      </c>
      <c r="E4782" s="153" t="s">
        <v>6209</v>
      </c>
      <c r="F4782" s="154" t="s">
        <v>6210</v>
      </c>
      <c r="G4782" s="154" t="s">
        <v>31</v>
      </c>
      <c r="H4782" s="110" t="s">
        <v>6211</v>
      </c>
      <c r="I4782" s="30" t="e">
        <f>VLOOKUP(H4782,'合同高级查询数据-4月返'!A:A,1,FALSE)</f>
        <v>#N/A</v>
      </c>
      <c r="J4782" s="31" t="s">
        <v>33</v>
      </c>
      <c r="K4782" s="154" t="s">
        <v>6103</v>
      </c>
      <c r="L4782" s="293" t="s">
        <v>6210</v>
      </c>
      <c r="M4782" s="113" t="s">
        <v>6212</v>
      </c>
      <c r="N4782" s="146">
        <v>44773</v>
      </c>
      <c r="O4782" s="146" t="s">
        <v>37</v>
      </c>
      <c r="P4782" s="400">
        <v>0</v>
      </c>
      <c r="Q4782" s="295">
        <v>-288</v>
      </c>
      <c r="R4782" s="390">
        <f t="shared" si="153"/>
        <v>0</v>
      </c>
      <c r="S4782" s="277">
        <v>202304</v>
      </c>
      <c r="T4782" s="198" t="s">
        <v>6235</v>
      </c>
      <c r="U4782" s="391"/>
      <c r="V4782" s="61"/>
      <c r="W4782" s="393"/>
      <c r="X4782" s="146"/>
      <c r="Y4782" s="146"/>
    </row>
    <row r="4783" s="3" customFormat="1" customHeight="1" spans="1:25">
      <c r="A4783" s="154" t="s">
        <v>444</v>
      </c>
      <c r="B4783" s="292" t="s">
        <v>5041</v>
      </c>
      <c r="C4783" s="292" t="s">
        <v>6083</v>
      </c>
      <c r="D4783" s="292" t="s">
        <v>642</v>
      </c>
      <c r="E4783" s="153" t="s">
        <v>6209</v>
      </c>
      <c r="F4783" s="154" t="s">
        <v>6210</v>
      </c>
      <c r="G4783" s="154" t="s">
        <v>88</v>
      </c>
      <c r="H4783" s="110" t="s">
        <v>6211</v>
      </c>
      <c r="I4783" s="30" t="e">
        <f>VLOOKUP(H4783,'合同高级查询数据-4月返'!A:A,1,FALSE)</f>
        <v>#N/A</v>
      </c>
      <c r="J4783" s="31" t="s">
        <v>162</v>
      </c>
      <c r="K4783" s="154" t="s">
        <v>6103</v>
      </c>
      <c r="L4783" s="293" t="s">
        <v>6215</v>
      </c>
      <c r="M4783" s="113" t="s">
        <v>6216</v>
      </c>
      <c r="N4783" s="146">
        <v>44773</v>
      </c>
      <c r="O4783" s="146" t="s">
        <v>503</v>
      </c>
      <c r="P4783" s="400">
        <v>5500</v>
      </c>
      <c r="Q4783" s="295">
        <v>-3</v>
      </c>
      <c r="R4783" s="390">
        <f t="shared" si="153"/>
        <v>-16500</v>
      </c>
      <c r="S4783" s="277">
        <v>202304</v>
      </c>
      <c r="T4783" s="198" t="s">
        <v>6236</v>
      </c>
      <c r="U4783" s="391"/>
      <c r="V4783" s="61"/>
      <c r="W4783" s="393"/>
      <c r="X4783" s="146"/>
      <c r="Y4783" s="146"/>
    </row>
    <row r="4784" s="3" customFormat="1" customHeight="1" spans="1:25">
      <c r="A4784" s="154" t="s">
        <v>444</v>
      </c>
      <c r="B4784" s="292" t="s">
        <v>5041</v>
      </c>
      <c r="C4784" s="292" t="s">
        <v>6083</v>
      </c>
      <c r="D4784" s="292" t="s">
        <v>642</v>
      </c>
      <c r="E4784" s="153" t="s">
        <v>6209</v>
      </c>
      <c r="F4784" s="154" t="s">
        <v>6210</v>
      </c>
      <c r="G4784" s="154" t="s">
        <v>31</v>
      </c>
      <c r="H4784" s="110" t="s">
        <v>6211</v>
      </c>
      <c r="I4784" s="30" t="e">
        <f>VLOOKUP(H4784,'合同高级查询数据-4月返'!A:A,1,FALSE)</f>
        <v>#N/A</v>
      </c>
      <c r="J4784" s="31" t="s">
        <v>33</v>
      </c>
      <c r="K4784" s="154" t="s">
        <v>6103</v>
      </c>
      <c r="L4784" s="293" t="s">
        <v>6215</v>
      </c>
      <c r="M4784" s="113" t="s">
        <v>6216</v>
      </c>
      <c r="N4784" s="146">
        <v>44773</v>
      </c>
      <c r="O4784" s="146" t="s">
        <v>37</v>
      </c>
      <c r="P4784" s="400">
        <v>0</v>
      </c>
      <c r="Q4784" s="295">
        <v>-288</v>
      </c>
      <c r="R4784" s="390">
        <f t="shared" ref="R4784:R4809" si="154">ROUND(P4784*Q4784,2)</f>
        <v>0</v>
      </c>
      <c r="S4784" s="277">
        <v>202304</v>
      </c>
      <c r="T4784" s="198" t="s">
        <v>6237</v>
      </c>
      <c r="U4784" s="391"/>
      <c r="V4784" s="61"/>
      <c r="W4784" s="393"/>
      <c r="X4784" s="146"/>
      <c r="Y4784" s="146"/>
    </row>
    <row r="4785" s="3" customFormat="1" customHeight="1" spans="1:25">
      <c r="A4785" s="154" t="s">
        <v>444</v>
      </c>
      <c r="B4785" s="292" t="s">
        <v>5041</v>
      </c>
      <c r="C4785" s="292" t="s">
        <v>6083</v>
      </c>
      <c r="D4785" s="292" t="s">
        <v>642</v>
      </c>
      <c r="E4785" s="30" t="s">
        <v>6209</v>
      </c>
      <c r="F4785" s="144" t="s">
        <v>6210</v>
      </c>
      <c r="G4785" s="140" t="s">
        <v>88</v>
      </c>
      <c r="H4785" s="35" t="s">
        <v>6238</v>
      </c>
      <c r="I4785" s="30" t="e">
        <f>VLOOKUP(H4785,'合同高级查询数据-4月返'!A:A,1,FALSE)</f>
        <v>#N/A</v>
      </c>
      <c r="J4785" s="144" t="s">
        <v>162</v>
      </c>
      <c r="K4785" s="144" t="s">
        <v>6239</v>
      </c>
      <c r="L4785" s="315" t="s">
        <v>6240</v>
      </c>
      <c r="M4785" s="326" t="s">
        <v>6241</v>
      </c>
      <c r="N4785" s="143">
        <v>44927</v>
      </c>
      <c r="O4785" s="458" t="s">
        <v>1306</v>
      </c>
      <c r="P4785" s="400">
        <v>5000</v>
      </c>
      <c r="Q4785" s="112">
        <v>3</v>
      </c>
      <c r="R4785" s="125">
        <f t="shared" si="154"/>
        <v>15000</v>
      </c>
      <c r="S4785" s="322">
        <v>202304</v>
      </c>
      <c r="T4785" s="463" t="s">
        <v>6242</v>
      </c>
      <c r="U4785" s="323"/>
      <c r="V4785" s="438"/>
      <c r="W4785" s="464"/>
      <c r="X4785" s="193"/>
      <c r="Y4785" s="198"/>
    </row>
    <row r="4786" s="3" customFormat="1" customHeight="1" spans="1:25">
      <c r="A4786" s="154" t="s">
        <v>444</v>
      </c>
      <c r="B4786" s="292" t="s">
        <v>5041</v>
      </c>
      <c r="C4786" s="292" t="s">
        <v>6083</v>
      </c>
      <c r="D4786" s="292" t="s">
        <v>642</v>
      </c>
      <c r="E4786" s="30" t="s">
        <v>6209</v>
      </c>
      <c r="F4786" s="144" t="s">
        <v>6210</v>
      </c>
      <c r="G4786" s="140" t="s">
        <v>31</v>
      </c>
      <c r="H4786" s="35" t="s">
        <v>6238</v>
      </c>
      <c r="I4786" s="30" t="e">
        <f>VLOOKUP(H4786,'合同高级查询数据-4月返'!A:A,1,FALSE)</f>
        <v>#N/A</v>
      </c>
      <c r="J4786" s="144" t="s">
        <v>33</v>
      </c>
      <c r="K4786" s="144" t="s">
        <v>6239</v>
      </c>
      <c r="L4786" s="315" t="s">
        <v>6240</v>
      </c>
      <c r="M4786" s="326" t="s">
        <v>6241</v>
      </c>
      <c r="N4786" s="143">
        <v>44927</v>
      </c>
      <c r="O4786" s="458" t="s">
        <v>37</v>
      </c>
      <c r="P4786" s="459">
        <v>0</v>
      </c>
      <c r="Q4786" s="112">
        <v>2176</v>
      </c>
      <c r="R4786" s="460">
        <f t="shared" si="154"/>
        <v>0</v>
      </c>
      <c r="S4786" s="322">
        <v>202304</v>
      </c>
      <c r="T4786" s="463" t="s">
        <v>6243</v>
      </c>
      <c r="U4786" s="323"/>
      <c r="V4786" s="438"/>
      <c r="W4786" s="464"/>
      <c r="X4786" s="193"/>
      <c r="Y4786" s="198"/>
    </row>
    <row r="4787" s="3" customFormat="1" customHeight="1" spans="1:25">
      <c r="A4787" s="154" t="s">
        <v>444</v>
      </c>
      <c r="B4787" s="292" t="s">
        <v>5041</v>
      </c>
      <c r="C4787" s="292" t="s">
        <v>6083</v>
      </c>
      <c r="D4787" s="292" t="s">
        <v>642</v>
      </c>
      <c r="E4787" s="30" t="s">
        <v>6209</v>
      </c>
      <c r="F4787" s="144" t="s">
        <v>6210</v>
      </c>
      <c r="G4787" s="140" t="s">
        <v>31</v>
      </c>
      <c r="H4787" s="35" t="s">
        <v>6238</v>
      </c>
      <c r="I4787" s="30" t="e">
        <f>VLOOKUP(H4787,'合同高级查询数据-4月返'!A:A,1,FALSE)</f>
        <v>#N/A</v>
      </c>
      <c r="J4787" s="144" t="s">
        <v>33</v>
      </c>
      <c r="K4787" s="144" t="s">
        <v>6239</v>
      </c>
      <c r="L4787" s="315" t="s">
        <v>6240</v>
      </c>
      <c r="M4787" s="326" t="s">
        <v>6241</v>
      </c>
      <c r="N4787" s="143">
        <v>44927</v>
      </c>
      <c r="O4787" s="458" t="s">
        <v>179</v>
      </c>
      <c r="P4787" s="459">
        <v>0</v>
      </c>
      <c r="Q4787" s="112">
        <v>1</v>
      </c>
      <c r="R4787" s="460">
        <f t="shared" si="154"/>
        <v>0</v>
      </c>
      <c r="S4787" s="322">
        <v>202304</v>
      </c>
      <c r="T4787" s="463" t="s">
        <v>6244</v>
      </c>
      <c r="U4787" s="323"/>
      <c r="V4787" s="438"/>
      <c r="W4787" s="464"/>
      <c r="X4787" s="193"/>
      <c r="Y4787" s="198"/>
    </row>
    <row r="4788" s="3" customFormat="1" customHeight="1" spans="1:25">
      <c r="A4788" s="154" t="s">
        <v>444</v>
      </c>
      <c r="B4788" s="292" t="s">
        <v>5041</v>
      </c>
      <c r="C4788" s="292" t="s">
        <v>50</v>
      </c>
      <c r="D4788" s="292" t="s">
        <v>951</v>
      </c>
      <c r="E4788" s="153" t="s">
        <v>6245</v>
      </c>
      <c r="F4788" s="154" t="s">
        <v>6246</v>
      </c>
      <c r="G4788" s="154" t="s">
        <v>88</v>
      </c>
      <c r="H4788" s="110" t="s">
        <v>6247</v>
      </c>
      <c r="I4788" s="30" t="e">
        <f>VLOOKUP(H4788,'合同高级查询数据-4月返'!A:A,1,FALSE)</f>
        <v>#N/A</v>
      </c>
      <c r="J4788" s="31" t="s">
        <v>162</v>
      </c>
      <c r="K4788" s="154" t="s">
        <v>51</v>
      </c>
      <c r="L4788" s="293"/>
      <c r="M4788" s="113" t="s">
        <v>6248</v>
      </c>
      <c r="N4788" s="146">
        <v>42614</v>
      </c>
      <c r="O4788" s="146" t="s">
        <v>163</v>
      </c>
      <c r="P4788" s="400">
        <v>5000</v>
      </c>
      <c r="Q4788" s="295">
        <v>1</v>
      </c>
      <c r="R4788" s="390">
        <f t="shared" si="154"/>
        <v>5000</v>
      </c>
      <c r="S4788" s="277">
        <v>202304</v>
      </c>
      <c r="T4788" s="198" t="s">
        <v>6249</v>
      </c>
      <c r="U4788" s="391"/>
      <c r="V4788" s="61"/>
      <c r="W4788" s="393"/>
      <c r="X4788" s="146"/>
      <c r="Y4788" s="146"/>
    </row>
    <row r="4789" s="3" customFormat="1" customHeight="1" spans="1:25">
      <c r="A4789" s="154" t="s">
        <v>444</v>
      </c>
      <c r="B4789" s="292" t="s">
        <v>5041</v>
      </c>
      <c r="C4789" s="292" t="s">
        <v>50</v>
      </c>
      <c r="D4789" s="292" t="s">
        <v>951</v>
      </c>
      <c r="E4789" s="153" t="s">
        <v>6245</v>
      </c>
      <c r="F4789" s="154" t="s">
        <v>6246</v>
      </c>
      <c r="G4789" s="154" t="s">
        <v>31</v>
      </c>
      <c r="H4789" s="110" t="s">
        <v>6247</v>
      </c>
      <c r="I4789" s="30" t="e">
        <f>VLOOKUP(H4789,'合同高级查询数据-4月返'!A:A,1,FALSE)</f>
        <v>#N/A</v>
      </c>
      <c r="J4789" s="31" t="s">
        <v>33</v>
      </c>
      <c r="K4789" s="154" t="s">
        <v>51</v>
      </c>
      <c r="L4789" s="293" t="s">
        <v>6250</v>
      </c>
      <c r="M4789" s="113" t="s">
        <v>6248</v>
      </c>
      <c r="N4789" s="146"/>
      <c r="O4789" s="146" t="s">
        <v>37</v>
      </c>
      <c r="P4789" s="400">
        <v>0</v>
      </c>
      <c r="Q4789" s="295">
        <v>288</v>
      </c>
      <c r="R4789" s="390">
        <f t="shared" si="154"/>
        <v>0</v>
      </c>
      <c r="S4789" s="277">
        <v>202304</v>
      </c>
      <c r="T4789" s="198" t="s">
        <v>6251</v>
      </c>
      <c r="U4789" s="391"/>
      <c r="V4789" s="61"/>
      <c r="W4789" s="393"/>
      <c r="X4789" s="146"/>
      <c r="Y4789" s="146"/>
    </row>
    <row r="4790" s="3" customFormat="1" customHeight="1" spans="1:25">
      <c r="A4790" s="154" t="s">
        <v>444</v>
      </c>
      <c r="B4790" s="292" t="s">
        <v>5041</v>
      </c>
      <c r="C4790" s="292" t="s">
        <v>50</v>
      </c>
      <c r="D4790" s="292" t="s">
        <v>951</v>
      </c>
      <c r="E4790" s="153" t="s">
        <v>6245</v>
      </c>
      <c r="F4790" s="154" t="s">
        <v>6246</v>
      </c>
      <c r="G4790" s="154" t="s">
        <v>31</v>
      </c>
      <c r="H4790" s="110" t="s">
        <v>6247</v>
      </c>
      <c r="I4790" s="30" t="e">
        <f>VLOOKUP(H4790,'合同高级查询数据-4月返'!A:A,1,FALSE)</f>
        <v>#N/A</v>
      </c>
      <c r="J4790" s="31" t="s">
        <v>33</v>
      </c>
      <c r="K4790" s="154" t="s">
        <v>51</v>
      </c>
      <c r="L4790" s="293" t="s">
        <v>6250</v>
      </c>
      <c r="M4790" s="113" t="s">
        <v>6248</v>
      </c>
      <c r="N4790" s="146">
        <v>44712</v>
      </c>
      <c r="O4790" s="146" t="s">
        <v>37</v>
      </c>
      <c r="P4790" s="400">
        <v>0</v>
      </c>
      <c r="Q4790" s="295">
        <v>-288</v>
      </c>
      <c r="R4790" s="390">
        <f t="shared" si="154"/>
        <v>0</v>
      </c>
      <c r="S4790" s="277">
        <v>202304</v>
      </c>
      <c r="T4790" s="198" t="s">
        <v>6252</v>
      </c>
      <c r="U4790" s="391"/>
      <c r="V4790" s="61"/>
      <c r="W4790" s="393"/>
      <c r="X4790" s="146"/>
      <c r="Y4790" s="146"/>
    </row>
    <row r="4791" s="3" customFormat="1" customHeight="1" spans="1:25">
      <c r="A4791" s="154" t="s">
        <v>444</v>
      </c>
      <c r="B4791" s="292" t="s">
        <v>5041</v>
      </c>
      <c r="C4791" s="292" t="s">
        <v>50</v>
      </c>
      <c r="D4791" s="292" t="s">
        <v>951</v>
      </c>
      <c r="E4791" s="153" t="s">
        <v>6245</v>
      </c>
      <c r="F4791" s="154" t="s">
        <v>6246</v>
      </c>
      <c r="G4791" s="154" t="s">
        <v>88</v>
      </c>
      <c r="H4791" s="110" t="s">
        <v>6247</v>
      </c>
      <c r="I4791" s="30" t="e">
        <f>VLOOKUP(H4791,'合同高级查询数据-4月返'!A:A,1,FALSE)</f>
        <v>#N/A</v>
      </c>
      <c r="J4791" s="31" t="s">
        <v>162</v>
      </c>
      <c r="K4791" s="154" t="s">
        <v>51</v>
      </c>
      <c r="L4791" s="293"/>
      <c r="M4791" s="113" t="s">
        <v>6248</v>
      </c>
      <c r="N4791" s="146">
        <v>43490</v>
      </c>
      <c r="O4791" s="146" t="s">
        <v>163</v>
      </c>
      <c r="P4791" s="400">
        <v>5000</v>
      </c>
      <c r="Q4791" s="295">
        <v>6</v>
      </c>
      <c r="R4791" s="390">
        <f t="shared" si="154"/>
        <v>30000</v>
      </c>
      <c r="S4791" s="277">
        <v>202304</v>
      </c>
      <c r="T4791" s="198" t="s">
        <v>6253</v>
      </c>
      <c r="U4791" s="391"/>
      <c r="V4791" s="61"/>
      <c r="W4791" s="393"/>
      <c r="X4791" s="146"/>
      <c r="Y4791" s="146"/>
    </row>
    <row r="4792" s="3" customFormat="1" customHeight="1" spans="1:25">
      <c r="A4792" s="154" t="s">
        <v>444</v>
      </c>
      <c r="B4792" s="292" t="s">
        <v>5041</v>
      </c>
      <c r="C4792" s="292" t="s">
        <v>50</v>
      </c>
      <c r="D4792" s="292" t="s">
        <v>951</v>
      </c>
      <c r="E4792" s="153" t="s">
        <v>6245</v>
      </c>
      <c r="F4792" s="154" t="s">
        <v>6246</v>
      </c>
      <c r="G4792" s="154" t="s">
        <v>88</v>
      </c>
      <c r="H4792" s="110" t="s">
        <v>6247</v>
      </c>
      <c r="I4792" s="30" t="e">
        <f>VLOOKUP(H4792,'合同高级查询数据-4月返'!A:A,1,FALSE)</f>
        <v>#N/A</v>
      </c>
      <c r="J4792" s="31" t="s">
        <v>162</v>
      </c>
      <c r="K4792" s="154" t="s">
        <v>51</v>
      </c>
      <c r="L4792" s="293"/>
      <c r="M4792" s="113" t="s">
        <v>6248</v>
      </c>
      <c r="N4792" s="146">
        <v>44712</v>
      </c>
      <c r="O4792" s="146" t="s">
        <v>163</v>
      </c>
      <c r="P4792" s="400">
        <v>5000</v>
      </c>
      <c r="Q4792" s="295">
        <v>-7</v>
      </c>
      <c r="R4792" s="390">
        <f t="shared" si="154"/>
        <v>-35000</v>
      </c>
      <c r="S4792" s="277">
        <v>202304</v>
      </c>
      <c r="T4792" s="198" t="s">
        <v>6254</v>
      </c>
      <c r="U4792" s="391"/>
      <c r="V4792" s="61"/>
      <c r="W4792" s="393"/>
      <c r="X4792" s="146"/>
      <c r="Y4792" s="146"/>
    </row>
    <row r="4793" s="3" customFormat="1" customHeight="1" spans="1:25">
      <c r="A4793" s="154" t="s">
        <v>444</v>
      </c>
      <c r="B4793" s="292" t="s">
        <v>5041</v>
      </c>
      <c r="C4793" s="292" t="s">
        <v>50</v>
      </c>
      <c r="D4793" s="292" t="s">
        <v>951</v>
      </c>
      <c r="E4793" s="153" t="s">
        <v>6245</v>
      </c>
      <c r="F4793" s="154" t="s">
        <v>6246</v>
      </c>
      <c r="G4793" s="154" t="s">
        <v>31</v>
      </c>
      <c r="H4793" s="110" t="s">
        <v>6247</v>
      </c>
      <c r="I4793" s="30" t="e">
        <f>VLOOKUP(H4793,'合同高级查询数据-4月返'!A:A,1,FALSE)</f>
        <v>#N/A</v>
      </c>
      <c r="J4793" s="31" t="s">
        <v>33</v>
      </c>
      <c r="K4793" s="154" t="s">
        <v>51</v>
      </c>
      <c r="L4793" s="293" t="s">
        <v>6255</v>
      </c>
      <c r="M4793" s="113" t="s">
        <v>6256</v>
      </c>
      <c r="N4793" s="146"/>
      <c r="O4793" s="146" t="s">
        <v>37</v>
      </c>
      <c r="P4793" s="400">
        <v>0</v>
      </c>
      <c r="Q4793" s="295">
        <v>544</v>
      </c>
      <c r="R4793" s="390">
        <f t="shared" si="154"/>
        <v>0</v>
      </c>
      <c r="S4793" s="277">
        <v>202304</v>
      </c>
      <c r="T4793" s="198" t="s">
        <v>6257</v>
      </c>
      <c r="U4793" s="391"/>
      <c r="V4793" s="61"/>
      <c r="W4793" s="393"/>
      <c r="X4793" s="146"/>
      <c r="Y4793" s="146"/>
    </row>
    <row r="4794" s="3" customFormat="1" customHeight="1" spans="1:25">
      <c r="A4794" s="154" t="s">
        <v>444</v>
      </c>
      <c r="B4794" s="292" t="s">
        <v>5041</v>
      </c>
      <c r="C4794" s="292" t="s">
        <v>50</v>
      </c>
      <c r="D4794" s="292" t="s">
        <v>951</v>
      </c>
      <c r="E4794" s="153" t="s">
        <v>6245</v>
      </c>
      <c r="F4794" s="154" t="s">
        <v>6246</v>
      </c>
      <c r="G4794" s="154" t="s">
        <v>88</v>
      </c>
      <c r="H4794" s="110" t="s">
        <v>6247</v>
      </c>
      <c r="I4794" s="30" t="e">
        <f>VLOOKUP(H4794,'合同高级查询数据-4月返'!A:A,1,FALSE)</f>
        <v>#N/A</v>
      </c>
      <c r="J4794" s="31" t="s">
        <v>162</v>
      </c>
      <c r="K4794" s="154" t="s">
        <v>51</v>
      </c>
      <c r="L4794" s="293"/>
      <c r="M4794" s="113" t="s">
        <v>6256</v>
      </c>
      <c r="N4794" s="146">
        <v>43525</v>
      </c>
      <c r="O4794" s="146" t="s">
        <v>163</v>
      </c>
      <c r="P4794" s="400">
        <v>5000</v>
      </c>
      <c r="Q4794" s="295">
        <v>8</v>
      </c>
      <c r="R4794" s="390">
        <f t="shared" si="154"/>
        <v>40000</v>
      </c>
      <c r="S4794" s="277">
        <v>202304</v>
      </c>
      <c r="T4794" s="198" t="s">
        <v>6258</v>
      </c>
      <c r="U4794" s="391"/>
      <c r="V4794" s="61"/>
      <c r="W4794" s="393"/>
      <c r="X4794" s="146"/>
      <c r="Y4794" s="146"/>
    </row>
    <row r="4795" s="3" customFormat="1" customHeight="1" spans="1:25">
      <c r="A4795" s="154" t="s">
        <v>444</v>
      </c>
      <c r="B4795" s="292" t="s">
        <v>5041</v>
      </c>
      <c r="C4795" s="292" t="s">
        <v>50</v>
      </c>
      <c r="D4795" s="292" t="s">
        <v>951</v>
      </c>
      <c r="E4795" s="153" t="s">
        <v>6245</v>
      </c>
      <c r="F4795" s="154" t="s">
        <v>6246</v>
      </c>
      <c r="G4795" s="154" t="s">
        <v>88</v>
      </c>
      <c r="H4795" s="110" t="s">
        <v>6247</v>
      </c>
      <c r="I4795" s="30" t="e">
        <f>VLOOKUP(H4795,'合同高级查询数据-4月返'!A:A,1,FALSE)</f>
        <v>#N/A</v>
      </c>
      <c r="J4795" s="31" t="s">
        <v>162</v>
      </c>
      <c r="K4795" s="154" t="s">
        <v>51</v>
      </c>
      <c r="L4795" s="293"/>
      <c r="M4795" s="113" t="s">
        <v>6256</v>
      </c>
      <c r="N4795" s="146">
        <v>44704</v>
      </c>
      <c r="O4795" s="146" t="s">
        <v>163</v>
      </c>
      <c r="P4795" s="400">
        <v>5000</v>
      </c>
      <c r="Q4795" s="295">
        <v>-1</v>
      </c>
      <c r="R4795" s="390">
        <f t="shared" si="154"/>
        <v>-5000</v>
      </c>
      <c r="S4795" s="277">
        <v>202304</v>
      </c>
      <c r="T4795" s="198" t="s">
        <v>6259</v>
      </c>
      <c r="U4795" s="391"/>
      <c r="V4795" s="61"/>
      <c r="W4795" s="393"/>
      <c r="X4795" s="146"/>
      <c r="Y4795" s="146"/>
    </row>
    <row r="4796" s="3" customFormat="1" customHeight="1" spans="1:25">
      <c r="A4796" s="154" t="s">
        <v>444</v>
      </c>
      <c r="B4796" s="292" t="s">
        <v>5041</v>
      </c>
      <c r="C4796" s="292" t="s">
        <v>50</v>
      </c>
      <c r="D4796" s="292" t="s">
        <v>951</v>
      </c>
      <c r="E4796" s="153" t="s">
        <v>6245</v>
      </c>
      <c r="F4796" s="154" t="s">
        <v>6246</v>
      </c>
      <c r="G4796" s="154" t="s">
        <v>88</v>
      </c>
      <c r="H4796" s="110" t="s">
        <v>6247</v>
      </c>
      <c r="I4796" s="30" t="e">
        <f>VLOOKUP(H4796,'合同高级查询数据-4月返'!A:A,1,FALSE)</f>
        <v>#N/A</v>
      </c>
      <c r="J4796" s="31" t="s">
        <v>162</v>
      </c>
      <c r="K4796" s="154" t="s">
        <v>51</v>
      </c>
      <c r="L4796" s="293" t="s">
        <v>6255</v>
      </c>
      <c r="M4796" s="113" t="s">
        <v>6256</v>
      </c>
      <c r="N4796" s="146">
        <v>44215</v>
      </c>
      <c r="O4796" s="146" t="s">
        <v>503</v>
      </c>
      <c r="P4796" s="400">
        <v>5500</v>
      </c>
      <c r="Q4796" s="295">
        <v>2</v>
      </c>
      <c r="R4796" s="390">
        <f t="shared" si="154"/>
        <v>11000</v>
      </c>
      <c r="S4796" s="277">
        <v>202304</v>
      </c>
      <c r="T4796" s="198" t="s">
        <v>6260</v>
      </c>
      <c r="U4796" s="391"/>
      <c r="V4796" s="61"/>
      <c r="W4796" s="393"/>
      <c r="X4796" s="146"/>
      <c r="Y4796" s="146"/>
    </row>
    <row r="4797" s="3" customFormat="1" customHeight="1" spans="1:25">
      <c r="A4797" s="154" t="s">
        <v>444</v>
      </c>
      <c r="B4797" s="292" t="s">
        <v>5041</v>
      </c>
      <c r="C4797" s="292" t="s">
        <v>50</v>
      </c>
      <c r="D4797" s="292" t="s">
        <v>951</v>
      </c>
      <c r="E4797" s="153" t="s">
        <v>6245</v>
      </c>
      <c r="F4797" s="154" t="s">
        <v>6246</v>
      </c>
      <c r="G4797" s="154" t="s">
        <v>31</v>
      </c>
      <c r="H4797" s="110" t="s">
        <v>6247</v>
      </c>
      <c r="I4797" s="30" t="e">
        <f>VLOOKUP(H4797,'合同高级查询数据-4月返'!A:A,1,FALSE)</f>
        <v>#N/A</v>
      </c>
      <c r="J4797" s="31" t="s">
        <v>33</v>
      </c>
      <c r="K4797" s="154" t="s">
        <v>51</v>
      </c>
      <c r="L4797" s="293" t="s">
        <v>6255</v>
      </c>
      <c r="M4797" s="113" t="s">
        <v>6256</v>
      </c>
      <c r="N4797" s="146">
        <v>44215</v>
      </c>
      <c r="O4797" s="146" t="s">
        <v>37</v>
      </c>
      <c r="P4797" s="400">
        <v>0</v>
      </c>
      <c r="Q4797" s="295">
        <v>128</v>
      </c>
      <c r="R4797" s="390">
        <f t="shared" si="154"/>
        <v>0</v>
      </c>
      <c r="S4797" s="277">
        <v>202304</v>
      </c>
      <c r="T4797" s="198" t="s">
        <v>6261</v>
      </c>
      <c r="U4797" s="391"/>
      <c r="V4797" s="61"/>
      <c r="W4797" s="393"/>
      <c r="X4797" s="146"/>
      <c r="Y4797" s="146"/>
    </row>
    <row r="4798" s="3" customFormat="1" customHeight="1" spans="1:25">
      <c r="A4798" s="154" t="s">
        <v>444</v>
      </c>
      <c r="B4798" s="292" t="s">
        <v>5041</v>
      </c>
      <c r="C4798" s="292" t="s">
        <v>50</v>
      </c>
      <c r="D4798" s="292" t="s">
        <v>951</v>
      </c>
      <c r="E4798" s="153" t="s">
        <v>6245</v>
      </c>
      <c r="F4798" s="154" t="s">
        <v>6246</v>
      </c>
      <c r="G4798" s="154" t="s">
        <v>31</v>
      </c>
      <c r="H4798" s="110" t="s">
        <v>6247</v>
      </c>
      <c r="I4798" s="30" t="e">
        <f>VLOOKUP(H4798,'合同高级查询数据-4月返'!A:A,1,FALSE)</f>
        <v>#N/A</v>
      </c>
      <c r="J4798" s="31" t="s">
        <v>33</v>
      </c>
      <c r="K4798" s="154" t="s">
        <v>51</v>
      </c>
      <c r="L4798" s="293" t="s">
        <v>6255</v>
      </c>
      <c r="M4798" s="113" t="s">
        <v>6256</v>
      </c>
      <c r="N4798" s="146">
        <v>44926</v>
      </c>
      <c r="O4798" s="146" t="s">
        <v>37</v>
      </c>
      <c r="P4798" s="400">
        <v>0</v>
      </c>
      <c r="Q4798" s="295">
        <v>-128</v>
      </c>
      <c r="R4798" s="390">
        <f t="shared" si="154"/>
        <v>0</v>
      </c>
      <c r="S4798" s="277">
        <v>202304</v>
      </c>
      <c r="T4798" s="198" t="s">
        <v>6262</v>
      </c>
      <c r="U4798" s="391"/>
      <c r="V4798" s="61"/>
      <c r="W4798" s="393"/>
      <c r="X4798" s="146"/>
      <c r="Y4798" s="146"/>
    </row>
    <row r="4799" s="3" customFormat="1" customHeight="1" spans="1:25">
      <c r="A4799" s="154" t="s">
        <v>444</v>
      </c>
      <c r="B4799" s="292" t="s">
        <v>5041</v>
      </c>
      <c r="C4799" s="292" t="s">
        <v>50</v>
      </c>
      <c r="D4799" s="292" t="s">
        <v>951</v>
      </c>
      <c r="E4799" s="153" t="s">
        <v>6245</v>
      </c>
      <c r="F4799" s="154" t="s">
        <v>6246</v>
      </c>
      <c r="G4799" s="154" t="s">
        <v>31</v>
      </c>
      <c r="H4799" s="110" t="s">
        <v>6247</v>
      </c>
      <c r="I4799" s="30" t="e">
        <f>VLOOKUP(H4799,'合同高级查询数据-4月返'!A:A,1,FALSE)</f>
        <v>#N/A</v>
      </c>
      <c r="J4799" s="31" t="s">
        <v>33</v>
      </c>
      <c r="K4799" s="154" t="s">
        <v>51</v>
      </c>
      <c r="L4799" s="293" t="s">
        <v>6255</v>
      </c>
      <c r="M4799" s="113" t="s">
        <v>6256</v>
      </c>
      <c r="N4799" s="146">
        <v>44293</v>
      </c>
      <c r="O4799" s="146" t="s">
        <v>37</v>
      </c>
      <c r="P4799" s="400">
        <v>0</v>
      </c>
      <c r="Q4799" s="295">
        <v>128</v>
      </c>
      <c r="R4799" s="390">
        <f t="shared" si="154"/>
        <v>0</v>
      </c>
      <c r="S4799" s="277">
        <v>202304</v>
      </c>
      <c r="T4799" s="198" t="s">
        <v>6263</v>
      </c>
      <c r="U4799" s="391"/>
      <c r="V4799" s="61"/>
      <c r="W4799" s="393"/>
      <c r="X4799" s="146"/>
      <c r="Y4799" s="146"/>
    </row>
    <row r="4800" s="3" customFormat="1" customHeight="1" spans="1:25">
      <c r="A4800" s="154" t="s">
        <v>444</v>
      </c>
      <c r="B4800" s="292" t="s">
        <v>5041</v>
      </c>
      <c r="C4800" s="292" t="s">
        <v>50</v>
      </c>
      <c r="D4800" s="292" t="s">
        <v>951</v>
      </c>
      <c r="E4800" s="153" t="s">
        <v>6245</v>
      </c>
      <c r="F4800" s="154" t="s">
        <v>6246</v>
      </c>
      <c r="G4800" s="154" t="s">
        <v>88</v>
      </c>
      <c r="H4800" s="110" t="s">
        <v>6247</v>
      </c>
      <c r="I4800" s="30" t="e">
        <f>VLOOKUP(H4800,'合同高级查询数据-4月返'!A:A,1,FALSE)</f>
        <v>#N/A</v>
      </c>
      <c r="J4800" s="31" t="s">
        <v>162</v>
      </c>
      <c r="K4800" s="154" t="s">
        <v>51</v>
      </c>
      <c r="L4800" s="293" t="s">
        <v>6255</v>
      </c>
      <c r="M4800" s="113" t="s">
        <v>6256</v>
      </c>
      <c r="N4800" s="146">
        <v>44293</v>
      </c>
      <c r="O4800" s="146" t="s">
        <v>503</v>
      </c>
      <c r="P4800" s="400">
        <v>5500</v>
      </c>
      <c r="Q4800" s="295">
        <v>1</v>
      </c>
      <c r="R4800" s="390">
        <f t="shared" si="154"/>
        <v>5500</v>
      </c>
      <c r="S4800" s="277">
        <v>202304</v>
      </c>
      <c r="T4800" s="198" t="s">
        <v>6264</v>
      </c>
      <c r="U4800" s="391"/>
      <c r="V4800" s="61"/>
      <c r="W4800" s="393"/>
      <c r="X4800" s="146"/>
      <c r="Y4800" s="146"/>
    </row>
    <row r="4801" s="3" customFormat="1" customHeight="1" spans="1:25">
      <c r="A4801" s="154" t="s">
        <v>444</v>
      </c>
      <c r="B4801" s="292" t="s">
        <v>5041</v>
      </c>
      <c r="C4801" s="292" t="s">
        <v>50</v>
      </c>
      <c r="D4801" s="292" t="s">
        <v>951</v>
      </c>
      <c r="E4801" s="153" t="s">
        <v>6245</v>
      </c>
      <c r="F4801" s="154" t="s">
        <v>6246</v>
      </c>
      <c r="G4801" s="154" t="s">
        <v>88</v>
      </c>
      <c r="H4801" s="110" t="s">
        <v>6247</v>
      </c>
      <c r="I4801" s="30" t="e">
        <f>VLOOKUP(H4801,'合同高级查询数据-4月返'!A:A,1,FALSE)</f>
        <v>#N/A</v>
      </c>
      <c r="J4801" s="31" t="s">
        <v>162</v>
      </c>
      <c r="K4801" s="154" t="s">
        <v>51</v>
      </c>
      <c r="L4801" s="293" t="s">
        <v>6255</v>
      </c>
      <c r="M4801" s="113" t="s">
        <v>6256</v>
      </c>
      <c r="N4801" s="146">
        <v>44417</v>
      </c>
      <c r="O4801" s="146" t="s">
        <v>503</v>
      </c>
      <c r="P4801" s="400">
        <v>5500</v>
      </c>
      <c r="Q4801" s="295">
        <v>1</v>
      </c>
      <c r="R4801" s="390">
        <f t="shared" si="154"/>
        <v>5500</v>
      </c>
      <c r="S4801" s="277">
        <v>202304</v>
      </c>
      <c r="T4801" s="198" t="s">
        <v>6265</v>
      </c>
      <c r="U4801" s="391"/>
      <c r="V4801" s="61"/>
      <c r="W4801" s="393"/>
      <c r="X4801" s="146"/>
      <c r="Y4801" s="146"/>
    </row>
    <row r="4802" s="3" customFormat="1" customHeight="1" spans="1:25">
      <c r="A4802" s="154" t="s">
        <v>444</v>
      </c>
      <c r="B4802" s="292" t="s">
        <v>5041</v>
      </c>
      <c r="C4802" s="292" t="s">
        <v>50</v>
      </c>
      <c r="D4802" s="292" t="s">
        <v>951</v>
      </c>
      <c r="E4802" s="153" t="s">
        <v>6245</v>
      </c>
      <c r="F4802" s="154" t="s">
        <v>6246</v>
      </c>
      <c r="G4802" s="154" t="s">
        <v>88</v>
      </c>
      <c r="H4802" s="110" t="s">
        <v>6247</v>
      </c>
      <c r="I4802" s="30" t="e">
        <f>VLOOKUP(H4802,'合同高级查询数据-4月返'!A:A,1,FALSE)</f>
        <v>#N/A</v>
      </c>
      <c r="J4802" s="31" t="s">
        <v>162</v>
      </c>
      <c r="K4802" s="154" t="s">
        <v>51</v>
      </c>
      <c r="L4802" s="293" t="s">
        <v>6255</v>
      </c>
      <c r="M4802" s="113" t="s">
        <v>6256</v>
      </c>
      <c r="N4802" s="146">
        <v>44926</v>
      </c>
      <c r="O4802" s="146" t="s">
        <v>503</v>
      </c>
      <c r="P4802" s="400">
        <v>5500</v>
      </c>
      <c r="Q4802" s="295">
        <v>-1</v>
      </c>
      <c r="R4802" s="390">
        <f t="shared" si="154"/>
        <v>-5500</v>
      </c>
      <c r="S4802" s="277">
        <v>202304</v>
      </c>
      <c r="T4802" s="198" t="s">
        <v>6266</v>
      </c>
      <c r="U4802" s="391"/>
      <c r="V4802" s="61"/>
      <c r="W4802" s="393"/>
      <c r="X4802" s="146"/>
      <c r="Y4802" s="146"/>
    </row>
    <row r="4803" s="3" customFormat="1" customHeight="1" spans="1:25">
      <c r="A4803" s="154" t="s">
        <v>444</v>
      </c>
      <c r="B4803" s="292" t="s">
        <v>5041</v>
      </c>
      <c r="C4803" s="292" t="s">
        <v>50</v>
      </c>
      <c r="D4803" s="292" t="s">
        <v>951</v>
      </c>
      <c r="E4803" s="153" t="s">
        <v>6245</v>
      </c>
      <c r="F4803" s="154" t="s">
        <v>6246</v>
      </c>
      <c r="G4803" s="154" t="s">
        <v>31</v>
      </c>
      <c r="H4803" s="110" t="s">
        <v>6247</v>
      </c>
      <c r="I4803" s="30" t="e">
        <f>VLOOKUP(H4803,'合同高级查询数据-4月返'!A:A,1,FALSE)</f>
        <v>#N/A</v>
      </c>
      <c r="J4803" s="31" t="s">
        <v>33</v>
      </c>
      <c r="K4803" s="154" t="s">
        <v>51</v>
      </c>
      <c r="L4803" s="293" t="s">
        <v>6255</v>
      </c>
      <c r="M4803" s="113" t="s">
        <v>6256</v>
      </c>
      <c r="N4803" s="146">
        <v>44531</v>
      </c>
      <c r="O4803" s="146" t="s">
        <v>179</v>
      </c>
      <c r="P4803" s="400">
        <v>0</v>
      </c>
      <c r="Q4803" s="295">
        <v>1</v>
      </c>
      <c r="R4803" s="390">
        <f t="shared" si="154"/>
        <v>0</v>
      </c>
      <c r="S4803" s="277">
        <v>202304</v>
      </c>
      <c r="T4803" s="198" t="s">
        <v>6267</v>
      </c>
      <c r="U4803" s="391"/>
      <c r="V4803" s="61"/>
      <c r="W4803" s="393"/>
      <c r="X4803" s="146"/>
      <c r="Y4803" s="146"/>
    </row>
    <row r="4804" s="3" customFormat="1" customHeight="1" spans="1:25">
      <c r="A4804" s="154" t="s">
        <v>444</v>
      </c>
      <c r="B4804" s="292" t="s">
        <v>5041</v>
      </c>
      <c r="C4804" s="292" t="s">
        <v>50</v>
      </c>
      <c r="D4804" s="292" t="s">
        <v>951</v>
      </c>
      <c r="E4804" s="153" t="s">
        <v>6245</v>
      </c>
      <c r="F4804" s="154" t="s">
        <v>6246</v>
      </c>
      <c r="G4804" s="154" t="s">
        <v>31</v>
      </c>
      <c r="H4804" s="110" t="s">
        <v>6247</v>
      </c>
      <c r="I4804" s="30" t="e">
        <f>VLOOKUP(H4804,'合同高级查询数据-4月返'!A:A,1,FALSE)</f>
        <v>#N/A</v>
      </c>
      <c r="J4804" s="31" t="s">
        <v>33</v>
      </c>
      <c r="K4804" s="154" t="s">
        <v>51</v>
      </c>
      <c r="L4804" s="293" t="s">
        <v>6255</v>
      </c>
      <c r="M4804" s="113" t="s">
        <v>6256</v>
      </c>
      <c r="N4804" s="146">
        <v>44926</v>
      </c>
      <c r="O4804" s="146" t="s">
        <v>179</v>
      </c>
      <c r="P4804" s="400">
        <v>0</v>
      </c>
      <c r="Q4804" s="295">
        <v>-1</v>
      </c>
      <c r="R4804" s="390">
        <f t="shared" si="154"/>
        <v>0</v>
      </c>
      <c r="S4804" s="277">
        <v>202304</v>
      </c>
      <c r="T4804" s="198" t="s">
        <v>6268</v>
      </c>
      <c r="U4804" s="391"/>
      <c r="V4804" s="61"/>
      <c r="W4804" s="393"/>
      <c r="X4804" s="146"/>
      <c r="Y4804" s="146"/>
    </row>
    <row r="4805" s="3" customFormat="1" customHeight="1" spans="1:25">
      <c r="A4805" s="154" t="s">
        <v>444</v>
      </c>
      <c r="B4805" s="292" t="s">
        <v>5041</v>
      </c>
      <c r="C4805" s="292" t="s">
        <v>50</v>
      </c>
      <c r="D4805" s="292" t="s">
        <v>951</v>
      </c>
      <c r="E4805" s="153" t="s">
        <v>6245</v>
      </c>
      <c r="F4805" s="154" t="s">
        <v>6246</v>
      </c>
      <c r="G4805" s="154" t="s">
        <v>88</v>
      </c>
      <c r="H4805" s="110" t="s">
        <v>6247</v>
      </c>
      <c r="I4805" s="30" t="e">
        <f>VLOOKUP(H4805,'合同高级查询数据-4月返'!A:A,1,FALSE)</f>
        <v>#N/A</v>
      </c>
      <c r="J4805" s="31" t="s">
        <v>162</v>
      </c>
      <c r="K4805" s="154" t="s">
        <v>51</v>
      </c>
      <c r="L4805" s="293" t="s">
        <v>6255</v>
      </c>
      <c r="M4805" s="113" t="s">
        <v>6256</v>
      </c>
      <c r="N4805" s="146">
        <v>44705</v>
      </c>
      <c r="O4805" s="146" t="s">
        <v>163</v>
      </c>
      <c r="P4805" s="400">
        <v>5000</v>
      </c>
      <c r="Q4805" s="295">
        <v>1</v>
      </c>
      <c r="R4805" s="390">
        <f t="shared" si="154"/>
        <v>5000</v>
      </c>
      <c r="S4805" s="277">
        <v>202304</v>
      </c>
      <c r="T4805" s="198" t="s">
        <v>6269</v>
      </c>
      <c r="U4805" s="391"/>
      <c r="V4805" s="61"/>
      <c r="W4805" s="393"/>
      <c r="X4805" s="146"/>
      <c r="Y4805" s="146"/>
    </row>
    <row r="4806" s="3" customFormat="1" customHeight="1" spans="1:25">
      <c r="A4806" s="154" t="s">
        <v>444</v>
      </c>
      <c r="B4806" s="292" t="s">
        <v>5041</v>
      </c>
      <c r="C4806" s="292" t="s">
        <v>50</v>
      </c>
      <c r="D4806" s="292" t="s">
        <v>951</v>
      </c>
      <c r="E4806" s="153" t="s">
        <v>6245</v>
      </c>
      <c r="F4806" s="154" t="s">
        <v>6246</v>
      </c>
      <c r="G4806" s="154" t="s">
        <v>31</v>
      </c>
      <c r="H4806" s="110" t="s">
        <v>6247</v>
      </c>
      <c r="I4806" s="30" t="e">
        <f>VLOOKUP(H4806,'合同高级查询数据-4月返'!A:A,1,FALSE)</f>
        <v>#N/A</v>
      </c>
      <c r="J4806" s="31" t="s">
        <v>33</v>
      </c>
      <c r="K4806" s="154" t="s">
        <v>51</v>
      </c>
      <c r="L4806" s="293" t="s">
        <v>6255</v>
      </c>
      <c r="M4806" s="113" t="s">
        <v>6256</v>
      </c>
      <c r="N4806" s="146">
        <v>44705</v>
      </c>
      <c r="O4806" s="146" t="s">
        <v>37</v>
      </c>
      <c r="P4806" s="400">
        <v>0</v>
      </c>
      <c r="Q4806" s="295">
        <v>128</v>
      </c>
      <c r="R4806" s="390">
        <f t="shared" si="154"/>
        <v>0</v>
      </c>
      <c r="S4806" s="277">
        <v>202304</v>
      </c>
      <c r="T4806" s="198" t="s">
        <v>6270</v>
      </c>
      <c r="U4806" s="391"/>
      <c r="V4806" s="61"/>
      <c r="W4806" s="393"/>
      <c r="X4806" s="146"/>
      <c r="Y4806" s="146"/>
    </row>
    <row r="4807" s="3" customFormat="1" customHeight="1" spans="1:25">
      <c r="A4807" s="154" t="s">
        <v>444</v>
      </c>
      <c r="B4807" s="292" t="s">
        <v>5041</v>
      </c>
      <c r="C4807" s="292" t="s">
        <v>27</v>
      </c>
      <c r="D4807" s="292" t="s">
        <v>951</v>
      </c>
      <c r="E4807" s="153" t="s">
        <v>6271</v>
      </c>
      <c r="F4807" s="154" t="s">
        <v>6272</v>
      </c>
      <c r="G4807" s="154" t="s">
        <v>88</v>
      </c>
      <c r="H4807" s="110" t="s">
        <v>6273</v>
      </c>
      <c r="I4807" s="30" t="e">
        <f>VLOOKUP(H4807,'合同高级查询数据-4月返'!A:A,1,FALSE)</f>
        <v>#N/A</v>
      </c>
      <c r="J4807" s="31" t="s">
        <v>162</v>
      </c>
      <c r="K4807" s="154" t="s">
        <v>34</v>
      </c>
      <c r="L4807" s="293"/>
      <c r="M4807" s="113" t="s">
        <v>6274</v>
      </c>
      <c r="N4807" s="146">
        <v>43490</v>
      </c>
      <c r="O4807" s="146" t="s">
        <v>163</v>
      </c>
      <c r="P4807" s="400">
        <v>5000</v>
      </c>
      <c r="Q4807" s="295">
        <v>6</v>
      </c>
      <c r="R4807" s="390">
        <f t="shared" si="154"/>
        <v>30000</v>
      </c>
      <c r="S4807" s="277">
        <v>202304</v>
      </c>
      <c r="T4807" s="198" t="s">
        <v>6275</v>
      </c>
      <c r="U4807" s="391"/>
      <c r="V4807" s="61"/>
      <c r="W4807" s="393"/>
      <c r="X4807" s="146"/>
      <c r="Y4807" s="146"/>
    </row>
    <row r="4808" s="3" customFormat="1" customHeight="1" spans="1:25">
      <c r="A4808" s="154" t="s">
        <v>444</v>
      </c>
      <c r="B4808" s="292" t="s">
        <v>5041</v>
      </c>
      <c r="C4808" s="292" t="s">
        <v>27</v>
      </c>
      <c r="D4808" s="292" t="s">
        <v>951</v>
      </c>
      <c r="E4808" s="153" t="s">
        <v>6271</v>
      </c>
      <c r="F4808" s="154" t="s">
        <v>6272</v>
      </c>
      <c r="G4808" s="154" t="s">
        <v>88</v>
      </c>
      <c r="H4808" s="110" t="s">
        <v>6273</v>
      </c>
      <c r="I4808" s="30" t="e">
        <f>VLOOKUP(H4808,'合同高级查询数据-4月返'!A:A,1,FALSE)</f>
        <v>#N/A</v>
      </c>
      <c r="J4808" s="31" t="s">
        <v>162</v>
      </c>
      <c r="K4808" s="154" t="s">
        <v>34</v>
      </c>
      <c r="L4808" s="293"/>
      <c r="M4808" s="113" t="s">
        <v>6276</v>
      </c>
      <c r="N4808" s="146">
        <v>43521</v>
      </c>
      <c r="O4808" s="146" t="s">
        <v>163</v>
      </c>
      <c r="P4808" s="400">
        <v>5000</v>
      </c>
      <c r="Q4808" s="295">
        <v>6</v>
      </c>
      <c r="R4808" s="390">
        <f t="shared" si="154"/>
        <v>30000</v>
      </c>
      <c r="S4808" s="277">
        <v>202304</v>
      </c>
      <c r="T4808" s="198" t="s">
        <v>6277</v>
      </c>
      <c r="U4808" s="391"/>
      <c r="V4808" s="61"/>
      <c r="W4808" s="393"/>
      <c r="X4808" s="146"/>
      <c r="Y4808" s="146"/>
    </row>
    <row r="4809" s="3" customFormat="1" customHeight="1" spans="1:25">
      <c r="A4809" s="154" t="s">
        <v>444</v>
      </c>
      <c r="B4809" s="292" t="s">
        <v>5041</v>
      </c>
      <c r="C4809" s="292" t="s">
        <v>27</v>
      </c>
      <c r="D4809" s="292" t="s">
        <v>951</v>
      </c>
      <c r="E4809" s="153" t="s">
        <v>6271</v>
      </c>
      <c r="F4809" s="154" t="s">
        <v>6272</v>
      </c>
      <c r="G4809" s="154" t="s">
        <v>31</v>
      </c>
      <c r="H4809" s="110" t="s">
        <v>6273</v>
      </c>
      <c r="I4809" s="30" t="e">
        <f>VLOOKUP(H4809,'合同高级查询数据-4月返'!A:A,1,FALSE)</f>
        <v>#N/A</v>
      </c>
      <c r="J4809" s="31" t="s">
        <v>33</v>
      </c>
      <c r="K4809" s="154" t="s">
        <v>34</v>
      </c>
      <c r="L4809" s="293"/>
      <c r="M4809" s="113" t="s">
        <v>6278</v>
      </c>
      <c r="N4809" s="146"/>
      <c r="O4809" s="146" t="s">
        <v>37</v>
      </c>
      <c r="P4809" s="400">
        <v>0</v>
      </c>
      <c r="Q4809" s="295">
        <v>25</v>
      </c>
      <c r="R4809" s="390">
        <f t="shared" si="154"/>
        <v>0</v>
      </c>
      <c r="S4809" s="277">
        <v>202304</v>
      </c>
      <c r="T4809" s="198" t="s">
        <v>6279</v>
      </c>
      <c r="U4809" s="391"/>
      <c r="V4809" s="61"/>
      <c r="W4809" s="393"/>
      <c r="X4809" s="146"/>
      <c r="Y4809" s="146"/>
    </row>
    <row r="4810" s="3" customFormat="1" customHeight="1" spans="1:25">
      <c r="A4810" s="154" t="s">
        <v>444</v>
      </c>
      <c r="B4810" s="292" t="s">
        <v>5041</v>
      </c>
      <c r="C4810" s="292" t="s">
        <v>27</v>
      </c>
      <c r="D4810" s="292" t="s">
        <v>951</v>
      </c>
      <c r="E4810" s="153" t="s">
        <v>6271</v>
      </c>
      <c r="F4810" s="154" t="s">
        <v>6272</v>
      </c>
      <c r="G4810" s="154" t="s">
        <v>31</v>
      </c>
      <c r="H4810" s="110" t="s">
        <v>6273</v>
      </c>
      <c r="I4810" s="30" t="e">
        <f>VLOOKUP(H4810,'合同高级查询数据-4月返'!A:A,1,FALSE)</f>
        <v>#N/A</v>
      </c>
      <c r="J4810" s="31" t="s">
        <v>33</v>
      </c>
      <c r="K4810" s="154" t="s">
        <v>34</v>
      </c>
      <c r="L4810" s="293"/>
      <c r="M4810" s="113" t="s">
        <v>6278</v>
      </c>
      <c r="N4810" s="146"/>
      <c r="O4810" s="146" t="s">
        <v>37</v>
      </c>
      <c r="P4810" s="400">
        <v>50</v>
      </c>
      <c r="Q4810" s="295">
        <v>167</v>
      </c>
      <c r="R4810" s="390">
        <f>ROUND(Q4810*P4810,2)</f>
        <v>8350</v>
      </c>
      <c r="S4810" s="277">
        <v>202304</v>
      </c>
      <c r="T4810" s="198" t="s">
        <v>6279</v>
      </c>
      <c r="U4810" s="391"/>
      <c r="V4810" s="61"/>
      <c r="W4810" s="393"/>
      <c r="X4810" s="146"/>
      <c r="Y4810" s="146"/>
    </row>
    <row r="4811" s="3" customFormat="1" customHeight="1" spans="1:25">
      <c r="A4811" s="154" t="s">
        <v>444</v>
      </c>
      <c r="B4811" s="292" t="s">
        <v>5041</v>
      </c>
      <c r="C4811" s="292" t="s">
        <v>27</v>
      </c>
      <c r="D4811" s="292" t="s">
        <v>951</v>
      </c>
      <c r="E4811" s="153" t="s">
        <v>6271</v>
      </c>
      <c r="F4811" s="154" t="s">
        <v>6272</v>
      </c>
      <c r="G4811" s="154" t="s">
        <v>88</v>
      </c>
      <c r="H4811" s="110" t="s">
        <v>6273</v>
      </c>
      <c r="I4811" s="30" t="e">
        <f>VLOOKUP(H4811,'合同高级查询数据-4月返'!A:A,1,FALSE)</f>
        <v>#N/A</v>
      </c>
      <c r="J4811" s="31" t="s">
        <v>162</v>
      </c>
      <c r="K4811" s="154" t="s">
        <v>34</v>
      </c>
      <c r="L4811" s="293" t="s">
        <v>6280</v>
      </c>
      <c r="M4811" s="113" t="s">
        <v>6276</v>
      </c>
      <c r="N4811" s="146">
        <v>44334</v>
      </c>
      <c r="O4811" s="146" t="s">
        <v>1306</v>
      </c>
      <c r="P4811" s="400">
        <v>5000</v>
      </c>
      <c r="Q4811" s="295">
        <v>2</v>
      </c>
      <c r="R4811" s="390">
        <f>ROUND(Q4811*P4811,2)</f>
        <v>10000</v>
      </c>
      <c r="S4811" s="277">
        <v>202304</v>
      </c>
      <c r="T4811" s="198" t="s">
        <v>6281</v>
      </c>
      <c r="U4811" s="391"/>
      <c r="V4811" s="61"/>
      <c r="W4811" s="393"/>
      <c r="X4811" s="146"/>
      <c r="Y4811" s="146"/>
    </row>
    <row r="4812" s="3" customFormat="1" customHeight="1" spans="1:25">
      <c r="A4812" s="154" t="s">
        <v>444</v>
      </c>
      <c r="B4812" s="292" t="s">
        <v>5041</v>
      </c>
      <c r="C4812" s="292" t="s">
        <v>27</v>
      </c>
      <c r="D4812" s="292" t="s">
        <v>951</v>
      </c>
      <c r="E4812" s="153" t="s">
        <v>6271</v>
      </c>
      <c r="F4812" s="154" t="s">
        <v>6272</v>
      </c>
      <c r="G4812" s="154" t="s">
        <v>88</v>
      </c>
      <c r="H4812" s="110" t="s">
        <v>6273</v>
      </c>
      <c r="I4812" s="30" t="e">
        <f>VLOOKUP(H4812,'合同高级查询数据-4月返'!A:A,1,FALSE)</f>
        <v>#N/A</v>
      </c>
      <c r="J4812" s="31" t="s">
        <v>162</v>
      </c>
      <c r="K4812" s="154" t="s">
        <v>34</v>
      </c>
      <c r="L4812" s="293" t="s">
        <v>6272</v>
      </c>
      <c r="M4812" s="113" t="s">
        <v>6274</v>
      </c>
      <c r="N4812" s="146">
        <v>44687</v>
      </c>
      <c r="O4812" s="146" t="s">
        <v>163</v>
      </c>
      <c r="P4812" s="400">
        <v>5000</v>
      </c>
      <c r="Q4812" s="295">
        <v>-2</v>
      </c>
      <c r="R4812" s="390">
        <f>ROUND(Q4812*P4812,2)</f>
        <v>-10000</v>
      </c>
      <c r="S4812" s="277">
        <v>202304</v>
      </c>
      <c r="T4812" s="198" t="s">
        <v>6282</v>
      </c>
      <c r="U4812" s="391"/>
      <c r="V4812" s="61"/>
      <c r="W4812" s="393"/>
      <c r="X4812" s="146"/>
      <c r="Y4812" s="146"/>
    </row>
    <row r="4813" s="3" customFormat="1" customHeight="1" spans="1:25">
      <c r="A4813" s="154" t="s">
        <v>444</v>
      </c>
      <c r="B4813" s="292" t="s">
        <v>5041</v>
      </c>
      <c r="C4813" s="292" t="s">
        <v>27</v>
      </c>
      <c r="D4813" s="292" t="s">
        <v>951</v>
      </c>
      <c r="E4813" s="153" t="s">
        <v>6271</v>
      </c>
      <c r="F4813" s="154" t="s">
        <v>6272</v>
      </c>
      <c r="G4813" s="154" t="s">
        <v>88</v>
      </c>
      <c r="H4813" s="110" t="s">
        <v>6273</v>
      </c>
      <c r="I4813" s="30" t="e">
        <f>VLOOKUP(H4813,'合同高级查询数据-4月返'!A:A,1,FALSE)</f>
        <v>#N/A</v>
      </c>
      <c r="J4813" s="31" t="s">
        <v>162</v>
      </c>
      <c r="K4813" s="154" t="s">
        <v>34</v>
      </c>
      <c r="L4813" s="293" t="s">
        <v>6272</v>
      </c>
      <c r="M4813" s="113" t="s">
        <v>6274</v>
      </c>
      <c r="N4813" s="146">
        <v>44701</v>
      </c>
      <c r="O4813" s="146" t="s">
        <v>163</v>
      </c>
      <c r="P4813" s="400">
        <v>5000</v>
      </c>
      <c r="Q4813" s="295">
        <v>-2</v>
      </c>
      <c r="R4813" s="390">
        <f>ROUND(Q4813*P4813,2)</f>
        <v>-10000</v>
      </c>
      <c r="S4813" s="277">
        <v>202304</v>
      </c>
      <c r="T4813" s="198" t="s">
        <v>6283</v>
      </c>
      <c r="U4813" s="391"/>
      <c r="V4813" s="61"/>
      <c r="W4813" s="393"/>
      <c r="X4813" s="146"/>
      <c r="Y4813" s="146"/>
    </row>
    <row r="4814" s="3" customFormat="1" customHeight="1" spans="1:25">
      <c r="A4814" s="154" t="s">
        <v>444</v>
      </c>
      <c r="B4814" s="292" t="s">
        <v>5041</v>
      </c>
      <c r="C4814" s="292" t="s">
        <v>27</v>
      </c>
      <c r="D4814" s="292" t="s">
        <v>951</v>
      </c>
      <c r="E4814" s="153" t="s">
        <v>6271</v>
      </c>
      <c r="F4814" s="154" t="s">
        <v>6272</v>
      </c>
      <c r="G4814" s="154" t="s">
        <v>31</v>
      </c>
      <c r="H4814" s="110" t="s">
        <v>6273</v>
      </c>
      <c r="I4814" s="30" t="e">
        <f>VLOOKUP(H4814,'合同高级查询数据-4月返'!A:A,1,FALSE)</f>
        <v>#N/A</v>
      </c>
      <c r="J4814" s="31" t="s">
        <v>33</v>
      </c>
      <c r="K4814" s="154" t="s">
        <v>34</v>
      </c>
      <c r="L4814" s="293" t="s">
        <v>6280</v>
      </c>
      <c r="M4814" s="113" t="s">
        <v>6276</v>
      </c>
      <c r="N4814" s="146">
        <v>44334</v>
      </c>
      <c r="O4814" s="146" t="s">
        <v>37</v>
      </c>
      <c r="P4814" s="400">
        <v>50</v>
      </c>
      <c r="Q4814" s="295">
        <v>512</v>
      </c>
      <c r="R4814" s="390">
        <f>ROUND(Q4814*P4814,2)</f>
        <v>25600</v>
      </c>
      <c r="S4814" s="277">
        <v>202304</v>
      </c>
      <c r="T4814" s="198" t="s">
        <v>6279</v>
      </c>
      <c r="U4814" s="391"/>
      <c r="V4814" s="61"/>
      <c r="W4814" s="393"/>
      <c r="X4814" s="146"/>
      <c r="Y4814" s="146"/>
    </row>
    <row r="4815" s="3" customFormat="1" customHeight="1" spans="1:25">
      <c r="A4815" s="154" t="s">
        <v>444</v>
      </c>
      <c r="B4815" s="292" t="s">
        <v>5041</v>
      </c>
      <c r="C4815" s="292" t="s">
        <v>27</v>
      </c>
      <c r="D4815" s="292" t="s">
        <v>951</v>
      </c>
      <c r="E4815" s="153" t="s">
        <v>6271</v>
      </c>
      <c r="F4815" s="154" t="s">
        <v>6272</v>
      </c>
      <c r="G4815" s="154" t="s">
        <v>31</v>
      </c>
      <c r="H4815" s="110" t="s">
        <v>6273</v>
      </c>
      <c r="I4815" s="30" t="e">
        <f>VLOOKUP(H4815,'合同高级查询数据-4月返'!A:A,1,FALSE)</f>
        <v>#N/A</v>
      </c>
      <c r="J4815" s="31" t="s">
        <v>33</v>
      </c>
      <c r="K4815" s="154" t="s">
        <v>34</v>
      </c>
      <c r="L4815" s="293" t="s">
        <v>6280</v>
      </c>
      <c r="M4815" s="113" t="s">
        <v>6276</v>
      </c>
      <c r="N4815" s="146">
        <v>44409</v>
      </c>
      <c r="O4815" s="146" t="s">
        <v>37</v>
      </c>
      <c r="P4815" s="400">
        <v>50</v>
      </c>
      <c r="Q4815" s="295">
        <v>128</v>
      </c>
      <c r="R4815" s="390">
        <f>ROUND(P4815*Q4815,2)</f>
        <v>6400</v>
      </c>
      <c r="S4815" s="277">
        <v>202304</v>
      </c>
      <c r="T4815" s="198" t="s">
        <v>6284</v>
      </c>
      <c r="U4815" s="391"/>
      <c r="V4815" s="61"/>
      <c r="W4815" s="393"/>
      <c r="X4815" s="146"/>
      <c r="Y4815" s="146"/>
    </row>
    <row r="4816" s="3" customFormat="1" customHeight="1" spans="1:25">
      <c r="A4816" s="154" t="s">
        <v>444</v>
      </c>
      <c r="B4816" s="292" t="s">
        <v>5041</v>
      </c>
      <c r="C4816" s="292" t="s">
        <v>27</v>
      </c>
      <c r="D4816" s="292" t="s">
        <v>951</v>
      </c>
      <c r="E4816" s="153" t="s">
        <v>6271</v>
      </c>
      <c r="F4816" s="154" t="s">
        <v>6272</v>
      </c>
      <c r="G4816" s="154" t="s">
        <v>31</v>
      </c>
      <c r="H4816" s="110" t="s">
        <v>6273</v>
      </c>
      <c r="I4816" s="30" t="e">
        <f>VLOOKUP(H4816,'合同高级查询数据-4月返'!A:A,1,FALSE)</f>
        <v>#N/A</v>
      </c>
      <c r="J4816" s="31" t="s">
        <v>33</v>
      </c>
      <c r="K4816" s="154" t="s">
        <v>34</v>
      </c>
      <c r="L4816" s="293" t="s">
        <v>6280</v>
      </c>
      <c r="M4816" s="113" t="s">
        <v>6276</v>
      </c>
      <c r="N4816" s="146">
        <v>44701</v>
      </c>
      <c r="O4816" s="146" t="s">
        <v>37</v>
      </c>
      <c r="P4816" s="400">
        <v>50</v>
      </c>
      <c r="Q4816" s="295">
        <v>128</v>
      </c>
      <c r="R4816" s="390">
        <f>ROUND(Q4816*P4816,2)</f>
        <v>6400</v>
      </c>
      <c r="S4816" s="277">
        <v>202304</v>
      </c>
      <c r="T4816" s="198" t="s">
        <v>6285</v>
      </c>
      <c r="U4816" s="391"/>
      <c r="V4816" s="61"/>
      <c r="W4816" s="393"/>
      <c r="X4816" s="146"/>
      <c r="Y4816" s="146"/>
    </row>
    <row r="4817" s="3" customFormat="1" customHeight="1" spans="1:25">
      <c r="A4817" s="154" t="s">
        <v>444</v>
      </c>
      <c r="B4817" s="292" t="s">
        <v>5041</v>
      </c>
      <c r="C4817" s="292" t="s">
        <v>27</v>
      </c>
      <c r="D4817" s="292" t="s">
        <v>951</v>
      </c>
      <c r="E4817" s="153" t="s">
        <v>6271</v>
      </c>
      <c r="F4817" s="154" t="s">
        <v>6272</v>
      </c>
      <c r="G4817" s="154" t="s">
        <v>88</v>
      </c>
      <c r="H4817" s="110" t="s">
        <v>6273</v>
      </c>
      <c r="I4817" s="30" t="e">
        <f>VLOOKUP(H4817,'合同高级查询数据-4月返'!A:A,1,FALSE)</f>
        <v>#N/A</v>
      </c>
      <c r="J4817" s="31" t="s">
        <v>162</v>
      </c>
      <c r="K4817" s="154" t="s">
        <v>34</v>
      </c>
      <c r="L4817" s="293" t="s">
        <v>6280</v>
      </c>
      <c r="M4817" s="113" t="s">
        <v>6276</v>
      </c>
      <c r="N4817" s="146">
        <v>44773</v>
      </c>
      <c r="O4817" s="146" t="s">
        <v>1306</v>
      </c>
      <c r="P4817" s="400">
        <v>5000</v>
      </c>
      <c r="Q4817" s="295">
        <v>-4</v>
      </c>
      <c r="R4817" s="390">
        <f>ROUND(Q4817*P4817,2)</f>
        <v>-20000</v>
      </c>
      <c r="S4817" s="277">
        <v>202304</v>
      </c>
      <c r="T4817" s="198" t="s">
        <v>6286</v>
      </c>
      <c r="U4817" s="391"/>
      <c r="V4817" s="61"/>
      <c r="W4817" s="393"/>
      <c r="X4817" s="146"/>
      <c r="Y4817" s="146"/>
    </row>
    <row r="4818" s="3" customFormat="1" customHeight="1" spans="1:25">
      <c r="A4818" s="154" t="s">
        <v>444</v>
      </c>
      <c r="B4818" s="292" t="s">
        <v>5041</v>
      </c>
      <c r="C4818" s="292" t="s">
        <v>27</v>
      </c>
      <c r="D4818" s="292" t="s">
        <v>951</v>
      </c>
      <c r="E4818" s="153" t="s">
        <v>6271</v>
      </c>
      <c r="F4818" s="154" t="s">
        <v>6272</v>
      </c>
      <c r="G4818" s="154" t="s">
        <v>31</v>
      </c>
      <c r="H4818" s="110" t="s">
        <v>6273</v>
      </c>
      <c r="I4818" s="30" t="e">
        <f>VLOOKUP(H4818,'合同高级查询数据-4月返'!A:A,1,FALSE)</f>
        <v>#N/A</v>
      </c>
      <c r="J4818" s="31" t="s">
        <v>33</v>
      </c>
      <c r="K4818" s="154" t="s">
        <v>34</v>
      </c>
      <c r="L4818" s="293" t="s">
        <v>6280</v>
      </c>
      <c r="M4818" s="113" t="s">
        <v>6276</v>
      </c>
      <c r="N4818" s="146">
        <v>44773</v>
      </c>
      <c r="O4818" s="146" t="s">
        <v>37</v>
      </c>
      <c r="P4818" s="400">
        <v>50</v>
      </c>
      <c r="Q4818" s="295">
        <v>-288</v>
      </c>
      <c r="R4818" s="390">
        <f>ROUND(Q4818*P4818,2)</f>
        <v>-14400</v>
      </c>
      <c r="S4818" s="277">
        <v>202304</v>
      </c>
      <c r="T4818" s="198" t="s">
        <v>6287</v>
      </c>
      <c r="U4818" s="391"/>
      <c r="V4818" s="61"/>
      <c r="W4818" s="393"/>
      <c r="X4818" s="146"/>
      <c r="Y4818" s="146"/>
    </row>
    <row r="4819" s="3" customFormat="1" customHeight="1" spans="1:25">
      <c r="A4819" s="154" t="s">
        <v>444</v>
      </c>
      <c r="B4819" s="292" t="s">
        <v>5041</v>
      </c>
      <c r="C4819" s="292" t="s">
        <v>27</v>
      </c>
      <c r="D4819" s="292" t="s">
        <v>951</v>
      </c>
      <c r="E4819" s="153" t="s">
        <v>6271</v>
      </c>
      <c r="F4819" s="154" t="s">
        <v>6272</v>
      </c>
      <c r="G4819" s="154" t="s">
        <v>88</v>
      </c>
      <c r="H4819" s="110" t="s">
        <v>6273</v>
      </c>
      <c r="I4819" s="30" t="e">
        <f>VLOOKUP(H4819,'合同高级查询数据-4月返'!A:A,1,FALSE)</f>
        <v>#N/A</v>
      </c>
      <c r="J4819" s="31" t="s">
        <v>162</v>
      </c>
      <c r="K4819" s="154" t="s">
        <v>34</v>
      </c>
      <c r="L4819" s="293" t="s">
        <v>6272</v>
      </c>
      <c r="M4819" s="113" t="s">
        <v>6276</v>
      </c>
      <c r="N4819" s="146">
        <v>44773</v>
      </c>
      <c r="O4819" s="146" t="s">
        <v>1306</v>
      </c>
      <c r="P4819" s="400">
        <v>5000</v>
      </c>
      <c r="Q4819" s="295">
        <v>-2</v>
      </c>
      <c r="R4819" s="390">
        <f>ROUND(Q4819*P4819,2)</f>
        <v>-10000</v>
      </c>
      <c r="S4819" s="277">
        <v>202304</v>
      </c>
      <c r="T4819" s="416" t="s">
        <v>6288</v>
      </c>
      <c r="U4819" s="391"/>
      <c r="V4819" s="61"/>
      <c r="W4819" s="393"/>
      <c r="X4819" s="146"/>
      <c r="Y4819" s="146"/>
    </row>
    <row r="4820" s="3" customFormat="1" customHeight="1" spans="1:25">
      <c r="A4820" s="154" t="s">
        <v>444</v>
      </c>
      <c r="B4820" s="292" t="s">
        <v>5041</v>
      </c>
      <c r="C4820" s="292" t="s">
        <v>27</v>
      </c>
      <c r="D4820" s="292" t="s">
        <v>951</v>
      </c>
      <c r="E4820" s="153" t="s">
        <v>6271</v>
      </c>
      <c r="F4820" s="154" t="s">
        <v>6272</v>
      </c>
      <c r="G4820" s="154" t="s">
        <v>31</v>
      </c>
      <c r="H4820" s="110" t="s">
        <v>6273</v>
      </c>
      <c r="I4820" s="30" t="e">
        <f>VLOOKUP(H4820,'合同高级查询数据-4月返'!A:A,1,FALSE)</f>
        <v>#N/A</v>
      </c>
      <c r="J4820" s="31" t="s">
        <v>33</v>
      </c>
      <c r="K4820" s="154" t="s">
        <v>34</v>
      </c>
      <c r="L4820" s="293" t="s">
        <v>6272</v>
      </c>
      <c r="M4820" s="113" t="s">
        <v>6276</v>
      </c>
      <c r="N4820" s="146">
        <v>44773</v>
      </c>
      <c r="O4820" s="146" t="s">
        <v>37</v>
      </c>
      <c r="P4820" s="400">
        <v>50</v>
      </c>
      <c r="Q4820" s="295">
        <v>-288</v>
      </c>
      <c r="R4820" s="390">
        <f>ROUND(Q4820*P4820,2)</f>
        <v>-14400</v>
      </c>
      <c r="S4820" s="277">
        <v>202304</v>
      </c>
      <c r="T4820" s="198" t="s">
        <v>6289</v>
      </c>
      <c r="U4820" s="391"/>
      <c r="V4820" s="61"/>
      <c r="W4820" s="393"/>
      <c r="X4820" s="146"/>
      <c r="Y4820" s="146"/>
    </row>
    <row r="4821" s="5" customFormat="1" customHeight="1" spans="1:25">
      <c r="A4821" s="203" t="s">
        <v>61</v>
      </c>
      <c r="B4821" s="204" t="s">
        <v>4284</v>
      </c>
      <c r="C4821" s="204" t="s">
        <v>63</v>
      </c>
      <c r="D4821" s="204" t="s">
        <v>3038</v>
      </c>
      <c r="E4821" s="205" t="s">
        <v>6290</v>
      </c>
      <c r="F4821" s="203" t="s">
        <v>6291</v>
      </c>
      <c r="G4821" s="203" t="s">
        <v>88</v>
      </c>
      <c r="H4821" s="25" t="s">
        <v>6292</v>
      </c>
      <c r="I4821" s="46" t="e">
        <f>VLOOKUP(H4821,'合同高级查询数据-4月返'!A:A,1,FALSE)</f>
        <v>#N/A</v>
      </c>
      <c r="J4821" s="47" t="s">
        <v>90</v>
      </c>
      <c r="K4821" s="203"/>
      <c r="L4821" s="206"/>
      <c r="M4821" s="49" t="s">
        <v>6293</v>
      </c>
      <c r="N4821" s="73">
        <v>43822</v>
      </c>
      <c r="O4821" s="73" t="s">
        <v>503</v>
      </c>
      <c r="P4821" s="396">
        <v>7500</v>
      </c>
      <c r="Q4821" s="212">
        <v>1</v>
      </c>
      <c r="R4821" s="386">
        <f t="shared" ref="R4821:R4832" si="155">ROUND(P4821*Q4821,2)</f>
        <v>7500</v>
      </c>
      <c r="S4821" s="279">
        <v>202304</v>
      </c>
      <c r="T4821" s="184"/>
      <c r="U4821" s="213"/>
      <c r="V4821" s="449"/>
      <c r="W4821" s="214"/>
      <c r="X4821" s="73">
        <v>44918</v>
      </c>
      <c r="Y4821" s="73">
        <v>45282</v>
      </c>
    </row>
    <row r="4822" s="5" customFormat="1" customHeight="1" spans="1:25">
      <c r="A4822" s="203" t="s">
        <v>61</v>
      </c>
      <c r="B4822" s="204" t="s">
        <v>4284</v>
      </c>
      <c r="C4822" s="204" t="s">
        <v>63</v>
      </c>
      <c r="D4822" s="204" t="s">
        <v>3038</v>
      </c>
      <c r="E4822" s="205" t="s">
        <v>6290</v>
      </c>
      <c r="F4822" s="203" t="s">
        <v>6291</v>
      </c>
      <c r="G4822" s="203" t="s">
        <v>67</v>
      </c>
      <c r="H4822" s="25" t="s">
        <v>6292</v>
      </c>
      <c r="I4822" s="46" t="e">
        <f>VLOOKUP(H4822,'合同高级查询数据-4月返'!A:A,1,FALSE)</f>
        <v>#N/A</v>
      </c>
      <c r="J4822" s="47" t="s">
        <v>69</v>
      </c>
      <c r="K4822" s="203" t="s">
        <v>6294</v>
      </c>
      <c r="L4822" s="206"/>
      <c r="M4822" s="49"/>
      <c r="N4822" s="73">
        <v>43822</v>
      </c>
      <c r="O4822" s="73" t="s">
        <v>71</v>
      </c>
      <c r="P4822" s="396">
        <v>1500</v>
      </c>
      <c r="Q4822" s="212">
        <v>1</v>
      </c>
      <c r="R4822" s="386">
        <f t="shared" si="155"/>
        <v>1500</v>
      </c>
      <c r="S4822" s="279">
        <v>202304</v>
      </c>
      <c r="T4822" s="184"/>
      <c r="U4822" s="213"/>
      <c r="V4822" s="449"/>
      <c r="W4822" s="214"/>
      <c r="X4822" s="73">
        <v>44918</v>
      </c>
      <c r="Y4822" s="73">
        <v>45282</v>
      </c>
    </row>
    <row r="4823" s="5" customFormat="1" customHeight="1" spans="1:25">
      <c r="A4823" s="203" t="s">
        <v>61</v>
      </c>
      <c r="B4823" s="204" t="s">
        <v>4284</v>
      </c>
      <c r="C4823" s="204" t="s">
        <v>63</v>
      </c>
      <c r="D4823" s="204" t="s">
        <v>3038</v>
      </c>
      <c r="E4823" s="205" t="s">
        <v>6290</v>
      </c>
      <c r="F4823" s="203" t="s">
        <v>6291</v>
      </c>
      <c r="G4823" s="203" t="s">
        <v>67</v>
      </c>
      <c r="H4823" s="25" t="s">
        <v>6292</v>
      </c>
      <c r="I4823" s="46" t="e">
        <f>VLOOKUP(H4823,'合同高级查询数据-4月返'!A:A,1,FALSE)</f>
        <v>#N/A</v>
      </c>
      <c r="J4823" s="47" t="s">
        <v>69</v>
      </c>
      <c r="K4823" s="203" t="s">
        <v>6295</v>
      </c>
      <c r="L4823" s="206"/>
      <c r="M4823" s="49"/>
      <c r="N4823" s="73">
        <v>43822</v>
      </c>
      <c r="O4823" s="73" t="s">
        <v>71</v>
      </c>
      <c r="P4823" s="396">
        <v>1500</v>
      </c>
      <c r="Q4823" s="212">
        <v>1</v>
      </c>
      <c r="R4823" s="386">
        <f t="shared" si="155"/>
        <v>1500</v>
      </c>
      <c r="S4823" s="279">
        <v>202304</v>
      </c>
      <c r="T4823" s="184"/>
      <c r="U4823" s="213"/>
      <c r="V4823" s="449"/>
      <c r="W4823" s="214"/>
      <c r="X4823" s="73">
        <v>44918</v>
      </c>
      <c r="Y4823" s="73">
        <v>45282</v>
      </c>
    </row>
    <row r="4824" s="5" customFormat="1" customHeight="1" spans="1:25">
      <c r="A4824" s="203" t="s">
        <v>61</v>
      </c>
      <c r="B4824" s="204" t="s">
        <v>4284</v>
      </c>
      <c r="C4824" s="204" t="s">
        <v>63</v>
      </c>
      <c r="D4824" s="204" t="s">
        <v>3038</v>
      </c>
      <c r="E4824" s="205" t="s">
        <v>6290</v>
      </c>
      <c r="F4824" s="203" t="s">
        <v>6291</v>
      </c>
      <c r="G4824" s="203" t="s">
        <v>67</v>
      </c>
      <c r="H4824" s="25" t="s">
        <v>6292</v>
      </c>
      <c r="I4824" s="46" t="e">
        <f>VLOOKUP(H4824,'合同高级查询数据-4月返'!A:A,1,FALSE)</f>
        <v>#N/A</v>
      </c>
      <c r="J4824" s="47" t="s">
        <v>69</v>
      </c>
      <c r="K4824" s="203" t="s">
        <v>6296</v>
      </c>
      <c r="L4824" s="206"/>
      <c r="M4824" s="49"/>
      <c r="N4824" s="73">
        <v>43822</v>
      </c>
      <c r="O4824" s="73" t="s">
        <v>71</v>
      </c>
      <c r="P4824" s="396">
        <v>1500</v>
      </c>
      <c r="Q4824" s="212">
        <v>1</v>
      </c>
      <c r="R4824" s="386">
        <f t="shared" si="155"/>
        <v>1500</v>
      </c>
      <c r="S4824" s="279">
        <v>202304</v>
      </c>
      <c r="T4824" s="184"/>
      <c r="U4824" s="213"/>
      <c r="V4824" s="449"/>
      <c r="W4824" s="214"/>
      <c r="X4824" s="73">
        <v>44918</v>
      </c>
      <c r="Y4824" s="73">
        <v>45282</v>
      </c>
    </row>
    <row r="4825" s="5" customFormat="1" customHeight="1" spans="1:25">
      <c r="A4825" s="203" t="s">
        <v>61</v>
      </c>
      <c r="B4825" s="204" t="s">
        <v>4284</v>
      </c>
      <c r="C4825" s="204" t="s">
        <v>63</v>
      </c>
      <c r="D4825" s="204" t="s">
        <v>3038</v>
      </c>
      <c r="E4825" s="205" t="s">
        <v>6290</v>
      </c>
      <c r="F4825" s="203" t="s">
        <v>6291</v>
      </c>
      <c r="G4825" s="203" t="s">
        <v>67</v>
      </c>
      <c r="H4825" s="25" t="s">
        <v>6292</v>
      </c>
      <c r="I4825" s="46" t="e">
        <f>VLOOKUP(H4825,'合同高级查询数据-4月返'!A:A,1,FALSE)</f>
        <v>#N/A</v>
      </c>
      <c r="J4825" s="47" t="s">
        <v>69</v>
      </c>
      <c r="K4825" s="203" t="s">
        <v>6297</v>
      </c>
      <c r="L4825" s="206"/>
      <c r="M4825" s="49"/>
      <c r="N4825" s="73">
        <v>43840</v>
      </c>
      <c r="O4825" s="73" t="s">
        <v>71</v>
      </c>
      <c r="P4825" s="396">
        <v>1500</v>
      </c>
      <c r="Q4825" s="212">
        <v>4</v>
      </c>
      <c r="R4825" s="386">
        <f t="shared" si="155"/>
        <v>6000</v>
      </c>
      <c r="S4825" s="279">
        <v>202304</v>
      </c>
      <c r="T4825" s="184"/>
      <c r="U4825" s="213"/>
      <c r="V4825" s="449"/>
      <c r="W4825" s="214"/>
      <c r="X4825" s="73">
        <v>44918</v>
      </c>
      <c r="Y4825" s="73">
        <v>45282</v>
      </c>
    </row>
    <row r="4826" s="5" customFormat="1" customHeight="1" spans="1:25">
      <c r="A4826" s="203" t="s">
        <v>61</v>
      </c>
      <c r="B4826" s="204" t="s">
        <v>4284</v>
      </c>
      <c r="C4826" s="204" t="s">
        <v>63</v>
      </c>
      <c r="D4826" s="204" t="s">
        <v>3038</v>
      </c>
      <c r="E4826" s="205" t="s">
        <v>6290</v>
      </c>
      <c r="F4826" s="203" t="s">
        <v>6291</v>
      </c>
      <c r="G4826" s="203" t="s">
        <v>67</v>
      </c>
      <c r="H4826" s="25" t="s">
        <v>6292</v>
      </c>
      <c r="I4826" s="46" t="e">
        <f>VLOOKUP(H4826,'合同高级查询数据-4月返'!A:A,1,FALSE)</f>
        <v>#N/A</v>
      </c>
      <c r="J4826" s="47" t="s">
        <v>69</v>
      </c>
      <c r="K4826" s="203" t="s">
        <v>6297</v>
      </c>
      <c r="L4826" s="206"/>
      <c r="M4826" s="49"/>
      <c r="N4826" s="73">
        <v>44960</v>
      </c>
      <c r="O4826" s="73" t="s">
        <v>71</v>
      </c>
      <c r="P4826" s="396">
        <v>1500</v>
      </c>
      <c r="Q4826" s="212">
        <v>-2</v>
      </c>
      <c r="R4826" s="386">
        <f t="shared" si="155"/>
        <v>-3000</v>
      </c>
      <c r="S4826" s="279">
        <v>202304</v>
      </c>
      <c r="T4826" s="184"/>
      <c r="U4826" s="213"/>
      <c r="V4826" s="449"/>
      <c r="W4826" s="214"/>
      <c r="X4826" s="73">
        <v>44918</v>
      </c>
      <c r="Y4826" s="73">
        <v>45282</v>
      </c>
    </row>
    <row r="4827" s="5" customFormat="1" customHeight="1" spans="1:25">
      <c r="A4827" s="203" t="s">
        <v>61</v>
      </c>
      <c r="B4827" s="204" t="s">
        <v>4284</v>
      </c>
      <c r="C4827" s="204" t="s">
        <v>63</v>
      </c>
      <c r="D4827" s="204" t="s">
        <v>3038</v>
      </c>
      <c r="E4827" s="205" t="s">
        <v>6290</v>
      </c>
      <c r="F4827" s="203" t="s">
        <v>6291</v>
      </c>
      <c r="G4827" s="203" t="s">
        <v>67</v>
      </c>
      <c r="H4827" s="25" t="s">
        <v>6292</v>
      </c>
      <c r="I4827" s="46" t="e">
        <f>VLOOKUP(H4827,'合同高级查询数据-4月返'!A:A,1,FALSE)</f>
        <v>#N/A</v>
      </c>
      <c r="J4827" s="47" t="s">
        <v>69</v>
      </c>
      <c r="K4827" s="203" t="s">
        <v>6298</v>
      </c>
      <c r="L4827" s="206"/>
      <c r="M4827" s="49"/>
      <c r="N4827" s="73">
        <v>43840</v>
      </c>
      <c r="O4827" s="73" t="s">
        <v>71</v>
      </c>
      <c r="P4827" s="396">
        <v>1500</v>
      </c>
      <c r="Q4827" s="212">
        <v>4</v>
      </c>
      <c r="R4827" s="386">
        <f t="shared" si="155"/>
        <v>6000</v>
      </c>
      <c r="S4827" s="279">
        <v>202304</v>
      </c>
      <c r="T4827" s="184"/>
      <c r="U4827" s="213"/>
      <c r="V4827" s="449"/>
      <c r="W4827" s="214"/>
      <c r="X4827" s="73">
        <v>44918</v>
      </c>
      <c r="Y4827" s="73">
        <v>45282</v>
      </c>
    </row>
    <row r="4828" s="5" customFormat="1" customHeight="1" spans="1:25">
      <c r="A4828" s="203" t="s">
        <v>61</v>
      </c>
      <c r="B4828" s="204" t="s">
        <v>4284</v>
      </c>
      <c r="C4828" s="204" t="s">
        <v>63</v>
      </c>
      <c r="D4828" s="204" t="s">
        <v>3038</v>
      </c>
      <c r="E4828" s="205" t="s">
        <v>6290</v>
      </c>
      <c r="F4828" s="203" t="s">
        <v>6291</v>
      </c>
      <c r="G4828" s="203" t="s">
        <v>67</v>
      </c>
      <c r="H4828" s="25" t="s">
        <v>6292</v>
      </c>
      <c r="I4828" s="46" t="e">
        <f>VLOOKUP(H4828,'合同高级查询数据-4月返'!A:A,1,FALSE)</f>
        <v>#N/A</v>
      </c>
      <c r="J4828" s="47" t="s">
        <v>69</v>
      </c>
      <c r="K4828" s="203" t="s">
        <v>6298</v>
      </c>
      <c r="L4828" s="206"/>
      <c r="M4828" s="49"/>
      <c r="N4828" s="73">
        <v>44960</v>
      </c>
      <c r="O4828" s="73" t="s">
        <v>71</v>
      </c>
      <c r="P4828" s="396">
        <v>1500</v>
      </c>
      <c r="Q4828" s="212">
        <v>-2</v>
      </c>
      <c r="R4828" s="386">
        <f t="shared" si="155"/>
        <v>-3000</v>
      </c>
      <c r="S4828" s="279">
        <v>202304</v>
      </c>
      <c r="T4828" s="184"/>
      <c r="U4828" s="213"/>
      <c r="V4828" s="449"/>
      <c r="W4828" s="214"/>
      <c r="X4828" s="73">
        <v>44918</v>
      </c>
      <c r="Y4828" s="73">
        <v>45282</v>
      </c>
    </row>
    <row r="4829" s="5" customFormat="1" customHeight="1" spans="1:25">
      <c r="A4829" s="203" t="s">
        <v>61</v>
      </c>
      <c r="B4829" s="204" t="s">
        <v>4284</v>
      </c>
      <c r="C4829" s="204" t="s">
        <v>63</v>
      </c>
      <c r="D4829" s="204" t="s">
        <v>3038</v>
      </c>
      <c r="E4829" s="205" t="s">
        <v>6290</v>
      </c>
      <c r="F4829" s="203" t="s">
        <v>6291</v>
      </c>
      <c r="G4829" s="203" t="s">
        <v>67</v>
      </c>
      <c r="H4829" s="25" t="s">
        <v>6292</v>
      </c>
      <c r="I4829" s="46" t="e">
        <f>VLOOKUP(H4829,'合同高级查询数据-4月返'!A:A,1,FALSE)</f>
        <v>#N/A</v>
      </c>
      <c r="J4829" s="47" t="s">
        <v>69</v>
      </c>
      <c r="K4829" s="203" t="s">
        <v>6297</v>
      </c>
      <c r="L4829" s="206"/>
      <c r="M4829" s="49"/>
      <c r="N4829" s="73">
        <v>44502</v>
      </c>
      <c r="O4829" s="73" t="s">
        <v>71</v>
      </c>
      <c r="P4829" s="396">
        <v>1500</v>
      </c>
      <c r="Q4829" s="212">
        <v>4</v>
      </c>
      <c r="R4829" s="386">
        <f t="shared" si="155"/>
        <v>6000</v>
      </c>
      <c r="S4829" s="279">
        <v>202304</v>
      </c>
      <c r="T4829" s="184" t="s">
        <v>6299</v>
      </c>
      <c r="U4829" s="213"/>
      <c r="V4829" s="449"/>
      <c r="W4829" s="214"/>
      <c r="X4829" s="73">
        <v>44918</v>
      </c>
      <c r="Y4829" s="73">
        <v>45282</v>
      </c>
    </row>
    <row r="4830" s="5" customFormat="1" customHeight="1" spans="1:25">
      <c r="A4830" s="203" t="s">
        <v>61</v>
      </c>
      <c r="B4830" s="204" t="s">
        <v>4284</v>
      </c>
      <c r="C4830" s="204" t="s">
        <v>63</v>
      </c>
      <c r="D4830" s="204" t="s">
        <v>3038</v>
      </c>
      <c r="E4830" s="205" t="s">
        <v>6290</v>
      </c>
      <c r="F4830" s="203" t="s">
        <v>6291</v>
      </c>
      <c r="G4830" s="203" t="s">
        <v>67</v>
      </c>
      <c r="H4830" s="25" t="s">
        <v>6292</v>
      </c>
      <c r="I4830" s="46" t="e">
        <f>VLOOKUP(H4830,'合同高级查询数据-4月返'!A:A,1,FALSE)</f>
        <v>#N/A</v>
      </c>
      <c r="J4830" s="47" t="s">
        <v>69</v>
      </c>
      <c r="K4830" s="203" t="s">
        <v>6297</v>
      </c>
      <c r="L4830" s="206"/>
      <c r="M4830" s="49"/>
      <c r="N4830" s="73">
        <v>44960</v>
      </c>
      <c r="O4830" s="73" t="s">
        <v>71</v>
      </c>
      <c r="P4830" s="396">
        <v>1500</v>
      </c>
      <c r="Q4830" s="212">
        <v>-2</v>
      </c>
      <c r="R4830" s="386">
        <f t="shared" si="155"/>
        <v>-3000</v>
      </c>
      <c r="S4830" s="279">
        <v>202304</v>
      </c>
      <c r="T4830" s="184"/>
      <c r="U4830" s="213"/>
      <c r="V4830" s="449"/>
      <c r="W4830" s="214"/>
      <c r="X4830" s="73">
        <v>44918</v>
      </c>
      <c r="Y4830" s="73">
        <v>45282</v>
      </c>
    </row>
    <row r="4831" s="5" customFormat="1" customHeight="1" spans="1:25">
      <c r="A4831" s="203" t="s">
        <v>61</v>
      </c>
      <c r="B4831" s="204" t="s">
        <v>4284</v>
      </c>
      <c r="C4831" s="204" t="s">
        <v>63</v>
      </c>
      <c r="D4831" s="204" t="s">
        <v>3038</v>
      </c>
      <c r="E4831" s="205" t="s">
        <v>6290</v>
      </c>
      <c r="F4831" s="203" t="s">
        <v>6291</v>
      </c>
      <c r="G4831" s="203" t="s">
        <v>67</v>
      </c>
      <c r="H4831" s="25" t="s">
        <v>6292</v>
      </c>
      <c r="I4831" s="46" t="e">
        <f>VLOOKUP(H4831,'合同高级查询数据-4月返'!A:A,1,FALSE)</f>
        <v>#N/A</v>
      </c>
      <c r="J4831" s="47" t="s">
        <v>69</v>
      </c>
      <c r="K4831" s="203" t="s">
        <v>6298</v>
      </c>
      <c r="L4831" s="206"/>
      <c r="M4831" s="49"/>
      <c r="N4831" s="73">
        <v>44502</v>
      </c>
      <c r="O4831" s="73" t="s">
        <v>71</v>
      </c>
      <c r="P4831" s="396">
        <v>1500</v>
      </c>
      <c r="Q4831" s="212">
        <v>4</v>
      </c>
      <c r="R4831" s="386">
        <f t="shared" si="155"/>
        <v>6000</v>
      </c>
      <c r="S4831" s="279">
        <v>202304</v>
      </c>
      <c r="T4831" s="184" t="s">
        <v>6299</v>
      </c>
      <c r="U4831" s="213"/>
      <c r="V4831" s="449"/>
      <c r="W4831" s="214"/>
      <c r="X4831" s="73">
        <v>44918</v>
      </c>
      <c r="Y4831" s="73">
        <v>45282</v>
      </c>
    </row>
    <row r="4832" s="5" customFormat="1" customHeight="1" spans="1:25">
      <c r="A4832" s="203" t="s">
        <v>61</v>
      </c>
      <c r="B4832" s="204" t="s">
        <v>4284</v>
      </c>
      <c r="C4832" s="204" t="s">
        <v>63</v>
      </c>
      <c r="D4832" s="204" t="s">
        <v>3038</v>
      </c>
      <c r="E4832" s="205" t="s">
        <v>6290</v>
      </c>
      <c r="F4832" s="203" t="s">
        <v>6291</v>
      </c>
      <c r="G4832" s="203" t="s">
        <v>67</v>
      </c>
      <c r="H4832" s="25" t="s">
        <v>6292</v>
      </c>
      <c r="I4832" s="46" t="e">
        <f>VLOOKUP(H4832,'合同高级查询数据-4月返'!A:A,1,FALSE)</f>
        <v>#N/A</v>
      </c>
      <c r="J4832" s="47" t="s">
        <v>69</v>
      </c>
      <c r="K4832" s="203" t="s">
        <v>6298</v>
      </c>
      <c r="L4832" s="206"/>
      <c r="M4832" s="49"/>
      <c r="N4832" s="73">
        <v>44960</v>
      </c>
      <c r="O4832" s="73" t="s">
        <v>71</v>
      </c>
      <c r="P4832" s="396">
        <v>1500</v>
      </c>
      <c r="Q4832" s="212">
        <v>-2</v>
      </c>
      <c r="R4832" s="386">
        <f t="shared" si="155"/>
        <v>-3000</v>
      </c>
      <c r="S4832" s="279">
        <v>202304</v>
      </c>
      <c r="T4832" s="426"/>
      <c r="U4832" s="213"/>
      <c r="V4832" s="467"/>
      <c r="W4832" s="468"/>
      <c r="X4832" s="73">
        <v>44918</v>
      </c>
      <c r="Y4832" s="73">
        <v>45282</v>
      </c>
    </row>
    <row r="4833" s="3" customFormat="1" customHeight="1" spans="1:25">
      <c r="A4833" s="11" t="s">
        <v>448</v>
      </c>
      <c r="B4833" s="11" t="s">
        <v>6300</v>
      </c>
      <c r="C4833" s="11" t="s">
        <v>120</v>
      </c>
      <c r="D4833" s="35" t="s">
        <v>6301</v>
      </c>
      <c r="E4833" s="13" t="s">
        <v>6302</v>
      </c>
      <c r="F4833" s="11" t="s">
        <v>6303</v>
      </c>
      <c r="G4833" s="11" t="s">
        <v>31</v>
      </c>
      <c r="H4833" s="110" t="s">
        <v>6304</v>
      </c>
      <c r="I4833" s="30" t="e">
        <f>VLOOKUP(H4833,'合同高级查询数据-4月返'!A:A,1,FALSE)</f>
        <v>#N/A</v>
      </c>
      <c r="J4833" s="31" t="s">
        <v>1273</v>
      </c>
      <c r="K4833" s="11" t="s">
        <v>6305</v>
      </c>
      <c r="L4833" s="32" t="s">
        <v>6306</v>
      </c>
      <c r="M4833" s="113" t="s">
        <v>6307</v>
      </c>
      <c r="N4833" s="193">
        <v>41408</v>
      </c>
      <c r="O4833" s="11" t="s">
        <v>37</v>
      </c>
      <c r="P4833" s="465">
        <v>0</v>
      </c>
      <c r="Q4833" s="459">
        <v>128</v>
      </c>
      <c r="R4833" s="465">
        <f t="shared" ref="R4833:R4877" si="156">ROUND(P4833*Q4833,2)</f>
        <v>0</v>
      </c>
      <c r="S4833" s="31">
        <v>202304</v>
      </c>
      <c r="T4833" s="60" t="s">
        <v>6308</v>
      </c>
      <c r="U4833" s="411"/>
      <c r="V4833" s="411"/>
      <c r="W4833" s="411"/>
      <c r="X4833" s="469"/>
      <c r="Y4833" s="469"/>
    </row>
    <row r="4834" s="3" customFormat="1" customHeight="1" spans="1:25">
      <c r="A4834" s="11" t="s">
        <v>448</v>
      </c>
      <c r="B4834" s="11" t="s">
        <v>6300</v>
      </c>
      <c r="C4834" s="11" t="s">
        <v>120</v>
      </c>
      <c r="D4834" s="35" t="s">
        <v>6301</v>
      </c>
      <c r="E4834" s="13" t="s">
        <v>6302</v>
      </c>
      <c r="F4834" s="11" t="s">
        <v>6303</v>
      </c>
      <c r="G4834" s="11" t="s">
        <v>31</v>
      </c>
      <c r="H4834" s="110" t="s">
        <v>6304</v>
      </c>
      <c r="I4834" s="30" t="e">
        <f>VLOOKUP(H4834,'合同高级查询数据-4月返'!A:A,1,FALSE)</f>
        <v>#N/A</v>
      </c>
      <c r="J4834" s="31" t="s">
        <v>1273</v>
      </c>
      <c r="K4834" s="11" t="s">
        <v>6305</v>
      </c>
      <c r="L4834" s="32" t="s">
        <v>6306</v>
      </c>
      <c r="M4834" s="113" t="s">
        <v>6307</v>
      </c>
      <c r="N4834" s="193">
        <v>44347</v>
      </c>
      <c r="O4834" s="11" t="s">
        <v>37</v>
      </c>
      <c r="P4834" s="465">
        <v>0</v>
      </c>
      <c r="Q4834" s="459">
        <v>-128</v>
      </c>
      <c r="R4834" s="465">
        <f t="shared" si="156"/>
        <v>0</v>
      </c>
      <c r="S4834" s="31">
        <v>202304</v>
      </c>
      <c r="T4834" s="60" t="s">
        <v>6309</v>
      </c>
      <c r="U4834" s="411"/>
      <c r="V4834" s="411"/>
      <c r="W4834" s="411"/>
      <c r="X4834" s="469"/>
      <c r="Y4834" s="469"/>
    </row>
    <row r="4835" s="3" customFormat="1" customHeight="1" spans="1:25">
      <c r="A4835" s="11" t="s">
        <v>448</v>
      </c>
      <c r="B4835" s="11" t="s">
        <v>6300</v>
      </c>
      <c r="C4835" s="11" t="s">
        <v>120</v>
      </c>
      <c r="D4835" s="35" t="s">
        <v>6301</v>
      </c>
      <c r="E4835" s="13" t="s">
        <v>6302</v>
      </c>
      <c r="F4835" s="11" t="s">
        <v>6303</v>
      </c>
      <c r="G4835" s="11" t="s">
        <v>31</v>
      </c>
      <c r="H4835" s="110" t="s">
        <v>6304</v>
      </c>
      <c r="I4835" s="30" t="e">
        <f>VLOOKUP(H4835,'合同高级查询数据-4月返'!A:A,1,FALSE)</f>
        <v>#N/A</v>
      </c>
      <c r="J4835" s="31" t="s">
        <v>1273</v>
      </c>
      <c r="K4835" s="11" t="s">
        <v>6305</v>
      </c>
      <c r="L4835" s="32" t="s">
        <v>6306</v>
      </c>
      <c r="M4835" s="113" t="s">
        <v>6307</v>
      </c>
      <c r="N4835" s="193">
        <v>44284</v>
      </c>
      <c r="O4835" s="11" t="s">
        <v>37</v>
      </c>
      <c r="P4835" s="465">
        <v>0</v>
      </c>
      <c r="Q4835" s="459">
        <v>256</v>
      </c>
      <c r="R4835" s="465">
        <f t="shared" si="156"/>
        <v>0</v>
      </c>
      <c r="S4835" s="31">
        <v>202304</v>
      </c>
      <c r="T4835" s="60" t="s">
        <v>6310</v>
      </c>
      <c r="U4835" s="411"/>
      <c r="V4835" s="411"/>
      <c r="W4835" s="411"/>
      <c r="X4835" s="469"/>
      <c r="Y4835" s="469"/>
    </row>
    <row r="4836" s="3" customFormat="1" customHeight="1" spans="1:25">
      <c r="A4836" s="11" t="s">
        <v>448</v>
      </c>
      <c r="B4836" s="11" t="s">
        <v>6300</v>
      </c>
      <c r="C4836" s="11" t="s">
        <v>120</v>
      </c>
      <c r="D4836" s="35" t="s">
        <v>6301</v>
      </c>
      <c r="E4836" s="13" t="s">
        <v>6302</v>
      </c>
      <c r="F4836" s="11" t="s">
        <v>6303</v>
      </c>
      <c r="G4836" s="11" t="s">
        <v>31</v>
      </c>
      <c r="H4836" s="110" t="s">
        <v>6304</v>
      </c>
      <c r="I4836" s="30" t="e">
        <f>VLOOKUP(H4836,'合同高级查询数据-4月返'!A:A,1,FALSE)</f>
        <v>#N/A</v>
      </c>
      <c r="J4836" s="31" t="s">
        <v>1273</v>
      </c>
      <c r="K4836" s="11" t="s">
        <v>6305</v>
      </c>
      <c r="L4836" s="32" t="s">
        <v>6306</v>
      </c>
      <c r="M4836" s="113" t="s">
        <v>6307</v>
      </c>
      <c r="N4836" s="193">
        <v>44347</v>
      </c>
      <c r="O4836" s="11" t="s">
        <v>37</v>
      </c>
      <c r="P4836" s="465">
        <v>0</v>
      </c>
      <c r="Q4836" s="459">
        <v>-256</v>
      </c>
      <c r="R4836" s="465">
        <f t="shared" si="156"/>
        <v>0</v>
      </c>
      <c r="S4836" s="31">
        <v>202304</v>
      </c>
      <c r="T4836" s="60" t="s">
        <v>6309</v>
      </c>
      <c r="U4836" s="411"/>
      <c r="V4836" s="411"/>
      <c r="W4836" s="411"/>
      <c r="X4836" s="469"/>
      <c r="Y4836" s="469"/>
    </row>
    <row r="4837" s="3" customFormat="1" customHeight="1" spans="1:25">
      <c r="A4837" s="11" t="s">
        <v>448</v>
      </c>
      <c r="B4837" s="11" t="s">
        <v>6300</v>
      </c>
      <c r="C4837" s="11" t="s">
        <v>120</v>
      </c>
      <c r="D4837" s="35" t="s">
        <v>6301</v>
      </c>
      <c r="E4837" s="13" t="s">
        <v>6302</v>
      </c>
      <c r="F4837" s="11" t="s">
        <v>6303</v>
      </c>
      <c r="G4837" s="11" t="s">
        <v>88</v>
      </c>
      <c r="H4837" s="110" t="s">
        <v>6304</v>
      </c>
      <c r="I4837" s="30" t="e">
        <f>VLOOKUP(H4837,'合同高级查询数据-4月返'!A:A,1,FALSE)</f>
        <v>#N/A</v>
      </c>
      <c r="J4837" s="31" t="s">
        <v>1287</v>
      </c>
      <c r="K4837" s="11" t="s">
        <v>6305</v>
      </c>
      <c r="L4837" s="32" t="s">
        <v>6306</v>
      </c>
      <c r="M4837" s="113" t="s">
        <v>6307</v>
      </c>
      <c r="N4837" s="193">
        <v>41408</v>
      </c>
      <c r="O4837" s="11" t="s">
        <v>702</v>
      </c>
      <c r="P4837" s="465">
        <v>3333.33</v>
      </c>
      <c r="Q4837" s="459">
        <v>2</v>
      </c>
      <c r="R4837" s="465">
        <f t="shared" si="156"/>
        <v>6666.66</v>
      </c>
      <c r="S4837" s="31">
        <v>202304</v>
      </c>
      <c r="T4837" s="60" t="s">
        <v>6311</v>
      </c>
      <c r="U4837" s="411"/>
      <c r="V4837" s="470"/>
      <c r="W4837" s="470"/>
      <c r="X4837" s="469"/>
      <c r="Y4837" s="469"/>
    </row>
    <row r="4838" s="3" customFormat="1" customHeight="1" spans="1:25">
      <c r="A4838" s="11" t="s">
        <v>448</v>
      </c>
      <c r="B4838" s="11" t="s">
        <v>6300</v>
      </c>
      <c r="C4838" s="11" t="s">
        <v>120</v>
      </c>
      <c r="D4838" s="35" t="s">
        <v>6301</v>
      </c>
      <c r="E4838" s="13" t="s">
        <v>6302</v>
      </c>
      <c r="F4838" s="11" t="s">
        <v>6303</v>
      </c>
      <c r="G4838" s="11" t="s">
        <v>88</v>
      </c>
      <c r="H4838" s="110" t="s">
        <v>6304</v>
      </c>
      <c r="I4838" s="30" t="e">
        <f>VLOOKUP(H4838,'合同高级查询数据-4月返'!A:A,1,FALSE)</f>
        <v>#N/A</v>
      </c>
      <c r="J4838" s="31" t="s">
        <v>1287</v>
      </c>
      <c r="K4838" s="11" t="s">
        <v>6305</v>
      </c>
      <c r="L4838" s="32" t="s">
        <v>6306</v>
      </c>
      <c r="M4838" s="113" t="s">
        <v>6307</v>
      </c>
      <c r="N4838" s="193">
        <v>41408</v>
      </c>
      <c r="O4838" s="11" t="s">
        <v>702</v>
      </c>
      <c r="P4838" s="465">
        <v>0</v>
      </c>
      <c r="Q4838" s="459">
        <v>1</v>
      </c>
      <c r="R4838" s="465">
        <f t="shared" si="156"/>
        <v>0</v>
      </c>
      <c r="S4838" s="31">
        <v>202304</v>
      </c>
      <c r="T4838" s="60" t="s">
        <v>6312</v>
      </c>
      <c r="U4838" s="411"/>
      <c r="V4838" s="411"/>
      <c r="W4838" s="411"/>
      <c r="X4838" s="469"/>
      <c r="Y4838" s="469"/>
    </row>
    <row r="4839" s="3" customFormat="1" customHeight="1" spans="1:25">
      <c r="A4839" s="11" t="s">
        <v>448</v>
      </c>
      <c r="B4839" s="11" t="s">
        <v>6300</v>
      </c>
      <c r="C4839" s="11" t="s">
        <v>120</v>
      </c>
      <c r="D4839" s="35" t="s">
        <v>6301</v>
      </c>
      <c r="E4839" s="13" t="s">
        <v>6302</v>
      </c>
      <c r="F4839" s="11" t="s">
        <v>6303</v>
      </c>
      <c r="G4839" s="11" t="s">
        <v>88</v>
      </c>
      <c r="H4839" s="110" t="s">
        <v>6304</v>
      </c>
      <c r="I4839" s="30" t="e">
        <f>VLOOKUP(H4839,'合同高级查询数据-4月返'!A:A,1,FALSE)</f>
        <v>#N/A</v>
      </c>
      <c r="J4839" s="31" t="s">
        <v>1287</v>
      </c>
      <c r="K4839" s="11" t="s">
        <v>6305</v>
      </c>
      <c r="L4839" s="32" t="s">
        <v>6306</v>
      </c>
      <c r="M4839" s="113" t="s">
        <v>6307</v>
      </c>
      <c r="N4839" s="193">
        <v>44347</v>
      </c>
      <c r="O4839" s="11" t="s">
        <v>702</v>
      </c>
      <c r="P4839" s="465">
        <v>3333.33</v>
      </c>
      <c r="Q4839" s="459">
        <v>-2</v>
      </c>
      <c r="R4839" s="465">
        <f t="shared" si="156"/>
        <v>-6666.66</v>
      </c>
      <c r="S4839" s="31">
        <v>202304</v>
      </c>
      <c r="T4839" s="60" t="s">
        <v>6313</v>
      </c>
      <c r="U4839" s="411"/>
      <c r="V4839" s="470"/>
      <c r="W4839" s="470"/>
      <c r="X4839" s="469"/>
      <c r="Y4839" s="469"/>
    </row>
    <row r="4840" s="3" customFormat="1" customHeight="1" spans="1:25">
      <c r="A4840" s="11" t="s">
        <v>448</v>
      </c>
      <c r="B4840" s="11" t="s">
        <v>6300</v>
      </c>
      <c r="C4840" s="11" t="s">
        <v>120</v>
      </c>
      <c r="D4840" s="35" t="s">
        <v>6301</v>
      </c>
      <c r="E4840" s="13" t="s">
        <v>6302</v>
      </c>
      <c r="F4840" s="11" t="s">
        <v>6303</v>
      </c>
      <c r="G4840" s="11" t="s">
        <v>88</v>
      </c>
      <c r="H4840" s="110" t="s">
        <v>6304</v>
      </c>
      <c r="I4840" s="30" t="e">
        <f>VLOOKUP(H4840,'合同高级查询数据-4月返'!A:A,1,FALSE)</f>
        <v>#N/A</v>
      </c>
      <c r="J4840" s="31" t="s">
        <v>1287</v>
      </c>
      <c r="K4840" s="11" t="s">
        <v>6305</v>
      </c>
      <c r="L4840" s="32" t="s">
        <v>6306</v>
      </c>
      <c r="M4840" s="113" t="s">
        <v>6307</v>
      </c>
      <c r="N4840" s="193">
        <v>44347</v>
      </c>
      <c r="O4840" s="11" t="s">
        <v>702</v>
      </c>
      <c r="P4840" s="465">
        <v>0</v>
      </c>
      <c r="Q4840" s="459">
        <v>-1</v>
      </c>
      <c r="R4840" s="465">
        <f t="shared" si="156"/>
        <v>0</v>
      </c>
      <c r="S4840" s="31">
        <v>202304</v>
      </c>
      <c r="T4840" s="60" t="s">
        <v>6314</v>
      </c>
      <c r="U4840" s="411"/>
      <c r="V4840" s="411"/>
      <c r="W4840" s="411"/>
      <c r="X4840" s="469"/>
      <c r="Y4840" s="469"/>
    </row>
    <row r="4841" s="3" customFormat="1" customHeight="1" spans="1:25">
      <c r="A4841" s="11" t="s">
        <v>448</v>
      </c>
      <c r="B4841" s="11" t="s">
        <v>6300</v>
      </c>
      <c r="C4841" s="11" t="s">
        <v>120</v>
      </c>
      <c r="D4841" s="35" t="s">
        <v>6301</v>
      </c>
      <c r="E4841" s="13" t="s">
        <v>6302</v>
      </c>
      <c r="F4841" s="11" t="s">
        <v>6303</v>
      </c>
      <c r="G4841" s="11" t="s">
        <v>31</v>
      </c>
      <c r="H4841" s="110" t="s">
        <v>6304</v>
      </c>
      <c r="I4841" s="30" t="e">
        <f>VLOOKUP(H4841,'合同高级查询数据-4月返'!A:A,1,FALSE)</f>
        <v>#N/A</v>
      </c>
      <c r="J4841" s="31" t="s">
        <v>1273</v>
      </c>
      <c r="K4841" s="11" t="s">
        <v>6315</v>
      </c>
      <c r="L4841" s="32" t="s">
        <v>6316</v>
      </c>
      <c r="M4841" s="113" t="s">
        <v>6317</v>
      </c>
      <c r="N4841" s="193">
        <v>42461</v>
      </c>
      <c r="O4841" s="11" t="s">
        <v>37</v>
      </c>
      <c r="P4841" s="465">
        <v>0</v>
      </c>
      <c r="Q4841" s="459">
        <v>64</v>
      </c>
      <c r="R4841" s="465">
        <f t="shared" si="156"/>
        <v>0</v>
      </c>
      <c r="S4841" s="31">
        <v>202304</v>
      </c>
      <c r="T4841" s="60" t="s">
        <v>6318</v>
      </c>
      <c r="U4841" s="411"/>
      <c r="V4841" s="411"/>
      <c r="W4841" s="411"/>
      <c r="X4841" s="469"/>
      <c r="Y4841" s="469"/>
    </row>
    <row r="4842" s="3" customFormat="1" customHeight="1" spans="1:25">
      <c r="A4842" s="11" t="s">
        <v>448</v>
      </c>
      <c r="B4842" s="11" t="s">
        <v>6300</v>
      </c>
      <c r="C4842" s="11" t="s">
        <v>120</v>
      </c>
      <c r="D4842" s="35" t="s">
        <v>6301</v>
      </c>
      <c r="E4842" s="13" t="s">
        <v>6302</v>
      </c>
      <c r="F4842" s="11" t="s">
        <v>6303</v>
      </c>
      <c r="G4842" s="11" t="s">
        <v>31</v>
      </c>
      <c r="H4842" s="110" t="s">
        <v>6304</v>
      </c>
      <c r="I4842" s="30" t="e">
        <f>VLOOKUP(H4842,'合同高级查询数据-4月返'!A:A,1,FALSE)</f>
        <v>#N/A</v>
      </c>
      <c r="J4842" s="31" t="s">
        <v>1273</v>
      </c>
      <c r="K4842" s="11" t="s">
        <v>6315</v>
      </c>
      <c r="L4842" s="32" t="s">
        <v>6316</v>
      </c>
      <c r="M4842" s="113" t="s">
        <v>6317</v>
      </c>
      <c r="N4842" s="193">
        <v>42461</v>
      </c>
      <c r="O4842" s="11" t="s">
        <v>37</v>
      </c>
      <c r="P4842" s="465">
        <v>50</v>
      </c>
      <c r="Q4842" s="459">
        <v>704</v>
      </c>
      <c r="R4842" s="465">
        <f t="shared" si="156"/>
        <v>35200</v>
      </c>
      <c r="S4842" s="31">
        <v>202304</v>
      </c>
      <c r="T4842" s="60" t="s">
        <v>6319</v>
      </c>
      <c r="U4842" s="411"/>
      <c r="V4842" s="411"/>
      <c r="W4842" s="411"/>
      <c r="X4842" s="469"/>
      <c r="Y4842" s="469"/>
    </row>
    <row r="4843" s="3" customFormat="1" customHeight="1" spans="1:25">
      <c r="A4843" s="11" t="s">
        <v>448</v>
      </c>
      <c r="B4843" s="11" t="s">
        <v>6300</v>
      </c>
      <c r="C4843" s="11" t="s">
        <v>120</v>
      </c>
      <c r="D4843" s="35" t="s">
        <v>6301</v>
      </c>
      <c r="E4843" s="13" t="s">
        <v>6302</v>
      </c>
      <c r="F4843" s="11" t="s">
        <v>6303</v>
      </c>
      <c r="G4843" s="11" t="s">
        <v>31</v>
      </c>
      <c r="H4843" s="110" t="s">
        <v>6304</v>
      </c>
      <c r="I4843" s="30" t="e">
        <f>VLOOKUP(H4843,'合同高级查询数据-4月返'!A:A,1,FALSE)</f>
        <v>#N/A</v>
      </c>
      <c r="J4843" s="31" t="s">
        <v>1273</v>
      </c>
      <c r="K4843" s="11" t="s">
        <v>6315</v>
      </c>
      <c r="L4843" s="32" t="s">
        <v>6316</v>
      </c>
      <c r="M4843" s="113" t="s">
        <v>6317</v>
      </c>
      <c r="N4843" s="193">
        <v>45016</v>
      </c>
      <c r="O4843" s="11" t="s">
        <v>37</v>
      </c>
      <c r="P4843" s="465">
        <v>0</v>
      </c>
      <c r="Q4843" s="459">
        <v>-64</v>
      </c>
      <c r="R4843" s="465">
        <f t="shared" si="156"/>
        <v>0</v>
      </c>
      <c r="S4843" s="31">
        <v>202304</v>
      </c>
      <c r="T4843" s="60" t="s">
        <v>6320</v>
      </c>
      <c r="U4843" s="411"/>
      <c r="V4843" s="411"/>
      <c r="W4843" s="411"/>
      <c r="X4843" s="469"/>
      <c r="Y4843" s="469"/>
    </row>
    <row r="4844" s="3" customFormat="1" customHeight="1" spans="1:25">
      <c r="A4844" s="11" t="s">
        <v>448</v>
      </c>
      <c r="B4844" s="11" t="s">
        <v>6300</v>
      </c>
      <c r="C4844" s="11" t="s">
        <v>120</v>
      </c>
      <c r="D4844" s="35" t="s">
        <v>6301</v>
      </c>
      <c r="E4844" s="13" t="s">
        <v>6302</v>
      </c>
      <c r="F4844" s="11" t="s">
        <v>6303</v>
      </c>
      <c r="G4844" s="11" t="s">
        <v>31</v>
      </c>
      <c r="H4844" s="110" t="s">
        <v>6304</v>
      </c>
      <c r="I4844" s="30" t="e">
        <f>VLOOKUP(H4844,'合同高级查询数据-4月返'!A:A,1,FALSE)</f>
        <v>#N/A</v>
      </c>
      <c r="J4844" s="31" t="s">
        <v>1273</v>
      </c>
      <c r="K4844" s="11" t="s">
        <v>6315</v>
      </c>
      <c r="L4844" s="32" t="s">
        <v>6316</v>
      </c>
      <c r="M4844" s="113" t="s">
        <v>6317</v>
      </c>
      <c r="N4844" s="193">
        <v>45016</v>
      </c>
      <c r="O4844" s="11" t="s">
        <v>37</v>
      </c>
      <c r="P4844" s="465">
        <v>50</v>
      </c>
      <c r="Q4844" s="459">
        <v>-704</v>
      </c>
      <c r="R4844" s="465">
        <f t="shared" si="156"/>
        <v>-35200</v>
      </c>
      <c r="S4844" s="31">
        <v>202304</v>
      </c>
      <c r="T4844" s="60" t="s">
        <v>6320</v>
      </c>
      <c r="U4844" s="411"/>
      <c r="V4844" s="411"/>
      <c r="W4844" s="411"/>
      <c r="X4844" s="469"/>
      <c r="Y4844" s="469"/>
    </row>
    <row r="4845" s="3" customFormat="1" customHeight="1" spans="1:25">
      <c r="A4845" s="11" t="s">
        <v>448</v>
      </c>
      <c r="B4845" s="11" t="s">
        <v>6300</v>
      </c>
      <c r="C4845" s="11" t="s">
        <v>120</v>
      </c>
      <c r="D4845" s="35" t="s">
        <v>6301</v>
      </c>
      <c r="E4845" s="13" t="s">
        <v>6302</v>
      </c>
      <c r="F4845" s="11" t="s">
        <v>6303</v>
      </c>
      <c r="G4845" s="11" t="s">
        <v>88</v>
      </c>
      <c r="H4845" s="110" t="s">
        <v>6304</v>
      </c>
      <c r="I4845" s="30" t="e">
        <f>VLOOKUP(H4845,'合同高级查询数据-4月返'!A:A,1,FALSE)</f>
        <v>#N/A</v>
      </c>
      <c r="J4845" s="31" t="s">
        <v>1287</v>
      </c>
      <c r="K4845" s="11" t="s">
        <v>6315</v>
      </c>
      <c r="L4845" s="32" t="s">
        <v>6316</v>
      </c>
      <c r="M4845" s="113" t="s">
        <v>6317</v>
      </c>
      <c r="N4845" s="193">
        <v>42461</v>
      </c>
      <c r="O4845" s="11" t="s">
        <v>702</v>
      </c>
      <c r="P4845" s="465">
        <v>3333.33</v>
      </c>
      <c r="Q4845" s="459">
        <v>3</v>
      </c>
      <c r="R4845" s="465">
        <f t="shared" si="156"/>
        <v>9999.99</v>
      </c>
      <c r="S4845" s="31">
        <v>202304</v>
      </c>
      <c r="T4845" s="60" t="s">
        <v>6321</v>
      </c>
      <c r="U4845" s="411"/>
      <c r="V4845" s="411"/>
      <c r="W4845" s="411"/>
      <c r="X4845" s="469"/>
      <c r="Y4845" s="469"/>
    </row>
    <row r="4846" s="3" customFormat="1" customHeight="1" spans="1:25">
      <c r="A4846" s="11" t="s">
        <v>448</v>
      </c>
      <c r="B4846" s="11" t="s">
        <v>6300</v>
      </c>
      <c r="C4846" s="11" t="s">
        <v>120</v>
      </c>
      <c r="D4846" s="35" t="s">
        <v>6301</v>
      </c>
      <c r="E4846" s="13" t="s">
        <v>6302</v>
      </c>
      <c r="F4846" s="11" t="s">
        <v>6303</v>
      </c>
      <c r="G4846" s="11" t="s">
        <v>88</v>
      </c>
      <c r="H4846" s="110" t="s">
        <v>6304</v>
      </c>
      <c r="I4846" s="30" t="e">
        <f>VLOOKUP(H4846,'合同高级查询数据-4月返'!A:A,1,FALSE)</f>
        <v>#N/A</v>
      </c>
      <c r="J4846" s="31" t="s">
        <v>1287</v>
      </c>
      <c r="K4846" s="11" t="s">
        <v>6315</v>
      </c>
      <c r="L4846" s="32" t="s">
        <v>6316</v>
      </c>
      <c r="M4846" s="113" t="s">
        <v>6317</v>
      </c>
      <c r="N4846" s="193">
        <v>42461</v>
      </c>
      <c r="O4846" s="11" t="s">
        <v>702</v>
      </c>
      <c r="P4846" s="465">
        <v>0</v>
      </c>
      <c r="Q4846" s="459">
        <v>1</v>
      </c>
      <c r="R4846" s="465">
        <f t="shared" si="156"/>
        <v>0</v>
      </c>
      <c r="S4846" s="31">
        <v>202304</v>
      </c>
      <c r="T4846" s="60" t="s">
        <v>6321</v>
      </c>
      <c r="U4846" s="411"/>
      <c r="V4846" s="411"/>
      <c r="W4846" s="411"/>
      <c r="X4846" s="469"/>
      <c r="Y4846" s="469"/>
    </row>
    <row r="4847" s="3" customFormat="1" customHeight="1" spans="1:25">
      <c r="A4847" s="11" t="s">
        <v>448</v>
      </c>
      <c r="B4847" s="11" t="s">
        <v>6300</v>
      </c>
      <c r="C4847" s="11" t="s">
        <v>120</v>
      </c>
      <c r="D4847" s="35" t="s">
        <v>6301</v>
      </c>
      <c r="E4847" s="13" t="s">
        <v>6302</v>
      </c>
      <c r="F4847" s="11" t="s">
        <v>6303</v>
      </c>
      <c r="G4847" s="11" t="s">
        <v>88</v>
      </c>
      <c r="H4847" s="110" t="s">
        <v>6304</v>
      </c>
      <c r="I4847" s="30" t="e">
        <f>VLOOKUP(H4847,'合同高级查询数据-4月返'!A:A,1,FALSE)</f>
        <v>#N/A</v>
      </c>
      <c r="J4847" s="31" t="s">
        <v>1287</v>
      </c>
      <c r="K4847" s="11" t="s">
        <v>6315</v>
      </c>
      <c r="L4847" s="32" t="s">
        <v>6316</v>
      </c>
      <c r="M4847" s="113" t="s">
        <v>6317</v>
      </c>
      <c r="N4847" s="193">
        <v>45016</v>
      </c>
      <c r="O4847" s="11" t="s">
        <v>702</v>
      </c>
      <c r="P4847" s="465">
        <v>3333.33</v>
      </c>
      <c r="Q4847" s="459">
        <v>-3</v>
      </c>
      <c r="R4847" s="465">
        <f t="shared" si="156"/>
        <v>-9999.99</v>
      </c>
      <c r="S4847" s="31">
        <v>202304</v>
      </c>
      <c r="T4847" s="60" t="s">
        <v>6320</v>
      </c>
      <c r="U4847" s="411"/>
      <c r="V4847" s="411"/>
      <c r="W4847" s="411"/>
      <c r="X4847" s="469"/>
      <c r="Y4847" s="469"/>
    </row>
    <row r="4848" s="3" customFormat="1" customHeight="1" spans="1:25">
      <c r="A4848" s="11" t="s">
        <v>448</v>
      </c>
      <c r="B4848" s="11" t="s">
        <v>6300</v>
      </c>
      <c r="C4848" s="11" t="s">
        <v>120</v>
      </c>
      <c r="D4848" s="35" t="s">
        <v>6301</v>
      </c>
      <c r="E4848" s="13" t="s">
        <v>6302</v>
      </c>
      <c r="F4848" s="11" t="s">
        <v>6303</v>
      </c>
      <c r="G4848" s="11" t="s">
        <v>88</v>
      </c>
      <c r="H4848" s="110" t="s">
        <v>6304</v>
      </c>
      <c r="I4848" s="30" t="e">
        <f>VLOOKUP(H4848,'合同高级查询数据-4月返'!A:A,1,FALSE)</f>
        <v>#N/A</v>
      </c>
      <c r="J4848" s="31" t="s">
        <v>1287</v>
      </c>
      <c r="K4848" s="11" t="s">
        <v>6315</v>
      </c>
      <c r="L4848" s="32" t="s">
        <v>6316</v>
      </c>
      <c r="M4848" s="113" t="s">
        <v>6317</v>
      </c>
      <c r="N4848" s="193">
        <v>45016</v>
      </c>
      <c r="O4848" s="11" t="s">
        <v>702</v>
      </c>
      <c r="P4848" s="465">
        <v>0</v>
      </c>
      <c r="Q4848" s="459">
        <v>-1</v>
      </c>
      <c r="R4848" s="465">
        <f t="shared" si="156"/>
        <v>0</v>
      </c>
      <c r="S4848" s="31">
        <v>202304</v>
      </c>
      <c r="T4848" s="60" t="s">
        <v>6320</v>
      </c>
      <c r="U4848" s="411"/>
      <c r="V4848" s="411"/>
      <c r="W4848" s="411"/>
      <c r="X4848" s="469"/>
      <c r="Y4848" s="469"/>
    </row>
    <row r="4849" s="3" customFormat="1" customHeight="1" spans="1:25">
      <c r="A4849" s="11" t="s">
        <v>448</v>
      </c>
      <c r="B4849" s="11" t="s">
        <v>6300</v>
      </c>
      <c r="C4849" s="11" t="s">
        <v>120</v>
      </c>
      <c r="D4849" s="35" t="s">
        <v>6301</v>
      </c>
      <c r="E4849" s="13" t="s">
        <v>6302</v>
      </c>
      <c r="F4849" s="11" t="s">
        <v>6303</v>
      </c>
      <c r="G4849" s="11" t="s">
        <v>31</v>
      </c>
      <c r="H4849" s="110" t="s">
        <v>6304</v>
      </c>
      <c r="I4849" s="30" t="e">
        <f>VLOOKUP(H4849,'合同高级查询数据-4月返'!A:A,1,FALSE)</f>
        <v>#N/A</v>
      </c>
      <c r="J4849" s="31" t="s">
        <v>33</v>
      </c>
      <c r="K4849" s="11" t="s">
        <v>6322</v>
      </c>
      <c r="L4849" s="32" t="s">
        <v>6323</v>
      </c>
      <c r="M4849" s="113" t="s">
        <v>6324</v>
      </c>
      <c r="N4849" s="193">
        <v>43480</v>
      </c>
      <c r="O4849" s="11" t="s">
        <v>37</v>
      </c>
      <c r="P4849" s="465">
        <v>0</v>
      </c>
      <c r="Q4849" s="459">
        <v>288</v>
      </c>
      <c r="R4849" s="465">
        <f t="shared" si="156"/>
        <v>0</v>
      </c>
      <c r="S4849" s="31">
        <v>202304</v>
      </c>
      <c r="T4849" s="60" t="s">
        <v>6019</v>
      </c>
      <c r="U4849" s="411"/>
      <c r="V4849" s="411"/>
      <c r="W4849" s="411"/>
      <c r="X4849" s="469"/>
      <c r="Y4849" s="469"/>
    </row>
    <row r="4850" s="3" customFormat="1" customHeight="1" spans="1:25">
      <c r="A4850" s="11" t="s">
        <v>448</v>
      </c>
      <c r="B4850" s="11" t="s">
        <v>6300</v>
      </c>
      <c r="C4850" s="11" t="s">
        <v>120</v>
      </c>
      <c r="D4850" s="35" t="s">
        <v>6301</v>
      </c>
      <c r="E4850" s="13" t="s">
        <v>6302</v>
      </c>
      <c r="F4850" s="11" t="s">
        <v>6303</v>
      </c>
      <c r="G4850" s="11" t="s">
        <v>31</v>
      </c>
      <c r="H4850" s="110" t="s">
        <v>6304</v>
      </c>
      <c r="I4850" s="30" t="e">
        <f>VLOOKUP(H4850,'合同高级查询数据-4月返'!A:A,1,FALSE)</f>
        <v>#N/A</v>
      </c>
      <c r="J4850" s="31" t="s">
        <v>33</v>
      </c>
      <c r="K4850" s="11" t="s">
        <v>6322</v>
      </c>
      <c r="L4850" s="32" t="s">
        <v>6323</v>
      </c>
      <c r="M4850" s="113" t="s">
        <v>6324</v>
      </c>
      <c r="N4850" s="193">
        <v>43998</v>
      </c>
      <c r="O4850" s="11" t="s">
        <v>37</v>
      </c>
      <c r="P4850" s="465">
        <v>50</v>
      </c>
      <c r="Q4850" s="459">
        <v>256</v>
      </c>
      <c r="R4850" s="465">
        <f t="shared" si="156"/>
        <v>12800</v>
      </c>
      <c r="S4850" s="31">
        <v>202304</v>
      </c>
      <c r="T4850" s="60" t="s">
        <v>6325</v>
      </c>
      <c r="U4850" s="411"/>
      <c r="V4850" s="411"/>
      <c r="W4850" s="411"/>
      <c r="X4850" s="469"/>
      <c r="Y4850" s="469"/>
    </row>
    <row r="4851" s="3" customFormat="1" customHeight="1" spans="1:25">
      <c r="A4851" s="11" t="s">
        <v>448</v>
      </c>
      <c r="B4851" s="11" t="s">
        <v>6300</v>
      </c>
      <c r="C4851" s="11" t="s">
        <v>120</v>
      </c>
      <c r="D4851" s="35" t="s">
        <v>6301</v>
      </c>
      <c r="E4851" s="13" t="s">
        <v>6302</v>
      </c>
      <c r="F4851" s="11" t="s">
        <v>6303</v>
      </c>
      <c r="G4851" s="11" t="s">
        <v>31</v>
      </c>
      <c r="H4851" s="110" t="s">
        <v>6304</v>
      </c>
      <c r="I4851" s="30" t="e">
        <f>VLOOKUP(H4851,'合同高级查询数据-4月返'!A:A,1,FALSE)</f>
        <v>#N/A</v>
      </c>
      <c r="J4851" s="31" t="s">
        <v>33</v>
      </c>
      <c r="K4851" s="11" t="s">
        <v>6322</v>
      </c>
      <c r="L4851" s="32" t="s">
        <v>6323</v>
      </c>
      <c r="M4851" s="113" t="s">
        <v>6324</v>
      </c>
      <c r="N4851" s="193">
        <v>44176</v>
      </c>
      <c r="O4851" s="11" t="s">
        <v>37</v>
      </c>
      <c r="P4851" s="465">
        <v>50</v>
      </c>
      <c r="Q4851" s="459">
        <v>128</v>
      </c>
      <c r="R4851" s="465">
        <f t="shared" si="156"/>
        <v>6400</v>
      </c>
      <c r="S4851" s="31">
        <v>202304</v>
      </c>
      <c r="T4851" s="60" t="s">
        <v>6326</v>
      </c>
      <c r="U4851" s="411"/>
      <c r="V4851" s="411"/>
      <c r="W4851" s="411"/>
      <c r="X4851" s="469"/>
      <c r="Y4851" s="469"/>
    </row>
    <row r="4852" s="3" customFormat="1" customHeight="1" spans="1:25">
      <c r="A4852" s="11" t="s">
        <v>448</v>
      </c>
      <c r="B4852" s="11" t="s">
        <v>6300</v>
      </c>
      <c r="C4852" s="11" t="s">
        <v>120</v>
      </c>
      <c r="D4852" s="35" t="s">
        <v>6301</v>
      </c>
      <c r="E4852" s="13" t="s">
        <v>6302</v>
      </c>
      <c r="F4852" s="11" t="s">
        <v>6303</v>
      </c>
      <c r="G4852" s="11" t="s">
        <v>31</v>
      </c>
      <c r="H4852" s="110" t="s">
        <v>6304</v>
      </c>
      <c r="I4852" s="30" t="e">
        <f>VLOOKUP(H4852,'合同高级查询数据-4月返'!A:A,1,FALSE)</f>
        <v>#N/A</v>
      </c>
      <c r="J4852" s="31" t="s">
        <v>33</v>
      </c>
      <c r="K4852" s="11" t="s">
        <v>6322</v>
      </c>
      <c r="L4852" s="32" t="s">
        <v>6323</v>
      </c>
      <c r="M4852" s="113" t="s">
        <v>6324</v>
      </c>
      <c r="N4852" s="146">
        <v>44333</v>
      </c>
      <c r="O4852" s="466" t="s">
        <v>37</v>
      </c>
      <c r="P4852" s="465">
        <v>50</v>
      </c>
      <c r="Q4852" s="459">
        <v>128</v>
      </c>
      <c r="R4852" s="465">
        <f t="shared" si="156"/>
        <v>6400</v>
      </c>
      <c r="S4852" s="31">
        <v>202304</v>
      </c>
      <c r="T4852" s="60" t="s">
        <v>6327</v>
      </c>
      <c r="U4852" s="411"/>
      <c r="V4852" s="411"/>
      <c r="W4852" s="411"/>
      <c r="X4852" s="469"/>
      <c r="Y4852" s="469"/>
    </row>
    <row r="4853" s="3" customFormat="1" customHeight="1" spans="1:25">
      <c r="A4853" s="11" t="s">
        <v>448</v>
      </c>
      <c r="B4853" s="11" t="s">
        <v>6300</v>
      </c>
      <c r="C4853" s="11" t="s">
        <v>120</v>
      </c>
      <c r="D4853" s="35" t="s">
        <v>6301</v>
      </c>
      <c r="E4853" s="13" t="s">
        <v>6302</v>
      </c>
      <c r="F4853" s="11" t="s">
        <v>6303</v>
      </c>
      <c r="G4853" s="11" t="s">
        <v>31</v>
      </c>
      <c r="H4853" s="110" t="s">
        <v>6304</v>
      </c>
      <c r="I4853" s="30" t="e">
        <f>VLOOKUP(H4853,'合同高级查询数据-4月返'!A:A,1,FALSE)</f>
        <v>#N/A</v>
      </c>
      <c r="J4853" s="31" t="s">
        <v>33</v>
      </c>
      <c r="K4853" s="11" t="s">
        <v>6322</v>
      </c>
      <c r="L4853" s="32" t="s">
        <v>6323</v>
      </c>
      <c r="M4853" s="113" t="s">
        <v>6324</v>
      </c>
      <c r="N4853" s="146">
        <v>44695</v>
      </c>
      <c r="O4853" s="466" t="s">
        <v>37</v>
      </c>
      <c r="P4853" s="465">
        <v>50</v>
      </c>
      <c r="Q4853" s="459">
        <v>256</v>
      </c>
      <c r="R4853" s="465">
        <f t="shared" si="156"/>
        <v>12800</v>
      </c>
      <c r="S4853" s="31">
        <v>202304</v>
      </c>
      <c r="T4853" s="60" t="s">
        <v>6328</v>
      </c>
      <c r="U4853" s="411"/>
      <c r="V4853" s="411"/>
      <c r="W4853" s="411"/>
      <c r="X4853" s="469"/>
      <c r="Y4853" s="469"/>
    </row>
    <row r="4854" s="3" customFormat="1" customHeight="1" spans="1:25">
      <c r="A4854" s="11" t="s">
        <v>448</v>
      </c>
      <c r="B4854" s="11" t="s">
        <v>6300</v>
      </c>
      <c r="C4854" s="11" t="s">
        <v>120</v>
      </c>
      <c r="D4854" s="35" t="s">
        <v>6301</v>
      </c>
      <c r="E4854" s="13" t="s">
        <v>6302</v>
      </c>
      <c r="F4854" s="11" t="s">
        <v>6303</v>
      </c>
      <c r="G4854" s="11" t="s">
        <v>31</v>
      </c>
      <c r="H4854" s="110" t="s">
        <v>6304</v>
      </c>
      <c r="I4854" s="30" t="e">
        <f>VLOOKUP(H4854,'合同高级查询数据-4月返'!A:A,1,FALSE)</f>
        <v>#N/A</v>
      </c>
      <c r="J4854" s="31" t="s">
        <v>33</v>
      </c>
      <c r="K4854" s="11" t="s">
        <v>6322</v>
      </c>
      <c r="L4854" s="32" t="s">
        <v>6323</v>
      </c>
      <c r="M4854" s="113" t="s">
        <v>6324</v>
      </c>
      <c r="N4854" s="146">
        <v>44905</v>
      </c>
      <c r="O4854" s="466" t="s">
        <v>37</v>
      </c>
      <c r="P4854" s="465">
        <v>50</v>
      </c>
      <c r="Q4854" s="459">
        <v>-128</v>
      </c>
      <c r="R4854" s="465">
        <f t="shared" si="156"/>
        <v>-6400</v>
      </c>
      <c r="S4854" s="31">
        <v>202304</v>
      </c>
      <c r="T4854" s="60" t="s">
        <v>6329</v>
      </c>
      <c r="U4854" s="411"/>
      <c r="V4854" s="411"/>
      <c r="W4854" s="411"/>
      <c r="X4854" s="469"/>
      <c r="Y4854" s="469"/>
    </row>
    <row r="4855" s="3" customFormat="1" customHeight="1" spans="1:25">
      <c r="A4855" s="11" t="s">
        <v>448</v>
      </c>
      <c r="B4855" s="11" t="s">
        <v>6300</v>
      </c>
      <c r="C4855" s="11" t="s">
        <v>120</v>
      </c>
      <c r="D4855" s="35" t="s">
        <v>6301</v>
      </c>
      <c r="E4855" s="13" t="s">
        <v>6302</v>
      </c>
      <c r="F4855" s="11" t="s">
        <v>6303</v>
      </c>
      <c r="G4855" s="11" t="s">
        <v>88</v>
      </c>
      <c r="H4855" s="110" t="s">
        <v>6304</v>
      </c>
      <c r="I4855" s="30" t="e">
        <f>VLOOKUP(H4855,'合同高级查询数据-4月返'!A:A,1,FALSE)</f>
        <v>#N/A</v>
      </c>
      <c r="J4855" s="31" t="s">
        <v>162</v>
      </c>
      <c r="K4855" s="11" t="s">
        <v>6322</v>
      </c>
      <c r="L4855" s="32" t="s">
        <v>6323</v>
      </c>
      <c r="M4855" s="113" t="s">
        <v>6324</v>
      </c>
      <c r="N4855" s="193">
        <v>43480</v>
      </c>
      <c r="O4855" s="11" t="s">
        <v>92</v>
      </c>
      <c r="P4855" s="465">
        <v>0</v>
      </c>
      <c r="Q4855" s="459">
        <v>5</v>
      </c>
      <c r="R4855" s="465">
        <f t="shared" si="156"/>
        <v>0</v>
      </c>
      <c r="S4855" s="31">
        <v>202304</v>
      </c>
      <c r="T4855" s="60" t="s">
        <v>6330</v>
      </c>
      <c r="U4855" s="411"/>
      <c r="V4855" s="411"/>
      <c r="W4855" s="411"/>
      <c r="X4855" s="469"/>
      <c r="Y4855" s="469"/>
    </row>
    <row r="4856" s="3" customFormat="1" customHeight="1" spans="1:25">
      <c r="A4856" s="11" t="s">
        <v>448</v>
      </c>
      <c r="B4856" s="11" t="s">
        <v>6300</v>
      </c>
      <c r="C4856" s="11" t="s">
        <v>120</v>
      </c>
      <c r="D4856" s="35" t="s">
        <v>6301</v>
      </c>
      <c r="E4856" s="13" t="s">
        <v>6302</v>
      </c>
      <c r="F4856" s="11" t="s">
        <v>6303</v>
      </c>
      <c r="G4856" s="11" t="s">
        <v>88</v>
      </c>
      <c r="H4856" s="110" t="s">
        <v>6304</v>
      </c>
      <c r="I4856" s="30" t="e">
        <f>VLOOKUP(H4856,'合同高级查询数据-4月返'!A:A,1,FALSE)</f>
        <v>#N/A</v>
      </c>
      <c r="J4856" s="31" t="s">
        <v>162</v>
      </c>
      <c r="K4856" s="11" t="s">
        <v>6322</v>
      </c>
      <c r="L4856" s="32" t="s">
        <v>6323</v>
      </c>
      <c r="M4856" s="113" t="s">
        <v>6324</v>
      </c>
      <c r="N4856" s="193">
        <v>44044</v>
      </c>
      <c r="O4856" s="11" t="s">
        <v>702</v>
      </c>
      <c r="P4856" s="465">
        <v>0</v>
      </c>
      <c r="Q4856" s="459">
        <v>2</v>
      </c>
      <c r="R4856" s="465">
        <f t="shared" si="156"/>
        <v>0</v>
      </c>
      <c r="S4856" s="31">
        <v>202304</v>
      </c>
      <c r="T4856" s="60" t="s">
        <v>6331</v>
      </c>
      <c r="U4856" s="411"/>
      <c r="V4856" s="411"/>
      <c r="W4856" s="411"/>
      <c r="X4856" s="469"/>
      <c r="Y4856" s="469"/>
    </row>
    <row r="4857" s="3" customFormat="1" customHeight="1" spans="1:25">
      <c r="A4857" s="11" t="s">
        <v>448</v>
      </c>
      <c r="B4857" s="11" t="s">
        <v>6300</v>
      </c>
      <c r="C4857" s="11" t="s">
        <v>120</v>
      </c>
      <c r="D4857" s="35" t="s">
        <v>6301</v>
      </c>
      <c r="E4857" s="13" t="s">
        <v>6302</v>
      </c>
      <c r="F4857" s="11" t="s">
        <v>6303</v>
      </c>
      <c r="G4857" s="11" t="s">
        <v>88</v>
      </c>
      <c r="H4857" s="110" t="s">
        <v>6304</v>
      </c>
      <c r="I4857" s="30" t="e">
        <f>VLOOKUP(H4857,'合同高级查询数据-4月返'!A:A,1,FALSE)</f>
        <v>#N/A</v>
      </c>
      <c r="J4857" s="31" t="s">
        <v>162</v>
      </c>
      <c r="K4857" s="11" t="s">
        <v>6322</v>
      </c>
      <c r="L4857" s="32" t="s">
        <v>6323</v>
      </c>
      <c r="M4857" s="113" t="s">
        <v>6324</v>
      </c>
      <c r="N4857" s="193">
        <v>44176</v>
      </c>
      <c r="O4857" s="11" t="s">
        <v>702</v>
      </c>
      <c r="P4857" s="465">
        <v>0</v>
      </c>
      <c r="Q4857" s="459">
        <v>1</v>
      </c>
      <c r="R4857" s="465">
        <f t="shared" si="156"/>
        <v>0</v>
      </c>
      <c r="S4857" s="31">
        <v>202304</v>
      </c>
      <c r="T4857" s="60" t="s">
        <v>6332</v>
      </c>
      <c r="U4857" s="411"/>
      <c r="V4857" s="411"/>
      <c r="W4857" s="411"/>
      <c r="X4857" s="469"/>
      <c r="Y4857" s="469"/>
    </row>
    <row r="4858" s="3" customFormat="1" customHeight="1" spans="1:25">
      <c r="A4858" s="11" t="s">
        <v>448</v>
      </c>
      <c r="B4858" s="11" t="s">
        <v>6300</v>
      </c>
      <c r="C4858" s="11" t="s">
        <v>120</v>
      </c>
      <c r="D4858" s="35" t="s">
        <v>6301</v>
      </c>
      <c r="E4858" s="13" t="s">
        <v>6302</v>
      </c>
      <c r="F4858" s="11" t="s">
        <v>6303</v>
      </c>
      <c r="G4858" s="11" t="s">
        <v>88</v>
      </c>
      <c r="H4858" s="110" t="s">
        <v>6304</v>
      </c>
      <c r="I4858" s="30" t="e">
        <f>VLOOKUP(H4858,'合同高级查询数据-4月返'!A:A,1,FALSE)</f>
        <v>#N/A</v>
      </c>
      <c r="J4858" s="31" t="s">
        <v>162</v>
      </c>
      <c r="K4858" s="11" t="s">
        <v>6322</v>
      </c>
      <c r="L4858" s="32" t="s">
        <v>6323</v>
      </c>
      <c r="M4858" s="113" t="s">
        <v>6324</v>
      </c>
      <c r="N4858" s="193">
        <v>44272</v>
      </c>
      <c r="O4858" s="11" t="s">
        <v>702</v>
      </c>
      <c r="P4858" s="465">
        <v>3333.33</v>
      </c>
      <c r="Q4858" s="459">
        <v>1</v>
      </c>
      <c r="R4858" s="465">
        <f t="shared" si="156"/>
        <v>3333.33</v>
      </c>
      <c r="S4858" s="31">
        <v>202304</v>
      </c>
      <c r="T4858" s="60" t="s">
        <v>6333</v>
      </c>
      <c r="U4858" s="411"/>
      <c r="V4858" s="411"/>
      <c r="W4858" s="411"/>
      <c r="X4858" s="469"/>
      <c r="Y4858" s="469"/>
    </row>
    <row r="4859" s="3" customFormat="1" customHeight="1" spans="1:25">
      <c r="A4859" s="11" t="s">
        <v>448</v>
      </c>
      <c r="B4859" s="11" t="s">
        <v>6300</v>
      </c>
      <c r="C4859" s="11" t="s">
        <v>120</v>
      </c>
      <c r="D4859" s="35" t="s">
        <v>6301</v>
      </c>
      <c r="E4859" s="13" t="s">
        <v>6302</v>
      </c>
      <c r="F4859" s="11" t="s">
        <v>6303</v>
      </c>
      <c r="G4859" s="11" t="s">
        <v>88</v>
      </c>
      <c r="H4859" s="110" t="s">
        <v>6304</v>
      </c>
      <c r="I4859" s="30" t="e">
        <f>VLOOKUP(H4859,'合同高级查询数据-4月返'!A:A,1,FALSE)</f>
        <v>#N/A</v>
      </c>
      <c r="J4859" s="31" t="s">
        <v>162</v>
      </c>
      <c r="K4859" s="11" t="s">
        <v>6322</v>
      </c>
      <c r="L4859" s="32" t="s">
        <v>6323</v>
      </c>
      <c r="M4859" s="113" t="s">
        <v>6324</v>
      </c>
      <c r="N4859" s="146">
        <v>44333</v>
      </c>
      <c r="O4859" s="11" t="s">
        <v>702</v>
      </c>
      <c r="P4859" s="465">
        <v>3333.33</v>
      </c>
      <c r="Q4859" s="459">
        <v>2</v>
      </c>
      <c r="R4859" s="465">
        <f t="shared" si="156"/>
        <v>6666.66</v>
      </c>
      <c r="S4859" s="31">
        <v>202304</v>
      </c>
      <c r="T4859" s="60" t="s">
        <v>6334</v>
      </c>
      <c r="U4859" s="411"/>
      <c r="V4859" s="411"/>
      <c r="W4859" s="411"/>
      <c r="X4859" s="469"/>
      <c r="Y4859" s="469"/>
    </row>
    <row r="4860" s="3" customFormat="1" customHeight="1" spans="1:25">
      <c r="A4860" s="11" t="s">
        <v>448</v>
      </c>
      <c r="B4860" s="11" t="s">
        <v>6300</v>
      </c>
      <c r="C4860" s="11" t="s">
        <v>120</v>
      </c>
      <c r="D4860" s="35" t="s">
        <v>6301</v>
      </c>
      <c r="E4860" s="13" t="s">
        <v>6302</v>
      </c>
      <c r="F4860" s="11" t="s">
        <v>6303</v>
      </c>
      <c r="G4860" s="11" t="s">
        <v>88</v>
      </c>
      <c r="H4860" s="110" t="s">
        <v>6304</v>
      </c>
      <c r="I4860" s="30" t="e">
        <f>VLOOKUP(H4860,'合同高级查询数据-4月返'!A:A,1,FALSE)</f>
        <v>#N/A</v>
      </c>
      <c r="J4860" s="31" t="s">
        <v>162</v>
      </c>
      <c r="K4860" s="11" t="s">
        <v>6322</v>
      </c>
      <c r="L4860" s="32" t="s">
        <v>6323</v>
      </c>
      <c r="M4860" s="113" t="s">
        <v>6324</v>
      </c>
      <c r="N4860" s="146">
        <v>44695</v>
      </c>
      <c r="O4860" s="11" t="s">
        <v>702</v>
      </c>
      <c r="P4860" s="465">
        <v>3333.33</v>
      </c>
      <c r="Q4860" s="459">
        <v>8</v>
      </c>
      <c r="R4860" s="465">
        <f t="shared" si="156"/>
        <v>26666.64</v>
      </c>
      <c r="S4860" s="31">
        <v>202304</v>
      </c>
      <c r="T4860" s="60" t="s">
        <v>6335</v>
      </c>
      <c r="U4860" s="411"/>
      <c r="V4860" s="411"/>
      <c r="W4860" s="411"/>
      <c r="X4860" s="469"/>
      <c r="Y4860" s="469"/>
    </row>
    <row r="4861" s="3" customFormat="1" customHeight="1" spans="1:25">
      <c r="A4861" s="11" t="s">
        <v>448</v>
      </c>
      <c r="B4861" s="11" t="s">
        <v>6300</v>
      </c>
      <c r="C4861" s="11" t="s">
        <v>120</v>
      </c>
      <c r="D4861" s="35" t="s">
        <v>6301</v>
      </c>
      <c r="E4861" s="13" t="s">
        <v>6302</v>
      </c>
      <c r="F4861" s="11" t="s">
        <v>6303</v>
      </c>
      <c r="G4861" s="11" t="s">
        <v>31</v>
      </c>
      <c r="H4861" s="110" t="s">
        <v>6304</v>
      </c>
      <c r="I4861" s="30" t="e">
        <f>VLOOKUP(H4861,'合同高级查询数据-4月返'!A:A,1,FALSE)</f>
        <v>#N/A</v>
      </c>
      <c r="J4861" s="31" t="s">
        <v>33</v>
      </c>
      <c r="K4861" s="11" t="s">
        <v>121</v>
      </c>
      <c r="L4861" s="32" t="s">
        <v>6336</v>
      </c>
      <c r="M4861" s="113" t="s">
        <v>6337</v>
      </c>
      <c r="N4861" s="146">
        <v>44805</v>
      </c>
      <c r="O4861" s="11" t="s">
        <v>37</v>
      </c>
      <c r="P4861" s="465">
        <v>0</v>
      </c>
      <c r="Q4861" s="459">
        <v>288</v>
      </c>
      <c r="R4861" s="465">
        <f t="shared" si="156"/>
        <v>0</v>
      </c>
      <c r="S4861" s="31">
        <v>202304</v>
      </c>
      <c r="T4861" s="60" t="s">
        <v>6338</v>
      </c>
      <c r="U4861" s="411"/>
      <c r="V4861" s="411"/>
      <c r="W4861" s="411"/>
      <c r="X4861" s="469"/>
      <c r="Y4861" s="469"/>
    </row>
    <row r="4862" s="3" customFormat="1" customHeight="1" spans="1:25">
      <c r="A4862" s="11" t="s">
        <v>448</v>
      </c>
      <c r="B4862" s="11" t="s">
        <v>6300</v>
      </c>
      <c r="C4862" s="11" t="s">
        <v>120</v>
      </c>
      <c r="D4862" s="35" t="s">
        <v>6301</v>
      </c>
      <c r="E4862" s="13" t="s">
        <v>6302</v>
      </c>
      <c r="F4862" s="11" t="s">
        <v>6303</v>
      </c>
      <c r="G4862" s="11" t="s">
        <v>88</v>
      </c>
      <c r="H4862" s="110" t="s">
        <v>6304</v>
      </c>
      <c r="I4862" s="30" t="e">
        <f>VLOOKUP(H4862,'合同高级查询数据-4月返'!A:A,1,FALSE)</f>
        <v>#N/A</v>
      </c>
      <c r="J4862" s="31" t="s">
        <v>162</v>
      </c>
      <c r="K4862" s="11" t="s">
        <v>121</v>
      </c>
      <c r="L4862" s="32" t="s">
        <v>6336</v>
      </c>
      <c r="M4862" s="113" t="s">
        <v>6337</v>
      </c>
      <c r="N4862" s="146">
        <v>44805</v>
      </c>
      <c r="O4862" s="11" t="s">
        <v>3012</v>
      </c>
      <c r="P4862" s="465">
        <v>4000</v>
      </c>
      <c r="Q4862" s="459">
        <v>8</v>
      </c>
      <c r="R4862" s="465">
        <f t="shared" si="156"/>
        <v>32000</v>
      </c>
      <c r="S4862" s="31">
        <v>202304</v>
      </c>
      <c r="T4862" s="60" t="s">
        <v>6339</v>
      </c>
      <c r="U4862" s="411"/>
      <c r="V4862" s="411"/>
      <c r="W4862" s="411"/>
      <c r="X4862" s="469"/>
      <c r="Y4862" s="469"/>
    </row>
    <row r="4863" s="5" customFormat="1" customHeight="1" spans="1:25">
      <c r="A4863" s="24" t="s">
        <v>448</v>
      </c>
      <c r="B4863" s="24" t="s">
        <v>6300</v>
      </c>
      <c r="C4863" s="24" t="s">
        <v>120</v>
      </c>
      <c r="D4863" s="22" t="s">
        <v>6301</v>
      </c>
      <c r="E4863" s="23" t="s">
        <v>6340</v>
      </c>
      <c r="F4863" s="24" t="s">
        <v>6341</v>
      </c>
      <c r="G4863" s="24" t="s">
        <v>67</v>
      </c>
      <c r="H4863" s="25" t="s">
        <v>6342</v>
      </c>
      <c r="I4863" s="46" t="e">
        <f>VLOOKUP(H4863,'合同高级查询数据-4月返'!A:A,1,FALSE)</f>
        <v>#N/A</v>
      </c>
      <c r="J4863" s="24" t="s">
        <v>67</v>
      </c>
      <c r="K4863" s="24" t="s">
        <v>6343</v>
      </c>
      <c r="L4863" s="109" t="s">
        <v>6344</v>
      </c>
      <c r="M4863" s="49" t="s">
        <v>6337</v>
      </c>
      <c r="N4863" s="73">
        <v>44811</v>
      </c>
      <c r="O4863" s="24" t="s">
        <v>6345</v>
      </c>
      <c r="P4863" s="52">
        <v>20833.33</v>
      </c>
      <c r="Q4863" s="70">
        <v>2</v>
      </c>
      <c r="R4863" s="52">
        <f t="shared" si="156"/>
        <v>41666.66</v>
      </c>
      <c r="S4863" s="47">
        <v>202304</v>
      </c>
      <c r="T4863" s="123" t="s">
        <v>6346</v>
      </c>
      <c r="U4863" s="48"/>
      <c r="V4863" s="48"/>
      <c r="W4863" s="48"/>
      <c r="X4863" s="471">
        <v>44805</v>
      </c>
      <c r="Y4863" s="471">
        <v>45169</v>
      </c>
    </row>
    <row r="4864" s="3" customFormat="1" customHeight="1" spans="1:25">
      <c r="A4864" s="11" t="s">
        <v>448</v>
      </c>
      <c r="B4864" s="11" t="s">
        <v>6300</v>
      </c>
      <c r="C4864" s="11" t="s">
        <v>3237</v>
      </c>
      <c r="D4864" s="35" t="s">
        <v>6301</v>
      </c>
      <c r="E4864" s="13" t="s">
        <v>6347</v>
      </c>
      <c r="F4864" s="11" t="s">
        <v>6348</v>
      </c>
      <c r="G4864" s="11" t="s">
        <v>88</v>
      </c>
      <c r="H4864" s="110" t="s">
        <v>6349</v>
      </c>
      <c r="I4864" s="30" t="e">
        <f>VLOOKUP(H4864,'合同高级查询数据-4月返'!A:A,1,FALSE)</f>
        <v>#N/A</v>
      </c>
      <c r="J4864" s="31" t="s">
        <v>162</v>
      </c>
      <c r="K4864" s="11" t="s">
        <v>6350</v>
      </c>
      <c r="L4864" s="32"/>
      <c r="M4864" s="113" t="s">
        <v>6351</v>
      </c>
      <c r="N4864" s="193">
        <v>40349</v>
      </c>
      <c r="O4864" s="466" t="s">
        <v>6352</v>
      </c>
      <c r="P4864" s="465">
        <v>4300</v>
      </c>
      <c r="Q4864" s="459">
        <v>35</v>
      </c>
      <c r="R4864" s="465">
        <f t="shared" si="156"/>
        <v>150500</v>
      </c>
      <c r="S4864" s="31">
        <v>202304</v>
      </c>
      <c r="T4864" s="60" t="s">
        <v>6353</v>
      </c>
      <c r="U4864" s="411"/>
      <c r="V4864" s="411"/>
      <c r="W4864" s="411"/>
      <c r="X4864" s="34"/>
      <c r="Y4864" s="34"/>
    </row>
    <row r="4865" s="3" customFormat="1" customHeight="1" spans="1:25">
      <c r="A4865" s="11" t="s">
        <v>448</v>
      </c>
      <c r="B4865" s="11" t="s">
        <v>6300</v>
      </c>
      <c r="C4865" s="11" t="s">
        <v>3237</v>
      </c>
      <c r="D4865" s="35" t="s">
        <v>6301</v>
      </c>
      <c r="E4865" s="13" t="s">
        <v>6347</v>
      </c>
      <c r="F4865" s="11" t="s">
        <v>6348</v>
      </c>
      <c r="G4865" s="11" t="s">
        <v>88</v>
      </c>
      <c r="H4865" s="110" t="s">
        <v>6349</v>
      </c>
      <c r="I4865" s="30" t="e">
        <f>VLOOKUP(H4865,'合同高级查询数据-4月返'!A:A,1,FALSE)</f>
        <v>#N/A</v>
      </c>
      <c r="J4865" s="31" t="s">
        <v>162</v>
      </c>
      <c r="K4865" s="11" t="s">
        <v>6350</v>
      </c>
      <c r="L4865" s="32"/>
      <c r="M4865" s="113" t="s">
        <v>6351</v>
      </c>
      <c r="N4865" s="193">
        <v>43951</v>
      </c>
      <c r="O4865" s="466" t="s">
        <v>6352</v>
      </c>
      <c r="P4865" s="465">
        <v>4300</v>
      </c>
      <c r="Q4865" s="459">
        <v>-17</v>
      </c>
      <c r="R4865" s="465">
        <f t="shared" si="156"/>
        <v>-73100</v>
      </c>
      <c r="S4865" s="31">
        <v>202304</v>
      </c>
      <c r="T4865" s="60" t="s">
        <v>6354</v>
      </c>
      <c r="U4865" s="411"/>
      <c r="V4865" s="411"/>
      <c r="W4865" s="411"/>
      <c r="X4865" s="34"/>
      <c r="Y4865" s="34"/>
    </row>
    <row r="4866" s="3" customFormat="1" customHeight="1" spans="1:25">
      <c r="A4866" s="11" t="s">
        <v>448</v>
      </c>
      <c r="B4866" s="11" t="s">
        <v>6300</v>
      </c>
      <c r="C4866" s="11" t="s">
        <v>3237</v>
      </c>
      <c r="D4866" s="35" t="s">
        <v>6301</v>
      </c>
      <c r="E4866" s="13" t="s">
        <v>6347</v>
      </c>
      <c r="F4866" s="11" t="s">
        <v>6348</v>
      </c>
      <c r="G4866" s="11" t="s">
        <v>88</v>
      </c>
      <c r="H4866" s="110" t="s">
        <v>6349</v>
      </c>
      <c r="I4866" s="30" t="e">
        <f>VLOOKUP(H4866,'合同高级查询数据-4月返'!A:A,1,FALSE)</f>
        <v>#N/A</v>
      </c>
      <c r="J4866" s="31" t="s">
        <v>162</v>
      </c>
      <c r="K4866" s="11" t="s">
        <v>6350</v>
      </c>
      <c r="L4866" s="32"/>
      <c r="M4866" s="113" t="s">
        <v>6351</v>
      </c>
      <c r="N4866" s="193">
        <v>44347</v>
      </c>
      <c r="O4866" s="466" t="s">
        <v>6352</v>
      </c>
      <c r="P4866" s="465">
        <v>4300</v>
      </c>
      <c r="Q4866" s="459">
        <v>-3</v>
      </c>
      <c r="R4866" s="465">
        <f t="shared" si="156"/>
        <v>-12900</v>
      </c>
      <c r="S4866" s="31">
        <v>202304</v>
      </c>
      <c r="T4866" s="60" t="s">
        <v>6355</v>
      </c>
      <c r="U4866" s="411"/>
      <c r="V4866" s="411"/>
      <c r="W4866" s="411"/>
      <c r="X4866" s="34"/>
      <c r="Y4866" s="34"/>
    </row>
    <row r="4867" s="3" customFormat="1" customHeight="1" spans="1:25">
      <c r="A4867" s="11" t="s">
        <v>448</v>
      </c>
      <c r="B4867" s="11" t="s">
        <v>6300</v>
      </c>
      <c r="C4867" s="11" t="s">
        <v>3237</v>
      </c>
      <c r="D4867" s="35" t="s">
        <v>6301</v>
      </c>
      <c r="E4867" s="13" t="s">
        <v>6347</v>
      </c>
      <c r="F4867" s="11" t="s">
        <v>6348</v>
      </c>
      <c r="G4867" s="11" t="s">
        <v>88</v>
      </c>
      <c r="H4867" s="110" t="s">
        <v>6349</v>
      </c>
      <c r="I4867" s="30" t="e">
        <f>VLOOKUP(H4867,'合同高级查询数据-4月返'!A:A,1,FALSE)</f>
        <v>#N/A</v>
      </c>
      <c r="J4867" s="31" t="s">
        <v>162</v>
      </c>
      <c r="K4867" s="11" t="s">
        <v>6350</v>
      </c>
      <c r="L4867" s="32"/>
      <c r="M4867" s="113" t="s">
        <v>6351</v>
      </c>
      <c r="N4867" s="193">
        <v>44592</v>
      </c>
      <c r="O4867" s="466" t="s">
        <v>6352</v>
      </c>
      <c r="P4867" s="465">
        <v>4300</v>
      </c>
      <c r="Q4867" s="459">
        <v>-11</v>
      </c>
      <c r="R4867" s="465">
        <f t="shared" si="156"/>
        <v>-47300</v>
      </c>
      <c r="S4867" s="31">
        <v>202304</v>
      </c>
      <c r="T4867" s="60" t="s">
        <v>6356</v>
      </c>
      <c r="U4867" s="411"/>
      <c r="V4867" s="411"/>
      <c r="W4867" s="411"/>
      <c r="X4867" s="34"/>
      <c r="Y4867" s="34"/>
    </row>
    <row r="4868" s="3" customFormat="1" customHeight="1" spans="1:25">
      <c r="A4868" s="11" t="s">
        <v>448</v>
      </c>
      <c r="B4868" s="11" t="s">
        <v>6300</v>
      </c>
      <c r="C4868" s="11" t="s">
        <v>3237</v>
      </c>
      <c r="D4868" s="35" t="s">
        <v>6301</v>
      </c>
      <c r="E4868" s="13" t="s">
        <v>6347</v>
      </c>
      <c r="F4868" s="11" t="s">
        <v>6348</v>
      </c>
      <c r="G4868" s="11" t="s">
        <v>88</v>
      </c>
      <c r="H4868" s="110" t="s">
        <v>6349</v>
      </c>
      <c r="I4868" s="30" t="e">
        <f>VLOOKUP(H4868,'合同高级查询数据-4月返'!A:A,1,FALSE)</f>
        <v>#N/A</v>
      </c>
      <c r="J4868" s="31" t="s">
        <v>162</v>
      </c>
      <c r="K4868" s="11" t="s">
        <v>6350</v>
      </c>
      <c r="L4868" s="32"/>
      <c r="M4868" s="113" t="s">
        <v>6351</v>
      </c>
      <c r="N4868" s="193">
        <v>44712</v>
      </c>
      <c r="O4868" s="466" t="s">
        <v>6352</v>
      </c>
      <c r="P4868" s="465">
        <v>4300</v>
      </c>
      <c r="Q4868" s="459">
        <v>-2</v>
      </c>
      <c r="R4868" s="465">
        <f t="shared" si="156"/>
        <v>-8600</v>
      </c>
      <c r="S4868" s="31">
        <v>202304</v>
      </c>
      <c r="T4868" s="60" t="s">
        <v>6357</v>
      </c>
      <c r="U4868" s="411"/>
      <c r="V4868" s="411"/>
      <c r="W4868" s="411"/>
      <c r="X4868" s="34"/>
      <c r="Y4868" s="34"/>
    </row>
    <row r="4869" s="3" customFormat="1" customHeight="1" spans="1:25">
      <c r="A4869" s="11" t="s">
        <v>448</v>
      </c>
      <c r="B4869" s="11" t="s">
        <v>6300</v>
      </c>
      <c r="C4869" s="11" t="s">
        <v>3237</v>
      </c>
      <c r="D4869" s="35" t="s">
        <v>6301</v>
      </c>
      <c r="E4869" s="13" t="s">
        <v>6347</v>
      </c>
      <c r="F4869" s="11" t="s">
        <v>6348</v>
      </c>
      <c r="G4869" s="11" t="s">
        <v>31</v>
      </c>
      <c r="H4869" s="110" t="s">
        <v>6349</v>
      </c>
      <c r="I4869" s="30" t="e">
        <f>VLOOKUP(H4869,'合同高级查询数据-4月返'!A:A,1,FALSE)</f>
        <v>#N/A</v>
      </c>
      <c r="J4869" s="31" t="s">
        <v>33</v>
      </c>
      <c r="K4869" s="11" t="s">
        <v>6350</v>
      </c>
      <c r="L4869" s="32"/>
      <c r="M4869" s="113" t="s">
        <v>6351</v>
      </c>
      <c r="N4869" s="193" t="s">
        <v>1329</v>
      </c>
      <c r="O4869" s="31" t="s">
        <v>37</v>
      </c>
      <c r="P4869" s="465">
        <v>0</v>
      </c>
      <c r="Q4869" s="459">
        <v>544</v>
      </c>
      <c r="R4869" s="465">
        <f t="shared" si="156"/>
        <v>0</v>
      </c>
      <c r="S4869" s="31">
        <v>202304</v>
      </c>
      <c r="T4869" s="60" t="s">
        <v>6358</v>
      </c>
      <c r="U4869" s="411"/>
      <c r="V4869" s="411"/>
      <c r="W4869" s="411"/>
      <c r="X4869" s="34"/>
      <c r="Y4869" s="34"/>
    </row>
    <row r="4870" s="3" customFormat="1" customHeight="1" spans="1:25">
      <c r="A4870" s="11" t="s">
        <v>448</v>
      </c>
      <c r="B4870" s="11" t="s">
        <v>6300</v>
      </c>
      <c r="C4870" s="11" t="s">
        <v>3237</v>
      </c>
      <c r="D4870" s="35" t="s">
        <v>6301</v>
      </c>
      <c r="E4870" s="13" t="s">
        <v>6347</v>
      </c>
      <c r="F4870" s="11" t="s">
        <v>6348</v>
      </c>
      <c r="G4870" s="11" t="s">
        <v>88</v>
      </c>
      <c r="H4870" s="110" t="s">
        <v>6349</v>
      </c>
      <c r="I4870" s="30" t="e">
        <f>VLOOKUP(H4870,'合同高级查询数据-4月返'!A:A,1,FALSE)</f>
        <v>#N/A</v>
      </c>
      <c r="J4870" s="31" t="s">
        <v>162</v>
      </c>
      <c r="K4870" s="11" t="s">
        <v>6359</v>
      </c>
      <c r="L4870" s="32" t="s">
        <v>6360</v>
      </c>
      <c r="M4870" s="113" t="s">
        <v>6361</v>
      </c>
      <c r="N4870" s="193"/>
      <c r="O4870" s="466" t="s">
        <v>6352</v>
      </c>
      <c r="P4870" s="465">
        <v>4300</v>
      </c>
      <c r="Q4870" s="459">
        <v>20</v>
      </c>
      <c r="R4870" s="465">
        <f t="shared" si="156"/>
        <v>86000</v>
      </c>
      <c r="S4870" s="31">
        <v>202304</v>
      </c>
      <c r="T4870" s="60" t="s">
        <v>6362</v>
      </c>
      <c r="U4870" s="411"/>
      <c r="V4870" s="411"/>
      <c r="W4870" s="411"/>
      <c r="X4870" s="34"/>
      <c r="Y4870" s="34"/>
    </row>
    <row r="4871" s="3" customFormat="1" customHeight="1" spans="1:25">
      <c r="A4871" s="11" t="s">
        <v>448</v>
      </c>
      <c r="B4871" s="11" t="s">
        <v>6300</v>
      </c>
      <c r="C4871" s="11" t="s">
        <v>3237</v>
      </c>
      <c r="D4871" s="35" t="s">
        <v>6301</v>
      </c>
      <c r="E4871" s="13" t="s">
        <v>6347</v>
      </c>
      <c r="F4871" s="11" t="s">
        <v>6348</v>
      </c>
      <c r="G4871" s="11" t="s">
        <v>88</v>
      </c>
      <c r="H4871" s="110" t="s">
        <v>6349</v>
      </c>
      <c r="I4871" s="30" t="e">
        <f>VLOOKUP(H4871,'合同高级查询数据-4月返'!A:A,1,FALSE)</f>
        <v>#N/A</v>
      </c>
      <c r="J4871" s="31" t="s">
        <v>162</v>
      </c>
      <c r="K4871" s="11" t="s">
        <v>6359</v>
      </c>
      <c r="L4871" s="32" t="s">
        <v>6360</v>
      </c>
      <c r="M4871" s="113" t="s">
        <v>6361</v>
      </c>
      <c r="N4871" s="193">
        <v>44092</v>
      </c>
      <c r="O4871" s="466" t="s">
        <v>6352</v>
      </c>
      <c r="P4871" s="465">
        <v>4300</v>
      </c>
      <c r="Q4871" s="459">
        <v>-9</v>
      </c>
      <c r="R4871" s="465">
        <f t="shared" si="156"/>
        <v>-38700</v>
      </c>
      <c r="S4871" s="31">
        <v>202304</v>
      </c>
      <c r="T4871" s="60" t="s">
        <v>6363</v>
      </c>
      <c r="U4871" s="411"/>
      <c r="V4871" s="411"/>
      <c r="W4871" s="411"/>
      <c r="X4871" s="34"/>
      <c r="Y4871" s="34"/>
    </row>
    <row r="4872" s="3" customFormat="1" customHeight="1" spans="1:25">
      <c r="A4872" s="11" t="s">
        <v>448</v>
      </c>
      <c r="B4872" s="11" t="s">
        <v>6300</v>
      </c>
      <c r="C4872" s="11" t="s">
        <v>3237</v>
      </c>
      <c r="D4872" s="35" t="s">
        <v>6301</v>
      </c>
      <c r="E4872" s="13" t="s">
        <v>6347</v>
      </c>
      <c r="F4872" s="11" t="s">
        <v>6348</v>
      </c>
      <c r="G4872" s="11" t="s">
        <v>88</v>
      </c>
      <c r="H4872" s="110" t="s">
        <v>6349</v>
      </c>
      <c r="I4872" s="30" t="e">
        <f>VLOOKUP(H4872,'合同高级查询数据-4月返'!A:A,1,FALSE)</f>
        <v>#N/A</v>
      </c>
      <c r="J4872" s="31" t="s">
        <v>162</v>
      </c>
      <c r="K4872" s="11" t="s">
        <v>6359</v>
      </c>
      <c r="L4872" s="32" t="s">
        <v>6360</v>
      </c>
      <c r="M4872" s="113" t="s">
        <v>6361</v>
      </c>
      <c r="N4872" s="193">
        <v>44681</v>
      </c>
      <c r="O4872" s="466" t="s">
        <v>6352</v>
      </c>
      <c r="P4872" s="465">
        <v>4300</v>
      </c>
      <c r="Q4872" s="459">
        <v>-3</v>
      </c>
      <c r="R4872" s="465">
        <f t="shared" si="156"/>
        <v>-12900</v>
      </c>
      <c r="S4872" s="31">
        <v>202304</v>
      </c>
      <c r="T4872" s="60" t="s">
        <v>6364</v>
      </c>
      <c r="U4872" s="411"/>
      <c r="V4872" s="411"/>
      <c r="W4872" s="411"/>
      <c r="X4872" s="34"/>
      <c r="Y4872" s="34"/>
    </row>
    <row r="4873" s="3" customFormat="1" customHeight="1" spans="1:25">
      <c r="A4873" s="11" t="s">
        <v>448</v>
      </c>
      <c r="B4873" s="11" t="s">
        <v>6300</v>
      </c>
      <c r="C4873" s="11" t="s">
        <v>3237</v>
      </c>
      <c r="D4873" s="35" t="s">
        <v>6301</v>
      </c>
      <c r="E4873" s="13" t="s">
        <v>6347</v>
      </c>
      <c r="F4873" s="11" t="s">
        <v>6348</v>
      </c>
      <c r="G4873" s="11" t="s">
        <v>88</v>
      </c>
      <c r="H4873" s="110" t="s">
        <v>6349</v>
      </c>
      <c r="I4873" s="30" t="e">
        <f>VLOOKUP(H4873,'合同高级查询数据-4月返'!A:A,1,FALSE)</f>
        <v>#N/A</v>
      </c>
      <c r="J4873" s="31" t="s">
        <v>162</v>
      </c>
      <c r="K4873" s="11" t="s">
        <v>6359</v>
      </c>
      <c r="L4873" s="32" t="s">
        <v>6360</v>
      </c>
      <c r="M4873" s="113" t="s">
        <v>6361</v>
      </c>
      <c r="N4873" s="193">
        <v>44712</v>
      </c>
      <c r="O4873" s="466" t="s">
        <v>6352</v>
      </c>
      <c r="P4873" s="465">
        <v>4300</v>
      </c>
      <c r="Q4873" s="459">
        <v>-8</v>
      </c>
      <c r="R4873" s="465">
        <f t="shared" si="156"/>
        <v>-34400</v>
      </c>
      <c r="S4873" s="31">
        <v>202304</v>
      </c>
      <c r="T4873" s="60" t="s">
        <v>6365</v>
      </c>
      <c r="U4873" s="411"/>
      <c r="V4873" s="411"/>
      <c r="W4873" s="411"/>
      <c r="X4873" s="34"/>
      <c r="Y4873" s="34"/>
    </row>
    <row r="4874" s="3" customFormat="1" customHeight="1" spans="1:25">
      <c r="A4874" s="11" t="s">
        <v>448</v>
      </c>
      <c r="B4874" s="11" t="s">
        <v>6300</v>
      </c>
      <c r="C4874" s="11" t="s">
        <v>3237</v>
      </c>
      <c r="D4874" s="35" t="s">
        <v>6301</v>
      </c>
      <c r="E4874" s="13" t="s">
        <v>6347</v>
      </c>
      <c r="F4874" s="11" t="s">
        <v>6348</v>
      </c>
      <c r="G4874" s="11" t="s">
        <v>31</v>
      </c>
      <c r="H4874" s="110" t="s">
        <v>6349</v>
      </c>
      <c r="I4874" s="30" t="e">
        <f>VLOOKUP(H4874,'合同高级查询数据-4月返'!A:A,1,FALSE)</f>
        <v>#N/A</v>
      </c>
      <c r="J4874" s="31" t="s">
        <v>33</v>
      </c>
      <c r="K4874" s="11" t="s">
        <v>6359</v>
      </c>
      <c r="L4874" s="32" t="s">
        <v>6360</v>
      </c>
      <c r="M4874" s="113" t="s">
        <v>6361</v>
      </c>
      <c r="N4874" s="193" t="s">
        <v>1329</v>
      </c>
      <c r="O4874" s="31" t="s">
        <v>37</v>
      </c>
      <c r="P4874" s="465">
        <v>0</v>
      </c>
      <c r="Q4874" s="459">
        <v>512</v>
      </c>
      <c r="R4874" s="465">
        <f t="shared" si="156"/>
        <v>0</v>
      </c>
      <c r="S4874" s="31">
        <v>202304</v>
      </c>
      <c r="T4874" s="60" t="s">
        <v>6366</v>
      </c>
      <c r="U4874" s="411"/>
      <c r="V4874" s="411"/>
      <c r="W4874" s="411"/>
      <c r="X4874" s="34"/>
      <c r="Y4874" s="34"/>
    </row>
    <row r="4875" s="3" customFormat="1" customHeight="1" spans="1:25">
      <c r="A4875" s="11" t="s">
        <v>448</v>
      </c>
      <c r="B4875" s="11" t="s">
        <v>6300</v>
      </c>
      <c r="C4875" s="11" t="s">
        <v>3237</v>
      </c>
      <c r="D4875" s="35" t="s">
        <v>6301</v>
      </c>
      <c r="E4875" s="13" t="s">
        <v>6347</v>
      </c>
      <c r="F4875" s="11" t="s">
        <v>6348</v>
      </c>
      <c r="G4875" s="11" t="s">
        <v>31</v>
      </c>
      <c r="H4875" s="110" t="s">
        <v>6349</v>
      </c>
      <c r="I4875" s="30" t="e">
        <f>VLOOKUP(H4875,'合同高级查询数据-4月返'!A:A,1,FALSE)</f>
        <v>#N/A</v>
      </c>
      <c r="J4875" s="31" t="s">
        <v>33</v>
      </c>
      <c r="K4875" s="11" t="s">
        <v>6359</v>
      </c>
      <c r="L4875" s="32" t="s">
        <v>6360</v>
      </c>
      <c r="M4875" s="113" t="s">
        <v>6361</v>
      </c>
      <c r="N4875" s="193">
        <v>44712</v>
      </c>
      <c r="O4875" s="31" t="s">
        <v>37</v>
      </c>
      <c r="P4875" s="465">
        <v>0</v>
      </c>
      <c r="Q4875" s="459">
        <v>-512</v>
      </c>
      <c r="R4875" s="465">
        <f t="shared" si="156"/>
        <v>0</v>
      </c>
      <c r="S4875" s="31">
        <v>202304</v>
      </c>
      <c r="T4875" s="60" t="s">
        <v>6367</v>
      </c>
      <c r="U4875" s="411"/>
      <c r="V4875" s="411"/>
      <c r="W4875" s="411"/>
      <c r="X4875" s="34"/>
      <c r="Y4875" s="34"/>
    </row>
    <row r="4876" s="3" customFormat="1" customHeight="1" spans="1:25">
      <c r="A4876" s="11" t="s">
        <v>448</v>
      </c>
      <c r="B4876" s="11" t="s">
        <v>6300</v>
      </c>
      <c r="C4876" s="11" t="s">
        <v>3237</v>
      </c>
      <c r="D4876" s="35" t="s">
        <v>6301</v>
      </c>
      <c r="E4876" s="13" t="s">
        <v>6347</v>
      </c>
      <c r="F4876" s="11" t="s">
        <v>6348</v>
      </c>
      <c r="G4876" s="11" t="s">
        <v>88</v>
      </c>
      <c r="H4876" s="110" t="s">
        <v>6349</v>
      </c>
      <c r="I4876" s="30" t="e">
        <f>VLOOKUP(H4876,'合同高级查询数据-4月返'!A:A,1,FALSE)</f>
        <v>#N/A</v>
      </c>
      <c r="J4876" s="31" t="s">
        <v>162</v>
      </c>
      <c r="K4876" s="11" t="s">
        <v>6368</v>
      </c>
      <c r="L4876" s="32" t="s">
        <v>6369</v>
      </c>
      <c r="M4876" s="113" t="s">
        <v>6370</v>
      </c>
      <c r="N4876" s="193">
        <v>43390</v>
      </c>
      <c r="O4876" s="466" t="s">
        <v>6352</v>
      </c>
      <c r="P4876" s="465">
        <v>4300</v>
      </c>
      <c r="Q4876" s="459">
        <v>8</v>
      </c>
      <c r="R4876" s="465">
        <f t="shared" si="156"/>
        <v>34400</v>
      </c>
      <c r="S4876" s="31">
        <v>202304</v>
      </c>
      <c r="T4876" s="60" t="s">
        <v>6371</v>
      </c>
      <c r="U4876" s="411"/>
      <c r="V4876" s="411"/>
      <c r="W4876" s="411"/>
      <c r="X4876" s="34"/>
      <c r="Y4876" s="34"/>
    </row>
    <row r="4877" s="3" customFormat="1" customHeight="1" spans="1:25">
      <c r="A4877" s="11" t="s">
        <v>448</v>
      </c>
      <c r="B4877" s="11" t="s">
        <v>6300</v>
      </c>
      <c r="C4877" s="11" t="s">
        <v>3237</v>
      </c>
      <c r="D4877" s="35" t="s">
        <v>6301</v>
      </c>
      <c r="E4877" s="13" t="s">
        <v>6347</v>
      </c>
      <c r="F4877" s="11" t="s">
        <v>6348</v>
      </c>
      <c r="G4877" s="11" t="s">
        <v>88</v>
      </c>
      <c r="H4877" s="110" t="s">
        <v>6349</v>
      </c>
      <c r="I4877" s="30" t="e">
        <f>VLOOKUP(H4877,'合同高级查询数据-4月返'!A:A,1,FALSE)</f>
        <v>#N/A</v>
      </c>
      <c r="J4877" s="31" t="s">
        <v>162</v>
      </c>
      <c r="K4877" s="11" t="s">
        <v>6368</v>
      </c>
      <c r="L4877" s="32" t="s">
        <v>6369</v>
      </c>
      <c r="M4877" s="113" t="s">
        <v>6370</v>
      </c>
      <c r="N4877" s="193">
        <v>44712</v>
      </c>
      <c r="O4877" s="466" t="s">
        <v>6352</v>
      </c>
      <c r="P4877" s="465">
        <v>4300</v>
      </c>
      <c r="Q4877" s="459">
        <v>-8</v>
      </c>
      <c r="R4877" s="465">
        <f t="shared" si="156"/>
        <v>-34400</v>
      </c>
      <c r="S4877" s="31">
        <v>202304</v>
      </c>
      <c r="T4877" s="60" t="s">
        <v>6372</v>
      </c>
      <c r="U4877" s="411"/>
      <c r="V4877" s="411"/>
      <c r="W4877" s="411"/>
      <c r="X4877" s="34"/>
      <c r="Y4877" s="34"/>
    </row>
    <row r="4878" s="3" customFormat="1" customHeight="1" spans="1:25">
      <c r="A4878" s="11" t="s">
        <v>448</v>
      </c>
      <c r="B4878" s="11" t="s">
        <v>6300</v>
      </c>
      <c r="C4878" s="11" t="s">
        <v>3237</v>
      </c>
      <c r="D4878" s="35" t="s">
        <v>6301</v>
      </c>
      <c r="E4878" s="13" t="s">
        <v>6347</v>
      </c>
      <c r="F4878" s="11" t="s">
        <v>6348</v>
      </c>
      <c r="G4878" s="11" t="s">
        <v>31</v>
      </c>
      <c r="H4878" s="110" t="s">
        <v>6349</v>
      </c>
      <c r="I4878" s="30" t="e">
        <f>VLOOKUP(H4878,'合同高级查询数据-4月返'!A:A,1,FALSE)</f>
        <v>#N/A</v>
      </c>
      <c r="J4878" s="31" t="s">
        <v>33</v>
      </c>
      <c r="K4878" s="11" t="s">
        <v>6368</v>
      </c>
      <c r="L4878" s="32" t="s">
        <v>6369</v>
      </c>
      <c r="M4878" s="113" t="s">
        <v>6370</v>
      </c>
      <c r="N4878" s="193" t="s">
        <v>1329</v>
      </c>
      <c r="O4878" s="31" t="s">
        <v>37</v>
      </c>
      <c r="P4878" s="465">
        <v>0</v>
      </c>
      <c r="Q4878" s="459">
        <v>288</v>
      </c>
      <c r="R4878" s="465"/>
      <c r="S4878" s="31">
        <v>202304</v>
      </c>
      <c r="T4878" s="60" t="s">
        <v>6373</v>
      </c>
      <c r="U4878" s="411"/>
      <c r="V4878" s="411"/>
      <c r="W4878" s="411"/>
      <c r="X4878" s="34"/>
      <c r="Y4878" s="34"/>
    </row>
    <row r="4879" s="3" customFormat="1" customHeight="1" spans="1:25">
      <c r="A4879" s="11" t="s">
        <v>448</v>
      </c>
      <c r="B4879" s="11" t="s">
        <v>6300</v>
      </c>
      <c r="C4879" s="11" t="s">
        <v>3237</v>
      </c>
      <c r="D4879" s="35" t="s">
        <v>6301</v>
      </c>
      <c r="E4879" s="13" t="s">
        <v>6347</v>
      </c>
      <c r="F4879" s="11" t="s">
        <v>6348</v>
      </c>
      <c r="G4879" s="11" t="s">
        <v>31</v>
      </c>
      <c r="H4879" s="110" t="s">
        <v>6349</v>
      </c>
      <c r="I4879" s="30" t="e">
        <f>VLOOKUP(H4879,'合同高级查询数据-4月返'!A:A,1,FALSE)</f>
        <v>#N/A</v>
      </c>
      <c r="J4879" s="31" t="s">
        <v>33</v>
      </c>
      <c r="K4879" s="11" t="s">
        <v>6368</v>
      </c>
      <c r="L4879" s="32" t="s">
        <v>6369</v>
      </c>
      <c r="M4879" s="113" t="s">
        <v>6370</v>
      </c>
      <c r="N4879" s="193">
        <v>44712</v>
      </c>
      <c r="O4879" s="31" t="s">
        <v>37</v>
      </c>
      <c r="P4879" s="465">
        <v>0</v>
      </c>
      <c r="Q4879" s="459">
        <v>-288</v>
      </c>
      <c r="R4879" s="465"/>
      <c r="S4879" s="31">
        <v>202304</v>
      </c>
      <c r="T4879" s="60" t="s">
        <v>6374</v>
      </c>
      <c r="U4879" s="411"/>
      <c r="V4879" s="411"/>
      <c r="W4879" s="411"/>
      <c r="X4879" s="34"/>
      <c r="Y4879" s="34"/>
    </row>
    <row r="4880" s="3" customFormat="1" customHeight="1" spans="1:25">
      <c r="A4880" s="11" t="s">
        <v>448</v>
      </c>
      <c r="B4880" s="11" t="s">
        <v>6300</v>
      </c>
      <c r="C4880" s="11" t="s">
        <v>3237</v>
      </c>
      <c r="D4880" s="35" t="s">
        <v>6301</v>
      </c>
      <c r="E4880" s="13" t="s">
        <v>6347</v>
      </c>
      <c r="F4880" s="11" t="s">
        <v>6348</v>
      </c>
      <c r="G4880" s="11" t="s">
        <v>88</v>
      </c>
      <c r="H4880" s="110" t="s">
        <v>6349</v>
      </c>
      <c r="I4880" s="30" t="e">
        <f>VLOOKUP(H4880,'合同高级查询数据-4月返'!A:A,1,FALSE)</f>
        <v>#N/A</v>
      </c>
      <c r="J4880" s="31" t="s">
        <v>162</v>
      </c>
      <c r="K4880" s="11" t="s">
        <v>6375</v>
      </c>
      <c r="L4880" s="32" t="s">
        <v>6376</v>
      </c>
      <c r="M4880" s="113" t="s">
        <v>6377</v>
      </c>
      <c r="N4880" s="193"/>
      <c r="O4880" s="466" t="s">
        <v>6352</v>
      </c>
      <c r="P4880" s="465">
        <v>4300</v>
      </c>
      <c r="Q4880" s="459">
        <v>8</v>
      </c>
      <c r="R4880" s="465">
        <f t="shared" ref="R4880:R4885" si="157">ROUND(P4880*Q4880,2)</f>
        <v>34400</v>
      </c>
      <c r="S4880" s="31">
        <v>202304</v>
      </c>
      <c r="T4880" s="60" t="s">
        <v>6378</v>
      </c>
      <c r="U4880" s="411"/>
      <c r="V4880" s="411"/>
      <c r="W4880" s="411"/>
      <c r="X4880" s="34"/>
      <c r="Y4880" s="34"/>
    </row>
    <row r="4881" s="3" customFormat="1" customHeight="1" spans="1:25">
      <c r="A4881" s="11" t="s">
        <v>448</v>
      </c>
      <c r="B4881" s="11" t="s">
        <v>6300</v>
      </c>
      <c r="C4881" s="11" t="s">
        <v>3237</v>
      </c>
      <c r="D4881" s="35" t="s">
        <v>6301</v>
      </c>
      <c r="E4881" s="13" t="s">
        <v>6347</v>
      </c>
      <c r="F4881" s="11" t="s">
        <v>6348</v>
      </c>
      <c r="G4881" s="11" t="s">
        <v>88</v>
      </c>
      <c r="H4881" s="110" t="s">
        <v>6349</v>
      </c>
      <c r="I4881" s="30" t="e">
        <f>VLOOKUP(H4881,'合同高级查询数据-4月返'!A:A,1,FALSE)</f>
        <v>#N/A</v>
      </c>
      <c r="J4881" s="31" t="s">
        <v>162</v>
      </c>
      <c r="K4881" s="11" t="s">
        <v>6375</v>
      </c>
      <c r="L4881" s="32" t="s">
        <v>6376</v>
      </c>
      <c r="M4881" s="113" t="s">
        <v>6377</v>
      </c>
      <c r="N4881" s="193">
        <v>44681</v>
      </c>
      <c r="O4881" s="466" t="s">
        <v>6352</v>
      </c>
      <c r="P4881" s="465">
        <v>4300</v>
      </c>
      <c r="Q4881" s="459">
        <v>-5</v>
      </c>
      <c r="R4881" s="465">
        <f t="shared" si="157"/>
        <v>-21500</v>
      </c>
      <c r="S4881" s="31">
        <v>202304</v>
      </c>
      <c r="T4881" s="60" t="s">
        <v>6379</v>
      </c>
      <c r="U4881" s="411"/>
      <c r="V4881" s="411"/>
      <c r="W4881" s="411"/>
      <c r="X4881" s="34"/>
      <c r="Y4881" s="34"/>
    </row>
    <row r="4882" s="3" customFormat="1" customHeight="1" spans="1:25">
      <c r="A4882" s="11" t="s">
        <v>448</v>
      </c>
      <c r="B4882" s="11" t="s">
        <v>6300</v>
      </c>
      <c r="C4882" s="11" t="s">
        <v>3237</v>
      </c>
      <c r="D4882" s="35" t="s">
        <v>6301</v>
      </c>
      <c r="E4882" s="13" t="s">
        <v>6347</v>
      </c>
      <c r="F4882" s="11" t="s">
        <v>6348</v>
      </c>
      <c r="G4882" s="11" t="s">
        <v>88</v>
      </c>
      <c r="H4882" s="110" t="s">
        <v>6349</v>
      </c>
      <c r="I4882" s="30" t="e">
        <f>VLOOKUP(H4882,'合同高级查询数据-4月返'!A:A,1,FALSE)</f>
        <v>#N/A</v>
      </c>
      <c r="J4882" s="31" t="s">
        <v>162</v>
      </c>
      <c r="K4882" s="11" t="s">
        <v>6375</v>
      </c>
      <c r="L4882" s="32" t="s">
        <v>6376</v>
      </c>
      <c r="M4882" s="113" t="s">
        <v>6377</v>
      </c>
      <c r="N4882" s="193">
        <v>44712</v>
      </c>
      <c r="O4882" s="466" t="s">
        <v>6352</v>
      </c>
      <c r="P4882" s="465">
        <v>4300</v>
      </c>
      <c r="Q4882" s="459">
        <v>-3</v>
      </c>
      <c r="R4882" s="465">
        <f t="shared" si="157"/>
        <v>-12900</v>
      </c>
      <c r="S4882" s="31">
        <v>202304</v>
      </c>
      <c r="T4882" s="60" t="s">
        <v>6380</v>
      </c>
      <c r="U4882" s="411"/>
      <c r="V4882" s="411"/>
      <c r="W4882" s="411"/>
      <c r="X4882" s="34"/>
      <c r="Y4882" s="34"/>
    </row>
    <row r="4883" s="3" customFormat="1" customHeight="1" spans="1:25">
      <c r="A4883" s="11" t="s">
        <v>448</v>
      </c>
      <c r="B4883" s="11" t="s">
        <v>6300</v>
      </c>
      <c r="C4883" s="11" t="s">
        <v>3237</v>
      </c>
      <c r="D4883" s="35" t="s">
        <v>6301</v>
      </c>
      <c r="E4883" s="13" t="s">
        <v>6347</v>
      </c>
      <c r="F4883" s="11" t="s">
        <v>6348</v>
      </c>
      <c r="G4883" s="11" t="s">
        <v>31</v>
      </c>
      <c r="H4883" s="110" t="s">
        <v>6349</v>
      </c>
      <c r="I4883" s="30" t="e">
        <f>VLOOKUP(H4883,'合同高级查询数据-4月返'!A:A,1,FALSE)</f>
        <v>#N/A</v>
      </c>
      <c r="J4883" s="31" t="s">
        <v>33</v>
      </c>
      <c r="K4883" s="11" t="s">
        <v>6375</v>
      </c>
      <c r="L4883" s="32" t="s">
        <v>6376</v>
      </c>
      <c r="M4883" s="113" t="s">
        <v>6377</v>
      </c>
      <c r="N4883" s="193" t="s">
        <v>1329</v>
      </c>
      <c r="O4883" s="31" t="s">
        <v>37</v>
      </c>
      <c r="P4883" s="465">
        <v>0</v>
      </c>
      <c r="Q4883" s="459">
        <v>544</v>
      </c>
      <c r="R4883" s="465">
        <f t="shared" si="157"/>
        <v>0</v>
      </c>
      <c r="S4883" s="31">
        <v>202304</v>
      </c>
      <c r="T4883" s="60" t="s">
        <v>6381</v>
      </c>
      <c r="U4883" s="411"/>
      <c r="V4883" s="411"/>
      <c r="W4883" s="411"/>
      <c r="X4883" s="34"/>
      <c r="Y4883" s="34"/>
    </row>
    <row r="4884" s="3" customFormat="1" customHeight="1" spans="1:25">
      <c r="A4884" s="11" t="s">
        <v>448</v>
      </c>
      <c r="B4884" s="11" t="s">
        <v>6300</v>
      </c>
      <c r="C4884" s="11" t="s">
        <v>3237</v>
      </c>
      <c r="D4884" s="35" t="s">
        <v>6301</v>
      </c>
      <c r="E4884" s="13" t="s">
        <v>6347</v>
      </c>
      <c r="F4884" s="11" t="s">
        <v>6348</v>
      </c>
      <c r="G4884" s="11" t="s">
        <v>31</v>
      </c>
      <c r="H4884" s="110" t="s">
        <v>6349</v>
      </c>
      <c r="I4884" s="30" t="e">
        <f>VLOOKUP(H4884,'合同高级查询数据-4月返'!A:A,1,FALSE)</f>
        <v>#N/A</v>
      </c>
      <c r="J4884" s="31" t="s">
        <v>33</v>
      </c>
      <c r="K4884" s="11" t="s">
        <v>6375</v>
      </c>
      <c r="L4884" s="32" t="s">
        <v>6376</v>
      </c>
      <c r="M4884" s="113" t="s">
        <v>6377</v>
      </c>
      <c r="N4884" s="193">
        <v>44712</v>
      </c>
      <c r="O4884" s="31" t="s">
        <v>37</v>
      </c>
      <c r="P4884" s="465">
        <v>0</v>
      </c>
      <c r="Q4884" s="459">
        <v>-544</v>
      </c>
      <c r="R4884" s="465">
        <f t="shared" si="157"/>
        <v>0</v>
      </c>
      <c r="S4884" s="31">
        <v>202304</v>
      </c>
      <c r="T4884" s="60" t="s">
        <v>6382</v>
      </c>
      <c r="U4884" s="411"/>
      <c r="V4884" s="411"/>
      <c r="W4884" s="411"/>
      <c r="X4884" s="34"/>
      <c r="Y4884" s="34"/>
    </row>
    <row r="4885" s="3" customFormat="1" customHeight="1" spans="1:25">
      <c r="A4885" s="11" t="s">
        <v>448</v>
      </c>
      <c r="B4885" s="11" t="s">
        <v>6300</v>
      </c>
      <c r="C4885" s="11" t="s">
        <v>3237</v>
      </c>
      <c r="D4885" s="35" t="s">
        <v>6301</v>
      </c>
      <c r="E4885" s="13" t="s">
        <v>6347</v>
      </c>
      <c r="F4885" s="11" t="s">
        <v>6348</v>
      </c>
      <c r="G4885" s="11" t="s">
        <v>88</v>
      </c>
      <c r="H4885" s="110" t="s">
        <v>6349</v>
      </c>
      <c r="I4885" s="30" t="e">
        <f>VLOOKUP(H4885,'合同高级查询数据-4月返'!A:A,1,FALSE)</f>
        <v>#N/A</v>
      </c>
      <c r="J4885" s="31" t="s">
        <v>1287</v>
      </c>
      <c r="K4885" s="11" t="s">
        <v>6383</v>
      </c>
      <c r="L4885" s="32" t="s">
        <v>6384</v>
      </c>
      <c r="M4885" s="113" t="s">
        <v>6385</v>
      </c>
      <c r="N4885" s="466">
        <v>40349</v>
      </c>
      <c r="O4885" s="31" t="s">
        <v>6352</v>
      </c>
      <c r="P4885" s="465">
        <v>4300</v>
      </c>
      <c r="Q4885" s="459">
        <v>5</v>
      </c>
      <c r="R4885" s="465">
        <f t="shared" si="157"/>
        <v>21500</v>
      </c>
      <c r="S4885" s="31">
        <v>202304</v>
      </c>
      <c r="T4885" s="60" t="s">
        <v>6386</v>
      </c>
      <c r="U4885" s="411"/>
      <c r="V4885" s="411"/>
      <c r="W4885" s="411"/>
      <c r="X4885" s="34"/>
      <c r="Y4885" s="34"/>
    </row>
    <row r="4886" s="3" customFormat="1" customHeight="1" spans="1:25">
      <c r="A4886" s="11" t="s">
        <v>448</v>
      </c>
      <c r="B4886" s="11" t="s">
        <v>6300</v>
      </c>
      <c r="C4886" s="11" t="s">
        <v>3237</v>
      </c>
      <c r="D4886" s="35" t="s">
        <v>6301</v>
      </c>
      <c r="E4886" s="13" t="s">
        <v>6347</v>
      </c>
      <c r="F4886" s="11" t="s">
        <v>6348</v>
      </c>
      <c r="G4886" s="11" t="s">
        <v>88</v>
      </c>
      <c r="H4886" s="110" t="s">
        <v>6349</v>
      </c>
      <c r="I4886" s="30" t="e">
        <f>VLOOKUP(H4886,'合同高级查询数据-4月返'!A:A,1,FALSE)</f>
        <v>#N/A</v>
      </c>
      <c r="J4886" s="31" t="s">
        <v>1287</v>
      </c>
      <c r="K4886" s="11" t="s">
        <v>6383</v>
      </c>
      <c r="L4886" s="32" t="s">
        <v>6384</v>
      </c>
      <c r="M4886" s="113" t="s">
        <v>6385</v>
      </c>
      <c r="N4886" s="466">
        <v>45031</v>
      </c>
      <c r="O4886" s="31" t="s">
        <v>6352</v>
      </c>
      <c r="P4886" s="465">
        <v>4300</v>
      </c>
      <c r="Q4886" s="459">
        <v>-1</v>
      </c>
      <c r="R4886" s="465">
        <f>ROUND(P4886*Q4886*15/30,2)</f>
        <v>-2150</v>
      </c>
      <c r="S4886" s="31">
        <v>202304</v>
      </c>
      <c r="T4886" s="472" t="s">
        <v>6387</v>
      </c>
      <c r="U4886" s="411"/>
      <c r="V4886" s="411"/>
      <c r="W4886" s="411"/>
      <c r="X4886" s="34"/>
      <c r="Y4886" s="34"/>
    </row>
    <row r="4887" s="3" customFormat="1" customHeight="1" spans="1:25">
      <c r="A4887" s="11" t="s">
        <v>448</v>
      </c>
      <c r="B4887" s="11" t="s">
        <v>6300</v>
      </c>
      <c r="C4887" s="11" t="s">
        <v>3237</v>
      </c>
      <c r="D4887" s="35" t="s">
        <v>6301</v>
      </c>
      <c r="E4887" s="13" t="s">
        <v>6347</v>
      </c>
      <c r="F4887" s="11" t="s">
        <v>6348</v>
      </c>
      <c r="G4887" s="11" t="s">
        <v>31</v>
      </c>
      <c r="H4887" s="110" t="s">
        <v>6349</v>
      </c>
      <c r="I4887" s="30" t="e">
        <f>VLOOKUP(H4887,'合同高级查询数据-4月返'!A:A,1,FALSE)</f>
        <v>#N/A</v>
      </c>
      <c r="J4887" s="31" t="s">
        <v>1273</v>
      </c>
      <c r="K4887" s="11" t="s">
        <v>6388</v>
      </c>
      <c r="L4887" s="32" t="s">
        <v>6384</v>
      </c>
      <c r="M4887" s="113" t="s">
        <v>6389</v>
      </c>
      <c r="N4887" s="193" t="s">
        <v>1329</v>
      </c>
      <c r="O4887" s="110" t="s">
        <v>37</v>
      </c>
      <c r="P4887" s="465">
        <v>0</v>
      </c>
      <c r="Q4887" s="459">
        <v>1024</v>
      </c>
      <c r="R4887" s="465">
        <f t="shared" ref="R4887:R4950" si="158">ROUND(P4887*Q4887,2)</f>
        <v>0</v>
      </c>
      <c r="S4887" s="31">
        <v>202304</v>
      </c>
      <c r="T4887" s="60" t="s">
        <v>6390</v>
      </c>
      <c r="U4887" s="411"/>
      <c r="V4887" s="438"/>
      <c r="W4887" s="473"/>
      <c r="X4887" s="34"/>
      <c r="Y4887" s="34"/>
    </row>
    <row r="4888" s="3" customFormat="1" customHeight="1" spans="1:25">
      <c r="A4888" s="11" t="s">
        <v>448</v>
      </c>
      <c r="B4888" s="11" t="s">
        <v>6300</v>
      </c>
      <c r="C4888" s="11" t="s">
        <v>3237</v>
      </c>
      <c r="D4888" s="35" t="s">
        <v>6301</v>
      </c>
      <c r="E4888" s="13" t="s">
        <v>6347</v>
      </c>
      <c r="F4888" s="11" t="s">
        <v>6348</v>
      </c>
      <c r="G4888" s="11" t="s">
        <v>88</v>
      </c>
      <c r="H4888" s="110" t="s">
        <v>6349</v>
      </c>
      <c r="I4888" s="30" t="e">
        <f>VLOOKUP(H4888,'合同高级查询数据-4月返'!A:A,1,FALSE)</f>
        <v>#N/A</v>
      </c>
      <c r="J4888" s="31" t="s">
        <v>1287</v>
      </c>
      <c r="K4888" s="11" t="s">
        <v>6391</v>
      </c>
      <c r="L4888" s="32" t="s">
        <v>6392</v>
      </c>
      <c r="M4888" s="113" t="s">
        <v>6393</v>
      </c>
      <c r="N4888" s="466">
        <v>41089</v>
      </c>
      <c r="O4888" s="31" t="s">
        <v>6352</v>
      </c>
      <c r="P4888" s="465">
        <v>4300</v>
      </c>
      <c r="Q4888" s="459">
        <v>6</v>
      </c>
      <c r="R4888" s="465">
        <f t="shared" si="158"/>
        <v>25800</v>
      </c>
      <c r="S4888" s="31">
        <v>202304</v>
      </c>
      <c r="T4888" s="60" t="s">
        <v>6394</v>
      </c>
      <c r="U4888" s="411"/>
      <c r="V4888" s="411"/>
      <c r="W4888" s="411"/>
      <c r="X4888" s="34"/>
      <c r="Y4888" s="34"/>
    </row>
    <row r="4889" s="3" customFormat="1" customHeight="1" spans="1:25">
      <c r="A4889" s="11" t="s">
        <v>448</v>
      </c>
      <c r="B4889" s="11" t="s">
        <v>6300</v>
      </c>
      <c r="C4889" s="11" t="s">
        <v>3237</v>
      </c>
      <c r="D4889" s="35" t="s">
        <v>6301</v>
      </c>
      <c r="E4889" s="13" t="s">
        <v>6347</v>
      </c>
      <c r="F4889" s="11" t="s">
        <v>6348</v>
      </c>
      <c r="G4889" s="11" t="s">
        <v>88</v>
      </c>
      <c r="H4889" s="110" t="s">
        <v>6349</v>
      </c>
      <c r="I4889" s="30" t="e">
        <f>VLOOKUP(H4889,'合同高级查询数据-4月返'!A:A,1,FALSE)</f>
        <v>#N/A</v>
      </c>
      <c r="J4889" s="31" t="s">
        <v>1287</v>
      </c>
      <c r="K4889" s="11" t="s">
        <v>6391</v>
      </c>
      <c r="L4889" s="32" t="s">
        <v>6392</v>
      </c>
      <c r="M4889" s="113" t="s">
        <v>6393</v>
      </c>
      <c r="N4889" s="466">
        <v>44418</v>
      </c>
      <c r="O4889" s="31" t="s">
        <v>6352</v>
      </c>
      <c r="P4889" s="465">
        <v>4300</v>
      </c>
      <c r="Q4889" s="459">
        <v>-6</v>
      </c>
      <c r="R4889" s="465">
        <f t="shared" si="158"/>
        <v>-25800</v>
      </c>
      <c r="S4889" s="31">
        <v>202304</v>
      </c>
      <c r="T4889" s="60" t="s">
        <v>6395</v>
      </c>
      <c r="U4889" s="411"/>
      <c r="V4889" s="411"/>
      <c r="W4889" s="411"/>
      <c r="X4889" s="34"/>
      <c r="Y4889" s="34"/>
    </row>
    <row r="4890" s="3" customFormat="1" customHeight="1" spans="1:25">
      <c r="A4890" s="11" t="s">
        <v>448</v>
      </c>
      <c r="B4890" s="11" t="s">
        <v>6300</v>
      </c>
      <c r="C4890" s="11" t="s">
        <v>3237</v>
      </c>
      <c r="D4890" s="35" t="s">
        <v>6301</v>
      </c>
      <c r="E4890" s="13" t="s">
        <v>6347</v>
      </c>
      <c r="F4890" s="11" t="s">
        <v>6348</v>
      </c>
      <c r="G4890" s="11" t="s">
        <v>88</v>
      </c>
      <c r="H4890" s="110" t="s">
        <v>6349</v>
      </c>
      <c r="I4890" s="30" t="e">
        <f>VLOOKUP(H4890,'合同高级查询数据-4月返'!A:A,1,FALSE)</f>
        <v>#N/A</v>
      </c>
      <c r="J4890" s="31" t="s">
        <v>1287</v>
      </c>
      <c r="K4890" s="11" t="s">
        <v>6391</v>
      </c>
      <c r="L4890" s="32" t="s">
        <v>6392</v>
      </c>
      <c r="M4890" s="113" t="s">
        <v>6396</v>
      </c>
      <c r="N4890" s="466">
        <v>44427</v>
      </c>
      <c r="O4890" s="31" t="s">
        <v>6352</v>
      </c>
      <c r="P4890" s="465">
        <v>4300</v>
      </c>
      <c r="Q4890" s="459">
        <v>5</v>
      </c>
      <c r="R4890" s="465">
        <f t="shared" si="158"/>
        <v>21500</v>
      </c>
      <c r="S4890" s="31">
        <v>202304</v>
      </c>
      <c r="T4890" s="60" t="s">
        <v>6397</v>
      </c>
      <c r="U4890" s="411"/>
      <c r="V4890" s="411"/>
      <c r="W4890" s="411"/>
      <c r="X4890" s="34"/>
      <c r="Y4890" s="34"/>
    </row>
    <row r="4891" s="3" customFormat="1" customHeight="1" spans="1:25">
      <c r="A4891" s="11" t="s">
        <v>448</v>
      </c>
      <c r="B4891" s="11" t="s">
        <v>6300</v>
      </c>
      <c r="C4891" s="11" t="s">
        <v>3237</v>
      </c>
      <c r="D4891" s="35" t="s">
        <v>6301</v>
      </c>
      <c r="E4891" s="13" t="s">
        <v>6347</v>
      </c>
      <c r="F4891" s="11" t="s">
        <v>6348</v>
      </c>
      <c r="G4891" s="11" t="s">
        <v>88</v>
      </c>
      <c r="H4891" s="110" t="s">
        <v>6349</v>
      </c>
      <c r="I4891" s="30" t="e">
        <f>VLOOKUP(H4891,'合同高级查询数据-4月返'!A:A,1,FALSE)</f>
        <v>#N/A</v>
      </c>
      <c r="J4891" s="31" t="s">
        <v>1287</v>
      </c>
      <c r="K4891" s="11" t="s">
        <v>6391</v>
      </c>
      <c r="L4891" s="32" t="s">
        <v>6392</v>
      </c>
      <c r="M4891" s="113" t="s">
        <v>6396</v>
      </c>
      <c r="N4891" s="466">
        <v>44895</v>
      </c>
      <c r="O4891" s="31" t="s">
        <v>6352</v>
      </c>
      <c r="P4891" s="465">
        <v>4300</v>
      </c>
      <c r="Q4891" s="459">
        <v>-5</v>
      </c>
      <c r="R4891" s="465">
        <f t="shared" si="158"/>
        <v>-21500</v>
      </c>
      <c r="S4891" s="31">
        <v>202304</v>
      </c>
      <c r="T4891" s="60" t="s">
        <v>6398</v>
      </c>
      <c r="U4891" s="411"/>
      <c r="V4891" s="411"/>
      <c r="W4891" s="411"/>
      <c r="X4891" s="34"/>
      <c r="Y4891" s="34"/>
    </row>
    <row r="4892" s="3" customFormat="1" customHeight="1" spans="1:25">
      <c r="A4892" s="11" t="s">
        <v>448</v>
      </c>
      <c r="B4892" s="11" t="s">
        <v>6300</v>
      </c>
      <c r="C4892" s="11" t="s">
        <v>3237</v>
      </c>
      <c r="D4892" s="35" t="s">
        <v>6301</v>
      </c>
      <c r="E4892" s="13" t="s">
        <v>6347</v>
      </c>
      <c r="F4892" s="11" t="s">
        <v>6348</v>
      </c>
      <c r="G4892" s="11" t="s">
        <v>31</v>
      </c>
      <c r="H4892" s="110" t="s">
        <v>6349</v>
      </c>
      <c r="I4892" s="30" t="e">
        <f>VLOOKUP(H4892,'合同高级查询数据-4月返'!A:A,1,FALSE)</f>
        <v>#N/A</v>
      </c>
      <c r="J4892" s="31" t="s">
        <v>1273</v>
      </c>
      <c r="K4892" s="11" t="s">
        <v>6391</v>
      </c>
      <c r="L4892" s="32" t="s">
        <v>6392</v>
      </c>
      <c r="M4892" s="113" t="s">
        <v>6399</v>
      </c>
      <c r="N4892" s="193" t="s">
        <v>1329</v>
      </c>
      <c r="O4892" s="110" t="s">
        <v>37</v>
      </c>
      <c r="P4892" s="465">
        <v>0</v>
      </c>
      <c r="Q4892" s="459">
        <v>768</v>
      </c>
      <c r="R4892" s="465">
        <f t="shared" si="158"/>
        <v>0</v>
      </c>
      <c r="S4892" s="31">
        <v>202304</v>
      </c>
      <c r="T4892" s="60" t="s">
        <v>6400</v>
      </c>
      <c r="U4892" s="411"/>
      <c r="V4892" s="438"/>
      <c r="W4892" s="438"/>
      <c r="X4892" s="34"/>
      <c r="Y4892" s="34"/>
    </row>
    <row r="4893" s="3" customFormat="1" customHeight="1" spans="1:25">
      <c r="A4893" s="11" t="s">
        <v>448</v>
      </c>
      <c r="B4893" s="11" t="s">
        <v>6300</v>
      </c>
      <c r="C4893" s="11" t="s">
        <v>3237</v>
      </c>
      <c r="D4893" s="35" t="s">
        <v>6301</v>
      </c>
      <c r="E4893" s="13" t="s">
        <v>6347</v>
      </c>
      <c r="F4893" s="11" t="s">
        <v>6348</v>
      </c>
      <c r="G4893" s="11" t="s">
        <v>31</v>
      </c>
      <c r="H4893" s="110" t="s">
        <v>6349</v>
      </c>
      <c r="I4893" s="30" t="e">
        <f>VLOOKUP(H4893,'合同高级查询数据-4月返'!A:A,1,FALSE)</f>
        <v>#N/A</v>
      </c>
      <c r="J4893" s="31" t="s">
        <v>1273</v>
      </c>
      <c r="K4893" s="11" t="s">
        <v>6391</v>
      </c>
      <c r="L4893" s="32" t="s">
        <v>6392</v>
      </c>
      <c r="M4893" s="113" t="s">
        <v>6399</v>
      </c>
      <c r="N4893" s="466">
        <v>44895</v>
      </c>
      <c r="O4893" s="110" t="s">
        <v>37</v>
      </c>
      <c r="P4893" s="465">
        <v>0</v>
      </c>
      <c r="Q4893" s="459">
        <v>-768</v>
      </c>
      <c r="R4893" s="465">
        <f t="shared" si="158"/>
        <v>0</v>
      </c>
      <c r="S4893" s="31">
        <v>202304</v>
      </c>
      <c r="T4893" s="60" t="s">
        <v>6398</v>
      </c>
      <c r="U4893" s="411"/>
      <c r="V4893" s="438"/>
      <c r="W4893" s="438"/>
      <c r="X4893" s="469"/>
      <c r="Y4893" s="469"/>
    </row>
    <row r="4894" s="3" customFormat="1" customHeight="1" spans="1:25">
      <c r="A4894" s="11" t="s">
        <v>448</v>
      </c>
      <c r="B4894" s="11" t="s">
        <v>6300</v>
      </c>
      <c r="C4894" s="11" t="s">
        <v>3237</v>
      </c>
      <c r="D4894" s="35" t="s">
        <v>6301</v>
      </c>
      <c r="E4894" s="13" t="s">
        <v>6347</v>
      </c>
      <c r="F4894" s="11" t="s">
        <v>6348</v>
      </c>
      <c r="G4894" s="11" t="s">
        <v>88</v>
      </c>
      <c r="H4894" s="110" t="s">
        <v>6349</v>
      </c>
      <c r="I4894" s="30" t="e">
        <f>VLOOKUP(H4894,'合同高级查询数据-4月返'!A:A,1,FALSE)</f>
        <v>#N/A</v>
      </c>
      <c r="J4894" s="31" t="s">
        <v>162</v>
      </c>
      <c r="K4894" s="11" t="s">
        <v>6401</v>
      </c>
      <c r="L4894" s="32"/>
      <c r="M4894" s="113" t="s">
        <v>6402</v>
      </c>
      <c r="N4894" s="193"/>
      <c r="O4894" s="110" t="s">
        <v>6352</v>
      </c>
      <c r="P4894" s="465">
        <v>4300</v>
      </c>
      <c r="Q4894" s="459">
        <v>23</v>
      </c>
      <c r="R4894" s="465">
        <f t="shared" si="158"/>
        <v>98900</v>
      </c>
      <c r="S4894" s="31">
        <v>202304</v>
      </c>
      <c r="T4894" s="60"/>
      <c r="U4894" s="411"/>
      <c r="V4894" s="411"/>
      <c r="W4894" s="411"/>
      <c r="X4894" s="34"/>
      <c r="Y4894" s="34"/>
    </row>
    <row r="4895" s="3" customFormat="1" customHeight="1" spans="1:25">
      <c r="A4895" s="11" t="s">
        <v>448</v>
      </c>
      <c r="B4895" s="11" t="s">
        <v>6300</v>
      </c>
      <c r="C4895" s="11" t="s">
        <v>3237</v>
      </c>
      <c r="D4895" s="35" t="s">
        <v>6301</v>
      </c>
      <c r="E4895" s="13" t="s">
        <v>6347</v>
      </c>
      <c r="F4895" s="11" t="s">
        <v>6348</v>
      </c>
      <c r="G4895" s="11" t="s">
        <v>88</v>
      </c>
      <c r="H4895" s="110" t="s">
        <v>6349</v>
      </c>
      <c r="I4895" s="30" t="e">
        <f>VLOOKUP(H4895,'合同高级查询数据-4月返'!A:A,1,FALSE)</f>
        <v>#N/A</v>
      </c>
      <c r="J4895" s="31" t="s">
        <v>162</v>
      </c>
      <c r="K4895" s="11" t="s">
        <v>6401</v>
      </c>
      <c r="L4895" s="32"/>
      <c r="M4895" s="113" t="s">
        <v>6402</v>
      </c>
      <c r="N4895" s="193">
        <v>43670</v>
      </c>
      <c r="O4895" s="466" t="s">
        <v>6352</v>
      </c>
      <c r="P4895" s="465">
        <v>4300</v>
      </c>
      <c r="Q4895" s="459">
        <v>1</v>
      </c>
      <c r="R4895" s="465">
        <f t="shared" si="158"/>
        <v>4300</v>
      </c>
      <c r="S4895" s="31">
        <v>202304</v>
      </c>
      <c r="T4895" s="60" t="s">
        <v>6403</v>
      </c>
      <c r="U4895" s="411"/>
      <c r="V4895" s="411"/>
      <c r="W4895" s="411"/>
      <c r="X4895" s="34"/>
      <c r="Y4895" s="34"/>
    </row>
    <row r="4896" s="3" customFormat="1" customHeight="1" spans="1:25">
      <c r="A4896" s="11" t="s">
        <v>448</v>
      </c>
      <c r="B4896" s="11" t="s">
        <v>6300</v>
      </c>
      <c r="C4896" s="11" t="s">
        <v>3237</v>
      </c>
      <c r="D4896" s="35" t="s">
        <v>6301</v>
      </c>
      <c r="E4896" s="13" t="s">
        <v>6347</v>
      </c>
      <c r="F4896" s="11" t="s">
        <v>6348</v>
      </c>
      <c r="G4896" s="11" t="s">
        <v>88</v>
      </c>
      <c r="H4896" s="110" t="s">
        <v>6349</v>
      </c>
      <c r="I4896" s="30" t="e">
        <f>VLOOKUP(H4896,'合同高级查询数据-4月返'!A:A,1,FALSE)</f>
        <v>#N/A</v>
      </c>
      <c r="J4896" s="31" t="s">
        <v>162</v>
      </c>
      <c r="K4896" s="11" t="s">
        <v>6401</v>
      </c>
      <c r="L4896" s="32"/>
      <c r="M4896" s="113" t="s">
        <v>6402</v>
      </c>
      <c r="N4896" s="466">
        <v>43669</v>
      </c>
      <c r="O4896" s="31" t="s">
        <v>6352</v>
      </c>
      <c r="P4896" s="465">
        <v>4300</v>
      </c>
      <c r="Q4896" s="459">
        <v>-6</v>
      </c>
      <c r="R4896" s="465">
        <f t="shared" si="158"/>
        <v>-25800</v>
      </c>
      <c r="S4896" s="31">
        <v>202304</v>
      </c>
      <c r="T4896" s="60" t="s">
        <v>6404</v>
      </c>
      <c r="U4896" s="411"/>
      <c r="V4896" s="411"/>
      <c r="W4896" s="411"/>
      <c r="X4896" s="34"/>
      <c r="Y4896" s="34"/>
    </row>
    <row r="4897" s="3" customFormat="1" customHeight="1" spans="1:25">
      <c r="A4897" s="11" t="s">
        <v>448</v>
      </c>
      <c r="B4897" s="11" t="s">
        <v>6300</v>
      </c>
      <c r="C4897" s="11" t="s">
        <v>3237</v>
      </c>
      <c r="D4897" s="35" t="s">
        <v>6301</v>
      </c>
      <c r="E4897" s="13" t="s">
        <v>6347</v>
      </c>
      <c r="F4897" s="11" t="s">
        <v>6348</v>
      </c>
      <c r="G4897" s="11" t="s">
        <v>88</v>
      </c>
      <c r="H4897" s="110" t="s">
        <v>6349</v>
      </c>
      <c r="I4897" s="30" t="e">
        <f>VLOOKUP(H4897,'合同高级查询数据-4月返'!A:A,1,FALSE)</f>
        <v>#N/A</v>
      </c>
      <c r="J4897" s="31" t="s">
        <v>162</v>
      </c>
      <c r="K4897" s="11" t="s">
        <v>6401</v>
      </c>
      <c r="L4897" s="32"/>
      <c r="M4897" s="113" t="s">
        <v>6402</v>
      </c>
      <c r="N4897" s="193"/>
      <c r="O4897" s="110" t="s">
        <v>6352</v>
      </c>
      <c r="P4897" s="465">
        <v>4300</v>
      </c>
      <c r="Q4897" s="459">
        <v>4</v>
      </c>
      <c r="R4897" s="465">
        <f t="shared" si="158"/>
        <v>17200</v>
      </c>
      <c r="S4897" s="31">
        <v>202304</v>
      </c>
      <c r="T4897" s="60" t="s">
        <v>6405</v>
      </c>
      <c r="U4897" s="411"/>
      <c r="V4897" s="411"/>
      <c r="W4897" s="411"/>
      <c r="X4897" s="34"/>
      <c r="Y4897" s="34"/>
    </row>
    <row r="4898" s="3" customFormat="1" customHeight="1" spans="1:25">
      <c r="A4898" s="11" t="s">
        <v>448</v>
      </c>
      <c r="B4898" s="11" t="s">
        <v>6300</v>
      </c>
      <c r="C4898" s="11" t="s">
        <v>3237</v>
      </c>
      <c r="D4898" s="35" t="s">
        <v>6301</v>
      </c>
      <c r="E4898" s="13" t="s">
        <v>6347</v>
      </c>
      <c r="F4898" s="11" t="s">
        <v>6348</v>
      </c>
      <c r="G4898" s="11" t="s">
        <v>88</v>
      </c>
      <c r="H4898" s="110" t="s">
        <v>6349</v>
      </c>
      <c r="I4898" s="30" t="e">
        <f>VLOOKUP(H4898,'合同高级查询数据-4月返'!A:A,1,FALSE)</f>
        <v>#N/A</v>
      </c>
      <c r="J4898" s="31" t="s">
        <v>162</v>
      </c>
      <c r="K4898" s="11" t="s">
        <v>6401</v>
      </c>
      <c r="L4898" s="32"/>
      <c r="M4898" s="113" t="s">
        <v>6402</v>
      </c>
      <c r="N4898" s="193">
        <v>43799</v>
      </c>
      <c r="O4898" s="110" t="s">
        <v>6352</v>
      </c>
      <c r="P4898" s="465">
        <v>4300</v>
      </c>
      <c r="Q4898" s="459">
        <v>-10</v>
      </c>
      <c r="R4898" s="465">
        <f t="shared" si="158"/>
        <v>-43000</v>
      </c>
      <c r="S4898" s="31">
        <v>202304</v>
      </c>
      <c r="T4898" s="60" t="s">
        <v>6406</v>
      </c>
      <c r="U4898" s="411"/>
      <c r="V4898" s="411"/>
      <c r="W4898" s="411"/>
      <c r="X4898" s="34"/>
      <c r="Y4898" s="34"/>
    </row>
    <row r="4899" s="3" customFormat="1" customHeight="1" spans="1:25">
      <c r="A4899" s="11" t="s">
        <v>448</v>
      </c>
      <c r="B4899" s="11" t="s">
        <v>6300</v>
      </c>
      <c r="C4899" s="11" t="s">
        <v>3237</v>
      </c>
      <c r="D4899" s="35" t="s">
        <v>6301</v>
      </c>
      <c r="E4899" s="13" t="s">
        <v>6347</v>
      </c>
      <c r="F4899" s="11" t="s">
        <v>6348</v>
      </c>
      <c r="G4899" s="11" t="s">
        <v>88</v>
      </c>
      <c r="H4899" s="110" t="s">
        <v>6349</v>
      </c>
      <c r="I4899" s="30" t="e">
        <f>VLOOKUP(H4899,'合同高级查询数据-4月返'!A:A,1,FALSE)</f>
        <v>#N/A</v>
      </c>
      <c r="J4899" s="31" t="s">
        <v>162</v>
      </c>
      <c r="K4899" s="11" t="s">
        <v>6401</v>
      </c>
      <c r="L4899" s="32"/>
      <c r="M4899" s="113" t="s">
        <v>6402</v>
      </c>
      <c r="N4899" s="193">
        <v>43931</v>
      </c>
      <c r="O4899" s="110" t="s">
        <v>6352</v>
      </c>
      <c r="P4899" s="465">
        <v>4300</v>
      </c>
      <c r="Q4899" s="459">
        <v>-3</v>
      </c>
      <c r="R4899" s="465">
        <f t="shared" si="158"/>
        <v>-12900</v>
      </c>
      <c r="S4899" s="31">
        <v>202304</v>
      </c>
      <c r="T4899" s="60" t="s">
        <v>6407</v>
      </c>
      <c r="U4899" s="411"/>
      <c r="V4899" s="411"/>
      <c r="W4899" s="411"/>
      <c r="X4899" s="34"/>
      <c r="Y4899" s="34"/>
    </row>
    <row r="4900" s="3" customFormat="1" customHeight="1" spans="1:25">
      <c r="A4900" s="11" t="s">
        <v>448</v>
      </c>
      <c r="B4900" s="11" t="s">
        <v>6300</v>
      </c>
      <c r="C4900" s="11" t="s">
        <v>3237</v>
      </c>
      <c r="D4900" s="35" t="s">
        <v>6301</v>
      </c>
      <c r="E4900" s="13" t="s">
        <v>6347</v>
      </c>
      <c r="F4900" s="11" t="s">
        <v>6348</v>
      </c>
      <c r="G4900" s="11" t="s">
        <v>88</v>
      </c>
      <c r="H4900" s="110" t="s">
        <v>6349</v>
      </c>
      <c r="I4900" s="30" t="e">
        <f>VLOOKUP(H4900,'合同高级查询数据-4月返'!A:A,1,FALSE)</f>
        <v>#N/A</v>
      </c>
      <c r="J4900" s="31" t="s">
        <v>162</v>
      </c>
      <c r="K4900" s="11" t="s">
        <v>6401</v>
      </c>
      <c r="L4900" s="32"/>
      <c r="M4900" s="113" t="s">
        <v>6402</v>
      </c>
      <c r="N4900" s="193">
        <v>44286</v>
      </c>
      <c r="O4900" s="110" t="s">
        <v>6352</v>
      </c>
      <c r="P4900" s="465">
        <v>4300</v>
      </c>
      <c r="Q4900" s="459">
        <v>-3</v>
      </c>
      <c r="R4900" s="465">
        <f t="shared" si="158"/>
        <v>-12900</v>
      </c>
      <c r="S4900" s="31">
        <v>202304</v>
      </c>
      <c r="T4900" s="60" t="s">
        <v>6408</v>
      </c>
      <c r="U4900" s="411"/>
      <c r="V4900" s="411"/>
      <c r="W4900" s="411"/>
      <c r="X4900" s="34"/>
      <c r="Y4900" s="34"/>
    </row>
    <row r="4901" s="3" customFormat="1" customHeight="1" spans="1:25">
      <c r="A4901" s="11" t="s">
        <v>448</v>
      </c>
      <c r="B4901" s="11" t="s">
        <v>6300</v>
      </c>
      <c r="C4901" s="11" t="s">
        <v>3237</v>
      </c>
      <c r="D4901" s="35" t="s">
        <v>6301</v>
      </c>
      <c r="E4901" s="13" t="s">
        <v>6347</v>
      </c>
      <c r="F4901" s="11" t="s">
        <v>6348</v>
      </c>
      <c r="G4901" s="11" t="s">
        <v>88</v>
      </c>
      <c r="H4901" s="110" t="s">
        <v>6349</v>
      </c>
      <c r="I4901" s="30" t="e">
        <f>VLOOKUP(H4901,'合同高级查询数据-4月返'!A:A,1,FALSE)</f>
        <v>#N/A</v>
      </c>
      <c r="J4901" s="31" t="s">
        <v>162</v>
      </c>
      <c r="K4901" s="11" t="s">
        <v>6409</v>
      </c>
      <c r="L4901" s="11" t="s">
        <v>6409</v>
      </c>
      <c r="M4901" s="113" t="s">
        <v>6402</v>
      </c>
      <c r="N4901" s="193">
        <v>44303</v>
      </c>
      <c r="O4901" s="110" t="s">
        <v>92</v>
      </c>
      <c r="P4901" s="465">
        <v>4300</v>
      </c>
      <c r="Q4901" s="459">
        <v>2</v>
      </c>
      <c r="R4901" s="465">
        <f t="shared" si="158"/>
        <v>8600</v>
      </c>
      <c r="S4901" s="31">
        <v>202304</v>
      </c>
      <c r="T4901" s="60" t="s">
        <v>6410</v>
      </c>
      <c r="U4901" s="411"/>
      <c r="V4901" s="411"/>
      <c r="W4901" s="411"/>
      <c r="X4901" s="34"/>
      <c r="Y4901" s="34"/>
    </row>
    <row r="4902" s="3" customFormat="1" customHeight="1" spans="1:25">
      <c r="A4902" s="11" t="s">
        <v>448</v>
      </c>
      <c r="B4902" s="11" t="s">
        <v>6300</v>
      </c>
      <c r="C4902" s="11" t="s">
        <v>3237</v>
      </c>
      <c r="D4902" s="35" t="s">
        <v>6301</v>
      </c>
      <c r="E4902" s="13" t="s">
        <v>6347</v>
      </c>
      <c r="F4902" s="11" t="s">
        <v>6348</v>
      </c>
      <c r="G4902" s="11" t="s">
        <v>88</v>
      </c>
      <c r="H4902" s="110" t="s">
        <v>6349</v>
      </c>
      <c r="I4902" s="30" t="e">
        <f>VLOOKUP(H4902,'合同高级查询数据-4月返'!A:A,1,FALSE)</f>
        <v>#N/A</v>
      </c>
      <c r="J4902" s="31" t="s">
        <v>162</v>
      </c>
      <c r="K4902" s="11" t="s">
        <v>6409</v>
      </c>
      <c r="L4902" s="11" t="s">
        <v>6409</v>
      </c>
      <c r="M4902" s="113" t="s">
        <v>6402</v>
      </c>
      <c r="N4902" s="193">
        <v>44573</v>
      </c>
      <c r="O4902" s="466" t="s">
        <v>6352</v>
      </c>
      <c r="P4902" s="465">
        <v>4300</v>
      </c>
      <c r="Q4902" s="459">
        <v>1</v>
      </c>
      <c r="R4902" s="465">
        <f t="shared" si="158"/>
        <v>4300</v>
      </c>
      <c r="S4902" s="31">
        <v>202304</v>
      </c>
      <c r="T4902" s="60" t="s">
        <v>6411</v>
      </c>
      <c r="U4902" s="411"/>
      <c r="V4902" s="411"/>
      <c r="W4902" s="411"/>
      <c r="X4902" s="34"/>
      <c r="Y4902" s="34"/>
    </row>
    <row r="4903" s="3" customFormat="1" customHeight="1" spans="1:25">
      <c r="A4903" s="11" t="s">
        <v>448</v>
      </c>
      <c r="B4903" s="11" t="s">
        <v>6300</v>
      </c>
      <c r="C4903" s="11" t="s">
        <v>3237</v>
      </c>
      <c r="D4903" s="35" t="s">
        <v>6301</v>
      </c>
      <c r="E4903" s="13" t="s">
        <v>6347</v>
      </c>
      <c r="F4903" s="11" t="s">
        <v>6348</v>
      </c>
      <c r="G4903" s="11" t="s">
        <v>31</v>
      </c>
      <c r="H4903" s="110" t="s">
        <v>6349</v>
      </c>
      <c r="I4903" s="30" t="e">
        <f>VLOOKUP(H4903,'合同高级查询数据-4月返'!A:A,1,FALSE)</f>
        <v>#N/A</v>
      </c>
      <c r="J4903" s="31" t="s">
        <v>33</v>
      </c>
      <c r="K4903" s="11" t="s">
        <v>6409</v>
      </c>
      <c r="L4903" s="11" t="s">
        <v>6409</v>
      </c>
      <c r="M4903" s="113" t="s">
        <v>6402</v>
      </c>
      <c r="N4903" s="193" t="s">
        <v>1329</v>
      </c>
      <c r="O4903" s="31" t="s">
        <v>37</v>
      </c>
      <c r="P4903" s="465">
        <v>0</v>
      </c>
      <c r="Q4903" s="459">
        <v>288</v>
      </c>
      <c r="R4903" s="465">
        <f t="shared" si="158"/>
        <v>0</v>
      </c>
      <c r="S4903" s="31">
        <v>202304</v>
      </c>
      <c r="T4903" s="60" t="s">
        <v>6412</v>
      </c>
      <c r="U4903" s="411"/>
      <c r="V4903" s="411"/>
      <c r="W4903" s="438"/>
      <c r="X4903" s="34"/>
      <c r="Y4903" s="34"/>
    </row>
    <row r="4904" s="3" customFormat="1" customHeight="1" spans="1:25">
      <c r="A4904" s="11" t="s">
        <v>448</v>
      </c>
      <c r="B4904" s="11" t="s">
        <v>6300</v>
      </c>
      <c r="C4904" s="11" t="s">
        <v>3237</v>
      </c>
      <c r="D4904" s="35" t="s">
        <v>6301</v>
      </c>
      <c r="E4904" s="13" t="s">
        <v>6347</v>
      </c>
      <c r="F4904" s="11" t="s">
        <v>6348</v>
      </c>
      <c r="G4904" s="11" t="s">
        <v>31</v>
      </c>
      <c r="H4904" s="110" t="s">
        <v>6349</v>
      </c>
      <c r="I4904" s="30" t="e">
        <f>VLOOKUP(H4904,'合同高级查询数据-4月返'!A:A,1,FALSE)</f>
        <v>#N/A</v>
      </c>
      <c r="J4904" s="31" t="s">
        <v>33</v>
      </c>
      <c r="K4904" s="11" t="s">
        <v>6409</v>
      </c>
      <c r="L4904" s="11" t="s">
        <v>6409</v>
      </c>
      <c r="M4904" s="113" t="s">
        <v>6402</v>
      </c>
      <c r="N4904" s="193" t="s">
        <v>1329</v>
      </c>
      <c r="O4904" s="31" t="s">
        <v>37</v>
      </c>
      <c r="P4904" s="465">
        <v>0</v>
      </c>
      <c r="Q4904" s="459">
        <v>384</v>
      </c>
      <c r="R4904" s="465">
        <f t="shared" si="158"/>
        <v>0</v>
      </c>
      <c r="S4904" s="31">
        <v>202304</v>
      </c>
      <c r="T4904" s="60" t="s">
        <v>6413</v>
      </c>
      <c r="U4904" s="411"/>
      <c r="V4904" s="438"/>
      <c r="W4904" s="438"/>
      <c r="X4904" s="34"/>
      <c r="Y4904" s="34"/>
    </row>
    <row r="4905" s="3" customFormat="1" customHeight="1" spans="1:25">
      <c r="A4905" s="11" t="s">
        <v>448</v>
      </c>
      <c r="B4905" s="11" t="s">
        <v>6300</v>
      </c>
      <c r="C4905" s="11" t="s">
        <v>3237</v>
      </c>
      <c r="D4905" s="35" t="s">
        <v>6301</v>
      </c>
      <c r="E4905" s="13" t="s">
        <v>6347</v>
      </c>
      <c r="F4905" s="11" t="s">
        <v>6348</v>
      </c>
      <c r="G4905" s="11" t="s">
        <v>31</v>
      </c>
      <c r="H4905" s="110" t="s">
        <v>6349</v>
      </c>
      <c r="I4905" s="30" t="e">
        <f>VLOOKUP(H4905,'合同高级查询数据-4月返'!A:A,1,FALSE)</f>
        <v>#N/A</v>
      </c>
      <c r="J4905" s="31" t="s">
        <v>33</v>
      </c>
      <c r="K4905" s="11" t="s">
        <v>6409</v>
      </c>
      <c r="L4905" s="11" t="s">
        <v>6409</v>
      </c>
      <c r="M4905" s="113" t="s">
        <v>6402</v>
      </c>
      <c r="N4905" s="193">
        <v>44303</v>
      </c>
      <c r="O4905" s="31" t="s">
        <v>37</v>
      </c>
      <c r="P4905" s="465">
        <v>0</v>
      </c>
      <c r="Q4905" s="459">
        <v>256</v>
      </c>
      <c r="R4905" s="465">
        <f t="shared" si="158"/>
        <v>0</v>
      </c>
      <c r="S4905" s="31">
        <v>202304</v>
      </c>
      <c r="T4905" s="60" t="s">
        <v>6414</v>
      </c>
      <c r="U4905" s="411"/>
      <c r="V4905" s="411"/>
      <c r="W4905" s="411"/>
      <c r="X4905" s="34"/>
      <c r="Y4905" s="34"/>
    </row>
    <row r="4906" s="3" customFormat="1" customHeight="1" spans="1:25">
      <c r="A4906" s="11" t="s">
        <v>448</v>
      </c>
      <c r="B4906" s="11" t="s">
        <v>6300</v>
      </c>
      <c r="C4906" s="11" t="s">
        <v>3237</v>
      </c>
      <c r="D4906" s="35" t="s">
        <v>6301</v>
      </c>
      <c r="E4906" s="13" t="s">
        <v>6347</v>
      </c>
      <c r="F4906" s="11" t="s">
        <v>6348</v>
      </c>
      <c r="G4906" s="11" t="s">
        <v>31</v>
      </c>
      <c r="H4906" s="110" t="s">
        <v>6349</v>
      </c>
      <c r="I4906" s="30" t="e">
        <f>VLOOKUP(H4906,'合同高级查询数据-4月返'!A:A,1,FALSE)</f>
        <v>#N/A</v>
      </c>
      <c r="J4906" s="31" t="s">
        <v>33</v>
      </c>
      <c r="K4906" s="11" t="s">
        <v>6409</v>
      </c>
      <c r="L4906" s="11" t="s">
        <v>6409</v>
      </c>
      <c r="M4906" s="113" t="s">
        <v>6402</v>
      </c>
      <c r="N4906" s="193">
        <v>44580</v>
      </c>
      <c r="O4906" s="31" t="s">
        <v>37</v>
      </c>
      <c r="P4906" s="465">
        <v>0</v>
      </c>
      <c r="Q4906" s="459">
        <v>128</v>
      </c>
      <c r="R4906" s="465">
        <f t="shared" si="158"/>
        <v>0</v>
      </c>
      <c r="S4906" s="31">
        <v>202304</v>
      </c>
      <c r="T4906" s="60" t="s">
        <v>6415</v>
      </c>
      <c r="U4906" s="411"/>
      <c r="V4906" s="411"/>
      <c r="W4906" s="411"/>
      <c r="X4906" s="34"/>
      <c r="Y4906" s="34"/>
    </row>
    <row r="4907" s="3" customFormat="1" customHeight="1" spans="1:25">
      <c r="A4907" s="11" t="s">
        <v>448</v>
      </c>
      <c r="B4907" s="11" t="s">
        <v>6300</v>
      </c>
      <c r="C4907" s="11" t="s">
        <v>3237</v>
      </c>
      <c r="D4907" s="35" t="s">
        <v>6301</v>
      </c>
      <c r="E4907" s="13" t="s">
        <v>6347</v>
      </c>
      <c r="F4907" s="11" t="s">
        <v>6348</v>
      </c>
      <c r="G4907" s="11" t="s">
        <v>31</v>
      </c>
      <c r="H4907" s="110" t="s">
        <v>6349</v>
      </c>
      <c r="I4907" s="30" t="e">
        <f>VLOOKUP(H4907,'合同高级查询数据-4月返'!A:A,1,FALSE)</f>
        <v>#N/A</v>
      </c>
      <c r="J4907" s="31" t="s">
        <v>497</v>
      </c>
      <c r="K4907" s="32"/>
      <c r="L4907" s="32" t="s">
        <v>6416</v>
      </c>
      <c r="M4907" s="113" t="s">
        <v>6417</v>
      </c>
      <c r="N4907" s="466">
        <v>44505</v>
      </c>
      <c r="O4907" s="31" t="s">
        <v>37</v>
      </c>
      <c r="P4907" s="465">
        <v>0</v>
      </c>
      <c r="Q4907" s="459">
        <v>512</v>
      </c>
      <c r="R4907" s="465">
        <f t="shared" si="158"/>
        <v>0</v>
      </c>
      <c r="S4907" s="31">
        <v>202304</v>
      </c>
      <c r="T4907" s="60" t="s">
        <v>6418</v>
      </c>
      <c r="U4907" s="411"/>
      <c r="V4907" s="411"/>
      <c r="W4907" s="411"/>
      <c r="X4907" s="34"/>
      <c r="Y4907" s="34"/>
    </row>
    <row r="4908" s="3" customFormat="1" customHeight="1" spans="1:25">
      <c r="A4908" s="11" t="s">
        <v>448</v>
      </c>
      <c r="B4908" s="11" t="s">
        <v>6300</v>
      </c>
      <c r="C4908" s="11" t="s">
        <v>3237</v>
      </c>
      <c r="D4908" s="35" t="s">
        <v>6301</v>
      </c>
      <c r="E4908" s="13" t="s">
        <v>6347</v>
      </c>
      <c r="F4908" s="11" t="s">
        <v>6348</v>
      </c>
      <c r="G4908" s="11" t="s">
        <v>31</v>
      </c>
      <c r="H4908" s="110" t="s">
        <v>6349</v>
      </c>
      <c r="I4908" s="30" t="e">
        <f>VLOOKUP(H4908,'合同高级查询数据-4月返'!A:A,1,FALSE)</f>
        <v>#N/A</v>
      </c>
      <c r="J4908" s="31" t="s">
        <v>33</v>
      </c>
      <c r="K4908" s="32"/>
      <c r="L4908" s="32" t="s">
        <v>6416</v>
      </c>
      <c r="M4908" s="113" t="s">
        <v>6417</v>
      </c>
      <c r="N4908" s="466">
        <v>44505</v>
      </c>
      <c r="O4908" s="31" t="s">
        <v>37</v>
      </c>
      <c r="P4908" s="465">
        <v>0</v>
      </c>
      <c r="Q4908" s="459">
        <v>288</v>
      </c>
      <c r="R4908" s="465">
        <f t="shared" si="158"/>
        <v>0</v>
      </c>
      <c r="S4908" s="31">
        <v>202304</v>
      </c>
      <c r="T4908" s="60" t="s">
        <v>6419</v>
      </c>
      <c r="U4908" s="411"/>
      <c r="V4908" s="411"/>
      <c r="W4908" s="411"/>
      <c r="X4908" s="34"/>
      <c r="Y4908" s="34"/>
    </row>
    <row r="4909" s="3" customFormat="1" customHeight="1" spans="1:25">
      <c r="A4909" s="11" t="s">
        <v>448</v>
      </c>
      <c r="B4909" s="11" t="s">
        <v>6300</v>
      </c>
      <c r="C4909" s="11" t="s">
        <v>3237</v>
      </c>
      <c r="D4909" s="35" t="s">
        <v>6301</v>
      </c>
      <c r="E4909" s="13" t="s">
        <v>6347</v>
      </c>
      <c r="F4909" s="11" t="s">
        <v>6348</v>
      </c>
      <c r="G4909" s="11" t="s">
        <v>31</v>
      </c>
      <c r="H4909" s="110" t="s">
        <v>6349</v>
      </c>
      <c r="I4909" s="30" t="e">
        <f>VLOOKUP(H4909,'合同高级查询数据-4月返'!A:A,1,FALSE)</f>
        <v>#N/A</v>
      </c>
      <c r="J4909" s="31" t="s">
        <v>497</v>
      </c>
      <c r="K4909" s="32"/>
      <c r="L4909" s="32" t="s">
        <v>6416</v>
      </c>
      <c r="M4909" s="113" t="s">
        <v>6417</v>
      </c>
      <c r="N4909" s="466">
        <v>44687</v>
      </c>
      <c r="O4909" s="31" t="s">
        <v>37</v>
      </c>
      <c r="P4909" s="465">
        <v>0</v>
      </c>
      <c r="Q4909" s="459">
        <v>256</v>
      </c>
      <c r="R4909" s="465">
        <f t="shared" si="158"/>
        <v>0</v>
      </c>
      <c r="S4909" s="31">
        <v>202304</v>
      </c>
      <c r="T4909" s="60" t="s">
        <v>6420</v>
      </c>
      <c r="U4909" s="411"/>
      <c r="V4909" s="411"/>
      <c r="W4909" s="411"/>
      <c r="X4909" s="34"/>
      <c r="Y4909" s="34"/>
    </row>
    <row r="4910" s="3" customFormat="1" customHeight="1" spans="1:25">
      <c r="A4910" s="11" t="s">
        <v>448</v>
      </c>
      <c r="B4910" s="11" t="s">
        <v>6300</v>
      </c>
      <c r="C4910" s="11" t="s">
        <v>3237</v>
      </c>
      <c r="D4910" s="35" t="s">
        <v>6301</v>
      </c>
      <c r="E4910" s="13" t="s">
        <v>6347</v>
      </c>
      <c r="F4910" s="11" t="s">
        <v>6348</v>
      </c>
      <c r="G4910" s="11" t="s">
        <v>31</v>
      </c>
      <c r="H4910" s="110" t="s">
        <v>6349</v>
      </c>
      <c r="I4910" s="30" t="e">
        <f>VLOOKUP(H4910,'合同高级查询数据-4月返'!A:A,1,FALSE)</f>
        <v>#N/A</v>
      </c>
      <c r="J4910" s="31" t="s">
        <v>497</v>
      </c>
      <c r="K4910" s="32"/>
      <c r="L4910" s="32" t="s">
        <v>6416</v>
      </c>
      <c r="M4910" s="113" t="s">
        <v>6417</v>
      </c>
      <c r="N4910" s="466">
        <v>44927</v>
      </c>
      <c r="O4910" s="31" t="s">
        <v>37</v>
      </c>
      <c r="P4910" s="465">
        <v>0</v>
      </c>
      <c r="Q4910" s="459">
        <v>1024</v>
      </c>
      <c r="R4910" s="465">
        <f t="shared" si="158"/>
        <v>0</v>
      </c>
      <c r="S4910" s="31">
        <v>202304</v>
      </c>
      <c r="T4910" s="60" t="s">
        <v>6421</v>
      </c>
      <c r="U4910" s="411"/>
      <c r="V4910" s="411"/>
      <c r="W4910" s="411"/>
      <c r="X4910" s="34"/>
      <c r="Y4910" s="34"/>
    </row>
    <row r="4911" s="3" customFormat="1" customHeight="1" spans="1:25">
      <c r="A4911" s="11" t="s">
        <v>448</v>
      </c>
      <c r="B4911" s="11" t="s">
        <v>6300</v>
      </c>
      <c r="C4911" s="11" t="s">
        <v>3237</v>
      </c>
      <c r="D4911" s="35" t="s">
        <v>6301</v>
      </c>
      <c r="E4911" s="13" t="s">
        <v>6347</v>
      </c>
      <c r="F4911" s="11" t="s">
        <v>6348</v>
      </c>
      <c r="G4911" s="11" t="s">
        <v>31</v>
      </c>
      <c r="H4911" s="110" t="s">
        <v>6349</v>
      </c>
      <c r="I4911" s="30" t="e">
        <f>VLOOKUP(H4911,'合同高级查询数据-4月返'!A:A,1,FALSE)</f>
        <v>#N/A</v>
      </c>
      <c r="J4911" s="31" t="s">
        <v>33</v>
      </c>
      <c r="K4911" s="32"/>
      <c r="L4911" s="32" t="s">
        <v>6416</v>
      </c>
      <c r="M4911" s="113" t="s">
        <v>6417</v>
      </c>
      <c r="N4911" s="466">
        <v>45046</v>
      </c>
      <c r="O4911" s="31" t="s">
        <v>37</v>
      </c>
      <c r="P4911" s="465">
        <v>0</v>
      </c>
      <c r="Q4911" s="459">
        <v>-288</v>
      </c>
      <c r="R4911" s="465">
        <f t="shared" si="158"/>
        <v>0</v>
      </c>
      <c r="S4911" s="31">
        <v>202304</v>
      </c>
      <c r="T4911" s="60" t="s">
        <v>6422</v>
      </c>
      <c r="U4911" s="411"/>
      <c r="V4911" s="411"/>
      <c r="W4911" s="411"/>
      <c r="X4911" s="34"/>
      <c r="Y4911" s="34"/>
    </row>
    <row r="4912" s="3" customFormat="1" customHeight="1" spans="1:25">
      <c r="A4912" s="11" t="s">
        <v>448</v>
      </c>
      <c r="B4912" s="11" t="s">
        <v>6300</v>
      </c>
      <c r="C4912" s="11" t="s">
        <v>3237</v>
      </c>
      <c r="D4912" s="35" t="s">
        <v>6301</v>
      </c>
      <c r="E4912" s="13" t="s">
        <v>6347</v>
      </c>
      <c r="F4912" s="11" t="s">
        <v>6348</v>
      </c>
      <c r="G4912" s="11" t="s">
        <v>31</v>
      </c>
      <c r="H4912" s="110" t="s">
        <v>6349</v>
      </c>
      <c r="I4912" s="30" t="e">
        <f>VLOOKUP(H4912,'合同高级查询数据-4月返'!A:A,1,FALSE)</f>
        <v>#N/A</v>
      </c>
      <c r="J4912" s="31" t="s">
        <v>497</v>
      </c>
      <c r="K4912" s="32"/>
      <c r="L4912" s="32" t="s">
        <v>6416</v>
      </c>
      <c r="M4912" s="113" t="s">
        <v>6417</v>
      </c>
      <c r="N4912" s="466">
        <v>45047</v>
      </c>
      <c r="O4912" s="31" t="s">
        <v>37</v>
      </c>
      <c r="P4912" s="465">
        <v>0</v>
      </c>
      <c r="Q4912" s="459">
        <v>288</v>
      </c>
      <c r="R4912" s="465">
        <f t="shared" si="158"/>
        <v>0</v>
      </c>
      <c r="S4912" s="31">
        <v>202304</v>
      </c>
      <c r="T4912" s="60" t="s">
        <v>6423</v>
      </c>
      <c r="U4912" s="411"/>
      <c r="V4912" s="411"/>
      <c r="W4912" s="411"/>
      <c r="X4912" s="34"/>
      <c r="Y4912" s="34"/>
    </row>
    <row r="4913" s="3" customFormat="1" customHeight="1" spans="1:25">
      <c r="A4913" s="11" t="s">
        <v>448</v>
      </c>
      <c r="B4913" s="11" t="s">
        <v>6300</v>
      </c>
      <c r="C4913" s="11" t="s">
        <v>3237</v>
      </c>
      <c r="D4913" s="35" t="s">
        <v>6301</v>
      </c>
      <c r="E4913" s="13" t="s">
        <v>6347</v>
      </c>
      <c r="F4913" s="11" t="s">
        <v>6348</v>
      </c>
      <c r="G4913" s="11" t="s">
        <v>88</v>
      </c>
      <c r="H4913" s="110" t="s">
        <v>6424</v>
      </c>
      <c r="I4913" s="30" t="e">
        <f>VLOOKUP(H4913,'合同高级查询数据-4月返'!A:A,1,FALSE)</f>
        <v>#N/A</v>
      </c>
      <c r="J4913" s="31" t="s">
        <v>3488</v>
      </c>
      <c r="K4913" s="11" t="s">
        <v>6425</v>
      </c>
      <c r="L4913" s="32"/>
      <c r="M4913" s="113" t="s">
        <v>6417</v>
      </c>
      <c r="N4913" s="466" t="s">
        <v>6426</v>
      </c>
      <c r="O4913" s="31" t="s">
        <v>503</v>
      </c>
      <c r="P4913" s="465">
        <v>4800</v>
      </c>
      <c r="Q4913" s="459">
        <v>2204</v>
      </c>
      <c r="R4913" s="465">
        <f t="shared" si="158"/>
        <v>10579200</v>
      </c>
      <c r="S4913" s="31">
        <v>202304</v>
      </c>
      <c r="T4913" s="60" t="s">
        <v>6427</v>
      </c>
      <c r="U4913" s="411"/>
      <c r="V4913" s="411"/>
      <c r="W4913" s="411"/>
      <c r="X4913" s="111"/>
      <c r="Y4913" s="111"/>
    </row>
    <row r="4914" s="3" customFormat="1" customHeight="1" spans="1:25">
      <c r="A4914" s="11" t="s">
        <v>448</v>
      </c>
      <c r="B4914" s="11" t="s">
        <v>6300</v>
      </c>
      <c r="C4914" s="11" t="s">
        <v>3237</v>
      </c>
      <c r="D4914" s="35" t="s">
        <v>6301</v>
      </c>
      <c r="E4914" s="13" t="s">
        <v>6347</v>
      </c>
      <c r="F4914" s="11" t="s">
        <v>6348</v>
      </c>
      <c r="G4914" s="11" t="s">
        <v>88</v>
      </c>
      <c r="H4914" s="110" t="s">
        <v>6424</v>
      </c>
      <c r="I4914" s="30" t="e">
        <f>VLOOKUP(H4914,'合同高级查询数据-4月返'!A:A,1,FALSE)</f>
        <v>#N/A</v>
      </c>
      <c r="J4914" s="31" t="s">
        <v>3488</v>
      </c>
      <c r="K4914" s="11" t="s">
        <v>6425</v>
      </c>
      <c r="L4914" s="32"/>
      <c r="M4914" s="113" t="s">
        <v>6417</v>
      </c>
      <c r="N4914" s="466">
        <v>43445</v>
      </c>
      <c r="O4914" s="31" t="s">
        <v>503</v>
      </c>
      <c r="P4914" s="465">
        <v>4800</v>
      </c>
      <c r="Q4914" s="459">
        <v>11</v>
      </c>
      <c r="R4914" s="465">
        <f t="shared" si="158"/>
        <v>52800</v>
      </c>
      <c r="S4914" s="31">
        <v>202304</v>
      </c>
      <c r="T4914" s="60" t="s">
        <v>6428</v>
      </c>
      <c r="U4914" s="411"/>
      <c r="V4914" s="411"/>
      <c r="W4914" s="411"/>
      <c r="X4914" s="111"/>
      <c r="Y4914" s="111"/>
    </row>
    <row r="4915" s="3" customFormat="1" customHeight="1" spans="1:25">
      <c r="A4915" s="11" t="s">
        <v>448</v>
      </c>
      <c r="B4915" s="11" t="s">
        <v>6300</v>
      </c>
      <c r="C4915" s="11" t="s">
        <v>3237</v>
      </c>
      <c r="D4915" s="35" t="s">
        <v>6301</v>
      </c>
      <c r="E4915" s="13" t="s">
        <v>6347</v>
      </c>
      <c r="F4915" s="11" t="s">
        <v>6348</v>
      </c>
      <c r="G4915" s="11" t="s">
        <v>88</v>
      </c>
      <c r="H4915" s="110" t="s">
        <v>6424</v>
      </c>
      <c r="I4915" s="30" t="e">
        <f>VLOOKUP(H4915,'合同高级查询数据-4月返'!A:A,1,FALSE)</f>
        <v>#N/A</v>
      </c>
      <c r="J4915" s="31" t="s">
        <v>3488</v>
      </c>
      <c r="K4915" s="11" t="s">
        <v>6425</v>
      </c>
      <c r="L4915" s="32"/>
      <c r="M4915" s="113" t="s">
        <v>6417</v>
      </c>
      <c r="N4915" s="466">
        <v>43447</v>
      </c>
      <c r="O4915" s="31" t="s">
        <v>503</v>
      </c>
      <c r="P4915" s="465">
        <v>4800</v>
      </c>
      <c r="Q4915" s="459">
        <v>7</v>
      </c>
      <c r="R4915" s="465">
        <f t="shared" si="158"/>
        <v>33600</v>
      </c>
      <c r="S4915" s="31">
        <v>202304</v>
      </c>
      <c r="T4915" s="60"/>
      <c r="U4915" s="411"/>
      <c r="V4915" s="411"/>
      <c r="W4915" s="411"/>
      <c r="X4915" s="111"/>
      <c r="Y4915" s="111"/>
    </row>
    <row r="4916" s="3" customFormat="1" customHeight="1" spans="1:25">
      <c r="A4916" s="11" t="s">
        <v>448</v>
      </c>
      <c r="B4916" s="11" t="s">
        <v>6300</v>
      </c>
      <c r="C4916" s="11" t="s">
        <v>3237</v>
      </c>
      <c r="D4916" s="35" t="s">
        <v>6301</v>
      </c>
      <c r="E4916" s="13" t="s">
        <v>6347</v>
      </c>
      <c r="F4916" s="11" t="s">
        <v>6348</v>
      </c>
      <c r="G4916" s="11" t="s">
        <v>88</v>
      </c>
      <c r="H4916" s="110" t="s">
        <v>6424</v>
      </c>
      <c r="I4916" s="30" t="e">
        <f>VLOOKUP(H4916,'合同高级查询数据-4月返'!A:A,1,FALSE)</f>
        <v>#N/A</v>
      </c>
      <c r="J4916" s="31" t="s">
        <v>3488</v>
      </c>
      <c r="K4916" s="11" t="s">
        <v>6425</v>
      </c>
      <c r="L4916" s="32"/>
      <c r="M4916" s="113" t="s">
        <v>6417</v>
      </c>
      <c r="N4916" s="466">
        <v>43453</v>
      </c>
      <c r="O4916" s="31" t="s">
        <v>503</v>
      </c>
      <c r="P4916" s="465">
        <v>4800</v>
      </c>
      <c r="Q4916" s="459">
        <v>2</v>
      </c>
      <c r="R4916" s="465">
        <f t="shared" si="158"/>
        <v>9600</v>
      </c>
      <c r="S4916" s="31">
        <v>202304</v>
      </c>
      <c r="T4916" s="60"/>
      <c r="U4916" s="411"/>
      <c r="V4916" s="411"/>
      <c r="W4916" s="411"/>
      <c r="X4916" s="111"/>
      <c r="Y4916" s="111"/>
    </row>
    <row r="4917" s="3" customFormat="1" customHeight="1" spans="1:25">
      <c r="A4917" s="11" t="s">
        <v>448</v>
      </c>
      <c r="B4917" s="11" t="s">
        <v>6300</v>
      </c>
      <c r="C4917" s="11" t="s">
        <v>3237</v>
      </c>
      <c r="D4917" s="35" t="s">
        <v>6301</v>
      </c>
      <c r="E4917" s="13" t="s">
        <v>6347</v>
      </c>
      <c r="F4917" s="11" t="s">
        <v>6348</v>
      </c>
      <c r="G4917" s="11" t="s">
        <v>88</v>
      </c>
      <c r="H4917" s="110" t="s">
        <v>6424</v>
      </c>
      <c r="I4917" s="30" t="e">
        <f>VLOOKUP(H4917,'合同高级查询数据-4月返'!A:A,1,FALSE)</f>
        <v>#N/A</v>
      </c>
      <c r="J4917" s="31" t="s">
        <v>3488</v>
      </c>
      <c r="K4917" s="11" t="s">
        <v>6425</v>
      </c>
      <c r="L4917" s="32"/>
      <c r="M4917" s="113" t="s">
        <v>6417</v>
      </c>
      <c r="N4917" s="466">
        <v>43460</v>
      </c>
      <c r="O4917" s="31" t="s">
        <v>503</v>
      </c>
      <c r="P4917" s="465">
        <v>4800</v>
      </c>
      <c r="Q4917" s="459">
        <v>2</v>
      </c>
      <c r="R4917" s="465">
        <f t="shared" si="158"/>
        <v>9600</v>
      </c>
      <c r="S4917" s="31">
        <v>202304</v>
      </c>
      <c r="T4917" s="60" t="s">
        <v>6429</v>
      </c>
      <c r="U4917" s="411"/>
      <c r="V4917" s="411"/>
      <c r="W4917" s="411"/>
      <c r="X4917" s="111"/>
      <c r="Y4917" s="111"/>
    </row>
    <row r="4918" s="3" customFormat="1" customHeight="1" spans="1:25">
      <c r="A4918" s="11" t="s">
        <v>448</v>
      </c>
      <c r="B4918" s="11" t="s">
        <v>6300</v>
      </c>
      <c r="C4918" s="11" t="s">
        <v>3237</v>
      </c>
      <c r="D4918" s="35" t="s">
        <v>6301</v>
      </c>
      <c r="E4918" s="13" t="s">
        <v>6347</v>
      </c>
      <c r="F4918" s="11" t="s">
        <v>6348</v>
      </c>
      <c r="G4918" s="11" t="s">
        <v>88</v>
      </c>
      <c r="H4918" s="110" t="s">
        <v>6424</v>
      </c>
      <c r="I4918" s="30" t="e">
        <f>VLOOKUP(H4918,'合同高级查询数据-4月返'!A:A,1,FALSE)</f>
        <v>#N/A</v>
      </c>
      <c r="J4918" s="31" t="s">
        <v>3488</v>
      </c>
      <c r="K4918" s="11" t="s">
        <v>6425</v>
      </c>
      <c r="L4918" s="32"/>
      <c r="M4918" s="113" t="s">
        <v>6417</v>
      </c>
      <c r="N4918" s="466">
        <v>43480</v>
      </c>
      <c r="O4918" s="31" t="s">
        <v>503</v>
      </c>
      <c r="P4918" s="465">
        <v>4800</v>
      </c>
      <c r="Q4918" s="459">
        <v>4</v>
      </c>
      <c r="R4918" s="465">
        <f t="shared" si="158"/>
        <v>19200</v>
      </c>
      <c r="S4918" s="31">
        <v>202304</v>
      </c>
      <c r="T4918" s="60"/>
      <c r="U4918" s="411"/>
      <c r="V4918" s="411"/>
      <c r="W4918" s="411"/>
      <c r="X4918" s="111"/>
      <c r="Y4918" s="111"/>
    </row>
    <row r="4919" s="3" customFormat="1" customHeight="1" spans="1:25">
      <c r="A4919" s="11" t="s">
        <v>448</v>
      </c>
      <c r="B4919" s="11" t="s">
        <v>6300</v>
      </c>
      <c r="C4919" s="11" t="s">
        <v>3237</v>
      </c>
      <c r="D4919" s="35" t="s">
        <v>6301</v>
      </c>
      <c r="E4919" s="13" t="s">
        <v>6347</v>
      </c>
      <c r="F4919" s="11" t="s">
        <v>6348</v>
      </c>
      <c r="G4919" s="11" t="s">
        <v>88</v>
      </c>
      <c r="H4919" s="110" t="s">
        <v>6424</v>
      </c>
      <c r="I4919" s="30" t="e">
        <f>VLOOKUP(H4919,'合同高级查询数据-4月返'!A:A,1,FALSE)</f>
        <v>#N/A</v>
      </c>
      <c r="J4919" s="31" t="s">
        <v>3488</v>
      </c>
      <c r="K4919" s="11" t="s">
        <v>6425</v>
      </c>
      <c r="L4919" s="32"/>
      <c r="M4919" s="113" t="s">
        <v>6417</v>
      </c>
      <c r="N4919" s="466">
        <v>43482</v>
      </c>
      <c r="O4919" s="31" t="s">
        <v>503</v>
      </c>
      <c r="P4919" s="465">
        <v>4800</v>
      </c>
      <c r="Q4919" s="459">
        <v>2</v>
      </c>
      <c r="R4919" s="465">
        <f t="shared" si="158"/>
        <v>9600</v>
      </c>
      <c r="S4919" s="31">
        <v>202304</v>
      </c>
      <c r="T4919" s="60"/>
      <c r="U4919" s="411"/>
      <c r="V4919" s="411"/>
      <c r="W4919" s="411"/>
      <c r="X4919" s="111"/>
      <c r="Y4919" s="111"/>
    </row>
    <row r="4920" s="3" customFormat="1" customHeight="1" spans="1:25">
      <c r="A4920" s="11" t="s">
        <v>448</v>
      </c>
      <c r="B4920" s="11" t="s">
        <v>6300</v>
      </c>
      <c r="C4920" s="11" t="s">
        <v>3237</v>
      </c>
      <c r="D4920" s="35" t="s">
        <v>6301</v>
      </c>
      <c r="E4920" s="13" t="s">
        <v>6347</v>
      </c>
      <c r="F4920" s="11" t="s">
        <v>6348</v>
      </c>
      <c r="G4920" s="11" t="s">
        <v>88</v>
      </c>
      <c r="H4920" s="110" t="s">
        <v>6424</v>
      </c>
      <c r="I4920" s="30" t="e">
        <f>VLOOKUP(H4920,'合同高级查询数据-4月返'!A:A,1,FALSE)</f>
        <v>#N/A</v>
      </c>
      <c r="J4920" s="31" t="s">
        <v>3488</v>
      </c>
      <c r="K4920" s="11" t="s">
        <v>6425</v>
      </c>
      <c r="L4920" s="32"/>
      <c r="M4920" s="113" t="s">
        <v>6417</v>
      </c>
      <c r="N4920" s="466">
        <v>43486</v>
      </c>
      <c r="O4920" s="31" t="s">
        <v>503</v>
      </c>
      <c r="P4920" s="465">
        <v>4800</v>
      </c>
      <c r="Q4920" s="459">
        <v>8</v>
      </c>
      <c r="R4920" s="465">
        <f t="shared" si="158"/>
        <v>38400</v>
      </c>
      <c r="S4920" s="31">
        <v>202304</v>
      </c>
      <c r="T4920" s="60"/>
      <c r="U4920" s="411"/>
      <c r="V4920" s="411"/>
      <c r="W4920" s="411"/>
      <c r="X4920" s="111"/>
      <c r="Y4920" s="111"/>
    </row>
    <row r="4921" s="3" customFormat="1" customHeight="1" spans="1:25">
      <c r="A4921" s="11" t="s">
        <v>448</v>
      </c>
      <c r="B4921" s="11" t="s">
        <v>6300</v>
      </c>
      <c r="C4921" s="11" t="s">
        <v>3237</v>
      </c>
      <c r="D4921" s="35" t="s">
        <v>6301</v>
      </c>
      <c r="E4921" s="13" t="s">
        <v>6347</v>
      </c>
      <c r="F4921" s="11" t="s">
        <v>6348</v>
      </c>
      <c r="G4921" s="11" t="s">
        <v>88</v>
      </c>
      <c r="H4921" s="110" t="s">
        <v>6424</v>
      </c>
      <c r="I4921" s="30" t="e">
        <f>VLOOKUP(H4921,'合同高级查询数据-4月返'!A:A,1,FALSE)</f>
        <v>#N/A</v>
      </c>
      <c r="J4921" s="31" t="s">
        <v>3488</v>
      </c>
      <c r="K4921" s="11" t="s">
        <v>6425</v>
      </c>
      <c r="L4921" s="32"/>
      <c r="M4921" s="113" t="s">
        <v>6417</v>
      </c>
      <c r="N4921" s="466">
        <v>43486</v>
      </c>
      <c r="O4921" s="31" t="s">
        <v>574</v>
      </c>
      <c r="P4921" s="465">
        <v>4800</v>
      </c>
      <c r="Q4921" s="459">
        <v>2</v>
      </c>
      <c r="R4921" s="465">
        <f t="shared" si="158"/>
        <v>9600</v>
      </c>
      <c r="S4921" s="31">
        <v>202304</v>
      </c>
      <c r="T4921" s="60" t="s">
        <v>6430</v>
      </c>
      <c r="U4921" s="411"/>
      <c r="V4921" s="411"/>
      <c r="W4921" s="411"/>
      <c r="X4921" s="111"/>
      <c r="Y4921" s="111"/>
    </row>
    <row r="4922" s="3" customFormat="1" customHeight="1" spans="1:25">
      <c r="A4922" s="11" t="s">
        <v>448</v>
      </c>
      <c r="B4922" s="11" t="s">
        <v>6300</v>
      </c>
      <c r="C4922" s="11" t="s">
        <v>3237</v>
      </c>
      <c r="D4922" s="35" t="s">
        <v>6301</v>
      </c>
      <c r="E4922" s="13" t="s">
        <v>6347</v>
      </c>
      <c r="F4922" s="11" t="s">
        <v>6348</v>
      </c>
      <c r="G4922" s="11" t="s">
        <v>88</v>
      </c>
      <c r="H4922" s="110" t="s">
        <v>6424</v>
      </c>
      <c r="I4922" s="30" t="e">
        <f>VLOOKUP(H4922,'合同高级查询数据-4月返'!A:A,1,FALSE)</f>
        <v>#N/A</v>
      </c>
      <c r="J4922" s="31" t="s">
        <v>3488</v>
      </c>
      <c r="K4922" s="11" t="s">
        <v>6425</v>
      </c>
      <c r="L4922" s="32"/>
      <c r="M4922" s="113" t="s">
        <v>6417</v>
      </c>
      <c r="N4922" s="466">
        <v>43580</v>
      </c>
      <c r="O4922" s="31" t="s">
        <v>503</v>
      </c>
      <c r="P4922" s="465">
        <v>4800</v>
      </c>
      <c r="Q4922" s="459">
        <v>2</v>
      </c>
      <c r="R4922" s="465">
        <f t="shared" si="158"/>
        <v>9600</v>
      </c>
      <c r="S4922" s="31">
        <v>202304</v>
      </c>
      <c r="T4922" s="60" t="s">
        <v>6431</v>
      </c>
      <c r="U4922" s="411"/>
      <c r="V4922" s="411"/>
      <c r="W4922" s="411"/>
      <c r="X4922" s="111"/>
      <c r="Y4922" s="111"/>
    </row>
    <row r="4923" s="3" customFormat="1" customHeight="1" spans="1:25">
      <c r="A4923" s="11" t="s">
        <v>448</v>
      </c>
      <c r="B4923" s="11" t="s">
        <v>6300</v>
      </c>
      <c r="C4923" s="11" t="s">
        <v>3237</v>
      </c>
      <c r="D4923" s="35" t="s">
        <v>6301</v>
      </c>
      <c r="E4923" s="13" t="s">
        <v>6347</v>
      </c>
      <c r="F4923" s="11" t="s">
        <v>6348</v>
      </c>
      <c r="G4923" s="11" t="s">
        <v>88</v>
      </c>
      <c r="H4923" s="110" t="s">
        <v>6424</v>
      </c>
      <c r="I4923" s="30" t="e">
        <f>VLOOKUP(H4923,'合同高级查询数据-4月返'!A:A,1,FALSE)</f>
        <v>#N/A</v>
      </c>
      <c r="J4923" s="31" t="s">
        <v>3488</v>
      </c>
      <c r="K4923" s="11" t="s">
        <v>6425</v>
      </c>
      <c r="L4923" s="32"/>
      <c r="M4923" s="113" t="s">
        <v>6417</v>
      </c>
      <c r="N4923" s="466">
        <v>43591</v>
      </c>
      <c r="O4923" s="31" t="s">
        <v>503</v>
      </c>
      <c r="P4923" s="465">
        <v>4800</v>
      </c>
      <c r="Q4923" s="459">
        <v>1</v>
      </c>
      <c r="R4923" s="465">
        <f t="shared" si="158"/>
        <v>4800</v>
      </c>
      <c r="S4923" s="31">
        <v>202304</v>
      </c>
      <c r="T4923" s="60" t="s">
        <v>6432</v>
      </c>
      <c r="U4923" s="411"/>
      <c r="V4923" s="411"/>
      <c r="W4923" s="411"/>
      <c r="X4923" s="111"/>
      <c r="Y4923" s="111"/>
    </row>
    <row r="4924" s="3" customFormat="1" customHeight="1" spans="1:25">
      <c r="A4924" s="11" t="s">
        <v>448</v>
      </c>
      <c r="B4924" s="11" t="s">
        <v>6300</v>
      </c>
      <c r="C4924" s="11" t="s">
        <v>3237</v>
      </c>
      <c r="D4924" s="35" t="s">
        <v>6301</v>
      </c>
      <c r="E4924" s="13" t="s">
        <v>6347</v>
      </c>
      <c r="F4924" s="11" t="s">
        <v>6348</v>
      </c>
      <c r="G4924" s="11" t="s">
        <v>88</v>
      </c>
      <c r="H4924" s="110" t="s">
        <v>6424</v>
      </c>
      <c r="I4924" s="30" t="e">
        <f>VLOOKUP(H4924,'合同高级查询数据-4月返'!A:A,1,FALSE)</f>
        <v>#N/A</v>
      </c>
      <c r="J4924" s="31" t="s">
        <v>3488</v>
      </c>
      <c r="K4924" s="11" t="s">
        <v>6425</v>
      </c>
      <c r="L4924" s="32"/>
      <c r="M4924" s="113" t="s">
        <v>6417</v>
      </c>
      <c r="N4924" s="466">
        <v>43637</v>
      </c>
      <c r="O4924" s="466" t="s">
        <v>503</v>
      </c>
      <c r="P4924" s="465">
        <v>4800</v>
      </c>
      <c r="Q4924" s="459">
        <v>8</v>
      </c>
      <c r="R4924" s="465">
        <f t="shared" si="158"/>
        <v>38400</v>
      </c>
      <c r="S4924" s="31">
        <v>202304</v>
      </c>
      <c r="T4924" s="60" t="s">
        <v>6433</v>
      </c>
      <c r="U4924" s="411"/>
      <c r="V4924" s="411"/>
      <c r="W4924" s="411"/>
      <c r="X4924" s="111"/>
      <c r="Y4924" s="111"/>
    </row>
    <row r="4925" s="3" customFormat="1" customHeight="1" spans="1:25">
      <c r="A4925" s="11" t="s">
        <v>448</v>
      </c>
      <c r="B4925" s="11" t="s">
        <v>6300</v>
      </c>
      <c r="C4925" s="11" t="s">
        <v>3237</v>
      </c>
      <c r="D4925" s="35" t="s">
        <v>6301</v>
      </c>
      <c r="E4925" s="13" t="s">
        <v>6347</v>
      </c>
      <c r="F4925" s="11" t="s">
        <v>6348</v>
      </c>
      <c r="G4925" s="11" t="s">
        <v>88</v>
      </c>
      <c r="H4925" s="110" t="s">
        <v>6424</v>
      </c>
      <c r="I4925" s="30" t="e">
        <f>VLOOKUP(H4925,'合同高级查询数据-4月返'!A:A,1,FALSE)</f>
        <v>#N/A</v>
      </c>
      <c r="J4925" s="31" t="s">
        <v>3488</v>
      </c>
      <c r="K4925" s="11" t="s">
        <v>6425</v>
      </c>
      <c r="L4925" s="32"/>
      <c r="M4925" s="113" t="s">
        <v>6417</v>
      </c>
      <c r="N4925" s="193">
        <v>43650</v>
      </c>
      <c r="O4925" s="466" t="s">
        <v>503</v>
      </c>
      <c r="P4925" s="465">
        <v>4800</v>
      </c>
      <c r="Q4925" s="459">
        <v>10</v>
      </c>
      <c r="R4925" s="465">
        <f t="shared" si="158"/>
        <v>48000</v>
      </c>
      <c r="S4925" s="31">
        <v>202304</v>
      </c>
      <c r="T4925" s="60" t="s">
        <v>6434</v>
      </c>
      <c r="U4925" s="411"/>
      <c r="V4925" s="411"/>
      <c r="W4925" s="411"/>
      <c r="X4925" s="111"/>
      <c r="Y4925" s="111"/>
    </row>
    <row r="4926" s="3" customFormat="1" customHeight="1" spans="1:25">
      <c r="A4926" s="11" t="s">
        <v>448</v>
      </c>
      <c r="B4926" s="11" t="s">
        <v>6300</v>
      </c>
      <c r="C4926" s="11" t="s">
        <v>3237</v>
      </c>
      <c r="D4926" s="35" t="s">
        <v>6301</v>
      </c>
      <c r="E4926" s="13" t="s">
        <v>6347</v>
      </c>
      <c r="F4926" s="11" t="s">
        <v>6348</v>
      </c>
      <c r="G4926" s="11" t="s">
        <v>88</v>
      </c>
      <c r="H4926" s="110" t="s">
        <v>6424</v>
      </c>
      <c r="I4926" s="30" t="e">
        <f>VLOOKUP(H4926,'合同高级查询数据-4月返'!A:A,1,FALSE)</f>
        <v>#N/A</v>
      </c>
      <c r="J4926" s="31" t="s">
        <v>3488</v>
      </c>
      <c r="K4926" s="11" t="s">
        <v>6425</v>
      </c>
      <c r="L4926" s="32"/>
      <c r="M4926" s="113" t="s">
        <v>6417</v>
      </c>
      <c r="N4926" s="193">
        <v>43671</v>
      </c>
      <c r="O4926" s="466" t="s">
        <v>503</v>
      </c>
      <c r="P4926" s="465">
        <v>4800</v>
      </c>
      <c r="Q4926" s="459">
        <v>8</v>
      </c>
      <c r="R4926" s="465">
        <f t="shared" si="158"/>
        <v>38400</v>
      </c>
      <c r="S4926" s="31">
        <v>202304</v>
      </c>
      <c r="T4926" s="60" t="s">
        <v>6435</v>
      </c>
      <c r="U4926" s="411"/>
      <c r="V4926" s="411"/>
      <c r="W4926" s="411"/>
      <c r="X4926" s="111"/>
      <c r="Y4926" s="111"/>
    </row>
    <row r="4927" s="3" customFormat="1" customHeight="1" spans="1:25">
      <c r="A4927" s="11" t="s">
        <v>448</v>
      </c>
      <c r="B4927" s="11" t="s">
        <v>6300</v>
      </c>
      <c r="C4927" s="11" t="s">
        <v>3237</v>
      </c>
      <c r="D4927" s="35" t="s">
        <v>6301</v>
      </c>
      <c r="E4927" s="13" t="s">
        <v>6347</v>
      </c>
      <c r="F4927" s="11" t="s">
        <v>6348</v>
      </c>
      <c r="G4927" s="11" t="s">
        <v>88</v>
      </c>
      <c r="H4927" s="110" t="s">
        <v>6424</v>
      </c>
      <c r="I4927" s="30" t="e">
        <f>VLOOKUP(H4927,'合同高级查询数据-4月返'!A:A,1,FALSE)</f>
        <v>#N/A</v>
      </c>
      <c r="J4927" s="31" t="s">
        <v>3488</v>
      </c>
      <c r="K4927" s="11" t="s">
        <v>6425</v>
      </c>
      <c r="L4927" s="32"/>
      <c r="M4927" s="113" t="s">
        <v>6417</v>
      </c>
      <c r="N4927" s="466">
        <v>43717</v>
      </c>
      <c r="O4927" s="31" t="s">
        <v>503</v>
      </c>
      <c r="P4927" s="465">
        <v>4800</v>
      </c>
      <c r="Q4927" s="459">
        <v>-20</v>
      </c>
      <c r="R4927" s="465">
        <f t="shared" si="158"/>
        <v>-96000</v>
      </c>
      <c r="S4927" s="31">
        <v>202304</v>
      </c>
      <c r="T4927" s="60" t="s">
        <v>6436</v>
      </c>
      <c r="U4927" s="411"/>
      <c r="V4927" s="411"/>
      <c r="W4927" s="411"/>
      <c r="X4927" s="111"/>
      <c r="Y4927" s="111"/>
    </row>
    <row r="4928" s="3" customFormat="1" customHeight="1" spans="1:25">
      <c r="A4928" s="11" t="s">
        <v>448</v>
      </c>
      <c r="B4928" s="11" t="s">
        <v>6300</v>
      </c>
      <c r="C4928" s="11" t="s">
        <v>3237</v>
      </c>
      <c r="D4928" s="35" t="s">
        <v>6301</v>
      </c>
      <c r="E4928" s="13" t="s">
        <v>6347</v>
      </c>
      <c r="F4928" s="11" t="s">
        <v>6348</v>
      </c>
      <c r="G4928" s="11" t="s">
        <v>88</v>
      </c>
      <c r="H4928" s="110" t="s">
        <v>6424</v>
      </c>
      <c r="I4928" s="30" t="e">
        <f>VLOOKUP(H4928,'合同高级查询数据-4月返'!A:A,1,FALSE)</f>
        <v>#N/A</v>
      </c>
      <c r="J4928" s="31" t="s">
        <v>3488</v>
      </c>
      <c r="K4928" s="11" t="s">
        <v>6425</v>
      </c>
      <c r="L4928" s="32"/>
      <c r="M4928" s="113" t="s">
        <v>6417</v>
      </c>
      <c r="N4928" s="466">
        <v>43647</v>
      </c>
      <c r="O4928" s="31" t="s">
        <v>503</v>
      </c>
      <c r="P4928" s="465">
        <v>4800</v>
      </c>
      <c r="Q4928" s="459">
        <v>-1</v>
      </c>
      <c r="R4928" s="465">
        <f t="shared" si="158"/>
        <v>-4800</v>
      </c>
      <c r="S4928" s="31">
        <v>202304</v>
      </c>
      <c r="T4928" s="60" t="s">
        <v>6437</v>
      </c>
      <c r="U4928" s="411"/>
      <c r="V4928" s="411"/>
      <c r="W4928" s="411"/>
      <c r="X4928" s="111"/>
      <c r="Y4928" s="111"/>
    </row>
    <row r="4929" s="3" customFormat="1" customHeight="1" spans="1:25">
      <c r="A4929" s="11" t="s">
        <v>448</v>
      </c>
      <c r="B4929" s="11" t="s">
        <v>6300</v>
      </c>
      <c r="C4929" s="11" t="s">
        <v>3237</v>
      </c>
      <c r="D4929" s="35" t="s">
        <v>6301</v>
      </c>
      <c r="E4929" s="13" t="s">
        <v>6347</v>
      </c>
      <c r="F4929" s="11" t="s">
        <v>6348</v>
      </c>
      <c r="G4929" s="11" t="s">
        <v>88</v>
      </c>
      <c r="H4929" s="110" t="s">
        <v>6424</v>
      </c>
      <c r="I4929" s="30" t="e">
        <f>VLOOKUP(H4929,'合同高级查询数据-4月返'!A:A,1,FALSE)</f>
        <v>#N/A</v>
      </c>
      <c r="J4929" s="31" t="s">
        <v>3488</v>
      </c>
      <c r="K4929" s="11" t="s">
        <v>6425</v>
      </c>
      <c r="L4929" s="32"/>
      <c r="M4929" s="113" t="s">
        <v>6417</v>
      </c>
      <c r="N4929" s="466">
        <v>43995</v>
      </c>
      <c r="O4929" s="31" t="s">
        <v>503</v>
      </c>
      <c r="P4929" s="465">
        <v>4800</v>
      </c>
      <c r="Q4929" s="459">
        <v>2</v>
      </c>
      <c r="R4929" s="465">
        <f t="shared" si="158"/>
        <v>9600</v>
      </c>
      <c r="S4929" s="31">
        <v>202304</v>
      </c>
      <c r="T4929" s="60" t="s">
        <v>6438</v>
      </c>
      <c r="U4929" s="411"/>
      <c r="V4929" s="411"/>
      <c r="W4929" s="411"/>
      <c r="X4929" s="111"/>
      <c r="Y4929" s="111"/>
    </row>
    <row r="4930" s="3" customFormat="1" customHeight="1" spans="1:25">
      <c r="A4930" s="11" t="s">
        <v>448</v>
      </c>
      <c r="B4930" s="11" t="s">
        <v>6300</v>
      </c>
      <c r="C4930" s="11" t="s">
        <v>3237</v>
      </c>
      <c r="D4930" s="35" t="s">
        <v>6301</v>
      </c>
      <c r="E4930" s="13" t="s">
        <v>6347</v>
      </c>
      <c r="F4930" s="11" t="s">
        <v>6348</v>
      </c>
      <c r="G4930" s="11" t="s">
        <v>88</v>
      </c>
      <c r="H4930" s="110" t="s">
        <v>6424</v>
      </c>
      <c r="I4930" s="30" t="e">
        <f>VLOOKUP(H4930,'合同高级查询数据-4月返'!A:A,1,FALSE)</f>
        <v>#N/A</v>
      </c>
      <c r="J4930" s="31" t="s">
        <v>3488</v>
      </c>
      <c r="K4930" s="11" t="s">
        <v>6425</v>
      </c>
      <c r="L4930" s="32"/>
      <c r="M4930" s="113" t="s">
        <v>6417</v>
      </c>
      <c r="N4930" s="466">
        <v>44035</v>
      </c>
      <c r="O4930" s="31" t="s">
        <v>503</v>
      </c>
      <c r="P4930" s="465">
        <v>4800</v>
      </c>
      <c r="Q4930" s="459">
        <v>-3</v>
      </c>
      <c r="R4930" s="465">
        <f t="shared" si="158"/>
        <v>-14400</v>
      </c>
      <c r="S4930" s="31">
        <v>202304</v>
      </c>
      <c r="T4930" s="60" t="s">
        <v>6439</v>
      </c>
      <c r="U4930" s="411"/>
      <c r="V4930" s="411"/>
      <c r="W4930" s="411"/>
      <c r="X4930" s="111"/>
      <c r="Y4930" s="111"/>
    </row>
    <row r="4931" s="3" customFormat="1" customHeight="1" spans="1:25">
      <c r="A4931" s="11" t="s">
        <v>448</v>
      </c>
      <c r="B4931" s="11" t="s">
        <v>6300</v>
      </c>
      <c r="C4931" s="11" t="s">
        <v>3237</v>
      </c>
      <c r="D4931" s="35" t="s">
        <v>6301</v>
      </c>
      <c r="E4931" s="13" t="s">
        <v>6347</v>
      </c>
      <c r="F4931" s="11" t="s">
        <v>6348</v>
      </c>
      <c r="G4931" s="11" t="s">
        <v>88</v>
      </c>
      <c r="H4931" s="110" t="s">
        <v>6424</v>
      </c>
      <c r="I4931" s="30" t="e">
        <f>VLOOKUP(H4931,'合同高级查询数据-4月返'!A:A,1,FALSE)</f>
        <v>#N/A</v>
      </c>
      <c r="J4931" s="31" t="s">
        <v>3488</v>
      </c>
      <c r="K4931" s="11" t="s">
        <v>6425</v>
      </c>
      <c r="L4931" s="32"/>
      <c r="M4931" s="113" t="s">
        <v>6417</v>
      </c>
      <c r="N4931" s="466">
        <v>44131</v>
      </c>
      <c r="O4931" s="31" t="s">
        <v>503</v>
      </c>
      <c r="P4931" s="465">
        <v>4800</v>
      </c>
      <c r="Q4931" s="459">
        <v>1</v>
      </c>
      <c r="R4931" s="465">
        <f t="shared" si="158"/>
        <v>4800</v>
      </c>
      <c r="S4931" s="31">
        <v>202304</v>
      </c>
      <c r="T4931" s="60" t="s">
        <v>6440</v>
      </c>
      <c r="U4931" s="411"/>
      <c r="V4931" s="411"/>
      <c r="W4931" s="411"/>
      <c r="X4931" s="111"/>
      <c r="Y4931" s="111"/>
    </row>
    <row r="4932" s="3" customFormat="1" customHeight="1" spans="1:25">
      <c r="A4932" s="11" t="s">
        <v>448</v>
      </c>
      <c r="B4932" s="11" t="s">
        <v>6300</v>
      </c>
      <c r="C4932" s="11" t="s">
        <v>3237</v>
      </c>
      <c r="D4932" s="35" t="s">
        <v>6301</v>
      </c>
      <c r="E4932" s="13" t="s">
        <v>6347</v>
      </c>
      <c r="F4932" s="11" t="s">
        <v>6348</v>
      </c>
      <c r="G4932" s="11" t="s">
        <v>88</v>
      </c>
      <c r="H4932" s="110" t="s">
        <v>6424</v>
      </c>
      <c r="I4932" s="30" t="e">
        <f>VLOOKUP(H4932,'合同高级查询数据-4月返'!A:A,1,FALSE)</f>
        <v>#N/A</v>
      </c>
      <c r="J4932" s="31" t="s">
        <v>3488</v>
      </c>
      <c r="K4932" s="11" t="s">
        <v>6425</v>
      </c>
      <c r="L4932" s="32"/>
      <c r="M4932" s="113" t="s">
        <v>6417</v>
      </c>
      <c r="N4932" s="466">
        <v>44155</v>
      </c>
      <c r="O4932" s="31" t="s">
        <v>503</v>
      </c>
      <c r="P4932" s="465">
        <v>4800</v>
      </c>
      <c r="Q4932" s="459">
        <v>2</v>
      </c>
      <c r="R4932" s="465">
        <f t="shared" si="158"/>
        <v>9600</v>
      </c>
      <c r="S4932" s="31">
        <v>202304</v>
      </c>
      <c r="T4932" s="60" t="s">
        <v>6441</v>
      </c>
      <c r="U4932" s="411"/>
      <c r="V4932" s="411"/>
      <c r="W4932" s="411"/>
      <c r="X4932" s="111"/>
      <c r="Y4932" s="111"/>
    </row>
    <row r="4933" s="3" customFormat="1" customHeight="1" spans="1:25">
      <c r="A4933" s="11" t="s">
        <v>448</v>
      </c>
      <c r="B4933" s="11" t="s">
        <v>6300</v>
      </c>
      <c r="C4933" s="11" t="s">
        <v>3237</v>
      </c>
      <c r="D4933" s="35" t="s">
        <v>6301</v>
      </c>
      <c r="E4933" s="13" t="s">
        <v>6347</v>
      </c>
      <c r="F4933" s="11" t="s">
        <v>6348</v>
      </c>
      <c r="G4933" s="11" t="s">
        <v>88</v>
      </c>
      <c r="H4933" s="110" t="s">
        <v>6424</v>
      </c>
      <c r="I4933" s="30" t="e">
        <f>VLOOKUP(H4933,'合同高级查询数据-4月返'!A:A,1,FALSE)</f>
        <v>#N/A</v>
      </c>
      <c r="J4933" s="31" t="s">
        <v>3488</v>
      </c>
      <c r="K4933" s="11" t="s">
        <v>6425</v>
      </c>
      <c r="L4933" s="32"/>
      <c r="M4933" s="113" t="s">
        <v>6417</v>
      </c>
      <c r="N4933" s="466">
        <v>44281</v>
      </c>
      <c r="O4933" s="31" t="s">
        <v>503</v>
      </c>
      <c r="P4933" s="465">
        <v>4800</v>
      </c>
      <c r="Q4933" s="459">
        <v>8</v>
      </c>
      <c r="R4933" s="465">
        <f t="shared" si="158"/>
        <v>38400</v>
      </c>
      <c r="S4933" s="31">
        <v>202304</v>
      </c>
      <c r="T4933" s="60" t="s">
        <v>6442</v>
      </c>
      <c r="U4933" s="411"/>
      <c r="V4933" s="411"/>
      <c r="W4933" s="411"/>
      <c r="X4933" s="111"/>
      <c r="Y4933" s="111"/>
    </row>
    <row r="4934" s="3" customFormat="1" customHeight="1" spans="1:25">
      <c r="A4934" s="11" t="s">
        <v>448</v>
      </c>
      <c r="B4934" s="11" t="s">
        <v>6300</v>
      </c>
      <c r="C4934" s="11" t="s">
        <v>3237</v>
      </c>
      <c r="D4934" s="35" t="s">
        <v>6301</v>
      </c>
      <c r="E4934" s="13" t="s">
        <v>6347</v>
      </c>
      <c r="F4934" s="11" t="s">
        <v>6348</v>
      </c>
      <c r="G4934" s="11" t="s">
        <v>88</v>
      </c>
      <c r="H4934" s="110" t="s">
        <v>6424</v>
      </c>
      <c r="I4934" s="30" t="e">
        <f>VLOOKUP(H4934,'合同高级查询数据-4月返'!A:A,1,FALSE)</f>
        <v>#N/A</v>
      </c>
      <c r="J4934" s="31" t="s">
        <v>3488</v>
      </c>
      <c r="K4934" s="11" t="s">
        <v>6425</v>
      </c>
      <c r="L4934" s="32"/>
      <c r="M4934" s="113" t="s">
        <v>6443</v>
      </c>
      <c r="N4934" s="466">
        <v>44330</v>
      </c>
      <c r="O4934" s="31" t="s">
        <v>503</v>
      </c>
      <c r="P4934" s="465">
        <v>4800</v>
      </c>
      <c r="Q4934" s="459">
        <v>1</v>
      </c>
      <c r="R4934" s="465">
        <f t="shared" si="158"/>
        <v>4800</v>
      </c>
      <c r="S4934" s="31">
        <v>202304</v>
      </c>
      <c r="T4934" s="60" t="s">
        <v>6444</v>
      </c>
      <c r="U4934" s="411"/>
      <c r="V4934" s="411"/>
      <c r="W4934" s="411"/>
      <c r="X4934" s="111"/>
      <c r="Y4934" s="111"/>
    </row>
    <row r="4935" s="3" customFormat="1" customHeight="1" spans="1:25">
      <c r="A4935" s="11" t="s">
        <v>448</v>
      </c>
      <c r="B4935" s="11" t="s">
        <v>6300</v>
      </c>
      <c r="C4935" s="11" t="s">
        <v>3237</v>
      </c>
      <c r="D4935" s="35" t="s">
        <v>6301</v>
      </c>
      <c r="E4935" s="13" t="s">
        <v>6347</v>
      </c>
      <c r="F4935" s="11" t="s">
        <v>6348</v>
      </c>
      <c r="G4935" s="11" t="s">
        <v>88</v>
      </c>
      <c r="H4935" s="110" t="s">
        <v>6424</v>
      </c>
      <c r="I4935" s="30" t="e">
        <f>VLOOKUP(H4935,'合同高级查询数据-4月返'!A:A,1,FALSE)</f>
        <v>#N/A</v>
      </c>
      <c r="J4935" s="31" t="s">
        <v>3488</v>
      </c>
      <c r="K4935" s="11" t="s">
        <v>6425</v>
      </c>
      <c r="L4935" s="32"/>
      <c r="M4935" s="113" t="s">
        <v>6443</v>
      </c>
      <c r="N4935" s="466">
        <v>44343</v>
      </c>
      <c r="O4935" s="31" t="s">
        <v>503</v>
      </c>
      <c r="P4935" s="465">
        <v>4800</v>
      </c>
      <c r="Q4935" s="459">
        <v>-1</v>
      </c>
      <c r="R4935" s="465">
        <f t="shared" si="158"/>
        <v>-4800</v>
      </c>
      <c r="S4935" s="31">
        <v>202304</v>
      </c>
      <c r="T4935" s="60" t="s">
        <v>6444</v>
      </c>
      <c r="U4935" s="411"/>
      <c r="V4935" s="411"/>
      <c r="W4935" s="411"/>
      <c r="X4935" s="111"/>
      <c r="Y4935" s="111"/>
    </row>
    <row r="4936" s="3" customFormat="1" customHeight="1" spans="1:25">
      <c r="A4936" s="11" t="s">
        <v>448</v>
      </c>
      <c r="B4936" s="11" t="s">
        <v>6300</v>
      </c>
      <c r="C4936" s="11" t="s">
        <v>3237</v>
      </c>
      <c r="D4936" s="35" t="s">
        <v>6301</v>
      </c>
      <c r="E4936" s="13" t="s">
        <v>6347</v>
      </c>
      <c r="F4936" s="11" t="s">
        <v>6348</v>
      </c>
      <c r="G4936" s="11" t="s">
        <v>88</v>
      </c>
      <c r="H4936" s="110" t="s">
        <v>6424</v>
      </c>
      <c r="I4936" s="30" t="e">
        <f>VLOOKUP(H4936,'合同高级查询数据-4月返'!A:A,1,FALSE)</f>
        <v>#N/A</v>
      </c>
      <c r="J4936" s="31" t="s">
        <v>3488</v>
      </c>
      <c r="K4936" s="11" t="s">
        <v>6425</v>
      </c>
      <c r="L4936" s="32"/>
      <c r="M4936" s="113" t="s">
        <v>6417</v>
      </c>
      <c r="N4936" s="474">
        <v>44659</v>
      </c>
      <c r="O4936" s="31" t="s">
        <v>1426</v>
      </c>
      <c r="P4936" s="465">
        <v>19632</v>
      </c>
      <c r="Q4936" s="459">
        <v>1</v>
      </c>
      <c r="R4936" s="465">
        <f t="shared" si="158"/>
        <v>19632</v>
      </c>
      <c r="S4936" s="31">
        <v>202304</v>
      </c>
      <c r="T4936" s="60" t="s">
        <v>6445</v>
      </c>
      <c r="U4936" s="411"/>
      <c r="V4936" s="411"/>
      <c r="W4936" s="411"/>
      <c r="X4936" s="111"/>
      <c r="Y4936" s="111"/>
    </row>
    <row r="4937" s="3" customFormat="1" customHeight="1" spans="1:25">
      <c r="A4937" s="11" t="s">
        <v>448</v>
      </c>
      <c r="B4937" s="11" t="s">
        <v>6300</v>
      </c>
      <c r="C4937" s="11" t="s">
        <v>3237</v>
      </c>
      <c r="D4937" s="35" t="s">
        <v>6301</v>
      </c>
      <c r="E4937" s="13" t="s">
        <v>6347</v>
      </c>
      <c r="F4937" s="11" t="s">
        <v>6348</v>
      </c>
      <c r="G4937" s="11" t="s">
        <v>88</v>
      </c>
      <c r="H4937" s="110" t="s">
        <v>6424</v>
      </c>
      <c r="I4937" s="30" t="e">
        <f>VLOOKUP(H4937,'合同高级查询数据-4月返'!A:A,1,FALSE)</f>
        <v>#N/A</v>
      </c>
      <c r="J4937" s="31" t="s">
        <v>3488</v>
      </c>
      <c r="K4937" s="11" t="s">
        <v>6425</v>
      </c>
      <c r="L4937" s="32"/>
      <c r="M4937" s="113" t="s">
        <v>6417</v>
      </c>
      <c r="N4937" s="474">
        <v>44666</v>
      </c>
      <c r="O4937" s="31" t="s">
        <v>503</v>
      </c>
      <c r="P4937" s="465">
        <v>4800</v>
      </c>
      <c r="Q4937" s="459">
        <v>2</v>
      </c>
      <c r="R4937" s="465">
        <f t="shared" si="158"/>
        <v>9600</v>
      </c>
      <c r="S4937" s="31">
        <v>202304</v>
      </c>
      <c r="T4937" s="60" t="s">
        <v>6446</v>
      </c>
      <c r="U4937" s="411"/>
      <c r="V4937" s="411"/>
      <c r="W4937" s="411"/>
      <c r="X4937" s="111"/>
      <c r="Y4937" s="111"/>
    </row>
    <row r="4938" s="3" customFormat="1" customHeight="1" spans="1:25">
      <c r="A4938" s="11" t="s">
        <v>448</v>
      </c>
      <c r="B4938" s="11" t="s">
        <v>6300</v>
      </c>
      <c r="C4938" s="11" t="s">
        <v>3237</v>
      </c>
      <c r="D4938" s="35" t="s">
        <v>6301</v>
      </c>
      <c r="E4938" s="13" t="s">
        <v>6347</v>
      </c>
      <c r="F4938" s="11" t="s">
        <v>6348</v>
      </c>
      <c r="G4938" s="11" t="s">
        <v>88</v>
      </c>
      <c r="H4938" s="110" t="s">
        <v>6424</v>
      </c>
      <c r="I4938" s="30" t="e">
        <f>VLOOKUP(H4938,'合同高级查询数据-4月返'!A:A,1,FALSE)</f>
        <v>#N/A</v>
      </c>
      <c r="J4938" s="31" t="s">
        <v>3488</v>
      </c>
      <c r="K4938" s="11" t="s">
        <v>6425</v>
      </c>
      <c r="L4938" s="32"/>
      <c r="M4938" s="113" t="s">
        <v>6417</v>
      </c>
      <c r="N4938" s="474">
        <v>44670</v>
      </c>
      <c r="O4938" s="31" t="s">
        <v>503</v>
      </c>
      <c r="P4938" s="465">
        <v>4800</v>
      </c>
      <c r="Q4938" s="459">
        <v>2</v>
      </c>
      <c r="R4938" s="465">
        <f t="shared" si="158"/>
        <v>9600</v>
      </c>
      <c r="S4938" s="31">
        <v>202304</v>
      </c>
      <c r="T4938" s="60" t="s">
        <v>6447</v>
      </c>
      <c r="U4938" s="411"/>
      <c r="V4938" s="411"/>
      <c r="W4938" s="411"/>
      <c r="X4938" s="111"/>
      <c r="Y4938" s="111"/>
    </row>
    <row r="4939" s="3" customFormat="1" customHeight="1" spans="1:25">
      <c r="A4939" s="11" t="s">
        <v>448</v>
      </c>
      <c r="B4939" s="11" t="s">
        <v>6300</v>
      </c>
      <c r="C4939" s="11" t="s">
        <v>3237</v>
      </c>
      <c r="D4939" s="35" t="s">
        <v>6301</v>
      </c>
      <c r="E4939" s="13" t="s">
        <v>6347</v>
      </c>
      <c r="F4939" s="11" t="s">
        <v>6348</v>
      </c>
      <c r="G4939" s="11" t="s">
        <v>88</v>
      </c>
      <c r="H4939" s="110" t="s">
        <v>6424</v>
      </c>
      <c r="I4939" s="30" t="e">
        <f>VLOOKUP(H4939,'合同高级查询数据-4月返'!A:A,1,FALSE)</f>
        <v>#N/A</v>
      </c>
      <c r="J4939" s="31" t="s">
        <v>3488</v>
      </c>
      <c r="K4939" s="11" t="s">
        <v>6425</v>
      </c>
      <c r="L4939" s="32"/>
      <c r="M4939" s="113" t="s">
        <v>6417</v>
      </c>
      <c r="N4939" s="474">
        <v>43775</v>
      </c>
      <c r="O4939" s="31" t="s">
        <v>503</v>
      </c>
      <c r="P4939" s="465">
        <v>4800</v>
      </c>
      <c r="Q4939" s="459">
        <v>-2</v>
      </c>
      <c r="R4939" s="465">
        <f t="shared" si="158"/>
        <v>-9600</v>
      </c>
      <c r="S4939" s="31">
        <v>202304</v>
      </c>
      <c r="T4939" s="60" t="s">
        <v>6448</v>
      </c>
      <c r="U4939" s="411"/>
      <c r="V4939" s="411"/>
      <c r="W4939" s="411"/>
      <c r="X4939" s="111"/>
      <c r="Y4939" s="111"/>
    </row>
    <row r="4940" s="3" customFormat="1" customHeight="1" spans="1:25">
      <c r="A4940" s="11" t="s">
        <v>448</v>
      </c>
      <c r="B4940" s="11" t="s">
        <v>6300</v>
      </c>
      <c r="C4940" s="11" t="s">
        <v>3237</v>
      </c>
      <c r="D4940" s="35" t="s">
        <v>6301</v>
      </c>
      <c r="E4940" s="13" t="s">
        <v>6347</v>
      </c>
      <c r="F4940" s="11" t="s">
        <v>6348</v>
      </c>
      <c r="G4940" s="11" t="s">
        <v>88</v>
      </c>
      <c r="H4940" s="110" t="s">
        <v>6424</v>
      </c>
      <c r="I4940" s="30" t="e">
        <f>VLOOKUP(H4940,'合同高级查询数据-4月返'!A:A,1,FALSE)</f>
        <v>#N/A</v>
      </c>
      <c r="J4940" s="31" t="s">
        <v>3488</v>
      </c>
      <c r="K4940" s="11" t="s">
        <v>6425</v>
      </c>
      <c r="L4940" s="32"/>
      <c r="M4940" s="113" t="s">
        <v>6417</v>
      </c>
      <c r="N4940" s="474">
        <v>43776</v>
      </c>
      <c r="O4940" s="31" t="s">
        <v>566</v>
      </c>
      <c r="P4940" s="465">
        <v>9816</v>
      </c>
      <c r="Q4940" s="459">
        <v>2</v>
      </c>
      <c r="R4940" s="465">
        <f t="shared" si="158"/>
        <v>19632</v>
      </c>
      <c r="S4940" s="31">
        <v>202304</v>
      </c>
      <c r="T4940" s="60" t="s">
        <v>6448</v>
      </c>
      <c r="U4940" s="411"/>
      <c r="V4940" s="411"/>
      <c r="W4940" s="411"/>
      <c r="X4940" s="111"/>
      <c r="Y4940" s="111"/>
    </row>
    <row r="4941" s="3" customFormat="1" customHeight="1" spans="1:25">
      <c r="A4941" s="11" t="s">
        <v>448</v>
      </c>
      <c r="B4941" s="11" t="s">
        <v>6300</v>
      </c>
      <c r="C4941" s="11" t="s">
        <v>3237</v>
      </c>
      <c r="D4941" s="35" t="s">
        <v>6301</v>
      </c>
      <c r="E4941" s="13" t="s">
        <v>6347</v>
      </c>
      <c r="F4941" s="11" t="s">
        <v>6348</v>
      </c>
      <c r="G4941" s="11" t="s">
        <v>88</v>
      </c>
      <c r="H4941" s="110" t="s">
        <v>6424</v>
      </c>
      <c r="I4941" s="30" t="e">
        <f>VLOOKUP(H4941,'合同高级查询数据-4月返'!A:A,1,FALSE)</f>
        <v>#N/A</v>
      </c>
      <c r="J4941" s="31" t="s">
        <v>3488</v>
      </c>
      <c r="K4941" s="11" t="s">
        <v>6425</v>
      </c>
      <c r="L4941" s="32"/>
      <c r="M4941" s="113" t="s">
        <v>6417</v>
      </c>
      <c r="N4941" s="474">
        <v>44630</v>
      </c>
      <c r="O4941" s="31" t="s">
        <v>503</v>
      </c>
      <c r="P4941" s="465">
        <v>4800</v>
      </c>
      <c r="Q4941" s="459">
        <v>-1</v>
      </c>
      <c r="R4941" s="465">
        <f t="shared" si="158"/>
        <v>-4800</v>
      </c>
      <c r="S4941" s="31">
        <v>202304</v>
      </c>
      <c r="T4941" s="60" t="s">
        <v>6449</v>
      </c>
      <c r="U4941" s="411"/>
      <c r="V4941" s="411"/>
      <c r="W4941" s="411"/>
      <c r="X4941" s="111"/>
      <c r="Y4941" s="111"/>
    </row>
    <row r="4942" s="3" customFormat="1" customHeight="1" spans="1:25">
      <c r="A4942" s="11" t="s">
        <v>448</v>
      </c>
      <c r="B4942" s="11" t="s">
        <v>6300</v>
      </c>
      <c r="C4942" s="11" t="s">
        <v>3237</v>
      </c>
      <c r="D4942" s="35" t="s">
        <v>6301</v>
      </c>
      <c r="E4942" s="13" t="s">
        <v>6347</v>
      </c>
      <c r="F4942" s="11" t="s">
        <v>6348</v>
      </c>
      <c r="G4942" s="11" t="s">
        <v>88</v>
      </c>
      <c r="H4942" s="110" t="s">
        <v>6424</v>
      </c>
      <c r="I4942" s="30" t="e">
        <f>VLOOKUP(H4942,'合同高级查询数据-4月返'!A:A,1,FALSE)</f>
        <v>#N/A</v>
      </c>
      <c r="J4942" s="31" t="s">
        <v>3488</v>
      </c>
      <c r="K4942" s="11" t="s">
        <v>6425</v>
      </c>
      <c r="L4942" s="32"/>
      <c r="M4942" s="113" t="s">
        <v>6417</v>
      </c>
      <c r="N4942" s="474">
        <v>44630</v>
      </c>
      <c r="O4942" s="31" t="s">
        <v>1426</v>
      </c>
      <c r="P4942" s="465">
        <v>19632</v>
      </c>
      <c r="Q4942" s="459">
        <v>1</v>
      </c>
      <c r="R4942" s="465">
        <f t="shared" si="158"/>
        <v>19632</v>
      </c>
      <c r="S4942" s="31">
        <v>202304</v>
      </c>
      <c r="T4942" s="60" t="s">
        <v>6450</v>
      </c>
      <c r="U4942" s="411"/>
      <c r="V4942" s="411"/>
      <c r="W4942" s="411"/>
      <c r="X4942" s="111"/>
      <c r="Y4942" s="111"/>
    </row>
    <row r="4943" s="3" customFormat="1" customHeight="1" spans="1:25">
      <c r="A4943" s="11" t="s">
        <v>448</v>
      </c>
      <c r="B4943" s="11" t="s">
        <v>6300</v>
      </c>
      <c r="C4943" s="11" t="s">
        <v>3237</v>
      </c>
      <c r="D4943" s="35" t="s">
        <v>6301</v>
      </c>
      <c r="E4943" s="13" t="s">
        <v>6347</v>
      </c>
      <c r="F4943" s="11" t="s">
        <v>6348</v>
      </c>
      <c r="G4943" s="11" t="s">
        <v>88</v>
      </c>
      <c r="H4943" s="110" t="s">
        <v>6424</v>
      </c>
      <c r="I4943" s="30" t="e">
        <f>VLOOKUP(H4943,'合同高级查询数据-4月返'!A:A,1,FALSE)</f>
        <v>#N/A</v>
      </c>
      <c r="J4943" s="31" t="s">
        <v>3488</v>
      </c>
      <c r="K4943" s="11" t="s">
        <v>6425</v>
      </c>
      <c r="L4943" s="32"/>
      <c r="M4943" s="113" t="s">
        <v>6417</v>
      </c>
      <c r="N4943" s="466" t="s">
        <v>1329</v>
      </c>
      <c r="O4943" s="31" t="s">
        <v>600</v>
      </c>
      <c r="P4943" s="465">
        <v>0</v>
      </c>
      <c r="Q4943" s="459">
        <v>18</v>
      </c>
      <c r="R4943" s="465">
        <f t="shared" si="158"/>
        <v>0</v>
      </c>
      <c r="S4943" s="31">
        <v>202304</v>
      </c>
      <c r="T4943" s="60" t="s">
        <v>6451</v>
      </c>
      <c r="U4943" s="411"/>
      <c r="V4943" s="411"/>
      <c r="W4943" s="411"/>
      <c r="X4943" s="111"/>
      <c r="Y4943" s="111"/>
    </row>
    <row r="4944" s="3" customFormat="1" customHeight="1" spans="1:25">
      <c r="A4944" s="11" t="s">
        <v>448</v>
      </c>
      <c r="B4944" s="11" t="s">
        <v>6300</v>
      </c>
      <c r="C4944" s="11" t="s">
        <v>3237</v>
      </c>
      <c r="D4944" s="35" t="s">
        <v>6301</v>
      </c>
      <c r="E4944" s="13" t="s">
        <v>6347</v>
      </c>
      <c r="F4944" s="11" t="s">
        <v>6348</v>
      </c>
      <c r="G4944" s="11" t="s">
        <v>88</v>
      </c>
      <c r="H4944" s="110" t="s">
        <v>6424</v>
      </c>
      <c r="I4944" s="30" t="e">
        <f>VLOOKUP(H4944,'合同高级查询数据-4月返'!A:A,1,FALSE)</f>
        <v>#N/A</v>
      </c>
      <c r="J4944" s="31" t="s">
        <v>6452</v>
      </c>
      <c r="K4944" s="11" t="s">
        <v>6425</v>
      </c>
      <c r="L4944" s="32"/>
      <c r="M4944" s="113" t="s">
        <v>6417</v>
      </c>
      <c r="N4944" s="466"/>
      <c r="O4944" s="31" t="s">
        <v>584</v>
      </c>
      <c r="P4944" s="465">
        <v>180</v>
      </c>
      <c r="Q4944" s="459">
        <v>0</v>
      </c>
      <c r="R4944" s="465">
        <f t="shared" si="158"/>
        <v>0</v>
      </c>
      <c r="S4944" s="31">
        <v>202304</v>
      </c>
      <c r="T4944" s="60" t="s">
        <v>6453</v>
      </c>
      <c r="U4944" s="411"/>
      <c r="V4944" s="411"/>
      <c r="W4944" s="411"/>
      <c r="X4944" s="111"/>
      <c r="Y4944" s="111"/>
    </row>
    <row r="4945" s="3" customFormat="1" customHeight="1" spans="1:25">
      <c r="A4945" s="11" t="s">
        <v>448</v>
      </c>
      <c r="B4945" s="11" t="s">
        <v>6300</v>
      </c>
      <c r="C4945" s="11" t="s">
        <v>3237</v>
      </c>
      <c r="D4945" s="35" t="s">
        <v>6301</v>
      </c>
      <c r="E4945" s="13" t="s">
        <v>6347</v>
      </c>
      <c r="F4945" s="11" t="s">
        <v>6348</v>
      </c>
      <c r="G4945" s="11" t="s">
        <v>78</v>
      </c>
      <c r="H4945" s="110" t="s">
        <v>6424</v>
      </c>
      <c r="I4945" s="30" t="e">
        <f>VLOOKUP(H4945,'合同高级查询数据-4月返'!A:A,1,FALSE)</f>
        <v>#N/A</v>
      </c>
      <c r="J4945" s="31" t="s">
        <v>530</v>
      </c>
      <c r="K4945" s="11" t="s">
        <v>6425</v>
      </c>
      <c r="L4945" s="32"/>
      <c r="M4945" s="470" t="s">
        <v>6417</v>
      </c>
      <c r="N4945" s="466"/>
      <c r="O4945" s="411">
        <v>0</v>
      </c>
      <c r="P4945" s="465">
        <v>0</v>
      </c>
      <c r="Q4945" s="459">
        <v>0</v>
      </c>
      <c r="R4945" s="465">
        <f t="shared" si="158"/>
        <v>0</v>
      </c>
      <c r="S4945" s="31">
        <v>202304</v>
      </c>
      <c r="T4945" s="60" t="s">
        <v>6454</v>
      </c>
      <c r="U4945" s="411"/>
      <c r="V4945" s="411"/>
      <c r="W4945" s="411"/>
      <c r="X4945" s="111"/>
      <c r="Y4945" s="111"/>
    </row>
    <row r="4946" s="3" customFormat="1" customHeight="1" spans="1:25">
      <c r="A4946" s="11" t="s">
        <v>448</v>
      </c>
      <c r="B4946" s="11" t="s">
        <v>6300</v>
      </c>
      <c r="C4946" s="11" t="s">
        <v>3237</v>
      </c>
      <c r="D4946" s="35" t="s">
        <v>6301</v>
      </c>
      <c r="E4946" s="13" t="s">
        <v>6347</v>
      </c>
      <c r="F4946" s="11" t="s">
        <v>6348</v>
      </c>
      <c r="G4946" s="11" t="s">
        <v>31</v>
      </c>
      <c r="H4946" s="110" t="s">
        <v>6455</v>
      </c>
      <c r="I4946" s="30" t="e">
        <f>VLOOKUP(H4946,'合同高级查询数据-4月返'!A:A,1,FALSE)</f>
        <v>#N/A</v>
      </c>
      <c r="J4946" s="31" t="s">
        <v>6456</v>
      </c>
      <c r="K4946" s="32" t="s">
        <v>6457</v>
      </c>
      <c r="L4946" s="32"/>
      <c r="M4946" s="113" t="s">
        <v>6417</v>
      </c>
      <c r="N4946" s="466">
        <v>43922</v>
      </c>
      <c r="O4946" s="31" t="s">
        <v>37</v>
      </c>
      <c r="P4946" s="465">
        <v>5120</v>
      </c>
      <c r="Q4946" s="459">
        <v>1</v>
      </c>
      <c r="R4946" s="465">
        <f t="shared" si="158"/>
        <v>5120</v>
      </c>
      <c r="S4946" s="31">
        <v>202304</v>
      </c>
      <c r="T4946" s="60" t="s">
        <v>6458</v>
      </c>
      <c r="U4946" s="411"/>
      <c r="V4946" s="411"/>
      <c r="W4946" s="411"/>
      <c r="X4946" s="111"/>
      <c r="Y4946" s="111"/>
    </row>
    <row r="4947" s="3" customFormat="1" customHeight="1" spans="1:25">
      <c r="A4947" s="11" t="s">
        <v>448</v>
      </c>
      <c r="B4947" s="11" t="s">
        <v>6300</v>
      </c>
      <c r="C4947" s="11" t="s">
        <v>3237</v>
      </c>
      <c r="D4947" s="35" t="s">
        <v>6301</v>
      </c>
      <c r="E4947" s="13" t="s">
        <v>6347</v>
      </c>
      <c r="F4947" s="11" t="s">
        <v>6348</v>
      </c>
      <c r="G4947" s="11" t="s">
        <v>31</v>
      </c>
      <c r="H4947" s="110" t="s">
        <v>6459</v>
      </c>
      <c r="I4947" s="30" t="e">
        <f>VLOOKUP(H4947,'合同高级查询数据-4月返'!A:A,1,FALSE)</f>
        <v>#N/A</v>
      </c>
      <c r="J4947" s="31" t="s">
        <v>6456</v>
      </c>
      <c r="K4947" s="32" t="s">
        <v>6457</v>
      </c>
      <c r="L4947" s="32"/>
      <c r="M4947" s="113" t="s">
        <v>6417</v>
      </c>
      <c r="N4947" s="466">
        <v>44075</v>
      </c>
      <c r="O4947" s="31" t="s">
        <v>37</v>
      </c>
      <c r="P4947" s="465">
        <v>5120</v>
      </c>
      <c r="Q4947" s="459">
        <v>1</v>
      </c>
      <c r="R4947" s="465">
        <f t="shared" si="158"/>
        <v>5120</v>
      </c>
      <c r="S4947" s="31">
        <v>202304</v>
      </c>
      <c r="T4947" s="60" t="s">
        <v>6460</v>
      </c>
      <c r="U4947" s="411"/>
      <c r="V4947" s="411"/>
      <c r="W4947" s="411"/>
      <c r="X4947" s="34"/>
      <c r="Y4947" s="34"/>
    </row>
    <row r="4948" s="3" customFormat="1" customHeight="1" spans="1:25">
      <c r="A4948" s="11" t="s">
        <v>448</v>
      </c>
      <c r="B4948" s="11" t="s">
        <v>6300</v>
      </c>
      <c r="C4948" s="11" t="s">
        <v>3237</v>
      </c>
      <c r="D4948" s="35" t="s">
        <v>6301</v>
      </c>
      <c r="E4948" s="13" t="s">
        <v>6461</v>
      </c>
      <c r="F4948" s="11" t="s">
        <v>6348</v>
      </c>
      <c r="G4948" s="11" t="s">
        <v>346</v>
      </c>
      <c r="H4948" s="110" t="s">
        <v>6462</v>
      </c>
      <c r="I4948" s="30" t="e">
        <f>VLOOKUP(H4948,'合同高级查询数据-4月返'!A:A,1,FALSE)</f>
        <v>#N/A</v>
      </c>
      <c r="J4948" s="11" t="s">
        <v>346</v>
      </c>
      <c r="K4948" s="32" t="s">
        <v>6463</v>
      </c>
      <c r="L4948" s="32"/>
      <c r="M4948" s="113"/>
      <c r="N4948" s="466">
        <v>44454</v>
      </c>
      <c r="O4948" s="466" t="s">
        <v>6464</v>
      </c>
      <c r="P4948" s="465">
        <v>4533.4</v>
      </c>
      <c r="Q4948" s="459">
        <v>1</v>
      </c>
      <c r="R4948" s="465">
        <f t="shared" si="158"/>
        <v>4533.4</v>
      </c>
      <c r="S4948" s="31">
        <v>202304</v>
      </c>
      <c r="T4948" s="60" t="s">
        <v>6465</v>
      </c>
      <c r="U4948" s="411"/>
      <c r="V4948" s="411"/>
      <c r="W4948" s="411"/>
      <c r="X4948" s="34"/>
      <c r="Y4948" s="34"/>
    </row>
    <row r="4949" s="3" customFormat="1" customHeight="1" spans="1:25">
      <c r="A4949" s="11" t="s">
        <v>448</v>
      </c>
      <c r="B4949" s="11" t="s">
        <v>6300</v>
      </c>
      <c r="C4949" s="11" t="s">
        <v>3237</v>
      </c>
      <c r="D4949" s="35" t="s">
        <v>6301</v>
      </c>
      <c r="E4949" s="13" t="s">
        <v>6461</v>
      </c>
      <c r="F4949" s="11" t="s">
        <v>6348</v>
      </c>
      <c r="G4949" s="11" t="s">
        <v>346</v>
      </c>
      <c r="H4949" s="110" t="s">
        <v>6462</v>
      </c>
      <c r="I4949" s="30" t="e">
        <f>VLOOKUP(H4949,'合同高级查询数据-4月返'!A:A,1,FALSE)</f>
        <v>#N/A</v>
      </c>
      <c r="J4949" s="11" t="s">
        <v>346</v>
      </c>
      <c r="K4949" s="32" t="s">
        <v>6466</v>
      </c>
      <c r="L4949" s="32"/>
      <c r="M4949" s="113"/>
      <c r="N4949" s="466">
        <v>44454</v>
      </c>
      <c r="O4949" s="466" t="s">
        <v>6464</v>
      </c>
      <c r="P4949" s="465">
        <v>4533.4</v>
      </c>
      <c r="Q4949" s="459">
        <v>1</v>
      </c>
      <c r="R4949" s="465">
        <f t="shared" si="158"/>
        <v>4533.4</v>
      </c>
      <c r="S4949" s="31">
        <v>202304</v>
      </c>
      <c r="T4949" s="60" t="s">
        <v>6467</v>
      </c>
      <c r="U4949" s="411"/>
      <c r="V4949" s="411"/>
      <c r="W4949" s="411"/>
      <c r="X4949" s="34"/>
      <c r="Y4949" s="34"/>
    </row>
    <row r="4950" s="5" customFormat="1" customHeight="1" spans="1:25">
      <c r="A4950" s="24" t="s">
        <v>448</v>
      </c>
      <c r="B4950" s="24" t="s">
        <v>6300</v>
      </c>
      <c r="C4950" s="24" t="s">
        <v>6468</v>
      </c>
      <c r="D4950" s="22" t="s">
        <v>6301</v>
      </c>
      <c r="E4950" s="23" t="s">
        <v>6469</v>
      </c>
      <c r="F4950" s="24" t="s">
        <v>6470</v>
      </c>
      <c r="G4950" s="24" t="s">
        <v>31</v>
      </c>
      <c r="H4950" s="25" t="s">
        <v>6471</v>
      </c>
      <c r="I4950" s="46" t="e">
        <f>VLOOKUP(H4950,'合同高级查询数据-4月返'!A:A,1,FALSE)</f>
        <v>#N/A</v>
      </c>
      <c r="J4950" s="47" t="s">
        <v>33</v>
      </c>
      <c r="K4950" s="24" t="s">
        <v>6472</v>
      </c>
      <c r="L4950" s="109" t="s">
        <v>6473</v>
      </c>
      <c r="M4950" s="475" t="s">
        <v>6474</v>
      </c>
      <c r="N4950" s="229" t="s">
        <v>1329</v>
      </c>
      <c r="O4950" s="239" t="s">
        <v>37</v>
      </c>
      <c r="P4950" s="52">
        <v>0</v>
      </c>
      <c r="Q4950" s="70">
        <v>288</v>
      </c>
      <c r="R4950" s="52">
        <f t="shared" si="158"/>
        <v>0</v>
      </c>
      <c r="S4950" s="47">
        <v>202304</v>
      </c>
      <c r="T4950" s="480" t="s">
        <v>6475</v>
      </c>
      <c r="U4950" s="48"/>
      <c r="V4950" s="48"/>
      <c r="W4950" s="48"/>
      <c r="X4950" s="241">
        <v>44682</v>
      </c>
      <c r="Y4950" s="241">
        <v>45046</v>
      </c>
    </row>
    <row r="4951" s="5" customFormat="1" customHeight="1" spans="1:25">
      <c r="A4951" s="24" t="s">
        <v>448</v>
      </c>
      <c r="B4951" s="24" t="s">
        <v>6300</v>
      </c>
      <c r="C4951" s="24" t="s">
        <v>6468</v>
      </c>
      <c r="D4951" s="22" t="s">
        <v>6301</v>
      </c>
      <c r="E4951" s="23" t="s">
        <v>6469</v>
      </c>
      <c r="F4951" s="24" t="s">
        <v>6470</v>
      </c>
      <c r="G4951" s="24" t="s">
        <v>31</v>
      </c>
      <c r="H4951" s="25" t="s">
        <v>6471</v>
      </c>
      <c r="I4951" s="46" t="e">
        <f>VLOOKUP(H4951,'合同高级查询数据-4月返'!A:A,1,FALSE)</f>
        <v>#N/A</v>
      </c>
      <c r="J4951" s="47" t="s">
        <v>33</v>
      </c>
      <c r="K4951" s="24" t="s">
        <v>6472</v>
      </c>
      <c r="L4951" s="109" t="s">
        <v>6473</v>
      </c>
      <c r="M4951" s="475" t="s">
        <v>6474</v>
      </c>
      <c r="N4951" s="73">
        <v>44333</v>
      </c>
      <c r="O4951" s="239" t="s">
        <v>37</v>
      </c>
      <c r="P4951" s="52">
        <v>0</v>
      </c>
      <c r="Q4951" s="70">
        <v>128</v>
      </c>
      <c r="R4951" s="52">
        <f t="shared" ref="R4951:R5008" si="159">ROUND(P4951*Q4951,2)</f>
        <v>0</v>
      </c>
      <c r="S4951" s="47">
        <v>202304</v>
      </c>
      <c r="T4951" s="480" t="s">
        <v>6476</v>
      </c>
      <c r="U4951" s="48"/>
      <c r="V4951" s="48"/>
      <c r="W4951" s="48"/>
      <c r="X4951" s="241">
        <v>44682</v>
      </c>
      <c r="Y4951" s="241">
        <v>45046</v>
      </c>
    </row>
    <row r="4952" s="5" customFormat="1" customHeight="1" spans="1:25">
      <c r="A4952" s="24" t="s">
        <v>448</v>
      </c>
      <c r="B4952" s="24" t="s">
        <v>6300</v>
      </c>
      <c r="C4952" s="24" t="s">
        <v>6468</v>
      </c>
      <c r="D4952" s="22" t="s">
        <v>6301</v>
      </c>
      <c r="E4952" s="23" t="s">
        <v>6469</v>
      </c>
      <c r="F4952" s="24" t="s">
        <v>6470</v>
      </c>
      <c r="G4952" s="24" t="s">
        <v>31</v>
      </c>
      <c r="H4952" s="25" t="s">
        <v>6471</v>
      </c>
      <c r="I4952" s="46" t="e">
        <f>VLOOKUP(H4952,'合同高级查询数据-4月返'!A:A,1,FALSE)</f>
        <v>#N/A</v>
      </c>
      <c r="J4952" s="47" t="s">
        <v>33</v>
      </c>
      <c r="K4952" s="24" t="s">
        <v>6472</v>
      </c>
      <c r="L4952" s="109" t="s">
        <v>6473</v>
      </c>
      <c r="M4952" s="475" t="s">
        <v>6474</v>
      </c>
      <c r="N4952" s="73">
        <v>44421</v>
      </c>
      <c r="O4952" s="239" t="s">
        <v>37</v>
      </c>
      <c r="P4952" s="52">
        <v>0</v>
      </c>
      <c r="Q4952" s="70">
        <v>128</v>
      </c>
      <c r="R4952" s="52">
        <f t="shared" si="159"/>
        <v>0</v>
      </c>
      <c r="S4952" s="47">
        <v>202304</v>
      </c>
      <c r="T4952" s="480" t="s">
        <v>6477</v>
      </c>
      <c r="U4952" s="48"/>
      <c r="V4952" s="48"/>
      <c r="W4952" s="48"/>
      <c r="X4952" s="241">
        <v>44682</v>
      </c>
      <c r="Y4952" s="241">
        <v>45046</v>
      </c>
    </row>
    <row r="4953" s="5" customFormat="1" customHeight="1" spans="1:25">
      <c r="A4953" s="24" t="s">
        <v>448</v>
      </c>
      <c r="B4953" s="24" t="s">
        <v>6300</v>
      </c>
      <c r="C4953" s="24" t="s">
        <v>6468</v>
      </c>
      <c r="D4953" s="22" t="s">
        <v>6301</v>
      </c>
      <c r="E4953" s="23" t="s">
        <v>6469</v>
      </c>
      <c r="F4953" s="24" t="s">
        <v>6470</v>
      </c>
      <c r="G4953" s="24" t="s">
        <v>31</v>
      </c>
      <c r="H4953" s="25" t="s">
        <v>6471</v>
      </c>
      <c r="I4953" s="46" t="e">
        <f>VLOOKUP(H4953,'合同高级查询数据-4月返'!A:A,1,FALSE)</f>
        <v>#N/A</v>
      </c>
      <c r="J4953" s="47" t="s">
        <v>33</v>
      </c>
      <c r="K4953" s="24" t="s">
        <v>6472</v>
      </c>
      <c r="L4953" s="109" t="s">
        <v>6473</v>
      </c>
      <c r="M4953" s="475" t="s">
        <v>6474</v>
      </c>
      <c r="N4953" s="73">
        <v>44761</v>
      </c>
      <c r="O4953" s="239" t="s">
        <v>37</v>
      </c>
      <c r="P4953" s="52">
        <v>0</v>
      </c>
      <c r="Q4953" s="70">
        <v>-128</v>
      </c>
      <c r="R4953" s="52">
        <f t="shared" si="159"/>
        <v>0</v>
      </c>
      <c r="S4953" s="47">
        <v>202304</v>
      </c>
      <c r="T4953" s="480" t="s">
        <v>6478</v>
      </c>
      <c r="U4953" s="48"/>
      <c r="V4953" s="48"/>
      <c r="W4953" s="48"/>
      <c r="X4953" s="241">
        <v>44682</v>
      </c>
      <c r="Y4953" s="241">
        <v>45046</v>
      </c>
    </row>
    <row r="4954" s="5" customFormat="1" customHeight="1" spans="1:25">
      <c r="A4954" s="24" t="s">
        <v>448</v>
      </c>
      <c r="B4954" s="24" t="s">
        <v>6300</v>
      </c>
      <c r="C4954" s="24" t="s">
        <v>6468</v>
      </c>
      <c r="D4954" s="22" t="s">
        <v>6301</v>
      </c>
      <c r="E4954" s="23" t="s">
        <v>6469</v>
      </c>
      <c r="F4954" s="24" t="s">
        <v>6470</v>
      </c>
      <c r="G4954" s="24" t="s">
        <v>31</v>
      </c>
      <c r="H4954" s="25" t="s">
        <v>6471</v>
      </c>
      <c r="I4954" s="46" t="e">
        <f>VLOOKUP(H4954,'合同高级查询数据-4月返'!A:A,1,FALSE)</f>
        <v>#N/A</v>
      </c>
      <c r="J4954" s="47" t="s">
        <v>33</v>
      </c>
      <c r="K4954" s="24" t="s">
        <v>6472</v>
      </c>
      <c r="L4954" s="109" t="s">
        <v>6473</v>
      </c>
      <c r="M4954" s="475" t="s">
        <v>6474</v>
      </c>
      <c r="N4954" s="73">
        <v>44985</v>
      </c>
      <c r="O4954" s="239" t="s">
        <v>37</v>
      </c>
      <c r="P4954" s="52">
        <v>0</v>
      </c>
      <c r="Q4954" s="70">
        <v>-256</v>
      </c>
      <c r="R4954" s="52">
        <f t="shared" si="159"/>
        <v>0</v>
      </c>
      <c r="S4954" s="47">
        <v>202304</v>
      </c>
      <c r="T4954" s="480" t="s">
        <v>6479</v>
      </c>
      <c r="U4954" s="48"/>
      <c r="V4954" s="48"/>
      <c r="W4954" s="48"/>
      <c r="X4954" s="241">
        <v>44682</v>
      </c>
      <c r="Y4954" s="241">
        <v>45046</v>
      </c>
    </row>
    <row r="4955" s="5" customFormat="1" customHeight="1" spans="1:25">
      <c r="A4955" s="24" t="s">
        <v>448</v>
      </c>
      <c r="B4955" s="24" t="s">
        <v>6300</v>
      </c>
      <c r="C4955" s="24" t="s">
        <v>6468</v>
      </c>
      <c r="D4955" s="22" t="s">
        <v>6301</v>
      </c>
      <c r="E4955" s="23" t="s">
        <v>6469</v>
      </c>
      <c r="F4955" s="24" t="s">
        <v>6470</v>
      </c>
      <c r="G4955" s="24" t="s">
        <v>88</v>
      </c>
      <c r="H4955" s="25" t="s">
        <v>6471</v>
      </c>
      <c r="I4955" s="46" t="e">
        <f>VLOOKUP(H4955,'合同高级查询数据-4月返'!A:A,1,FALSE)</f>
        <v>#N/A</v>
      </c>
      <c r="J4955" s="47" t="s">
        <v>162</v>
      </c>
      <c r="K4955" s="24" t="s">
        <v>6472</v>
      </c>
      <c r="L4955" s="109" t="s">
        <v>6473</v>
      </c>
      <c r="M4955" s="49" t="s">
        <v>6474</v>
      </c>
      <c r="N4955" s="229">
        <v>43468</v>
      </c>
      <c r="O4955" s="239" t="s">
        <v>1306</v>
      </c>
      <c r="P4955" s="52">
        <v>6000</v>
      </c>
      <c r="Q4955" s="70">
        <v>5</v>
      </c>
      <c r="R4955" s="52">
        <f t="shared" si="159"/>
        <v>30000</v>
      </c>
      <c r="S4955" s="47">
        <v>202304</v>
      </c>
      <c r="T4955" s="480" t="s">
        <v>6480</v>
      </c>
      <c r="U4955" s="48"/>
      <c r="V4955" s="48"/>
      <c r="W4955" s="48"/>
      <c r="X4955" s="241">
        <v>44682</v>
      </c>
      <c r="Y4955" s="241">
        <v>45046</v>
      </c>
    </row>
    <row r="4956" s="5" customFormat="1" customHeight="1" spans="1:25">
      <c r="A4956" s="24" t="s">
        <v>448</v>
      </c>
      <c r="B4956" s="24" t="s">
        <v>6300</v>
      </c>
      <c r="C4956" s="24" t="s">
        <v>6468</v>
      </c>
      <c r="D4956" s="22" t="s">
        <v>6301</v>
      </c>
      <c r="E4956" s="23" t="s">
        <v>6469</v>
      </c>
      <c r="F4956" s="24" t="s">
        <v>6470</v>
      </c>
      <c r="G4956" s="24" t="s">
        <v>88</v>
      </c>
      <c r="H4956" s="25" t="s">
        <v>6471</v>
      </c>
      <c r="I4956" s="46" t="e">
        <f>VLOOKUP(H4956,'合同高级查询数据-4月返'!A:A,1,FALSE)</f>
        <v>#N/A</v>
      </c>
      <c r="J4956" s="47" t="s">
        <v>162</v>
      </c>
      <c r="K4956" s="24" t="s">
        <v>6472</v>
      </c>
      <c r="L4956" s="109" t="s">
        <v>6473</v>
      </c>
      <c r="M4956" s="475" t="s">
        <v>6474</v>
      </c>
      <c r="N4956" s="73">
        <v>44333</v>
      </c>
      <c r="O4956" s="239" t="s">
        <v>1306</v>
      </c>
      <c r="P4956" s="52">
        <v>6000</v>
      </c>
      <c r="Q4956" s="70">
        <v>2</v>
      </c>
      <c r="R4956" s="52">
        <f t="shared" si="159"/>
        <v>12000</v>
      </c>
      <c r="S4956" s="47">
        <v>202304</v>
      </c>
      <c r="T4956" s="480" t="s">
        <v>6481</v>
      </c>
      <c r="U4956" s="48"/>
      <c r="V4956" s="48"/>
      <c r="W4956" s="48"/>
      <c r="X4956" s="241">
        <v>44682</v>
      </c>
      <c r="Y4956" s="241">
        <v>45046</v>
      </c>
    </row>
    <row r="4957" s="5" customFormat="1" customHeight="1" spans="1:25">
      <c r="A4957" s="24" t="s">
        <v>448</v>
      </c>
      <c r="B4957" s="24" t="s">
        <v>6300</v>
      </c>
      <c r="C4957" s="24" t="s">
        <v>6468</v>
      </c>
      <c r="D4957" s="22" t="s">
        <v>6301</v>
      </c>
      <c r="E4957" s="23" t="s">
        <v>6469</v>
      </c>
      <c r="F4957" s="24" t="s">
        <v>6470</v>
      </c>
      <c r="G4957" s="24" t="s">
        <v>88</v>
      </c>
      <c r="H4957" s="25" t="s">
        <v>6471</v>
      </c>
      <c r="I4957" s="46" t="e">
        <f>VLOOKUP(H4957,'合同高级查询数据-4月返'!A:A,1,FALSE)</f>
        <v>#N/A</v>
      </c>
      <c r="J4957" s="47" t="s">
        <v>162</v>
      </c>
      <c r="K4957" s="24" t="s">
        <v>6472</v>
      </c>
      <c r="L4957" s="109" t="s">
        <v>6473</v>
      </c>
      <c r="M4957" s="475" t="s">
        <v>6474</v>
      </c>
      <c r="N4957" s="73">
        <v>44761</v>
      </c>
      <c r="O4957" s="239" t="s">
        <v>1306</v>
      </c>
      <c r="P4957" s="52">
        <v>6000</v>
      </c>
      <c r="Q4957" s="70">
        <v>-4</v>
      </c>
      <c r="R4957" s="52">
        <f t="shared" si="159"/>
        <v>-24000</v>
      </c>
      <c r="S4957" s="47">
        <v>202304</v>
      </c>
      <c r="T4957" s="480" t="s">
        <v>6482</v>
      </c>
      <c r="U4957" s="48"/>
      <c r="V4957" s="48"/>
      <c r="W4957" s="48"/>
      <c r="X4957" s="241">
        <v>44682</v>
      </c>
      <c r="Y4957" s="241">
        <v>45046</v>
      </c>
    </row>
    <row r="4958" s="5" customFormat="1" customHeight="1" spans="1:25">
      <c r="A4958" s="24" t="s">
        <v>448</v>
      </c>
      <c r="B4958" s="24" t="s">
        <v>6300</v>
      </c>
      <c r="C4958" s="24" t="s">
        <v>6468</v>
      </c>
      <c r="D4958" s="22" t="s">
        <v>6301</v>
      </c>
      <c r="E4958" s="23" t="s">
        <v>6469</v>
      </c>
      <c r="F4958" s="24" t="s">
        <v>6470</v>
      </c>
      <c r="G4958" s="24" t="s">
        <v>88</v>
      </c>
      <c r="H4958" s="25" t="s">
        <v>6471</v>
      </c>
      <c r="I4958" s="46" t="e">
        <f>VLOOKUP(H4958,'合同高级查询数据-4月返'!A:A,1,FALSE)</f>
        <v>#N/A</v>
      </c>
      <c r="J4958" s="47" t="s">
        <v>162</v>
      </c>
      <c r="K4958" s="24" t="s">
        <v>6472</v>
      </c>
      <c r="L4958" s="109" t="s">
        <v>6473</v>
      </c>
      <c r="M4958" s="475" t="s">
        <v>6474</v>
      </c>
      <c r="N4958" s="73">
        <v>44985</v>
      </c>
      <c r="O4958" s="239" t="s">
        <v>1306</v>
      </c>
      <c r="P4958" s="52">
        <v>6000</v>
      </c>
      <c r="Q4958" s="70">
        <v>-2</v>
      </c>
      <c r="R4958" s="52">
        <f t="shared" si="159"/>
        <v>-12000</v>
      </c>
      <c r="S4958" s="47">
        <v>202304</v>
      </c>
      <c r="T4958" s="480" t="s">
        <v>6483</v>
      </c>
      <c r="U4958" s="48"/>
      <c r="V4958" s="48"/>
      <c r="W4958" s="48"/>
      <c r="X4958" s="241">
        <v>44682</v>
      </c>
      <c r="Y4958" s="241">
        <v>45046</v>
      </c>
    </row>
    <row r="4959" s="3" customFormat="1" customHeight="1" spans="1:25">
      <c r="A4959" s="11" t="s">
        <v>448</v>
      </c>
      <c r="B4959" s="11" t="s">
        <v>6300</v>
      </c>
      <c r="C4959" s="11" t="s">
        <v>512</v>
      </c>
      <c r="D4959" s="35" t="s">
        <v>6301</v>
      </c>
      <c r="E4959" s="13" t="s">
        <v>6484</v>
      </c>
      <c r="F4959" s="11" t="s">
        <v>6485</v>
      </c>
      <c r="G4959" s="11" t="s">
        <v>31</v>
      </c>
      <c r="H4959" s="110" t="s">
        <v>6486</v>
      </c>
      <c r="I4959" s="30" t="e">
        <f>VLOOKUP(H4959,'合同高级查询数据-4月返'!A:A,1,FALSE)</f>
        <v>#N/A</v>
      </c>
      <c r="J4959" s="31" t="s">
        <v>33</v>
      </c>
      <c r="K4959" s="11" t="s">
        <v>6487</v>
      </c>
      <c r="L4959" s="32" t="s">
        <v>6488</v>
      </c>
      <c r="M4959" s="470"/>
      <c r="N4959" s="193">
        <v>40210</v>
      </c>
      <c r="O4959" s="11" t="s">
        <v>37</v>
      </c>
      <c r="P4959" s="465">
        <v>0</v>
      </c>
      <c r="Q4959" s="459">
        <v>512</v>
      </c>
      <c r="R4959" s="465">
        <f t="shared" si="159"/>
        <v>0</v>
      </c>
      <c r="S4959" s="31">
        <v>202304</v>
      </c>
      <c r="T4959" s="60" t="s">
        <v>6489</v>
      </c>
      <c r="U4959" s="411"/>
      <c r="V4959" s="411"/>
      <c r="W4959" s="411"/>
      <c r="X4959" s="34"/>
      <c r="Y4959" s="34"/>
    </row>
    <row r="4960" s="3" customFormat="1" customHeight="1" spans="1:25">
      <c r="A4960" s="11" t="s">
        <v>448</v>
      </c>
      <c r="B4960" s="11" t="s">
        <v>6300</v>
      </c>
      <c r="C4960" s="11" t="s">
        <v>512</v>
      </c>
      <c r="D4960" s="35" t="s">
        <v>6301</v>
      </c>
      <c r="E4960" s="13" t="s">
        <v>6484</v>
      </c>
      <c r="F4960" s="11" t="s">
        <v>6485</v>
      </c>
      <c r="G4960" s="11" t="s">
        <v>31</v>
      </c>
      <c r="H4960" s="110" t="s">
        <v>6486</v>
      </c>
      <c r="I4960" s="30" t="e">
        <f>VLOOKUP(H4960,'合同高级查询数据-4月返'!A:A,1,FALSE)</f>
        <v>#N/A</v>
      </c>
      <c r="J4960" s="31" t="s">
        <v>33</v>
      </c>
      <c r="K4960" s="11" t="s">
        <v>6487</v>
      </c>
      <c r="L4960" s="32" t="s">
        <v>6488</v>
      </c>
      <c r="M4960" s="470"/>
      <c r="N4960" s="193">
        <v>43799</v>
      </c>
      <c r="O4960" s="11" t="s">
        <v>37</v>
      </c>
      <c r="P4960" s="465">
        <v>0</v>
      </c>
      <c r="Q4960" s="459">
        <v>-512</v>
      </c>
      <c r="R4960" s="465">
        <f t="shared" si="159"/>
        <v>0</v>
      </c>
      <c r="S4960" s="31">
        <v>202304</v>
      </c>
      <c r="T4960" s="60" t="s">
        <v>6489</v>
      </c>
      <c r="U4960" s="411"/>
      <c r="V4960" s="411"/>
      <c r="W4960" s="411"/>
      <c r="X4960" s="34"/>
      <c r="Y4960" s="34"/>
    </row>
    <row r="4961" s="3" customFormat="1" customHeight="1" spans="1:25">
      <c r="A4961" s="11" t="s">
        <v>448</v>
      </c>
      <c r="B4961" s="11" t="s">
        <v>6300</v>
      </c>
      <c r="C4961" s="11" t="s">
        <v>512</v>
      </c>
      <c r="D4961" s="35" t="s">
        <v>6301</v>
      </c>
      <c r="E4961" s="13" t="s">
        <v>6484</v>
      </c>
      <c r="F4961" s="11" t="s">
        <v>6485</v>
      </c>
      <c r="G4961" s="11" t="s">
        <v>31</v>
      </c>
      <c r="H4961" s="110" t="s">
        <v>6486</v>
      </c>
      <c r="I4961" s="30" t="e">
        <f>VLOOKUP(H4961,'合同高级查询数据-4月返'!A:A,1,FALSE)</f>
        <v>#N/A</v>
      </c>
      <c r="J4961" s="31" t="s">
        <v>33</v>
      </c>
      <c r="K4961" s="11" t="s">
        <v>6490</v>
      </c>
      <c r="L4961" s="32" t="s">
        <v>6491</v>
      </c>
      <c r="M4961" s="113"/>
      <c r="N4961" s="193" t="s">
        <v>1329</v>
      </c>
      <c r="O4961" s="11" t="s">
        <v>37</v>
      </c>
      <c r="P4961" s="465">
        <v>0</v>
      </c>
      <c r="Q4961" s="459">
        <v>544</v>
      </c>
      <c r="R4961" s="465">
        <f t="shared" si="159"/>
        <v>0</v>
      </c>
      <c r="S4961" s="31">
        <v>202304</v>
      </c>
      <c r="T4961" s="60" t="s">
        <v>6492</v>
      </c>
      <c r="U4961" s="411"/>
      <c r="V4961" s="411"/>
      <c r="W4961" s="411"/>
      <c r="X4961" s="34"/>
      <c r="Y4961" s="34"/>
    </row>
    <row r="4962" s="3" customFormat="1" customHeight="1" spans="1:25">
      <c r="A4962" s="11" t="s">
        <v>448</v>
      </c>
      <c r="B4962" s="11" t="s">
        <v>6300</v>
      </c>
      <c r="C4962" s="11" t="s">
        <v>512</v>
      </c>
      <c r="D4962" s="35" t="s">
        <v>6301</v>
      </c>
      <c r="E4962" s="13" t="s">
        <v>6484</v>
      </c>
      <c r="F4962" s="11" t="s">
        <v>6485</v>
      </c>
      <c r="G4962" s="11" t="s">
        <v>31</v>
      </c>
      <c r="H4962" s="110" t="s">
        <v>6486</v>
      </c>
      <c r="I4962" s="30" t="e">
        <f>VLOOKUP(H4962,'合同高级查询数据-4月返'!A:A,1,FALSE)</f>
        <v>#N/A</v>
      </c>
      <c r="J4962" s="31" t="s">
        <v>33</v>
      </c>
      <c r="K4962" s="11" t="s">
        <v>6490</v>
      </c>
      <c r="L4962" s="32" t="s">
        <v>6493</v>
      </c>
      <c r="M4962" s="113"/>
      <c r="N4962" s="193">
        <v>43190</v>
      </c>
      <c r="O4962" s="11" t="s">
        <v>37</v>
      </c>
      <c r="P4962" s="465">
        <v>0</v>
      </c>
      <c r="Q4962" s="459">
        <v>288</v>
      </c>
      <c r="R4962" s="465">
        <f t="shared" si="159"/>
        <v>0</v>
      </c>
      <c r="S4962" s="31">
        <v>202304</v>
      </c>
      <c r="T4962" s="60" t="s">
        <v>6492</v>
      </c>
      <c r="U4962" s="411"/>
      <c r="V4962" s="411"/>
      <c r="W4962" s="411"/>
      <c r="X4962" s="34"/>
      <c r="Y4962" s="34"/>
    </row>
    <row r="4963" s="3" customFormat="1" customHeight="1" spans="1:25">
      <c r="A4963" s="11" t="s">
        <v>448</v>
      </c>
      <c r="B4963" s="11" t="s">
        <v>6300</v>
      </c>
      <c r="C4963" s="11" t="s">
        <v>512</v>
      </c>
      <c r="D4963" s="35" t="s">
        <v>6301</v>
      </c>
      <c r="E4963" s="13" t="s">
        <v>6484</v>
      </c>
      <c r="F4963" s="11" t="s">
        <v>6485</v>
      </c>
      <c r="G4963" s="11" t="s">
        <v>31</v>
      </c>
      <c r="H4963" s="110" t="s">
        <v>6486</v>
      </c>
      <c r="I4963" s="30" t="e">
        <f>VLOOKUP(H4963,'合同高级查询数据-4月返'!A:A,1,FALSE)</f>
        <v>#N/A</v>
      </c>
      <c r="J4963" s="31" t="s">
        <v>33</v>
      </c>
      <c r="K4963" s="11" t="s">
        <v>6494</v>
      </c>
      <c r="L4963" s="32" t="s">
        <v>6495</v>
      </c>
      <c r="M4963" s="113"/>
      <c r="N4963" s="193">
        <v>43490</v>
      </c>
      <c r="O4963" s="11" t="s">
        <v>37</v>
      </c>
      <c r="P4963" s="465">
        <v>0</v>
      </c>
      <c r="Q4963" s="459">
        <v>544</v>
      </c>
      <c r="R4963" s="465">
        <f t="shared" si="159"/>
        <v>0</v>
      </c>
      <c r="S4963" s="31">
        <v>202304</v>
      </c>
      <c r="T4963" s="60" t="s">
        <v>6496</v>
      </c>
      <c r="U4963" s="411"/>
      <c r="V4963" s="411"/>
      <c r="W4963" s="411"/>
      <c r="X4963" s="34"/>
      <c r="Y4963" s="34"/>
    </row>
    <row r="4964" s="3" customFormat="1" customHeight="1" spans="1:25">
      <c r="A4964" s="11" t="s">
        <v>448</v>
      </c>
      <c r="B4964" s="11" t="s">
        <v>6300</v>
      </c>
      <c r="C4964" s="11" t="s">
        <v>512</v>
      </c>
      <c r="D4964" s="35" t="s">
        <v>6301</v>
      </c>
      <c r="E4964" s="13" t="s">
        <v>6484</v>
      </c>
      <c r="F4964" s="11" t="s">
        <v>6485</v>
      </c>
      <c r="G4964" s="11" t="s">
        <v>31</v>
      </c>
      <c r="H4964" s="110" t="s">
        <v>6486</v>
      </c>
      <c r="I4964" s="30" t="e">
        <f>VLOOKUP(H4964,'合同高级查询数据-4月返'!A:A,1,FALSE)</f>
        <v>#N/A</v>
      </c>
      <c r="J4964" s="31" t="s">
        <v>33</v>
      </c>
      <c r="K4964" s="11" t="s">
        <v>6497</v>
      </c>
      <c r="L4964" s="32" t="s">
        <v>6497</v>
      </c>
      <c r="M4964" s="113"/>
      <c r="N4964" s="193">
        <v>43034</v>
      </c>
      <c r="O4964" s="11" t="s">
        <v>37</v>
      </c>
      <c r="P4964" s="465">
        <v>0</v>
      </c>
      <c r="Q4964" s="459">
        <v>288</v>
      </c>
      <c r="R4964" s="465">
        <f t="shared" si="159"/>
        <v>0</v>
      </c>
      <c r="S4964" s="31">
        <v>202304</v>
      </c>
      <c r="T4964" s="60" t="s">
        <v>6498</v>
      </c>
      <c r="U4964" s="411"/>
      <c r="V4964" s="411"/>
      <c r="W4964" s="411"/>
      <c r="X4964" s="34"/>
      <c r="Y4964" s="34"/>
    </row>
    <row r="4965" s="3" customFormat="1" customHeight="1" spans="1:25">
      <c r="A4965" s="11" t="s">
        <v>448</v>
      </c>
      <c r="B4965" s="11" t="s">
        <v>6300</v>
      </c>
      <c r="C4965" s="11" t="s">
        <v>512</v>
      </c>
      <c r="D4965" s="35" t="s">
        <v>6301</v>
      </c>
      <c r="E4965" s="13" t="s">
        <v>6484</v>
      </c>
      <c r="F4965" s="11" t="s">
        <v>6485</v>
      </c>
      <c r="G4965" s="11" t="s">
        <v>31</v>
      </c>
      <c r="H4965" s="110" t="s">
        <v>6486</v>
      </c>
      <c r="I4965" s="30" t="e">
        <f>VLOOKUP(H4965,'合同高级查询数据-4月返'!A:A,1,FALSE)</f>
        <v>#N/A</v>
      </c>
      <c r="J4965" s="31" t="s">
        <v>33</v>
      </c>
      <c r="K4965" s="11" t="s">
        <v>6497</v>
      </c>
      <c r="L4965" s="32" t="s">
        <v>6497</v>
      </c>
      <c r="M4965" s="113"/>
      <c r="N4965" s="193">
        <v>43799</v>
      </c>
      <c r="O4965" s="11" t="s">
        <v>37</v>
      </c>
      <c r="P4965" s="465">
        <v>0</v>
      </c>
      <c r="Q4965" s="459">
        <v>-288</v>
      </c>
      <c r="R4965" s="465">
        <f t="shared" si="159"/>
        <v>0</v>
      </c>
      <c r="S4965" s="31">
        <v>202304</v>
      </c>
      <c r="T4965" s="60" t="s">
        <v>6498</v>
      </c>
      <c r="U4965" s="411"/>
      <c r="V4965" s="411"/>
      <c r="W4965" s="411"/>
      <c r="X4965" s="34"/>
      <c r="Y4965" s="34"/>
    </row>
    <row r="4966" s="3" customFormat="1" customHeight="1" spans="1:25">
      <c r="A4966" s="11" t="s">
        <v>448</v>
      </c>
      <c r="B4966" s="11" t="s">
        <v>6300</v>
      </c>
      <c r="C4966" s="11" t="s">
        <v>512</v>
      </c>
      <c r="D4966" s="35" t="s">
        <v>6301</v>
      </c>
      <c r="E4966" s="13" t="s">
        <v>6484</v>
      </c>
      <c r="F4966" s="11" t="s">
        <v>6485</v>
      </c>
      <c r="G4966" s="11" t="s">
        <v>31</v>
      </c>
      <c r="H4966" s="110" t="s">
        <v>6486</v>
      </c>
      <c r="I4966" s="30" t="e">
        <f>VLOOKUP(H4966,'合同高级查询数据-4月返'!A:A,1,FALSE)</f>
        <v>#N/A</v>
      </c>
      <c r="J4966" s="31" t="s">
        <v>33</v>
      </c>
      <c r="K4966" s="11" t="s">
        <v>6499</v>
      </c>
      <c r="L4966" s="32" t="s">
        <v>6499</v>
      </c>
      <c r="M4966" s="113"/>
      <c r="N4966" s="193">
        <v>43034</v>
      </c>
      <c r="O4966" s="476" t="s">
        <v>37</v>
      </c>
      <c r="P4966" s="465">
        <v>0</v>
      </c>
      <c r="Q4966" s="459">
        <v>256</v>
      </c>
      <c r="R4966" s="465">
        <f t="shared" si="159"/>
        <v>0</v>
      </c>
      <c r="S4966" s="31">
        <v>202304</v>
      </c>
      <c r="T4966" s="60" t="s">
        <v>6500</v>
      </c>
      <c r="U4966" s="411"/>
      <c r="V4966" s="438"/>
      <c r="W4966" s="438"/>
      <c r="X4966" s="34"/>
      <c r="Y4966" s="34"/>
    </row>
    <row r="4967" s="3" customFormat="1" customHeight="1" spans="1:25">
      <c r="A4967" s="11" t="s">
        <v>448</v>
      </c>
      <c r="B4967" s="11" t="s">
        <v>6300</v>
      </c>
      <c r="C4967" s="11" t="s">
        <v>512</v>
      </c>
      <c r="D4967" s="35" t="s">
        <v>6301</v>
      </c>
      <c r="E4967" s="13" t="s">
        <v>6484</v>
      </c>
      <c r="F4967" s="11" t="s">
        <v>6485</v>
      </c>
      <c r="G4967" s="11" t="s">
        <v>31</v>
      </c>
      <c r="H4967" s="110" t="s">
        <v>6486</v>
      </c>
      <c r="I4967" s="30" t="e">
        <f>VLOOKUP(H4967,'合同高级查询数据-4月返'!A:A,1,FALSE)</f>
        <v>#N/A</v>
      </c>
      <c r="J4967" s="31" t="s">
        <v>33</v>
      </c>
      <c r="K4967" s="11" t="s">
        <v>6499</v>
      </c>
      <c r="L4967" s="32" t="s">
        <v>6499</v>
      </c>
      <c r="M4967" s="470"/>
      <c r="N4967" s="193">
        <v>43799</v>
      </c>
      <c r="O4967" s="11" t="s">
        <v>37</v>
      </c>
      <c r="P4967" s="465">
        <v>0</v>
      </c>
      <c r="Q4967" s="459">
        <v>-256</v>
      </c>
      <c r="R4967" s="465">
        <f t="shared" si="159"/>
        <v>0</v>
      </c>
      <c r="S4967" s="31">
        <v>202304</v>
      </c>
      <c r="T4967" s="60" t="s">
        <v>6500</v>
      </c>
      <c r="U4967" s="411"/>
      <c r="V4967" s="411"/>
      <c r="W4967" s="411"/>
      <c r="X4967" s="34"/>
      <c r="Y4967" s="34"/>
    </row>
    <row r="4968" s="3" customFormat="1" customHeight="1" spans="1:25">
      <c r="A4968" s="11" t="s">
        <v>448</v>
      </c>
      <c r="B4968" s="11" t="s">
        <v>6300</v>
      </c>
      <c r="C4968" s="11" t="s">
        <v>512</v>
      </c>
      <c r="D4968" s="35" t="s">
        <v>6301</v>
      </c>
      <c r="E4968" s="13" t="s">
        <v>6484</v>
      </c>
      <c r="F4968" s="11" t="s">
        <v>6485</v>
      </c>
      <c r="G4968" s="11" t="s">
        <v>31</v>
      </c>
      <c r="H4968" s="110" t="s">
        <v>6486</v>
      </c>
      <c r="I4968" s="30" t="e">
        <f>VLOOKUP(H4968,'合同高级查询数据-4月返'!A:A,1,FALSE)</f>
        <v>#N/A</v>
      </c>
      <c r="J4968" s="31" t="s">
        <v>33</v>
      </c>
      <c r="K4968" s="11" t="s">
        <v>6501</v>
      </c>
      <c r="L4968" s="32" t="s">
        <v>6501</v>
      </c>
      <c r="M4968" s="113" t="s">
        <v>6502</v>
      </c>
      <c r="N4968" s="193">
        <v>43735</v>
      </c>
      <c r="O4968" s="11" t="s">
        <v>37</v>
      </c>
      <c r="P4968" s="465">
        <v>0</v>
      </c>
      <c r="Q4968" s="459">
        <v>544</v>
      </c>
      <c r="R4968" s="465">
        <f t="shared" si="159"/>
        <v>0</v>
      </c>
      <c r="S4968" s="31">
        <v>202304</v>
      </c>
      <c r="T4968" s="60" t="s">
        <v>6503</v>
      </c>
      <c r="U4968" s="411"/>
      <c r="V4968" s="411"/>
      <c r="W4968" s="411"/>
      <c r="X4968" s="34"/>
      <c r="Y4968" s="34"/>
    </row>
    <row r="4969" s="3" customFormat="1" customHeight="1" spans="1:25">
      <c r="A4969" s="11" t="s">
        <v>448</v>
      </c>
      <c r="B4969" s="11" t="s">
        <v>6300</v>
      </c>
      <c r="C4969" s="11" t="s">
        <v>512</v>
      </c>
      <c r="D4969" s="35" t="s">
        <v>6301</v>
      </c>
      <c r="E4969" s="13" t="s">
        <v>6484</v>
      </c>
      <c r="F4969" s="11" t="s">
        <v>6485</v>
      </c>
      <c r="G4969" s="11" t="s">
        <v>31</v>
      </c>
      <c r="H4969" s="110" t="s">
        <v>6486</v>
      </c>
      <c r="I4969" s="30" t="e">
        <f>VLOOKUP(H4969,'合同高级查询数据-4月返'!A:A,1,FALSE)</f>
        <v>#N/A</v>
      </c>
      <c r="J4969" s="31" t="s">
        <v>33</v>
      </c>
      <c r="K4969" s="11" t="s">
        <v>516</v>
      </c>
      <c r="L4969" s="32" t="s">
        <v>6495</v>
      </c>
      <c r="M4969" s="113" t="s">
        <v>6504</v>
      </c>
      <c r="N4969" s="193">
        <v>44298</v>
      </c>
      <c r="O4969" s="11" t="s">
        <v>37</v>
      </c>
      <c r="P4969" s="465">
        <v>0</v>
      </c>
      <c r="Q4969" s="459">
        <v>128</v>
      </c>
      <c r="R4969" s="465">
        <f t="shared" si="159"/>
        <v>0</v>
      </c>
      <c r="S4969" s="31">
        <v>202304</v>
      </c>
      <c r="T4969" s="60" t="s">
        <v>6505</v>
      </c>
      <c r="U4969" s="411"/>
      <c r="V4969" s="411"/>
      <c r="W4969" s="411"/>
      <c r="X4969" s="34"/>
      <c r="Y4969" s="34"/>
    </row>
    <row r="4970" s="3" customFormat="1" customHeight="1" spans="1:25">
      <c r="A4970" s="11" t="s">
        <v>448</v>
      </c>
      <c r="B4970" s="11" t="s">
        <v>6300</v>
      </c>
      <c r="C4970" s="11" t="s">
        <v>512</v>
      </c>
      <c r="D4970" s="35" t="s">
        <v>6301</v>
      </c>
      <c r="E4970" s="13" t="s">
        <v>6484</v>
      </c>
      <c r="F4970" s="11" t="s">
        <v>6485</v>
      </c>
      <c r="G4970" s="11" t="s">
        <v>31</v>
      </c>
      <c r="H4970" s="110" t="s">
        <v>6486</v>
      </c>
      <c r="I4970" s="30" t="e">
        <f>VLOOKUP(H4970,'合同高级查询数据-4月返'!A:A,1,FALSE)</f>
        <v>#N/A</v>
      </c>
      <c r="J4970" s="31" t="s">
        <v>33</v>
      </c>
      <c r="K4970" s="11" t="s">
        <v>516</v>
      </c>
      <c r="L4970" s="477" t="s">
        <v>6495</v>
      </c>
      <c r="M4970" s="470" t="s">
        <v>6504</v>
      </c>
      <c r="N4970" s="193">
        <v>44383</v>
      </c>
      <c r="O4970" s="466" t="s">
        <v>37</v>
      </c>
      <c r="P4970" s="465">
        <v>0</v>
      </c>
      <c r="Q4970" s="459">
        <v>256</v>
      </c>
      <c r="R4970" s="465">
        <f t="shared" si="159"/>
        <v>0</v>
      </c>
      <c r="S4970" s="31">
        <v>202304</v>
      </c>
      <c r="T4970" s="60" t="s">
        <v>6506</v>
      </c>
      <c r="U4970" s="411"/>
      <c r="V4970" s="438"/>
      <c r="W4970" s="438"/>
      <c r="X4970" s="34"/>
      <c r="Y4970" s="34"/>
    </row>
    <row r="4971" s="3" customFormat="1" customHeight="1" spans="1:25">
      <c r="A4971" s="11" t="s">
        <v>448</v>
      </c>
      <c r="B4971" s="11" t="s">
        <v>6300</v>
      </c>
      <c r="C4971" s="11" t="s">
        <v>512</v>
      </c>
      <c r="D4971" s="35" t="s">
        <v>6301</v>
      </c>
      <c r="E4971" s="13" t="s">
        <v>6484</v>
      </c>
      <c r="F4971" s="11" t="s">
        <v>6485</v>
      </c>
      <c r="G4971" s="11" t="s">
        <v>31</v>
      </c>
      <c r="H4971" s="110" t="s">
        <v>6486</v>
      </c>
      <c r="I4971" s="30" t="e">
        <f>VLOOKUP(H4971,'合同高级查询数据-4月返'!A:A,1,FALSE)</f>
        <v>#N/A</v>
      </c>
      <c r="J4971" s="31" t="s">
        <v>33</v>
      </c>
      <c r="K4971" s="11" t="s">
        <v>516</v>
      </c>
      <c r="L4971" s="32" t="s">
        <v>6495</v>
      </c>
      <c r="M4971" s="470" t="s">
        <v>6504</v>
      </c>
      <c r="N4971" s="193">
        <v>44370</v>
      </c>
      <c r="O4971" s="11" t="s">
        <v>37</v>
      </c>
      <c r="P4971" s="465">
        <v>0</v>
      </c>
      <c r="Q4971" s="459">
        <v>128</v>
      </c>
      <c r="R4971" s="465">
        <f t="shared" si="159"/>
        <v>0</v>
      </c>
      <c r="S4971" s="31">
        <v>202304</v>
      </c>
      <c r="T4971" s="60" t="s">
        <v>6507</v>
      </c>
      <c r="U4971" s="411"/>
      <c r="V4971" s="411"/>
      <c r="W4971" s="411"/>
      <c r="X4971" s="34"/>
      <c r="Y4971" s="34"/>
    </row>
    <row r="4972" s="3" customFormat="1" customHeight="1" spans="1:25">
      <c r="A4972" s="11" t="s">
        <v>448</v>
      </c>
      <c r="B4972" s="11" t="s">
        <v>6300</v>
      </c>
      <c r="C4972" s="11" t="s">
        <v>512</v>
      </c>
      <c r="D4972" s="35" t="s">
        <v>6301</v>
      </c>
      <c r="E4972" s="13" t="s">
        <v>6484</v>
      </c>
      <c r="F4972" s="11" t="s">
        <v>6485</v>
      </c>
      <c r="G4972" s="11" t="s">
        <v>31</v>
      </c>
      <c r="H4972" s="110" t="s">
        <v>6486</v>
      </c>
      <c r="I4972" s="30" t="e">
        <f>VLOOKUP(H4972,'合同高级查询数据-4月返'!A:A,1,FALSE)</f>
        <v>#N/A</v>
      </c>
      <c r="J4972" s="31" t="s">
        <v>33</v>
      </c>
      <c r="K4972" s="11" t="s">
        <v>516</v>
      </c>
      <c r="L4972" s="32" t="s">
        <v>6495</v>
      </c>
      <c r="M4972" s="470" t="s">
        <v>6504</v>
      </c>
      <c r="N4972" s="193">
        <v>44419</v>
      </c>
      <c r="O4972" s="11" t="s">
        <v>37</v>
      </c>
      <c r="P4972" s="465">
        <v>0</v>
      </c>
      <c r="Q4972" s="459">
        <v>128</v>
      </c>
      <c r="R4972" s="465">
        <f t="shared" si="159"/>
        <v>0</v>
      </c>
      <c r="S4972" s="31">
        <v>202304</v>
      </c>
      <c r="T4972" s="60" t="s">
        <v>6508</v>
      </c>
      <c r="U4972" s="411"/>
      <c r="V4972" s="411"/>
      <c r="W4972" s="411"/>
      <c r="X4972" s="34"/>
      <c r="Y4972" s="34"/>
    </row>
    <row r="4973" s="3" customFormat="1" customHeight="1" spans="1:25">
      <c r="A4973" s="11" t="s">
        <v>448</v>
      </c>
      <c r="B4973" s="11" t="s">
        <v>6300</v>
      </c>
      <c r="C4973" s="11" t="s">
        <v>512</v>
      </c>
      <c r="D4973" s="35" t="s">
        <v>6301</v>
      </c>
      <c r="E4973" s="13" t="s">
        <v>6484</v>
      </c>
      <c r="F4973" s="11" t="s">
        <v>6485</v>
      </c>
      <c r="G4973" s="11" t="s">
        <v>31</v>
      </c>
      <c r="H4973" s="110" t="s">
        <v>6509</v>
      </c>
      <c r="I4973" s="30" t="e">
        <f>VLOOKUP(H4973,'合同高级查询数据-4月返'!A:A,1,FALSE)</f>
        <v>#N/A</v>
      </c>
      <c r="J4973" s="31" t="s">
        <v>33</v>
      </c>
      <c r="K4973" s="32" t="s">
        <v>6510</v>
      </c>
      <c r="L4973" s="32" t="s">
        <v>6493</v>
      </c>
      <c r="M4973" s="113" t="s">
        <v>6511</v>
      </c>
      <c r="N4973" s="193">
        <v>44694</v>
      </c>
      <c r="O4973" s="11" t="s">
        <v>37</v>
      </c>
      <c r="P4973" s="465">
        <v>0</v>
      </c>
      <c r="Q4973" s="459">
        <v>128</v>
      </c>
      <c r="R4973" s="465">
        <f t="shared" si="159"/>
        <v>0</v>
      </c>
      <c r="S4973" s="31">
        <v>202304</v>
      </c>
      <c r="T4973" s="60" t="s">
        <v>6512</v>
      </c>
      <c r="U4973" s="411"/>
      <c r="V4973" s="438"/>
      <c r="W4973" s="438"/>
      <c r="X4973" s="34"/>
      <c r="Y4973" s="34"/>
    </row>
    <row r="4974" s="3" customFormat="1" customHeight="1" spans="1:25">
      <c r="A4974" s="11" t="s">
        <v>448</v>
      </c>
      <c r="B4974" s="11" t="s">
        <v>6300</v>
      </c>
      <c r="C4974" s="11" t="s">
        <v>512</v>
      </c>
      <c r="D4974" s="35" t="s">
        <v>6301</v>
      </c>
      <c r="E4974" s="13" t="s">
        <v>6484</v>
      </c>
      <c r="F4974" s="11" t="s">
        <v>6485</v>
      </c>
      <c r="G4974" s="11" t="s">
        <v>31</v>
      </c>
      <c r="H4974" s="110" t="s">
        <v>6486</v>
      </c>
      <c r="I4974" s="30" t="e">
        <f>VLOOKUP(H4974,'合同高级查询数据-4月返'!A:A,1,FALSE)</f>
        <v>#N/A</v>
      </c>
      <c r="J4974" s="31" t="s">
        <v>33</v>
      </c>
      <c r="K4974" s="32" t="s">
        <v>6510</v>
      </c>
      <c r="L4974" s="32" t="s">
        <v>6493</v>
      </c>
      <c r="M4974" s="113" t="s">
        <v>6511</v>
      </c>
      <c r="N4974" s="193">
        <v>44773</v>
      </c>
      <c r="O4974" s="11" t="s">
        <v>37</v>
      </c>
      <c r="P4974" s="465">
        <v>0</v>
      </c>
      <c r="Q4974" s="459">
        <v>-128</v>
      </c>
      <c r="R4974" s="465">
        <f t="shared" si="159"/>
        <v>0</v>
      </c>
      <c r="S4974" s="31">
        <v>202304</v>
      </c>
      <c r="T4974" s="60" t="s">
        <v>6513</v>
      </c>
      <c r="U4974" s="411"/>
      <c r="V4974" s="438"/>
      <c r="W4974" s="481"/>
      <c r="X4974" s="482"/>
      <c r="Y4974" s="34"/>
    </row>
    <row r="4975" s="3" customFormat="1" customHeight="1" spans="1:25">
      <c r="A4975" s="11" t="s">
        <v>448</v>
      </c>
      <c r="B4975" s="11" t="s">
        <v>6300</v>
      </c>
      <c r="C4975" s="11" t="s">
        <v>512</v>
      </c>
      <c r="D4975" s="35" t="s">
        <v>6301</v>
      </c>
      <c r="E4975" s="13" t="s">
        <v>6484</v>
      </c>
      <c r="F4975" s="11" t="s">
        <v>6485</v>
      </c>
      <c r="G4975" s="11" t="s">
        <v>31</v>
      </c>
      <c r="H4975" s="110" t="s">
        <v>6486</v>
      </c>
      <c r="I4975" s="30" t="e">
        <f>VLOOKUP(H4975,'合同高级查询数据-4月返'!A:A,1,FALSE)</f>
        <v>#N/A</v>
      </c>
      <c r="J4975" s="31" t="s">
        <v>33</v>
      </c>
      <c r="K4975" s="32" t="s">
        <v>6494</v>
      </c>
      <c r="L4975" s="32" t="s">
        <v>6495</v>
      </c>
      <c r="M4975" s="113" t="s">
        <v>6504</v>
      </c>
      <c r="N4975" s="193">
        <v>44773</v>
      </c>
      <c r="O4975" s="11" t="s">
        <v>37</v>
      </c>
      <c r="P4975" s="465">
        <v>0</v>
      </c>
      <c r="Q4975" s="459">
        <v>-256</v>
      </c>
      <c r="R4975" s="465">
        <f t="shared" si="159"/>
        <v>0</v>
      </c>
      <c r="S4975" s="31">
        <v>202304</v>
      </c>
      <c r="T4975" s="60" t="s">
        <v>6514</v>
      </c>
      <c r="U4975" s="411"/>
      <c r="V4975" s="438"/>
      <c r="W4975" s="481"/>
      <c r="X4975" s="482"/>
      <c r="Y4975" s="34"/>
    </row>
    <row r="4976" s="3" customFormat="1" customHeight="1" spans="1:25">
      <c r="A4976" s="11" t="s">
        <v>448</v>
      </c>
      <c r="B4976" s="11" t="s">
        <v>6300</v>
      </c>
      <c r="C4976" s="11" t="s">
        <v>512</v>
      </c>
      <c r="D4976" s="35" t="s">
        <v>6301</v>
      </c>
      <c r="E4976" s="13" t="s">
        <v>6484</v>
      </c>
      <c r="F4976" s="11" t="s">
        <v>6485</v>
      </c>
      <c r="G4976" s="11" t="s">
        <v>31</v>
      </c>
      <c r="H4976" s="110" t="s">
        <v>6486</v>
      </c>
      <c r="I4976" s="30" t="e">
        <f>VLOOKUP(H4976,'合同高级查询数据-4月返'!A:A,1,FALSE)</f>
        <v>#N/A</v>
      </c>
      <c r="J4976" s="31" t="s">
        <v>33</v>
      </c>
      <c r="K4976" s="32" t="s">
        <v>6515</v>
      </c>
      <c r="L4976" s="32" t="s">
        <v>6491</v>
      </c>
      <c r="M4976" s="113" t="s">
        <v>6511</v>
      </c>
      <c r="N4976" s="193">
        <v>44773</v>
      </c>
      <c r="O4976" s="11" t="s">
        <v>37</v>
      </c>
      <c r="P4976" s="465">
        <v>0</v>
      </c>
      <c r="Q4976" s="459">
        <v>-256</v>
      </c>
      <c r="R4976" s="465">
        <f t="shared" si="159"/>
        <v>0</v>
      </c>
      <c r="S4976" s="31">
        <v>202304</v>
      </c>
      <c r="T4976" s="60" t="s">
        <v>6516</v>
      </c>
      <c r="U4976" s="411"/>
      <c r="V4976" s="438"/>
      <c r="W4976" s="481"/>
      <c r="X4976" s="482"/>
      <c r="Y4976" s="34"/>
    </row>
    <row r="4977" s="3" customFormat="1" customHeight="1" spans="1:25">
      <c r="A4977" s="11" t="s">
        <v>448</v>
      </c>
      <c r="B4977" s="11" t="s">
        <v>6300</v>
      </c>
      <c r="C4977" s="11" t="s">
        <v>512</v>
      </c>
      <c r="D4977" s="35" t="s">
        <v>6301</v>
      </c>
      <c r="E4977" s="13" t="s">
        <v>6484</v>
      </c>
      <c r="F4977" s="11" t="s">
        <v>6485</v>
      </c>
      <c r="G4977" s="11" t="s">
        <v>31</v>
      </c>
      <c r="H4977" s="110" t="s">
        <v>6517</v>
      </c>
      <c r="I4977" s="30" t="e">
        <f>VLOOKUP(H4977,'合同高级查询数据-4月返'!A:A,1,FALSE)</f>
        <v>#N/A</v>
      </c>
      <c r="J4977" s="31" t="s">
        <v>33</v>
      </c>
      <c r="K4977" s="32" t="s">
        <v>6510</v>
      </c>
      <c r="L4977" s="32" t="s">
        <v>6493</v>
      </c>
      <c r="M4977" s="113" t="s">
        <v>6511</v>
      </c>
      <c r="N4977" s="193">
        <v>44798</v>
      </c>
      <c r="O4977" s="478" t="s">
        <v>37</v>
      </c>
      <c r="P4977" s="465">
        <v>0</v>
      </c>
      <c r="Q4977" s="459">
        <v>128</v>
      </c>
      <c r="R4977" s="465">
        <f t="shared" si="159"/>
        <v>0</v>
      </c>
      <c r="S4977" s="31">
        <v>202304</v>
      </c>
      <c r="T4977" s="60" t="s">
        <v>6518</v>
      </c>
      <c r="U4977" s="411"/>
      <c r="V4977" s="438"/>
      <c r="W4977" s="438"/>
      <c r="X4977" s="34"/>
      <c r="Y4977" s="34"/>
    </row>
    <row r="4978" s="3" customFormat="1" customHeight="1" spans="1:25">
      <c r="A4978" s="11" t="s">
        <v>448</v>
      </c>
      <c r="B4978" s="11" t="s">
        <v>6300</v>
      </c>
      <c r="C4978" s="11" t="s">
        <v>512</v>
      </c>
      <c r="D4978" s="35" t="s">
        <v>6301</v>
      </c>
      <c r="E4978" s="13" t="s">
        <v>6484</v>
      </c>
      <c r="F4978" s="11" t="s">
        <v>6485</v>
      </c>
      <c r="G4978" s="11" t="s">
        <v>31</v>
      </c>
      <c r="H4978" s="110" t="s">
        <v>6486</v>
      </c>
      <c r="I4978" s="30" t="e">
        <f>VLOOKUP(H4978,'合同高级查询数据-4月返'!A:A,1,FALSE)</f>
        <v>#N/A</v>
      </c>
      <c r="J4978" s="31" t="s">
        <v>33</v>
      </c>
      <c r="K4978" s="32" t="s">
        <v>6510</v>
      </c>
      <c r="L4978" s="32" t="s">
        <v>6493</v>
      </c>
      <c r="M4978" s="470" t="s">
        <v>6511</v>
      </c>
      <c r="N4978" s="193"/>
      <c r="O4978" s="11" t="s">
        <v>179</v>
      </c>
      <c r="P4978" s="465">
        <v>0</v>
      </c>
      <c r="Q4978" s="459">
        <v>1</v>
      </c>
      <c r="R4978" s="465">
        <f t="shared" si="159"/>
        <v>0</v>
      </c>
      <c r="S4978" s="31">
        <v>202304</v>
      </c>
      <c r="T4978" s="60" t="s">
        <v>6519</v>
      </c>
      <c r="U4978" s="411"/>
      <c r="V4978" s="411"/>
      <c r="W4978" s="411"/>
      <c r="X4978" s="34"/>
      <c r="Y4978" s="34"/>
    </row>
    <row r="4979" s="3" customFormat="1" customHeight="1" spans="1:25">
      <c r="A4979" s="11" t="s">
        <v>448</v>
      </c>
      <c r="B4979" s="11" t="s">
        <v>6300</v>
      </c>
      <c r="C4979" s="11" t="s">
        <v>512</v>
      </c>
      <c r="D4979" s="35" t="s">
        <v>6301</v>
      </c>
      <c r="E4979" s="13" t="s">
        <v>6484</v>
      </c>
      <c r="F4979" s="11" t="s">
        <v>6485</v>
      </c>
      <c r="G4979" s="11" t="s">
        <v>31</v>
      </c>
      <c r="H4979" s="110" t="s">
        <v>6486</v>
      </c>
      <c r="I4979" s="30" t="e">
        <f>VLOOKUP(H4979,'合同高级查询数据-4月返'!A:A,1,FALSE)</f>
        <v>#N/A</v>
      </c>
      <c r="J4979" s="31" t="s">
        <v>33</v>
      </c>
      <c r="K4979" s="32" t="s">
        <v>6494</v>
      </c>
      <c r="L4979" s="32" t="s">
        <v>6495</v>
      </c>
      <c r="M4979" s="113" t="s">
        <v>6504</v>
      </c>
      <c r="N4979" s="193"/>
      <c r="O4979" s="11" t="s">
        <v>179</v>
      </c>
      <c r="P4979" s="465">
        <v>0</v>
      </c>
      <c r="Q4979" s="459">
        <v>1</v>
      </c>
      <c r="R4979" s="465">
        <f t="shared" si="159"/>
        <v>0</v>
      </c>
      <c r="S4979" s="31">
        <v>202304</v>
      </c>
      <c r="T4979" s="60" t="s">
        <v>6520</v>
      </c>
      <c r="U4979" s="411"/>
      <c r="V4979" s="411"/>
      <c r="W4979" s="411"/>
      <c r="X4979" s="34"/>
      <c r="Y4979" s="34"/>
    </row>
    <row r="4980" s="3" customFormat="1" customHeight="1" spans="1:25">
      <c r="A4980" s="11" t="s">
        <v>448</v>
      </c>
      <c r="B4980" s="11" t="s">
        <v>6300</v>
      </c>
      <c r="C4980" s="11" t="s">
        <v>512</v>
      </c>
      <c r="D4980" s="35" t="s">
        <v>6301</v>
      </c>
      <c r="E4980" s="13" t="s">
        <v>6484</v>
      </c>
      <c r="F4980" s="11" t="s">
        <v>6485</v>
      </c>
      <c r="G4980" s="11" t="s">
        <v>31</v>
      </c>
      <c r="H4980" s="110" t="s">
        <v>6486</v>
      </c>
      <c r="I4980" s="30" t="e">
        <f>VLOOKUP(H4980,'合同高级查询数据-4月返'!A:A,1,FALSE)</f>
        <v>#N/A</v>
      </c>
      <c r="J4980" s="31" t="s">
        <v>33</v>
      </c>
      <c r="K4980" s="32" t="s">
        <v>6515</v>
      </c>
      <c r="L4980" s="32" t="s">
        <v>6491</v>
      </c>
      <c r="M4980" s="113" t="s">
        <v>6511</v>
      </c>
      <c r="N4980" s="193"/>
      <c r="O4980" s="11" t="s">
        <v>179</v>
      </c>
      <c r="P4980" s="465">
        <v>0</v>
      </c>
      <c r="Q4980" s="459">
        <v>1</v>
      </c>
      <c r="R4980" s="465">
        <f t="shared" si="159"/>
        <v>0</v>
      </c>
      <c r="S4980" s="31">
        <v>202304</v>
      </c>
      <c r="T4980" s="60" t="s">
        <v>6519</v>
      </c>
      <c r="U4980" s="411"/>
      <c r="V4980" s="411"/>
      <c r="W4980" s="411"/>
      <c r="X4980" s="34"/>
      <c r="Y4980" s="34"/>
    </row>
    <row r="4981" s="3" customFormat="1" customHeight="1" spans="1:25">
      <c r="A4981" s="11" t="s">
        <v>448</v>
      </c>
      <c r="B4981" s="11" t="s">
        <v>6300</v>
      </c>
      <c r="C4981" s="11" t="s">
        <v>512</v>
      </c>
      <c r="D4981" s="35" t="s">
        <v>6301</v>
      </c>
      <c r="E4981" s="13" t="s">
        <v>6484</v>
      </c>
      <c r="F4981" s="11" t="s">
        <v>6485</v>
      </c>
      <c r="G4981" s="11" t="s">
        <v>31</v>
      </c>
      <c r="H4981" s="110" t="s">
        <v>6486</v>
      </c>
      <c r="I4981" s="30" t="e">
        <f>VLOOKUP(H4981,'合同高级查询数据-4月返'!A:A,1,FALSE)</f>
        <v>#N/A</v>
      </c>
      <c r="J4981" s="31" t="s">
        <v>33</v>
      </c>
      <c r="K4981" s="32" t="s">
        <v>6521</v>
      </c>
      <c r="L4981" s="32" t="s">
        <v>6501</v>
      </c>
      <c r="M4981" s="470" t="s">
        <v>6502</v>
      </c>
      <c r="N4981" s="193"/>
      <c r="O4981" s="478" t="s">
        <v>179</v>
      </c>
      <c r="P4981" s="465">
        <v>0</v>
      </c>
      <c r="Q4981" s="459">
        <v>1</v>
      </c>
      <c r="R4981" s="465">
        <f t="shared" si="159"/>
        <v>0</v>
      </c>
      <c r="S4981" s="31">
        <v>202304</v>
      </c>
      <c r="T4981" s="60" t="s">
        <v>6520</v>
      </c>
      <c r="U4981" s="411"/>
      <c r="V4981" s="438"/>
      <c r="W4981" s="438"/>
      <c r="X4981" s="34"/>
      <c r="Y4981" s="34"/>
    </row>
    <row r="4982" s="3" customFormat="1" customHeight="1" spans="1:25">
      <c r="A4982" s="11" t="s">
        <v>448</v>
      </c>
      <c r="B4982" s="11" t="s">
        <v>6300</v>
      </c>
      <c r="C4982" s="11" t="s">
        <v>512</v>
      </c>
      <c r="D4982" s="35" t="s">
        <v>6301</v>
      </c>
      <c r="E4982" s="13" t="s">
        <v>6484</v>
      </c>
      <c r="F4982" s="11" t="s">
        <v>6485</v>
      </c>
      <c r="G4982" s="11" t="s">
        <v>88</v>
      </c>
      <c r="H4982" s="110" t="s">
        <v>6486</v>
      </c>
      <c r="I4982" s="30" t="e">
        <f>VLOOKUP(H4982,'合同高级查询数据-4月返'!A:A,1,FALSE)</f>
        <v>#N/A</v>
      </c>
      <c r="J4982" s="31" t="s">
        <v>162</v>
      </c>
      <c r="K4982" s="11" t="s">
        <v>6487</v>
      </c>
      <c r="L4982" s="32"/>
      <c r="M4982" s="470" t="s">
        <v>6522</v>
      </c>
      <c r="N4982" s="193">
        <v>41786</v>
      </c>
      <c r="O4982" s="11" t="s">
        <v>702</v>
      </c>
      <c r="P4982" s="465">
        <v>4167</v>
      </c>
      <c r="Q4982" s="459">
        <v>14</v>
      </c>
      <c r="R4982" s="465">
        <f t="shared" si="159"/>
        <v>58338</v>
      </c>
      <c r="S4982" s="31">
        <v>202304</v>
      </c>
      <c r="T4982" s="60" t="s">
        <v>6523</v>
      </c>
      <c r="U4982" s="411"/>
      <c r="V4982" s="411"/>
      <c r="W4982" s="411"/>
      <c r="X4982" s="34"/>
      <c r="Y4982" s="34"/>
    </row>
    <row r="4983" s="3" customFormat="1" customHeight="1" spans="1:25">
      <c r="A4983" s="11" t="s">
        <v>448</v>
      </c>
      <c r="B4983" s="11" t="s">
        <v>6300</v>
      </c>
      <c r="C4983" s="11" t="s">
        <v>512</v>
      </c>
      <c r="D4983" s="35" t="s">
        <v>6301</v>
      </c>
      <c r="E4983" s="13" t="s">
        <v>6484</v>
      </c>
      <c r="F4983" s="11" t="s">
        <v>6485</v>
      </c>
      <c r="G4983" s="11" t="s">
        <v>88</v>
      </c>
      <c r="H4983" s="110" t="s">
        <v>6486</v>
      </c>
      <c r="I4983" s="30" t="e">
        <f>VLOOKUP(H4983,'合同高级查询数据-4月返'!A:A,1,FALSE)</f>
        <v>#N/A</v>
      </c>
      <c r="J4983" s="31" t="s">
        <v>162</v>
      </c>
      <c r="K4983" s="11" t="s">
        <v>6487</v>
      </c>
      <c r="L4983" s="32"/>
      <c r="M4983" s="470" t="s">
        <v>6522</v>
      </c>
      <c r="N4983" s="193">
        <v>43799</v>
      </c>
      <c r="O4983" s="11" t="s">
        <v>702</v>
      </c>
      <c r="P4983" s="465">
        <v>4167</v>
      </c>
      <c r="Q4983" s="459">
        <v>-14</v>
      </c>
      <c r="R4983" s="465">
        <f t="shared" si="159"/>
        <v>-58338</v>
      </c>
      <c r="S4983" s="31">
        <v>202304</v>
      </c>
      <c r="T4983" s="60" t="s">
        <v>6523</v>
      </c>
      <c r="U4983" s="411"/>
      <c r="V4983" s="411"/>
      <c r="W4983" s="411"/>
      <c r="X4983" s="34"/>
      <c r="Y4983" s="34"/>
    </row>
    <row r="4984" s="3" customFormat="1" customHeight="1" spans="1:25">
      <c r="A4984" s="11" t="s">
        <v>448</v>
      </c>
      <c r="B4984" s="11" t="s">
        <v>6300</v>
      </c>
      <c r="C4984" s="11" t="s">
        <v>512</v>
      </c>
      <c r="D4984" s="35" t="s">
        <v>6301</v>
      </c>
      <c r="E4984" s="13" t="s">
        <v>6484</v>
      </c>
      <c r="F4984" s="11" t="s">
        <v>6485</v>
      </c>
      <c r="G4984" s="11" t="s">
        <v>88</v>
      </c>
      <c r="H4984" s="110" t="s">
        <v>6486</v>
      </c>
      <c r="I4984" s="30" t="e">
        <f>VLOOKUP(H4984,'合同高级查询数据-4月返'!A:A,1,FALSE)</f>
        <v>#N/A</v>
      </c>
      <c r="J4984" s="31" t="s">
        <v>162</v>
      </c>
      <c r="K4984" s="11" t="s">
        <v>6524</v>
      </c>
      <c r="L4984" s="32"/>
      <c r="M4984" s="113" t="s">
        <v>6511</v>
      </c>
      <c r="N4984" s="193" t="s">
        <v>1329</v>
      </c>
      <c r="O4984" s="11" t="s">
        <v>92</v>
      </c>
      <c r="P4984" s="465">
        <v>4500</v>
      </c>
      <c r="Q4984" s="459">
        <v>1</v>
      </c>
      <c r="R4984" s="465">
        <f t="shared" si="159"/>
        <v>4500</v>
      </c>
      <c r="S4984" s="31">
        <v>202304</v>
      </c>
      <c r="T4984" s="60" t="s">
        <v>6525</v>
      </c>
      <c r="U4984" s="411"/>
      <c r="V4984" s="411"/>
      <c r="W4984" s="411"/>
      <c r="X4984" s="34"/>
      <c r="Y4984" s="34"/>
    </row>
    <row r="4985" s="3" customFormat="1" customHeight="1" spans="1:25">
      <c r="A4985" s="11" t="s">
        <v>448</v>
      </c>
      <c r="B4985" s="11" t="s">
        <v>6300</v>
      </c>
      <c r="C4985" s="11" t="s">
        <v>512</v>
      </c>
      <c r="D4985" s="35" t="s">
        <v>6301</v>
      </c>
      <c r="E4985" s="13" t="s">
        <v>6484</v>
      </c>
      <c r="F4985" s="11" t="s">
        <v>6485</v>
      </c>
      <c r="G4985" s="11" t="s">
        <v>88</v>
      </c>
      <c r="H4985" s="110" t="s">
        <v>6486</v>
      </c>
      <c r="I4985" s="30" t="e">
        <f>VLOOKUP(H4985,'合同高级查询数据-4月返'!A:A,1,FALSE)</f>
        <v>#N/A</v>
      </c>
      <c r="J4985" s="31" t="s">
        <v>162</v>
      </c>
      <c r="K4985" s="11" t="s">
        <v>6524</v>
      </c>
      <c r="L4985" s="32"/>
      <c r="M4985" s="113" t="s">
        <v>6511</v>
      </c>
      <c r="N4985" s="193" t="s">
        <v>1329</v>
      </c>
      <c r="O4985" s="11" t="s">
        <v>92</v>
      </c>
      <c r="P4985" s="465">
        <v>4500</v>
      </c>
      <c r="Q4985" s="459">
        <v>4</v>
      </c>
      <c r="R4985" s="465">
        <f t="shared" si="159"/>
        <v>18000</v>
      </c>
      <c r="S4985" s="31">
        <v>202304</v>
      </c>
      <c r="T4985" s="60" t="s">
        <v>6526</v>
      </c>
      <c r="U4985" s="411"/>
      <c r="V4985" s="411"/>
      <c r="W4985" s="411"/>
      <c r="X4985" s="34"/>
      <c r="Y4985" s="34"/>
    </row>
    <row r="4986" s="3" customFormat="1" customHeight="1" spans="1:25">
      <c r="A4986" s="11" t="s">
        <v>448</v>
      </c>
      <c r="B4986" s="11" t="s">
        <v>6300</v>
      </c>
      <c r="C4986" s="11" t="s">
        <v>512</v>
      </c>
      <c r="D4986" s="35" t="s">
        <v>6301</v>
      </c>
      <c r="E4986" s="13" t="s">
        <v>6484</v>
      </c>
      <c r="F4986" s="11" t="s">
        <v>6485</v>
      </c>
      <c r="G4986" s="11" t="s">
        <v>88</v>
      </c>
      <c r="H4986" s="110" t="s">
        <v>6486</v>
      </c>
      <c r="I4986" s="30" t="e">
        <f>VLOOKUP(H4986,'合同高级查询数据-4月返'!A:A,1,FALSE)</f>
        <v>#N/A</v>
      </c>
      <c r="J4986" s="31" t="s">
        <v>162</v>
      </c>
      <c r="K4986" s="32" t="s">
        <v>6524</v>
      </c>
      <c r="L4986" s="32"/>
      <c r="M4986" s="113" t="s">
        <v>6511</v>
      </c>
      <c r="N4986" s="193">
        <v>43665</v>
      </c>
      <c r="O4986" s="466" t="s">
        <v>92</v>
      </c>
      <c r="P4986" s="465">
        <v>4500</v>
      </c>
      <c r="Q4986" s="459">
        <v>-4</v>
      </c>
      <c r="R4986" s="465">
        <f t="shared" si="159"/>
        <v>-18000</v>
      </c>
      <c r="S4986" s="31">
        <v>202304</v>
      </c>
      <c r="T4986" s="60" t="s">
        <v>6527</v>
      </c>
      <c r="U4986" s="411"/>
      <c r="V4986" s="438"/>
      <c r="W4986" s="438"/>
      <c r="X4986" s="34"/>
      <c r="Y4986" s="34"/>
    </row>
    <row r="4987" s="3" customFormat="1" customHeight="1" spans="1:25">
      <c r="A4987" s="11" t="s">
        <v>448</v>
      </c>
      <c r="B4987" s="11" t="s">
        <v>6300</v>
      </c>
      <c r="C4987" s="11" t="s">
        <v>512</v>
      </c>
      <c r="D4987" s="35" t="s">
        <v>6301</v>
      </c>
      <c r="E4987" s="13" t="s">
        <v>6484</v>
      </c>
      <c r="F4987" s="11" t="s">
        <v>6485</v>
      </c>
      <c r="G4987" s="11" t="s">
        <v>88</v>
      </c>
      <c r="H4987" s="110" t="s">
        <v>6486</v>
      </c>
      <c r="I4987" s="30" t="e">
        <f>VLOOKUP(H4987,'合同高级查询数据-4月返'!A:A,1,FALSE)</f>
        <v>#N/A</v>
      </c>
      <c r="J4987" s="31" t="s">
        <v>162</v>
      </c>
      <c r="K4987" s="32" t="s">
        <v>6524</v>
      </c>
      <c r="L4987" s="32"/>
      <c r="M4987" s="113" t="s">
        <v>6511</v>
      </c>
      <c r="N4987" s="193">
        <v>43665</v>
      </c>
      <c r="O4987" s="479" t="s">
        <v>92</v>
      </c>
      <c r="P4987" s="465">
        <v>4500</v>
      </c>
      <c r="Q4987" s="459">
        <v>1</v>
      </c>
      <c r="R4987" s="465">
        <f t="shared" si="159"/>
        <v>4500</v>
      </c>
      <c r="S4987" s="31">
        <v>202304</v>
      </c>
      <c r="T4987" s="60" t="s">
        <v>6528</v>
      </c>
      <c r="U4987" s="411"/>
      <c r="V4987" s="411"/>
      <c r="W4987" s="411"/>
      <c r="X4987" s="34"/>
      <c r="Y4987" s="34"/>
    </row>
    <row r="4988" s="3" customFormat="1" customHeight="1" spans="1:25">
      <c r="A4988" s="11" t="s">
        <v>448</v>
      </c>
      <c r="B4988" s="11" t="s">
        <v>6300</v>
      </c>
      <c r="C4988" s="11" t="s">
        <v>512</v>
      </c>
      <c r="D4988" s="35" t="s">
        <v>6301</v>
      </c>
      <c r="E4988" s="13" t="s">
        <v>6484</v>
      </c>
      <c r="F4988" s="11" t="s">
        <v>6485</v>
      </c>
      <c r="G4988" s="11" t="s">
        <v>88</v>
      </c>
      <c r="H4988" s="110" t="s">
        <v>6486</v>
      </c>
      <c r="I4988" s="30" t="e">
        <f>VLOOKUP(H4988,'合同高级查询数据-4月返'!A:A,1,FALSE)</f>
        <v>#N/A</v>
      </c>
      <c r="J4988" s="31" t="s">
        <v>162</v>
      </c>
      <c r="K4988" s="32" t="s">
        <v>6510</v>
      </c>
      <c r="L4988" s="32"/>
      <c r="M4988" s="113" t="s">
        <v>6511</v>
      </c>
      <c r="N4988" s="193" t="s">
        <v>1329</v>
      </c>
      <c r="O4988" s="466" t="s">
        <v>92</v>
      </c>
      <c r="P4988" s="465">
        <v>4500</v>
      </c>
      <c r="Q4988" s="459">
        <v>7</v>
      </c>
      <c r="R4988" s="465">
        <f t="shared" si="159"/>
        <v>31500</v>
      </c>
      <c r="S4988" s="31">
        <v>202304</v>
      </c>
      <c r="T4988" s="60" t="s">
        <v>6529</v>
      </c>
      <c r="U4988" s="411"/>
      <c r="V4988" s="411"/>
      <c r="W4988" s="411"/>
      <c r="X4988" s="34"/>
      <c r="Y4988" s="34"/>
    </row>
    <row r="4989" s="3" customFormat="1" customHeight="1" spans="1:25">
      <c r="A4989" s="11" t="s">
        <v>448</v>
      </c>
      <c r="B4989" s="11" t="s">
        <v>6300</v>
      </c>
      <c r="C4989" s="11" t="s">
        <v>512</v>
      </c>
      <c r="D4989" s="35" t="s">
        <v>6301</v>
      </c>
      <c r="E4989" s="13" t="s">
        <v>6484</v>
      </c>
      <c r="F4989" s="11" t="s">
        <v>6485</v>
      </c>
      <c r="G4989" s="11" t="s">
        <v>88</v>
      </c>
      <c r="H4989" s="110" t="s">
        <v>6486</v>
      </c>
      <c r="I4989" s="30" t="e">
        <f>VLOOKUP(H4989,'合同高级查询数据-4月返'!A:A,1,FALSE)</f>
        <v>#N/A</v>
      </c>
      <c r="J4989" s="31" t="s">
        <v>162</v>
      </c>
      <c r="K4989" s="32" t="s">
        <v>6494</v>
      </c>
      <c r="L4989" s="32"/>
      <c r="M4989" s="113" t="s">
        <v>6504</v>
      </c>
      <c r="N4989" s="193">
        <v>43494</v>
      </c>
      <c r="O4989" s="466" t="s">
        <v>702</v>
      </c>
      <c r="P4989" s="465">
        <v>4167</v>
      </c>
      <c r="Q4989" s="459">
        <v>9</v>
      </c>
      <c r="R4989" s="465">
        <f t="shared" si="159"/>
        <v>37503</v>
      </c>
      <c r="S4989" s="31">
        <v>202304</v>
      </c>
      <c r="T4989" s="60" t="s">
        <v>6530</v>
      </c>
      <c r="U4989" s="411"/>
      <c r="V4989" s="411"/>
      <c r="W4989" s="411"/>
      <c r="X4989" s="34"/>
      <c r="Y4989" s="34"/>
    </row>
    <row r="4990" s="3" customFormat="1" customHeight="1" spans="1:25">
      <c r="A4990" s="11" t="s">
        <v>448</v>
      </c>
      <c r="B4990" s="11" t="s">
        <v>6300</v>
      </c>
      <c r="C4990" s="11" t="s">
        <v>512</v>
      </c>
      <c r="D4990" s="35" t="s">
        <v>6301</v>
      </c>
      <c r="E4990" s="13" t="s">
        <v>6484</v>
      </c>
      <c r="F4990" s="11" t="s">
        <v>6485</v>
      </c>
      <c r="G4990" s="11" t="s">
        <v>88</v>
      </c>
      <c r="H4990" s="110" t="s">
        <v>6486</v>
      </c>
      <c r="I4990" s="30" t="e">
        <f>VLOOKUP(H4990,'合同高级查询数据-4月返'!A:A,1,FALSE)</f>
        <v>#N/A</v>
      </c>
      <c r="J4990" s="31" t="s">
        <v>162</v>
      </c>
      <c r="K4990" s="32" t="s">
        <v>6515</v>
      </c>
      <c r="L4990" s="32"/>
      <c r="M4990" s="113" t="s">
        <v>6511</v>
      </c>
      <c r="N4990" s="193">
        <v>43490</v>
      </c>
      <c r="O4990" s="466" t="s">
        <v>92</v>
      </c>
      <c r="P4990" s="465">
        <v>4500</v>
      </c>
      <c r="Q4990" s="459">
        <v>9</v>
      </c>
      <c r="R4990" s="465">
        <f t="shared" si="159"/>
        <v>40500</v>
      </c>
      <c r="S4990" s="31">
        <v>202304</v>
      </c>
      <c r="T4990" s="60" t="s">
        <v>6531</v>
      </c>
      <c r="U4990" s="411"/>
      <c r="V4990" s="411"/>
      <c r="W4990" s="411"/>
      <c r="X4990" s="34"/>
      <c r="Y4990" s="34"/>
    </row>
    <row r="4991" s="3" customFormat="1" customHeight="1" spans="1:25">
      <c r="A4991" s="11" t="s">
        <v>448</v>
      </c>
      <c r="B4991" s="11" t="s">
        <v>6300</v>
      </c>
      <c r="C4991" s="11" t="s">
        <v>512</v>
      </c>
      <c r="D4991" s="35" t="s">
        <v>6301</v>
      </c>
      <c r="E4991" s="13" t="s">
        <v>6484</v>
      </c>
      <c r="F4991" s="11" t="s">
        <v>6485</v>
      </c>
      <c r="G4991" s="11" t="s">
        <v>88</v>
      </c>
      <c r="H4991" s="110" t="s">
        <v>6486</v>
      </c>
      <c r="I4991" s="30" t="e">
        <f>VLOOKUP(H4991,'合同高级查询数据-4月返'!A:A,1,FALSE)</f>
        <v>#N/A</v>
      </c>
      <c r="J4991" s="31" t="s">
        <v>162</v>
      </c>
      <c r="K4991" s="32" t="s">
        <v>6532</v>
      </c>
      <c r="L4991" s="32"/>
      <c r="M4991" s="113" t="s">
        <v>6533</v>
      </c>
      <c r="N4991" s="193">
        <v>43034</v>
      </c>
      <c r="O4991" s="466" t="s">
        <v>92</v>
      </c>
      <c r="P4991" s="465">
        <v>4500</v>
      </c>
      <c r="Q4991" s="459">
        <v>8</v>
      </c>
      <c r="R4991" s="465">
        <f t="shared" si="159"/>
        <v>36000</v>
      </c>
      <c r="S4991" s="31">
        <v>202304</v>
      </c>
      <c r="T4991" s="60" t="s">
        <v>6534</v>
      </c>
      <c r="U4991" s="411"/>
      <c r="V4991" s="411"/>
      <c r="W4991" s="411"/>
      <c r="X4991" s="34"/>
      <c r="Y4991" s="34"/>
    </row>
    <row r="4992" s="3" customFormat="1" customHeight="1" spans="1:25">
      <c r="A4992" s="11" t="s">
        <v>448</v>
      </c>
      <c r="B4992" s="11" t="s">
        <v>6300</v>
      </c>
      <c r="C4992" s="11" t="s">
        <v>512</v>
      </c>
      <c r="D4992" s="35" t="s">
        <v>6301</v>
      </c>
      <c r="E4992" s="13" t="s">
        <v>6484</v>
      </c>
      <c r="F4992" s="11" t="s">
        <v>6485</v>
      </c>
      <c r="G4992" s="11" t="s">
        <v>88</v>
      </c>
      <c r="H4992" s="110" t="s">
        <v>6486</v>
      </c>
      <c r="I4992" s="30" t="e">
        <f>VLOOKUP(H4992,'合同高级查询数据-4月返'!A:A,1,FALSE)</f>
        <v>#N/A</v>
      </c>
      <c r="J4992" s="31" t="s">
        <v>162</v>
      </c>
      <c r="K4992" s="32" t="s">
        <v>6532</v>
      </c>
      <c r="L4992" s="32"/>
      <c r="M4992" s="113" t="s">
        <v>6533</v>
      </c>
      <c r="N4992" s="193">
        <v>43799</v>
      </c>
      <c r="O4992" s="466" t="s">
        <v>92</v>
      </c>
      <c r="P4992" s="465">
        <v>4500</v>
      </c>
      <c r="Q4992" s="459">
        <v>-8</v>
      </c>
      <c r="R4992" s="465">
        <f t="shared" si="159"/>
        <v>-36000</v>
      </c>
      <c r="S4992" s="31">
        <v>202304</v>
      </c>
      <c r="T4992" s="60" t="s">
        <v>6534</v>
      </c>
      <c r="U4992" s="411"/>
      <c r="V4992" s="411"/>
      <c r="W4992" s="411"/>
      <c r="X4992" s="34"/>
      <c r="Y4992" s="34"/>
    </row>
    <row r="4993" s="3" customFormat="1" customHeight="1" spans="1:25">
      <c r="A4993" s="11" t="s">
        <v>448</v>
      </c>
      <c r="B4993" s="11" t="s">
        <v>6300</v>
      </c>
      <c r="C4993" s="11" t="s">
        <v>512</v>
      </c>
      <c r="D4993" s="35" t="s">
        <v>6301</v>
      </c>
      <c r="E4993" s="13" t="s">
        <v>6484</v>
      </c>
      <c r="F4993" s="11" t="s">
        <v>6485</v>
      </c>
      <c r="G4993" s="11" t="s">
        <v>88</v>
      </c>
      <c r="H4993" s="110" t="s">
        <v>6486</v>
      </c>
      <c r="I4993" s="30" t="e">
        <f>VLOOKUP(H4993,'合同高级查询数据-4月返'!A:A,1,FALSE)</f>
        <v>#N/A</v>
      </c>
      <c r="J4993" s="31" t="s">
        <v>162</v>
      </c>
      <c r="K4993" s="32" t="s">
        <v>6535</v>
      </c>
      <c r="L4993" s="411"/>
      <c r="M4993" s="113" t="s">
        <v>6536</v>
      </c>
      <c r="N4993" s="193">
        <v>43034</v>
      </c>
      <c r="O4993" s="466" t="s">
        <v>92</v>
      </c>
      <c r="P4993" s="465">
        <v>4500</v>
      </c>
      <c r="Q4993" s="459">
        <v>2</v>
      </c>
      <c r="R4993" s="465">
        <f t="shared" si="159"/>
        <v>9000</v>
      </c>
      <c r="S4993" s="31">
        <v>202304</v>
      </c>
      <c r="T4993" s="60" t="s">
        <v>6537</v>
      </c>
      <c r="U4993" s="411"/>
      <c r="V4993" s="411"/>
      <c r="W4993" s="411"/>
      <c r="X4993" s="34"/>
      <c r="Y4993" s="34"/>
    </row>
    <row r="4994" s="3" customFormat="1" customHeight="1" spans="1:25">
      <c r="A4994" s="11" t="s">
        <v>448</v>
      </c>
      <c r="B4994" s="11" t="s">
        <v>6300</v>
      </c>
      <c r="C4994" s="11" t="s">
        <v>512</v>
      </c>
      <c r="D4994" s="35" t="s">
        <v>6301</v>
      </c>
      <c r="E4994" s="13" t="s">
        <v>6484</v>
      </c>
      <c r="F4994" s="11" t="s">
        <v>6485</v>
      </c>
      <c r="G4994" s="11" t="s">
        <v>88</v>
      </c>
      <c r="H4994" s="110" t="s">
        <v>6486</v>
      </c>
      <c r="I4994" s="30" t="e">
        <f>VLOOKUP(H4994,'合同高级查询数据-4月返'!A:A,1,FALSE)</f>
        <v>#N/A</v>
      </c>
      <c r="J4994" s="31" t="s">
        <v>162</v>
      </c>
      <c r="K4994" s="32" t="s">
        <v>6535</v>
      </c>
      <c r="L4994" s="32"/>
      <c r="M4994" s="113" t="s">
        <v>6536</v>
      </c>
      <c r="N4994" s="193">
        <v>43799</v>
      </c>
      <c r="O4994" s="466" t="s">
        <v>92</v>
      </c>
      <c r="P4994" s="465">
        <v>4500</v>
      </c>
      <c r="Q4994" s="459">
        <v>-2</v>
      </c>
      <c r="R4994" s="465">
        <f t="shared" si="159"/>
        <v>-9000</v>
      </c>
      <c r="S4994" s="31">
        <v>202304</v>
      </c>
      <c r="T4994" s="60" t="s">
        <v>6537</v>
      </c>
      <c r="U4994" s="411"/>
      <c r="V4994" s="411"/>
      <c r="W4994" s="411"/>
      <c r="X4994" s="34"/>
      <c r="Y4994" s="34"/>
    </row>
    <row r="4995" s="3" customFormat="1" customHeight="1" spans="1:25">
      <c r="A4995" s="11" t="s">
        <v>448</v>
      </c>
      <c r="B4995" s="11" t="s">
        <v>6300</v>
      </c>
      <c r="C4995" s="11" t="s">
        <v>512</v>
      </c>
      <c r="D4995" s="35" t="s">
        <v>6301</v>
      </c>
      <c r="E4995" s="13" t="s">
        <v>6484</v>
      </c>
      <c r="F4995" s="11" t="s">
        <v>6485</v>
      </c>
      <c r="G4995" s="11" t="s">
        <v>88</v>
      </c>
      <c r="H4995" s="110" t="s">
        <v>6486</v>
      </c>
      <c r="I4995" s="30" t="e">
        <f>VLOOKUP(H4995,'合同高级查询数据-4月返'!A:A,1,FALSE)</f>
        <v>#N/A</v>
      </c>
      <c r="J4995" s="31" t="s">
        <v>162</v>
      </c>
      <c r="K4995" s="32" t="s">
        <v>6501</v>
      </c>
      <c r="L4995" s="32" t="s">
        <v>6501</v>
      </c>
      <c r="M4995" s="113" t="s">
        <v>6502</v>
      </c>
      <c r="N4995" s="193">
        <v>43735</v>
      </c>
      <c r="O4995" s="466" t="s">
        <v>702</v>
      </c>
      <c r="P4995" s="465">
        <v>4167</v>
      </c>
      <c r="Q4995" s="459">
        <v>8</v>
      </c>
      <c r="R4995" s="465">
        <f t="shared" si="159"/>
        <v>33336</v>
      </c>
      <c r="S4995" s="31">
        <v>202304</v>
      </c>
      <c r="T4995" s="60" t="s">
        <v>6538</v>
      </c>
      <c r="U4995" s="411"/>
      <c r="V4995" s="411"/>
      <c r="W4995" s="411"/>
      <c r="X4995" s="34"/>
      <c r="Y4995" s="34"/>
    </row>
    <row r="4996" s="3" customFormat="1" customHeight="1" spans="1:25">
      <c r="A4996" s="11" t="s">
        <v>448</v>
      </c>
      <c r="B4996" s="11" t="s">
        <v>6300</v>
      </c>
      <c r="C4996" s="11" t="s">
        <v>512</v>
      </c>
      <c r="D4996" s="35" t="s">
        <v>6301</v>
      </c>
      <c r="E4996" s="13" t="s">
        <v>6484</v>
      </c>
      <c r="F4996" s="11" t="s">
        <v>6485</v>
      </c>
      <c r="G4996" s="11" t="s">
        <v>88</v>
      </c>
      <c r="H4996" s="110" t="s">
        <v>6486</v>
      </c>
      <c r="I4996" s="30" t="e">
        <f>VLOOKUP(H4996,'合同高级查询数据-4月返'!A:A,1,FALSE)</f>
        <v>#N/A</v>
      </c>
      <c r="J4996" s="31" t="s">
        <v>162</v>
      </c>
      <c r="K4996" s="32" t="s">
        <v>516</v>
      </c>
      <c r="L4996" s="32" t="s">
        <v>6495</v>
      </c>
      <c r="M4996" s="113" t="s">
        <v>6504</v>
      </c>
      <c r="N4996" s="193">
        <v>44298</v>
      </c>
      <c r="O4996" s="466" t="s">
        <v>702</v>
      </c>
      <c r="P4996" s="465">
        <v>4167</v>
      </c>
      <c r="Q4996" s="459">
        <v>5</v>
      </c>
      <c r="R4996" s="465">
        <f t="shared" si="159"/>
        <v>20835</v>
      </c>
      <c r="S4996" s="31">
        <v>202304</v>
      </c>
      <c r="T4996" s="60" t="s">
        <v>6539</v>
      </c>
      <c r="U4996" s="411"/>
      <c r="V4996" s="411"/>
      <c r="W4996" s="411"/>
      <c r="X4996" s="34"/>
      <c r="Y4996" s="34"/>
    </row>
    <row r="4997" s="3" customFormat="1" customHeight="1" spans="1:25">
      <c r="A4997" s="11" t="s">
        <v>448</v>
      </c>
      <c r="B4997" s="11" t="s">
        <v>6300</v>
      </c>
      <c r="C4997" s="11" t="s">
        <v>512</v>
      </c>
      <c r="D4997" s="35" t="s">
        <v>6301</v>
      </c>
      <c r="E4997" s="13" t="s">
        <v>6484</v>
      </c>
      <c r="F4997" s="11" t="s">
        <v>6485</v>
      </c>
      <c r="G4997" s="11" t="s">
        <v>88</v>
      </c>
      <c r="H4997" s="110" t="s">
        <v>6486</v>
      </c>
      <c r="I4997" s="30" t="e">
        <f>VLOOKUP(H4997,'合同高级查询数据-4月返'!A:A,1,FALSE)</f>
        <v>#N/A</v>
      </c>
      <c r="J4997" s="31" t="s">
        <v>162</v>
      </c>
      <c r="K4997" s="32" t="s">
        <v>516</v>
      </c>
      <c r="L4997" s="32" t="s">
        <v>6495</v>
      </c>
      <c r="M4997" s="113" t="s">
        <v>6504</v>
      </c>
      <c r="N4997" s="193">
        <v>44376</v>
      </c>
      <c r="O4997" s="11" t="s">
        <v>702</v>
      </c>
      <c r="P4997" s="465">
        <v>4167</v>
      </c>
      <c r="Q4997" s="459">
        <v>6</v>
      </c>
      <c r="R4997" s="465">
        <f t="shared" si="159"/>
        <v>25002</v>
      </c>
      <c r="S4997" s="31">
        <v>202304</v>
      </c>
      <c r="T4997" s="60" t="s">
        <v>6540</v>
      </c>
      <c r="U4997" s="411"/>
      <c r="V4997" s="411"/>
      <c r="W4997" s="411"/>
      <c r="X4997" s="34"/>
      <c r="Y4997" s="34"/>
    </row>
    <row r="4998" s="3" customFormat="1" customHeight="1" spans="1:25">
      <c r="A4998" s="11" t="s">
        <v>448</v>
      </c>
      <c r="B4998" s="11" t="s">
        <v>6300</v>
      </c>
      <c r="C4998" s="11" t="s">
        <v>512</v>
      </c>
      <c r="D4998" s="35" t="s">
        <v>6301</v>
      </c>
      <c r="E4998" s="13" t="s">
        <v>6484</v>
      </c>
      <c r="F4998" s="11" t="s">
        <v>6485</v>
      </c>
      <c r="G4998" s="11" t="s">
        <v>88</v>
      </c>
      <c r="H4998" s="110" t="s">
        <v>6486</v>
      </c>
      <c r="I4998" s="30" t="e">
        <f>VLOOKUP(H4998,'合同高级查询数据-4月返'!A:A,1,FALSE)</f>
        <v>#N/A</v>
      </c>
      <c r="J4998" s="31" t="s">
        <v>162</v>
      </c>
      <c r="K4998" s="32" t="s">
        <v>516</v>
      </c>
      <c r="L4998" s="32" t="s">
        <v>6495</v>
      </c>
      <c r="M4998" s="113" t="s">
        <v>6504</v>
      </c>
      <c r="N4998" s="193">
        <v>44382</v>
      </c>
      <c r="O4998" s="11" t="s">
        <v>702</v>
      </c>
      <c r="P4998" s="465">
        <v>4167</v>
      </c>
      <c r="Q4998" s="459">
        <v>11</v>
      </c>
      <c r="R4998" s="465">
        <f t="shared" si="159"/>
        <v>45837</v>
      </c>
      <c r="S4998" s="31">
        <v>202304</v>
      </c>
      <c r="T4998" s="483" t="s">
        <v>6541</v>
      </c>
      <c r="U4998" s="411"/>
      <c r="V4998" s="411"/>
      <c r="W4998" s="411"/>
      <c r="X4998" s="34"/>
      <c r="Y4998" s="34"/>
    </row>
    <row r="4999" s="3" customFormat="1" customHeight="1" spans="1:25">
      <c r="A4999" s="11" t="s">
        <v>448</v>
      </c>
      <c r="B4999" s="11" t="s">
        <v>6300</v>
      </c>
      <c r="C4999" s="11" t="s">
        <v>512</v>
      </c>
      <c r="D4999" s="35" t="s">
        <v>6301</v>
      </c>
      <c r="E4999" s="13" t="s">
        <v>6484</v>
      </c>
      <c r="F4999" s="11" t="s">
        <v>6485</v>
      </c>
      <c r="G4999" s="11" t="s">
        <v>88</v>
      </c>
      <c r="H4999" s="110" t="s">
        <v>6486</v>
      </c>
      <c r="I4999" s="30" t="e">
        <f>VLOOKUP(H4999,'合同高级查询数据-4月返'!A:A,1,FALSE)</f>
        <v>#N/A</v>
      </c>
      <c r="J4999" s="31" t="s">
        <v>162</v>
      </c>
      <c r="K4999" s="32" t="s">
        <v>516</v>
      </c>
      <c r="L4999" s="32" t="s">
        <v>6495</v>
      </c>
      <c r="M4999" s="470" t="s">
        <v>6504</v>
      </c>
      <c r="N4999" s="193">
        <v>44417</v>
      </c>
      <c r="O4999" s="466" t="s">
        <v>702</v>
      </c>
      <c r="P4999" s="465">
        <v>4167</v>
      </c>
      <c r="Q4999" s="459">
        <v>1</v>
      </c>
      <c r="R4999" s="465">
        <f t="shared" si="159"/>
        <v>4167</v>
      </c>
      <c r="S4999" s="31">
        <v>202304</v>
      </c>
      <c r="T4999" s="483" t="s">
        <v>6542</v>
      </c>
      <c r="U4999" s="411"/>
      <c r="V4999" s="411"/>
      <c r="W4999" s="411"/>
      <c r="X4999" s="34"/>
      <c r="Y4999" s="34"/>
    </row>
    <row r="5000" s="3" customFormat="1" customHeight="1" spans="1:25">
      <c r="A5000" s="11" t="s">
        <v>448</v>
      </c>
      <c r="B5000" s="11" t="s">
        <v>6300</v>
      </c>
      <c r="C5000" s="11" t="s">
        <v>512</v>
      </c>
      <c r="D5000" s="35" t="s">
        <v>6301</v>
      </c>
      <c r="E5000" s="13" t="s">
        <v>6484</v>
      </c>
      <c r="F5000" s="11" t="s">
        <v>6485</v>
      </c>
      <c r="G5000" s="11" t="s">
        <v>88</v>
      </c>
      <c r="H5000" s="110" t="s">
        <v>6486</v>
      </c>
      <c r="I5000" s="30" t="e">
        <f>VLOOKUP(H5000,'合同高级查询数据-4月返'!A:A,1,FALSE)</f>
        <v>#N/A</v>
      </c>
      <c r="J5000" s="31" t="s">
        <v>162</v>
      </c>
      <c r="K5000" s="32" t="s">
        <v>516</v>
      </c>
      <c r="L5000" s="32" t="s">
        <v>6495</v>
      </c>
      <c r="M5000" s="470" t="s">
        <v>6504</v>
      </c>
      <c r="N5000" s="193">
        <v>44426</v>
      </c>
      <c r="O5000" s="466" t="s">
        <v>702</v>
      </c>
      <c r="P5000" s="465">
        <v>4167</v>
      </c>
      <c r="Q5000" s="459">
        <v>1</v>
      </c>
      <c r="R5000" s="465">
        <f t="shared" si="159"/>
        <v>4167</v>
      </c>
      <c r="S5000" s="31">
        <v>202304</v>
      </c>
      <c r="T5000" s="483" t="s">
        <v>6543</v>
      </c>
      <c r="U5000" s="411"/>
      <c r="V5000" s="411"/>
      <c r="W5000" s="411"/>
      <c r="X5000" s="34"/>
      <c r="Y5000" s="34"/>
    </row>
    <row r="5001" s="3" customFormat="1" customHeight="1" spans="1:25">
      <c r="A5001" s="11" t="s">
        <v>448</v>
      </c>
      <c r="B5001" s="11" t="s">
        <v>6300</v>
      </c>
      <c r="C5001" s="11" t="s">
        <v>512</v>
      </c>
      <c r="D5001" s="35" t="s">
        <v>6301</v>
      </c>
      <c r="E5001" s="13" t="s">
        <v>6484</v>
      </c>
      <c r="F5001" s="11" t="s">
        <v>6485</v>
      </c>
      <c r="G5001" s="11" t="s">
        <v>88</v>
      </c>
      <c r="H5001" s="110" t="s">
        <v>6486</v>
      </c>
      <c r="I5001" s="30" t="e">
        <f>VLOOKUP(H5001,'合同高级查询数据-4月返'!A:A,1,FALSE)</f>
        <v>#N/A</v>
      </c>
      <c r="J5001" s="31" t="s">
        <v>162</v>
      </c>
      <c r="K5001" s="32" t="s">
        <v>6510</v>
      </c>
      <c r="L5001" s="32"/>
      <c r="M5001" s="113" t="s">
        <v>6511</v>
      </c>
      <c r="N5001" s="193">
        <v>44557</v>
      </c>
      <c r="O5001" s="466" t="s">
        <v>92</v>
      </c>
      <c r="P5001" s="465">
        <v>4500</v>
      </c>
      <c r="Q5001" s="459">
        <v>-3</v>
      </c>
      <c r="R5001" s="465">
        <f t="shared" si="159"/>
        <v>-13500</v>
      </c>
      <c r="S5001" s="31">
        <v>202304</v>
      </c>
      <c r="T5001" s="483" t="s">
        <v>6544</v>
      </c>
      <c r="U5001" s="411"/>
      <c r="V5001" s="411"/>
      <c r="W5001" s="411"/>
      <c r="X5001" s="34"/>
      <c r="Y5001" s="34"/>
    </row>
    <row r="5002" s="3" customFormat="1" customHeight="1" spans="1:25">
      <c r="A5002" s="11" t="s">
        <v>448</v>
      </c>
      <c r="B5002" s="11" t="s">
        <v>6300</v>
      </c>
      <c r="C5002" s="11" t="s">
        <v>512</v>
      </c>
      <c r="D5002" s="35" t="s">
        <v>6301</v>
      </c>
      <c r="E5002" s="13" t="s">
        <v>6484</v>
      </c>
      <c r="F5002" s="11" t="s">
        <v>6485</v>
      </c>
      <c r="G5002" s="11" t="s">
        <v>88</v>
      </c>
      <c r="H5002" s="110" t="s">
        <v>6486</v>
      </c>
      <c r="I5002" s="30" t="e">
        <f>VLOOKUP(H5002,'合同高级查询数据-4月返'!A:A,1,FALSE)</f>
        <v>#N/A</v>
      </c>
      <c r="J5002" s="31" t="s">
        <v>162</v>
      </c>
      <c r="K5002" s="32" t="s">
        <v>6510</v>
      </c>
      <c r="L5002" s="32" t="s">
        <v>6493</v>
      </c>
      <c r="M5002" s="113" t="s">
        <v>6511</v>
      </c>
      <c r="N5002" s="193">
        <v>44652</v>
      </c>
      <c r="O5002" s="466" t="s">
        <v>92</v>
      </c>
      <c r="P5002" s="465">
        <v>4500</v>
      </c>
      <c r="Q5002" s="459">
        <v>1</v>
      </c>
      <c r="R5002" s="465">
        <f t="shared" si="159"/>
        <v>4500</v>
      </c>
      <c r="S5002" s="31">
        <v>202304</v>
      </c>
      <c r="T5002" s="483" t="s">
        <v>6545</v>
      </c>
      <c r="U5002" s="411"/>
      <c r="V5002" s="411"/>
      <c r="W5002" s="411"/>
      <c r="X5002" s="34"/>
      <c r="Y5002" s="34"/>
    </row>
    <row r="5003" s="3" customFormat="1" customHeight="1" spans="1:25">
      <c r="A5003" s="11" t="s">
        <v>448</v>
      </c>
      <c r="B5003" s="11" t="s">
        <v>6300</v>
      </c>
      <c r="C5003" s="11" t="s">
        <v>512</v>
      </c>
      <c r="D5003" s="35" t="s">
        <v>6301</v>
      </c>
      <c r="E5003" s="13" t="s">
        <v>6484</v>
      </c>
      <c r="F5003" s="11" t="s">
        <v>6485</v>
      </c>
      <c r="G5003" s="11" t="s">
        <v>88</v>
      </c>
      <c r="H5003" s="110" t="s">
        <v>6486</v>
      </c>
      <c r="I5003" s="30" t="e">
        <f>VLOOKUP(H5003,'合同高级查询数据-4月返'!A:A,1,FALSE)</f>
        <v>#N/A</v>
      </c>
      <c r="J5003" s="31" t="s">
        <v>162</v>
      </c>
      <c r="K5003" s="32" t="s">
        <v>6510</v>
      </c>
      <c r="L5003" s="32" t="s">
        <v>6493</v>
      </c>
      <c r="M5003" s="113" t="s">
        <v>6511</v>
      </c>
      <c r="N5003" s="193">
        <v>44694</v>
      </c>
      <c r="O5003" s="466" t="s">
        <v>92</v>
      </c>
      <c r="P5003" s="465">
        <v>4500</v>
      </c>
      <c r="Q5003" s="459">
        <v>6</v>
      </c>
      <c r="R5003" s="465">
        <f t="shared" si="159"/>
        <v>27000</v>
      </c>
      <c r="S5003" s="31">
        <v>202304</v>
      </c>
      <c r="T5003" s="483" t="s">
        <v>6546</v>
      </c>
      <c r="U5003" s="411"/>
      <c r="V5003" s="411"/>
      <c r="W5003" s="411"/>
      <c r="X5003" s="34"/>
      <c r="Y5003" s="34"/>
    </row>
    <row r="5004" s="3" customFormat="1" customHeight="1" spans="1:25">
      <c r="A5004" s="11" t="s">
        <v>448</v>
      </c>
      <c r="B5004" s="11" t="s">
        <v>6300</v>
      </c>
      <c r="C5004" s="11" t="s">
        <v>512</v>
      </c>
      <c r="D5004" s="35" t="s">
        <v>6301</v>
      </c>
      <c r="E5004" s="13" t="s">
        <v>6484</v>
      </c>
      <c r="F5004" s="11" t="s">
        <v>6485</v>
      </c>
      <c r="G5004" s="11" t="s">
        <v>88</v>
      </c>
      <c r="H5004" s="110" t="s">
        <v>6486</v>
      </c>
      <c r="I5004" s="30" t="e">
        <f>VLOOKUP(H5004,'合同高级查询数据-4月返'!A:A,1,FALSE)</f>
        <v>#N/A</v>
      </c>
      <c r="J5004" s="31" t="s">
        <v>162</v>
      </c>
      <c r="K5004" s="32" t="s">
        <v>6510</v>
      </c>
      <c r="L5004" s="32" t="s">
        <v>6493</v>
      </c>
      <c r="M5004" s="113" t="s">
        <v>6511</v>
      </c>
      <c r="N5004" s="193">
        <v>44773</v>
      </c>
      <c r="O5004" s="466" t="s">
        <v>92</v>
      </c>
      <c r="P5004" s="465">
        <v>4500</v>
      </c>
      <c r="Q5004" s="459">
        <v>-4</v>
      </c>
      <c r="R5004" s="465">
        <f t="shared" si="159"/>
        <v>-18000</v>
      </c>
      <c r="S5004" s="31">
        <v>202304</v>
      </c>
      <c r="T5004" s="483" t="s">
        <v>6547</v>
      </c>
      <c r="U5004" s="411"/>
      <c r="V5004" s="411"/>
      <c r="W5004" s="481"/>
      <c r="X5004" s="482"/>
      <c r="Y5004" s="34"/>
    </row>
    <row r="5005" s="3" customFormat="1" customHeight="1" spans="1:25">
      <c r="A5005" s="11" t="s">
        <v>448</v>
      </c>
      <c r="B5005" s="11" t="s">
        <v>6300</v>
      </c>
      <c r="C5005" s="11" t="s">
        <v>512</v>
      </c>
      <c r="D5005" s="35" t="s">
        <v>6301</v>
      </c>
      <c r="E5005" s="13" t="s">
        <v>6484</v>
      </c>
      <c r="F5005" s="11" t="s">
        <v>6485</v>
      </c>
      <c r="G5005" s="11" t="s">
        <v>88</v>
      </c>
      <c r="H5005" s="110" t="s">
        <v>6486</v>
      </c>
      <c r="I5005" s="30" t="e">
        <f>VLOOKUP(H5005,'合同高级查询数据-4月返'!A:A,1,FALSE)</f>
        <v>#N/A</v>
      </c>
      <c r="J5005" s="31" t="s">
        <v>162</v>
      </c>
      <c r="K5005" s="32" t="s">
        <v>6494</v>
      </c>
      <c r="L5005" s="32" t="s">
        <v>6495</v>
      </c>
      <c r="M5005" s="113" t="s">
        <v>6504</v>
      </c>
      <c r="N5005" s="193">
        <v>44773</v>
      </c>
      <c r="O5005" s="466" t="s">
        <v>702</v>
      </c>
      <c r="P5005" s="465">
        <v>4167</v>
      </c>
      <c r="Q5005" s="459">
        <v>-5</v>
      </c>
      <c r="R5005" s="465">
        <f t="shared" si="159"/>
        <v>-20835</v>
      </c>
      <c r="S5005" s="31">
        <v>202304</v>
      </c>
      <c r="T5005" s="483" t="s">
        <v>6548</v>
      </c>
      <c r="U5005" s="411"/>
      <c r="V5005" s="411"/>
      <c r="W5005" s="481"/>
      <c r="X5005" s="482"/>
      <c r="Y5005" s="34"/>
    </row>
    <row r="5006" s="3" customFormat="1" customHeight="1" spans="1:25">
      <c r="A5006" s="11" t="s">
        <v>448</v>
      </c>
      <c r="B5006" s="11" t="s">
        <v>6300</v>
      </c>
      <c r="C5006" s="11" t="s">
        <v>512</v>
      </c>
      <c r="D5006" s="35" t="s">
        <v>6301</v>
      </c>
      <c r="E5006" s="13" t="s">
        <v>6484</v>
      </c>
      <c r="F5006" s="11" t="s">
        <v>6485</v>
      </c>
      <c r="G5006" s="11" t="s">
        <v>88</v>
      </c>
      <c r="H5006" s="110" t="s">
        <v>6486</v>
      </c>
      <c r="I5006" s="30" t="e">
        <f>VLOOKUP(H5006,'合同高级查询数据-4月返'!A:A,1,FALSE)</f>
        <v>#N/A</v>
      </c>
      <c r="J5006" s="31" t="s">
        <v>162</v>
      </c>
      <c r="K5006" s="32" t="s">
        <v>6515</v>
      </c>
      <c r="L5006" s="32" t="s">
        <v>6491</v>
      </c>
      <c r="M5006" s="113" t="s">
        <v>6511</v>
      </c>
      <c r="N5006" s="193">
        <v>44773</v>
      </c>
      <c r="O5006" s="466" t="s">
        <v>92</v>
      </c>
      <c r="P5006" s="465">
        <v>4500</v>
      </c>
      <c r="Q5006" s="459">
        <v>-5</v>
      </c>
      <c r="R5006" s="465">
        <f t="shared" si="159"/>
        <v>-22500</v>
      </c>
      <c r="S5006" s="31">
        <v>202304</v>
      </c>
      <c r="T5006" s="483" t="s">
        <v>6549</v>
      </c>
      <c r="U5006" s="411"/>
      <c r="V5006" s="411"/>
      <c r="W5006" s="481"/>
      <c r="X5006" s="482"/>
      <c r="Y5006" s="34"/>
    </row>
    <row r="5007" s="3" customFormat="1" customHeight="1" spans="1:25">
      <c r="A5007" s="11" t="s">
        <v>448</v>
      </c>
      <c r="B5007" s="11" t="s">
        <v>6300</v>
      </c>
      <c r="C5007" s="11" t="s">
        <v>512</v>
      </c>
      <c r="D5007" s="35" t="s">
        <v>6301</v>
      </c>
      <c r="E5007" s="13" t="s">
        <v>6484</v>
      </c>
      <c r="F5007" s="11" t="s">
        <v>6485</v>
      </c>
      <c r="G5007" s="11" t="s">
        <v>88</v>
      </c>
      <c r="H5007" s="110" t="s">
        <v>6486</v>
      </c>
      <c r="I5007" s="30" t="e">
        <f>VLOOKUP(H5007,'合同高级查询数据-4月返'!A:A,1,FALSE)</f>
        <v>#N/A</v>
      </c>
      <c r="J5007" s="31" t="s">
        <v>162</v>
      </c>
      <c r="K5007" s="32" t="s">
        <v>6510</v>
      </c>
      <c r="L5007" s="32" t="s">
        <v>6493</v>
      </c>
      <c r="M5007" s="113" t="s">
        <v>6511</v>
      </c>
      <c r="N5007" s="193">
        <v>44798</v>
      </c>
      <c r="O5007" s="466" t="s">
        <v>92</v>
      </c>
      <c r="P5007" s="465">
        <v>4500</v>
      </c>
      <c r="Q5007" s="459">
        <v>2</v>
      </c>
      <c r="R5007" s="465">
        <f t="shared" si="159"/>
        <v>9000</v>
      </c>
      <c r="S5007" s="31">
        <v>202304</v>
      </c>
      <c r="T5007" s="483" t="s">
        <v>6550</v>
      </c>
      <c r="U5007" s="411"/>
      <c r="V5007" s="411"/>
      <c r="W5007" s="481"/>
      <c r="X5007" s="482"/>
      <c r="Y5007" s="34"/>
    </row>
    <row r="5008" s="3" customFormat="1" customHeight="1" spans="1:25">
      <c r="A5008" s="11" t="s">
        <v>448</v>
      </c>
      <c r="B5008" s="11" t="s">
        <v>6300</v>
      </c>
      <c r="C5008" s="11" t="s">
        <v>512</v>
      </c>
      <c r="D5008" s="35" t="s">
        <v>6301</v>
      </c>
      <c r="E5008" s="13" t="s">
        <v>6484</v>
      </c>
      <c r="F5008" s="11" t="s">
        <v>6485</v>
      </c>
      <c r="G5008" s="11" t="s">
        <v>31</v>
      </c>
      <c r="H5008" s="110" t="s">
        <v>6486</v>
      </c>
      <c r="I5008" s="30" t="e">
        <f>VLOOKUP(H5008,'合同高级查询数据-4月返'!A:A,1,FALSE)</f>
        <v>#N/A</v>
      </c>
      <c r="J5008" s="31" t="s">
        <v>33</v>
      </c>
      <c r="K5008" s="32" t="s">
        <v>516</v>
      </c>
      <c r="L5008" s="32" t="s">
        <v>6551</v>
      </c>
      <c r="M5008" s="113" t="s">
        <v>6552</v>
      </c>
      <c r="N5008" s="193">
        <v>44920</v>
      </c>
      <c r="O5008" s="466" t="s">
        <v>37</v>
      </c>
      <c r="P5008" s="465">
        <v>0</v>
      </c>
      <c r="Q5008" s="459">
        <v>80</v>
      </c>
      <c r="R5008" s="465">
        <f t="shared" si="159"/>
        <v>0</v>
      </c>
      <c r="S5008" s="31">
        <v>202304</v>
      </c>
      <c r="T5008" s="483" t="s">
        <v>6553</v>
      </c>
      <c r="U5008" s="411"/>
      <c r="V5008" s="411"/>
      <c r="W5008" s="481"/>
      <c r="X5008" s="482"/>
      <c r="Y5008" s="34"/>
    </row>
    <row r="5009" s="3" customFormat="1" customHeight="1" spans="1:25">
      <c r="A5009" s="11" t="s">
        <v>448</v>
      </c>
      <c r="B5009" s="11" t="s">
        <v>6300</v>
      </c>
      <c r="C5009" s="11" t="s">
        <v>512</v>
      </c>
      <c r="D5009" s="35" t="s">
        <v>6301</v>
      </c>
      <c r="E5009" s="13" t="s">
        <v>6484</v>
      </c>
      <c r="F5009" s="11" t="s">
        <v>6485</v>
      </c>
      <c r="G5009" s="11" t="s">
        <v>31</v>
      </c>
      <c r="H5009" s="110" t="s">
        <v>6486</v>
      </c>
      <c r="I5009" s="30" t="e">
        <f>VLOOKUP(H5009,'合同高级查询数据-4月返'!A:A,1,FALSE)</f>
        <v>#N/A</v>
      </c>
      <c r="J5009" s="31" t="s">
        <v>33</v>
      </c>
      <c r="K5009" s="32" t="s">
        <v>516</v>
      </c>
      <c r="L5009" s="32" t="s">
        <v>6551</v>
      </c>
      <c r="M5009" s="113" t="s">
        <v>6552</v>
      </c>
      <c r="N5009" s="193">
        <v>44946</v>
      </c>
      <c r="O5009" s="466" t="s">
        <v>37</v>
      </c>
      <c r="P5009" s="465">
        <v>0</v>
      </c>
      <c r="Q5009" s="459">
        <v>128</v>
      </c>
      <c r="R5009" s="465"/>
      <c r="S5009" s="31">
        <v>202304</v>
      </c>
      <c r="T5009" s="483" t="s">
        <v>6554</v>
      </c>
      <c r="U5009" s="411"/>
      <c r="V5009" s="411"/>
      <c r="W5009" s="481"/>
      <c r="X5009" s="482"/>
      <c r="Y5009" s="34"/>
    </row>
    <row r="5010" s="3" customFormat="1" customHeight="1" spans="1:25">
      <c r="A5010" s="11" t="s">
        <v>448</v>
      </c>
      <c r="B5010" s="11" t="s">
        <v>6300</v>
      </c>
      <c r="C5010" s="11" t="s">
        <v>512</v>
      </c>
      <c r="D5010" s="35" t="s">
        <v>6301</v>
      </c>
      <c r="E5010" s="13" t="s">
        <v>6484</v>
      </c>
      <c r="F5010" s="11" t="s">
        <v>6485</v>
      </c>
      <c r="G5010" s="11" t="s">
        <v>88</v>
      </c>
      <c r="H5010" s="110" t="s">
        <v>6486</v>
      </c>
      <c r="I5010" s="30" t="e">
        <f>VLOOKUP(H5010,'合同高级查询数据-4月返'!A:A,1,FALSE)</f>
        <v>#N/A</v>
      </c>
      <c r="J5010" s="31" t="s">
        <v>162</v>
      </c>
      <c r="K5010" s="32" t="s">
        <v>516</v>
      </c>
      <c r="L5010" s="32" t="s">
        <v>6551</v>
      </c>
      <c r="M5010" s="113" t="s">
        <v>6552</v>
      </c>
      <c r="N5010" s="193">
        <v>44920</v>
      </c>
      <c r="O5010" s="466" t="s">
        <v>702</v>
      </c>
      <c r="P5010" s="465">
        <v>4167</v>
      </c>
      <c r="Q5010" s="459">
        <v>3</v>
      </c>
      <c r="R5010" s="465">
        <f>ROUND(P5010*Q5010,2)</f>
        <v>12501</v>
      </c>
      <c r="S5010" s="31">
        <v>202304</v>
      </c>
      <c r="T5010" s="483" t="s">
        <v>6555</v>
      </c>
      <c r="U5010" s="411"/>
      <c r="V5010" s="411"/>
      <c r="W5010" s="481"/>
      <c r="X5010" s="482"/>
      <c r="Y5010" s="34"/>
    </row>
    <row r="5011" s="3" customFormat="1" customHeight="1" spans="1:25">
      <c r="A5011" s="11" t="s">
        <v>448</v>
      </c>
      <c r="B5011" s="11" t="s">
        <v>6300</v>
      </c>
      <c r="C5011" s="11" t="s">
        <v>512</v>
      </c>
      <c r="D5011" s="35" t="s">
        <v>6301</v>
      </c>
      <c r="E5011" s="13" t="s">
        <v>6484</v>
      </c>
      <c r="F5011" s="11" t="s">
        <v>6485</v>
      </c>
      <c r="G5011" s="11" t="s">
        <v>88</v>
      </c>
      <c r="H5011" s="110" t="s">
        <v>6486</v>
      </c>
      <c r="I5011" s="30" t="e">
        <f>VLOOKUP(H5011,'合同高级查询数据-4月返'!A:A,1,FALSE)</f>
        <v>#N/A</v>
      </c>
      <c r="J5011" s="31" t="s">
        <v>162</v>
      </c>
      <c r="K5011" s="32" t="s">
        <v>516</v>
      </c>
      <c r="L5011" s="32" t="s">
        <v>6551</v>
      </c>
      <c r="M5011" s="113" t="s">
        <v>6552</v>
      </c>
      <c r="N5011" s="193">
        <v>45005</v>
      </c>
      <c r="O5011" s="466" t="s">
        <v>702</v>
      </c>
      <c r="P5011" s="465">
        <v>4167</v>
      </c>
      <c r="Q5011" s="459">
        <v>-1</v>
      </c>
      <c r="R5011" s="465">
        <f>ROUND(P5011*Q5011,2)</f>
        <v>-4167</v>
      </c>
      <c r="S5011" s="31">
        <v>202304</v>
      </c>
      <c r="T5011" s="483" t="s">
        <v>6556</v>
      </c>
      <c r="U5011" s="411"/>
      <c r="V5011" s="411"/>
      <c r="W5011" s="481"/>
      <c r="X5011" s="482"/>
      <c r="Y5011" s="34"/>
    </row>
    <row r="5012" s="3" customFormat="1" customHeight="1" spans="1:25">
      <c r="A5012" s="11" t="s">
        <v>448</v>
      </c>
      <c r="B5012" s="11" t="s">
        <v>6300</v>
      </c>
      <c r="C5012" s="11" t="s">
        <v>512</v>
      </c>
      <c r="D5012" s="35" t="s">
        <v>6301</v>
      </c>
      <c r="E5012" s="13" t="s">
        <v>6484</v>
      </c>
      <c r="F5012" s="11" t="s">
        <v>6485</v>
      </c>
      <c r="G5012" s="31" t="s">
        <v>67</v>
      </c>
      <c r="H5012" s="110" t="s">
        <v>6557</v>
      </c>
      <c r="I5012" s="30" t="e">
        <f>VLOOKUP(H5012,'合同高级查询数据-4月返'!A:A,1,FALSE)</f>
        <v>#N/A</v>
      </c>
      <c r="J5012" s="31" t="s">
        <v>67</v>
      </c>
      <c r="K5012" s="32" t="s">
        <v>516</v>
      </c>
      <c r="L5012" s="32" t="s">
        <v>6551</v>
      </c>
      <c r="M5012" s="113" t="s">
        <v>6558</v>
      </c>
      <c r="N5012" s="193">
        <v>45017</v>
      </c>
      <c r="O5012" s="466" t="s">
        <v>71</v>
      </c>
      <c r="P5012" s="465">
        <v>650</v>
      </c>
      <c r="Q5012" s="459">
        <v>6</v>
      </c>
      <c r="R5012" s="465">
        <f>ROUND(P5012*Q5012,2)</f>
        <v>3900</v>
      </c>
      <c r="S5012" s="31">
        <v>202304</v>
      </c>
      <c r="T5012" s="483" t="s">
        <v>6559</v>
      </c>
      <c r="U5012" s="411"/>
      <c r="V5012" s="411"/>
      <c r="W5012" s="481"/>
      <c r="X5012" s="482"/>
      <c r="Y5012" s="34"/>
    </row>
    <row r="5013" s="3" customFormat="1" customHeight="1" spans="1:25">
      <c r="A5013" s="11" t="s">
        <v>448</v>
      </c>
      <c r="B5013" s="11" t="s">
        <v>6300</v>
      </c>
      <c r="C5013" s="11" t="s">
        <v>512</v>
      </c>
      <c r="D5013" s="35" t="s">
        <v>6301</v>
      </c>
      <c r="E5013" s="13" t="s">
        <v>6484</v>
      </c>
      <c r="F5013" s="11" t="s">
        <v>6485</v>
      </c>
      <c r="G5013" s="11" t="s">
        <v>31</v>
      </c>
      <c r="H5013" s="110" t="s">
        <v>6560</v>
      </c>
      <c r="I5013" s="30" t="e">
        <f>VLOOKUP(H5013,'合同高级查询数据-4月返'!A:A,1,FALSE)</f>
        <v>#N/A</v>
      </c>
      <c r="J5013" s="31" t="s">
        <v>33</v>
      </c>
      <c r="K5013" s="32" t="s">
        <v>516</v>
      </c>
      <c r="L5013" s="32" t="s">
        <v>6561</v>
      </c>
      <c r="M5013" s="113" t="s">
        <v>6562</v>
      </c>
      <c r="N5013" s="193">
        <v>45022</v>
      </c>
      <c r="O5013" s="466" t="s">
        <v>37</v>
      </c>
      <c r="P5013" s="465">
        <v>0</v>
      </c>
      <c r="Q5013" s="459">
        <v>256</v>
      </c>
      <c r="R5013" s="465">
        <f>ROUND(P5013*Q5013,2)</f>
        <v>0</v>
      </c>
      <c r="S5013" s="31">
        <v>202304</v>
      </c>
      <c r="T5013" s="483" t="s">
        <v>6563</v>
      </c>
      <c r="U5013" s="411"/>
      <c r="V5013" s="411"/>
      <c r="W5013" s="481"/>
      <c r="X5013" s="482"/>
      <c r="Y5013" s="34"/>
    </row>
    <row r="5014" s="3" customFormat="1" customHeight="1" spans="1:25">
      <c r="A5014" s="11" t="s">
        <v>448</v>
      </c>
      <c r="B5014" s="11" t="s">
        <v>6300</v>
      </c>
      <c r="C5014" s="11" t="s">
        <v>512</v>
      </c>
      <c r="D5014" s="35" t="s">
        <v>6301</v>
      </c>
      <c r="E5014" s="13" t="s">
        <v>6484</v>
      </c>
      <c r="F5014" s="11" t="s">
        <v>6485</v>
      </c>
      <c r="G5014" s="11" t="s">
        <v>88</v>
      </c>
      <c r="H5014" s="110" t="s">
        <v>6560</v>
      </c>
      <c r="I5014" s="30" t="e">
        <f>VLOOKUP(H5014,'合同高级查询数据-4月返'!A:A,1,FALSE)</f>
        <v>#N/A</v>
      </c>
      <c r="J5014" s="31" t="s">
        <v>162</v>
      </c>
      <c r="K5014" s="32" t="s">
        <v>516</v>
      </c>
      <c r="L5014" s="32" t="s">
        <v>6561</v>
      </c>
      <c r="M5014" s="113" t="s">
        <v>6562</v>
      </c>
      <c r="N5014" s="193">
        <v>45022</v>
      </c>
      <c r="O5014" s="466" t="s">
        <v>503</v>
      </c>
      <c r="P5014" s="465">
        <v>4500</v>
      </c>
      <c r="Q5014" s="459">
        <v>8</v>
      </c>
      <c r="R5014" s="465">
        <f>ROUND(P5014*Q5014*25/30,2)</f>
        <v>30000</v>
      </c>
      <c r="S5014" s="31">
        <v>202304</v>
      </c>
      <c r="T5014" s="484" t="s">
        <v>6564</v>
      </c>
      <c r="U5014" s="411"/>
      <c r="V5014" s="411"/>
      <c r="W5014" s="481"/>
      <c r="X5014" s="482"/>
      <c r="Y5014" s="34"/>
    </row>
    <row r="5015" s="5" customFormat="1" customHeight="1" spans="1:25">
      <c r="A5015" s="24" t="s">
        <v>448</v>
      </c>
      <c r="B5015" s="24" t="s">
        <v>6300</v>
      </c>
      <c r="C5015" s="24" t="s">
        <v>136</v>
      </c>
      <c r="D5015" s="22" t="s">
        <v>6301</v>
      </c>
      <c r="E5015" s="23" t="s">
        <v>6565</v>
      </c>
      <c r="F5015" s="24" t="s">
        <v>6566</v>
      </c>
      <c r="G5015" s="24" t="s">
        <v>31</v>
      </c>
      <c r="H5015" s="25" t="s">
        <v>6567</v>
      </c>
      <c r="I5015" s="46" t="e">
        <f>VLOOKUP(H5015,'合同高级查询数据-4月返'!A:A,1,FALSE)</f>
        <v>#N/A</v>
      </c>
      <c r="J5015" s="47" t="s">
        <v>1273</v>
      </c>
      <c r="K5015" s="24" t="s">
        <v>136</v>
      </c>
      <c r="L5015" s="109"/>
      <c r="M5015" s="49" t="s">
        <v>6568</v>
      </c>
      <c r="N5015" s="229">
        <v>42856</v>
      </c>
      <c r="O5015" s="239" t="s">
        <v>37</v>
      </c>
      <c r="P5015" s="52">
        <v>0</v>
      </c>
      <c r="Q5015" s="70">
        <v>288</v>
      </c>
      <c r="R5015" s="52">
        <f t="shared" ref="R5015:R5023" si="160">ROUND(P5015*Q5015,2)</f>
        <v>0</v>
      </c>
      <c r="S5015" s="47">
        <v>202304</v>
      </c>
      <c r="T5015" s="123" t="s">
        <v>6569</v>
      </c>
      <c r="U5015" s="48"/>
      <c r="V5015" s="475"/>
      <c r="W5015" s="453"/>
      <c r="X5015" s="471">
        <v>44682</v>
      </c>
      <c r="Y5015" s="471">
        <v>45046</v>
      </c>
    </row>
    <row r="5016" s="5" customFormat="1" customHeight="1" spans="1:25">
      <c r="A5016" s="24" t="s">
        <v>448</v>
      </c>
      <c r="B5016" s="24" t="s">
        <v>6300</v>
      </c>
      <c r="C5016" s="24" t="s">
        <v>136</v>
      </c>
      <c r="D5016" s="22" t="s">
        <v>6301</v>
      </c>
      <c r="E5016" s="23" t="s">
        <v>6565</v>
      </c>
      <c r="F5016" s="24" t="s">
        <v>6566</v>
      </c>
      <c r="G5016" s="24" t="s">
        <v>31</v>
      </c>
      <c r="H5016" s="25" t="s">
        <v>6567</v>
      </c>
      <c r="I5016" s="46" t="e">
        <f>VLOOKUP(H5016,'合同高级查询数据-4月返'!A:A,1,FALSE)</f>
        <v>#N/A</v>
      </c>
      <c r="J5016" s="47" t="s">
        <v>1273</v>
      </c>
      <c r="K5016" s="24" t="s">
        <v>136</v>
      </c>
      <c r="L5016" s="109"/>
      <c r="M5016" s="49" t="s">
        <v>6568</v>
      </c>
      <c r="N5016" s="229">
        <v>42856</v>
      </c>
      <c r="O5016" s="239" t="s">
        <v>37</v>
      </c>
      <c r="P5016" s="52">
        <v>30</v>
      </c>
      <c r="Q5016" s="70">
        <v>480</v>
      </c>
      <c r="R5016" s="52">
        <f t="shared" si="160"/>
        <v>14400</v>
      </c>
      <c r="S5016" s="47">
        <v>202304</v>
      </c>
      <c r="T5016" s="123" t="s">
        <v>6569</v>
      </c>
      <c r="U5016" s="48"/>
      <c r="V5016" s="48"/>
      <c r="W5016" s="48"/>
      <c r="X5016" s="471">
        <v>44682</v>
      </c>
      <c r="Y5016" s="471">
        <v>45046</v>
      </c>
    </row>
    <row r="5017" s="5" customFormat="1" customHeight="1" spans="1:25">
      <c r="A5017" s="24" t="s">
        <v>448</v>
      </c>
      <c r="B5017" s="24" t="s">
        <v>6300</v>
      </c>
      <c r="C5017" s="24" t="s">
        <v>136</v>
      </c>
      <c r="D5017" s="22" t="s">
        <v>6301</v>
      </c>
      <c r="E5017" s="23" t="s">
        <v>6565</v>
      </c>
      <c r="F5017" s="24" t="s">
        <v>6566</v>
      </c>
      <c r="G5017" s="24" t="s">
        <v>31</v>
      </c>
      <c r="H5017" s="25" t="s">
        <v>6567</v>
      </c>
      <c r="I5017" s="46" t="e">
        <f>VLOOKUP(H5017,'合同高级查询数据-4月返'!A:A,1,FALSE)</f>
        <v>#N/A</v>
      </c>
      <c r="J5017" s="47" t="s">
        <v>33</v>
      </c>
      <c r="K5017" s="24" t="s">
        <v>6570</v>
      </c>
      <c r="L5017" s="109" t="s">
        <v>6570</v>
      </c>
      <c r="M5017" s="49" t="s">
        <v>6571</v>
      </c>
      <c r="N5017" s="229" t="s">
        <v>1329</v>
      </c>
      <c r="O5017" s="239" t="s">
        <v>37</v>
      </c>
      <c r="P5017" s="52">
        <v>30</v>
      </c>
      <c r="Q5017" s="70">
        <v>288</v>
      </c>
      <c r="R5017" s="52">
        <f t="shared" si="160"/>
        <v>8640</v>
      </c>
      <c r="S5017" s="47">
        <v>202304</v>
      </c>
      <c r="T5017" s="123" t="s">
        <v>6019</v>
      </c>
      <c r="U5017" s="48"/>
      <c r="V5017" s="48"/>
      <c r="W5017" s="48"/>
      <c r="X5017" s="471">
        <v>44682</v>
      </c>
      <c r="Y5017" s="471">
        <v>45046</v>
      </c>
    </row>
    <row r="5018" s="5" customFormat="1" customHeight="1" spans="1:25">
      <c r="A5018" s="24" t="s">
        <v>448</v>
      </c>
      <c r="B5018" s="24" t="s">
        <v>6300</v>
      </c>
      <c r="C5018" s="24" t="s">
        <v>136</v>
      </c>
      <c r="D5018" s="22" t="s">
        <v>6301</v>
      </c>
      <c r="E5018" s="23" t="s">
        <v>6565</v>
      </c>
      <c r="F5018" s="24" t="s">
        <v>6566</v>
      </c>
      <c r="G5018" s="24" t="s">
        <v>31</v>
      </c>
      <c r="H5018" s="25" t="s">
        <v>6567</v>
      </c>
      <c r="I5018" s="46" t="e">
        <f>VLOOKUP(H5018,'合同高级查询数据-4月返'!A:A,1,FALSE)</f>
        <v>#N/A</v>
      </c>
      <c r="J5018" s="47" t="s">
        <v>33</v>
      </c>
      <c r="K5018" s="24" t="s">
        <v>6572</v>
      </c>
      <c r="L5018" s="109" t="s">
        <v>6572</v>
      </c>
      <c r="M5018" s="49" t="s">
        <v>6571</v>
      </c>
      <c r="N5018" s="229" t="s">
        <v>1329</v>
      </c>
      <c r="O5018" s="239" t="s">
        <v>37</v>
      </c>
      <c r="P5018" s="52">
        <v>0</v>
      </c>
      <c r="Q5018" s="70">
        <v>256</v>
      </c>
      <c r="R5018" s="52">
        <f t="shared" si="160"/>
        <v>0</v>
      </c>
      <c r="S5018" s="47">
        <v>202304</v>
      </c>
      <c r="T5018" s="123" t="s">
        <v>6573</v>
      </c>
      <c r="U5018" s="48"/>
      <c r="V5018" s="48"/>
      <c r="W5018" s="48"/>
      <c r="X5018" s="471">
        <v>44682</v>
      </c>
      <c r="Y5018" s="471">
        <v>45046</v>
      </c>
    </row>
    <row r="5019" s="5" customFormat="1" customHeight="1" spans="1:25">
      <c r="A5019" s="24" t="s">
        <v>448</v>
      </c>
      <c r="B5019" s="24" t="s">
        <v>6300</v>
      </c>
      <c r="C5019" s="24" t="s">
        <v>136</v>
      </c>
      <c r="D5019" s="22" t="s">
        <v>6301</v>
      </c>
      <c r="E5019" s="23" t="s">
        <v>6565</v>
      </c>
      <c r="F5019" s="24" t="s">
        <v>6566</v>
      </c>
      <c r="G5019" s="24" t="s">
        <v>31</v>
      </c>
      <c r="H5019" s="25" t="s">
        <v>6567</v>
      </c>
      <c r="I5019" s="46" t="e">
        <f>VLOOKUP(H5019,'合同高级查询数据-4月返'!A:A,1,FALSE)</f>
        <v>#N/A</v>
      </c>
      <c r="J5019" s="47" t="s">
        <v>33</v>
      </c>
      <c r="K5019" s="24" t="s">
        <v>6574</v>
      </c>
      <c r="L5019" s="109" t="s">
        <v>6574</v>
      </c>
      <c r="M5019" s="49" t="s">
        <v>6571</v>
      </c>
      <c r="N5019" s="229">
        <v>44089</v>
      </c>
      <c r="O5019" s="239" t="s">
        <v>37</v>
      </c>
      <c r="P5019" s="52">
        <v>0</v>
      </c>
      <c r="Q5019" s="70">
        <v>-256</v>
      </c>
      <c r="R5019" s="52">
        <f t="shared" si="160"/>
        <v>0</v>
      </c>
      <c r="S5019" s="47">
        <v>202304</v>
      </c>
      <c r="T5019" s="123" t="s">
        <v>6575</v>
      </c>
      <c r="U5019" s="48"/>
      <c r="V5019" s="48"/>
      <c r="W5019" s="48"/>
      <c r="X5019" s="471">
        <v>44682</v>
      </c>
      <c r="Y5019" s="471">
        <v>45046</v>
      </c>
    </row>
    <row r="5020" s="5" customFormat="1" customHeight="1" spans="1:25">
      <c r="A5020" s="24" t="s">
        <v>448</v>
      </c>
      <c r="B5020" s="24" t="s">
        <v>6300</v>
      </c>
      <c r="C5020" s="24" t="s">
        <v>136</v>
      </c>
      <c r="D5020" s="22" t="s">
        <v>6301</v>
      </c>
      <c r="E5020" s="23" t="s">
        <v>6565</v>
      </c>
      <c r="F5020" s="24" t="s">
        <v>6566</v>
      </c>
      <c r="G5020" s="24" t="s">
        <v>31</v>
      </c>
      <c r="H5020" s="25" t="s">
        <v>6567</v>
      </c>
      <c r="I5020" s="46" t="e">
        <f>VLOOKUP(H5020,'合同高级查询数据-4月返'!A:A,1,FALSE)</f>
        <v>#N/A</v>
      </c>
      <c r="J5020" s="47" t="s">
        <v>33</v>
      </c>
      <c r="K5020" s="24" t="s">
        <v>136</v>
      </c>
      <c r="L5020" s="109" t="s">
        <v>6570</v>
      </c>
      <c r="M5020" s="49" t="s">
        <v>6571</v>
      </c>
      <c r="N5020" s="73">
        <v>44333</v>
      </c>
      <c r="O5020" s="239" t="s">
        <v>37</v>
      </c>
      <c r="P5020" s="52">
        <v>0</v>
      </c>
      <c r="Q5020" s="70">
        <v>128</v>
      </c>
      <c r="R5020" s="52">
        <f t="shared" si="160"/>
        <v>0</v>
      </c>
      <c r="S5020" s="47">
        <v>202304</v>
      </c>
      <c r="T5020" s="123" t="s">
        <v>6576</v>
      </c>
      <c r="U5020" s="48"/>
      <c r="V5020" s="48"/>
      <c r="W5020" s="48"/>
      <c r="X5020" s="471">
        <v>44682</v>
      </c>
      <c r="Y5020" s="471">
        <v>45046</v>
      </c>
    </row>
    <row r="5021" s="5" customFormat="1" customHeight="1" spans="1:25">
      <c r="A5021" s="24" t="s">
        <v>448</v>
      </c>
      <c r="B5021" s="24" t="s">
        <v>6300</v>
      </c>
      <c r="C5021" s="24" t="s">
        <v>136</v>
      </c>
      <c r="D5021" s="22" t="s">
        <v>6301</v>
      </c>
      <c r="E5021" s="23" t="s">
        <v>6565</v>
      </c>
      <c r="F5021" s="24" t="s">
        <v>6566</v>
      </c>
      <c r="G5021" s="24" t="s">
        <v>31</v>
      </c>
      <c r="H5021" s="25" t="s">
        <v>6567</v>
      </c>
      <c r="I5021" s="46" t="e">
        <f>VLOOKUP(H5021,'合同高级查询数据-4月返'!A:A,1,FALSE)</f>
        <v>#N/A</v>
      </c>
      <c r="J5021" s="47" t="s">
        <v>33</v>
      </c>
      <c r="K5021" s="24" t="s">
        <v>136</v>
      </c>
      <c r="L5021" s="109" t="s">
        <v>6570</v>
      </c>
      <c r="M5021" s="49" t="s">
        <v>6571</v>
      </c>
      <c r="N5021" s="73">
        <v>44414</v>
      </c>
      <c r="O5021" s="239" t="s">
        <v>37</v>
      </c>
      <c r="P5021" s="52">
        <v>0</v>
      </c>
      <c r="Q5021" s="70">
        <v>128</v>
      </c>
      <c r="R5021" s="52">
        <f t="shared" si="160"/>
        <v>0</v>
      </c>
      <c r="S5021" s="47">
        <v>202304</v>
      </c>
      <c r="T5021" s="123" t="s">
        <v>6577</v>
      </c>
      <c r="U5021" s="48"/>
      <c r="V5021" s="48"/>
      <c r="W5021" s="48"/>
      <c r="X5021" s="471">
        <v>44682</v>
      </c>
      <c r="Y5021" s="471">
        <v>45046</v>
      </c>
    </row>
    <row r="5022" s="5" customFormat="1" customHeight="1" spans="1:25">
      <c r="A5022" s="24" t="s">
        <v>448</v>
      </c>
      <c r="B5022" s="24" t="s">
        <v>6300</v>
      </c>
      <c r="C5022" s="24" t="s">
        <v>136</v>
      </c>
      <c r="D5022" s="22" t="s">
        <v>6301</v>
      </c>
      <c r="E5022" s="23" t="s">
        <v>6565</v>
      </c>
      <c r="F5022" s="24" t="s">
        <v>6566</v>
      </c>
      <c r="G5022" s="24" t="s">
        <v>31</v>
      </c>
      <c r="H5022" s="25" t="s">
        <v>6567</v>
      </c>
      <c r="I5022" s="46" t="e">
        <f>VLOOKUP(H5022,'合同高级查询数据-4月返'!A:A,1,FALSE)</f>
        <v>#N/A</v>
      </c>
      <c r="J5022" s="47" t="s">
        <v>33</v>
      </c>
      <c r="K5022" s="24" t="s">
        <v>136</v>
      </c>
      <c r="L5022" s="109" t="s">
        <v>6570</v>
      </c>
      <c r="M5022" s="49" t="s">
        <v>6571</v>
      </c>
      <c r="N5022" s="73">
        <v>44773</v>
      </c>
      <c r="O5022" s="239" t="s">
        <v>37</v>
      </c>
      <c r="P5022" s="52">
        <v>30</v>
      </c>
      <c r="Q5022" s="70">
        <v>-288</v>
      </c>
      <c r="R5022" s="52">
        <f t="shared" si="160"/>
        <v>-8640</v>
      </c>
      <c r="S5022" s="47">
        <v>202304</v>
      </c>
      <c r="T5022" s="123" t="s">
        <v>6578</v>
      </c>
      <c r="U5022" s="48"/>
      <c r="V5022" s="48"/>
      <c r="W5022" s="48"/>
      <c r="X5022" s="471">
        <v>44682</v>
      </c>
      <c r="Y5022" s="471">
        <v>45046</v>
      </c>
    </row>
    <row r="5023" s="5" customFormat="1" customHeight="1" spans="1:25">
      <c r="A5023" s="24" t="s">
        <v>448</v>
      </c>
      <c r="B5023" s="24" t="s">
        <v>6300</v>
      </c>
      <c r="C5023" s="24" t="s">
        <v>136</v>
      </c>
      <c r="D5023" s="22" t="s">
        <v>6301</v>
      </c>
      <c r="E5023" s="23" t="s">
        <v>6565</v>
      </c>
      <c r="F5023" s="24" t="s">
        <v>6566</v>
      </c>
      <c r="G5023" s="24" t="s">
        <v>31</v>
      </c>
      <c r="H5023" s="25" t="s">
        <v>6567</v>
      </c>
      <c r="I5023" s="46" t="e">
        <f>VLOOKUP(H5023,'合同高级查询数据-4月返'!A:A,1,FALSE)</f>
        <v>#N/A</v>
      </c>
      <c r="J5023" s="47" t="s">
        <v>33</v>
      </c>
      <c r="K5023" s="24" t="s">
        <v>136</v>
      </c>
      <c r="L5023" s="109" t="s">
        <v>6570</v>
      </c>
      <c r="M5023" s="49" t="s">
        <v>6571</v>
      </c>
      <c r="N5023" s="73">
        <v>45016</v>
      </c>
      <c r="O5023" s="239" t="s">
        <v>37</v>
      </c>
      <c r="P5023" s="52">
        <v>0</v>
      </c>
      <c r="Q5023" s="70">
        <v>-256</v>
      </c>
      <c r="R5023" s="52">
        <f t="shared" si="160"/>
        <v>0</v>
      </c>
      <c r="S5023" s="47">
        <v>202304</v>
      </c>
      <c r="T5023" s="123" t="s">
        <v>6579</v>
      </c>
      <c r="U5023" s="48"/>
      <c r="V5023" s="48"/>
      <c r="W5023" s="48"/>
      <c r="X5023" s="471">
        <v>44682</v>
      </c>
      <c r="Y5023" s="471">
        <v>45046</v>
      </c>
    </row>
    <row r="5024" s="5" customFormat="1" customHeight="1" spans="1:25">
      <c r="A5024" s="24" t="s">
        <v>448</v>
      </c>
      <c r="B5024" s="24" t="s">
        <v>6300</v>
      </c>
      <c r="C5024" s="24" t="s">
        <v>136</v>
      </c>
      <c r="D5024" s="22" t="s">
        <v>6301</v>
      </c>
      <c r="E5024" s="23" t="s">
        <v>6565</v>
      </c>
      <c r="F5024" s="24" t="s">
        <v>6566</v>
      </c>
      <c r="G5024" s="24" t="s">
        <v>31</v>
      </c>
      <c r="H5024" s="25" t="s">
        <v>6567</v>
      </c>
      <c r="I5024" s="46" t="e">
        <f>VLOOKUP(H5024,'合同高级查询数据-4月返'!A:A,1,FALSE)</f>
        <v>#N/A</v>
      </c>
      <c r="J5024" s="47" t="s">
        <v>1273</v>
      </c>
      <c r="K5024" s="24" t="s">
        <v>136</v>
      </c>
      <c r="L5024" s="109"/>
      <c r="M5024" s="49" t="s">
        <v>6568</v>
      </c>
      <c r="N5024" s="73">
        <v>45031</v>
      </c>
      <c r="O5024" s="239" t="s">
        <v>37</v>
      </c>
      <c r="P5024" s="52">
        <v>30</v>
      </c>
      <c r="Q5024" s="70">
        <v>-256</v>
      </c>
      <c r="R5024" s="52">
        <f>ROUND(P5024*Q5024*15/30,2)</f>
        <v>-3840</v>
      </c>
      <c r="S5024" s="47">
        <v>202304</v>
      </c>
      <c r="T5024" s="123" t="s">
        <v>6580</v>
      </c>
      <c r="U5024" s="48"/>
      <c r="V5024" s="48"/>
      <c r="W5024" s="48"/>
      <c r="X5024" s="471">
        <v>44682</v>
      </c>
      <c r="Y5024" s="471">
        <v>45046</v>
      </c>
    </row>
    <row r="5025" s="5" customFormat="1" customHeight="1" spans="1:25">
      <c r="A5025" s="24" t="s">
        <v>448</v>
      </c>
      <c r="B5025" s="24" t="s">
        <v>6300</v>
      </c>
      <c r="C5025" s="24" t="s">
        <v>136</v>
      </c>
      <c r="D5025" s="22" t="s">
        <v>6301</v>
      </c>
      <c r="E5025" s="23" t="s">
        <v>6565</v>
      </c>
      <c r="F5025" s="24" t="s">
        <v>6566</v>
      </c>
      <c r="G5025" s="24" t="s">
        <v>88</v>
      </c>
      <c r="H5025" s="25" t="s">
        <v>6567</v>
      </c>
      <c r="I5025" s="46" t="e">
        <f>VLOOKUP(H5025,'合同高级查询数据-4月返'!A:A,1,FALSE)</f>
        <v>#N/A</v>
      </c>
      <c r="J5025" s="47" t="s">
        <v>1287</v>
      </c>
      <c r="K5025" s="24" t="s">
        <v>6581</v>
      </c>
      <c r="L5025" s="109"/>
      <c r="M5025" s="49" t="s">
        <v>6568</v>
      </c>
      <c r="N5025" s="229">
        <v>42856</v>
      </c>
      <c r="O5025" s="239" t="s">
        <v>92</v>
      </c>
      <c r="P5025" s="52">
        <v>4167</v>
      </c>
      <c r="Q5025" s="70">
        <v>3</v>
      </c>
      <c r="R5025" s="52">
        <f t="shared" ref="R5025:R5067" si="161">ROUND(P5025*Q5025,2)</f>
        <v>12501</v>
      </c>
      <c r="S5025" s="47">
        <v>202304</v>
      </c>
      <c r="T5025" s="123" t="s">
        <v>6582</v>
      </c>
      <c r="U5025" s="48"/>
      <c r="V5025" s="48"/>
      <c r="W5025" s="48"/>
      <c r="X5025" s="471">
        <v>44682</v>
      </c>
      <c r="Y5025" s="471">
        <v>45046</v>
      </c>
    </row>
    <row r="5026" s="5" customFormat="1" customHeight="1" spans="1:25">
      <c r="A5026" s="24" t="s">
        <v>448</v>
      </c>
      <c r="B5026" s="24" t="s">
        <v>6300</v>
      </c>
      <c r="C5026" s="24" t="s">
        <v>136</v>
      </c>
      <c r="D5026" s="22" t="s">
        <v>6301</v>
      </c>
      <c r="E5026" s="23" t="s">
        <v>6565</v>
      </c>
      <c r="F5026" s="24" t="s">
        <v>6566</v>
      </c>
      <c r="G5026" s="24" t="s">
        <v>88</v>
      </c>
      <c r="H5026" s="25" t="s">
        <v>6567</v>
      </c>
      <c r="I5026" s="46" t="e">
        <f>VLOOKUP(H5026,'合同高级查询数据-4月返'!A:A,1,FALSE)</f>
        <v>#N/A</v>
      </c>
      <c r="J5026" s="47" t="s">
        <v>1287</v>
      </c>
      <c r="K5026" s="24" t="s">
        <v>136</v>
      </c>
      <c r="L5026" s="109"/>
      <c r="M5026" s="49" t="s">
        <v>6568</v>
      </c>
      <c r="N5026" s="229">
        <v>44186</v>
      </c>
      <c r="O5026" s="239" t="s">
        <v>92</v>
      </c>
      <c r="P5026" s="52">
        <v>4167</v>
      </c>
      <c r="Q5026" s="70">
        <v>1</v>
      </c>
      <c r="R5026" s="52">
        <f t="shared" si="161"/>
        <v>4167</v>
      </c>
      <c r="S5026" s="47">
        <v>202304</v>
      </c>
      <c r="T5026" s="123" t="s">
        <v>6583</v>
      </c>
      <c r="U5026" s="48"/>
      <c r="V5026" s="48"/>
      <c r="W5026" s="48"/>
      <c r="X5026" s="471">
        <v>44682</v>
      </c>
      <c r="Y5026" s="471">
        <v>45046</v>
      </c>
    </row>
    <row r="5027" s="5" customFormat="1" customHeight="1" spans="1:25">
      <c r="A5027" s="24" t="s">
        <v>448</v>
      </c>
      <c r="B5027" s="24" t="s">
        <v>6300</v>
      </c>
      <c r="C5027" s="24" t="s">
        <v>136</v>
      </c>
      <c r="D5027" s="22" t="s">
        <v>6301</v>
      </c>
      <c r="E5027" s="23" t="s">
        <v>6565</v>
      </c>
      <c r="F5027" s="24" t="s">
        <v>6566</v>
      </c>
      <c r="G5027" s="24" t="s">
        <v>88</v>
      </c>
      <c r="H5027" s="25" t="s">
        <v>6567</v>
      </c>
      <c r="I5027" s="46" t="e">
        <f>VLOOKUP(H5027,'合同高级查询数据-4月返'!A:A,1,FALSE)</f>
        <v>#N/A</v>
      </c>
      <c r="J5027" s="47" t="s">
        <v>162</v>
      </c>
      <c r="K5027" s="24" t="s">
        <v>6572</v>
      </c>
      <c r="L5027" s="109"/>
      <c r="M5027" s="49" t="s">
        <v>6571</v>
      </c>
      <c r="N5027" s="229">
        <v>42887</v>
      </c>
      <c r="O5027" s="239" t="s">
        <v>92</v>
      </c>
      <c r="P5027" s="52">
        <v>4167</v>
      </c>
      <c r="Q5027" s="70">
        <v>3</v>
      </c>
      <c r="R5027" s="52">
        <f t="shared" si="161"/>
        <v>12501</v>
      </c>
      <c r="S5027" s="47">
        <v>202304</v>
      </c>
      <c r="T5027" s="123" t="s">
        <v>6584</v>
      </c>
      <c r="U5027" s="48"/>
      <c r="V5027" s="48"/>
      <c r="W5027" s="48"/>
      <c r="X5027" s="471">
        <v>44682</v>
      </c>
      <c r="Y5027" s="471">
        <v>45046</v>
      </c>
    </row>
    <row r="5028" s="5" customFormat="1" customHeight="1" spans="1:25">
      <c r="A5028" s="24" t="s">
        <v>448</v>
      </c>
      <c r="B5028" s="24" t="s">
        <v>6300</v>
      </c>
      <c r="C5028" s="24" t="s">
        <v>136</v>
      </c>
      <c r="D5028" s="22" t="s">
        <v>6301</v>
      </c>
      <c r="E5028" s="23" t="s">
        <v>6565</v>
      </c>
      <c r="F5028" s="24" t="s">
        <v>6566</v>
      </c>
      <c r="G5028" s="24" t="s">
        <v>88</v>
      </c>
      <c r="H5028" s="25" t="s">
        <v>6567</v>
      </c>
      <c r="I5028" s="46" t="e">
        <f>VLOOKUP(H5028,'合同高级查询数据-4月返'!A:A,1,FALSE)</f>
        <v>#N/A</v>
      </c>
      <c r="J5028" s="47" t="s">
        <v>162</v>
      </c>
      <c r="K5028" s="24" t="s">
        <v>6570</v>
      </c>
      <c r="L5028" s="109"/>
      <c r="M5028" s="49" t="s">
        <v>6571</v>
      </c>
      <c r="N5028" s="229">
        <v>43405</v>
      </c>
      <c r="O5028" s="24" t="s">
        <v>92</v>
      </c>
      <c r="P5028" s="52">
        <v>4167</v>
      </c>
      <c r="Q5028" s="70">
        <v>5</v>
      </c>
      <c r="R5028" s="52">
        <f t="shared" si="161"/>
        <v>20835</v>
      </c>
      <c r="S5028" s="47">
        <v>202304</v>
      </c>
      <c r="T5028" s="123"/>
      <c r="U5028" s="48"/>
      <c r="V5028" s="48"/>
      <c r="W5028" s="48"/>
      <c r="X5028" s="471">
        <v>44682</v>
      </c>
      <c r="Y5028" s="471">
        <v>45046</v>
      </c>
    </row>
    <row r="5029" s="5" customFormat="1" customHeight="1" spans="1:25">
      <c r="A5029" s="24" t="s">
        <v>448</v>
      </c>
      <c r="B5029" s="24" t="s">
        <v>6300</v>
      </c>
      <c r="C5029" s="24" t="s">
        <v>136</v>
      </c>
      <c r="D5029" s="22" t="s">
        <v>6301</v>
      </c>
      <c r="E5029" s="23" t="s">
        <v>6565</v>
      </c>
      <c r="F5029" s="24" t="s">
        <v>6566</v>
      </c>
      <c r="G5029" s="24" t="s">
        <v>88</v>
      </c>
      <c r="H5029" s="25" t="s">
        <v>6567</v>
      </c>
      <c r="I5029" s="46" t="e">
        <f>VLOOKUP(H5029,'合同高级查询数据-4月返'!A:A,1,FALSE)</f>
        <v>#N/A</v>
      </c>
      <c r="J5029" s="47" t="s">
        <v>162</v>
      </c>
      <c r="K5029" s="24"/>
      <c r="L5029" s="24"/>
      <c r="M5029" s="49" t="s">
        <v>6571</v>
      </c>
      <c r="N5029" s="229">
        <v>43556</v>
      </c>
      <c r="O5029" s="239" t="s">
        <v>92</v>
      </c>
      <c r="P5029" s="52">
        <v>4167</v>
      </c>
      <c r="Q5029" s="70">
        <v>4</v>
      </c>
      <c r="R5029" s="52">
        <f t="shared" si="161"/>
        <v>16668</v>
      </c>
      <c r="S5029" s="47">
        <v>202304</v>
      </c>
      <c r="T5029" s="123"/>
      <c r="U5029" s="48"/>
      <c r="V5029" s="48"/>
      <c r="W5029" s="48"/>
      <c r="X5029" s="471">
        <v>44682</v>
      </c>
      <c r="Y5029" s="471">
        <v>45046</v>
      </c>
    </row>
    <row r="5030" s="5" customFormat="1" customHeight="1" spans="1:25">
      <c r="A5030" s="24" t="s">
        <v>448</v>
      </c>
      <c r="B5030" s="24" t="s">
        <v>6300</v>
      </c>
      <c r="C5030" s="24" t="s">
        <v>136</v>
      </c>
      <c r="D5030" s="22" t="s">
        <v>6301</v>
      </c>
      <c r="E5030" s="23" t="s">
        <v>6565</v>
      </c>
      <c r="F5030" s="24" t="s">
        <v>6566</v>
      </c>
      <c r="G5030" s="24" t="s">
        <v>88</v>
      </c>
      <c r="H5030" s="25" t="s">
        <v>6567</v>
      </c>
      <c r="I5030" s="46" t="e">
        <f>VLOOKUP(H5030,'合同高级查询数据-4月返'!A:A,1,FALSE)</f>
        <v>#N/A</v>
      </c>
      <c r="J5030" s="47" t="s">
        <v>162</v>
      </c>
      <c r="K5030" s="24" t="s">
        <v>6585</v>
      </c>
      <c r="L5030" s="24"/>
      <c r="M5030" s="49" t="s">
        <v>6571</v>
      </c>
      <c r="N5030" s="229">
        <v>43830</v>
      </c>
      <c r="O5030" s="239" t="s">
        <v>92</v>
      </c>
      <c r="P5030" s="52">
        <v>4167</v>
      </c>
      <c r="Q5030" s="70">
        <v>-4</v>
      </c>
      <c r="R5030" s="52">
        <f t="shared" si="161"/>
        <v>-16668</v>
      </c>
      <c r="S5030" s="47">
        <v>202304</v>
      </c>
      <c r="T5030" s="123" t="s">
        <v>6586</v>
      </c>
      <c r="U5030" s="48"/>
      <c r="V5030" s="48"/>
      <c r="W5030" s="48"/>
      <c r="X5030" s="471">
        <v>44682</v>
      </c>
      <c r="Y5030" s="471">
        <v>45046</v>
      </c>
    </row>
    <row r="5031" s="5" customFormat="1" customHeight="1" spans="1:25">
      <c r="A5031" s="24" t="s">
        <v>448</v>
      </c>
      <c r="B5031" s="24" t="s">
        <v>6300</v>
      </c>
      <c r="C5031" s="24" t="s">
        <v>136</v>
      </c>
      <c r="D5031" s="22" t="s">
        <v>6301</v>
      </c>
      <c r="E5031" s="23" t="s">
        <v>6565</v>
      </c>
      <c r="F5031" s="24" t="s">
        <v>6566</v>
      </c>
      <c r="G5031" s="24" t="s">
        <v>88</v>
      </c>
      <c r="H5031" s="25" t="s">
        <v>6567</v>
      </c>
      <c r="I5031" s="46" t="e">
        <f>VLOOKUP(H5031,'合同高级查询数据-4月返'!A:A,1,FALSE)</f>
        <v>#N/A</v>
      </c>
      <c r="J5031" s="47" t="s">
        <v>162</v>
      </c>
      <c r="K5031" s="24" t="s">
        <v>6587</v>
      </c>
      <c r="L5031" s="24"/>
      <c r="M5031" s="49" t="s">
        <v>6571</v>
      </c>
      <c r="N5031" s="229">
        <v>44089</v>
      </c>
      <c r="O5031" s="239" t="s">
        <v>92</v>
      </c>
      <c r="P5031" s="52">
        <v>4167</v>
      </c>
      <c r="Q5031" s="70">
        <v>-1</v>
      </c>
      <c r="R5031" s="52">
        <f t="shared" si="161"/>
        <v>-4167</v>
      </c>
      <c r="S5031" s="47">
        <v>202304</v>
      </c>
      <c r="T5031" s="123" t="s">
        <v>6588</v>
      </c>
      <c r="U5031" s="48"/>
      <c r="V5031" s="48"/>
      <c r="W5031" s="48"/>
      <c r="X5031" s="471">
        <v>44682</v>
      </c>
      <c r="Y5031" s="471">
        <v>45046</v>
      </c>
    </row>
    <row r="5032" s="5" customFormat="1" customHeight="1" spans="1:25">
      <c r="A5032" s="24" t="s">
        <v>448</v>
      </c>
      <c r="B5032" s="24" t="s">
        <v>6300</v>
      </c>
      <c r="C5032" s="24" t="s">
        <v>136</v>
      </c>
      <c r="D5032" s="22" t="s">
        <v>6301</v>
      </c>
      <c r="E5032" s="23" t="s">
        <v>6565</v>
      </c>
      <c r="F5032" s="24" t="s">
        <v>6566</v>
      </c>
      <c r="G5032" s="24" t="s">
        <v>88</v>
      </c>
      <c r="H5032" s="25" t="s">
        <v>6567</v>
      </c>
      <c r="I5032" s="46" t="e">
        <f>VLOOKUP(H5032,'合同高级查询数据-4月返'!A:A,1,FALSE)</f>
        <v>#N/A</v>
      </c>
      <c r="J5032" s="47" t="s">
        <v>162</v>
      </c>
      <c r="K5032" s="24" t="s">
        <v>136</v>
      </c>
      <c r="L5032" s="109" t="s">
        <v>6570</v>
      </c>
      <c r="M5032" s="49" t="s">
        <v>6571</v>
      </c>
      <c r="N5032" s="73">
        <v>44333</v>
      </c>
      <c r="O5032" s="239" t="s">
        <v>92</v>
      </c>
      <c r="P5032" s="52">
        <v>4167</v>
      </c>
      <c r="Q5032" s="70">
        <v>2</v>
      </c>
      <c r="R5032" s="52">
        <f t="shared" si="161"/>
        <v>8334</v>
      </c>
      <c r="S5032" s="47">
        <v>202304</v>
      </c>
      <c r="T5032" s="123" t="s">
        <v>6589</v>
      </c>
      <c r="U5032" s="48"/>
      <c r="V5032" s="48"/>
      <c r="W5032" s="48"/>
      <c r="X5032" s="471">
        <v>44682</v>
      </c>
      <c r="Y5032" s="471">
        <v>45046</v>
      </c>
    </row>
    <row r="5033" s="5" customFormat="1" customHeight="1" spans="1:25">
      <c r="A5033" s="24" t="s">
        <v>448</v>
      </c>
      <c r="B5033" s="24" t="s">
        <v>6300</v>
      </c>
      <c r="C5033" s="24" t="s">
        <v>136</v>
      </c>
      <c r="D5033" s="22" t="s">
        <v>6301</v>
      </c>
      <c r="E5033" s="23" t="s">
        <v>6565</v>
      </c>
      <c r="F5033" s="24" t="s">
        <v>6566</v>
      </c>
      <c r="G5033" s="24" t="s">
        <v>88</v>
      </c>
      <c r="H5033" s="25" t="s">
        <v>6567</v>
      </c>
      <c r="I5033" s="46" t="e">
        <f>VLOOKUP(H5033,'合同高级查询数据-4月返'!A:A,1,FALSE)</f>
        <v>#N/A</v>
      </c>
      <c r="J5033" s="47" t="s">
        <v>162</v>
      </c>
      <c r="K5033" s="24" t="s">
        <v>136</v>
      </c>
      <c r="L5033" s="109" t="s">
        <v>6570</v>
      </c>
      <c r="M5033" s="49" t="s">
        <v>6571</v>
      </c>
      <c r="N5033" s="73">
        <v>44721</v>
      </c>
      <c r="O5033" s="239" t="s">
        <v>92</v>
      </c>
      <c r="P5033" s="52">
        <v>4167</v>
      </c>
      <c r="Q5033" s="70">
        <v>-5</v>
      </c>
      <c r="R5033" s="52">
        <f t="shared" si="161"/>
        <v>-20835</v>
      </c>
      <c r="S5033" s="47">
        <v>202304</v>
      </c>
      <c r="T5033" s="123" t="s">
        <v>6590</v>
      </c>
      <c r="U5033" s="48"/>
      <c r="V5033" s="48"/>
      <c r="W5033" s="48"/>
      <c r="X5033" s="471">
        <v>44682</v>
      </c>
      <c r="Y5033" s="471">
        <v>45046</v>
      </c>
    </row>
    <row r="5034" s="5" customFormat="1" customHeight="1" spans="1:25">
      <c r="A5034" s="24" t="s">
        <v>448</v>
      </c>
      <c r="B5034" s="24" t="s">
        <v>6300</v>
      </c>
      <c r="C5034" s="24" t="s">
        <v>136</v>
      </c>
      <c r="D5034" s="22" t="s">
        <v>6301</v>
      </c>
      <c r="E5034" s="23" t="s">
        <v>6565</v>
      </c>
      <c r="F5034" s="24" t="s">
        <v>6566</v>
      </c>
      <c r="G5034" s="24" t="s">
        <v>88</v>
      </c>
      <c r="H5034" s="25" t="s">
        <v>6567</v>
      </c>
      <c r="I5034" s="46" t="e">
        <f>VLOOKUP(H5034,'合同高级查询数据-4月返'!A:A,1,FALSE)</f>
        <v>#N/A</v>
      </c>
      <c r="J5034" s="47" t="s">
        <v>162</v>
      </c>
      <c r="K5034" s="24" t="s">
        <v>136</v>
      </c>
      <c r="L5034" s="109" t="s">
        <v>6570</v>
      </c>
      <c r="M5034" s="49" t="s">
        <v>6571</v>
      </c>
      <c r="N5034" s="73">
        <v>44773</v>
      </c>
      <c r="O5034" s="239" t="s">
        <v>92</v>
      </c>
      <c r="P5034" s="52">
        <v>4167</v>
      </c>
      <c r="Q5034" s="70">
        <v>-2</v>
      </c>
      <c r="R5034" s="52">
        <f t="shared" si="161"/>
        <v>-8334</v>
      </c>
      <c r="S5034" s="47">
        <v>202304</v>
      </c>
      <c r="T5034" s="123" t="s">
        <v>6591</v>
      </c>
      <c r="U5034" s="48"/>
      <c r="V5034" s="48"/>
      <c r="W5034" s="48"/>
      <c r="X5034" s="471">
        <v>44682</v>
      </c>
      <c r="Y5034" s="471">
        <v>45046</v>
      </c>
    </row>
    <row r="5035" s="5" customFormat="1" customHeight="1" spans="1:25">
      <c r="A5035" s="24" t="s">
        <v>448</v>
      </c>
      <c r="B5035" s="24" t="s">
        <v>6300</v>
      </c>
      <c r="C5035" s="24" t="s">
        <v>136</v>
      </c>
      <c r="D5035" s="22" t="s">
        <v>6301</v>
      </c>
      <c r="E5035" s="23" t="s">
        <v>6565</v>
      </c>
      <c r="F5035" s="24" t="s">
        <v>6566</v>
      </c>
      <c r="G5035" s="24" t="s">
        <v>88</v>
      </c>
      <c r="H5035" s="25" t="s">
        <v>6567</v>
      </c>
      <c r="I5035" s="46" t="e">
        <f>VLOOKUP(H5035,'合同高级查询数据-4月返'!A:A,1,FALSE)</f>
        <v>#N/A</v>
      </c>
      <c r="J5035" s="47" t="s">
        <v>162</v>
      </c>
      <c r="K5035" s="24" t="s">
        <v>136</v>
      </c>
      <c r="L5035" s="109" t="s">
        <v>6570</v>
      </c>
      <c r="M5035" s="49" t="s">
        <v>6571</v>
      </c>
      <c r="N5035" s="73">
        <v>45016</v>
      </c>
      <c r="O5035" s="239" t="s">
        <v>92</v>
      </c>
      <c r="P5035" s="52">
        <v>4167</v>
      </c>
      <c r="Q5035" s="70">
        <v>-2</v>
      </c>
      <c r="R5035" s="52">
        <f t="shared" si="161"/>
        <v>-8334</v>
      </c>
      <c r="S5035" s="47">
        <v>202304</v>
      </c>
      <c r="T5035" s="123" t="s">
        <v>6592</v>
      </c>
      <c r="U5035" s="48"/>
      <c r="V5035" s="48"/>
      <c r="W5035" s="48"/>
      <c r="X5035" s="471">
        <v>44682</v>
      </c>
      <c r="Y5035" s="471">
        <v>45046</v>
      </c>
    </row>
    <row r="5036" s="5" customFormat="1" customHeight="1" spans="1:25">
      <c r="A5036" s="24" t="s">
        <v>448</v>
      </c>
      <c r="B5036" s="24" t="s">
        <v>6300</v>
      </c>
      <c r="C5036" s="24" t="s">
        <v>136</v>
      </c>
      <c r="D5036" s="22" t="s">
        <v>6301</v>
      </c>
      <c r="E5036" s="23" t="s">
        <v>6565</v>
      </c>
      <c r="F5036" s="24" t="s">
        <v>6566</v>
      </c>
      <c r="G5036" s="24" t="s">
        <v>88</v>
      </c>
      <c r="H5036" s="25" t="s">
        <v>6567</v>
      </c>
      <c r="I5036" s="46" t="e">
        <f>VLOOKUP(H5036,'合同高级查询数据-4月返'!A:A,1,FALSE)</f>
        <v>#N/A</v>
      </c>
      <c r="J5036" s="47" t="s">
        <v>6593</v>
      </c>
      <c r="K5036" s="24"/>
      <c r="L5036" s="48"/>
      <c r="M5036" s="49" t="s">
        <v>6594</v>
      </c>
      <c r="N5036" s="73">
        <v>44444</v>
      </c>
      <c r="O5036" s="239" t="s">
        <v>92</v>
      </c>
      <c r="P5036" s="52">
        <v>4167</v>
      </c>
      <c r="Q5036" s="70">
        <v>2</v>
      </c>
      <c r="R5036" s="52">
        <f t="shared" si="161"/>
        <v>8334</v>
      </c>
      <c r="S5036" s="47">
        <v>202304</v>
      </c>
      <c r="T5036" s="123" t="s">
        <v>6595</v>
      </c>
      <c r="U5036" s="48"/>
      <c r="V5036" s="48"/>
      <c r="W5036" s="48"/>
      <c r="X5036" s="471">
        <v>44682</v>
      </c>
      <c r="Y5036" s="471">
        <v>45046</v>
      </c>
    </row>
    <row r="5037" s="5" customFormat="1" customHeight="1" spans="1:25">
      <c r="A5037" s="24" t="s">
        <v>448</v>
      </c>
      <c r="B5037" s="24" t="s">
        <v>6300</v>
      </c>
      <c r="C5037" s="24" t="s">
        <v>136</v>
      </c>
      <c r="D5037" s="22" t="s">
        <v>6301</v>
      </c>
      <c r="E5037" s="23" t="s">
        <v>6565</v>
      </c>
      <c r="F5037" s="24" t="s">
        <v>6566</v>
      </c>
      <c r="G5037" s="24" t="s">
        <v>88</v>
      </c>
      <c r="H5037" s="25" t="s">
        <v>6567</v>
      </c>
      <c r="I5037" s="46" t="e">
        <f>VLOOKUP(H5037,'合同高级查询数据-4月返'!A:A,1,FALSE)</f>
        <v>#N/A</v>
      </c>
      <c r="J5037" s="47" t="s">
        <v>6593</v>
      </c>
      <c r="K5037" s="24"/>
      <c r="L5037" s="109"/>
      <c r="M5037" s="49" t="s">
        <v>6594</v>
      </c>
      <c r="N5037" s="73">
        <v>44445</v>
      </c>
      <c r="O5037" s="239" t="s">
        <v>92</v>
      </c>
      <c r="P5037" s="52">
        <v>4167</v>
      </c>
      <c r="Q5037" s="70">
        <v>1</v>
      </c>
      <c r="R5037" s="52">
        <f t="shared" si="161"/>
        <v>4167</v>
      </c>
      <c r="S5037" s="47">
        <v>202304</v>
      </c>
      <c r="T5037" s="123" t="s">
        <v>6596</v>
      </c>
      <c r="U5037" s="48"/>
      <c r="V5037" s="48"/>
      <c r="W5037" s="48"/>
      <c r="X5037" s="471">
        <v>44682</v>
      </c>
      <c r="Y5037" s="471">
        <v>45046</v>
      </c>
    </row>
    <row r="5038" s="5" customFormat="1" customHeight="1" spans="1:25">
      <c r="A5038" s="24" t="s">
        <v>448</v>
      </c>
      <c r="B5038" s="24" t="s">
        <v>6300</v>
      </c>
      <c r="C5038" s="24" t="s">
        <v>136</v>
      </c>
      <c r="D5038" s="22" t="s">
        <v>6301</v>
      </c>
      <c r="E5038" s="23" t="s">
        <v>6565</v>
      </c>
      <c r="F5038" s="24" t="s">
        <v>6566</v>
      </c>
      <c r="G5038" s="24" t="s">
        <v>88</v>
      </c>
      <c r="H5038" s="25" t="s">
        <v>6567</v>
      </c>
      <c r="I5038" s="46" t="e">
        <f>VLOOKUP(H5038,'合同高级查询数据-4月返'!A:A,1,FALSE)</f>
        <v>#N/A</v>
      </c>
      <c r="J5038" s="47" t="s">
        <v>6593</v>
      </c>
      <c r="K5038" s="24"/>
      <c r="L5038" s="48"/>
      <c r="M5038" s="49" t="s">
        <v>6594</v>
      </c>
      <c r="N5038" s="73">
        <v>44644</v>
      </c>
      <c r="O5038" s="239" t="s">
        <v>92</v>
      </c>
      <c r="P5038" s="52">
        <v>4167</v>
      </c>
      <c r="Q5038" s="70">
        <v>-3</v>
      </c>
      <c r="R5038" s="52">
        <f t="shared" si="161"/>
        <v>-12501</v>
      </c>
      <c r="S5038" s="47">
        <v>202304</v>
      </c>
      <c r="T5038" s="123" t="s">
        <v>6597</v>
      </c>
      <c r="U5038" s="48"/>
      <c r="V5038" s="48"/>
      <c r="W5038" s="48"/>
      <c r="X5038" s="471">
        <v>44682</v>
      </c>
      <c r="Y5038" s="471">
        <v>45046</v>
      </c>
    </row>
    <row r="5039" s="5" customFormat="1" customHeight="1" spans="1:25">
      <c r="A5039" s="24" t="s">
        <v>448</v>
      </c>
      <c r="B5039" s="24" t="s">
        <v>6300</v>
      </c>
      <c r="C5039" s="24" t="s">
        <v>136</v>
      </c>
      <c r="D5039" s="22" t="s">
        <v>6301</v>
      </c>
      <c r="E5039" s="23" t="s">
        <v>6565</v>
      </c>
      <c r="F5039" s="24" t="s">
        <v>6566</v>
      </c>
      <c r="G5039" s="24" t="s">
        <v>88</v>
      </c>
      <c r="H5039" s="25" t="s">
        <v>6567</v>
      </c>
      <c r="I5039" s="46" t="e">
        <f>VLOOKUP(H5039,'合同高级查询数据-4月返'!A:A,1,FALSE)</f>
        <v>#N/A</v>
      </c>
      <c r="J5039" s="47" t="s">
        <v>6593</v>
      </c>
      <c r="K5039" s="24"/>
      <c r="L5039" s="109"/>
      <c r="M5039" s="49" t="s">
        <v>6594</v>
      </c>
      <c r="N5039" s="73">
        <v>44644</v>
      </c>
      <c r="O5039" s="239" t="s">
        <v>92</v>
      </c>
      <c r="P5039" s="52">
        <v>4167</v>
      </c>
      <c r="Q5039" s="70">
        <v>3</v>
      </c>
      <c r="R5039" s="52">
        <f t="shared" si="161"/>
        <v>12501</v>
      </c>
      <c r="S5039" s="47">
        <v>202304</v>
      </c>
      <c r="T5039" s="123" t="s">
        <v>6598</v>
      </c>
      <c r="U5039" s="48"/>
      <c r="V5039" s="48"/>
      <c r="W5039" s="48"/>
      <c r="X5039" s="471">
        <v>44682</v>
      </c>
      <c r="Y5039" s="471">
        <v>45046</v>
      </c>
    </row>
    <row r="5040" s="3" customFormat="1" customHeight="1" spans="1:25">
      <c r="A5040" s="11" t="s">
        <v>448</v>
      </c>
      <c r="B5040" s="11" t="s">
        <v>6300</v>
      </c>
      <c r="C5040" s="11" t="s">
        <v>136</v>
      </c>
      <c r="D5040" s="35" t="s">
        <v>6301</v>
      </c>
      <c r="E5040" s="13" t="s">
        <v>6565</v>
      </c>
      <c r="F5040" s="11" t="s">
        <v>6566</v>
      </c>
      <c r="G5040" s="11" t="s">
        <v>31</v>
      </c>
      <c r="H5040" s="110" t="s">
        <v>6599</v>
      </c>
      <c r="I5040" s="30" t="e">
        <f>VLOOKUP(H5040,'合同高级查询数据-4月返'!A:A,1,FALSE)</f>
        <v>#N/A</v>
      </c>
      <c r="J5040" s="31" t="s">
        <v>33</v>
      </c>
      <c r="K5040" s="11" t="s">
        <v>136</v>
      </c>
      <c r="L5040" s="32" t="s">
        <v>6600</v>
      </c>
      <c r="M5040" s="113" t="s">
        <v>6601</v>
      </c>
      <c r="N5040" s="146">
        <v>45017</v>
      </c>
      <c r="O5040" s="466" t="s">
        <v>37</v>
      </c>
      <c r="P5040" s="465">
        <v>0</v>
      </c>
      <c r="Q5040" s="459">
        <v>128</v>
      </c>
      <c r="R5040" s="465">
        <f t="shared" si="161"/>
        <v>0</v>
      </c>
      <c r="S5040" s="31">
        <v>202304</v>
      </c>
      <c r="T5040" s="60" t="s">
        <v>6602</v>
      </c>
      <c r="U5040" s="411"/>
      <c r="V5040" s="411"/>
      <c r="W5040" s="411"/>
      <c r="X5040" s="469"/>
      <c r="Y5040" s="469"/>
    </row>
    <row r="5041" s="3" customFormat="1" customHeight="1" spans="1:25">
      <c r="A5041" s="11" t="s">
        <v>448</v>
      </c>
      <c r="B5041" s="11" t="s">
        <v>6300</v>
      </c>
      <c r="C5041" s="11" t="s">
        <v>136</v>
      </c>
      <c r="D5041" s="35" t="s">
        <v>6301</v>
      </c>
      <c r="E5041" s="13" t="s">
        <v>6565</v>
      </c>
      <c r="F5041" s="11" t="s">
        <v>6566</v>
      </c>
      <c r="G5041" s="11" t="s">
        <v>88</v>
      </c>
      <c r="H5041" s="110" t="s">
        <v>6599</v>
      </c>
      <c r="I5041" s="30" t="e">
        <f>VLOOKUP(H5041,'合同高级查询数据-4月返'!A:A,1,FALSE)</f>
        <v>#N/A</v>
      </c>
      <c r="J5041" s="31" t="s">
        <v>162</v>
      </c>
      <c r="K5041" s="11" t="s">
        <v>136</v>
      </c>
      <c r="L5041" s="32" t="s">
        <v>6600</v>
      </c>
      <c r="M5041" s="113" t="s">
        <v>6601</v>
      </c>
      <c r="N5041" s="146">
        <v>45017</v>
      </c>
      <c r="O5041" s="466" t="s">
        <v>163</v>
      </c>
      <c r="P5041" s="465">
        <v>4167</v>
      </c>
      <c r="Q5041" s="459">
        <v>1</v>
      </c>
      <c r="R5041" s="465">
        <f t="shared" si="161"/>
        <v>4167</v>
      </c>
      <c r="S5041" s="31">
        <v>202304</v>
      </c>
      <c r="T5041" s="472" t="s">
        <v>6603</v>
      </c>
      <c r="U5041" s="411"/>
      <c r="V5041" s="411"/>
      <c r="W5041" s="411"/>
      <c r="X5041" s="469"/>
      <c r="Y5041" s="469"/>
    </row>
    <row r="5042" s="3" customFormat="1" customHeight="1" spans="1:25">
      <c r="A5042" s="11" t="s">
        <v>446</v>
      </c>
      <c r="B5042" s="11" t="s">
        <v>6300</v>
      </c>
      <c r="C5042" s="11" t="s">
        <v>120</v>
      </c>
      <c r="D5042" s="35" t="s">
        <v>6301</v>
      </c>
      <c r="E5042" s="13" t="s">
        <v>6604</v>
      </c>
      <c r="F5042" s="11" t="s">
        <v>6605</v>
      </c>
      <c r="G5042" s="11" t="s">
        <v>31</v>
      </c>
      <c r="H5042" s="110" t="s">
        <v>6606</v>
      </c>
      <c r="I5042" s="30" t="e">
        <f>VLOOKUP(H5042,'合同高级查询数据-4月返'!A:A,1,FALSE)</f>
        <v>#N/A</v>
      </c>
      <c r="J5042" s="31" t="s">
        <v>33</v>
      </c>
      <c r="K5042" s="11" t="s">
        <v>6315</v>
      </c>
      <c r="L5042" s="32" t="s">
        <v>6607</v>
      </c>
      <c r="M5042" s="470" t="s">
        <v>6608</v>
      </c>
      <c r="N5042" s="146">
        <v>42552</v>
      </c>
      <c r="O5042" s="11" t="s">
        <v>37</v>
      </c>
      <c r="P5042" s="465">
        <v>0</v>
      </c>
      <c r="Q5042" s="459">
        <v>1024</v>
      </c>
      <c r="R5042" s="465">
        <f t="shared" si="161"/>
        <v>0</v>
      </c>
      <c r="S5042" s="31">
        <v>202304</v>
      </c>
      <c r="T5042" s="60" t="s">
        <v>6609</v>
      </c>
      <c r="U5042" s="411"/>
      <c r="V5042" s="411"/>
      <c r="W5042" s="411"/>
      <c r="X5042" s="34"/>
      <c r="Y5042" s="34"/>
    </row>
    <row r="5043" s="3" customFormat="1" customHeight="1" spans="1:25">
      <c r="A5043" s="11" t="s">
        <v>446</v>
      </c>
      <c r="B5043" s="11" t="s">
        <v>6300</v>
      </c>
      <c r="C5043" s="11" t="s">
        <v>120</v>
      </c>
      <c r="D5043" s="35" t="s">
        <v>6301</v>
      </c>
      <c r="E5043" s="13" t="s">
        <v>6604</v>
      </c>
      <c r="F5043" s="11" t="s">
        <v>6605</v>
      </c>
      <c r="G5043" s="11" t="s">
        <v>31</v>
      </c>
      <c r="H5043" s="110" t="s">
        <v>6606</v>
      </c>
      <c r="I5043" s="30" t="e">
        <f>VLOOKUP(H5043,'合同高级查询数据-4月返'!A:A,1,FALSE)</f>
        <v>#N/A</v>
      </c>
      <c r="J5043" s="31" t="s">
        <v>33</v>
      </c>
      <c r="K5043" s="11" t="s">
        <v>6315</v>
      </c>
      <c r="L5043" s="32" t="s">
        <v>6607</v>
      </c>
      <c r="M5043" s="470" t="s">
        <v>6608</v>
      </c>
      <c r="N5043" s="146">
        <v>43861</v>
      </c>
      <c r="O5043" s="11" t="s">
        <v>37</v>
      </c>
      <c r="P5043" s="465">
        <v>0</v>
      </c>
      <c r="Q5043" s="459">
        <v>-512</v>
      </c>
      <c r="R5043" s="465">
        <f t="shared" si="161"/>
        <v>0</v>
      </c>
      <c r="S5043" s="31">
        <v>202304</v>
      </c>
      <c r="T5043" s="60" t="s">
        <v>6609</v>
      </c>
      <c r="U5043" s="411"/>
      <c r="V5043" s="411"/>
      <c r="W5043" s="411"/>
      <c r="X5043" s="34"/>
      <c r="Y5043" s="34"/>
    </row>
    <row r="5044" s="3" customFormat="1" customHeight="1" spans="1:25">
      <c r="A5044" s="11" t="s">
        <v>446</v>
      </c>
      <c r="B5044" s="11" t="s">
        <v>6300</v>
      </c>
      <c r="C5044" s="11" t="s">
        <v>120</v>
      </c>
      <c r="D5044" s="35" t="s">
        <v>6301</v>
      </c>
      <c r="E5044" s="13" t="s">
        <v>6604</v>
      </c>
      <c r="F5044" s="11" t="s">
        <v>6605</v>
      </c>
      <c r="G5044" s="11" t="s">
        <v>31</v>
      </c>
      <c r="H5044" s="110" t="s">
        <v>6606</v>
      </c>
      <c r="I5044" s="30" t="e">
        <f>VLOOKUP(H5044,'合同高级查询数据-4月返'!A:A,1,FALSE)</f>
        <v>#N/A</v>
      </c>
      <c r="J5044" s="31" t="s">
        <v>33</v>
      </c>
      <c r="K5044" s="11" t="s">
        <v>6315</v>
      </c>
      <c r="L5044" s="32" t="s">
        <v>6607</v>
      </c>
      <c r="M5044" s="470" t="s">
        <v>6608</v>
      </c>
      <c r="N5044" s="146">
        <v>44252</v>
      </c>
      <c r="O5044" s="11" t="s">
        <v>37</v>
      </c>
      <c r="P5044" s="465">
        <v>0</v>
      </c>
      <c r="Q5044" s="459">
        <v>384</v>
      </c>
      <c r="R5044" s="465">
        <f t="shared" si="161"/>
        <v>0</v>
      </c>
      <c r="S5044" s="31">
        <v>202304</v>
      </c>
      <c r="T5044" s="60" t="s">
        <v>6610</v>
      </c>
      <c r="U5044" s="411"/>
      <c r="V5044" s="411"/>
      <c r="W5044" s="411"/>
      <c r="X5044" s="34"/>
      <c r="Y5044" s="34"/>
    </row>
    <row r="5045" s="3" customFormat="1" customHeight="1" spans="1:25">
      <c r="A5045" s="11" t="s">
        <v>446</v>
      </c>
      <c r="B5045" s="11" t="s">
        <v>6300</v>
      </c>
      <c r="C5045" s="11" t="s">
        <v>120</v>
      </c>
      <c r="D5045" s="35" t="s">
        <v>6301</v>
      </c>
      <c r="E5045" s="13" t="s">
        <v>6604</v>
      </c>
      <c r="F5045" s="11" t="s">
        <v>6605</v>
      </c>
      <c r="G5045" s="11" t="s">
        <v>31</v>
      </c>
      <c r="H5045" s="110" t="s">
        <v>6606</v>
      </c>
      <c r="I5045" s="30" t="e">
        <f>VLOOKUP(H5045,'合同高级查询数据-4月返'!A:A,1,FALSE)</f>
        <v>#N/A</v>
      </c>
      <c r="J5045" s="31" t="s">
        <v>33</v>
      </c>
      <c r="K5045" s="11" t="s">
        <v>6315</v>
      </c>
      <c r="L5045" s="32" t="s">
        <v>6607</v>
      </c>
      <c r="M5045" s="470" t="s">
        <v>6608</v>
      </c>
      <c r="N5045" s="146">
        <v>44026</v>
      </c>
      <c r="O5045" s="11" t="s">
        <v>37</v>
      </c>
      <c r="P5045" s="465">
        <v>0</v>
      </c>
      <c r="Q5045" s="459">
        <v>32</v>
      </c>
      <c r="R5045" s="465">
        <f t="shared" si="161"/>
        <v>0</v>
      </c>
      <c r="S5045" s="31">
        <v>202304</v>
      </c>
      <c r="T5045" s="60" t="s">
        <v>6611</v>
      </c>
      <c r="U5045" s="411"/>
      <c r="V5045" s="411"/>
      <c r="W5045" s="411"/>
      <c r="X5045" s="34"/>
      <c r="Y5045" s="34"/>
    </row>
    <row r="5046" s="3" customFormat="1" customHeight="1" spans="1:25">
      <c r="A5046" s="11" t="s">
        <v>446</v>
      </c>
      <c r="B5046" s="11" t="s">
        <v>6300</v>
      </c>
      <c r="C5046" s="11" t="s">
        <v>120</v>
      </c>
      <c r="D5046" s="35" t="s">
        <v>6301</v>
      </c>
      <c r="E5046" s="13" t="s">
        <v>6604</v>
      </c>
      <c r="F5046" s="11" t="s">
        <v>6605</v>
      </c>
      <c r="G5046" s="11" t="s">
        <v>31</v>
      </c>
      <c r="H5046" s="110" t="s">
        <v>6606</v>
      </c>
      <c r="I5046" s="30" t="e">
        <f>VLOOKUP(H5046,'合同高级查询数据-4月返'!A:A,1,FALSE)</f>
        <v>#N/A</v>
      </c>
      <c r="J5046" s="31" t="s">
        <v>33</v>
      </c>
      <c r="K5046" s="11" t="s">
        <v>6315</v>
      </c>
      <c r="L5046" s="32" t="s">
        <v>6607</v>
      </c>
      <c r="M5046" s="470" t="s">
        <v>6608</v>
      </c>
      <c r="N5046" s="146">
        <v>44682</v>
      </c>
      <c r="O5046" s="11" t="s">
        <v>37</v>
      </c>
      <c r="P5046" s="465">
        <v>0</v>
      </c>
      <c r="Q5046" s="459">
        <v>128</v>
      </c>
      <c r="R5046" s="465">
        <f t="shared" si="161"/>
        <v>0</v>
      </c>
      <c r="S5046" s="31">
        <v>202304</v>
      </c>
      <c r="T5046" s="60" t="s">
        <v>6612</v>
      </c>
      <c r="U5046" s="411"/>
      <c r="V5046" s="411"/>
      <c r="W5046" s="411"/>
      <c r="X5046" s="34"/>
      <c r="Y5046" s="34"/>
    </row>
    <row r="5047" s="3" customFormat="1" customHeight="1" spans="1:25">
      <c r="A5047" s="11" t="s">
        <v>446</v>
      </c>
      <c r="B5047" s="11" t="s">
        <v>6300</v>
      </c>
      <c r="C5047" s="11" t="s">
        <v>120</v>
      </c>
      <c r="D5047" s="35" t="s">
        <v>6301</v>
      </c>
      <c r="E5047" s="13" t="s">
        <v>6604</v>
      </c>
      <c r="F5047" s="11" t="s">
        <v>6605</v>
      </c>
      <c r="G5047" s="11" t="s">
        <v>31</v>
      </c>
      <c r="H5047" s="110" t="s">
        <v>6606</v>
      </c>
      <c r="I5047" s="30" t="e">
        <f>VLOOKUP(H5047,'合同高级查询数据-4月返'!A:A,1,FALSE)</f>
        <v>#N/A</v>
      </c>
      <c r="J5047" s="31" t="s">
        <v>33</v>
      </c>
      <c r="K5047" s="11" t="s">
        <v>6315</v>
      </c>
      <c r="L5047" s="32" t="s">
        <v>6607</v>
      </c>
      <c r="M5047" s="470" t="s">
        <v>6608</v>
      </c>
      <c r="N5047" s="146">
        <v>44784</v>
      </c>
      <c r="O5047" s="11" t="s">
        <v>37</v>
      </c>
      <c r="P5047" s="465">
        <v>0</v>
      </c>
      <c r="Q5047" s="459">
        <v>-384</v>
      </c>
      <c r="R5047" s="465">
        <f t="shared" si="161"/>
        <v>0</v>
      </c>
      <c r="S5047" s="31">
        <v>202304</v>
      </c>
      <c r="T5047" s="60" t="s">
        <v>6613</v>
      </c>
      <c r="U5047" s="411"/>
      <c r="V5047" s="411"/>
      <c r="W5047" s="411"/>
      <c r="X5047" s="485"/>
      <c r="Y5047" s="34"/>
    </row>
    <row r="5048" s="3" customFormat="1" customHeight="1" spans="1:25">
      <c r="A5048" s="11" t="s">
        <v>446</v>
      </c>
      <c r="B5048" s="11" t="s">
        <v>6300</v>
      </c>
      <c r="C5048" s="11" t="s">
        <v>120</v>
      </c>
      <c r="D5048" s="35" t="s">
        <v>6301</v>
      </c>
      <c r="E5048" s="13" t="s">
        <v>6604</v>
      </c>
      <c r="F5048" s="11" t="s">
        <v>6605</v>
      </c>
      <c r="G5048" s="11" t="s">
        <v>31</v>
      </c>
      <c r="H5048" s="110" t="s">
        <v>6606</v>
      </c>
      <c r="I5048" s="30" t="e">
        <f>VLOOKUP(H5048,'合同高级查询数据-4月返'!A:A,1,FALSE)</f>
        <v>#N/A</v>
      </c>
      <c r="J5048" s="31" t="s">
        <v>33</v>
      </c>
      <c r="K5048" s="11" t="s">
        <v>6315</v>
      </c>
      <c r="L5048" s="32" t="s">
        <v>6607</v>
      </c>
      <c r="M5048" s="470" t="s">
        <v>6608</v>
      </c>
      <c r="N5048" s="146"/>
      <c r="O5048" s="11" t="s">
        <v>179</v>
      </c>
      <c r="P5048" s="465">
        <v>0</v>
      </c>
      <c r="Q5048" s="459">
        <v>1</v>
      </c>
      <c r="R5048" s="465">
        <f t="shared" si="161"/>
        <v>0</v>
      </c>
      <c r="S5048" s="31">
        <v>202304</v>
      </c>
      <c r="T5048" s="60" t="s">
        <v>6614</v>
      </c>
      <c r="U5048" s="411"/>
      <c r="V5048" s="411"/>
      <c r="W5048" s="411"/>
      <c r="X5048" s="34"/>
      <c r="Y5048" s="34"/>
    </row>
    <row r="5049" s="3" customFormat="1" customHeight="1" spans="1:25">
      <c r="A5049" s="11" t="s">
        <v>446</v>
      </c>
      <c r="B5049" s="11" t="s">
        <v>6300</v>
      </c>
      <c r="C5049" s="11" t="s">
        <v>120</v>
      </c>
      <c r="D5049" s="35" t="s">
        <v>6301</v>
      </c>
      <c r="E5049" s="13" t="s">
        <v>6604</v>
      </c>
      <c r="F5049" s="11" t="s">
        <v>6605</v>
      </c>
      <c r="G5049" s="11" t="s">
        <v>88</v>
      </c>
      <c r="H5049" s="110" t="s">
        <v>6606</v>
      </c>
      <c r="I5049" s="30" t="e">
        <f>VLOOKUP(H5049,'合同高级查询数据-4月返'!A:A,1,FALSE)</f>
        <v>#N/A</v>
      </c>
      <c r="J5049" s="31" t="s">
        <v>162</v>
      </c>
      <c r="K5049" s="11" t="s">
        <v>6315</v>
      </c>
      <c r="L5049" s="32" t="s">
        <v>6607</v>
      </c>
      <c r="M5049" s="113" t="s">
        <v>6608</v>
      </c>
      <c r="N5049" s="146">
        <v>42552</v>
      </c>
      <c r="O5049" s="146" t="s">
        <v>92</v>
      </c>
      <c r="P5049" s="465">
        <v>0</v>
      </c>
      <c r="Q5049" s="459">
        <v>20</v>
      </c>
      <c r="R5049" s="465">
        <f t="shared" si="161"/>
        <v>0</v>
      </c>
      <c r="S5049" s="31">
        <v>202304</v>
      </c>
      <c r="T5049" s="60" t="s">
        <v>6615</v>
      </c>
      <c r="U5049" s="411"/>
      <c r="V5049" s="411"/>
      <c r="W5049" s="411"/>
      <c r="X5049" s="34"/>
      <c r="Y5049" s="34"/>
    </row>
    <row r="5050" s="3" customFormat="1" customHeight="1" spans="1:25">
      <c r="A5050" s="11" t="s">
        <v>446</v>
      </c>
      <c r="B5050" s="11" t="s">
        <v>6300</v>
      </c>
      <c r="C5050" s="11" t="s">
        <v>120</v>
      </c>
      <c r="D5050" s="35" t="s">
        <v>6301</v>
      </c>
      <c r="E5050" s="13" t="s">
        <v>6604</v>
      </c>
      <c r="F5050" s="11" t="s">
        <v>6605</v>
      </c>
      <c r="G5050" s="11" t="s">
        <v>88</v>
      </c>
      <c r="H5050" s="110" t="s">
        <v>6606</v>
      </c>
      <c r="I5050" s="30" t="e">
        <f>VLOOKUP(H5050,'合同高级查询数据-4月返'!A:A,1,FALSE)</f>
        <v>#N/A</v>
      </c>
      <c r="J5050" s="31" t="s">
        <v>162</v>
      </c>
      <c r="K5050" s="11" t="s">
        <v>6315</v>
      </c>
      <c r="L5050" s="32" t="s">
        <v>6607</v>
      </c>
      <c r="M5050" s="113" t="s">
        <v>6608</v>
      </c>
      <c r="N5050" s="146">
        <v>43861</v>
      </c>
      <c r="O5050" s="146" t="s">
        <v>92</v>
      </c>
      <c r="P5050" s="465">
        <v>0</v>
      </c>
      <c r="Q5050" s="459">
        <v>-8</v>
      </c>
      <c r="R5050" s="465">
        <f t="shared" si="161"/>
        <v>0</v>
      </c>
      <c r="S5050" s="31">
        <v>202304</v>
      </c>
      <c r="T5050" s="60" t="s">
        <v>6616</v>
      </c>
      <c r="U5050" s="411"/>
      <c r="V5050" s="411"/>
      <c r="W5050" s="411"/>
      <c r="X5050" s="34"/>
      <c r="Y5050" s="34"/>
    </row>
    <row r="5051" s="3" customFormat="1" customHeight="1" spans="1:25">
      <c r="A5051" s="11" t="s">
        <v>446</v>
      </c>
      <c r="B5051" s="11" t="s">
        <v>6300</v>
      </c>
      <c r="C5051" s="11" t="s">
        <v>120</v>
      </c>
      <c r="D5051" s="35" t="s">
        <v>6301</v>
      </c>
      <c r="E5051" s="13" t="s">
        <v>6604</v>
      </c>
      <c r="F5051" s="11" t="s">
        <v>6605</v>
      </c>
      <c r="G5051" s="11" t="s">
        <v>88</v>
      </c>
      <c r="H5051" s="110" t="s">
        <v>6606</v>
      </c>
      <c r="I5051" s="30" t="e">
        <f>VLOOKUP(H5051,'合同高级查询数据-4月返'!A:A,1,FALSE)</f>
        <v>#N/A</v>
      </c>
      <c r="J5051" s="31" t="s">
        <v>162</v>
      </c>
      <c r="K5051" s="11" t="s">
        <v>6315</v>
      </c>
      <c r="L5051" s="32" t="s">
        <v>6607</v>
      </c>
      <c r="M5051" s="470" t="s">
        <v>6608</v>
      </c>
      <c r="N5051" s="146">
        <v>44252</v>
      </c>
      <c r="O5051" s="11" t="s">
        <v>92</v>
      </c>
      <c r="P5051" s="465">
        <v>3333.33</v>
      </c>
      <c r="Q5051" s="459">
        <v>3</v>
      </c>
      <c r="R5051" s="465">
        <f t="shared" si="161"/>
        <v>9999.99</v>
      </c>
      <c r="S5051" s="31">
        <v>202304</v>
      </c>
      <c r="T5051" s="60" t="s">
        <v>6617</v>
      </c>
      <c r="U5051" s="411"/>
      <c r="V5051" s="411"/>
      <c r="W5051" s="411"/>
      <c r="X5051" s="34"/>
      <c r="Y5051" s="34"/>
    </row>
    <row r="5052" s="3" customFormat="1" customHeight="1" spans="1:25">
      <c r="A5052" s="11" t="s">
        <v>446</v>
      </c>
      <c r="B5052" s="11" t="s">
        <v>6300</v>
      </c>
      <c r="C5052" s="11" t="s">
        <v>120</v>
      </c>
      <c r="D5052" s="35" t="s">
        <v>6301</v>
      </c>
      <c r="E5052" s="13" t="s">
        <v>6604</v>
      </c>
      <c r="F5052" s="11" t="s">
        <v>6605</v>
      </c>
      <c r="G5052" s="11" t="s">
        <v>88</v>
      </c>
      <c r="H5052" s="110" t="s">
        <v>6606</v>
      </c>
      <c r="I5052" s="30" t="e">
        <f>VLOOKUP(H5052,'合同高级查询数据-4月返'!A:A,1,FALSE)</f>
        <v>#N/A</v>
      </c>
      <c r="J5052" s="31" t="s">
        <v>162</v>
      </c>
      <c r="K5052" s="11" t="s">
        <v>6315</v>
      </c>
      <c r="L5052" s="32" t="s">
        <v>6607</v>
      </c>
      <c r="M5052" s="470" t="s">
        <v>6608</v>
      </c>
      <c r="N5052" s="146">
        <v>44252</v>
      </c>
      <c r="O5052" s="11" t="s">
        <v>92</v>
      </c>
      <c r="P5052" s="465">
        <v>0</v>
      </c>
      <c r="Q5052" s="459">
        <v>4</v>
      </c>
      <c r="R5052" s="465">
        <f t="shared" si="161"/>
        <v>0</v>
      </c>
      <c r="S5052" s="31">
        <v>202304</v>
      </c>
      <c r="T5052" s="60" t="s">
        <v>6618</v>
      </c>
      <c r="U5052" s="411"/>
      <c r="V5052" s="411"/>
      <c r="W5052" s="411"/>
      <c r="X5052" s="34"/>
      <c r="Y5052" s="34"/>
    </row>
    <row r="5053" s="3" customFormat="1" customHeight="1" spans="1:25">
      <c r="A5053" s="11" t="s">
        <v>446</v>
      </c>
      <c r="B5053" s="11" t="s">
        <v>6300</v>
      </c>
      <c r="C5053" s="11" t="s">
        <v>120</v>
      </c>
      <c r="D5053" s="35" t="s">
        <v>6301</v>
      </c>
      <c r="E5053" s="13" t="s">
        <v>6604</v>
      </c>
      <c r="F5053" s="11" t="s">
        <v>6605</v>
      </c>
      <c r="G5053" s="11" t="s">
        <v>88</v>
      </c>
      <c r="H5053" s="110" t="s">
        <v>6606</v>
      </c>
      <c r="I5053" s="30" t="e">
        <f>VLOOKUP(H5053,'合同高级查询数据-4月返'!A:A,1,FALSE)</f>
        <v>#N/A</v>
      </c>
      <c r="J5053" s="31" t="s">
        <v>162</v>
      </c>
      <c r="K5053" s="11" t="s">
        <v>6315</v>
      </c>
      <c r="L5053" s="32" t="s">
        <v>6607</v>
      </c>
      <c r="M5053" s="470" t="s">
        <v>6608</v>
      </c>
      <c r="N5053" s="146">
        <v>44317</v>
      </c>
      <c r="O5053" s="11" t="s">
        <v>92</v>
      </c>
      <c r="P5053" s="465">
        <v>3333.33</v>
      </c>
      <c r="Q5053" s="459">
        <v>1</v>
      </c>
      <c r="R5053" s="465">
        <f t="shared" si="161"/>
        <v>3333.33</v>
      </c>
      <c r="S5053" s="31">
        <v>202304</v>
      </c>
      <c r="T5053" s="60" t="s">
        <v>6619</v>
      </c>
      <c r="U5053" s="411"/>
      <c r="V5053" s="411"/>
      <c r="W5053" s="411"/>
      <c r="X5053" s="34"/>
      <c r="Y5053" s="34"/>
    </row>
    <row r="5054" s="3" customFormat="1" customHeight="1" spans="1:25">
      <c r="A5054" s="11" t="s">
        <v>446</v>
      </c>
      <c r="B5054" s="11" t="s">
        <v>6300</v>
      </c>
      <c r="C5054" s="11" t="s">
        <v>120</v>
      </c>
      <c r="D5054" s="35" t="s">
        <v>6301</v>
      </c>
      <c r="E5054" s="13" t="s">
        <v>6604</v>
      </c>
      <c r="F5054" s="11" t="s">
        <v>6605</v>
      </c>
      <c r="G5054" s="11" t="s">
        <v>88</v>
      </c>
      <c r="H5054" s="110" t="s">
        <v>6606</v>
      </c>
      <c r="I5054" s="30" t="e">
        <f>VLOOKUP(H5054,'合同高级查询数据-4月返'!A:A,1,FALSE)</f>
        <v>#N/A</v>
      </c>
      <c r="J5054" s="31" t="s">
        <v>162</v>
      </c>
      <c r="K5054" s="11" t="s">
        <v>6315</v>
      </c>
      <c r="L5054" s="32" t="s">
        <v>6607</v>
      </c>
      <c r="M5054" s="470" t="s">
        <v>6608</v>
      </c>
      <c r="N5054" s="146">
        <v>44682</v>
      </c>
      <c r="O5054" s="11" t="s">
        <v>92</v>
      </c>
      <c r="P5054" s="465">
        <v>3333.33</v>
      </c>
      <c r="Q5054" s="459">
        <v>1</v>
      </c>
      <c r="R5054" s="465">
        <f t="shared" si="161"/>
        <v>3333.33</v>
      </c>
      <c r="S5054" s="31">
        <v>202304</v>
      </c>
      <c r="T5054" s="60" t="s">
        <v>6620</v>
      </c>
      <c r="U5054" s="411"/>
      <c r="V5054" s="411"/>
      <c r="W5054" s="411"/>
      <c r="X5054" s="34"/>
      <c r="Y5054" s="34"/>
    </row>
    <row r="5055" s="3" customFormat="1" customHeight="1" spans="1:25">
      <c r="A5055" s="11" t="s">
        <v>446</v>
      </c>
      <c r="B5055" s="11" t="s">
        <v>6300</v>
      </c>
      <c r="C5055" s="11" t="s">
        <v>120</v>
      </c>
      <c r="D5055" s="35" t="s">
        <v>6301</v>
      </c>
      <c r="E5055" s="13" t="s">
        <v>6604</v>
      </c>
      <c r="F5055" s="11" t="s">
        <v>6605</v>
      </c>
      <c r="G5055" s="11" t="s">
        <v>88</v>
      </c>
      <c r="H5055" s="110" t="s">
        <v>6606</v>
      </c>
      <c r="I5055" s="30" t="e">
        <f>VLOOKUP(H5055,'合同高级查询数据-4月返'!A:A,1,FALSE)</f>
        <v>#N/A</v>
      </c>
      <c r="J5055" s="31" t="s">
        <v>162</v>
      </c>
      <c r="K5055" s="11" t="s">
        <v>6315</v>
      </c>
      <c r="L5055" s="32" t="s">
        <v>6607</v>
      </c>
      <c r="M5055" s="470" t="s">
        <v>6608</v>
      </c>
      <c r="N5055" s="146">
        <v>44773</v>
      </c>
      <c r="O5055" s="11" t="s">
        <v>92</v>
      </c>
      <c r="P5055" s="465">
        <v>3333.33</v>
      </c>
      <c r="Q5055" s="459">
        <v>-1</v>
      </c>
      <c r="R5055" s="465">
        <f t="shared" si="161"/>
        <v>-3333.33</v>
      </c>
      <c r="S5055" s="31">
        <v>202304</v>
      </c>
      <c r="T5055" s="60" t="s">
        <v>6621</v>
      </c>
      <c r="U5055" s="411"/>
      <c r="V5055" s="411"/>
      <c r="W5055" s="411"/>
      <c r="X5055" s="485"/>
      <c r="Y5055" s="34"/>
    </row>
    <row r="5056" s="3" customFormat="1" customHeight="1" spans="1:25">
      <c r="A5056" s="11" t="s">
        <v>446</v>
      </c>
      <c r="B5056" s="11" t="s">
        <v>6300</v>
      </c>
      <c r="C5056" s="11" t="s">
        <v>120</v>
      </c>
      <c r="D5056" s="35" t="s">
        <v>6301</v>
      </c>
      <c r="E5056" s="13" t="s">
        <v>6604</v>
      </c>
      <c r="F5056" s="11" t="s">
        <v>6605</v>
      </c>
      <c r="G5056" s="11" t="s">
        <v>88</v>
      </c>
      <c r="H5056" s="110" t="s">
        <v>6606</v>
      </c>
      <c r="I5056" s="30" t="e">
        <f>VLOOKUP(H5056,'合同高级查询数据-4月返'!A:A,1,FALSE)</f>
        <v>#N/A</v>
      </c>
      <c r="J5056" s="31" t="s">
        <v>162</v>
      </c>
      <c r="K5056" s="11" t="s">
        <v>6315</v>
      </c>
      <c r="L5056" s="32" t="s">
        <v>6607</v>
      </c>
      <c r="M5056" s="470" t="s">
        <v>6608</v>
      </c>
      <c r="N5056" s="146">
        <v>44784</v>
      </c>
      <c r="O5056" s="11" t="s">
        <v>92</v>
      </c>
      <c r="P5056" s="465">
        <v>3333.33</v>
      </c>
      <c r="Q5056" s="459">
        <v>-4</v>
      </c>
      <c r="R5056" s="465">
        <f t="shared" si="161"/>
        <v>-13333.32</v>
      </c>
      <c r="S5056" s="31">
        <v>202304</v>
      </c>
      <c r="T5056" s="60" t="s">
        <v>6622</v>
      </c>
      <c r="U5056" s="411"/>
      <c r="V5056" s="411"/>
      <c r="W5056" s="411"/>
      <c r="X5056" s="485"/>
      <c r="Y5056" s="34"/>
    </row>
    <row r="5057" s="3" customFormat="1" customHeight="1" spans="1:25">
      <c r="A5057" s="11" t="s">
        <v>446</v>
      </c>
      <c r="B5057" s="11" t="s">
        <v>6300</v>
      </c>
      <c r="C5057" s="11" t="s">
        <v>120</v>
      </c>
      <c r="D5057" s="35" t="s">
        <v>6301</v>
      </c>
      <c r="E5057" s="13" t="s">
        <v>6604</v>
      </c>
      <c r="F5057" s="11" t="s">
        <v>6605</v>
      </c>
      <c r="G5057" s="11" t="s">
        <v>88</v>
      </c>
      <c r="H5057" s="110" t="s">
        <v>6606</v>
      </c>
      <c r="I5057" s="30" t="e">
        <f>VLOOKUP(H5057,'合同高级查询数据-4月返'!A:A,1,FALSE)</f>
        <v>#N/A</v>
      </c>
      <c r="J5057" s="31" t="s">
        <v>162</v>
      </c>
      <c r="K5057" s="11" t="s">
        <v>6315</v>
      </c>
      <c r="L5057" s="32" t="s">
        <v>6607</v>
      </c>
      <c r="M5057" s="470" t="s">
        <v>6608</v>
      </c>
      <c r="N5057" s="146">
        <v>44784</v>
      </c>
      <c r="O5057" s="11" t="s">
        <v>92</v>
      </c>
      <c r="P5057" s="465">
        <v>0</v>
      </c>
      <c r="Q5057" s="459">
        <v>-5</v>
      </c>
      <c r="R5057" s="465">
        <f t="shared" si="161"/>
        <v>0</v>
      </c>
      <c r="S5057" s="31">
        <v>202304</v>
      </c>
      <c r="T5057" s="60"/>
      <c r="U5057" s="411"/>
      <c r="V5057" s="411"/>
      <c r="W5057" s="411"/>
      <c r="X5057" s="485"/>
      <c r="Y5057" s="34"/>
    </row>
    <row r="5058" s="5" customFormat="1" customHeight="1" spans="1:25">
      <c r="A5058" s="24" t="s">
        <v>446</v>
      </c>
      <c r="B5058" s="24" t="s">
        <v>6300</v>
      </c>
      <c r="C5058" s="24" t="s">
        <v>512</v>
      </c>
      <c r="D5058" s="22" t="s">
        <v>6301</v>
      </c>
      <c r="E5058" s="23" t="s">
        <v>6623</v>
      </c>
      <c r="F5058" s="24" t="s">
        <v>6624</v>
      </c>
      <c r="G5058" s="24" t="s">
        <v>31</v>
      </c>
      <c r="H5058" s="25" t="s">
        <v>6625</v>
      </c>
      <c r="I5058" s="46" t="e">
        <f>VLOOKUP(H5058,'合同高级查询数据-4月返'!A:A,1,FALSE)</f>
        <v>#N/A</v>
      </c>
      <c r="J5058" s="47" t="s">
        <v>33</v>
      </c>
      <c r="K5058" s="24" t="s">
        <v>516</v>
      </c>
      <c r="L5058" s="109" t="s">
        <v>6624</v>
      </c>
      <c r="M5058" s="475" t="s">
        <v>6626</v>
      </c>
      <c r="N5058" s="73" t="s">
        <v>1329</v>
      </c>
      <c r="O5058" s="24" t="s">
        <v>37</v>
      </c>
      <c r="P5058" s="52">
        <v>0</v>
      </c>
      <c r="Q5058" s="70">
        <v>288</v>
      </c>
      <c r="R5058" s="52">
        <f t="shared" si="161"/>
        <v>0</v>
      </c>
      <c r="S5058" s="47">
        <v>202304</v>
      </c>
      <c r="T5058" s="123" t="s">
        <v>6627</v>
      </c>
      <c r="U5058" s="48"/>
      <c r="V5058" s="48"/>
      <c r="W5058" s="489"/>
      <c r="X5058" s="50">
        <v>43831</v>
      </c>
      <c r="Y5058" s="50">
        <v>45291</v>
      </c>
    </row>
    <row r="5059" s="5" customFormat="1" customHeight="1" spans="1:25">
      <c r="A5059" s="24" t="s">
        <v>446</v>
      </c>
      <c r="B5059" s="24" t="s">
        <v>6300</v>
      </c>
      <c r="C5059" s="24" t="s">
        <v>512</v>
      </c>
      <c r="D5059" s="22" t="s">
        <v>6301</v>
      </c>
      <c r="E5059" s="23" t="s">
        <v>6623</v>
      </c>
      <c r="F5059" s="24" t="s">
        <v>6624</v>
      </c>
      <c r="G5059" s="24" t="s">
        <v>31</v>
      </c>
      <c r="H5059" s="25" t="s">
        <v>6625</v>
      </c>
      <c r="I5059" s="46" t="e">
        <f>VLOOKUP(H5059,'合同高级查询数据-4月返'!A:A,1,FALSE)</f>
        <v>#N/A</v>
      </c>
      <c r="J5059" s="47" t="s">
        <v>33</v>
      </c>
      <c r="K5059" s="24" t="s">
        <v>516</v>
      </c>
      <c r="L5059" s="109" t="s">
        <v>6624</v>
      </c>
      <c r="M5059" s="475" t="s">
        <v>6626</v>
      </c>
      <c r="N5059" s="73">
        <v>43921</v>
      </c>
      <c r="O5059" s="24" t="s">
        <v>37</v>
      </c>
      <c r="P5059" s="52">
        <v>0</v>
      </c>
      <c r="Q5059" s="70">
        <v>-288</v>
      </c>
      <c r="R5059" s="52">
        <f t="shared" si="161"/>
        <v>0</v>
      </c>
      <c r="S5059" s="47">
        <v>202304</v>
      </c>
      <c r="T5059" s="123" t="s">
        <v>6627</v>
      </c>
      <c r="U5059" s="48"/>
      <c r="V5059" s="48"/>
      <c r="W5059" s="489"/>
      <c r="X5059" s="50">
        <v>43831</v>
      </c>
      <c r="Y5059" s="50">
        <v>45291</v>
      </c>
    </row>
    <row r="5060" s="5" customFormat="1" customHeight="1" spans="1:25">
      <c r="A5060" s="24" t="s">
        <v>446</v>
      </c>
      <c r="B5060" s="24" t="s">
        <v>6300</v>
      </c>
      <c r="C5060" s="24" t="s">
        <v>512</v>
      </c>
      <c r="D5060" s="22" t="s">
        <v>6301</v>
      </c>
      <c r="E5060" s="23" t="s">
        <v>6623</v>
      </c>
      <c r="F5060" s="24" t="s">
        <v>6624</v>
      </c>
      <c r="G5060" s="24" t="s">
        <v>31</v>
      </c>
      <c r="H5060" s="25" t="s">
        <v>6625</v>
      </c>
      <c r="I5060" s="46" t="e">
        <f>VLOOKUP(H5060,'合同高级查询数据-4月返'!A:A,1,FALSE)</f>
        <v>#N/A</v>
      </c>
      <c r="J5060" s="47" t="s">
        <v>33</v>
      </c>
      <c r="K5060" s="24" t="s">
        <v>516</v>
      </c>
      <c r="L5060" s="109" t="s">
        <v>6624</v>
      </c>
      <c r="M5060" s="49" t="s">
        <v>6626</v>
      </c>
      <c r="N5060" s="73">
        <v>43800</v>
      </c>
      <c r="O5060" s="24" t="s">
        <v>37</v>
      </c>
      <c r="P5060" s="52">
        <v>0</v>
      </c>
      <c r="Q5060" s="70">
        <v>128</v>
      </c>
      <c r="R5060" s="52">
        <f t="shared" si="161"/>
        <v>0</v>
      </c>
      <c r="S5060" s="47">
        <v>202304</v>
      </c>
      <c r="T5060" s="123" t="s">
        <v>6628</v>
      </c>
      <c r="U5060" s="48"/>
      <c r="V5060" s="48"/>
      <c r="W5060" s="48"/>
      <c r="X5060" s="50">
        <v>43831</v>
      </c>
      <c r="Y5060" s="50">
        <v>45291</v>
      </c>
    </row>
    <row r="5061" s="5" customFormat="1" customHeight="1" spans="1:25">
      <c r="A5061" s="24" t="s">
        <v>446</v>
      </c>
      <c r="B5061" s="24" t="s">
        <v>6300</v>
      </c>
      <c r="C5061" s="24" t="s">
        <v>512</v>
      </c>
      <c r="D5061" s="22" t="s">
        <v>6301</v>
      </c>
      <c r="E5061" s="23" t="s">
        <v>6623</v>
      </c>
      <c r="F5061" s="24" t="s">
        <v>6624</v>
      </c>
      <c r="G5061" s="24" t="s">
        <v>31</v>
      </c>
      <c r="H5061" s="25" t="s">
        <v>6625</v>
      </c>
      <c r="I5061" s="46" t="e">
        <f>VLOOKUP(H5061,'合同高级查询数据-4月返'!A:A,1,FALSE)</f>
        <v>#N/A</v>
      </c>
      <c r="J5061" s="47" t="s">
        <v>33</v>
      </c>
      <c r="K5061" s="24" t="s">
        <v>516</v>
      </c>
      <c r="L5061" s="109" t="s">
        <v>6624</v>
      </c>
      <c r="M5061" s="475"/>
      <c r="N5061" s="73"/>
      <c r="O5061" s="22" t="s">
        <v>179</v>
      </c>
      <c r="P5061" s="52">
        <v>0</v>
      </c>
      <c r="Q5061" s="52">
        <v>0</v>
      </c>
      <c r="R5061" s="52">
        <f t="shared" si="161"/>
        <v>0</v>
      </c>
      <c r="S5061" s="47">
        <v>202304</v>
      </c>
      <c r="T5061" s="123" t="s">
        <v>6629</v>
      </c>
      <c r="U5061" s="48"/>
      <c r="V5061" s="48"/>
      <c r="W5061" s="48"/>
      <c r="X5061" s="50">
        <v>43831</v>
      </c>
      <c r="Y5061" s="50">
        <v>45291</v>
      </c>
    </row>
    <row r="5062" s="5" customFormat="1" customHeight="1" spans="1:25">
      <c r="A5062" s="24" t="s">
        <v>446</v>
      </c>
      <c r="B5062" s="24" t="s">
        <v>6300</v>
      </c>
      <c r="C5062" s="24" t="s">
        <v>512</v>
      </c>
      <c r="D5062" s="22" t="s">
        <v>6301</v>
      </c>
      <c r="E5062" s="23" t="s">
        <v>6623</v>
      </c>
      <c r="F5062" s="24" t="s">
        <v>6624</v>
      </c>
      <c r="G5062" s="24" t="s">
        <v>31</v>
      </c>
      <c r="H5062" s="25" t="s">
        <v>6625</v>
      </c>
      <c r="I5062" s="46" t="e">
        <f>VLOOKUP(H5062,'合同高级查询数据-4月返'!A:A,1,FALSE)</f>
        <v>#N/A</v>
      </c>
      <c r="J5062" s="47" t="s">
        <v>33</v>
      </c>
      <c r="K5062" s="24" t="s">
        <v>516</v>
      </c>
      <c r="L5062" s="109" t="s">
        <v>6624</v>
      </c>
      <c r="M5062" s="475" t="s">
        <v>6626</v>
      </c>
      <c r="N5062" s="73">
        <v>44292</v>
      </c>
      <c r="O5062" s="239" t="s">
        <v>37</v>
      </c>
      <c r="P5062" s="52">
        <v>50</v>
      </c>
      <c r="Q5062" s="70">
        <v>128</v>
      </c>
      <c r="R5062" s="52">
        <f t="shared" si="161"/>
        <v>6400</v>
      </c>
      <c r="S5062" s="47">
        <v>202304</v>
      </c>
      <c r="T5062" s="123" t="s">
        <v>6630</v>
      </c>
      <c r="U5062" s="48"/>
      <c r="V5062" s="48"/>
      <c r="W5062" s="48"/>
      <c r="X5062" s="50">
        <v>43831</v>
      </c>
      <c r="Y5062" s="50">
        <v>45291</v>
      </c>
    </row>
    <row r="5063" s="5" customFormat="1" customHeight="1" spans="1:25">
      <c r="A5063" s="24" t="s">
        <v>446</v>
      </c>
      <c r="B5063" s="24" t="s">
        <v>6300</v>
      </c>
      <c r="C5063" s="24" t="s">
        <v>512</v>
      </c>
      <c r="D5063" s="22" t="s">
        <v>6301</v>
      </c>
      <c r="E5063" s="23" t="s">
        <v>6623</v>
      </c>
      <c r="F5063" s="24" t="s">
        <v>6624</v>
      </c>
      <c r="G5063" s="24" t="s">
        <v>88</v>
      </c>
      <c r="H5063" s="25" t="s">
        <v>6625</v>
      </c>
      <c r="I5063" s="46" t="e">
        <f>VLOOKUP(H5063,'合同高级查询数据-4月返'!A:A,1,FALSE)</f>
        <v>#N/A</v>
      </c>
      <c r="J5063" s="47" t="s">
        <v>162</v>
      </c>
      <c r="K5063" s="24" t="s">
        <v>516</v>
      </c>
      <c r="L5063" s="109" t="s">
        <v>6624</v>
      </c>
      <c r="M5063" s="49" t="s">
        <v>6626</v>
      </c>
      <c r="N5063" s="73">
        <v>42991</v>
      </c>
      <c r="O5063" s="73" t="s">
        <v>4123</v>
      </c>
      <c r="P5063" s="52">
        <v>5000</v>
      </c>
      <c r="Q5063" s="70">
        <v>2</v>
      </c>
      <c r="R5063" s="52">
        <f t="shared" si="161"/>
        <v>10000</v>
      </c>
      <c r="S5063" s="47">
        <v>202304</v>
      </c>
      <c r="T5063" s="123" t="s">
        <v>6631</v>
      </c>
      <c r="U5063" s="48"/>
      <c r="V5063" s="48"/>
      <c r="W5063" s="489"/>
      <c r="X5063" s="50">
        <v>43831</v>
      </c>
      <c r="Y5063" s="50">
        <v>45291</v>
      </c>
    </row>
    <row r="5064" s="5" customFormat="1" customHeight="1" spans="1:25">
      <c r="A5064" s="24" t="s">
        <v>446</v>
      </c>
      <c r="B5064" s="24" t="s">
        <v>6300</v>
      </c>
      <c r="C5064" s="24" t="s">
        <v>512</v>
      </c>
      <c r="D5064" s="22" t="s">
        <v>6301</v>
      </c>
      <c r="E5064" s="23" t="s">
        <v>6623</v>
      </c>
      <c r="F5064" s="24" t="s">
        <v>6624</v>
      </c>
      <c r="G5064" s="24" t="s">
        <v>88</v>
      </c>
      <c r="H5064" s="25" t="s">
        <v>6625</v>
      </c>
      <c r="I5064" s="46" t="e">
        <f>VLOOKUP(H5064,'合同高级查询数据-4月返'!A:A,1,FALSE)</f>
        <v>#N/A</v>
      </c>
      <c r="J5064" s="47" t="s">
        <v>162</v>
      </c>
      <c r="K5064" s="24" t="s">
        <v>516</v>
      </c>
      <c r="L5064" s="109" t="s">
        <v>6624</v>
      </c>
      <c r="M5064" s="49" t="s">
        <v>6626</v>
      </c>
      <c r="N5064" s="73">
        <v>43921</v>
      </c>
      <c r="O5064" s="24" t="s">
        <v>4123</v>
      </c>
      <c r="P5064" s="52">
        <v>5000</v>
      </c>
      <c r="Q5064" s="70">
        <v>-2</v>
      </c>
      <c r="R5064" s="52">
        <f t="shared" si="161"/>
        <v>-10000</v>
      </c>
      <c r="S5064" s="47">
        <v>202304</v>
      </c>
      <c r="T5064" s="123" t="s">
        <v>6632</v>
      </c>
      <c r="U5064" s="48"/>
      <c r="V5064" s="48"/>
      <c r="W5064" s="489"/>
      <c r="X5064" s="50">
        <v>43831</v>
      </c>
      <c r="Y5064" s="50">
        <v>45291</v>
      </c>
    </row>
    <row r="5065" s="5" customFormat="1" customHeight="1" spans="1:25">
      <c r="A5065" s="24" t="s">
        <v>446</v>
      </c>
      <c r="B5065" s="24" t="s">
        <v>6300</v>
      </c>
      <c r="C5065" s="24" t="s">
        <v>512</v>
      </c>
      <c r="D5065" s="22" t="s">
        <v>6301</v>
      </c>
      <c r="E5065" s="23" t="s">
        <v>6623</v>
      </c>
      <c r="F5065" s="24" t="s">
        <v>6624</v>
      </c>
      <c r="G5065" s="24" t="s">
        <v>88</v>
      </c>
      <c r="H5065" s="25" t="s">
        <v>6625</v>
      </c>
      <c r="I5065" s="46" t="e">
        <f>VLOOKUP(H5065,'合同高级查询数据-4月返'!A:A,1,FALSE)</f>
        <v>#N/A</v>
      </c>
      <c r="J5065" s="47" t="s">
        <v>162</v>
      </c>
      <c r="K5065" s="24" t="s">
        <v>516</v>
      </c>
      <c r="L5065" s="109" t="s">
        <v>6624</v>
      </c>
      <c r="M5065" s="49" t="s">
        <v>6626</v>
      </c>
      <c r="N5065" s="73">
        <v>43800</v>
      </c>
      <c r="O5065" s="24" t="s">
        <v>4123</v>
      </c>
      <c r="P5065" s="52">
        <v>5000</v>
      </c>
      <c r="Q5065" s="70">
        <v>2</v>
      </c>
      <c r="R5065" s="52">
        <f t="shared" si="161"/>
        <v>10000</v>
      </c>
      <c r="S5065" s="47">
        <v>202304</v>
      </c>
      <c r="T5065" s="123" t="s">
        <v>6633</v>
      </c>
      <c r="U5065" s="48"/>
      <c r="V5065" s="48"/>
      <c r="W5065" s="48"/>
      <c r="X5065" s="50">
        <v>43831</v>
      </c>
      <c r="Y5065" s="50">
        <v>45291</v>
      </c>
    </row>
    <row r="5066" s="5" customFormat="1" customHeight="1" spans="1:25">
      <c r="A5066" s="24" t="s">
        <v>446</v>
      </c>
      <c r="B5066" s="24" t="s">
        <v>6300</v>
      </c>
      <c r="C5066" s="24" t="s">
        <v>512</v>
      </c>
      <c r="D5066" s="22" t="s">
        <v>6301</v>
      </c>
      <c r="E5066" s="23" t="s">
        <v>6623</v>
      </c>
      <c r="F5066" s="24" t="s">
        <v>6624</v>
      </c>
      <c r="G5066" s="24" t="s">
        <v>88</v>
      </c>
      <c r="H5066" s="25" t="s">
        <v>6625</v>
      </c>
      <c r="I5066" s="46" t="e">
        <f>VLOOKUP(H5066,'合同高级查询数据-4月返'!A:A,1,FALSE)</f>
        <v>#N/A</v>
      </c>
      <c r="J5066" s="47" t="s">
        <v>162</v>
      </c>
      <c r="K5066" s="24" t="s">
        <v>516</v>
      </c>
      <c r="L5066" s="109" t="s">
        <v>6624</v>
      </c>
      <c r="M5066" s="475" t="s">
        <v>6626</v>
      </c>
      <c r="N5066" s="73">
        <v>44292</v>
      </c>
      <c r="O5066" s="24" t="s">
        <v>4123</v>
      </c>
      <c r="P5066" s="52">
        <v>5000</v>
      </c>
      <c r="Q5066" s="52">
        <v>1</v>
      </c>
      <c r="R5066" s="52">
        <f t="shared" si="161"/>
        <v>5000</v>
      </c>
      <c r="S5066" s="47">
        <v>202304</v>
      </c>
      <c r="T5066" s="123" t="s">
        <v>6634</v>
      </c>
      <c r="U5066" s="48"/>
      <c r="V5066" s="48"/>
      <c r="W5066" s="48"/>
      <c r="X5066" s="50">
        <v>43831</v>
      </c>
      <c r="Y5066" s="50">
        <v>45291</v>
      </c>
    </row>
    <row r="5067" s="3" customFormat="1" customHeight="1" spans="1:25">
      <c r="A5067" s="11" t="s">
        <v>446</v>
      </c>
      <c r="B5067" s="11" t="s">
        <v>6300</v>
      </c>
      <c r="C5067" s="11" t="s">
        <v>512</v>
      </c>
      <c r="D5067" s="35" t="s">
        <v>6301</v>
      </c>
      <c r="E5067" s="13" t="s">
        <v>6623</v>
      </c>
      <c r="F5067" s="11" t="s">
        <v>6624</v>
      </c>
      <c r="G5067" s="11" t="s">
        <v>31</v>
      </c>
      <c r="H5067" s="110" t="s">
        <v>6635</v>
      </c>
      <c r="I5067" s="30" t="e">
        <f>VLOOKUP(H5067,'合同高级查询数据-4月返'!A:A,1,FALSE)</f>
        <v>#N/A</v>
      </c>
      <c r="J5067" s="31" t="s">
        <v>33</v>
      </c>
      <c r="K5067" s="11" t="s">
        <v>516</v>
      </c>
      <c r="L5067" s="32" t="s">
        <v>6636</v>
      </c>
      <c r="M5067" s="470" t="s">
        <v>6562</v>
      </c>
      <c r="N5067" s="146">
        <v>45022</v>
      </c>
      <c r="O5067" s="11" t="s">
        <v>37</v>
      </c>
      <c r="P5067" s="465">
        <v>0</v>
      </c>
      <c r="Q5067" s="465">
        <v>512</v>
      </c>
      <c r="R5067" s="465">
        <f t="shared" si="161"/>
        <v>0</v>
      </c>
      <c r="S5067" s="31">
        <v>202304</v>
      </c>
      <c r="T5067" s="60" t="s">
        <v>6637</v>
      </c>
      <c r="U5067" s="411"/>
      <c r="V5067" s="411"/>
      <c r="W5067" s="411"/>
      <c r="X5067" s="34"/>
      <c r="Y5067" s="34"/>
    </row>
    <row r="5068" s="3" customFormat="1" customHeight="1" spans="1:25">
      <c r="A5068" s="11" t="s">
        <v>446</v>
      </c>
      <c r="B5068" s="11" t="s">
        <v>6300</v>
      </c>
      <c r="C5068" s="11" t="s">
        <v>512</v>
      </c>
      <c r="D5068" s="35" t="s">
        <v>6301</v>
      </c>
      <c r="E5068" s="13" t="s">
        <v>6623</v>
      </c>
      <c r="F5068" s="11" t="s">
        <v>6624</v>
      </c>
      <c r="G5068" s="11" t="s">
        <v>88</v>
      </c>
      <c r="H5068" s="110" t="s">
        <v>6635</v>
      </c>
      <c r="I5068" s="30" t="e">
        <f>VLOOKUP(H5068,'合同高级查询数据-4月返'!A:A,1,FALSE)</f>
        <v>#N/A</v>
      </c>
      <c r="J5068" s="31" t="s">
        <v>162</v>
      </c>
      <c r="K5068" s="11" t="s">
        <v>516</v>
      </c>
      <c r="L5068" s="32" t="s">
        <v>6636</v>
      </c>
      <c r="M5068" s="470" t="s">
        <v>6562</v>
      </c>
      <c r="N5068" s="146">
        <v>45022</v>
      </c>
      <c r="O5068" s="11" t="s">
        <v>503</v>
      </c>
      <c r="P5068" s="465">
        <v>5000</v>
      </c>
      <c r="Q5068" s="465">
        <v>4</v>
      </c>
      <c r="R5068" s="465">
        <f>ROUND(P5068*Q5068*25/30,2)</f>
        <v>16666.67</v>
      </c>
      <c r="S5068" s="31">
        <v>202304</v>
      </c>
      <c r="T5068" s="472" t="s">
        <v>6638</v>
      </c>
      <c r="U5068" s="411"/>
      <c r="V5068" s="411"/>
      <c r="W5068" s="411"/>
      <c r="X5068" s="34"/>
      <c r="Y5068" s="34"/>
    </row>
    <row r="5069" s="3" customFormat="1" customHeight="1" spans="1:25">
      <c r="A5069" s="11" t="s">
        <v>446</v>
      </c>
      <c r="B5069" s="11" t="s">
        <v>6300</v>
      </c>
      <c r="C5069" s="11" t="s">
        <v>136</v>
      </c>
      <c r="D5069" s="35" t="s">
        <v>6301</v>
      </c>
      <c r="E5069" s="13" t="s">
        <v>6639</v>
      </c>
      <c r="F5069" s="11" t="s">
        <v>6640</v>
      </c>
      <c r="G5069" s="11" t="s">
        <v>31</v>
      </c>
      <c r="H5069" s="110" t="s">
        <v>6641</v>
      </c>
      <c r="I5069" s="30" t="e">
        <f>VLOOKUP(H5069,'合同高级查询数据-4月返'!A:A,1,FALSE)</f>
        <v>#N/A</v>
      </c>
      <c r="J5069" s="31" t="s">
        <v>1273</v>
      </c>
      <c r="K5069" s="11" t="s">
        <v>6642</v>
      </c>
      <c r="L5069" s="32" t="s">
        <v>6643</v>
      </c>
      <c r="M5069" s="470" t="s">
        <v>6644</v>
      </c>
      <c r="N5069" s="146">
        <v>42576</v>
      </c>
      <c r="O5069" s="11" t="s">
        <v>37</v>
      </c>
      <c r="P5069" s="465">
        <v>50</v>
      </c>
      <c r="Q5069" s="459">
        <v>640</v>
      </c>
      <c r="R5069" s="465">
        <f t="shared" ref="R5069:R5080" si="162">ROUND(P5069*Q5069,2)</f>
        <v>32000</v>
      </c>
      <c r="S5069" s="31">
        <v>202304</v>
      </c>
      <c r="T5069" s="60" t="s">
        <v>6645</v>
      </c>
      <c r="U5069" s="411"/>
      <c r="V5069" s="411"/>
      <c r="W5069" s="411"/>
      <c r="X5069" s="34"/>
      <c r="Y5069" s="34"/>
    </row>
    <row r="5070" s="3" customFormat="1" customHeight="1" spans="1:25">
      <c r="A5070" s="11" t="s">
        <v>446</v>
      </c>
      <c r="B5070" s="11" t="s">
        <v>6300</v>
      </c>
      <c r="C5070" s="11" t="s">
        <v>136</v>
      </c>
      <c r="D5070" s="35" t="s">
        <v>6301</v>
      </c>
      <c r="E5070" s="13" t="s">
        <v>6639</v>
      </c>
      <c r="F5070" s="11" t="s">
        <v>6640</v>
      </c>
      <c r="G5070" s="11" t="s">
        <v>31</v>
      </c>
      <c r="H5070" s="110" t="s">
        <v>6641</v>
      </c>
      <c r="I5070" s="30" t="e">
        <f>VLOOKUP(H5070,'合同高级查询数据-4月返'!A:A,1,FALSE)</f>
        <v>#N/A</v>
      </c>
      <c r="J5070" s="31" t="s">
        <v>1273</v>
      </c>
      <c r="K5070" s="11" t="s">
        <v>6642</v>
      </c>
      <c r="L5070" s="32" t="s">
        <v>6643</v>
      </c>
      <c r="M5070" s="470" t="s">
        <v>6644</v>
      </c>
      <c r="N5070" s="146"/>
      <c r="O5070" s="11" t="s">
        <v>37</v>
      </c>
      <c r="P5070" s="465">
        <v>0</v>
      </c>
      <c r="Q5070" s="459">
        <v>128</v>
      </c>
      <c r="R5070" s="465">
        <f t="shared" si="162"/>
        <v>0</v>
      </c>
      <c r="S5070" s="31">
        <v>202304</v>
      </c>
      <c r="T5070" s="60" t="s">
        <v>6646</v>
      </c>
      <c r="U5070" s="411"/>
      <c r="V5070" s="411"/>
      <c r="W5070" s="411"/>
      <c r="X5070" s="34"/>
      <c r="Y5070" s="34"/>
    </row>
    <row r="5071" s="3" customFormat="1" customHeight="1" spans="1:25">
      <c r="A5071" s="11" t="s">
        <v>446</v>
      </c>
      <c r="B5071" s="11" t="s">
        <v>6300</v>
      </c>
      <c r="C5071" s="11" t="s">
        <v>136</v>
      </c>
      <c r="D5071" s="35" t="s">
        <v>6301</v>
      </c>
      <c r="E5071" s="13" t="s">
        <v>6639</v>
      </c>
      <c r="F5071" s="11" t="s">
        <v>6640</v>
      </c>
      <c r="G5071" s="11" t="s">
        <v>31</v>
      </c>
      <c r="H5071" s="110" t="s">
        <v>6641</v>
      </c>
      <c r="I5071" s="30" t="e">
        <f>VLOOKUP(H5071,'合同高级查询数据-4月返'!A:A,1,FALSE)</f>
        <v>#N/A</v>
      </c>
      <c r="J5071" s="31" t="s">
        <v>33</v>
      </c>
      <c r="K5071" s="11" t="s">
        <v>6642</v>
      </c>
      <c r="L5071" s="32"/>
      <c r="M5071" s="470" t="s">
        <v>6647</v>
      </c>
      <c r="N5071" s="146" t="s">
        <v>6648</v>
      </c>
      <c r="O5071" s="11" t="s">
        <v>37</v>
      </c>
      <c r="P5071" s="465">
        <v>0</v>
      </c>
      <c r="Q5071" s="459">
        <v>215</v>
      </c>
      <c r="R5071" s="465">
        <f t="shared" si="162"/>
        <v>0</v>
      </c>
      <c r="S5071" s="31">
        <v>202304</v>
      </c>
      <c r="T5071" s="60" t="s">
        <v>6649</v>
      </c>
      <c r="U5071" s="411"/>
      <c r="V5071" s="411"/>
      <c r="W5071" s="411"/>
      <c r="X5071" s="34"/>
      <c r="Y5071" s="34"/>
    </row>
    <row r="5072" s="3" customFormat="1" customHeight="1" spans="1:25">
      <c r="A5072" s="11" t="s">
        <v>446</v>
      </c>
      <c r="B5072" s="11" t="s">
        <v>6300</v>
      </c>
      <c r="C5072" s="11" t="s">
        <v>136</v>
      </c>
      <c r="D5072" s="35" t="s">
        <v>6301</v>
      </c>
      <c r="E5072" s="13" t="s">
        <v>6639</v>
      </c>
      <c r="F5072" s="11" t="s">
        <v>6640</v>
      </c>
      <c r="G5072" s="11" t="s">
        <v>31</v>
      </c>
      <c r="H5072" s="110" t="s">
        <v>6641</v>
      </c>
      <c r="I5072" s="30" t="e">
        <f>VLOOKUP(H5072,'合同高级查询数据-4月返'!A:A,1,FALSE)</f>
        <v>#N/A</v>
      </c>
      <c r="J5072" s="31" t="s">
        <v>33</v>
      </c>
      <c r="K5072" s="11" t="s">
        <v>6642</v>
      </c>
      <c r="L5072" s="32"/>
      <c r="M5072" s="470" t="s">
        <v>6647</v>
      </c>
      <c r="N5072" s="146" t="s">
        <v>6648</v>
      </c>
      <c r="O5072" s="11" t="s">
        <v>37</v>
      </c>
      <c r="P5072" s="465">
        <v>50</v>
      </c>
      <c r="Q5072" s="459">
        <v>73</v>
      </c>
      <c r="R5072" s="465">
        <f t="shared" si="162"/>
        <v>3650</v>
      </c>
      <c r="S5072" s="31">
        <v>202304</v>
      </c>
      <c r="T5072" s="60" t="s">
        <v>6650</v>
      </c>
      <c r="U5072" s="411"/>
      <c r="V5072" s="411"/>
      <c r="W5072" s="411"/>
      <c r="X5072" s="34"/>
      <c r="Y5072" s="34"/>
    </row>
    <row r="5073" s="3" customFormat="1" customHeight="1" spans="1:25">
      <c r="A5073" s="11" t="s">
        <v>446</v>
      </c>
      <c r="B5073" s="11" t="s">
        <v>6300</v>
      </c>
      <c r="C5073" s="11" t="s">
        <v>136</v>
      </c>
      <c r="D5073" s="35" t="s">
        <v>6301</v>
      </c>
      <c r="E5073" s="13" t="s">
        <v>6639</v>
      </c>
      <c r="F5073" s="11" t="s">
        <v>6640</v>
      </c>
      <c r="G5073" s="11" t="s">
        <v>31</v>
      </c>
      <c r="H5073" s="110" t="s">
        <v>6641</v>
      </c>
      <c r="I5073" s="30" t="e">
        <f>VLOOKUP(H5073,'合同高级查询数据-4月返'!A:A,1,FALSE)</f>
        <v>#N/A</v>
      </c>
      <c r="J5073" s="31" t="s">
        <v>33</v>
      </c>
      <c r="K5073" s="11" t="s">
        <v>6651</v>
      </c>
      <c r="L5073" s="11" t="s">
        <v>6651</v>
      </c>
      <c r="M5073" s="470" t="s">
        <v>6647</v>
      </c>
      <c r="N5073" s="146">
        <v>44333</v>
      </c>
      <c r="O5073" s="466" t="s">
        <v>37</v>
      </c>
      <c r="P5073" s="465">
        <v>0</v>
      </c>
      <c r="Q5073" s="459">
        <v>128</v>
      </c>
      <c r="R5073" s="465">
        <f t="shared" si="162"/>
        <v>0</v>
      </c>
      <c r="S5073" s="31">
        <v>202304</v>
      </c>
      <c r="T5073" s="60" t="s">
        <v>6652</v>
      </c>
      <c r="U5073" s="411"/>
      <c r="V5073" s="411"/>
      <c r="W5073" s="411"/>
      <c r="X5073" s="34"/>
      <c r="Y5073" s="34"/>
    </row>
    <row r="5074" s="3" customFormat="1" customHeight="1" spans="1:25">
      <c r="A5074" s="11" t="s">
        <v>446</v>
      </c>
      <c r="B5074" s="11" t="s">
        <v>6300</v>
      </c>
      <c r="C5074" s="11" t="s">
        <v>136</v>
      </c>
      <c r="D5074" s="35" t="s">
        <v>6301</v>
      </c>
      <c r="E5074" s="13" t="s">
        <v>6639</v>
      </c>
      <c r="F5074" s="11" t="s">
        <v>6640</v>
      </c>
      <c r="G5074" s="11" t="s">
        <v>31</v>
      </c>
      <c r="H5074" s="110" t="s">
        <v>6641</v>
      </c>
      <c r="I5074" s="30" t="e">
        <f>VLOOKUP(H5074,'合同高级查询数据-4月返'!A:A,1,FALSE)</f>
        <v>#N/A</v>
      </c>
      <c r="J5074" s="31" t="s">
        <v>33</v>
      </c>
      <c r="K5074" s="11" t="s">
        <v>6653</v>
      </c>
      <c r="L5074" s="11" t="s">
        <v>6653</v>
      </c>
      <c r="M5074" s="470" t="s">
        <v>6647</v>
      </c>
      <c r="N5074" s="146">
        <v>44420</v>
      </c>
      <c r="O5074" s="466" t="s">
        <v>37</v>
      </c>
      <c r="P5074" s="465">
        <v>0</v>
      </c>
      <c r="Q5074" s="459">
        <v>128</v>
      </c>
      <c r="R5074" s="465">
        <f t="shared" si="162"/>
        <v>0</v>
      </c>
      <c r="S5074" s="31">
        <v>202304</v>
      </c>
      <c r="T5074" s="60" t="s">
        <v>6654</v>
      </c>
      <c r="U5074" s="411"/>
      <c r="V5074" s="411"/>
      <c r="W5074" s="411"/>
      <c r="X5074" s="34"/>
      <c r="Y5074" s="34"/>
    </row>
    <row r="5075" s="3" customFormat="1" customHeight="1" spans="1:25">
      <c r="A5075" s="11" t="s">
        <v>446</v>
      </c>
      <c r="B5075" s="11" t="s">
        <v>6300</v>
      </c>
      <c r="C5075" s="11" t="s">
        <v>136</v>
      </c>
      <c r="D5075" s="35" t="s">
        <v>6301</v>
      </c>
      <c r="E5075" s="13" t="s">
        <v>6639</v>
      </c>
      <c r="F5075" s="11" t="s">
        <v>6640</v>
      </c>
      <c r="G5075" s="11" t="s">
        <v>31</v>
      </c>
      <c r="H5075" s="110" t="s">
        <v>6641</v>
      </c>
      <c r="I5075" s="30" t="e">
        <f>VLOOKUP(H5075,'合同高级查询数据-4月返'!A:A,1,FALSE)</f>
        <v>#N/A</v>
      </c>
      <c r="J5075" s="31" t="s">
        <v>33</v>
      </c>
      <c r="K5075" s="11" t="s">
        <v>6653</v>
      </c>
      <c r="L5075" s="11" t="s">
        <v>6653</v>
      </c>
      <c r="M5075" s="470" t="s">
        <v>6647</v>
      </c>
      <c r="N5075" s="146">
        <v>44420</v>
      </c>
      <c r="O5075" s="466" t="s">
        <v>37</v>
      </c>
      <c r="P5075" s="465">
        <v>50</v>
      </c>
      <c r="Q5075" s="459">
        <v>32</v>
      </c>
      <c r="R5075" s="465">
        <f t="shared" si="162"/>
        <v>1600</v>
      </c>
      <c r="S5075" s="31">
        <v>202304</v>
      </c>
      <c r="T5075" s="60" t="s">
        <v>6654</v>
      </c>
      <c r="U5075" s="411"/>
      <c r="V5075" s="411"/>
      <c r="W5075" s="411"/>
      <c r="X5075" s="34"/>
      <c r="Y5075" s="34"/>
    </row>
    <row r="5076" s="3" customFormat="1" customHeight="1" spans="1:25">
      <c r="A5076" s="11" t="s">
        <v>446</v>
      </c>
      <c r="B5076" s="11" t="s">
        <v>6300</v>
      </c>
      <c r="C5076" s="11" t="s">
        <v>136</v>
      </c>
      <c r="D5076" s="35" t="s">
        <v>6301</v>
      </c>
      <c r="E5076" s="13" t="s">
        <v>6639</v>
      </c>
      <c r="F5076" s="11" t="s">
        <v>6640</v>
      </c>
      <c r="G5076" s="11" t="s">
        <v>31</v>
      </c>
      <c r="H5076" s="110" t="s">
        <v>6641</v>
      </c>
      <c r="I5076" s="30" t="e">
        <f>VLOOKUP(H5076,'合同高级查询数据-4月返'!A:A,1,FALSE)</f>
        <v>#N/A</v>
      </c>
      <c r="J5076" s="31" t="s">
        <v>33</v>
      </c>
      <c r="K5076" s="11" t="s">
        <v>6651</v>
      </c>
      <c r="L5076" s="11" t="s">
        <v>6651</v>
      </c>
      <c r="M5076" s="470" t="s">
        <v>6647</v>
      </c>
      <c r="N5076" s="146">
        <v>44414</v>
      </c>
      <c r="O5076" s="466" t="s">
        <v>37</v>
      </c>
      <c r="P5076" s="465">
        <v>0</v>
      </c>
      <c r="Q5076" s="459">
        <v>128</v>
      </c>
      <c r="R5076" s="465">
        <f t="shared" si="162"/>
        <v>0</v>
      </c>
      <c r="S5076" s="31">
        <v>202304</v>
      </c>
      <c r="T5076" s="60" t="s">
        <v>6655</v>
      </c>
      <c r="U5076" s="411"/>
      <c r="V5076" s="411"/>
      <c r="W5076" s="411"/>
      <c r="X5076" s="34"/>
      <c r="Y5076" s="34"/>
    </row>
    <row r="5077" s="3" customFormat="1" customHeight="1" spans="1:25">
      <c r="A5077" s="11" t="s">
        <v>446</v>
      </c>
      <c r="B5077" s="11" t="s">
        <v>6300</v>
      </c>
      <c r="C5077" s="11" t="s">
        <v>136</v>
      </c>
      <c r="D5077" s="35" t="s">
        <v>6301</v>
      </c>
      <c r="E5077" s="13" t="s">
        <v>6639</v>
      </c>
      <c r="F5077" s="11" t="s">
        <v>6640</v>
      </c>
      <c r="G5077" s="11" t="s">
        <v>31</v>
      </c>
      <c r="H5077" s="110" t="s">
        <v>6641</v>
      </c>
      <c r="I5077" s="30" t="e">
        <f>VLOOKUP(H5077,'合同高级查询数据-4月返'!A:A,1,FALSE)</f>
        <v>#N/A</v>
      </c>
      <c r="J5077" s="31" t="s">
        <v>33</v>
      </c>
      <c r="K5077" s="11" t="s">
        <v>6651</v>
      </c>
      <c r="L5077" s="11" t="s">
        <v>6651</v>
      </c>
      <c r="M5077" s="470" t="s">
        <v>6647</v>
      </c>
      <c r="N5077" s="146">
        <v>44414</v>
      </c>
      <c r="O5077" s="466" t="s">
        <v>37</v>
      </c>
      <c r="P5077" s="465">
        <v>0</v>
      </c>
      <c r="Q5077" s="459">
        <v>-128</v>
      </c>
      <c r="R5077" s="465">
        <f t="shared" si="162"/>
        <v>0</v>
      </c>
      <c r="S5077" s="31">
        <v>202304</v>
      </c>
      <c r="T5077" s="60" t="s">
        <v>6656</v>
      </c>
      <c r="U5077" s="411"/>
      <c r="V5077" s="411"/>
      <c r="W5077" s="411"/>
      <c r="X5077" s="34"/>
      <c r="Y5077" s="34"/>
    </row>
    <row r="5078" s="3" customFormat="1" customHeight="1" spans="1:25">
      <c r="A5078" s="11" t="s">
        <v>446</v>
      </c>
      <c r="B5078" s="11" t="s">
        <v>6300</v>
      </c>
      <c r="C5078" s="11" t="s">
        <v>136</v>
      </c>
      <c r="D5078" s="35" t="s">
        <v>6301</v>
      </c>
      <c r="E5078" s="13" t="s">
        <v>6639</v>
      </c>
      <c r="F5078" s="11" t="s">
        <v>6640</v>
      </c>
      <c r="G5078" s="11" t="s">
        <v>31</v>
      </c>
      <c r="H5078" s="110" t="s">
        <v>6641</v>
      </c>
      <c r="I5078" s="30" t="e">
        <f>VLOOKUP(H5078,'合同高级查询数据-4月返'!A:A,1,FALSE)</f>
        <v>#N/A</v>
      </c>
      <c r="J5078" s="31" t="s">
        <v>33</v>
      </c>
      <c r="K5078" s="11" t="s">
        <v>6653</v>
      </c>
      <c r="L5078" s="11" t="s">
        <v>6653</v>
      </c>
      <c r="M5078" s="470" t="s">
        <v>6647</v>
      </c>
      <c r="N5078" s="146">
        <v>44773</v>
      </c>
      <c r="O5078" s="466" t="s">
        <v>37</v>
      </c>
      <c r="P5078" s="465">
        <v>0</v>
      </c>
      <c r="Q5078" s="459">
        <v>-128</v>
      </c>
      <c r="R5078" s="465">
        <f t="shared" si="162"/>
        <v>0</v>
      </c>
      <c r="S5078" s="31">
        <v>202304</v>
      </c>
      <c r="T5078" s="60" t="s">
        <v>6657</v>
      </c>
      <c r="U5078" s="411"/>
      <c r="V5078" s="411"/>
      <c r="W5078" s="485"/>
      <c r="X5078" s="485"/>
      <c r="Y5078" s="34"/>
    </row>
    <row r="5079" s="3" customFormat="1" customHeight="1" spans="1:25">
      <c r="A5079" s="11" t="s">
        <v>446</v>
      </c>
      <c r="B5079" s="11" t="s">
        <v>6300</v>
      </c>
      <c r="C5079" s="11" t="s">
        <v>136</v>
      </c>
      <c r="D5079" s="35" t="s">
        <v>6301</v>
      </c>
      <c r="E5079" s="13" t="s">
        <v>6639</v>
      </c>
      <c r="F5079" s="11" t="s">
        <v>6640</v>
      </c>
      <c r="G5079" s="11" t="s">
        <v>31</v>
      </c>
      <c r="H5079" s="110" t="s">
        <v>6641</v>
      </c>
      <c r="I5079" s="30" t="e">
        <f>VLOOKUP(H5079,'合同高级查询数据-4月返'!A:A,1,FALSE)</f>
        <v>#N/A</v>
      </c>
      <c r="J5079" s="31" t="s">
        <v>33</v>
      </c>
      <c r="K5079" s="11" t="s">
        <v>6653</v>
      </c>
      <c r="L5079" s="11" t="s">
        <v>6653</v>
      </c>
      <c r="M5079" s="470" t="s">
        <v>6647</v>
      </c>
      <c r="N5079" s="146">
        <v>44773</v>
      </c>
      <c r="O5079" s="466" t="s">
        <v>37</v>
      </c>
      <c r="P5079" s="465">
        <v>50</v>
      </c>
      <c r="Q5079" s="459">
        <v>-32</v>
      </c>
      <c r="R5079" s="465">
        <f t="shared" si="162"/>
        <v>-1600</v>
      </c>
      <c r="S5079" s="31">
        <v>202304</v>
      </c>
      <c r="T5079" s="60" t="s">
        <v>6657</v>
      </c>
      <c r="U5079" s="411"/>
      <c r="V5079" s="411"/>
      <c r="W5079" s="485"/>
      <c r="X5079" s="485"/>
      <c r="Y5079" s="34"/>
    </row>
    <row r="5080" s="3" customFormat="1" customHeight="1" spans="1:25">
      <c r="A5080" s="11" t="s">
        <v>446</v>
      </c>
      <c r="B5080" s="11" t="s">
        <v>6300</v>
      </c>
      <c r="C5080" s="11" t="s">
        <v>136</v>
      </c>
      <c r="D5080" s="35" t="s">
        <v>6301</v>
      </c>
      <c r="E5080" s="13" t="s">
        <v>6639</v>
      </c>
      <c r="F5080" s="11" t="s">
        <v>6640</v>
      </c>
      <c r="G5080" s="11" t="s">
        <v>31</v>
      </c>
      <c r="H5080" s="110" t="s">
        <v>6641</v>
      </c>
      <c r="I5080" s="30" t="e">
        <f>VLOOKUP(H5080,'合同高级查询数据-4月返'!A:A,1,FALSE)</f>
        <v>#N/A</v>
      </c>
      <c r="J5080" s="31" t="s">
        <v>33</v>
      </c>
      <c r="K5080" s="11" t="s">
        <v>6651</v>
      </c>
      <c r="L5080" s="11" t="s">
        <v>6651</v>
      </c>
      <c r="M5080" s="470" t="s">
        <v>6647</v>
      </c>
      <c r="N5080" s="146">
        <v>44773</v>
      </c>
      <c r="O5080" s="466" t="s">
        <v>37</v>
      </c>
      <c r="P5080" s="465">
        <v>0</v>
      </c>
      <c r="Q5080" s="459">
        <v>-128</v>
      </c>
      <c r="R5080" s="465">
        <f t="shared" si="162"/>
        <v>0</v>
      </c>
      <c r="S5080" s="31">
        <v>202304</v>
      </c>
      <c r="T5080" s="60" t="s">
        <v>6658</v>
      </c>
      <c r="U5080" s="411"/>
      <c r="V5080" s="411"/>
      <c r="W5080" s="485"/>
      <c r="X5080" s="485"/>
      <c r="Y5080" s="34"/>
    </row>
    <row r="5081" s="3" customFormat="1" customHeight="1" spans="1:25">
      <c r="A5081" s="11" t="s">
        <v>446</v>
      </c>
      <c r="B5081" s="11" t="s">
        <v>6300</v>
      </c>
      <c r="C5081" s="11" t="s">
        <v>136</v>
      </c>
      <c r="D5081" s="35" t="s">
        <v>6301</v>
      </c>
      <c r="E5081" s="13" t="s">
        <v>6639</v>
      </c>
      <c r="F5081" s="11" t="s">
        <v>6640</v>
      </c>
      <c r="G5081" s="11" t="s">
        <v>31</v>
      </c>
      <c r="H5081" s="110" t="s">
        <v>6641</v>
      </c>
      <c r="I5081" s="30" t="e">
        <f>VLOOKUP(H5081,'合同高级查询数据-4月返'!A:A,1,FALSE)</f>
        <v>#N/A</v>
      </c>
      <c r="J5081" s="31" t="s">
        <v>1273</v>
      </c>
      <c r="K5081" s="11" t="s">
        <v>6642</v>
      </c>
      <c r="L5081" s="32" t="s">
        <v>6643</v>
      </c>
      <c r="M5081" s="470" t="s">
        <v>6644</v>
      </c>
      <c r="N5081" s="146">
        <v>45031</v>
      </c>
      <c r="O5081" s="466" t="s">
        <v>37</v>
      </c>
      <c r="P5081" s="465">
        <v>50</v>
      </c>
      <c r="Q5081" s="459">
        <v>-256</v>
      </c>
      <c r="R5081" s="465">
        <f>ROUND(P5081*Q5081*15/30,2)</f>
        <v>-6400</v>
      </c>
      <c r="S5081" s="31">
        <v>202304</v>
      </c>
      <c r="T5081" s="60" t="s">
        <v>6659</v>
      </c>
      <c r="U5081" s="411"/>
      <c r="V5081" s="411"/>
      <c r="W5081" s="485"/>
      <c r="X5081" s="485"/>
      <c r="Y5081" s="34"/>
    </row>
    <row r="5082" s="3" customFormat="1" customHeight="1" spans="1:25">
      <c r="A5082" s="11" t="s">
        <v>446</v>
      </c>
      <c r="B5082" s="11" t="s">
        <v>6300</v>
      </c>
      <c r="C5082" s="11" t="s">
        <v>136</v>
      </c>
      <c r="D5082" s="35" t="s">
        <v>6301</v>
      </c>
      <c r="E5082" s="13" t="s">
        <v>6639</v>
      </c>
      <c r="F5082" s="11" t="s">
        <v>6640</v>
      </c>
      <c r="G5082" s="11" t="s">
        <v>88</v>
      </c>
      <c r="H5082" s="110" t="s">
        <v>6641</v>
      </c>
      <c r="I5082" s="30" t="e">
        <f>VLOOKUP(H5082,'合同高级查询数据-4月返'!A:A,1,FALSE)</f>
        <v>#N/A</v>
      </c>
      <c r="J5082" s="31" t="s">
        <v>162</v>
      </c>
      <c r="K5082" s="11" t="s">
        <v>6642</v>
      </c>
      <c r="L5082" s="32" t="s">
        <v>6660</v>
      </c>
      <c r="M5082" s="113" t="s">
        <v>6644</v>
      </c>
      <c r="N5082" s="146">
        <v>42607</v>
      </c>
      <c r="O5082" s="146" t="s">
        <v>4123</v>
      </c>
      <c r="P5082" s="465">
        <v>5000</v>
      </c>
      <c r="Q5082" s="459">
        <v>2</v>
      </c>
      <c r="R5082" s="465">
        <f t="shared" ref="R5082:R5119" si="163">ROUND(P5082*Q5082,2)</f>
        <v>10000</v>
      </c>
      <c r="S5082" s="31">
        <v>202304</v>
      </c>
      <c r="T5082" s="60"/>
      <c r="U5082" s="411"/>
      <c r="V5082" s="411"/>
      <c r="W5082" s="411"/>
      <c r="X5082" s="34"/>
      <c r="Y5082" s="34"/>
    </row>
    <row r="5083" s="3" customFormat="1" customHeight="1" spans="1:25">
      <c r="A5083" s="11" t="s">
        <v>446</v>
      </c>
      <c r="B5083" s="11" t="s">
        <v>6300</v>
      </c>
      <c r="C5083" s="11" t="s">
        <v>136</v>
      </c>
      <c r="D5083" s="35" t="s">
        <v>6301</v>
      </c>
      <c r="E5083" s="13" t="s">
        <v>6639</v>
      </c>
      <c r="F5083" s="11" t="s">
        <v>6640</v>
      </c>
      <c r="G5083" s="11" t="s">
        <v>88</v>
      </c>
      <c r="H5083" s="110" t="s">
        <v>6641</v>
      </c>
      <c r="I5083" s="30" t="e">
        <f>VLOOKUP(H5083,'合同高级查询数据-4月返'!A:A,1,FALSE)</f>
        <v>#N/A</v>
      </c>
      <c r="J5083" s="31" t="s">
        <v>162</v>
      </c>
      <c r="K5083" s="11" t="s">
        <v>6642</v>
      </c>
      <c r="L5083" s="32" t="s">
        <v>6661</v>
      </c>
      <c r="M5083" s="113" t="s">
        <v>6647</v>
      </c>
      <c r="N5083" s="146">
        <v>43354</v>
      </c>
      <c r="O5083" s="146" t="s">
        <v>4123</v>
      </c>
      <c r="P5083" s="465">
        <v>5000</v>
      </c>
      <c r="Q5083" s="459">
        <v>3</v>
      </c>
      <c r="R5083" s="465">
        <f t="shared" si="163"/>
        <v>15000</v>
      </c>
      <c r="S5083" s="31">
        <v>202304</v>
      </c>
      <c r="T5083" s="60" t="s">
        <v>6662</v>
      </c>
      <c r="U5083" s="411"/>
      <c r="V5083" s="411"/>
      <c r="W5083" s="411"/>
      <c r="X5083" s="34"/>
      <c r="Y5083" s="34"/>
    </row>
    <row r="5084" s="3" customFormat="1" customHeight="1" spans="1:25">
      <c r="A5084" s="11" t="s">
        <v>446</v>
      </c>
      <c r="B5084" s="11" t="s">
        <v>6300</v>
      </c>
      <c r="C5084" s="11" t="s">
        <v>136</v>
      </c>
      <c r="D5084" s="35" t="s">
        <v>6301</v>
      </c>
      <c r="E5084" s="13" t="s">
        <v>6639</v>
      </c>
      <c r="F5084" s="11" t="s">
        <v>6640</v>
      </c>
      <c r="G5084" s="11" t="s">
        <v>88</v>
      </c>
      <c r="H5084" s="110" t="s">
        <v>6641</v>
      </c>
      <c r="I5084" s="30" t="e">
        <f>VLOOKUP(H5084,'合同高级查询数据-4月返'!A:A,1,FALSE)</f>
        <v>#N/A</v>
      </c>
      <c r="J5084" s="31" t="s">
        <v>162</v>
      </c>
      <c r="K5084" s="11" t="s">
        <v>136</v>
      </c>
      <c r="L5084" s="32"/>
      <c r="M5084" s="113" t="s">
        <v>6644</v>
      </c>
      <c r="N5084" s="146">
        <v>43738</v>
      </c>
      <c r="O5084" s="146" t="s">
        <v>4123</v>
      </c>
      <c r="P5084" s="465">
        <v>5000</v>
      </c>
      <c r="Q5084" s="459">
        <v>-2</v>
      </c>
      <c r="R5084" s="465">
        <f t="shared" si="163"/>
        <v>-10000</v>
      </c>
      <c r="S5084" s="31">
        <v>202304</v>
      </c>
      <c r="T5084" s="60" t="s">
        <v>6663</v>
      </c>
      <c r="U5084" s="411"/>
      <c r="V5084" s="411"/>
      <c r="W5084" s="411"/>
      <c r="X5084" s="34"/>
      <c r="Y5084" s="34"/>
    </row>
    <row r="5085" s="3" customFormat="1" customHeight="1" spans="1:25">
      <c r="A5085" s="11" t="s">
        <v>446</v>
      </c>
      <c r="B5085" s="11" t="s">
        <v>6300</v>
      </c>
      <c r="C5085" s="11" t="s">
        <v>136</v>
      </c>
      <c r="D5085" s="35" t="s">
        <v>6301</v>
      </c>
      <c r="E5085" s="13" t="s">
        <v>6639</v>
      </c>
      <c r="F5085" s="11" t="s">
        <v>6640</v>
      </c>
      <c r="G5085" s="11" t="s">
        <v>88</v>
      </c>
      <c r="H5085" s="110" t="s">
        <v>6641</v>
      </c>
      <c r="I5085" s="30" t="e">
        <f>VLOOKUP(H5085,'合同高级查询数据-4月返'!A:A,1,FALSE)</f>
        <v>#N/A</v>
      </c>
      <c r="J5085" s="31" t="s">
        <v>162</v>
      </c>
      <c r="K5085" s="11" t="s">
        <v>6651</v>
      </c>
      <c r="L5085" s="11" t="s">
        <v>6651</v>
      </c>
      <c r="M5085" s="470" t="s">
        <v>6647</v>
      </c>
      <c r="N5085" s="146">
        <v>44333</v>
      </c>
      <c r="O5085" s="146" t="s">
        <v>4123</v>
      </c>
      <c r="P5085" s="465">
        <v>5000</v>
      </c>
      <c r="Q5085" s="459">
        <v>3</v>
      </c>
      <c r="R5085" s="465">
        <f t="shared" si="163"/>
        <v>15000</v>
      </c>
      <c r="S5085" s="31">
        <v>202304</v>
      </c>
      <c r="T5085" s="60" t="s">
        <v>6664</v>
      </c>
      <c r="U5085" s="411"/>
      <c r="V5085" s="411"/>
      <c r="W5085" s="411"/>
      <c r="X5085" s="34"/>
      <c r="Y5085" s="34"/>
    </row>
    <row r="5086" s="3" customFormat="1" customHeight="1" spans="1:25">
      <c r="A5086" s="11" t="s">
        <v>446</v>
      </c>
      <c r="B5086" s="11" t="s">
        <v>6300</v>
      </c>
      <c r="C5086" s="11" t="s">
        <v>136</v>
      </c>
      <c r="D5086" s="35" t="s">
        <v>6301</v>
      </c>
      <c r="E5086" s="13" t="s">
        <v>6639</v>
      </c>
      <c r="F5086" s="11" t="s">
        <v>6640</v>
      </c>
      <c r="G5086" s="11" t="s">
        <v>88</v>
      </c>
      <c r="H5086" s="110" t="s">
        <v>6641</v>
      </c>
      <c r="I5086" s="30" t="e">
        <f>VLOOKUP(H5086,'合同高级查询数据-4月返'!A:A,1,FALSE)</f>
        <v>#N/A</v>
      </c>
      <c r="J5086" s="31" t="s">
        <v>162</v>
      </c>
      <c r="K5086" s="11" t="s">
        <v>6651</v>
      </c>
      <c r="L5086" s="11" t="s">
        <v>6651</v>
      </c>
      <c r="M5086" s="470" t="s">
        <v>6647</v>
      </c>
      <c r="N5086" s="146">
        <v>44620</v>
      </c>
      <c r="O5086" s="146" t="s">
        <v>4123</v>
      </c>
      <c r="P5086" s="465">
        <v>5000</v>
      </c>
      <c r="Q5086" s="459">
        <v>-1</v>
      </c>
      <c r="R5086" s="465">
        <f t="shared" si="163"/>
        <v>-5000</v>
      </c>
      <c r="S5086" s="31">
        <v>202304</v>
      </c>
      <c r="T5086" s="60" t="s">
        <v>6665</v>
      </c>
      <c r="U5086" s="411"/>
      <c r="V5086" s="411"/>
      <c r="W5086" s="411"/>
      <c r="X5086" s="34"/>
      <c r="Y5086" s="34"/>
    </row>
    <row r="5087" s="3" customFormat="1" customHeight="1" spans="1:25">
      <c r="A5087" s="11" t="s">
        <v>446</v>
      </c>
      <c r="B5087" s="11" t="s">
        <v>6300</v>
      </c>
      <c r="C5087" s="11" t="s">
        <v>136</v>
      </c>
      <c r="D5087" s="35" t="s">
        <v>6301</v>
      </c>
      <c r="E5087" s="13" t="s">
        <v>6639</v>
      </c>
      <c r="F5087" s="11" t="s">
        <v>6640</v>
      </c>
      <c r="G5087" s="11" t="s">
        <v>88</v>
      </c>
      <c r="H5087" s="110" t="s">
        <v>6641</v>
      </c>
      <c r="I5087" s="30" t="e">
        <f>VLOOKUP(H5087,'合同高级查询数据-4月返'!A:A,1,FALSE)</f>
        <v>#N/A</v>
      </c>
      <c r="J5087" s="31" t="s">
        <v>162</v>
      </c>
      <c r="K5087" s="11" t="s">
        <v>6651</v>
      </c>
      <c r="L5087" s="11" t="s">
        <v>6651</v>
      </c>
      <c r="M5087" s="470" t="s">
        <v>6647</v>
      </c>
      <c r="N5087" s="146">
        <v>44621</v>
      </c>
      <c r="O5087" s="146" t="s">
        <v>4123</v>
      </c>
      <c r="P5087" s="465">
        <v>5000</v>
      </c>
      <c r="Q5087" s="459">
        <v>1</v>
      </c>
      <c r="R5087" s="465">
        <f t="shared" si="163"/>
        <v>5000</v>
      </c>
      <c r="S5087" s="31">
        <v>202304</v>
      </c>
      <c r="T5087" s="60" t="s">
        <v>6665</v>
      </c>
      <c r="U5087" s="411"/>
      <c r="V5087" s="411"/>
      <c r="W5087" s="411"/>
      <c r="X5087" s="34"/>
      <c r="Y5087" s="34"/>
    </row>
    <row r="5088" s="3" customFormat="1" customHeight="1" spans="1:25">
      <c r="A5088" s="11" t="s">
        <v>446</v>
      </c>
      <c r="B5088" s="11" t="s">
        <v>6300</v>
      </c>
      <c r="C5088" s="11" t="s">
        <v>136</v>
      </c>
      <c r="D5088" s="35" t="s">
        <v>6301</v>
      </c>
      <c r="E5088" s="13" t="s">
        <v>6639</v>
      </c>
      <c r="F5088" s="11" t="s">
        <v>6640</v>
      </c>
      <c r="G5088" s="11" t="s">
        <v>88</v>
      </c>
      <c r="H5088" s="110" t="s">
        <v>6641</v>
      </c>
      <c r="I5088" s="30" t="e">
        <f>VLOOKUP(H5088,'合同高级查询数据-4月返'!A:A,1,FALSE)</f>
        <v>#N/A</v>
      </c>
      <c r="J5088" s="31" t="s">
        <v>162</v>
      </c>
      <c r="K5088" s="11" t="s">
        <v>6651</v>
      </c>
      <c r="L5088" s="11" t="s">
        <v>6653</v>
      </c>
      <c r="M5088" s="470" t="s">
        <v>6647</v>
      </c>
      <c r="N5088" s="146">
        <v>44773</v>
      </c>
      <c r="O5088" s="146" t="s">
        <v>4123</v>
      </c>
      <c r="P5088" s="465">
        <v>5000</v>
      </c>
      <c r="Q5088" s="459">
        <v>-1</v>
      </c>
      <c r="R5088" s="465">
        <f t="shared" si="163"/>
        <v>-5000</v>
      </c>
      <c r="S5088" s="31">
        <v>202304</v>
      </c>
      <c r="T5088" s="60" t="s">
        <v>6666</v>
      </c>
      <c r="U5088" s="411"/>
      <c r="V5088" s="411"/>
      <c r="W5088" s="485"/>
      <c r="X5088" s="485"/>
      <c r="Y5088" s="34"/>
    </row>
    <row r="5089" s="3" customFormat="1" customHeight="1" spans="1:25">
      <c r="A5089" s="11" t="s">
        <v>446</v>
      </c>
      <c r="B5089" s="11" t="s">
        <v>6300</v>
      </c>
      <c r="C5089" s="11" t="s">
        <v>136</v>
      </c>
      <c r="D5089" s="35" t="s">
        <v>6301</v>
      </c>
      <c r="E5089" s="13" t="s">
        <v>6639</v>
      </c>
      <c r="F5089" s="11" t="s">
        <v>6640</v>
      </c>
      <c r="G5089" s="11" t="s">
        <v>88</v>
      </c>
      <c r="H5089" s="110" t="s">
        <v>6641</v>
      </c>
      <c r="I5089" s="30" t="e">
        <f>VLOOKUP(H5089,'合同高级查询数据-4月返'!A:A,1,FALSE)</f>
        <v>#N/A</v>
      </c>
      <c r="J5089" s="31" t="s">
        <v>162</v>
      </c>
      <c r="K5089" s="11" t="s">
        <v>6651</v>
      </c>
      <c r="L5089" s="11" t="s">
        <v>6651</v>
      </c>
      <c r="M5089" s="470" t="s">
        <v>6647</v>
      </c>
      <c r="N5089" s="146">
        <v>44773</v>
      </c>
      <c r="O5089" s="146" t="s">
        <v>4123</v>
      </c>
      <c r="P5089" s="465">
        <v>5000</v>
      </c>
      <c r="Q5089" s="459">
        <v>-1</v>
      </c>
      <c r="R5089" s="465">
        <f t="shared" si="163"/>
        <v>-5000</v>
      </c>
      <c r="S5089" s="31">
        <v>202304</v>
      </c>
      <c r="T5089" s="60" t="s">
        <v>6667</v>
      </c>
      <c r="U5089" s="411"/>
      <c r="V5089" s="411"/>
      <c r="W5089" s="485"/>
      <c r="X5089" s="485"/>
      <c r="Y5089" s="34"/>
    </row>
    <row r="5090" s="3" customFormat="1" customHeight="1" spans="1:25">
      <c r="A5090" s="11" t="s">
        <v>446</v>
      </c>
      <c r="B5090" s="11" t="s">
        <v>6300</v>
      </c>
      <c r="C5090" s="11" t="s">
        <v>136</v>
      </c>
      <c r="D5090" s="35" t="s">
        <v>6301</v>
      </c>
      <c r="E5090" s="13" t="s">
        <v>6639</v>
      </c>
      <c r="F5090" s="11" t="s">
        <v>6640</v>
      </c>
      <c r="G5090" s="11" t="s">
        <v>88</v>
      </c>
      <c r="H5090" s="110" t="s">
        <v>6641</v>
      </c>
      <c r="I5090" s="30" t="e">
        <f>VLOOKUP(H5090,'合同高级查询数据-4月返'!A:A,1,FALSE)</f>
        <v>#N/A</v>
      </c>
      <c r="J5090" s="31" t="s">
        <v>1287</v>
      </c>
      <c r="K5090" s="11" t="s">
        <v>6642</v>
      </c>
      <c r="L5090" s="32"/>
      <c r="M5090" s="113" t="s">
        <v>6644</v>
      </c>
      <c r="N5090" s="146">
        <v>42576</v>
      </c>
      <c r="O5090" s="146" t="s">
        <v>4123</v>
      </c>
      <c r="P5090" s="465">
        <v>5000</v>
      </c>
      <c r="Q5090" s="459">
        <v>2</v>
      </c>
      <c r="R5090" s="465">
        <f t="shared" si="163"/>
        <v>10000</v>
      </c>
      <c r="S5090" s="31">
        <v>202304</v>
      </c>
      <c r="T5090" s="60"/>
      <c r="U5090" s="411"/>
      <c r="V5090" s="411"/>
      <c r="W5090" s="490"/>
      <c r="X5090" s="34"/>
      <c r="Y5090" s="34"/>
    </row>
    <row r="5091" s="3" customFormat="1" customHeight="1" spans="1:25">
      <c r="A5091" s="11" t="s">
        <v>446</v>
      </c>
      <c r="B5091" s="11" t="s">
        <v>6300</v>
      </c>
      <c r="C5091" s="11" t="s">
        <v>136</v>
      </c>
      <c r="D5091" s="35" t="s">
        <v>6301</v>
      </c>
      <c r="E5091" s="13" t="s">
        <v>6639</v>
      </c>
      <c r="F5091" s="11" t="s">
        <v>6640</v>
      </c>
      <c r="G5091" s="11" t="s">
        <v>88</v>
      </c>
      <c r="H5091" s="110" t="s">
        <v>6641</v>
      </c>
      <c r="I5091" s="30" t="e">
        <f>VLOOKUP(H5091,'合同高级查询数据-4月返'!A:A,1,FALSE)</f>
        <v>#N/A</v>
      </c>
      <c r="J5091" s="31" t="s">
        <v>1287</v>
      </c>
      <c r="K5091" s="11" t="s">
        <v>136</v>
      </c>
      <c r="L5091" s="32"/>
      <c r="M5091" s="470" t="s">
        <v>6644</v>
      </c>
      <c r="N5091" s="146">
        <v>44202</v>
      </c>
      <c r="O5091" s="146" t="s">
        <v>4123</v>
      </c>
      <c r="P5091" s="465">
        <v>5000</v>
      </c>
      <c r="Q5091" s="459">
        <v>1</v>
      </c>
      <c r="R5091" s="465">
        <f t="shared" si="163"/>
        <v>5000</v>
      </c>
      <c r="S5091" s="31">
        <v>202304</v>
      </c>
      <c r="T5091" s="60" t="s">
        <v>6668</v>
      </c>
      <c r="U5091" s="411"/>
      <c r="V5091" s="411"/>
      <c r="W5091" s="411"/>
      <c r="X5091" s="34"/>
      <c r="Y5091" s="34"/>
    </row>
    <row r="5092" s="3" customFormat="1" customHeight="1" spans="1:25">
      <c r="A5092" s="11" t="s">
        <v>446</v>
      </c>
      <c r="B5092" s="11" t="s">
        <v>6300</v>
      </c>
      <c r="C5092" s="11" t="s">
        <v>136</v>
      </c>
      <c r="D5092" s="35" t="s">
        <v>6301</v>
      </c>
      <c r="E5092" s="13" t="s">
        <v>6639</v>
      </c>
      <c r="F5092" s="11" t="s">
        <v>6640</v>
      </c>
      <c r="G5092" s="11" t="s">
        <v>88</v>
      </c>
      <c r="H5092" s="110" t="s">
        <v>6641</v>
      </c>
      <c r="I5092" s="30" t="e">
        <f>VLOOKUP(H5092,'合同高级查询数据-4月返'!A:A,1,FALSE)</f>
        <v>#N/A</v>
      </c>
      <c r="J5092" s="31" t="s">
        <v>6593</v>
      </c>
      <c r="K5092" s="11"/>
      <c r="L5092" s="11"/>
      <c r="M5092" s="470" t="s">
        <v>6669</v>
      </c>
      <c r="N5092" s="146">
        <v>44444</v>
      </c>
      <c r="O5092" s="146" t="s">
        <v>4123</v>
      </c>
      <c r="P5092" s="465">
        <v>5000</v>
      </c>
      <c r="Q5092" s="459">
        <v>3</v>
      </c>
      <c r="R5092" s="465">
        <f t="shared" si="163"/>
        <v>15000</v>
      </c>
      <c r="S5092" s="31">
        <v>202304</v>
      </c>
      <c r="T5092" s="60" t="s">
        <v>6670</v>
      </c>
      <c r="U5092" s="411"/>
      <c r="V5092" s="411"/>
      <c r="W5092" s="411"/>
      <c r="X5092" s="34"/>
      <c r="Y5092" s="34"/>
    </row>
    <row r="5093" s="5" customFormat="1" customHeight="1" spans="1:25">
      <c r="A5093" s="24" t="s">
        <v>446</v>
      </c>
      <c r="B5093" s="24" t="s">
        <v>6300</v>
      </c>
      <c r="C5093" s="24" t="s">
        <v>3237</v>
      </c>
      <c r="D5093" s="22" t="s">
        <v>6301</v>
      </c>
      <c r="E5093" s="23" t="s">
        <v>6671</v>
      </c>
      <c r="F5093" s="24" t="s">
        <v>6672</v>
      </c>
      <c r="G5093" s="24" t="s">
        <v>67</v>
      </c>
      <c r="H5093" s="25" t="s">
        <v>6673</v>
      </c>
      <c r="I5093" s="46" t="e">
        <f>VLOOKUP(H5093,'合同高级查询数据-4月返'!A:A,1,FALSE)</f>
        <v>#N/A</v>
      </c>
      <c r="J5093" s="47" t="s">
        <v>67</v>
      </c>
      <c r="K5093" s="24" t="s">
        <v>6674</v>
      </c>
      <c r="L5093" s="109"/>
      <c r="M5093" s="475"/>
      <c r="N5093" s="73"/>
      <c r="O5093" s="48">
        <v>0</v>
      </c>
      <c r="P5093" s="52">
        <v>109640</v>
      </c>
      <c r="Q5093" s="70">
        <v>1</v>
      </c>
      <c r="R5093" s="52">
        <f t="shared" si="163"/>
        <v>109640</v>
      </c>
      <c r="S5093" s="47">
        <v>202304</v>
      </c>
      <c r="T5093" s="123" t="s">
        <v>6675</v>
      </c>
      <c r="U5093" s="48"/>
      <c r="V5093" s="48"/>
      <c r="W5093" s="48"/>
      <c r="X5093" s="50">
        <v>44136</v>
      </c>
      <c r="Y5093" s="73">
        <v>45230</v>
      </c>
    </row>
    <row r="5094" s="5" customFormat="1" customHeight="1" spans="1:25">
      <c r="A5094" s="24" t="s">
        <v>446</v>
      </c>
      <c r="B5094" s="24" t="s">
        <v>6300</v>
      </c>
      <c r="C5094" s="24" t="s">
        <v>3237</v>
      </c>
      <c r="D5094" s="22" t="s">
        <v>6301</v>
      </c>
      <c r="E5094" s="23" t="s">
        <v>6671</v>
      </c>
      <c r="F5094" s="24" t="s">
        <v>6672</v>
      </c>
      <c r="G5094" s="24" t="s">
        <v>67</v>
      </c>
      <c r="H5094" s="25" t="s">
        <v>6673</v>
      </c>
      <c r="I5094" s="46" t="e">
        <f>VLOOKUP(H5094,'合同高级查询数据-4月返'!A:A,1,FALSE)</f>
        <v>#N/A</v>
      </c>
      <c r="J5094" s="47" t="s">
        <v>67</v>
      </c>
      <c r="K5094" s="24"/>
      <c r="L5094" s="109"/>
      <c r="M5094" s="475"/>
      <c r="N5094" s="73">
        <v>43231</v>
      </c>
      <c r="O5094" s="48">
        <v>0</v>
      </c>
      <c r="P5094" s="52">
        <v>400</v>
      </c>
      <c r="Q5094" s="70">
        <v>2</v>
      </c>
      <c r="R5094" s="52">
        <f t="shared" si="163"/>
        <v>800</v>
      </c>
      <c r="S5094" s="47">
        <v>202304</v>
      </c>
      <c r="T5094" s="123" t="s">
        <v>6676</v>
      </c>
      <c r="U5094" s="48"/>
      <c r="V5094" s="48"/>
      <c r="W5094" s="48"/>
      <c r="X5094" s="50">
        <v>44136</v>
      </c>
      <c r="Y5094" s="73">
        <v>45230</v>
      </c>
    </row>
    <row r="5095" s="5" customFormat="1" customHeight="1" spans="1:25">
      <c r="A5095" s="24" t="s">
        <v>446</v>
      </c>
      <c r="B5095" s="24" t="s">
        <v>6300</v>
      </c>
      <c r="C5095" s="24" t="s">
        <v>3237</v>
      </c>
      <c r="D5095" s="22" t="s">
        <v>6301</v>
      </c>
      <c r="E5095" s="23" t="s">
        <v>6671</v>
      </c>
      <c r="F5095" s="24" t="s">
        <v>6672</v>
      </c>
      <c r="G5095" s="24" t="s">
        <v>67</v>
      </c>
      <c r="H5095" s="25" t="s">
        <v>6673</v>
      </c>
      <c r="I5095" s="46" t="e">
        <f>VLOOKUP(H5095,'合同高级查询数据-4月返'!A:A,1,FALSE)</f>
        <v>#N/A</v>
      </c>
      <c r="J5095" s="47" t="s">
        <v>67</v>
      </c>
      <c r="K5095" s="24"/>
      <c r="L5095" s="109"/>
      <c r="M5095" s="475"/>
      <c r="N5095" s="73">
        <v>43363</v>
      </c>
      <c r="O5095" s="48">
        <v>0</v>
      </c>
      <c r="P5095" s="52">
        <v>400</v>
      </c>
      <c r="Q5095" s="70">
        <v>2</v>
      </c>
      <c r="R5095" s="52">
        <f t="shared" si="163"/>
        <v>800</v>
      </c>
      <c r="S5095" s="47">
        <v>202304</v>
      </c>
      <c r="T5095" s="123" t="s">
        <v>6677</v>
      </c>
      <c r="U5095" s="48"/>
      <c r="V5095" s="48"/>
      <c r="W5095" s="48"/>
      <c r="X5095" s="50">
        <v>44136</v>
      </c>
      <c r="Y5095" s="73">
        <v>45230</v>
      </c>
    </row>
    <row r="5096" s="5" customFormat="1" customHeight="1" spans="1:25">
      <c r="A5096" s="24" t="s">
        <v>446</v>
      </c>
      <c r="B5096" s="24" t="s">
        <v>6300</v>
      </c>
      <c r="C5096" s="24" t="s">
        <v>3237</v>
      </c>
      <c r="D5096" s="22" t="s">
        <v>6301</v>
      </c>
      <c r="E5096" s="23" t="s">
        <v>6671</v>
      </c>
      <c r="F5096" s="24" t="s">
        <v>6672</v>
      </c>
      <c r="G5096" s="24" t="s">
        <v>67</v>
      </c>
      <c r="H5096" s="25" t="s">
        <v>6673</v>
      </c>
      <c r="I5096" s="46" t="e">
        <f>VLOOKUP(H5096,'合同高级查询数据-4月返'!A:A,1,FALSE)</f>
        <v>#N/A</v>
      </c>
      <c r="J5096" s="47" t="s">
        <v>6678</v>
      </c>
      <c r="K5096" s="46" t="s">
        <v>6679</v>
      </c>
      <c r="L5096" s="22"/>
      <c r="M5096" s="475"/>
      <c r="N5096" s="50">
        <v>44278</v>
      </c>
      <c r="O5096" s="22" t="s">
        <v>71</v>
      </c>
      <c r="P5096" s="486">
        <v>400</v>
      </c>
      <c r="Q5096" s="486">
        <v>3</v>
      </c>
      <c r="R5096" s="52">
        <f t="shared" si="163"/>
        <v>1200</v>
      </c>
      <c r="S5096" s="47">
        <v>202304</v>
      </c>
      <c r="T5096" s="123" t="s">
        <v>6680</v>
      </c>
      <c r="U5096" s="48"/>
      <c r="V5096" s="48"/>
      <c r="W5096" s="48"/>
      <c r="X5096" s="50">
        <v>44136</v>
      </c>
      <c r="Y5096" s="73">
        <v>45230</v>
      </c>
    </row>
    <row r="5097" s="5" customFormat="1" customHeight="1" spans="1:25">
      <c r="A5097" s="24" t="s">
        <v>446</v>
      </c>
      <c r="B5097" s="24" t="s">
        <v>6300</v>
      </c>
      <c r="C5097" s="24" t="s">
        <v>3237</v>
      </c>
      <c r="D5097" s="22" t="s">
        <v>6301</v>
      </c>
      <c r="E5097" s="23" t="s">
        <v>6671</v>
      </c>
      <c r="F5097" s="24" t="s">
        <v>6672</v>
      </c>
      <c r="G5097" s="24" t="s">
        <v>67</v>
      </c>
      <c r="H5097" s="25" t="s">
        <v>6673</v>
      </c>
      <c r="I5097" s="46" t="e">
        <f>VLOOKUP(H5097,'合同高级查询数据-4月返'!A:A,1,FALSE)</f>
        <v>#N/A</v>
      </c>
      <c r="J5097" s="47" t="s">
        <v>6678</v>
      </c>
      <c r="K5097" s="46" t="s">
        <v>6679</v>
      </c>
      <c r="L5097" s="22"/>
      <c r="M5097" s="475"/>
      <c r="N5097" s="50">
        <v>44278</v>
      </c>
      <c r="O5097" s="22" t="s">
        <v>71</v>
      </c>
      <c r="P5097" s="486">
        <v>400</v>
      </c>
      <c r="Q5097" s="486">
        <v>6</v>
      </c>
      <c r="R5097" s="52">
        <f t="shared" si="163"/>
        <v>2400</v>
      </c>
      <c r="S5097" s="47">
        <v>202304</v>
      </c>
      <c r="T5097" s="123" t="s">
        <v>6681</v>
      </c>
      <c r="U5097" s="48"/>
      <c r="V5097" s="48"/>
      <c r="W5097" s="48"/>
      <c r="X5097" s="50">
        <v>44136</v>
      </c>
      <c r="Y5097" s="73">
        <v>45230</v>
      </c>
    </row>
    <row r="5098" s="5" customFormat="1" customHeight="1" spans="1:25">
      <c r="A5098" s="24" t="s">
        <v>446</v>
      </c>
      <c r="B5098" s="24" t="s">
        <v>6300</v>
      </c>
      <c r="C5098" s="24" t="s">
        <v>3237</v>
      </c>
      <c r="D5098" s="22" t="s">
        <v>6301</v>
      </c>
      <c r="E5098" s="23" t="s">
        <v>6671</v>
      </c>
      <c r="F5098" s="24" t="s">
        <v>6672</v>
      </c>
      <c r="G5098" s="24" t="s">
        <v>67</v>
      </c>
      <c r="H5098" s="25" t="s">
        <v>6673</v>
      </c>
      <c r="I5098" s="46" t="e">
        <f>VLOOKUP(H5098,'合同高级查询数据-4月返'!A:A,1,FALSE)</f>
        <v>#N/A</v>
      </c>
      <c r="J5098" s="47" t="s">
        <v>67</v>
      </c>
      <c r="K5098" s="46" t="s">
        <v>6682</v>
      </c>
      <c r="L5098" s="22"/>
      <c r="M5098" s="475"/>
      <c r="N5098" s="50">
        <v>44725</v>
      </c>
      <c r="O5098" s="22" t="s">
        <v>71</v>
      </c>
      <c r="P5098" s="486">
        <v>400</v>
      </c>
      <c r="Q5098" s="486">
        <v>1</v>
      </c>
      <c r="R5098" s="52">
        <f t="shared" si="163"/>
        <v>400</v>
      </c>
      <c r="S5098" s="47">
        <v>202304</v>
      </c>
      <c r="T5098" s="123" t="s">
        <v>6683</v>
      </c>
      <c r="U5098" s="48"/>
      <c r="V5098" s="48"/>
      <c r="W5098" s="48"/>
      <c r="X5098" s="50">
        <v>44136</v>
      </c>
      <c r="Y5098" s="73">
        <v>45230</v>
      </c>
    </row>
    <row r="5099" s="5" customFormat="1" customHeight="1" spans="1:25">
      <c r="A5099" s="24" t="s">
        <v>446</v>
      </c>
      <c r="B5099" s="24" t="s">
        <v>6300</v>
      </c>
      <c r="C5099" s="24" t="s">
        <v>3237</v>
      </c>
      <c r="D5099" s="22" t="s">
        <v>6301</v>
      </c>
      <c r="E5099" s="23" t="s">
        <v>6671</v>
      </c>
      <c r="F5099" s="24" t="s">
        <v>6672</v>
      </c>
      <c r="G5099" s="24" t="s">
        <v>67</v>
      </c>
      <c r="H5099" s="25" t="s">
        <v>6673</v>
      </c>
      <c r="I5099" s="46" t="e">
        <f>VLOOKUP(H5099,'合同高级查询数据-4月返'!A:A,1,FALSE)</f>
        <v>#N/A</v>
      </c>
      <c r="J5099" s="47" t="s">
        <v>67</v>
      </c>
      <c r="K5099" s="46" t="s">
        <v>6682</v>
      </c>
      <c r="L5099" s="22"/>
      <c r="M5099" s="475"/>
      <c r="N5099" s="50">
        <v>44725</v>
      </c>
      <c r="O5099" s="22" t="s">
        <v>71</v>
      </c>
      <c r="P5099" s="486">
        <v>400</v>
      </c>
      <c r="Q5099" s="486">
        <v>1</v>
      </c>
      <c r="R5099" s="52">
        <f t="shared" si="163"/>
        <v>400</v>
      </c>
      <c r="S5099" s="47">
        <v>202304</v>
      </c>
      <c r="T5099" s="123" t="s">
        <v>6684</v>
      </c>
      <c r="U5099" s="48"/>
      <c r="V5099" s="48"/>
      <c r="W5099" s="48"/>
      <c r="X5099" s="50">
        <v>44136</v>
      </c>
      <c r="Y5099" s="73">
        <v>45230</v>
      </c>
    </row>
    <row r="5100" s="5" customFormat="1" customHeight="1" spans="1:25">
      <c r="A5100" s="24" t="s">
        <v>446</v>
      </c>
      <c r="B5100" s="24" t="s">
        <v>6300</v>
      </c>
      <c r="C5100" s="24" t="s">
        <v>3237</v>
      </c>
      <c r="D5100" s="22" t="s">
        <v>6301</v>
      </c>
      <c r="E5100" s="23" t="s">
        <v>6671</v>
      </c>
      <c r="F5100" s="24" t="s">
        <v>6672</v>
      </c>
      <c r="G5100" s="24" t="s">
        <v>67</v>
      </c>
      <c r="H5100" s="25" t="s">
        <v>6673</v>
      </c>
      <c r="I5100" s="46" t="e">
        <f>VLOOKUP(H5100,'合同高级查询数据-4月返'!A:A,1,FALSE)</f>
        <v>#N/A</v>
      </c>
      <c r="J5100" s="47" t="s">
        <v>67</v>
      </c>
      <c r="K5100" s="46" t="s">
        <v>6682</v>
      </c>
      <c r="L5100" s="22"/>
      <c r="M5100" s="475"/>
      <c r="N5100" s="50">
        <v>44725</v>
      </c>
      <c r="O5100" s="22" t="s">
        <v>71</v>
      </c>
      <c r="P5100" s="486">
        <v>400</v>
      </c>
      <c r="Q5100" s="486">
        <v>1</v>
      </c>
      <c r="R5100" s="52">
        <f t="shared" si="163"/>
        <v>400</v>
      </c>
      <c r="S5100" s="47">
        <v>202304</v>
      </c>
      <c r="T5100" s="123" t="s">
        <v>6685</v>
      </c>
      <c r="U5100" s="48"/>
      <c r="V5100" s="48"/>
      <c r="W5100" s="48"/>
      <c r="X5100" s="50">
        <v>44136</v>
      </c>
      <c r="Y5100" s="73">
        <v>45230</v>
      </c>
    </row>
    <row r="5101" s="5" customFormat="1" customHeight="1" spans="1:25">
      <c r="A5101" s="24" t="s">
        <v>446</v>
      </c>
      <c r="B5101" s="24" t="s">
        <v>6300</v>
      </c>
      <c r="C5101" s="24" t="s">
        <v>3237</v>
      </c>
      <c r="D5101" s="22" t="s">
        <v>6301</v>
      </c>
      <c r="E5101" s="23" t="s">
        <v>6671</v>
      </c>
      <c r="F5101" s="24" t="s">
        <v>6672</v>
      </c>
      <c r="G5101" s="24" t="s">
        <v>67</v>
      </c>
      <c r="H5101" s="25" t="s">
        <v>6673</v>
      </c>
      <c r="I5101" s="46" t="e">
        <f>VLOOKUP(H5101,'合同高级查询数据-4月返'!A:A,1,FALSE)</f>
        <v>#N/A</v>
      </c>
      <c r="J5101" s="47" t="s">
        <v>67</v>
      </c>
      <c r="K5101" s="46" t="s">
        <v>6682</v>
      </c>
      <c r="L5101" s="22"/>
      <c r="M5101" s="475"/>
      <c r="N5101" s="50">
        <v>44725</v>
      </c>
      <c r="O5101" s="22" t="s">
        <v>71</v>
      </c>
      <c r="P5101" s="486">
        <v>400</v>
      </c>
      <c r="Q5101" s="486">
        <v>1</v>
      </c>
      <c r="R5101" s="52">
        <f t="shared" si="163"/>
        <v>400</v>
      </c>
      <c r="S5101" s="47">
        <v>202304</v>
      </c>
      <c r="T5101" s="123" t="s">
        <v>6686</v>
      </c>
      <c r="U5101" s="48"/>
      <c r="V5101" s="48"/>
      <c r="W5101" s="48"/>
      <c r="X5101" s="50">
        <v>44136</v>
      </c>
      <c r="Y5101" s="73">
        <v>45230</v>
      </c>
    </row>
    <row r="5102" s="5" customFormat="1" customHeight="1" spans="1:25">
      <c r="A5102" s="24" t="s">
        <v>446</v>
      </c>
      <c r="B5102" s="24" t="s">
        <v>6300</v>
      </c>
      <c r="C5102" s="24" t="s">
        <v>3237</v>
      </c>
      <c r="D5102" s="22" t="s">
        <v>6301</v>
      </c>
      <c r="E5102" s="23" t="s">
        <v>6671</v>
      </c>
      <c r="F5102" s="24" t="s">
        <v>6672</v>
      </c>
      <c r="G5102" s="24" t="s">
        <v>67</v>
      </c>
      <c r="H5102" s="25" t="s">
        <v>6673</v>
      </c>
      <c r="I5102" s="46" t="e">
        <f>VLOOKUP(H5102,'合同高级查询数据-4月返'!A:A,1,FALSE)</f>
        <v>#N/A</v>
      </c>
      <c r="J5102" s="47" t="s">
        <v>67</v>
      </c>
      <c r="K5102" s="46" t="s">
        <v>6687</v>
      </c>
      <c r="L5102" s="22"/>
      <c r="M5102" s="475"/>
      <c r="N5102" s="50">
        <v>44725</v>
      </c>
      <c r="O5102" s="22" t="s">
        <v>71</v>
      </c>
      <c r="P5102" s="486">
        <v>400</v>
      </c>
      <c r="Q5102" s="486">
        <v>2</v>
      </c>
      <c r="R5102" s="52">
        <f t="shared" si="163"/>
        <v>800</v>
      </c>
      <c r="S5102" s="47">
        <v>202304</v>
      </c>
      <c r="T5102" s="123" t="s">
        <v>6688</v>
      </c>
      <c r="U5102" s="48"/>
      <c r="V5102" s="48"/>
      <c r="W5102" s="48"/>
      <c r="X5102" s="50">
        <v>44136</v>
      </c>
      <c r="Y5102" s="73">
        <v>45230</v>
      </c>
    </row>
    <row r="5103" s="5" customFormat="1" customHeight="1" spans="1:25">
      <c r="A5103" s="24" t="s">
        <v>446</v>
      </c>
      <c r="B5103" s="24" t="s">
        <v>6300</v>
      </c>
      <c r="C5103" s="24" t="s">
        <v>3237</v>
      </c>
      <c r="D5103" s="22" t="s">
        <v>6301</v>
      </c>
      <c r="E5103" s="23" t="s">
        <v>6671</v>
      </c>
      <c r="F5103" s="24" t="s">
        <v>6672</v>
      </c>
      <c r="G5103" s="24" t="s">
        <v>67</v>
      </c>
      <c r="H5103" s="25" t="s">
        <v>6673</v>
      </c>
      <c r="I5103" s="46" t="e">
        <f>VLOOKUP(H5103,'合同高级查询数据-4月返'!A:A,1,FALSE)</f>
        <v>#N/A</v>
      </c>
      <c r="J5103" s="47" t="s">
        <v>67</v>
      </c>
      <c r="K5103" s="46" t="s">
        <v>6687</v>
      </c>
      <c r="L5103" s="22"/>
      <c r="M5103" s="475"/>
      <c r="N5103" s="50">
        <v>44725</v>
      </c>
      <c r="O5103" s="22" t="s">
        <v>71</v>
      </c>
      <c r="P5103" s="486">
        <v>400</v>
      </c>
      <c r="Q5103" s="486">
        <v>2</v>
      </c>
      <c r="R5103" s="52">
        <f t="shared" si="163"/>
        <v>800</v>
      </c>
      <c r="S5103" s="47">
        <v>202304</v>
      </c>
      <c r="T5103" s="123" t="s">
        <v>6689</v>
      </c>
      <c r="U5103" s="48"/>
      <c r="V5103" s="48"/>
      <c r="W5103" s="48"/>
      <c r="X5103" s="50">
        <v>44136</v>
      </c>
      <c r="Y5103" s="73">
        <v>45230</v>
      </c>
    </row>
    <row r="5104" s="5" customFormat="1" customHeight="1" spans="1:25">
      <c r="A5104" s="24" t="s">
        <v>446</v>
      </c>
      <c r="B5104" s="24" t="s">
        <v>6300</v>
      </c>
      <c r="C5104" s="24" t="s">
        <v>3237</v>
      </c>
      <c r="D5104" s="22" t="s">
        <v>6301</v>
      </c>
      <c r="E5104" s="23" t="s">
        <v>6671</v>
      </c>
      <c r="F5104" s="24" t="s">
        <v>6672</v>
      </c>
      <c r="G5104" s="24" t="s">
        <v>67</v>
      </c>
      <c r="H5104" s="22" t="s">
        <v>6690</v>
      </c>
      <c r="I5104" s="46" t="e">
        <f>VLOOKUP(H5104,'合同高级查询数据-4月返'!A:A,1,FALSE)</f>
        <v>#N/A</v>
      </c>
      <c r="J5104" s="47" t="s">
        <v>67</v>
      </c>
      <c r="K5104" s="22" t="s">
        <v>6691</v>
      </c>
      <c r="L5104" s="22"/>
      <c r="M5104" s="475"/>
      <c r="N5104" s="50">
        <v>44064</v>
      </c>
      <c r="O5104" s="22" t="s">
        <v>71</v>
      </c>
      <c r="P5104" s="486">
        <v>550</v>
      </c>
      <c r="Q5104" s="486">
        <v>24</v>
      </c>
      <c r="R5104" s="52">
        <f t="shared" si="163"/>
        <v>13200</v>
      </c>
      <c r="S5104" s="47">
        <v>202304</v>
      </c>
      <c r="T5104" s="123" t="s">
        <v>6692</v>
      </c>
      <c r="U5104" s="48"/>
      <c r="V5104" s="48"/>
      <c r="W5104" s="48"/>
      <c r="X5104" s="50">
        <v>44064</v>
      </c>
      <c r="Y5104" s="50">
        <v>45158</v>
      </c>
    </row>
    <row r="5105" s="5" customFormat="1" customHeight="1" spans="1:25">
      <c r="A5105" s="24" t="s">
        <v>446</v>
      </c>
      <c r="B5105" s="24" t="s">
        <v>6300</v>
      </c>
      <c r="C5105" s="24" t="s">
        <v>3237</v>
      </c>
      <c r="D5105" s="22" t="s">
        <v>6301</v>
      </c>
      <c r="E5105" s="23" t="s">
        <v>6671</v>
      </c>
      <c r="F5105" s="24" t="s">
        <v>6672</v>
      </c>
      <c r="G5105" s="24" t="s">
        <v>67</v>
      </c>
      <c r="H5105" s="22" t="s">
        <v>6690</v>
      </c>
      <c r="I5105" s="46" t="e">
        <f>VLOOKUP(H5105,'合同高级查询数据-4月返'!A:A,1,FALSE)</f>
        <v>#N/A</v>
      </c>
      <c r="J5105" s="47" t="s">
        <v>67</v>
      </c>
      <c r="K5105" s="22" t="s">
        <v>6691</v>
      </c>
      <c r="L5105" s="22"/>
      <c r="M5105" s="475"/>
      <c r="N5105" s="50">
        <v>44066</v>
      </c>
      <c r="O5105" s="22" t="s">
        <v>71</v>
      </c>
      <c r="P5105" s="486">
        <v>550</v>
      </c>
      <c r="Q5105" s="486">
        <v>42</v>
      </c>
      <c r="R5105" s="52">
        <f t="shared" si="163"/>
        <v>23100</v>
      </c>
      <c r="S5105" s="47">
        <v>202304</v>
      </c>
      <c r="T5105" s="123" t="s">
        <v>6693</v>
      </c>
      <c r="U5105" s="48"/>
      <c r="V5105" s="48"/>
      <c r="W5105" s="48"/>
      <c r="X5105" s="50">
        <v>44064</v>
      </c>
      <c r="Y5105" s="50">
        <v>45158</v>
      </c>
    </row>
    <row r="5106" s="5" customFormat="1" customHeight="1" spans="1:25">
      <c r="A5106" s="24" t="s">
        <v>446</v>
      </c>
      <c r="B5106" s="24" t="s">
        <v>6300</v>
      </c>
      <c r="C5106" s="24" t="s">
        <v>3237</v>
      </c>
      <c r="D5106" s="22" t="s">
        <v>6301</v>
      </c>
      <c r="E5106" s="23" t="s">
        <v>6671</v>
      </c>
      <c r="F5106" s="24" t="s">
        <v>6672</v>
      </c>
      <c r="G5106" s="24" t="s">
        <v>67</v>
      </c>
      <c r="H5106" s="22" t="s">
        <v>6690</v>
      </c>
      <c r="I5106" s="46" t="e">
        <f>VLOOKUP(H5106,'合同高级查询数据-4月返'!A:A,1,FALSE)</f>
        <v>#N/A</v>
      </c>
      <c r="J5106" s="47" t="s">
        <v>67</v>
      </c>
      <c r="K5106" s="22" t="s">
        <v>6691</v>
      </c>
      <c r="L5106" s="22"/>
      <c r="M5106" s="475"/>
      <c r="N5106" s="50">
        <v>44221</v>
      </c>
      <c r="O5106" s="22" t="s">
        <v>71</v>
      </c>
      <c r="P5106" s="486">
        <v>550</v>
      </c>
      <c r="Q5106" s="486">
        <v>64</v>
      </c>
      <c r="R5106" s="52">
        <f t="shared" si="163"/>
        <v>35200</v>
      </c>
      <c r="S5106" s="47">
        <v>202304</v>
      </c>
      <c r="T5106" s="123" t="s">
        <v>6694</v>
      </c>
      <c r="U5106" s="48"/>
      <c r="V5106" s="48"/>
      <c r="W5106" s="48"/>
      <c r="X5106" s="50">
        <v>44064</v>
      </c>
      <c r="Y5106" s="50">
        <v>45158</v>
      </c>
    </row>
    <row r="5107" s="5" customFormat="1" customHeight="1" spans="1:25">
      <c r="A5107" s="24" t="s">
        <v>446</v>
      </c>
      <c r="B5107" s="24" t="s">
        <v>6300</v>
      </c>
      <c r="C5107" s="24" t="s">
        <v>3237</v>
      </c>
      <c r="D5107" s="22" t="s">
        <v>6301</v>
      </c>
      <c r="E5107" s="23" t="s">
        <v>6671</v>
      </c>
      <c r="F5107" s="24" t="s">
        <v>6672</v>
      </c>
      <c r="G5107" s="24" t="s">
        <v>67</v>
      </c>
      <c r="H5107" s="22" t="s">
        <v>6690</v>
      </c>
      <c r="I5107" s="46" t="e">
        <f>VLOOKUP(H5107,'合同高级查询数据-4月返'!A:A,1,FALSE)</f>
        <v>#N/A</v>
      </c>
      <c r="J5107" s="47" t="s">
        <v>67</v>
      </c>
      <c r="K5107" s="487" t="s">
        <v>6695</v>
      </c>
      <c r="L5107" s="22"/>
      <c r="M5107" s="475"/>
      <c r="N5107" s="50">
        <v>44428</v>
      </c>
      <c r="O5107" s="22" t="s">
        <v>71</v>
      </c>
      <c r="P5107" s="486">
        <v>550</v>
      </c>
      <c r="Q5107" s="486">
        <v>150</v>
      </c>
      <c r="R5107" s="52">
        <f t="shared" si="163"/>
        <v>82500</v>
      </c>
      <c r="S5107" s="47">
        <v>202304</v>
      </c>
      <c r="T5107" s="123" t="s">
        <v>6695</v>
      </c>
      <c r="U5107" s="48"/>
      <c r="V5107" s="48"/>
      <c r="W5107" s="48"/>
      <c r="X5107" s="50">
        <v>44064</v>
      </c>
      <c r="Y5107" s="50">
        <v>45158</v>
      </c>
    </row>
    <row r="5108" s="5" customFormat="1" customHeight="1" spans="1:25">
      <c r="A5108" s="24" t="s">
        <v>446</v>
      </c>
      <c r="B5108" s="24" t="s">
        <v>6300</v>
      </c>
      <c r="C5108" s="24" t="s">
        <v>3237</v>
      </c>
      <c r="D5108" s="22" t="s">
        <v>6301</v>
      </c>
      <c r="E5108" s="23" t="s">
        <v>6671</v>
      </c>
      <c r="F5108" s="24" t="s">
        <v>6672</v>
      </c>
      <c r="G5108" s="24" t="s">
        <v>67</v>
      </c>
      <c r="H5108" s="22" t="s">
        <v>6690</v>
      </c>
      <c r="I5108" s="46" t="e">
        <f>VLOOKUP(H5108,'合同高级查询数据-4月返'!A:A,1,FALSE)</f>
        <v>#N/A</v>
      </c>
      <c r="J5108" s="47" t="s">
        <v>67</v>
      </c>
      <c r="K5108" s="487" t="s">
        <v>6696</v>
      </c>
      <c r="L5108" s="22"/>
      <c r="M5108" s="475"/>
      <c r="N5108" s="50">
        <v>44792</v>
      </c>
      <c r="O5108" s="22" t="s">
        <v>71</v>
      </c>
      <c r="P5108" s="486">
        <v>550</v>
      </c>
      <c r="Q5108" s="486">
        <v>100</v>
      </c>
      <c r="R5108" s="52">
        <f t="shared" si="163"/>
        <v>55000</v>
      </c>
      <c r="S5108" s="47">
        <v>202304</v>
      </c>
      <c r="T5108" s="123" t="s">
        <v>6696</v>
      </c>
      <c r="U5108" s="48"/>
      <c r="V5108" s="48"/>
      <c r="W5108" s="48"/>
      <c r="X5108" s="50">
        <v>44064</v>
      </c>
      <c r="Y5108" s="50">
        <v>45158</v>
      </c>
    </row>
    <row r="5109" s="5" customFormat="1" customHeight="1" spans="1:25">
      <c r="A5109" s="24" t="s">
        <v>446</v>
      </c>
      <c r="B5109" s="24" t="s">
        <v>6300</v>
      </c>
      <c r="C5109" s="24" t="s">
        <v>3237</v>
      </c>
      <c r="D5109" s="22" t="s">
        <v>6301</v>
      </c>
      <c r="E5109" s="23" t="s">
        <v>6697</v>
      </c>
      <c r="F5109" s="24" t="s">
        <v>6672</v>
      </c>
      <c r="G5109" s="24" t="s">
        <v>31</v>
      </c>
      <c r="H5109" s="25" t="s">
        <v>6698</v>
      </c>
      <c r="I5109" s="46" t="e">
        <f>VLOOKUP(H5109,'合同高级查询数据-4月返'!A:A,1,FALSE)</f>
        <v>#N/A</v>
      </c>
      <c r="J5109" s="47" t="s">
        <v>6699</v>
      </c>
      <c r="K5109" s="24"/>
      <c r="L5109" s="109"/>
      <c r="M5109" s="475"/>
      <c r="N5109" s="73"/>
      <c r="O5109" s="73" t="s">
        <v>37</v>
      </c>
      <c r="P5109" s="52">
        <v>0</v>
      </c>
      <c r="Q5109" s="70">
        <v>407552</v>
      </c>
      <c r="R5109" s="52">
        <f t="shared" si="163"/>
        <v>0</v>
      </c>
      <c r="S5109" s="47">
        <v>202304</v>
      </c>
      <c r="T5109" s="123" t="s">
        <v>6700</v>
      </c>
      <c r="U5109" s="48"/>
      <c r="V5109" s="48"/>
      <c r="W5109" s="48"/>
      <c r="X5109" s="50">
        <v>44440</v>
      </c>
      <c r="Y5109" s="73">
        <v>45169</v>
      </c>
    </row>
    <row r="5110" s="5" customFormat="1" customHeight="1" spans="1:25">
      <c r="A5110" s="24" t="s">
        <v>446</v>
      </c>
      <c r="B5110" s="24" t="s">
        <v>6300</v>
      </c>
      <c r="C5110" s="24" t="s">
        <v>3237</v>
      </c>
      <c r="D5110" s="22" t="s">
        <v>6301</v>
      </c>
      <c r="E5110" s="23" t="s">
        <v>6697</v>
      </c>
      <c r="F5110" s="24" t="s">
        <v>6672</v>
      </c>
      <c r="G5110" s="24" t="s">
        <v>31</v>
      </c>
      <c r="H5110" s="25" t="s">
        <v>6698</v>
      </c>
      <c r="I5110" s="46" t="e">
        <f>VLOOKUP(H5110,'合同高级查询数据-4月返'!A:A,1,FALSE)</f>
        <v>#N/A</v>
      </c>
      <c r="J5110" s="47" t="s">
        <v>6699</v>
      </c>
      <c r="K5110" s="24"/>
      <c r="L5110" s="109"/>
      <c r="M5110" s="475"/>
      <c r="N5110" s="73"/>
      <c r="O5110" s="73" t="s">
        <v>179</v>
      </c>
      <c r="P5110" s="52">
        <v>0</v>
      </c>
      <c r="Q5110" s="70">
        <v>1</v>
      </c>
      <c r="R5110" s="52">
        <f t="shared" si="163"/>
        <v>0</v>
      </c>
      <c r="S5110" s="47">
        <v>202304</v>
      </c>
      <c r="T5110" s="123" t="s">
        <v>6701</v>
      </c>
      <c r="U5110" s="48"/>
      <c r="V5110" s="48"/>
      <c r="W5110" s="48"/>
      <c r="X5110" s="50">
        <v>44440</v>
      </c>
      <c r="Y5110" s="73">
        <v>45169</v>
      </c>
    </row>
    <row r="5111" s="5" customFormat="1" customHeight="1" spans="1:25">
      <c r="A5111" s="24" t="s">
        <v>446</v>
      </c>
      <c r="B5111" s="24" t="s">
        <v>6300</v>
      </c>
      <c r="C5111" s="24" t="s">
        <v>3237</v>
      </c>
      <c r="D5111" s="22" t="s">
        <v>6301</v>
      </c>
      <c r="E5111" s="23" t="s">
        <v>6697</v>
      </c>
      <c r="F5111" s="24" t="s">
        <v>6672</v>
      </c>
      <c r="G5111" s="24" t="s">
        <v>31</v>
      </c>
      <c r="H5111" s="25" t="s">
        <v>6698</v>
      </c>
      <c r="I5111" s="46" t="e">
        <f>VLOOKUP(H5111,'合同高级查询数据-4月返'!A:A,1,FALSE)</f>
        <v>#N/A</v>
      </c>
      <c r="J5111" s="47" t="s">
        <v>6699</v>
      </c>
      <c r="K5111" s="24"/>
      <c r="L5111" s="109"/>
      <c r="M5111" s="475"/>
      <c r="N5111" s="73"/>
      <c r="O5111" s="73" t="s">
        <v>179</v>
      </c>
      <c r="P5111" s="52">
        <v>0</v>
      </c>
      <c r="Q5111" s="70">
        <v>1</v>
      </c>
      <c r="R5111" s="52">
        <f t="shared" si="163"/>
        <v>0</v>
      </c>
      <c r="S5111" s="47">
        <v>202304</v>
      </c>
      <c r="T5111" s="123" t="s">
        <v>6702</v>
      </c>
      <c r="U5111" s="48"/>
      <c r="V5111" s="48"/>
      <c r="W5111" s="48"/>
      <c r="X5111" s="50">
        <v>44440</v>
      </c>
      <c r="Y5111" s="73">
        <v>45169</v>
      </c>
    </row>
    <row r="5112" s="5" customFormat="1" customHeight="1" spans="1:25">
      <c r="A5112" s="24" t="s">
        <v>446</v>
      </c>
      <c r="B5112" s="24" t="s">
        <v>6300</v>
      </c>
      <c r="C5112" s="24" t="s">
        <v>3237</v>
      </c>
      <c r="D5112" s="22" t="s">
        <v>6301</v>
      </c>
      <c r="E5112" s="23" t="s">
        <v>6697</v>
      </c>
      <c r="F5112" s="24" t="s">
        <v>6672</v>
      </c>
      <c r="G5112" s="24" t="s">
        <v>31</v>
      </c>
      <c r="H5112" s="25" t="s">
        <v>6703</v>
      </c>
      <c r="I5112" s="46" t="e">
        <f>VLOOKUP(H5112,'合同高级查询数据-4月返'!A:A,1,FALSE)</f>
        <v>#N/A</v>
      </c>
      <c r="J5112" s="47" t="s">
        <v>1273</v>
      </c>
      <c r="K5112" s="24" t="s">
        <v>6704</v>
      </c>
      <c r="L5112" s="109"/>
      <c r="M5112" s="49" t="s">
        <v>6705</v>
      </c>
      <c r="N5112" s="73">
        <v>42468</v>
      </c>
      <c r="O5112" s="24" t="s">
        <v>37</v>
      </c>
      <c r="P5112" s="52">
        <v>0</v>
      </c>
      <c r="Q5112" s="70">
        <v>128</v>
      </c>
      <c r="R5112" s="52">
        <f t="shared" si="163"/>
        <v>0</v>
      </c>
      <c r="S5112" s="47">
        <v>202304</v>
      </c>
      <c r="T5112" s="123" t="s">
        <v>6706</v>
      </c>
      <c r="U5112" s="48"/>
      <c r="V5112" s="48"/>
      <c r="W5112" s="48"/>
      <c r="X5112" s="50">
        <v>44256</v>
      </c>
      <c r="Y5112" s="50">
        <v>45350</v>
      </c>
    </row>
    <row r="5113" s="5" customFormat="1" customHeight="1" spans="1:25">
      <c r="A5113" s="24" t="s">
        <v>446</v>
      </c>
      <c r="B5113" s="24" t="s">
        <v>6300</v>
      </c>
      <c r="C5113" s="24" t="s">
        <v>3237</v>
      </c>
      <c r="D5113" s="22" t="s">
        <v>6301</v>
      </c>
      <c r="E5113" s="23" t="s">
        <v>6697</v>
      </c>
      <c r="F5113" s="24" t="s">
        <v>6672</v>
      </c>
      <c r="G5113" s="24" t="s">
        <v>31</v>
      </c>
      <c r="H5113" s="25" t="s">
        <v>6703</v>
      </c>
      <c r="I5113" s="46" t="e">
        <f>VLOOKUP(H5113,'合同高级查询数据-4月返'!A:A,1,FALSE)</f>
        <v>#N/A</v>
      </c>
      <c r="J5113" s="47" t="s">
        <v>1273</v>
      </c>
      <c r="K5113" s="24" t="s">
        <v>6704</v>
      </c>
      <c r="L5113" s="109"/>
      <c r="M5113" s="49" t="s">
        <v>6705</v>
      </c>
      <c r="N5113" s="73">
        <v>42468</v>
      </c>
      <c r="O5113" s="24" t="s">
        <v>37</v>
      </c>
      <c r="P5113" s="52">
        <v>50</v>
      </c>
      <c r="Q5113" s="70">
        <v>640</v>
      </c>
      <c r="R5113" s="52">
        <f t="shared" si="163"/>
        <v>32000</v>
      </c>
      <c r="S5113" s="47">
        <v>202304</v>
      </c>
      <c r="T5113" s="123" t="s">
        <v>6707</v>
      </c>
      <c r="U5113" s="48"/>
      <c r="V5113" s="48"/>
      <c r="W5113" s="48"/>
      <c r="X5113" s="50">
        <v>44256</v>
      </c>
      <c r="Y5113" s="50">
        <v>45350</v>
      </c>
    </row>
    <row r="5114" s="5" customFormat="1" customHeight="1" spans="1:25">
      <c r="A5114" s="24" t="s">
        <v>446</v>
      </c>
      <c r="B5114" s="24" t="s">
        <v>6300</v>
      </c>
      <c r="C5114" s="24" t="s">
        <v>3237</v>
      </c>
      <c r="D5114" s="22" t="s">
        <v>6301</v>
      </c>
      <c r="E5114" s="23" t="s">
        <v>6697</v>
      </c>
      <c r="F5114" s="24" t="s">
        <v>6672</v>
      </c>
      <c r="G5114" s="24" t="s">
        <v>31</v>
      </c>
      <c r="H5114" s="25" t="s">
        <v>6703</v>
      </c>
      <c r="I5114" s="46" t="e">
        <f>VLOOKUP(H5114,'合同高级查询数据-4月返'!A:A,1,FALSE)</f>
        <v>#N/A</v>
      </c>
      <c r="J5114" s="47" t="s">
        <v>497</v>
      </c>
      <c r="K5114" s="24" t="s">
        <v>6704</v>
      </c>
      <c r="L5114" s="109"/>
      <c r="M5114" s="49" t="s">
        <v>6417</v>
      </c>
      <c r="N5114" s="73" t="s">
        <v>1329</v>
      </c>
      <c r="O5114" s="24" t="s">
        <v>37</v>
      </c>
      <c r="P5114" s="52">
        <v>50</v>
      </c>
      <c r="Q5114" s="70">
        <v>768</v>
      </c>
      <c r="R5114" s="52">
        <f t="shared" si="163"/>
        <v>38400</v>
      </c>
      <c r="S5114" s="47">
        <v>202304</v>
      </c>
      <c r="T5114" s="123" t="s">
        <v>6707</v>
      </c>
      <c r="U5114" s="48"/>
      <c r="V5114" s="48"/>
      <c r="W5114" s="48"/>
      <c r="X5114" s="50">
        <v>44256</v>
      </c>
      <c r="Y5114" s="50">
        <v>45350</v>
      </c>
    </row>
    <row r="5115" s="3" customFormat="1" customHeight="1" spans="1:25">
      <c r="A5115" s="11" t="s">
        <v>446</v>
      </c>
      <c r="B5115" s="11" t="s">
        <v>6300</v>
      </c>
      <c r="C5115" s="11" t="s">
        <v>3237</v>
      </c>
      <c r="D5115" s="35" t="s">
        <v>6301</v>
      </c>
      <c r="E5115" s="13" t="s">
        <v>6697</v>
      </c>
      <c r="F5115" s="11" t="s">
        <v>6672</v>
      </c>
      <c r="G5115" s="11" t="s">
        <v>31</v>
      </c>
      <c r="H5115" s="110" t="s">
        <v>6708</v>
      </c>
      <c r="I5115" s="30" t="e">
        <f>VLOOKUP(H5115,'合同高级查询数据-4月返'!A:A,1,FALSE)</f>
        <v>#N/A</v>
      </c>
      <c r="J5115" s="31" t="s">
        <v>497</v>
      </c>
      <c r="K5115" s="11" t="s">
        <v>6704</v>
      </c>
      <c r="L5115" s="32"/>
      <c r="M5115" s="113" t="s">
        <v>6709</v>
      </c>
      <c r="N5115" s="146" t="s">
        <v>1329</v>
      </c>
      <c r="O5115" s="11" t="s">
        <v>37</v>
      </c>
      <c r="P5115" s="465">
        <v>0</v>
      </c>
      <c r="Q5115" s="459">
        <v>1024</v>
      </c>
      <c r="R5115" s="465">
        <f t="shared" si="163"/>
        <v>0</v>
      </c>
      <c r="S5115" s="31">
        <v>202304</v>
      </c>
      <c r="T5115" s="60" t="s">
        <v>6710</v>
      </c>
      <c r="U5115" s="411"/>
      <c r="V5115" s="411"/>
      <c r="W5115" s="411"/>
      <c r="X5115" s="34"/>
      <c r="Y5115" s="146"/>
    </row>
    <row r="5116" s="5" customFormat="1" customHeight="1" spans="1:25">
      <c r="A5116" s="22" t="s">
        <v>446</v>
      </c>
      <c r="B5116" s="22" t="s">
        <v>6300</v>
      </c>
      <c r="C5116" s="24" t="s">
        <v>3237</v>
      </c>
      <c r="D5116" s="22" t="s">
        <v>6301</v>
      </c>
      <c r="E5116" s="46" t="s">
        <v>6697</v>
      </c>
      <c r="F5116" s="22" t="s">
        <v>6711</v>
      </c>
      <c r="G5116" s="22" t="s">
        <v>31</v>
      </c>
      <c r="H5116" s="25" t="s">
        <v>6703</v>
      </c>
      <c r="I5116" s="46" t="e">
        <f>VLOOKUP(H5116,'合同高级查询数据-4月返'!A:A,1,FALSE)</f>
        <v>#N/A</v>
      </c>
      <c r="J5116" s="22" t="s">
        <v>497</v>
      </c>
      <c r="K5116" s="22" t="s">
        <v>6704</v>
      </c>
      <c r="L5116" s="22" t="s">
        <v>6712</v>
      </c>
      <c r="M5116" s="49" t="s">
        <v>6713</v>
      </c>
      <c r="N5116" s="50">
        <v>44508</v>
      </c>
      <c r="O5116" s="22" t="s">
        <v>37</v>
      </c>
      <c r="P5116" s="486">
        <v>0</v>
      </c>
      <c r="Q5116" s="486">
        <v>512</v>
      </c>
      <c r="R5116" s="52">
        <f t="shared" si="163"/>
        <v>0</v>
      </c>
      <c r="S5116" s="47">
        <v>202304</v>
      </c>
      <c r="T5116" s="123" t="s">
        <v>6714</v>
      </c>
      <c r="U5116" s="48"/>
      <c r="V5116" s="48"/>
      <c r="W5116" s="48"/>
      <c r="X5116" s="50">
        <v>44256</v>
      </c>
      <c r="Y5116" s="50">
        <v>45350</v>
      </c>
    </row>
    <row r="5117" s="5" customFormat="1" customHeight="1" spans="1:25">
      <c r="A5117" s="22" t="s">
        <v>446</v>
      </c>
      <c r="B5117" s="22" t="s">
        <v>6300</v>
      </c>
      <c r="C5117" s="24" t="s">
        <v>3237</v>
      </c>
      <c r="D5117" s="22" t="s">
        <v>6301</v>
      </c>
      <c r="E5117" s="46" t="s">
        <v>6697</v>
      </c>
      <c r="F5117" s="22" t="s">
        <v>6711</v>
      </c>
      <c r="G5117" s="22" t="s">
        <v>31</v>
      </c>
      <c r="H5117" s="25" t="s">
        <v>6703</v>
      </c>
      <c r="I5117" s="46" t="e">
        <f>VLOOKUP(H5117,'合同高级查询数据-4月返'!A:A,1,FALSE)</f>
        <v>#N/A</v>
      </c>
      <c r="J5117" s="47" t="s">
        <v>33</v>
      </c>
      <c r="K5117" s="22" t="s">
        <v>6704</v>
      </c>
      <c r="L5117" s="22" t="s">
        <v>6712</v>
      </c>
      <c r="M5117" s="49" t="s">
        <v>6713</v>
      </c>
      <c r="N5117" s="50">
        <v>44508</v>
      </c>
      <c r="O5117" s="22" t="s">
        <v>37</v>
      </c>
      <c r="P5117" s="486">
        <v>0</v>
      </c>
      <c r="Q5117" s="486">
        <v>512</v>
      </c>
      <c r="R5117" s="52">
        <f t="shared" si="163"/>
        <v>0</v>
      </c>
      <c r="S5117" s="47">
        <v>202304</v>
      </c>
      <c r="T5117" s="123" t="s">
        <v>6715</v>
      </c>
      <c r="U5117" s="48"/>
      <c r="V5117" s="48"/>
      <c r="W5117" s="48"/>
      <c r="X5117" s="50">
        <v>44256</v>
      </c>
      <c r="Y5117" s="50">
        <v>45350</v>
      </c>
    </row>
    <row r="5118" s="5" customFormat="1" customHeight="1" spans="1:25">
      <c r="A5118" s="22" t="s">
        <v>446</v>
      </c>
      <c r="B5118" s="22" t="s">
        <v>6300</v>
      </c>
      <c r="C5118" s="24" t="s">
        <v>3237</v>
      </c>
      <c r="D5118" s="22" t="s">
        <v>6301</v>
      </c>
      <c r="E5118" s="46" t="s">
        <v>6697</v>
      </c>
      <c r="F5118" s="22" t="s">
        <v>6711</v>
      </c>
      <c r="G5118" s="22" t="s">
        <v>31</v>
      </c>
      <c r="H5118" s="25" t="s">
        <v>6703</v>
      </c>
      <c r="I5118" s="46" t="e">
        <f>VLOOKUP(H5118,'合同高级查询数据-4月返'!A:A,1,FALSE)</f>
        <v>#N/A</v>
      </c>
      <c r="J5118" s="22" t="s">
        <v>497</v>
      </c>
      <c r="K5118" s="22" t="s">
        <v>6704</v>
      </c>
      <c r="L5118" s="22" t="s">
        <v>6712</v>
      </c>
      <c r="M5118" s="49" t="s">
        <v>6713</v>
      </c>
      <c r="N5118" s="50">
        <v>44508</v>
      </c>
      <c r="O5118" s="22" t="s">
        <v>179</v>
      </c>
      <c r="P5118" s="486">
        <v>0</v>
      </c>
      <c r="Q5118" s="486">
        <v>1</v>
      </c>
      <c r="R5118" s="52">
        <f t="shared" si="163"/>
        <v>0</v>
      </c>
      <c r="S5118" s="47">
        <v>202304</v>
      </c>
      <c r="T5118" s="123" t="s">
        <v>6716</v>
      </c>
      <c r="U5118" s="48"/>
      <c r="V5118" s="48"/>
      <c r="W5118" s="48"/>
      <c r="X5118" s="50">
        <v>44256</v>
      </c>
      <c r="Y5118" s="50">
        <v>45350</v>
      </c>
    </row>
    <row r="5119" s="3" customFormat="1" customHeight="1" spans="1:25">
      <c r="A5119" s="35" t="s">
        <v>446</v>
      </c>
      <c r="B5119" s="35" t="s">
        <v>6300</v>
      </c>
      <c r="C5119" s="11" t="s">
        <v>3237</v>
      </c>
      <c r="D5119" s="35" t="s">
        <v>6301</v>
      </c>
      <c r="E5119" s="30" t="s">
        <v>6697</v>
      </c>
      <c r="F5119" s="35" t="s">
        <v>6711</v>
      </c>
      <c r="G5119" s="11" t="s">
        <v>31</v>
      </c>
      <c r="H5119" s="35" t="s">
        <v>6717</v>
      </c>
      <c r="I5119" s="30" t="e">
        <f>VLOOKUP(H5119,'合同高级查询数据-4月返'!A:A,1,FALSE)</f>
        <v>#N/A</v>
      </c>
      <c r="J5119" s="35" t="s">
        <v>497</v>
      </c>
      <c r="K5119" s="35" t="s">
        <v>6704</v>
      </c>
      <c r="L5119" s="35" t="s">
        <v>6712</v>
      </c>
      <c r="M5119" s="113" t="s">
        <v>6713</v>
      </c>
      <c r="N5119" s="34">
        <v>44707</v>
      </c>
      <c r="O5119" s="35" t="s">
        <v>37</v>
      </c>
      <c r="P5119" s="488">
        <v>0</v>
      </c>
      <c r="Q5119" s="488">
        <v>256</v>
      </c>
      <c r="R5119" s="465">
        <f t="shared" si="163"/>
        <v>0</v>
      </c>
      <c r="S5119" s="31">
        <v>202304</v>
      </c>
      <c r="T5119" s="60" t="s">
        <v>6718</v>
      </c>
      <c r="U5119" s="411"/>
      <c r="V5119" s="411"/>
      <c r="W5119" s="411"/>
      <c r="X5119" s="34"/>
      <c r="Y5119" s="146"/>
    </row>
    <row r="5120" s="3" customFormat="1" customHeight="1" spans="1:25">
      <c r="A5120" s="35" t="s">
        <v>446</v>
      </c>
      <c r="B5120" s="35" t="s">
        <v>6300</v>
      </c>
      <c r="C5120" s="11" t="s">
        <v>3237</v>
      </c>
      <c r="D5120" s="35" t="s">
        <v>6301</v>
      </c>
      <c r="E5120" s="30" t="s">
        <v>6697</v>
      </c>
      <c r="F5120" s="35" t="s">
        <v>6711</v>
      </c>
      <c r="G5120" s="11" t="s">
        <v>31</v>
      </c>
      <c r="H5120" s="35" t="s">
        <v>6719</v>
      </c>
      <c r="I5120" s="30" t="e">
        <f>VLOOKUP(H5120,'合同高级查询数据-4月返'!A:A,1,FALSE)</f>
        <v>#N/A</v>
      </c>
      <c r="J5120" s="35" t="s">
        <v>497</v>
      </c>
      <c r="K5120" s="35" t="s">
        <v>6704</v>
      </c>
      <c r="L5120" s="35" t="s">
        <v>6712</v>
      </c>
      <c r="M5120" s="113" t="s">
        <v>6713</v>
      </c>
      <c r="N5120" s="34">
        <v>45031</v>
      </c>
      <c r="O5120" s="35" t="s">
        <v>37</v>
      </c>
      <c r="P5120" s="488">
        <v>50</v>
      </c>
      <c r="Q5120" s="488">
        <v>512</v>
      </c>
      <c r="R5120" s="465">
        <f>ROUND(P5120*Q5120*6/30,2)</f>
        <v>5120</v>
      </c>
      <c r="S5120" s="31">
        <v>202304</v>
      </c>
      <c r="T5120" s="60" t="s">
        <v>6720</v>
      </c>
      <c r="U5120" s="411"/>
      <c r="V5120" s="411"/>
      <c r="W5120" s="411"/>
      <c r="X5120" s="34"/>
      <c r="Y5120" s="146"/>
    </row>
    <row r="5121" s="5" customFormat="1" customHeight="1" spans="1:25">
      <c r="A5121" s="24" t="s">
        <v>446</v>
      </c>
      <c r="B5121" s="24" t="s">
        <v>6300</v>
      </c>
      <c r="C5121" s="24" t="s">
        <v>3237</v>
      </c>
      <c r="D5121" s="22" t="s">
        <v>6301</v>
      </c>
      <c r="E5121" s="23" t="s">
        <v>6697</v>
      </c>
      <c r="F5121" s="24" t="s">
        <v>6711</v>
      </c>
      <c r="G5121" s="24" t="s">
        <v>31</v>
      </c>
      <c r="H5121" s="25" t="s">
        <v>6703</v>
      </c>
      <c r="I5121" s="46" t="e">
        <f>VLOOKUP(H5121,'合同高级查询数据-4月返'!A:A,1,FALSE)</f>
        <v>#N/A</v>
      </c>
      <c r="J5121" s="47" t="s">
        <v>33</v>
      </c>
      <c r="K5121" s="24" t="s">
        <v>6721</v>
      </c>
      <c r="L5121" s="109"/>
      <c r="M5121" s="49" t="s">
        <v>6705</v>
      </c>
      <c r="N5121" s="73">
        <v>43492</v>
      </c>
      <c r="O5121" s="24" t="s">
        <v>37</v>
      </c>
      <c r="P5121" s="52">
        <v>0</v>
      </c>
      <c r="Q5121" s="70">
        <v>288</v>
      </c>
      <c r="R5121" s="52">
        <f t="shared" ref="R5121:R5184" si="164">ROUND(P5121*Q5121,2)</f>
        <v>0</v>
      </c>
      <c r="S5121" s="47">
        <v>202304</v>
      </c>
      <c r="T5121" s="123" t="s">
        <v>6722</v>
      </c>
      <c r="U5121" s="48"/>
      <c r="V5121" s="48"/>
      <c r="W5121" s="48"/>
      <c r="X5121" s="50">
        <v>44256</v>
      </c>
      <c r="Y5121" s="50">
        <v>45350</v>
      </c>
    </row>
    <row r="5122" s="5" customFormat="1" customHeight="1" spans="1:25">
      <c r="A5122" s="22" t="s">
        <v>446</v>
      </c>
      <c r="B5122" s="22" t="s">
        <v>6300</v>
      </c>
      <c r="C5122" s="24" t="s">
        <v>3237</v>
      </c>
      <c r="D5122" s="22" t="s">
        <v>6301</v>
      </c>
      <c r="E5122" s="46" t="s">
        <v>6697</v>
      </c>
      <c r="F5122" s="22" t="s">
        <v>6711</v>
      </c>
      <c r="G5122" s="24" t="s">
        <v>31</v>
      </c>
      <c r="H5122" s="25" t="s">
        <v>6703</v>
      </c>
      <c r="I5122" s="46" t="e">
        <f>VLOOKUP(H5122,'合同高级查询数据-4月返'!A:A,1,FALSE)</f>
        <v>#N/A</v>
      </c>
      <c r="J5122" s="47" t="s">
        <v>33</v>
      </c>
      <c r="K5122" s="22" t="s">
        <v>6704</v>
      </c>
      <c r="L5122" s="109" t="s">
        <v>6723</v>
      </c>
      <c r="M5122" s="22" t="s">
        <v>6705</v>
      </c>
      <c r="N5122" s="50">
        <v>44302</v>
      </c>
      <c r="O5122" s="22" t="s">
        <v>37</v>
      </c>
      <c r="P5122" s="486">
        <v>0</v>
      </c>
      <c r="Q5122" s="486">
        <v>128</v>
      </c>
      <c r="R5122" s="52">
        <f t="shared" si="164"/>
        <v>0</v>
      </c>
      <c r="S5122" s="47">
        <v>202304</v>
      </c>
      <c r="T5122" s="123" t="s">
        <v>6724</v>
      </c>
      <c r="U5122" s="48"/>
      <c r="V5122" s="48"/>
      <c r="W5122" s="48"/>
      <c r="X5122" s="50">
        <v>44256</v>
      </c>
      <c r="Y5122" s="50">
        <v>45350</v>
      </c>
    </row>
    <row r="5123" s="3" customFormat="1" customHeight="1" spans="1:25">
      <c r="A5123" s="35" t="s">
        <v>446</v>
      </c>
      <c r="B5123" s="35" t="s">
        <v>6300</v>
      </c>
      <c r="C5123" s="11" t="s">
        <v>3237</v>
      </c>
      <c r="D5123" s="35" t="s">
        <v>6301</v>
      </c>
      <c r="E5123" s="30" t="s">
        <v>6697</v>
      </c>
      <c r="F5123" s="35" t="s">
        <v>6711</v>
      </c>
      <c r="G5123" s="11" t="s">
        <v>31</v>
      </c>
      <c r="H5123" s="35" t="s">
        <v>6717</v>
      </c>
      <c r="I5123" s="30" t="e">
        <f>VLOOKUP(H5123,'合同高级查询数据-4月返'!A:A,1,FALSE)</f>
        <v>#N/A</v>
      </c>
      <c r="J5123" s="31" t="s">
        <v>33</v>
      </c>
      <c r="K5123" s="11" t="s">
        <v>6723</v>
      </c>
      <c r="L5123" s="11" t="s">
        <v>6723</v>
      </c>
      <c r="M5123" s="113" t="s">
        <v>6705</v>
      </c>
      <c r="N5123" s="34">
        <v>44575</v>
      </c>
      <c r="O5123" s="35" t="s">
        <v>37</v>
      </c>
      <c r="P5123" s="488">
        <v>0</v>
      </c>
      <c r="Q5123" s="488">
        <v>128</v>
      </c>
      <c r="R5123" s="465">
        <f t="shared" si="164"/>
        <v>0</v>
      </c>
      <c r="S5123" s="31">
        <v>202304</v>
      </c>
      <c r="T5123" s="60" t="s">
        <v>6725</v>
      </c>
      <c r="U5123" s="411"/>
      <c r="V5123" s="411"/>
      <c r="W5123" s="411"/>
      <c r="X5123" s="34"/>
      <c r="Y5123" s="146"/>
    </row>
    <row r="5124" s="5" customFormat="1" customHeight="1" spans="1:25">
      <c r="A5124" s="22" t="s">
        <v>446</v>
      </c>
      <c r="B5124" s="22" t="s">
        <v>6300</v>
      </c>
      <c r="C5124" s="24" t="s">
        <v>3237</v>
      </c>
      <c r="D5124" s="22" t="s">
        <v>6301</v>
      </c>
      <c r="E5124" s="46" t="s">
        <v>6697</v>
      </c>
      <c r="F5124" s="22" t="s">
        <v>6711</v>
      </c>
      <c r="G5124" s="24" t="s">
        <v>31</v>
      </c>
      <c r="H5124" s="25" t="s">
        <v>6703</v>
      </c>
      <c r="I5124" s="46" t="e">
        <f>VLOOKUP(H5124,'合同高级查询数据-4月返'!A:A,1,FALSE)</f>
        <v>#N/A</v>
      </c>
      <c r="J5124" s="47" t="s">
        <v>33</v>
      </c>
      <c r="K5124" s="22"/>
      <c r="L5124" s="24" t="s">
        <v>6723</v>
      </c>
      <c r="M5124" s="49" t="s">
        <v>6705</v>
      </c>
      <c r="N5124" s="50">
        <v>44767</v>
      </c>
      <c r="O5124" s="22" t="s">
        <v>37</v>
      </c>
      <c r="P5124" s="486">
        <v>0</v>
      </c>
      <c r="Q5124" s="486">
        <v>-128</v>
      </c>
      <c r="R5124" s="52">
        <f t="shared" si="164"/>
        <v>0</v>
      </c>
      <c r="S5124" s="47">
        <v>202304</v>
      </c>
      <c r="T5124" s="123" t="s">
        <v>6726</v>
      </c>
      <c r="U5124" s="48"/>
      <c r="V5124" s="48"/>
      <c r="W5124" s="48"/>
      <c r="X5124" s="50">
        <v>44256</v>
      </c>
      <c r="Y5124" s="50">
        <v>45350</v>
      </c>
    </row>
    <row r="5125" s="5" customFormat="1" customHeight="1" spans="1:25">
      <c r="A5125" s="24" t="s">
        <v>446</v>
      </c>
      <c r="B5125" s="24" t="s">
        <v>6300</v>
      </c>
      <c r="C5125" s="24" t="s">
        <v>3237</v>
      </c>
      <c r="D5125" s="22" t="s">
        <v>6301</v>
      </c>
      <c r="E5125" s="23" t="s">
        <v>6697</v>
      </c>
      <c r="F5125" s="24" t="s">
        <v>6711</v>
      </c>
      <c r="G5125" s="24" t="s">
        <v>88</v>
      </c>
      <c r="H5125" s="25" t="s">
        <v>6703</v>
      </c>
      <c r="I5125" s="46" t="e">
        <f>VLOOKUP(H5125,'合同高级查询数据-4月返'!A:A,1,FALSE)</f>
        <v>#N/A</v>
      </c>
      <c r="J5125" s="47" t="s">
        <v>1287</v>
      </c>
      <c r="K5125" s="24" t="s">
        <v>6704</v>
      </c>
      <c r="L5125" s="109"/>
      <c r="M5125" s="49" t="s">
        <v>6705</v>
      </c>
      <c r="N5125" s="73">
        <v>41433</v>
      </c>
      <c r="O5125" s="73" t="s">
        <v>702</v>
      </c>
      <c r="P5125" s="52">
        <v>5000</v>
      </c>
      <c r="Q5125" s="70">
        <v>4</v>
      </c>
      <c r="R5125" s="52">
        <f t="shared" si="164"/>
        <v>20000</v>
      </c>
      <c r="S5125" s="47">
        <v>202304</v>
      </c>
      <c r="T5125" s="123" t="s">
        <v>6727</v>
      </c>
      <c r="U5125" s="48"/>
      <c r="V5125" s="48"/>
      <c r="W5125" s="48"/>
      <c r="X5125" s="50">
        <v>44256</v>
      </c>
      <c r="Y5125" s="50">
        <v>45350</v>
      </c>
    </row>
    <row r="5126" s="5" customFormat="1" customHeight="1" spans="1:25">
      <c r="A5126" s="24" t="s">
        <v>446</v>
      </c>
      <c r="B5126" s="24" t="s">
        <v>6300</v>
      </c>
      <c r="C5126" s="24" t="s">
        <v>3237</v>
      </c>
      <c r="D5126" s="22" t="s">
        <v>6301</v>
      </c>
      <c r="E5126" s="23" t="s">
        <v>6697</v>
      </c>
      <c r="F5126" s="24" t="s">
        <v>6711</v>
      </c>
      <c r="G5126" s="24" t="s">
        <v>88</v>
      </c>
      <c r="H5126" s="25" t="s">
        <v>6703</v>
      </c>
      <c r="I5126" s="46" t="e">
        <f>VLOOKUP(H5126,'合同高级查询数据-4月返'!A:A,1,FALSE)</f>
        <v>#N/A</v>
      </c>
      <c r="J5126" s="47" t="s">
        <v>1287</v>
      </c>
      <c r="K5126" s="24" t="s">
        <v>6704</v>
      </c>
      <c r="L5126" s="109"/>
      <c r="M5126" s="49" t="s">
        <v>6705</v>
      </c>
      <c r="N5126" s="73"/>
      <c r="O5126" s="73" t="s">
        <v>584</v>
      </c>
      <c r="P5126" s="52">
        <v>290</v>
      </c>
      <c r="Q5126" s="70">
        <v>0</v>
      </c>
      <c r="R5126" s="52">
        <f t="shared" si="164"/>
        <v>0</v>
      </c>
      <c r="S5126" s="47">
        <v>202304</v>
      </c>
      <c r="T5126" s="123" t="s">
        <v>6728</v>
      </c>
      <c r="U5126" s="48"/>
      <c r="V5126" s="48"/>
      <c r="W5126" s="48"/>
      <c r="X5126" s="50">
        <v>44256</v>
      </c>
      <c r="Y5126" s="50">
        <v>45350</v>
      </c>
    </row>
    <row r="5127" s="5" customFormat="1" customHeight="1" spans="1:25">
      <c r="A5127" s="24" t="s">
        <v>446</v>
      </c>
      <c r="B5127" s="24" t="s">
        <v>6300</v>
      </c>
      <c r="C5127" s="24" t="s">
        <v>3237</v>
      </c>
      <c r="D5127" s="22" t="s">
        <v>6301</v>
      </c>
      <c r="E5127" s="23" t="s">
        <v>6697</v>
      </c>
      <c r="F5127" s="24" t="s">
        <v>6711</v>
      </c>
      <c r="G5127" s="24" t="s">
        <v>88</v>
      </c>
      <c r="H5127" s="25" t="s">
        <v>6703</v>
      </c>
      <c r="I5127" s="46" t="e">
        <f>VLOOKUP(H5127,'合同高级查询数据-4月返'!A:A,1,FALSE)</f>
        <v>#N/A</v>
      </c>
      <c r="J5127" s="47" t="s">
        <v>162</v>
      </c>
      <c r="K5127" s="24" t="s">
        <v>6729</v>
      </c>
      <c r="L5127" s="109"/>
      <c r="M5127" s="49" t="s">
        <v>6705</v>
      </c>
      <c r="N5127" s="73">
        <v>43116</v>
      </c>
      <c r="O5127" s="73" t="s">
        <v>702</v>
      </c>
      <c r="P5127" s="52">
        <v>5000</v>
      </c>
      <c r="Q5127" s="70">
        <v>11</v>
      </c>
      <c r="R5127" s="52">
        <f t="shared" si="164"/>
        <v>55000</v>
      </c>
      <c r="S5127" s="47">
        <v>202304</v>
      </c>
      <c r="T5127" s="123" t="s">
        <v>6730</v>
      </c>
      <c r="U5127" s="48"/>
      <c r="V5127" s="48"/>
      <c r="W5127" s="48"/>
      <c r="X5127" s="50">
        <v>44256</v>
      </c>
      <c r="Y5127" s="50">
        <v>45350</v>
      </c>
    </row>
    <row r="5128" s="5" customFormat="1" customHeight="1" spans="1:25">
      <c r="A5128" s="24" t="s">
        <v>446</v>
      </c>
      <c r="B5128" s="24" t="s">
        <v>6300</v>
      </c>
      <c r="C5128" s="24" t="s">
        <v>3237</v>
      </c>
      <c r="D5128" s="22" t="s">
        <v>6301</v>
      </c>
      <c r="E5128" s="23" t="s">
        <v>6697</v>
      </c>
      <c r="F5128" s="24" t="s">
        <v>6711</v>
      </c>
      <c r="G5128" s="24" t="s">
        <v>88</v>
      </c>
      <c r="H5128" s="25" t="s">
        <v>6703</v>
      </c>
      <c r="I5128" s="46" t="e">
        <f>VLOOKUP(H5128,'合同高级查询数据-4月返'!A:A,1,FALSE)</f>
        <v>#N/A</v>
      </c>
      <c r="J5128" s="47" t="s">
        <v>162</v>
      </c>
      <c r="K5128" s="24" t="s">
        <v>6729</v>
      </c>
      <c r="L5128" s="109"/>
      <c r="M5128" s="49" t="s">
        <v>6705</v>
      </c>
      <c r="N5128" s="73">
        <v>43951</v>
      </c>
      <c r="O5128" s="73" t="s">
        <v>702</v>
      </c>
      <c r="P5128" s="52">
        <v>5000</v>
      </c>
      <c r="Q5128" s="70">
        <v>-7</v>
      </c>
      <c r="R5128" s="52">
        <f t="shared" si="164"/>
        <v>-35000</v>
      </c>
      <c r="S5128" s="47">
        <v>202304</v>
      </c>
      <c r="T5128" s="123" t="s">
        <v>6731</v>
      </c>
      <c r="U5128" s="48"/>
      <c r="V5128" s="48"/>
      <c r="W5128" s="48"/>
      <c r="X5128" s="50">
        <v>44256</v>
      </c>
      <c r="Y5128" s="50">
        <v>45350</v>
      </c>
    </row>
    <row r="5129" s="5" customFormat="1" customHeight="1" spans="1:25">
      <c r="A5129" s="24" t="s">
        <v>446</v>
      </c>
      <c r="B5129" s="24" t="s">
        <v>6300</v>
      </c>
      <c r="C5129" s="24" t="s">
        <v>3237</v>
      </c>
      <c r="D5129" s="22" t="s">
        <v>6301</v>
      </c>
      <c r="E5129" s="23" t="s">
        <v>6697</v>
      </c>
      <c r="F5129" s="24" t="s">
        <v>6711</v>
      </c>
      <c r="G5129" s="24" t="s">
        <v>88</v>
      </c>
      <c r="H5129" s="25" t="s">
        <v>6703</v>
      </c>
      <c r="I5129" s="46" t="e">
        <f>VLOOKUP(H5129,'合同高级查询数据-4月返'!A:A,1,FALSE)</f>
        <v>#N/A</v>
      </c>
      <c r="J5129" s="47" t="s">
        <v>162</v>
      </c>
      <c r="K5129" s="24" t="s">
        <v>6729</v>
      </c>
      <c r="L5129" s="109"/>
      <c r="M5129" s="49" t="s">
        <v>6705</v>
      </c>
      <c r="N5129" s="73">
        <v>43890</v>
      </c>
      <c r="O5129" s="73" t="s">
        <v>702</v>
      </c>
      <c r="P5129" s="52">
        <v>5000</v>
      </c>
      <c r="Q5129" s="70">
        <v>-2</v>
      </c>
      <c r="R5129" s="52">
        <f t="shared" si="164"/>
        <v>-10000</v>
      </c>
      <c r="S5129" s="47">
        <v>202304</v>
      </c>
      <c r="T5129" s="123" t="s">
        <v>6732</v>
      </c>
      <c r="U5129" s="48"/>
      <c r="V5129" s="48"/>
      <c r="W5129" s="48"/>
      <c r="X5129" s="50">
        <v>44256</v>
      </c>
      <c r="Y5129" s="50">
        <v>45350</v>
      </c>
    </row>
    <row r="5130" s="5" customFormat="1" customHeight="1" spans="1:25">
      <c r="A5130" s="24" t="s">
        <v>446</v>
      </c>
      <c r="B5130" s="24" t="s">
        <v>6300</v>
      </c>
      <c r="C5130" s="24" t="s">
        <v>3237</v>
      </c>
      <c r="D5130" s="22" t="s">
        <v>6301</v>
      </c>
      <c r="E5130" s="23" t="s">
        <v>6697</v>
      </c>
      <c r="F5130" s="24" t="s">
        <v>6711</v>
      </c>
      <c r="G5130" s="24" t="s">
        <v>88</v>
      </c>
      <c r="H5130" s="25" t="s">
        <v>6703</v>
      </c>
      <c r="I5130" s="46" t="e">
        <f>VLOOKUP(H5130,'合同高级查询数据-4月返'!A:A,1,FALSE)</f>
        <v>#N/A</v>
      </c>
      <c r="J5130" s="47" t="s">
        <v>162</v>
      </c>
      <c r="K5130" s="24" t="s">
        <v>6729</v>
      </c>
      <c r="L5130" s="109"/>
      <c r="M5130" s="49" t="s">
        <v>6705</v>
      </c>
      <c r="N5130" s="73"/>
      <c r="O5130" s="73" t="s">
        <v>584</v>
      </c>
      <c r="P5130" s="52">
        <v>290</v>
      </c>
      <c r="Q5130" s="70">
        <v>0</v>
      </c>
      <c r="R5130" s="52">
        <f t="shared" si="164"/>
        <v>0</v>
      </c>
      <c r="S5130" s="47">
        <v>202304</v>
      </c>
      <c r="T5130" s="123" t="s">
        <v>6728</v>
      </c>
      <c r="U5130" s="48"/>
      <c r="V5130" s="48"/>
      <c r="W5130" s="48"/>
      <c r="X5130" s="50">
        <v>44256</v>
      </c>
      <c r="Y5130" s="50">
        <v>45350</v>
      </c>
    </row>
    <row r="5131" s="5" customFormat="1" customHeight="1" spans="1:25">
      <c r="A5131" s="24" t="s">
        <v>446</v>
      </c>
      <c r="B5131" s="24" t="s">
        <v>6300</v>
      </c>
      <c r="C5131" s="24" t="s">
        <v>3237</v>
      </c>
      <c r="D5131" s="22" t="s">
        <v>6301</v>
      </c>
      <c r="E5131" s="23" t="s">
        <v>6697</v>
      </c>
      <c r="F5131" s="24" t="s">
        <v>6711</v>
      </c>
      <c r="G5131" s="24" t="s">
        <v>88</v>
      </c>
      <c r="H5131" s="25" t="s">
        <v>6703</v>
      </c>
      <c r="I5131" s="46" t="e">
        <f>VLOOKUP(H5131,'合同高级查询数据-4月返'!A:A,1,FALSE)</f>
        <v>#N/A</v>
      </c>
      <c r="J5131" s="47" t="s">
        <v>162</v>
      </c>
      <c r="K5131" s="24" t="s">
        <v>6721</v>
      </c>
      <c r="L5131" s="109"/>
      <c r="M5131" s="49" t="s">
        <v>6705</v>
      </c>
      <c r="N5131" s="73">
        <v>43492</v>
      </c>
      <c r="O5131" s="73" t="s">
        <v>702</v>
      </c>
      <c r="P5131" s="52">
        <v>5000</v>
      </c>
      <c r="Q5131" s="70">
        <v>5</v>
      </c>
      <c r="R5131" s="52">
        <f t="shared" si="164"/>
        <v>25000</v>
      </c>
      <c r="S5131" s="47">
        <v>202304</v>
      </c>
      <c r="T5131" s="123" t="s">
        <v>6733</v>
      </c>
      <c r="U5131" s="48"/>
      <c r="V5131" s="48"/>
      <c r="W5131" s="48"/>
      <c r="X5131" s="50">
        <v>44256</v>
      </c>
      <c r="Y5131" s="50">
        <v>45350</v>
      </c>
    </row>
    <row r="5132" s="5" customFormat="1" customHeight="1" spans="1:25">
      <c r="A5132" s="24" t="s">
        <v>446</v>
      </c>
      <c r="B5132" s="24" t="s">
        <v>6300</v>
      </c>
      <c r="C5132" s="24" t="s">
        <v>3237</v>
      </c>
      <c r="D5132" s="22" t="s">
        <v>6301</v>
      </c>
      <c r="E5132" s="23" t="s">
        <v>6697</v>
      </c>
      <c r="F5132" s="24" t="s">
        <v>6711</v>
      </c>
      <c r="G5132" s="24" t="s">
        <v>88</v>
      </c>
      <c r="H5132" s="25" t="s">
        <v>6703</v>
      </c>
      <c r="I5132" s="46" t="e">
        <f>VLOOKUP(H5132,'合同高级查询数据-4月返'!A:A,1,FALSE)</f>
        <v>#N/A</v>
      </c>
      <c r="J5132" s="47" t="s">
        <v>162</v>
      </c>
      <c r="K5132" s="24" t="s">
        <v>6721</v>
      </c>
      <c r="L5132" s="109"/>
      <c r="M5132" s="49" t="s">
        <v>6705</v>
      </c>
      <c r="N5132" s="73"/>
      <c r="O5132" s="73" t="s">
        <v>584</v>
      </c>
      <c r="P5132" s="52">
        <v>290</v>
      </c>
      <c r="Q5132" s="70">
        <v>0</v>
      </c>
      <c r="R5132" s="52">
        <f t="shared" si="164"/>
        <v>0</v>
      </c>
      <c r="S5132" s="47">
        <v>202304</v>
      </c>
      <c r="T5132" s="123" t="s">
        <v>6728</v>
      </c>
      <c r="U5132" s="48"/>
      <c r="V5132" s="48"/>
      <c r="W5132" s="48"/>
      <c r="X5132" s="50">
        <v>44256</v>
      </c>
      <c r="Y5132" s="50">
        <v>45350</v>
      </c>
    </row>
    <row r="5133" s="5" customFormat="1" customHeight="1" spans="1:25">
      <c r="A5133" s="24" t="s">
        <v>446</v>
      </c>
      <c r="B5133" s="24" t="s">
        <v>6300</v>
      </c>
      <c r="C5133" s="24" t="s">
        <v>3237</v>
      </c>
      <c r="D5133" s="22" t="s">
        <v>6301</v>
      </c>
      <c r="E5133" s="23" t="s">
        <v>6697</v>
      </c>
      <c r="F5133" s="24" t="s">
        <v>6711</v>
      </c>
      <c r="G5133" s="24" t="s">
        <v>88</v>
      </c>
      <c r="H5133" s="25" t="s">
        <v>6703</v>
      </c>
      <c r="I5133" s="46" t="e">
        <f>VLOOKUP(H5133,'合同高级查询数据-4月返'!A:A,1,FALSE)</f>
        <v>#N/A</v>
      </c>
      <c r="J5133" s="47" t="s">
        <v>162</v>
      </c>
      <c r="K5133" s="24" t="s">
        <v>6723</v>
      </c>
      <c r="L5133" s="24" t="s">
        <v>6723</v>
      </c>
      <c r="M5133" s="49" t="s">
        <v>6705</v>
      </c>
      <c r="N5133" s="50">
        <v>44575</v>
      </c>
      <c r="O5133" s="73" t="s">
        <v>702</v>
      </c>
      <c r="P5133" s="52">
        <v>5000</v>
      </c>
      <c r="Q5133" s="70">
        <v>1</v>
      </c>
      <c r="R5133" s="52">
        <f t="shared" si="164"/>
        <v>5000</v>
      </c>
      <c r="S5133" s="47">
        <v>202304</v>
      </c>
      <c r="T5133" s="123" t="s">
        <v>6734</v>
      </c>
      <c r="U5133" s="48"/>
      <c r="V5133" s="48"/>
      <c r="W5133" s="48"/>
      <c r="X5133" s="50">
        <v>44256</v>
      </c>
      <c r="Y5133" s="50">
        <v>45350</v>
      </c>
    </row>
    <row r="5134" s="5" customFormat="1" customHeight="1" spans="1:25">
      <c r="A5134" s="24" t="s">
        <v>446</v>
      </c>
      <c r="B5134" s="24" t="s">
        <v>6300</v>
      </c>
      <c r="C5134" s="24" t="s">
        <v>3237</v>
      </c>
      <c r="D5134" s="22" t="s">
        <v>6301</v>
      </c>
      <c r="E5134" s="23" t="s">
        <v>6697</v>
      </c>
      <c r="F5134" s="24" t="s">
        <v>6711</v>
      </c>
      <c r="G5134" s="24" t="s">
        <v>88</v>
      </c>
      <c r="H5134" s="25" t="s">
        <v>6703</v>
      </c>
      <c r="I5134" s="46" t="e">
        <f>VLOOKUP(H5134,'合同高级查询数据-4月返'!A:A,1,FALSE)</f>
        <v>#N/A</v>
      </c>
      <c r="J5134" s="47" t="s">
        <v>162</v>
      </c>
      <c r="K5134" s="24" t="s">
        <v>6723</v>
      </c>
      <c r="L5134" s="24" t="s">
        <v>6723</v>
      </c>
      <c r="M5134" s="49" t="s">
        <v>6705</v>
      </c>
      <c r="N5134" s="50">
        <v>44767</v>
      </c>
      <c r="O5134" s="73" t="s">
        <v>702</v>
      </c>
      <c r="P5134" s="52">
        <v>5000</v>
      </c>
      <c r="Q5134" s="70">
        <v>-2</v>
      </c>
      <c r="R5134" s="52">
        <f t="shared" si="164"/>
        <v>-10000</v>
      </c>
      <c r="S5134" s="47">
        <v>202304</v>
      </c>
      <c r="T5134" s="123" t="s">
        <v>6735</v>
      </c>
      <c r="U5134" s="48"/>
      <c r="V5134" s="48"/>
      <c r="W5134" s="48"/>
      <c r="X5134" s="50">
        <v>44256</v>
      </c>
      <c r="Y5134" s="50">
        <v>45350</v>
      </c>
    </row>
    <row r="5135" s="5" customFormat="1" customHeight="1" spans="1:25">
      <c r="A5135" s="24" t="s">
        <v>446</v>
      </c>
      <c r="B5135" s="24" t="s">
        <v>6300</v>
      </c>
      <c r="C5135" s="24" t="s">
        <v>3237</v>
      </c>
      <c r="D5135" s="22" t="s">
        <v>6301</v>
      </c>
      <c r="E5135" s="23" t="s">
        <v>6697</v>
      </c>
      <c r="F5135" s="24" t="s">
        <v>6711</v>
      </c>
      <c r="G5135" s="24" t="s">
        <v>88</v>
      </c>
      <c r="H5135" s="25" t="s">
        <v>6703</v>
      </c>
      <c r="I5135" s="46" t="e">
        <f>VLOOKUP(H5135,'合同高级查询数据-4月返'!A:A,1,FALSE)</f>
        <v>#N/A</v>
      </c>
      <c r="J5135" s="47" t="s">
        <v>162</v>
      </c>
      <c r="K5135" s="24" t="s">
        <v>6723</v>
      </c>
      <c r="L5135" s="24" t="s">
        <v>6723</v>
      </c>
      <c r="M5135" s="49" t="s">
        <v>6705</v>
      </c>
      <c r="N5135" s="73"/>
      <c r="O5135" s="73" t="s">
        <v>584</v>
      </c>
      <c r="P5135" s="52">
        <v>290</v>
      </c>
      <c r="Q5135" s="70">
        <v>0</v>
      </c>
      <c r="R5135" s="52">
        <f t="shared" si="164"/>
        <v>0</v>
      </c>
      <c r="S5135" s="47">
        <v>202304</v>
      </c>
      <c r="T5135" s="123" t="s">
        <v>6728</v>
      </c>
      <c r="U5135" s="48"/>
      <c r="V5135" s="48"/>
      <c r="W5135" s="48"/>
      <c r="X5135" s="50">
        <v>44256</v>
      </c>
      <c r="Y5135" s="50">
        <v>45350</v>
      </c>
    </row>
    <row r="5136" s="5" customFormat="1" customHeight="1" spans="1:25">
      <c r="A5136" s="24" t="s">
        <v>446</v>
      </c>
      <c r="B5136" s="24" t="s">
        <v>6300</v>
      </c>
      <c r="C5136" s="24" t="s">
        <v>3237</v>
      </c>
      <c r="D5136" s="22" t="s">
        <v>6301</v>
      </c>
      <c r="E5136" s="23" t="s">
        <v>6697</v>
      </c>
      <c r="F5136" s="24" t="s">
        <v>6711</v>
      </c>
      <c r="G5136" s="24" t="s">
        <v>88</v>
      </c>
      <c r="H5136" s="25" t="s">
        <v>6736</v>
      </c>
      <c r="I5136" s="46" t="e">
        <f>VLOOKUP(H5136,'合同高级查询数据-4月返'!A:A,1,FALSE)</f>
        <v>#N/A</v>
      </c>
      <c r="J5136" s="47" t="s">
        <v>90</v>
      </c>
      <c r="K5136" s="24" t="s">
        <v>6674</v>
      </c>
      <c r="L5136" s="109"/>
      <c r="M5136" s="49" t="s">
        <v>6709</v>
      </c>
      <c r="N5136" s="73"/>
      <c r="O5136" s="73" t="s">
        <v>503</v>
      </c>
      <c r="P5136" s="52">
        <v>5980</v>
      </c>
      <c r="Q5136" s="70">
        <v>233</v>
      </c>
      <c r="R5136" s="52">
        <f t="shared" si="164"/>
        <v>1393340</v>
      </c>
      <c r="S5136" s="47">
        <v>202304</v>
      </c>
      <c r="T5136" s="123" t="s">
        <v>6737</v>
      </c>
      <c r="U5136" s="48"/>
      <c r="V5136" s="48"/>
      <c r="W5136" s="48"/>
      <c r="X5136" s="50">
        <v>43466</v>
      </c>
      <c r="Y5136" s="73">
        <v>45473</v>
      </c>
    </row>
    <row r="5137" s="5" customFormat="1" customHeight="1" spans="1:25">
      <c r="A5137" s="24" t="s">
        <v>446</v>
      </c>
      <c r="B5137" s="24" t="s">
        <v>6300</v>
      </c>
      <c r="C5137" s="24" t="s">
        <v>3237</v>
      </c>
      <c r="D5137" s="22" t="s">
        <v>6301</v>
      </c>
      <c r="E5137" s="23" t="s">
        <v>6697</v>
      </c>
      <c r="F5137" s="24" t="s">
        <v>6711</v>
      </c>
      <c r="G5137" s="24" t="s">
        <v>88</v>
      </c>
      <c r="H5137" s="25" t="s">
        <v>6736</v>
      </c>
      <c r="I5137" s="46" t="e">
        <f>VLOOKUP(H5137,'合同高级查询数据-4月返'!A:A,1,FALSE)</f>
        <v>#N/A</v>
      </c>
      <c r="J5137" s="47" t="s">
        <v>90</v>
      </c>
      <c r="K5137" s="24" t="s">
        <v>6674</v>
      </c>
      <c r="L5137" s="109"/>
      <c r="M5137" s="49" t="s">
        <v>6709</v>
      </c>
      <c r="N5137" s="73"/>
      <c r="O5137" s="73" t="s">
        <v>6738</v>
      </c>
      <c r="P5137" s="52">
        <v>8162.7</v>
      </c>
      <c r="Q5137" s="70">
        <v>2</v>
      </c>
      <c r="R5137" s="52">
        <f t="shared" si="164"/>
        <v>16325.4</v>
      </c>
      <c r="S5137" s="47">
        <v>202304</v>
      </c>
      <c r="T5137" s="123" t="s">
        <v>6739</v>
      </c>
      <c r="U5137" s="48"/>
      <c r="V5137" s="48"/>
      <c r="W5137" s="48"/>
      <c r="X5137" s="50">
        <v>43466</v>
      </c>
      <c r="Y5137" s="73">
        <v>45473</v>
      </c>
    </row>
    <row r="5138" s="5" customFormat="1" customHeight="1" spans="1:25">
      <c r="A5138" s="24" t="s">
        <v>446</v>
      </c>
      <c r="B5138" s="24" t="s">
        <v>6300</v>
      </c>
      <c r="C5138" s="24" t="s">
        <v>3237</v>
      </c>
      <c r="D5138" s="22" t="s">
        <v>6301</v>
      </c>
      <c r="E5138" s="23" t="s">
        <v>6697</v>
      </c>
      <c r="F5138" s="24" t="s">
        <v>6711</v>
      </c>
      <c r="G5138" s="24" t="s">
        <v>88</v>
      </c>
      <c r="H5138" s="25" t="s">
        <v>6736</v>
      </c>
      <c r="I5138" s="46" t="e">
        <f>VLOOKUP(H5138,'合同高级查询数据-4月返'!A:A,1,FALSE)</f>
        <v>#N/A</v>
      </c>
      <c r="J5138" s="47" t="s">
        <v>90</v>
      </c>
      <c r="K5138" s="24" t="s">
        <v>6674</v>
      </c>
      <c r="L5138" s="109"/>
      <c r="M5138" s="49" t="s">
        <v>6709</v>
      </c>
      <c r="N5138" s="73"/>
      <c r="O5138" s="73" t="s">
        <v>1746</v>
      </c>
      <c r="P5138" s="52">
        <v>9568</v>
      </c>
      <c r="Q5138" s="70">
        <v>538</v>
      </c>
      <c r="R5138" s="52">
        <f t="shared" si="164"/>
        <v>5147584</v>
      </c>
      <c r="S5138" s="47">
        <v>202304</v>
      </c>
      <c r="T5138" s="123" t="s">
        <v>6740</v>
      </c>
      <c r="U5138" s="48"/>
      <c r="V5138" s="48"/>
      <c r="W5138" s="48"/>
      <c r="X5138" s="50">
        <v>43466</v>
      </c>
      <c r="Y5138" s="73">
        <v>45473</v>
      </c>
    </row>
    <row r="5139" s="5" customFormat="1" customHeight="1" spans="1:25">
      <c r="A5139" s="24" t="s">
        <v>446</v>
      </c>
      <c r="B5139" s="24" t="s">
        <v>6300</v>
      </c>
      <c r="C5139" s="24" t="s">
        <v>3237</v>
      </c>
      <c r="D5139" s="22" t="s">
        <v>6301</v>
      </c>
      <c r="E5139" s="23" t="s">
        <v>6697</v>
      </c>
      <c r="F5139" s="24" t="s">
        <v>6711</v>
      </c>
      <c r="G5139" s="24" t="s">
        <v>88</v>
      </c>
      <c r="H5139" s="25" t="s">
        <v>6736</v>
      </c>
      <c r="I5139" s="46" t="e">
        <f>VLOOKUP(H5139,'合同高级查询数据-4月返'!A:A,1,FALSE)</f>
        <v>#N/A</v>
      </c>
      <c r="J5139" s="47" t="s">
        <v>90</v>
      </c>
      <c r="K5139" s="24" t="s">
        <v>6674</v>
      </c>
      <c r="L5139" s="109"/>
      <c r="M5139" s="49" t="s">
        <v>6709</v>
      </c>
      <c r="N5139" s="73"/>
      <c r="O5139" s="73" t="s">
        <v>6741</v>
      </c>
      <c r="P5139" s="52">
        <v>10883.6</v>
      </c>
      <c r="Q5139" s="70">
        <v>2</v>
      </c>
      <c r="R5139" s="52">
        <f t="shared" si="164"/>
        <v>21767.2</v>
      </c>
      <c r="S5139" s="47">
        <v>202304</v>
      </c>
      <c r="T5139" s="123" t="s">
        <v>6742</v>
      </c>
      <c r="U5139" s="48"/>
      <c r="V5139" s="48"/>
      <c r="W5139" s="48"/>
      <c r="X5139" s="50">
        <v>43466</v>
      </c>
      <c r="Y5139" s="73">
        <v>45473</v>
      </c>
    </row>
    <row r="5140" s="5" customFormat="1" customHeight="1" spans="1:25">
      <c r="A5140" s="24" t="s">
        <v>446</v>
      </c>
      <c r="B5140" s="24" t="s">
        <v>6300</v>
      </c>
      <c r="C5140" s="24" t="s">
        <v>3237</v>
      </c>
      <c r="D5140" s="22" t="s">
        <v>6301</v>
      </c>
      <c r="E5140" s="23" t="s">
        <v>6697</v>
      </c>
      <c r="F5140" s="24" t="s">
        <v>6711</v>
      </c>
      <c r="G5140" s="24" t="s">
        <v>88</v>
      </c>
      <c r="H5140" s="25" t="s">
        <v>6736</v>
      </c>
      <c r="I5140" s="46" t="e">
        <f>VLOOKUP(H5140,'合同高级查询数据-4月返'!A:A,1,FALSE)</f>
        <v>#N/A</v>
      </c>
      <c r="J5140" s="47" t="s">
        <v>90</v>
      </c>
      <c r="K5140" s="24" t="s">
        <v>6674</v>
      </c>
      <c r="L5140" s="109"/>
      <c r="M5140" s="49" t="s">
        <v>6709</v>
      </c>
      <c r="N5140" s="73">
        <v>43824</v>
      </c>
      <c r="O5140" s="73" t="s">
        <v>6741</v>
      </c>
      <c r="P5140" s="52">
        <v>10883.6</v>
      </c>
      <c r="Q5140" s="70">
        <v>-1</v>
      </c>
      <c r="R5140" s="52">
        <f t="shared" si="164"/>
        <v>-10883.6</v>
      </c>
      <c r="S5140" s="47">
        <v>202304</v>
      </c>
      <c r="T5140" s="123" t="s">
        <v>6743</v>
      </c>
      <c r="U5140" s="48"/>
      <c r="V5140" s="48"/>
      <c r="W5140" s="48"/>
      <c r="X5140" s="50">
        <v>43466</v>
      </c>
      <c r="Y5140" s="73">
        <v>45473</v>
      </c>
    </row>
    <row r="5141" s="5" customFormat="1" customHeight="1" spans="1:25">
      <c r="A5141" s="24" t="s">
        <v>446</v>
      </c>
      <c r="B5141" s="24" t="s">
        <v>6300</v>
      </c>
      <c r="C5141" s="24" t="s">
        <v>3237</v>
      </c>
      <c r="D5141" s="22" t="s">
        <v>6301</v>
      </c>
      <c r="E5141" s="23" t="s">
        <v>6697</v>
      </c>
      <c r="F5141" s="24" t="s">
        <v>6711</v>
      </c>
      <c r="G5141" s="24" t="s">
        <v>88</v>
      </c>
      <c r="H5141" s="25" t="s">
        <v>6736</v>
      </c>
      <c r="I5141" s="46" t="e">
        <f>VLOOKUP(H5141,'合同高级查询数据-4月返'!A:A,1,FALSE)</f>
        <v>#N/A</v>
      </c>
      <c r="J5141" s="47" t="s">
        <v>90</v>
      </c>
      <c r="K5141" s="24" t="s">
        <v>6674</v>
      </c>
      <c r="L5141" s="109"/>
      <c r="M5141" s="49" t="s">
        <v>6709</v>
      </c>
      <c r="N5141" s="73"/>
      <c r="O5141" s="73" t="s">
        <v>574</v>
      </c>
      <c r="P5141" s="52">
        <v>18687.5</v>
      </c>
      <c r="Q5141" s="70">
        <v>6</v>
      </c>
      <c r="R5141" s="52">
        <f t="shared" si="164"/>
        <v>112125</v>
      </c>
      <c r="S5141" s="47">
        <v>202304</v>
      </c>
      <c r="T5141" s="123" t="s">
        <v>6744</v>
      </c>
      <c r="U5141" s="48"/>
      <c r="V5141" s="48"/>
      <c r="W5141" s="48"/>
      <c r="X5141" s="50">
        <v>43466</v>
      </c>
      <c r="Y5141" s="73">
        <v>45473</v>
      </c>
    </row>
    <row r="5142" s="5" customFormat="1" customHeight="1" spans="1:25">
      <c r="A5142" s="24" t="s">
        <v>446</v>
      </c>
      <c r="B5142" s="24" t="s">
        <v>6300</v>
      </c>
      <c r="C5142" s="24" t="s">
        <v>3237</v>
      </c>
      <c r="D5142" s="22" t="s">
        <v>6301</v>
      </c>
      <c r="E5142" s="23" t="s">
        <v>6697</v>
      </c>
      <c r="F5142" s="24" t="s">
        <v>6711</v>
      </c>
      <c r="G5142" s="24" t="s">
        <v>88</v>
      </c>
      <c r="H5142" s="25" t="s">
        <v>6736</v>
      </c>
      <c r="I5142" s="46" t="e">
        <f>VLOOKUP(H5142,'合同高级查询数据-4月返'!A:A,1,FALSE)</f>
        <v>#N/A</v>
      </c>
      <c r="J5142" s="47" t="s">
        <v>90</v>
      </c>
      <c r="K5142" s="24" t="s">
        <v>6674</v>
      </c>
      <c r="L5142" s="109"/>
      <c r="M5142" s="49" t="s">
        <v>6709</v>
      </c>
      <c r="N5142" s="73">
        <v>43256</v>
      </c>
      <c r="O5142" s="73" t="s">
        <v>1746</v>
      </c>
      <c r="P5142" s="52">
        <v>9568</v>
      </c>
      <c r="Q5142" s="70">
        <v>10</v>
      </c>
      <c r="R5142" s="52">
        <f t="shared" si="164"/>
        <v>95680</v>
      </c>
      <c r="S5142" s="47">
        <v>202304</v>
      </c>
      <c r="T5142" s="123" t="s">
        <v>6740</v>
      </c>
      <c r="U5142" s="48"/>
      <c r="V5142" s="48"/>
      <c r="W5142" s="48"/>
      <c r="X5142" s="50">
        <v>43466</v>
      </c>
      <c r="Y5142" s="73">
        <v>45473</v>
      </c>
    </row>
    <row r="5143" s="5" customFormat="1" customHeight="1" spans="1:25">
      <c r="A5143" s="24" t="s">
        <v>446</v>
      </c>
      <c r="B5143" s="24" t="s">
        <v>6300</v>
      </c>
      <c r="C5143" s="24" t="s">
        <v>3237</v>
      </c>
      <c r="D5143" s="22" t="s">
        <v>6301</v>
      </c>
      <c r="E5143" s="23" t="s">
        <v>6697</v>
      </c>
      <c r="F5143" s="24" t="s">
        <v>6711</v>
      </c>
      <c r="G5143" s="24" t="s">
        <v>88</v>
      </c>
      <c r="H5143" s="25" t="s">
        <v>6736</v>
      </c>
      <c r="I5143" s="46" t="e">
        <f>VLOOKUP(H5143,'合同高级查询数据-4月返'!A:A,1,FALSE)</f>
        <v>#N/A</v>
      </c>
      <c r="J5143" s="47" t="s">
        <v>90</v>
      </c>
      <c r="K5143" s="24" t="s">
        <v>6674</v>
      </c>
      <c r="L5143" s="109"/>
      <c r="M5143" s="49" t="s">
        <v>6709</v>
      </c>
      <c r="N5143" s="73">
        <v>43255</v>
      </c>
      <c r="O5143" s="73" t="s">
        <v>503</v>
      </c>
      <c r="P5143" s="52">
        <v>5980</v>
      </c>
      <c r="Q5143" s="70">
        <v>26</v>
      </c>
      <c r="R5143" s="52">
        <f t="shared" si="164"/>
        <v>155480</v>
      </c>
      <c r="S5143" s="47">
        <v>202304</v>
      </c>
      <c r="T5143" s="123" t="s">
        <v>6737</v>
      </c>
      <c r="U5143" s="48"/>
      <c r="V5143" s="48"/>
      <c r="W5143" s="48"/>
      <c r="X5143" s="50">
        <v>43466</v>
      </c>
      <c r="Y5143" s="73">
        <v>45473</v>
      </c>
    </row>
    <row r="5144" s="5" customFormat="1" customHeight="1" spans="1:25">
      <c r="A5144" s="24" t="s">
        <v>446</v>
      </c>
      <c r="B5144" s="24" t="s">
        <v>6300</v>
      </c>
      <c r="C5144" s="24" t="s">
        <v>3237</v>
      </c>
      <c r="D5144" s="22" t="s">
        <v>6301</v>
      </c>
      <c r="E5144" s="23" t="s">
        <v>6697</v>
      </c>
      <c r="F5144" s="24" t="s">
        <v>6711</v>
      </c>
      <c r="G5144" s="24" t="s">
        <v>88</v>
      </c>
      <c r="H5144" s="25" t="s">
        <v>6736</v>
      </c>
      <c r="I5144" s="46" t="e">
        <f>VLOOKUP(H5144,'合同高级查询数据-4月返'!A:A,1,FALSE)</f>
        <v>#N/A</v>
      </c>
      <c r="J5144" s="47" t="s">
        <v>90</v>
      </c>
      <c r="K5144" s="24" t="s">
        <v>6674</v>
      </c>
      <c r="L5144" s="109"/>
      <c r="M5144" s="49" t="s">
        <v>6709</v>
      </c>
      <c r="N5144" s="73">
        <v>43263</v>
      </c>
      <c r="O5144" s="73" t="s">
        <v>1746</v>
      </c>
      <c r="P5144" s="52">
        <v>9568</v>
      </c>
      <c r="Q5144" s="70">
        <v>4</v>
      </c>
      <c r="R5144" s="52">
        <f t="shared" si="164"/>
        <v>38272</v>
      </c>
      <c r="S5144" s="47">
        <v>202304</v>
      </c>
      <c r="T5144" s="123" t="s">
        <v>6740</v>
      </c>
      <c r="U5144" s="48"/>
      <c r="V5144" s="48"/>
      <c r="W5144" s="48"/>
      <c r="X5144" s="50">
        <v>43466</v>
      </c>
      <c r="Y5144" s="73">
        <v>45473</v>
      </c>
    </row>
    <row r="5145" s="5" customFormat="1" customHeight="1" spans="1:25">
      <c r="A5145" s="24" t="s">
        <v>446</v>
      </c>
      <c r="B5145" s="24" t="s">
        <v>6300</v>
      </c>
      <c r="C5145" s="24" t="s">
        <v>3237</v>
      </c>
      <c r="D5145" s="22" t="s">
        <v>6301</v>
      </c>
      <c r="E5145" s="23" t="s">
        <v>6697</v>
      </c>
      <c r="F5145" s="24" t="s">
        <v>6711</v>
      </c>
      <c r="G5145" s="24" t="s">
        <v>88</v>
      </c>
      <c r="H5145" s="25" t="s">
        <v>6736</v>
      </c>
      <c r="I5145" s="46" t="e">
        <f>VLOOKUP(H5145,'合同高级查询数据-4月返'!A:A,1,FALSE)</f>
        <v>#N/A</v>
      </c>
      <c r="J5145" s="47" t="s">
        <v>90</v>
      </c>
      <c r="K5145" s="24" t="s">
        <v>6674</v>
      </c>
      <c r="L5145" s="109"/>
      <c r="M5145" s="49" t="s">
        <v>6709</v>
      </c>
      <c r="N5145" s="73">
        <v>43280</v>
      </c>
      <c r="O5145" s="73" t="s">
        <v>503</v>
      </c>
      <c r="P5145" s="52">
        <v>5980</v>
      </c>
      <c r="Q5145" s="70">
        <v>4</v>
      </c>
      <c r="R5145" s="52">
        <f t="shared" si="164"/>
        <v>23920</v>
      </c>
      <c r="S5145" s="47">
        <v>202304</v>
      </c>
      <c r="T5145" s="123" t="s">
        <v>6737</v>
      </c>
      <c r="U5145" s="48"/>
      <c r="V5145" s="48"/>
      <c r="W5145" s="48"/>
      <c r="X5145" s="50">
        <v>43466</v>
      </c>
      <c r="Y5145" s="73">
        <v>45473</v>
      </c>
    </row>
    <row r="5146" s="5" customFormat="1" customHeight="1" spans="1:25">
      <c r="A5146" s="24" t="s">
        <v>446</v>
      </c>
      <c r="B5146" s="24" t="s">
        <v>6300</v>
      </c>
      <c r="C5146" s="24" t="s">
        <v>3237</v>
      </c>
      <c r="D5146" s="22" t="s">
        <v>6301</v>
      </c>
      <c r="E5146" s="23" t="s">
        <v>6697</v>
      </c>
      <c r="F5146" s="24" t="s">
        <v>6711</v>
      </c>
      <c r="G5146" s="24" t="s">
        <v>88</v>
      </c>
      <c r="H5146" s="25" t="s">
        <v>6736</v>
      </c>
      <c r="I5146" s="46" t="e">
        <f>VLOOKUP(H5146,'合同高级查询数据-4月返'!A:A,1,FALSE)</f>
        <v>#N/A</v>
      </c>
      <c r="J5146" s="47" t="s">
        <v>90</v>
      </c>
      <c r="K5146" s="24" t="s">
        <v>6674</v>
      </c>
      <c r="L5146" s="109"/>
      <c r="M5146" s="49" t="s">
        <v>6709</v>
      </c>
      <c r="N5146" s="73">
        <v>43283</v>
      </c>
      <c r="O5146" s="73" t="s">
        <v>503</v>
      </c>
      <c r="P5146" s="52">
        <v>5980</v>
      </c>
      <c r="Q5146" s="70">
        <v>6</v>
      </c>
      <c r="R5146" s="52">
        <f t="shared" si="164"/>
        <v>35880</v>
      </c>
      <c r="S5146" s="47">
        <v>202304</v>
      </c>
      <c r="T5146" s="123" t="s">
        <v>6737</v>
      </c>
      <c r="U5146" s="48"/>
      <c r="V5146" s="48"/>
      <c r="W5146" s="48"/>
      <c r="X5146" s="50">
        <v>43466</v>
      </c>
      <c r="Y5146" s="73">
        <v>45473</v>
      </c>
    </row>
    <row r="5147" s="5" customFormat="1" customHeight="1" spans="1:25">
      <c r="A5147" s="24" t="s">
        <v>446</v>
      </c>
      <c r="B5147" s="24" t="s">
        <v>6300</v>
      </c>
      <c r="C5147" s="24" t="s">
        <v>3237</v>
      </c>
      <c r="D5147" s="22" t="s">
        <v>6301</v>
      </c>
      <c r="E5147" s="23" t="s">
        <v>6697</v>
      </c>
      <c r="F5147" s="24" t="s">
        <v>6711</v>
      </c>
      <c r="G5147" s="24" t="s">
        <v>88</v>
      </c>
      <c r="H5147" s="25" t="s">
        <v>6736</v>
      </c>
      <c r="I5147" s="46" t="e">
        <f>VLOOKUP(H5147,'合同高级查询数据-4月返'!A:A,1,FALSE)</f>
        <v>#N/A</v>
      </c>
      <c r="J5147" s="47" t="s">
        <v>90</v>
      </c>
      <c r="K5147" s="24" t="s">
        <v>6674</v>
      </c>
      <c r="L5147" s="109"/>
      <c r="M5147" s="49" t="s">
        <v>6709</v>
      </c>
      <c r="N5147" s="73">
        <v>43287</v>
      </c>
      <c r="O5147" s="73" t="s">
        <v>503</v>
      </c>
      <c r="P5147" s="52">
        <v>5980</v>
      </c>
      <c r="Q5147" s="70">
        <v>1</v>
      </c>
      <c r="R5147" s="52">
        <f t="shared" si="164"/>
        <v>5980</v>
      </c>
      <c r="S5147" s="47">
        <v>202304</v>
      </c>
      <c r="T5147" s="123" t="s">
        <v>6737</v>
      </c>
      <c r="U5147" s="48"/>
      <c r="V5147" s="48"/>
      <c r="W5147" s="48"/>
      <c r="X5147" s="50">
        <v>43466</v>
      </c>
      <c r="Y5147" s="73">
        <v>45473</v>
      </c>
    </row>
    <row r="5148" s="5" customFormat="1" customHeight="1" spans="1:25">
      <c r="A5148" s="24" t="s">
        <v>446</v>
      </c>
      <c r="B5148" s="24" t="s">
        <v>6300</v>
      </c>
      <c r="C5148" s="24" t="s">
        <v>3237</v>
      </c>
      <c r="D5148" s="22" t="s">
        <v>6301</v>
      </c>
      <c r="E5148" s="23" t="s">
        <v>6697</v>
      </c>
      <c r="F5148" s="24" t="s">
        <v>6711</v>
      </c>
      <c r="G5148" s="24" t="s">
        <v>88</v>
      </c>
      <c r="H5148" s="25" t="s">
        <v>6736</v>
      </c>
      <c r="I5148" s="46" t="e">
        <f>VLOOKUP(H5148,'合同高级查询数据-4月返'!A:A,1,FALSE)</f>
        <v>#N/A</v>
      </c>
      <c r="J5148" s="47" t="s">
        <v>90</v>
      </c>
      <c r="K5148" s="24" t="s">
        <v>6674</v>
      </c>
      <c r="L5148" s="109"/>
      <c r="M5148" s="49" t="s">
        <v>6709</v>
      </c>
      <c r="N5148" s="73">
        <v>43293</v>
      </c>
      <c r="O5148" s="73" t="s">
        <v>503</v>
      </c>
      <c r="P5148" s="52">
        <v>5980</v>
      </c>
      <c r="Q5148" s="70">
        <v>2</v>
      </c>
      <c r="R5148" s="52">
        <f t="shared" si="164"/>
        <v>11960</v>
      </c>
      <c r="S5148" s="47">
        <v>202304</v>
      </c>
      <c r="T5148" s="123" t="s">
        <v>6737</v>
      </c>
      <c r="U5148" s="48"/>
      <c r="V5148" s="48"/>
      <c r="W5148" s="48"/>
      <c r="X5148" s="50">
        <v>43466</v>
      </c>
      <c r="Y5148" s="73">
        <v>45473</v>
      </c>
    </row>
    <row r="5149" s="5" customFormat="1" customHeight="1" spans="1:25">
      <c r="A5149" s="24" t="s">
        <v>446</v>
      </c>
      <c r="B5149" s="24" t="s">
        <v>6300</v>
      </c>
      <c r="C5149" s="24" t="s">
        <v>3237</v>
      </c>
      <c r="D5149" s="22" t="s">
        <v>6301</v>
      </c>
      <c r="E5149" s="23" t="s">
        <v>6697</v>
      </c>
      <c r="F5149" s="24" t="s">
        <v>6711</v>
      </c>
      <c r="G5149" s="24" t="s">
        <v>88</v>
      </c>
      <c r="H5149" s="25" t="s">
        <v>6736</v>
      </c>
      <c r="I5149" s="46" t="e">
        <f>VLOOKUP(H5149,'合同高级查询数据-4月返'!A:A,1,FALSE)</f>
        <v>#N/A</v>
      </c>
      <c r="J5149" s="47" t="s">
        <v>90</v>
      </c>
      <c r="K5149" s="24" t="s">
        <v>6674</v>
      </c>
      <c r="L5149" s="109"/>
      <c r="M5149" s="49" t="s">
        <v>6709</v>
      </c>
      <c r="N5149" s="73">
        <v>43321</v>
      </c>
      <c r="O5149" s="73" t="s">
        <v>503</v>
      </c>
      <c r="P5149" s="52">
        <v>5980</v>
      </c>
      <c r="Q5149" s="70">
        <v>2</v>
      </c>
      <c r="R5149" s="52">
        <f t="shared" si="164"/>
        <v>11960</v>
      </c>
      <c r="S5149" s="47">
        <v>202304</v>
      </c>
      <c r="T5149" s="123" t="s">
        <v>6737</v>
      </c>
      <c r="U5149" s="48"/>
      <c r="V5149" s="48"/>
      <c r="W5149" s="48"/>
      <c r="X5149" s="50">
        <v>43466</v>
      </c>
      <c r="Y5149" s="73">
        <v>45473</v>
      </c>
    </row>
    <row r="5150" s="5" customFormat="1" customHeight="1" spans="1:25">
      <c r="A5150" s="24" t="s">
        <v>446</v>
      </c>
      <c r="B5150" s="24" t="s">
        <v>6300</v>
      </c>
      <c r="C5150" s="24" t="s">
        <v>3237</v>
      </c>
      <c r="D5150" s="22" t="s">
        <v>6301</v>
      </c>
      <c r="E5150" s="23" t="s">
        <v>6697</v>
      </c>
      <c r="F5150" s="24" t="s">
        <v>6711</v>
      </c>
      <c r="G5150" s="24" t="s">
        <v>88</v>
      </c>
      <c r="H5150" s="25" t="s">
        <v>6736</v>
      </c>
      <c r="I5150" s="46" t="e">
        <f>VLOOKUP(H5150,'合同高级查询数据-4月返'!A:A,1,FALSE)</f>
        <v>#N/A</v>
      </c>
      <c r="J5150" s="47" t="s">
        <v>90</v>
      </c>
      <c r="K5150" s="24" t="s">
        <v>6674</v>
      </c>
      <c r="L5150" s="109"/>
      <c r="M5150" s="49" t="s">
        <v>6709</v>
      </c>
      <c r="N5150" s="73">
        <v>43322</v>
      </c>
      <c r="O5150" s="73" t="s">
        <v>503</v>
      </c>
      <c r="P5150" s="52">
        <v>5980</v>
      </c>
      <c r="Q5150" s="70">
        <v>1</v>
      </c>
      <c r="R5150" s="52">
        <f t="shared" si="164"/>
        <v>5980</v>
      </c>
      <c r="S5150" s="47">
        <v>202304</v>
      </c>
      <c r="T5150" s="123" t="s">
        <v>6737</v>
      </c>
      <c r="U5150" s="48"/>
      <c r="V5150" s="48"/>
      <c r="W5150" s="48"/>
      <c r="X5150" s="50">
        <v>43466</v>
      </c>
      <c r="Y5150" s="73">
        <v>45473</v>
      </c>
    </row>
    <row r="5151" s="5" customFormat="1" customHeight="1" spans="1:25">
      <c r="A5151" s="24" t="s">
        <v>446</v>
      </c>
      <c r="B5151" s="24" t="s">
        <v>6300</v>
      </c>
      <c r="C5151" s="24" t="s">
        <v>3237</v>
      </c>
      <c r="D5151" s="22" t="s">
        <v>6301</v>
      </c>
      <c r="E5151" s="23" t="s">
        <v>6697</v>
      </c>
      <c r="F5151" s="24" t="s">
        <v>6711</v>
      </c>
      <c r="G5151" s="24" t="s">
        <v>88</v>
      </c>
      <c r="H5151" s="25" t="s">
        <v>6736</v>
      </c>
      <c r="I5151" s="46" t="e">
        <f>VLOOKUP(H5151,'合同高级查询数据-4月返'!A:A,1,FALSE)</f>
        <v>#N/A</v>
      </c>
      <c r="J5151" s="47" t="s">
        <v>90</v>
      </c>
      <c r="K5151" s="24" t="s">
        <v>6674</v>
      </c>
      <c r="L5151" s="109"/>
      <c r="M5151" s="49" t="s">
        <v>6709</v>
      </c>
      <c r="N5151" s="73">
        <v>43326</v>
      </c>
      <c r="O5151" s="73" t="s">
        <v>503</v>
      </c>
      <c r="P5151" s="52">
        <v>5980</v>
      </c>
      <c r="Q5151" s="70">
        <v>7</v>
      </c>
      <c r="R5151" s="52">
        <f t="shared" si="164"/>
        <v>41860</v>
      </c>
      <c r="S5151" s="47">
        <v>202304</v>
      </c>
      <c r="T5151" s="123" t="s">
        <v>6737</v>
      </c>
      <c r="U5151" s="48"/>
      <c r="V5151" s="48"/>
      <c r="W5151" s="48"/>
      <c r="X5151" s="50">
        <v>43466</v>
      </c>
      <c r="Y5151" s="73">
        <v>45473</v>
      </c>
    </row>
    <row r="5152" s="5" customFormat="1" customHeight="1" spans="1:25">
      <c r="A5152" s="24" t="s">
        <v>446</v>
      </c>
      <c r="B5152" s="24" t="s">
        <v>6300</v>
      </c>
      <c r="C5152" s="24" t="s">
        <v>3237</v>
      </c>
      <c r="D5152" s="22" t="s">
        <v>6301</v>
      </c>
      <c r="E5152" s="23" t="s">
        <v>6697</v>
      </c>
      <c r="F5152" s="24" t="s">
        <v>6711</v>
      </c>
      <c r="G5152" s="24" t="s">
        <v>88</v>
      </c>
      <c r="H5152" s="25" t="s">
        <v>6736</v>
      </c>
      <c r="I5152" s="46" t="e">
        <f>VLOOKUP(H5152,'合同高级查询数据-4月返'!A:A,1,FALSE)</f>
        <v>#N/A</v>
      </c>
      <c r="J5152" s="47" t="s">
        <v>90</v>
      </c>
      <c r="K5152" s="24" t="s">
        <v>6674</v>
      </c>
      <c r="L5152" s="109"/>
      <c r="M5152" s="49" t="s">
        <v>6709</v>
      </c>
      <c r="N5152" s="73">
        <v>43326</v>
      </c>
      <c r="O5152" s="73" t="s">
        <v>503</v>
      </c>
      <c r="P5152" s="52">
        <v>5980</v>
      </c>
      <c r="Q5152" s="70">
        <v>1</v>
      </c>
      <c r="R5152" s="52">
        <f t="shared" si="164"/>
        <v>5980</v>
      </c>
      <c r="S5152" s="47">
        <v>202304</v>
      </c>
      <c r="T5152" s="123" t="s">
        <v>6737</v>
      </c>
      <c r="U5152" s="48"/>
      <c r="V5152" s="48"/>
      <c r="W5152" s="48"/>
      <c r="X5152" s="50">
        <v>43466</v>
      </c>
      <c r="Y5152" s="73">
        <v>45473</v>
      </c>
    </row>
    <row r="5153" s="5" customFormat="1" customHeight="1" spans="1:25">
      <c r="A5153" s="24" t="s">
        <v>446</v>
      </c>
      <c r="B5153" s="24" t="s">
        <v>6300</v>
      </c>
      <c r="C5153" s="24" t="s">
        <v>3237</v>
      </c>
      <c r="D5153" s="22" t="s">
        <v>6301</v>
      </c>
      <c r="E5153" s="23" t="s">
        <v>6697</v>
      </c>
      <c r="F5153" s="24" t="s">
        <v>6711</v>
      </c>
      <c r="G5153" s="24" t="s">
        <v>88</v>
      </c>
      <c r="H5153" s="25" t="s">
        <v>6736</v>
      </c>
      <c r="I5153" s="46" t="e">
        <f>VLOOKUP(H5153,'合同高级查询数据-4月返'!A:A,1,FALSE)</f>
        <v>#N/A</v>
      </c>
      <c r="J5153" s="47" t="s">
        <v>90</v>
      </c>
      <c r="K5153" s="24" t="s">
        <v>6674</v>
      </c>
      <c r="L5153" s="109"/>
      <c r="M5153" s="49" t="s">
        <v>6709</v>
      </c>
      <c r="N5153" s="73">
        <v>43334</v>
      </c>
      <c r="O5153" s="73" t="s">
        <v>1746</v>
      </c>
      <c r="P5153" s="52">
        <v>9568</v>
      </c>
      <c r="Q5153" s="70">
        <v>4</v>
      </c>
      <c r="R5153" s="52">
        <f t="shared" si="164"/>
        <v>38272</v>
      </c>
      <c r="S5153" s="47">
        <v>202304</v>
      </c>
      <c r="T5153" s="123" t="s">
        <v>6740</v>
      </c>
      <c r="U5153" s="48"/>
      <c r="V5153" s="48"/>
      <c r="W5153" s="48"/>
      <c r="X5153" s="50">
        <v>43466</v>
      </c>
      <c r="Y5153" s="73">
        <v>45473</v>
      </c>
    </row>
    <row r="5154" s="5" customFormat="1" customHeight="1" spans="1:25">
      <c r="A5154" s="24" t="s">
        <v>446</v>
      </c>
      <c r="B5154" s="24" t="s">
        <v>6300</v>
      </c>
      <c r="C5154" s="24" t="s">
        <v>3237</v>
      </c>
      <c r="D5154" s="22" t="s">
        <v>6301</v>
      </c>
      <c r="E5154" s="23" t="s">
        <v>6697</v>
      </c>
      <c r="F5154" s="24" t="s">
        <v>6711</v>
      </c>
      <c r="G5154" s="24" t="s">
        <v>88</v>
      </c>
      <c r="H5154" s="25" t="s">
        <v>6736</v>
      </c>
      <c r="I5154" s="46" t="e">
        <f>VLOOKUP(H5154,'合同高级查询数据-4月返'!A:A,1,FALSE)</f>
        <v>#N/A</v>
      </c>
      <c r="J5154" s="47" t="s">
        <v>90</v>
      </c>
      <c r="K5154" s="24" t="s">
        <v>6674</v>
      </c>
      <c r="L5154" s="109"/>
      <c r="M5154" s="49" t="s">
        <v>6709</v>
      </c>
      <c r="N5154" s="73">
        <v>43351</v>
      </c>
      <c r="O5154" s="73" t="s">
        <v>503</v>
      </c>
      <c r="P5154" s="52">
        <v>5980</v>
      </c>
      <c r="Q5154" s="70">
        <v>8</v>
      </c>
      <c r="R5154" s="52">
        <f t="shared" si="164"/>
        <v>47840</v>
      </c>
      <c r="S5154" s="47">
        <v>202304</v>
      </c>
      <c r="T5154" s="123" t="s">
        <v>6737</v>
      </c>
      <c r="U5154" s="48"/>
      <c r="V5154" s="48"/>
      <c r="W5154" s="48"/>
      <c r="X5154" s="50">
        <v>43466</v>
      </c>
      <c r="Y5154" s="73">
        <v>45473</v>
      </c>
    </row>
    <row r="5155" s="5" customFormat="1" customHeight="1" spans="1:25">
      <c r="A5155" s="24" t="s">
        <v>446</v>
      </c>
      <c r="B5155" s="24" t="s">
        <v>6300</v>
      </c>
      <c r="C5155" s="24" t="s">
        <v>3237</v>
      </c>
      <c r="D5155" s="22" t="s">
        <v>6301</v>
      </c>
      <c r="E5155" s="23" t="s">
        <v>6697</v>
      </c>
      <c r="F5155" s="24" t="s">
        <v>6711</v>
      </c>
      <c r="G5155" s="24" t="s">
        <v>88</v>
      </c>
      <c r="H5155" s="25" t="s">
        <v>6736</v>
      </c>
      <c r="I5155" s="46" t="e">
        <f>VLOOKUP(H5155,'合同高级查询数据-4月返'!A:A,1,FALSE)</f>
        <v>#N/A</v>
      </c>
      <c r="J5155" s="47" t="s">
        <v>90</v>
      </c>
      <c r="K5155" s="24" t="s">
        <v>6674</v>
      </c>
      <c r="L5155" s="109"/>
      <c r="M5155" s="49" t="s">
        <v>6709</v>
      </c>
      <c r="N5155" s="73">
        <v>43351</v>
      </c>
      <c r="O5155" s="73" t="s">
        <v>1746</v>
      </c>
      <c r="P5155" s="52">
        <v>9568</v>
      </c>
      <c r="Q5155" s="70">
        <v>1</v>
      </c>
      <c r="R5155" s="52">
        <f t="shared" si="164"/>
        <v>9568</v>
      </c>
      <c r="S5155" s="47">
        <v>202304</v>
      </c>
      <c r="T5155" s="123" t="s">
        <v>6740</v>
      </c>
      <c r="U5155" s="48"/>
      <c r="V5155" s="48"/>
      <c r="W5155" s="48"/>
      <c r="X5155" s="50">
        <v>43466</v>
      </c>
      <c r="Y5155" s="73">
        <v>45473</v>
      </c>
    </row>
    <row r="5156" s="5" customFormat="1" customHeight="1" spans="1:25">
      <c r="A5156" s="24" t="s">
        <v>446</v>
      </c>
      <c r="B5156" s="24" t="s">
        <v>6300</v>
      </c>
      <c r="C5156" s="24" t="s">
        <v>3237</v>
      </c>
      <c r="D5156" s="22" t="s">
        <v>6301</v>
      </c>
      <c r="E5156" s="23" t="s">
        <v>6697</v>
      </c>
      <c r="F5156" s="24" t="s">
        <v>6711</v>
      </c>
      <c r="G5156" s="24" t="s">
        <v>88</v>
      </c>
      <c r="H5156" s="25" t="s">
        <v>6736</v>
      </c>
      <c r="I5156" s="46" t="e">
        <f>VLOOKUP(H5156,'合同高级查询数据-4月返'!A:A,1,FALSE)</f>
        <v>#N/A</v>
      </c>
      <c r="J5156" s="47" t="s">
        <v>90</v>
      </c>
      <c r="K5156" s="24" t="s">
        <v>6674</v>
      </c>
      <c r="L5156" s="109"/>
      <c r="M5156" s="49" t="s">
        <v>6709</v>
      </c>
      <c r="N5156" s="73">
        <v>43355</v>
      </c>
      <c r="O5156" s="73" t="s">
        <v>503</v>
      </c>
      <c r="P5156" s="52">
        <v>5980</v>
      </c>
      <c r="Q5156" s="70">
        <v>5</v>
      </c>
      <c r="R5156" s="52">
        <f t="shared" si="164"/>
        <v>29900</v>
      </c>
      <c r="S5156" s="47">
        <v>202304</v>
      </c>
      <c r="T5156" s="123" t="s">
        <v>6737</v>
      </c>
      <c r="U5156" s="48"/>
      <c r="V5156" s="48"/>
      <c r="W5156" s="48"/>
      <c r="X5156" s="50">
        <v>43466</v>
      </c>
      <c r="Y5156" s="73">
        <v>45473</v>
      </c>
    </row>
    <row r="5157" s="5" customFormat="1" customHeight="1" spans="1:25">
      <c r="A5157" s="24" t="s">
        <v>446</v>
      </c>
      <c r="B5157" s="24" t="s">
        <v>6300</v>
      </c>
      <c r="C5157" s="24" t="s">
        <v>3237</v>
      </c>
      <c r="D5157" s="22" t="s">
        <v>6301</v>
      </c>
      <c r="E5157" s="23" t="s">
        <v>6697</v>
      </c>
      <c r="F5157" s="24" t="s">
        <v>6711</v>
      </c>
      <c r="G5157" s="24" t="s">
        <v>88</v>
      </c>
      <c r="H5157" s="25" t="s">
        <v>6736</v>
      </c>
      <c r="I5157" s="46" t="e">
        <f>VLOOKUP(H5157,'合同高级查询数据-4月返'!A:A,1,FALSE)</f>
        <v>#N/A</v>
      </c>
      <c r="J5157" s="47" t="s">
        <v>90</v>
      </c>
      <c r="K5157" s="24" t="s">
        <v>6674</v>
      </c>
      <c r="L5157" s="109"/>
      <c r="M5157" s="49" t="s">
        <v>6709</v>
      </c>
      <c r="N5157" s="73">
        <v>43364</v>
      </c>
      <c r="O5157" s="73" t="s">
        <v>503</v>
      </c>
      <c r="P5157" s="52">
        <v>5980</v>
      </c>
      <c r="Q5157" s="70">
        <v>1</v>
      </c>
      <c r="R5157" s="52">
        <f t="shared" si="164"/>
        <v>5980</v>
      </c>
      <c r="S5157" s="47">
        <v>202304</v>
      </c>
      <c r="T5157" s="123" t="s">
        <v>6737</v>
      </c>
      <c r="U5157" s="48"/>
      <c r="V5157" s="48"/>
      <c r="W5157" s="48"/>
      <c r="X5157" s="50">
        <v>43466</v>
      </c>
      <c r="Y5157" s="73">
        <v>45473</v>
      </c>
    </row>
    <row r="5158" s="5" customFormat="1" customHeight="1" spans="1:25">
      <c r="A5158" s="24" t="s">
        <v>446</v>
      </c>
      <c r="B5158" s="24" t="s">
        <v>6300</v>
      </c>
      <c r="C5158" s="24" t="s">
        <v>3237</v>
      </c>
      <c r="D5158" s="22" t="s">
        <v>6301</v>
      </c>
      <c r="E5158" s="23" t="s">
        <v>6697</v>
      </c>
      <c r="F5158" s="24" t="s">
        <v>6711</v>
      </c>
      <c r="G5158" s="24" t="s">
        <v>88</v>
      </c>
      <c r="H5158" s="25" t="s">
        <v>6736</v>
      </c>
      <c r="I5158" s="46" t="e">
        <f>VLOOKUP(H5158,'合同高级查询数据-4月返'!A:A,1,FALSE)</f>
        <v>#N/A</v>
      </c>
      <c r="J5158" s="47" t="s">
        <v>90</v>
      </c>
      <c r="K5158" s="24" t="s">
        <v>6674</v>
      </c>
      <c r="L5158" s="109"/>
      <c r="M5158" s="49" t="s">
        <v>6709</v>
      </c>
      <c r="N5158" s="73">
        <v>43369</v>
      </c>
      <c r="O5158" s="73" t="s">
        <v>503</v>
      </c>
      <c r="P5158" s="52">
        <v>5980</v>
      </c>
      <c r="Q5158" s="70">
        <v>4</v>
      </c>
      <c r="R5158" s="52">
        <f t="shared" si="164"/>
        <v>23920</v>
      </c>
      <c r="S5158" s="47">
        <v>202304</v>
      </c>
      <c r="T5158" s="123" t="s">
        <v>6745</v>
      </c>
      <c r="U5158" s="48"/>
      <c r="V5158" s="48"/>
      <c r="W5158" s="48"/>
      <c r="X5158" s="50">
        <v>43466</v>
      </c>
      <c r="Y5158" s="73">
        <v>45473</v>
      </c>
    </row>
    <row r="5159" s="5" customFormat="1" customHeight="1" spans="1:25">
      <c r="A5159" s="24" t="s">
        <v>446</v>
      </c>
      <c r="B5159" s="24" t="s">
        <v>6300</v>
      </c>
      <c r="C5159" s="24" t="s">
        <v>3237</v>
      </c>
      <c r="D5159" s="22" t="s">
        <v>6301</v>
      </c>
      <c r="E5159" s="23" t="s">
        <v>6697</v>
      </c>
      <c r="F5159" s="24" t="s">
        <v>6711</v>
      </c>
      <c r="G5159" s="24" t="s">
        <v>88</v>
      </c>
      <c r="H5159" s="25" t="s">
        <v>6736</v>
      </c>
      <c r="I5159" s="46" t="e">
        <f>VLOOKUP(H5159,'合同高级查询数据-4月返'!A:A,1,FALSE)</f>
        <v>#N/A</v>
      </c>
      <c r="J5159" s="47" t="s">
        <v>90</v>
      </c>
      <c r="K5159" s="24" t="s">
        <v>6674</v>
      </c>
      <c r="L5159" s="109"/>
      <c r="M5159" s="49" t="s">
        <v>6709</v>
      </c>
      <c r="N5159" s="73">
        <v>43371</v>
      </c>
      <c r="O5159" s="73" t="s">
        <v>503</v>
      </c>
      <c r="P5159" s="52">
        <v>5980</v>
      </c>
      <c r="Q5159" s="70">
        <v>1</v>
      </c>
      <c r="R5159" s="52">
        <f t="shared" si="164"/>
        <v>5980</v>
      </c>
      <c r="S5159" s="47">
        <v>202304</v>
      </c>
      <c r="T5159" s="123" t="s">
        <v>6746</v>
      </c>
      <c r="U5159" s="48"/>
      <c r="V5159" s="48"/>
      <c r="W5159" s="48"/>
      <c r="X5159" s="50">
        <v>43466</v>
      </c>
      <c r="Y5159" s="73">
        <v>45473</v>
      </c>
    </row>
    <row r="5160" s="5" customFormat="1" customHeight="1" spans="1:25">
      <c r="A5160" s="24" t="s">
        <v>446</v>
      </c>
      <c r="B5160" s="24" t="s">
        <v>6300</v>
      </c>
      <c r="C5160" s="24" t="s">
        <v>3237</v>
      </c>
      <c r="D5160" s="22" t="s">
        <v>6301</v>
      </c>
      <c r="E5160" s="23" t="s">
        <v>6697</v>
      </c>
      <c r="F5160" s="24" t="s">
        <v>6711</v>
      </c>
      <c r="G5160" s="24" t="s">
        <v>88</v>
      </c>
      <c r="H5160" s="25" t="s">
        <v>6736</v>
      </c>
      <c r="I5160" s="46" t="e">
        <f>VLOOKUP(H5160,'合同高级查询数据-4月返'!A:A,1,FALSE)</f>
        <v>#N/A</v>
      </c>
      <c r="J5160" s="47" t="s">
        <v>90</v>
      </c>
      <c r="K5160" s="24" t="s">
        <v>6674</v>
      </c>
      <c r="L5160" s="109"/>
      <c r="M5160" s="49" t="s">
        <v>6709</v>
      </c>
      <c r="N5160" s="73">
        <v>43426</v>
      </c>
      <c r="O5160" s="73" t="s">
        <v>1746</v>
      </c>
      <c r="P5160" s="52">
        <v>9568</v>
      </c>
      <c r="Q5160" s="70">
        <v>1</v>
      </c>
      <c r="R5160" s="52">
        <f t="shared" si="164"/>
        <v>9568</v>
      </c>
      <c r="S5160" s="47">
        <v>202304</v>
      </c>
      <c r="T5160" s="123" t="s">
        <v>6747</v>
      </c>
      <c r="U5160" s="48"/>
      <c r="V5160" s="48"/>
      <c r="W5160" s="48"/>
      <c r="X5160" s="50">
        <v>43466</v>
      </c>
      <c r="Y5160" s="73">
        <v>45473</v>
      </c>
    </row>
    <row r="5161" s="5" customFormat="1" customHeight="1" spans="1:25">
      <c r="A5161" s="24" t="s">
        <v>446</v>
      </c>
      <c r="B5161" s="24" t="s">
        <v>6300</v>
      </c>
      <c r="C5161" s="24" t="s">
        <v>3237</v>
      </c>
      <c r="D5161" s="22" t="s">
        <v>6301</v>
      </c>
      <c r="E5161" s="23" t="s">
        <v>6697</v>
      </c>
      <c r="F5161" s="24" t="s">
        <v>6711</v>
      </c>
      <c r="G5161" s="24" t="s">
        <v>88</v>
      </c>
      <c r="H5161" s="25" t="s">
        <v>6736</v>
      </c>
      <c r="I5161" s="46" t="e">
        <f>VLOOKUP(H5161,'合同高级查询数据-4月返'!A:A,1,FALSE)</f>
        <v>#N/A</v>
      </c>
      <c r="J5161" s="47" t="s">
        <v>90</v>
      </c>
      <c r="K5161" s="24" t="s">
        <v>6674</v>
      </c>
      <c r="L5161" s="109"/>
      <c r="M5161" s="49" t="s">
        <v>6709</v>
      </c>
      <c r="N5161" s="73">
        <v>43411</v>
      </c>
      <c r="O5161" s="73" t="s">
        <v>503</v>
      </c>
      <c r="P5161" s="52">
        <v>5980</v>
      </c>
      <c r="Q5161" s="70">
        <v>1</v>
      </c>
      <c r="R5161" s="52">
        <f t="shared" si="164"/>
        <v>5980</v>
      </c>
      <c r="S5161" s="47">
        <v>202304</v>
      </c>
      <c r="T5161" s="123" t="s">
        <v>6748</v>
      </c>
      <c r="U5161" s="48"/>
      <c r="V5161" s="48"/>
      <c r="W5161" s="48"/>
      <c r="X5161" s="50">
        <v>43466</v>
      </c>
      <c r="Y5161" s="73">
        <v>45473</v>
      </c>
    </row>
    <row r="5162" s="5" customFormat="1" customHeight="1" spans="1:25">
      <c r="A5162" s="24" t="s">
        <v>446</v>
      </c>
      <c r="B5162" s="24" t="s">
        <v>6300</v>
      </c>
      <c r="C5162" s="24" t="s">
        <v>3237</v>
      </c>
      <c r="D5162" s="22" t="s">
        <v>6301</v>
      </c>
      <c r="E5162" s="23" t="s">
        <v>6697</v>
      </c>
      <c r="F5162" s="24" t="s">
        <v>6711</v>
      </c>
      <c r="G5162" s="24" t="s">
        <v>88</v>
      </c>
      <c r="H5162" s="25" t="s">
        <v>6736</v>
      </c>
      <c r="I5162" s="46" t="e">
        <f>VLOOKUP(H5162,'合同高级查询数据-4月返'!A:A,1,FALSE)</f>
        <v>#N/A</v>
      </c>
      <c r="J5162" s="47" t="s">
        <v>90</v>
      </c>
      <c r="K5162" s="24" t="s">
        <v>6674</v>
      </c>
      <c r="L5162" s="109"/>
      <c r="M5162" s="49" t="s">
        <v>6709</v>
      </c>
      <c r="N5162" s="73">
        <v>43423</v>
      </c>
      <c r="O5162" s="73" t="s">
        <v>503</v>
      </c>
      <c r="P5162" s="52">
        <v>5980</v>
      </c>
      <c r="Q5162" s="70">
        <v>1</v>
      </c>
      <c r="R5162" s="52">
        <f t="shared" si="164"/>
        <v>5980</v>
      </c>
      <c r="S5162" s="47">
        <v>202304</v>
      </c>
      <c r="T5162" s="123" t="s">
        <v>6749</v>
      </c>
      <c r="U5162" s="48"/>
      <c r="V5162" s="48"/>
      <c r="W5162" s="48"/>
      <c r="X5162" s="50">
        <v>43466</v>
      </c>
      <c r="Y5162" s="73">
        <v>45473</v>
      </c>
    </row>
    <row r="5163" s="5" customFormat="1" customHeight="1" spans="1:25">
      <c r="A5163" s="24" t="s">
        <v>446</v>
      </c>
      <c r="B5163" s="24" t="s">
        <v>6300</v>
      </c>
      <c r="C5163" s="24" t="s">
        <v>3237</v>
      </c>
      <c r="D5163" s="22" t="s">
        <v>6301</v>
      </c>
      <c r="E5163" s="23" t="s">
        <v>6697</v>
      </c>
      <c r="F5163" s="24" t="s">
        <v>6711</v>
      </c>
      <c r="G5163" s="24" t="s">
        <v>88</v>
      </c>
      <c r="H5163" s="25" t="s">
        <v>6736</v>
      </c>
      <c r="I5163" s="46" t="e">
        <f>VLOOKUP(H5163,'合同高级查询数据-4月返'!A:A,1,FALSE)</f>
        <v>#N/A</v>
      </c>
      <c r="J5163" s="47" t="s">
        <v>90</v>
      </c>
      <c r="K5163" s="24" t="s">
        <v>6674</v>
      </c>
      <c r="L5163" s="109"/>
      <c r="M5163" s="49" t="s">
        <v>6709</v>
      </c>
      <c r="N5163" s="73">
        <v>43649</v>
      </c>
      <c r="O5163" s="73" t="s">
        <v>503</v>
      </c>
      <c r="P5163" s="52">
        <v>5980</v>
      </c>
      <c r="Q5163" s="70">
        <v>5</v>
      </c>
      <c r="R5163" s="52">
        <f t="shared" si="164"/>
        <v>29900</v>
      </c>
      <c r="S5163" s="47">
        <v>202304</v>
      </c>
      <c r="T5163" s="123" t="s">
        <v>6750</v>
      </c>
      <c r="U5163" s="48"/>
      <c r="V5163" s="48"/>
      <c r="W5163" s="48"/>
      <c r="X5163" s="50">
        <v>43466</v>
      </c>
      <c r="Y5163" s="73">
        <v>45473</v>
      </c>
    </row>
    <row r="5164" s="5" customFormat="1" customHeight="1" spans="1:25">
      <c r="A5164" s="24" t="s">
        <v>446</v>
      </c>
      <c r="B5164" s="24" t="s">
        <v>6300</v>
      </c>
      <c r="C5164" s="24" t="s">
        <v>3237</v>
      </c>
      <c r="D5164" s="22" t="s">
        <v>6301</v>
      </c>
      <c r="E5164" s="23" t="s">
        <v>6697</v>
      </c>
      <c r="F5164" s="24" t="s">
        <v>6711</v>
      </c>
      <c r="G5164" s="24" t="s">
        <v>88</v>
      </c>
      <c r="H5164" s="25" t="s">
        <v>6736</v>
      </c>
      <c r="I5164" s="46" t="e">
        <f>VLOOKUP(H5164,'合同高级查询数据-4月返'!A:A,1,FALSE)</f>
        <v>#N/A</v>
      </c>
      <c r="J5164" s="47" t="s">
        <v>90</v>
      </c>
      <c r="K5164" s="24" t="s">
        <v>6674</v>
      </c>
      <c r="L5164" s="109"/>
      <c r="M5164" s="49" t="s">
        <v>6709</v>
      </c>
      <c r="N5164" s="73">
        <v>44042</v>
      </c>
      <c r="O5164" s="451" t="s">
        <v>6738</v>
      </c>
      <c r="P5164" s="52">
        <v>8162.7</v>
      </c>
      <c r="Q5164" s="70">
        <v>2</v>
      </c>
      <c r="R5164" s="52">
        <f t="shared" si="164"/>
        <v>16325.4</v>
      </c>
      <c r="S5164" s="47">
        <v>202304</v>
      </c>
      <c r="T5164" s="123" t="s">
        <v>6751</v>
      </c>
      <c r="U5164" s="48"/>
      <c r="V5164" s="48"/>
      <c r="W5164" s="48"/>
      <c r="X5164" s="50">
        <v>43466</v>
      </c>
      <c r="Y5164" s="73">
        <v>45473</v>
      </c>
    </row>
    <row r="5165" s="5" customFormat="1" customHeight="1" spans="1:25">
      <c r="A5165" s="24" t="s">
        <v>446</v>
      </c>
      <c r="B5165" s="24" t="s">
        <v>6300</v>
      </c>
      <c r="C5165" s="24" t="s">
        <v>3237</v>
      </c>
      <c r="D5165" s="22" t="s">
        <v>6301</v>
      </c>
      <c r="E5165" s="23" t="s">
        <v>6697</v>
      </c>
      <c r="F5165" s="24" t="s">
        <v>6711</v>
      </c>
      <c r="G5165" s="24" t="s">
        <v>88</v>
      </c>
      <c r="H5165" s="25" t="s">
        <v>6736</v>
      </c>
      <c r="I5165" s="46" t="e">
        <f>VLOOKUP(H5165,'合同高级查询数据-4月返'!A:A,1,FALSE)</f>
        <v>#N/A</v>
      </c>
      <c r="J5165" s="47" t="s">
        <v>90</v>
      </c>
      <c r="K5165" s="24" t="s">
        <v>6674</v>
      </c>
      <c r="L5165" s="109"/>
      <c r="M5165" s="49" t="s">
        <v>6709</v>
      </c>
      <c r="N5165" s="73">
        <v>44217</v>
      </c>
      <c r="O5165" s="451" t="s">
        <v>561</v>
      </c>
      <c r="P5165" s="52">
        <v>8162.7</v>
      </c>
      <c r="Q5165" s="70">
        <v>-2</v>
      </c>
      <c r="R5165" s="52">
        <f t="shared" si="164"/>
        <v>-16325.4</v>
      </c>
      <c r="S5165" s="47">
        <v>202304</v>
      </c>
      <c r="T5165" s="123" t="s">
        <v>6752</v>
      </c>
      <c r="U5165" s="48"/>
      <c r="V5165" s="48"/>
      <c r="W5165" s="48"/>
      <c r="X5165" s="50">
        <v>43466</v>
      </c>
      <c r="Y5165" s="73">
        <v>45473</v>
      </c>
    </row>
    <row r="5166" s="5" customFormat="1" customHeight="1" spans="1:25">
      <c r="A5166" s="24" t="s">
        <v>446</v>
      </c>
      <c r="B5166" s="24" t="s">
        <v>6300</v>
      </c>
      <c r="C5166" s="24" t="s">
        <v>3237</v>
      </c>
      <c r="D5166" s="22" t="s">
        <v>6301</v>
      </c>
      <c r="E5166" s="23" t="s">
        <v>6697</v>
      </c>
      <c r="F5166" s="24" t="s">
        <v>6711</v>
      </c>
      <c r="G5166" s="24" t="s">
        <v>88</v>
      </c>
      <c r="H5166" s="25" t="s">
        <v>6736</v>
      </c>
      <c r="I5166" s="46" t="e">
        <f>VLOOKUP(H5166,'合同高级查询数据-4月返'!A:A,1,FALSE)</f>
        <v>#N/A</v>
      </c>
      <c r="J5166" s="47" t="s">
        <v>90</v>
      </c>
      <c r="K5166" s="24" t="s">
        <v>6674</v>
      </c>
      <c r="L5166" s="109"/>
      <c r="M5166" s="49" t="s">
        <v>6709</v>
      </c>
      <c r="N5166" s="73">
        <v>44271</v>
      </c>
      <c r="O5166" s="451" t="s">
        <v>503</v>
      </c>
      <c r="P5166" s="52">
        <v>5980</v>
      </c>
      <c r="Q5166" s="70">
        <v>6</v>
      </c>
      <c r="R5166" s="52">
        <f t="shared" si="164"/>
        <v>35880</v>
      </c>
      <c r="S5166" s="47">
        <v>202304</v>
      </c>
      <c r="T5166" s="123" t="s">
        <v>6753</v>
      </c>
      <c r="U5166" s="48"/>
      <c r="V5166" s="48"/>
      <c r="W5166" s="48"/>
      <c r="X5166" s="50">
        <v>43466</v>
      </c>
      <c r="Y5166" s="73">
        <v>45473</v>
      </c>
    </row>
    <row r="5167" s="5" customFormat="1" customHeight="1" spans="1:25">
      <c r="A5167" s="24" t="s">
        <v>446</v>
      </c>
      <c r="B5167" s="24" t="s">
        <v>6300</v>
      </c>
      <c r="C5167" s="24" t="s">
        <v>3237</v>
      </c>
      <c r="D5167" s="22" t="s">
        <v>6301</v>
      </c>
      <c r="E5167" s="23" t="s">
        <v>6697</v>
      </c>
      <c r="F5167" s="24" t="s">
        <v>6711</v>
      </c>
      <c r="G5167" s="24" t="s">
        <v>88</v>
      </c>
      <c r="H5167" s="25" t="s">
        <v>6736</v>
      </c>
      <c r="I5167" s="46" t="e">
        <f>VLOOKUP(H5167,'合同高级查询数据-4月返'!A:A,1,FALSE)</f>
        <v>#N/A</v>
      </c>
      <c r="J5167" s="47" t="s">
        <v>90</v>
      </c>
      <c r="K5167" s="24" t="s">
        <v>6674</v>
      </c>
      <c r="L5167" s="109"/>
      <c r="M5167" s="49" t="s">
        <v>6709</v>
      </c>
      <c r="N5167" s="73">
        <v>44687</v>
      </c>
      <c r="O5167" s="451" t="s">
        <v>1746</v>
      </c>
      <c r="P5167" s="52">
        <v>9568</v>
      </c>
      <c r="Q5167" s="70">
        <v>1</v>
      </c>
      <c r="R5167" s="52">
        <f t="shared" si="164"/>
        <v>9568</v>
      </c>
      <c r="S5167" s="47">
        <v>202304</v>
      </c>
      <c r="T5167" s="123" t="s">
        <v>6754</v>
      </c>
      <c r="U5167" s="48"/>
      <c r="V5167" s="48"/>
      <c r="W5167" s="48"/>
      <c r="X5167" s="50">
        <v>43466</v>
      </c>
      <c r="Y5167" s="73">
        <v>45473</v>
      </c>
    </row>
    <row r="5168" s="5" customFormat="1" customHeight="1" spans="1:25">
      <c r="A5168" s="24" t="s">
        <v>446</v>
      </c>
      <c r="B5168" s="24" t="s">
        <v>6300</v>
      </c>
      <c r="C5168" s="24" t="s">
        <v>3237</v>
      </c>
      <c r="D5168" s="22" t="s">
        <v>6301</v>
      </c>
      <c r="E5168" s="23" t="s">
        <v>6697</v>
      </c>
      <c r="F5168" s="24" t="s">
        <v>6711</v>
      </c>
      <c r="G5168" s="24" t="s">
        <v>88</v>
      </c>
      <c r="H5168" s="25" t="s">
        <v>6736</v>
      </c>
      <c r="I5168" s="46" t="e">
        <f>VLOOKUP(H5168,'合同高级查询数据-4月返'!A:A,1,FALSE)</f>
        <v>#N/A</v>
      </c>
      <c r="J5168" s="47" t="s">
        <v>90</v>
      </c>
      <c r="K5168" s="24" t="s">
        <v>6674</v>
      </c>
      <c r="L5168" s="109"/>
      <c r="M5168" s="49" t="s">
        <v>6709</v>
      </c>
      <c r="N5168" s="73">
        <v>44704</v>
      </c>
      <c r="O5168" s="451" t="s">
        <v>503</v>
      </c>
      <c r="P5168" s="52">
        <v>5980</v>
      </c>
      <c r="Q5168" s="70">
        <v>1</v>
      </c>
      <c r="R5168" s="52">
        <f t="shared" si="164"/>
        <v>5980</v>
      </c>
      <c r="S5168" s="47">
        <v>202304</v>
      </c>
      <c r="T5168" s="123" t="s">
        <v>6755</v>
      </c>
      <c r="U5168" s="48"/>
      <c r="V5168" s="48"/>
      <c r="W5168" s="48"/>
      <c r="X5168" s="50">
        <v>43466</v>
      </c>
      <c r="Y5168" s="73">
        <v>45473</v>
      </c>
    </row>
    <row r="5169" s="5" customFormat="1" customHeight="1" spans="1:25">
      <c r="A5169" s="24" t="s">
        <v>446</v>
      </c>
      <c r="B5169" s="24" t="s">
        <v>6300</v>
      </c>
      <c r="C5169" s="24" t="s">
        <v>3237</v>
      </c>
      <c r="D5169" s="22" t="s">
        <v>6301</v>
      </c>
      <c r="E5169" s="23" t="s">
        <v>6697</v>
      </c>
      <c r="F5169" s="24" t="s">
        <v>6711</v>
      </c>
      <c r="G5169" s="24" t="s">
        <v>88</v>
      </c>
      <c r="H5169" s="25" t="s">
        <v>6736</v>
      </c>
      <c r="I5169" s="46" t="e">
        <f>VLOOKUP(H5169,'合同高级查询数据-4月返'!A:A,1,FALSE)</f>
        <v>#N/A</v>
      </c>
      <c r="J5169" s="47" t="s">
        <v>90</v>
      </c>
      <c r="K5169" s="24" t="s">
        <v>6674</v>
      </c>
      <c r="L5169" s="109"/>
      <c r="M5169" s="49" t="s">
        <v>6709</v>
      </c>
      <c r="N5169" s="73">
        <v>44764</v>
      </c>
      <c r="O5169" s="451" t="s">
        <v>574</v>
      </c>
      <c r="P5169" s="52">
        <v>18687.5</v>
      </c>
      <c r="Q5169" s="70">
        <v>2</v>
      </c>
      <c r="R5169" s="52">
        <f t="shared" si="164"/>
        <v>37375</v>
      </c>
      <c r="S5169" s="47">
        <v>202304</v>
      </c>
      <c r="T5169" s="123" t="s">
        <v>6756</v>
      </c>
      <c r="U5169" s="48"/>
      <c r="V5169" s="48"/>
      <c r="W5169" s="48"/>
      <c r="X5169" s="50">
        <v>43466</v>
      </c>
      <c r="Y5169" s="73">
        <v>45473</v>
      </c>
    </row>
    <row r="5170" s="5" customFormat="1" customHeight="1" spans="1:25">
      <c r="A5170" s="24" t="s">
        <v>446</v>
      </c>
      <c r="B5170" s="24" t="s">
        <v>6300</v>
      </c>
      <c r="C5170" s="24" t="s">
        <v>3237</v>
      </c>
      <c r="D5170" s="22" t="s">
        <v>6301</v>
      </c>
      <c r="E5170" s="23" t="s">
        <v>6697</v>
      </c>
      <c r="F5170" s="24" t="s">
        <v>6711</v>
      </c>
      <c r="G5170" s="24" t="s">
        <v>88</v>
      </c>
      <c r="H5170" s="25" t="s">
        <v>6736</v>
      </c>
      <c r="I5170" s="46" t="e">
        <f>VLOOKUP(H5170,'合同高级查询数据-4月返'!A:A,1,FALSE)</f>
        <v>#N/A</v>
      </c>
      <c r="J5170" s="47" t="s">
        <v>90</v>
      </c>
      <c r="K5170" s="24" t="s">
        <v>6674</v>
      </c>
      <c r="L5170" s="109"/>
      <c r="M5170" s="49" t="s">
        <v>6709</v>
      </c>
      <c r="N5170" s="73">
        <v>44771</v>
      </c>
      <c r="O5170" s="451" t="s">
        <v>507</v>
      </c>
      <c r="P5170" s="52">
        <v>11960</v>
      </c>
      <c r="Q5170" s="70">
        <v>2</v>
      </c>
      <c r="R5170" s="52">
        <f t="shared" si="164"/>
        <v>23920</v>
      </c>
      <c r="S5170" s="47">
        <v>202304</v>
      </c>
      <c r="T5170" s="123" t="s">
        <v>6757</v>
      </c>
      <c r="U5170" s="48"/>
      <c r="V5170" s="48"/>
      <c r="W5170" s="48"/>
      <c r="X5170" s="50">
        <v>43466</v>
      </c>
      <c r="Y5170" s="73">
        <v>45473</v>
      </c>
    </row>
    <row r="5171" s="5" customFormat="1" customHeight="1" spans="1:25">
      <c r="A5171" s="24" t="s">
        <v>446</v>
      </c>
      <c r="B5171" s="24" t="s">
        <v>6300</v>
      </c>
      <c r="C5171" s="24" t="s">
        <v>3237</v>
      </c>
      <c r="D5171" s="22" t="s">
        <v>6301</v>
      </c>
      <c r="E5171" s="23" t="s">
        <v>6697</v>
      </c>
      <c r="F5171" s="24" t="s">
        <v>6711</v>
      </c>
      <c r="G5171" s="24" t="s">
        <v>88</v>
      </c>
      <c r="H5171" s="25" t="s">
        <v>6736</v>
      </c>
      <c r="I5171" s="46" t="e">
        <f>VLOOKUP(H5171,'合同高级查询数据-4月返'!A:A,1,FALSE)</f>
        <v>#N/A</v>
      </c>
      <c r="J5171" s="47" t="s">
        <v>90</v>
      </c>
      <c r="K5171" s="24" t="s">
        <v>6674</v>
      </c>
      <c r="L5171" s="109"/>
      <c r="M5171" s="49" t="s">
        <v>6709</v>
      </c>
      <c r="N5171" s="73">
        <v>44880</v>
      </c>
      <c r="O5171" s="451" t="s">
        <v>503</v>
      </c>
      <c r="P5171" s="52">
        <v>5980</v>
      </c>
      <c r="Q5171" s="70">
        <v>-85</v>
      </c>
      <c r="R5171" s="52">
        <f t="shared" si="164"/>
        <v>-508300</v>
      </c>
      <c r="S5171" s="47">
        <v>202304</v>
      </c>
      <c r="T5171" s="123" t="s">
        <v>6758</v>
      </c>
      <c r="U5171" s="48"/>
      <c r="V5171" s="48"/>
      <c r="W5171" s="48"/>
      <c r="X5171" s="50">
        <v>43466</v>
      </c>
      <c r="Y5171" s="73">
        <v>45473</v>
      </c>
    </row>
    <row r="5172" s="5" customFormat="1" customHeight="1" spans="1:25">
      <c r="A5172" s="24" t="s">
        <v>446</v>
      </c>
      <c r="B5172" s="24" t="s">
        <v>6300</v>
      </c>
      <c r="C5172" s="24" t="s">
        <v>3237</v>
      </c>
      <c r="D5172" s="22" t="s">
        <v>6301</v>
      </c>
      <c r="E5172" s="23" t="s">
        <v>6697</v>
      </c>
      <c r="F5172" s="24" t="s">
        <v>6711</v>
      </c>
      <c r="G5172" s="24" t="s">
        <v>88</v>
      </c>
      <c r="H5172" s="25" t="s">
        <v>6736</v>
      </c>
      <c r="I5172" s="46" t="e">
        <f>VLOOKUP(H5172,'合同高级查询数据-4月返'!A:A,1,FALSE)</f>
        <v>#N/A</v>
      </c>
      <c r="J5172" s="47" t="s">
        <v>90</v>
      </c>
      <c r="K5172" s="24" t="s">
        <v>6674</v>
      </c>
      <c r="L5172" s="109"/>
      <c r="M5172" s="475" t="s">
        <v>6709</v>
      </c>
      <c r="N5172" s="73"/>
      <c r="O5172" s="73" t="s">
        <v>584</v>
      </c>
      <c r="P5172" s="52">
        <v>299</v>
      </c>
      <c r="Q5172" s="70">
        <v>0</v>
      </c>
      <c r="R5172" s="52">
        <f t="shared" si="164"/>
        <v>0</v>
      </c>
      <c r="S5172" s="47">
        <v>202304</v>
      </c>
      <c r="T5172" s="123" t="s">
        <v>6759</v>
      </c>
      <c r="U5172" s="48"/>
      <c r="V5172" s="48"/>
      <c r="W5172" s="48"/>
      <c r="X5172" s="50">
        <v>43466</v>
      </c>
      <c r="Y5172" s="73">
        <v>45473</v>
      </c>
    </row>
    <row r="5173" s="5" customFormat="1" customHeight="1" spans="1:25">
      <c r="A5173" s="24" t="s">
        <v>446</v>
      </c>
      <c r="B5173" s="24" t="s">
        <v>6300</v>
      </c>
      <c r="C5173" s="24" t="s">
        <v>3237</v>
      </c>
      <c r="D5173" s="22" t="s">
        <v>6301</v>
      </c>
      <c r="E5173" s="23" t="s">
        <v>6697</v>
      </c>
      <c r="F5173" s="24" t="s">
        <v>6711</v>
      </c>
      <c r="G5173" s="24" t="s">
        <v>88</v>
      </c>
      <c r="H5173" s="181" t="s">
        <v>6736</v>
      </c>
      <c r="I5173" s="46" t="e">
        <f>VLOOKUP(H5173,'合同高级查询数据-4月返'!A:A,1,FALSE)</f>
        <v>#N/A</v>
      </c>
      <c r="J5173" s="47" t="s">
        <v>90</v>
      </c>
      <c r="K5173" s="24" t="s">
        <v>6674</v>
      </c>
      <c r="L5173" s="109"/>
      <c r="M5173" s="49" t="s">
        <v>6709</v>
      </c>
      <c r="N5173" s="73">
        <v>44924</v>
      </c>
      <c r="O5173" s="451" t="s">
        <v>503</v>
      </c>
      <c r="P5173" s="52">
        <v>5980</v>
      </c>
      <c r="Q5173" s="70">
        <v>-12</v>
      </c>
      <c r="R5173" s="52">
        <f t="shared" si="164"/>
        <v>-71760</v>
      </c>
      <c r="S5173" s="47">
        <v>202304</v>
      </c>
      <c r="T5173" s="123" t="s">
        <v>6760</v>
      </c>
      <c r="U5173" s="48"/>
      <c r="V5173" s="48"/>
      <c r="W5173" s="48"/>
      <c r="X5173" s="50">
        <v>43466</v>
      </c>
      <c r="Y5173" s="73">
        <v>45473</v>
      </c>
    </row>
    <row r="5174" s="5" customFormat="1" customHeight="1" spans="1:25">
      <c r="A5174" s="24" t="s">
        <v>446</v>
      </c>
      <c r="B5174" s="24" t="s">
        <v>6300</v>
      </c>
      <c r="C5174" s="24" t="s">
        <v>3237</v>
      </c>
      <c r="D5174" s="22" t="s">
        <v>6301</v>
      </c>
      <c r="E5174" s="23" t="s">
        <v>6697</v>
      </c>
      <c r="F5174" s="24" t="s">
        <v>6711</v>
      </c>
      <c r="G5174" s="24" t="s">
        <v>78</v>
      </c>
      <c r="H5174" s="25" t="s">
        <v>6736</v>
      </c>
      <c r="I5174" s="46" t="e">
        <f>VLOOKUP(H5174,'合同高级查询数据-4月返'!A:A,1,FALSE)</f>
        <v>#N/A</v>
      </c>
      <c r="J5174" s="47" t="s">
        <v>530</v>
      </c>
      <c r="K5174" s="24" t="s">
        <v>6674</v>
      </c>
      <c r="L5174" s="109"/>
      <c r="M5174" s="475" t="s">
        <v>6709</v>
      </c>
      <c r="N5174" s="73"/>
      <c r="O5174" s="48">
        <v>0</v>
      </c>
      <c r="P5174" s="52">
        <v>2600</v>
      </c>
      <c r="Q5174" s="70">
        <v>0</v>
      </c>
      <c r="R5174" s="52">
        <f t="shared" si="164"/>
        <v>0</v>
      </c>
      <c r="S5174" s="47">
        <v>202304</v>
      </c>
      <c r="T5174" s="123" t="s">
        <v>6761</v>
      </c>
      <c r="U5174" s="48"/>
      <c r="V5174" s="48"/>
      <c r="W5174" s="48"/>
      <c r="X5174" s="50">
        <v>43466</v>
      </c>
      <c r="Y5174" s="73">
        <v>45473</v>
      </c>
    </row>
    <row r="5175" s="5" customFormat="1" customHeight="1" spans="1:25">
      <c r="A5175" s="24" t="s">
        <v>446</v>
      </c>
      <c r="B5175" s="24" t="s">
        <v>6300</v>
      </c>
      <c r="C5175" s="24" t="s">
        <v>3237</v>
      </c>
      <c r="D5175" s="22" t="s">
        <v>6301</v>
      </c>
      <c r="E5175" s="23" t="s">
        <v>6697</v>
      </c>
      <c r="F5175" s="24" t="s">
        <v>6711</v>
      </c>
      <c r="G5175" s="24" t="s">
        <v>88</v>
      </c>
      <c r="H5175" s="22" t="s">
        <v>6762</v>
      </c>
      <c r="I5175" s="46" t="e">
        <f>VLOOKUP(H5175,'合同高级查询数据-4月返'!A:A,1,FALSE)</f>
        <v>#N/A</v>
      </c>
      <c r="J5175" s="47" t="s">
        <v>90</v>
      </c>
      <c r="K5175" s="22" t="s">
        <v>6763</v>
      </c>
      <c r="L5175" s="22"/>
      <c r="M5175" s="22" t="s">
        <v>6713</v>
      </c>
      <c r="N5175" s="50">
        <v>44058</v>
      </c>
      <c r="O5175" s="22" t="s">
        <v>503</v>
      </c>
      <c r="P5175" s="486">
        <v>5980</v>
      </c>
      <c r="Q5175" s="486">
        <v>18</v>
      </c>
      <c r="R5175" s="52">
        <f t="shared" si="164"/>
        <v>107640</v>
      </c>
      <c r="S5175" s="47">
        <v>202304</v>
      </c>
      <c r="T5175" s="123" t="s">
        <v>6764</v>
      </c>
      <c r="U5175" s="48"/>
      <c r="V5175" s="48"/>
      <c r="W5175" s="48"/>
      <c r="X5175" s="50">
        <v>43830</v>
      </c>
      <c r="Y5175" s="50">
        <v>46022</v>
      </c>
    </row>
    <row r="5176" s="5" customFormat="1" customHeight="1" spans="1:25">
      <c r="A5176" s="24" t="s">
        <v>446</v>
      </c>
      <c r="B5176" s="24" t="s">
        <v>6300</v>
      </c>
      <c r="C5176" s="24" t="s">
        <v>3237</v>
      </c>
      <c r="D5176" s="22" t="s">
        <v>6301</v>
      </c>
      <c r="E5176" s="23" t="s">
        <v>6697</v>
      </c>
      <c r="F5176" s="24" t="s">
        <v>6711</v>
      </c>
      <c r="G5176" s="24" t="s">
        <v>88</v>
      </c>
      <c r="H5176" s="22" t="s">
        <v>6762</v>
      </c>
      <c r="I5176" s="46" t="e">
        <f>VLOOKUP(H5176,'合同高级查询数据-4月返'!A:A,1,FALSE)</f>
        <v>#N/A</v>
      </c>
      <c r="J5176" s="47" t="s">
        <v>90</v>
      </c>
      <c r="K5176" s="22" t="s">
        <v>6763</v>
      </c>
      <c r="L5176" s="22"/>
      <c r="M5176" s="22" t="s">
        <v>6713</v>
      </c>
      <c r="N5176" s="50">
        <v>44060</v>
      </c>
      <c r="O5176" s="22" t="s">
        <v>503</v>
      </c>
      <c r="P5176" s="486">
        <v>5980</v>
      </c>
      <c r="Q5176" s="486">
        <v>8</v>
      </c>
      <c r="R5176" s="52">
        <f t="shared" si="164"/>
        <v>47840</v>
      </c>
      <c r="S5176" s="47">
        <v>202304</v>
      </c>
      <c r="T5176" s="123" t="s">
        <v>6765</v>
      </c>
      <c r="U5176" s="48"/>
      <c r="V5176" s="48"/>
      <c r="W5176" s="48"/>
      <c r="X5176" s="50">
        <v>43830</v>
      </c>
      <c r="Y5176" s="50">
        <v>46022</v>
      </c>
    </row>
    <row r="5177" s="5" customFormat="1" customHeight="1" spans="1:25">
      <c r="A5177" s="24" t="s">
        <v>446</v>
      </c>
      <c r="B5177" s="24" t="s">
        <v>6300</v>
      </c>
      <c r="C5177" s="24" t="s">
        <v>3237</v>
      </c>
      <c r="D5177" s="22" t="s">
        <v>6301</v>
      </c>
      <c r="E5177" s="23" t="s">
        <v>6697</v>
      </c>
      <c r="F5177" s="24" t="s">
        <v>6711</v>
      </c>
      <c r="G5177" s="24" t="s">
        <v>88</v>
      </c>
      <c r="H5177" s="22" t="s">
        <v>6762</v>
      </c>
      <c r="I5177" s="46" t="e">
        <f>VLOOKUP(H5177,'合同高级查询数据-4月返'!A:A,1,FALSE)</f>
        <v>#N/A</v>
      </c>
      <c r="J5177" s="47" t="s">
        <v>90</v>
      </c>
      <c r="K5177" s="22" t="s">
        <v>6763</v>
      </c>
      <c r="L5177" s="22"/>
      <c r="M5177" s="22" t="s">
        <v>6713</v>
      </c>
      <c r="N5177" s="50">
        <v>44060</v>
      </c>
      <c r="O5177" s="22" t="s">
        <v>525</v>
      </c>
      <c r="P5177" s="486">
        <v>8970</v>
      </c>
      <c r="Q5177" s="486">
        <v>10</v>
      </c>
      <c r="R5177" s="52">
        <f t="shared" si="164"/>
        <v>89700</v>
      </c>
      <c r="S5177" s="47">
        <v>202304</v>
      </c>
      <c r="T5177" s="123" t="s">
        <v>6766</v>
      </c>
      <c r="U5177" s="48"/>
      <c r="V5177" s="48"/>
      <c r="W5177" s="48"/>
      <c r="X5177" s="50">
        <v>43830</v>
      </c>
      <c r="Y5177" s="50">
        <v>46022</v>
      </c>
    </row>
    <row r="5178" s="5" customFormat="1" customHeight="1" spans="1:25">
      <c r="A5178" s="24" t="s">
        <v>446</v>
      </c>
      <c r="B5178" s="24" t="s">
        <v>6300</v>
      </c>
      <c r="C5178" s="24" t="s">
        <v>3237</v>
      </c>
      <c r="D5178" s="22" t="s">
        <v>6301</v>
      </c>
      <c r="E5178" s="23" t="s">
        <v>6697</v>
      </c>
      <c r="F5178" s="24" t="s">
        <v>6711</v>
      </c>
      <c r="G5178" s="24" t="s">
        <v>88</v>
      </c>
      <c r="H5178" s="22" t="s">
        <v>6762</v>
      </c>
      <c r="I5178" s="46" t="e">
        <f>VLOOKUP(H5178,'合同高级查询数据-4月返'!A:A,1,FALSE)</f>
        <v>#N/A</v>
      </c>
      <c r="J5178" s="47" t="s">
        <v>90</v>
      </c>
      <c r="K5178" s="22" t="s">
        <v>6763</v>
      </c>
      <c r="L5178" s="22"/>
      <c r="M5178" s="22" t="s">
        <v>6713</v>
      </c>
      <c r="N5178" s="50">
        <v>44060</v>
      </c>
      <c r="O5178" s="22" t="s">
        <v>566</v>
      </c>
      <c r="P5178" s="486">
        <v>12229.1</v>
      </c>
      <c r="Q5178" s="486">
        <v>4</v>
      </c>
      <c r="R5178" s="52">
        <f t="shared" si="164"/>
        <v>48916.4</v>
      </c>
      <c r="S5178" s="47">
        <v>202304</v>
      </c>
      <c r="T5178" s="123" t="s">
        <v>6767</v>
      </c>
      <c r="U5178" s="48"/>
      <c r="V5178" s="48"/>
      <c r="W5178" s="48"/>
      <c r="X5178" s="50">
        <v>43830</v>
      </c>
      <c r="Y5178" s="50">
        <v>46022</v>
      </c>
    </row>
    <row r="5179" s="5" customFormat="1" customHeight="1" spans="1:25">
      <c r="A5179" s="24" t="s">
        <v>446</v>
      </c>
      <c r="B5179" s="24" t="s">
        <v>6300</v>
      </c>
      <c r="C5179" s="24" t="s">
        <v>3237</v>
      </c>
      <c r="D5179" s="22" t="s">
        <v>6301</v>
      </c>
      <c r="E5179" s="23" t="s">
        <v>6697</v>
      </c>
      <c r="F5179" s="24" t="s">
        <v>6711</v>
      </c>
      <c r="G5179" s="24" t="s">
        <v>88</v>
      </c>
      <c r="H5179" s="22" t="s">
        <v>6762</v>
      </c>
      <c r="I5179" s="46" t="e">
        <f>VLOOKUP(H5179,'合同高级查询数据-4月返'!A:A,1,FALSE)</f>
        <v>#N/A</v>
      </c>
      <c r="J5179" s="47" t="s">
        <v>90</v>
      </c>
      <c r="K5179" s="22" t="s">
        <v>6763</v>
      </c>
      <c r="L5179" s="22"/>
      <c r="M5179" s="22" t="s">
        <v>6713</v>
      </c>
      <c r="N5179" s="50">
        <v>44060</v>
      </c>
      <c r="O5179" s="22" t="s">
        <v>606</v>
      </c>
      <c r="P5179" s="486">
        <v>32591</v>
      </c>
      <c r="Q5179" s="486">
        <v>10</v>
      </c>
      <c r="R5179" s="52">
        <f t="shared" si="164"/>
        <v>325910</v>
      </c>
      <c r="S5179" s="47">
        <v>202304</v>
      </c>
      <c r="T5179" s="123" t="s">
        <v>6768</v>
      </c>
      <c r="U5179" s="48"/>
      <c r="V5179" s="48"/>
      <c r="W5179" s="48"/>
      <c r="X5179" s="50">
        <v>43830</v>
      </c>
      <c r="Y5179" s="50">
        <v>46022</v>
      </c>
    </row>
    <row r="5180" s="5" customFormat="1" customHeight="1" spans="1:25">
      <c r="A5180" s="24" t="s">
        <v>446</v>
      </c>
      <c r="B5180" s="24" t="s">
        <v>6300</v>
      </c>
      <c r="C5180" s="24" t="s">
        <v>3237</v>
      </c>
      <c r="D5180" s="22" t="s">
        <v>6301</v>
      </c>
      <c r="E5180" s="23" t="s">
        <v>6697</v>
      </c>
      <c r="F5180" s="24" t="s">
        <v>6711</v>
      </c>
      <c r="G5180" s="24" t="s">
        <v>88</v>
      </c>
      <c r="H5180" s="22" t="s">
        <v>6769</v>
      </c>
      <c r="I5180" s="46" t="e">
        <f>VLOOKUP(H5180,'合同高级查询数据-4月返'!A:A,1,FALSE)</f>
        <v>#N/A</v>
      </c>
      <c r="J5180" s="47" t="s">
        <v>90</v>
      </c>
      <c r="K5180" s="22" t="s">
        <v>6763</v>
      </c>
      <c r="L5180" s="22"/>
      <c r="M5180" s="22" t="s">
        <v>6713</v>
      </c>
      <c r="N5180" s="50">
        <v>44060</v>
      </c>
      <c r="O5180" s="22" t="s">
        <v>606</v>
      </c>
      <c r="P5180" s="486">
        <v>32591</v>
      </c>
      <c r="Q5180" s="486">
        <v>2</v>
      </c>
      <c r="R5180" s="52">
        <f t="shared" si="164"/>
        <v>65182</v>
      </c>
      <c r="S5180" s="47">
        <v>202304</v>
      </c>
      <c r="T5180" s="123" t="s">
        <v>6770</v>
      </c>
      <c r="U5180" s="48"/>
      <c r="V5180" s="48"/>
      <c r="W5180" s="48"/>
      <c r="X5180" s="50">
        <v>44060</v>
      </c>
      <c r="Y5180" s="50">
        <v>46022</v>
      </c>
    </row>
    <row r="5181" s="5" customFormat="1" customHeight="1" spans="1:25">
      <c r="A5181" s="24" t="s">
        <v>446</v>
      </c>
      <c r="B5181" s="24" t="s">
        <v>6300</v>
      </c>
      <c r="C5181" s="24" t="s">
        <v>3237</v>
      </c>
      <c r="D5181" s="22" t="s">
        <v>6301</v>
      </c>
      <c r="E5181" s="23" t="s">
        <v>6697</v>
      </c>
      <c r="F5181" s="24" t="s">
        <v>6711</v>
      </c>
      <c r="G5181" s="24" t="s">
        <v>88</v>
      </c>
      <c r="H5181" s="22" t="s">
        <v>6762</v>
      </c>
      <c r="I5181" s="46" t="e">
        <f>VLOOKUP(H5181,'合同高级查询数据-4月返'!A:A,1,FALSE)</f>
        <v>#N/A</v>
      </c>
      <c r="J5181" s="47" t="s">
        <v>90</v>
      </c>
      <c r="K5181" s="22" t="s">
        <v>6763</v>
      </c>
      <c r="L5181" s="22"/>
      <c r="M5181" s="22" t="s">
        <v>6713</v>
      </c>
      <c r="N5181" s="50">
        <v>44071</v>
      </c>
      <c r="O5181" s="22" t="s">
        <v>600</v>
      </c>
      <c r="P5181" s="486">
        <v>2600</v>
      </c>
      <c r="Q5181" s="486">
        <v>16</v>
      </c>
      <c r="R5181" s="52">
        <f t="shared" si="164"/>
        <v>41600</v>
      </c>
      <c r="S5181" s="47">
        <v>202304</v>
      </c>
      <c r="T5181" s="123" t="s">
        <v>6771</v>
      </c>
      <c r="U5181" s="48"/>
      <c r="V5181" s="48"/>
      <c r="W5181" s="48"/>
      <c r="X5181" s="50">
        <v>43830</v>
      </c>
      <c r="Y5181" s="50">
        <v>46022</v>
      </c>
    </row>
    <row r="5182" s="5" customFormat="1" customHeight="1" spans="1:25">
      <c r="A5182" s="24" t="s">
        <v>446</v>
      </c>
      <c r="B5182" s="24" t="s">
        <v>6300</v>
      </c>
      <c r="C5182" s="24" t="s">
        <v>3237</v>
      </c>
      <c r="D5182" s="22" t="s">
        <v>6301</v>
      </c>
      <c r="E5182" s="23" t="s">
        <v>6697</v>
      </c>
      <c r="F5182" s="24" t="s">
        <v>6711</v>
      </c>
      <c r="G5182" s="24" t="s">
        <v>88</v>
      </c>
      <c r="H5182" s="22" t="s">
        <v>6769</v>
      </c>
      <c r="I5182" s="46" t="e">
        <f>VLOOKUP(H5182,'合同高级查询数据-4月返'!A:A,1,FALSE)</f>
        <v>#N/A</v>
      </c>
      <c r="J5182" s="47" t="s">
        <v>90</v>
      </c>
      <c r="K5182" s="22" t="s">
        <v>6763</v>
      </c>
      <c r="L5182" s="22"/>
      <c r="M5182" s="22" t="s">
        <v>6713</v>
      </c>
      <c r="N5182" s="50">
        <v>44071</v>
      </c>
      <c r="O5182" s="22" t="s">
        <v>600</v>
      </c>
      <c r="P5182" s="486">
        <v>2600</v>
      </c>
      <c r="Q5182" s="486">
        <v>2</v>
      </c>
      <c r="R5182" s="52">
        <f t="shared" si="164"/>
        <v>5200</v>
      </c>
      <c r="S5182" s="47">
        <v>202304</v>
      </c>
      <c r="T5182" s="123" t="s">
        <v>6772</v>
      </c>
      <c r="U5182" s="48"/>
      <c r="V5182" s="48"/>
      <c r="W5182" s="48"/>
      <c r="X5182" s="50">
        <v>44060</v>
      </c>
      <c r="Y5182" s="50">
        <v>46022</v>
      </c>
    </row>
    <row r="5183" s="5" customFormat="1" customHeight="1" spans="1:25">
      <c r="A5183" s="24" t="s">
        <v>446</v>
      </c>
      <c r="B5183" s="24" t="s">
        <v>6300</v>
      </c>
      <c r="C5183" s="24" t="s">
        <v>3237</v>
      </c>
      <c r="D5183" s="22" t="s">
        <v>6301</v>
      </c>
      <c r="E5183" s="23" t="s">
        <v>6697</v>
      </c>
      <c r="F5183" s="24" t="s">
        <v>6711</v>
      </c>
      <c r="G5183" s="24" t="s">
        <v>88</v>
      </c>
      <c r="H5183" s="22" t="s">
        <v>6762</v>
      </c>
      <c r="I5183" s="46" t="e">
        <f>VLOOKUP(H5183,'合同高级查询数据-4月返'!A:A,1,FALSE)</f>
        <v>#N/A</v>
      </c>
      <c r="J5183" s="47" t="s">
        <v>90</v>
      </c>
      <c r="K5183" s="22" t="s">
        <v>6763</v>
      </c>
      <c r="L5183" s="22"/>
      <c r="M5183" s="22" t="s">
        <v>6713</v>
      </c>
      <c r="N5183" s="50">
        <v>44078</v>
      </c>
      <c r="O5183" s="22" t="s">
        <v>503</v>
      </c>
      <c r="P5183" s="486">
        <v>5980</v>
      </c>
      <c r="Q5183" s="486">
        <v>131</v>
      </c>
      <c r="R5183" s="52">
        <f t="shared" si="164"/>
        <v>783380</v>
      </c>
      <c r="S5183" s="47">
        <v>202304</v>
      </c>
      <c r="T5183" s="123" t="s">
        <v>6773</v>
      </c>
      <c r="U5183" s="48"/>
      <c r="V5183" s="48"/>
      <c r="W5183" s="48"/>
      <c r="X5183" s="50">
        <v>43830</v>
      </c>
      <c r="Y5183" s="50">
        <v>46022</v>
      </c>
    </row>
    <row r="5184" s="5" customFormat="1" customHeight="1" spans="1:25">
      <c r="A5184" s="24" t="s">
        <v>446</v>
      </c>
      <c r="B5184" s="24" t="s">
        <v>6300</v>
      </c>
      <c r="C5184" s="24" t="s">
        <v>3237</v>
      </c>
      <c r="D5184" s="22" t="s">
        <v>6301</v>
      </c>
      <c r="E5184" s="23" t="s">
        <v>6697</v>
      </c>
      <c r="F5184" s="24" t="s">
        <v>6711</v>
      </c>
      <c r="G5184" s="24" t="s">
        <v>88</v>
      </c>
      <c r="H5184" s="22" t="s">
        <v>6762</v>
      </c>
      <c r="I5184" s="46" t="e">
        <f>VLOOKUP(H5184,'合同高级查询数据-4月返'!A:A,1,FALSE)</f>
        <v>#N/A</v>
      </c>
      <c r="J5184" s="47" t="s">
        <v>90</v>
      </c>
      <c r="K5184" s="22" t="s">
        <v>6763</v>
      </c>
      <c r="L5184" s="22"/>
      <c r="M5184" s="22" t="s">
        <v>6713</v>
      </c>
      <c r="N5184" s="50">
        <v>44082</v>
      </c>
      <c r="O5184" s="22" t="s">
        <v>503</v>
      </c>
      <c r="P5184" s="486">
        <v>5980</v>
      </c>
      <c r="Q5184" s="486">
        <v>1</v>
      </c>
      <c r="R5184" s="52">
        <f t="shared" si="164"/>
        <v>5980</v>
      </c>
      <c r="S5184" s="47">
        <v>202304</v>
      </c>
      <c r="T5184" s="123" t="s">
        <v>6774</v>
      </c>
      <c r="U5184" s="48"/>
      <c r="V5184" s="48"/>
      <c r="W5184" s="48"/>
      <c r="X5184" s="50">
        <v>43830</v>
      </c>
      <c r="Y5184" s="50">
        <v>46022</v>
      </c>
    </row>
    <row r="5185" s="5" customFormat="1" customHeight="1" spans="1:25">
      <c r="A5185" s="24" t="s">
        <v>446</v>
      </c>
      <c r="B5185" s="24" t="s">
        <v>6300</v>
      </c>
      <c r="C5185" s="24" t="s">
        <v>3237</v>
      </c>
      <c r="D5185" s="22" t="s">
        <v>6301</v>
      </c>
      <c r="E5185" s="23" t="s">
        <v>6697</v>
      </c>
      <c r="F5185" s="24" t="s">
        <v>6711</v>
      </c>
      <c r="G5185" s="24" t="s">
        <v>88</v>
      </c>
      <c r="H5185" s="22" t="s">
        <v>6762</v>
      </c>
      <c r="I5185" s="46" t="e">
        <f>VLOOKUP(H5185,'合同高级查询数据-4月返'!A:A,1,FALSE)</f>
        <v>#N/A</v>
      </c>
      <c r="J5185" s="47" t="s">
        <v>90</v>
      </c>
      <c r="K5185" s="22" t="s">
        <v>6763</v>
      </c>
      <c r="L5185" s="22"/>
      <c r="M5185" s="22" t="s">
        <v>6713</v>
      </c>
      <c r="N5185" s="50">
        <v>44087</v>
      </c>
      <c r="O5185" s="22" t="s">
        <v>503</v>
      </c>
      <c r="P5185" s="486">
        <v>5980</v>
      </c>
      <c r="Q5185" s="486">
        <v>24</v>
      </c>
      <c r="R5185" s="52">
        <f t="shared" ref="R5185:R5248" si="165">ROUND(P5185*Q5185,2)</f>
        <v>143520</v>
      </c>
      <c r="S5185" s="47">
        <v>202304</v>
      </c>
      <c r="T5185" s="123" t="s">
        <v>6775</v>
      </c>
      <c r="U5185" s="48"/>
      <c r="V5185" s="48"/>
      <c r="W5185" s="48"/>
      <c r="X5185" s="50">
        <v>43830</v>
      </c>
      <c r="Y5185" s="50">
        <v>46022</v>
      </c>
    </row>
    <row r="5186" s="5" customFormat="1" customHeight="1" spans="1:25">
      <c r="A5186" s="24" t="s">
        <v>446</v>
      </c>
      <c r="B5186" s="24" t="s">
        <v>6300</v>
      </c>
      <c r="C5186" s="24" t="s">
        <v>3237</v>
      </c>
      <c r="D5186" s="22" t="s">
        <v>6301</v>
      </c>
      <c r="E5186" s="23" t="s">
        <v>6697</v>
      </c>
      <c r="F5186" s="24" t="s">
        <v>6711</v>
      </c>
      <c r="G5186" s="24" t="s">
        <v>88</v>
      </c>
      <c r="H5186" s="22" t="s">
        <v>6762</v>
      </c>
      <c r="I5186" s="46" t="e">
        <f>VLOOKUP(H5186,'合同高级查询数据-4月返'!A:A,1,FALSE)</f>
        <v>#N/A</v>
      </c>
      <c r="J5186" s="47" t="s">
        <v>90</v>
      </c>
      <c r="K5186" s="22" t="s">
        <v>6763</v>
      </c>
      <c r="L5186" s="22"/>
      <c r="M5186" s="22" t="s">
        <v>6713</v>
      </c>
      <c r="N5186" s="50">
        <v>44180</v>
      </c>
      <c r="O5186" s="22" t="s">
        <v>525</v>
      </c>
      <c r="P5186" s="486">
        <v>8970</v>
      </c>
      <c r="Q5186" s="486">
        <v>2</v>
      </c>
      <c r="R5186" s="52">
        <f t="shared" si="165"/>
        <v>17940</v>
      </c>
      <c r="S5186" s="47">
        <v>202304</v>
      </c>
      <c r="T5186" s="123" t="s">
        <v>6776</v>
      </c>
      <c r="U5186" s="48"/>
      <c r="V5186" s="48"/>
      <c r="W5186" s="48"/>
      <c r="X5186" s="50">
        <v>43830</v>
      </c>
      <c r="Y5186" s="50">
        <v>46022</v>
      </c>
    </row>
    <row r="5187" s="5" customFormat="1" customHeight="1" spans="1:25">
      <c r="A5187" s="24" t="s">
        <v>446</v>
      </c>
      <c r="B5187" s="24" t="s">
        <v>6300</v>
      </c>
      <c r="C5187" s="24" t="s">
        <v>3237</v>
      </c>
      <c r="D5187" s="22" t="s">
        <v>6301</v>
      </c>
      <c r="E5187" s="23" t="s">
        <v>6697</v>
      </c>
      <c r="F5187" s="24" t="s">
        <v>6711</v>
      </c>
      <c r="G5187" s="24" t="s">
        <v>88</v>
      </c>
      <c r="H5187" s="22" t="s">
        <v>6762</v>
      </c>
      <c r="I5187" s="46" t="e">
        <f>VLOOKUP(H5187,'合同高级查询数据-4月返'!A:A,1,FALSE)</f>
        <v>#N/A</v>
      </c>
      <c r="J5187" s="47" t="s">
        <v>90</v>
      </c>
      <c r="K5187" s="22" t="s">
        <v>6763</v>
      </c>
      <c r="L5187" s="22"/>
      <c r="M5187" s="22" t="s">
        <v>6713</v>
      </c>
      <c r="N5187" s="50">
        <v>44180</v>
      </c>
      <c r="O5187" s="22" t="s">
        <v>503</v>
      </c>
      <c r="P5187" s="486">
        <v>5980</v>
      </c>
      <c r="Q5187" s="486">
        <v>2</v>
      </c>
      <c r="R5187" s="52">
        <f t="shared" si="165"/>
        <v>11960</v>
      </c>
      <c r="S5187" s="47">
        <v>202304</v>
      </c>
      <c r="T5187" s="123" t="s">
        <v>6777</v>
      </c>
      <c r="U5187" s="48"/>
      <c r="V5187" s="48"/>
      <c r="W5187" s="48"/>
      <c r="X5187" s="50">
        <v>43830</v>
      </c>
      <c r="Y5187" s="50">
        <v>46022</v>
      </c>
    </row>
    <row r="5188" s="5" customFormat="1" customHeight="1" spans="1:25">
      <c r="A5188" s="24" t="s">
        <v>446</v>
      </c>
      <c r="B5188" s="24" t="s">
        <v>6300</v>
      </c>
      <c r="C5188" s="24" t="s">
        <v>3237</v>
      </c>
      <c r="D5188" s="22" t="s">
        <v>6301</v>
      </c>
      <c r="E5188" s="23" t="s">
        <v>6697</v>
      </c>
      <c r="F5188" s="24" t="s">
        <v>6711</v>
      </c>
      <c r="G5188" s="24" t="s">
        <v>88</v>
      </c>
      <c r="H5188" s="22" t="s">
        <v>6762</v>
      </c>
      <c r="I5188" s="46" t="e">
        <f>VLOOKUP(H5188,'合同高级查询数据-4月返'!A:A,1,FALSE)</f>
        <v>#N/A</v>
      </c>
      <c r="J5188" s="47" t="s">
        <v>90</v>
      </c>
      <c r="K5188" s="22" t="s">
        <v>6763</v>
      </c>
      <c r="L5188" s="22"/>
      <c r="M5188" s="22" t="s">
        <v>6713</v>
      </c>
      <c r="N5188" s="50">
        <v>44190</v>
      </c>
      <c r="O5188" s="22" t="s">
        <v>503</v>
      </c>
      <c r="P5188" s="486">
        <v>5980</v>
      </c>
      <c r="Q5188" s="486">
        <v>50</v>
      </c>
      <c r="R5188" s="52">
        <f t="shared" si="165"/>
        <v>299000</v>
      </c>
      <c r="S5188" s="47">
        <v>202304</v>
      </c>
      <c r="T5188" s="123" t="s">
        <v>6778</v>
      </c>
      <c r="U5188" s="48"/>
      <c r="V5188" s="48"/>
      <c r="W5188" s="48"/>
      <c r="X5188" s="50">
        <v>43830</v>
      </c>
      <c r="Y5188" s="50">
        <v>46022</v>
      </c>
    </row>
    <row r="5189" s="5" customFormat="1" customHeight="1" spans="1:25">
      <c r="A5189" s="24" t="s">
        <v>446</v>
      </c>
      <c r="B5189" s="24" t="s">
        <v>6300</v>
      </c>
      <c r="C5189" s="24" t="s">
        <v>3237</v>
      </c>
      <c r="D5189" s="22" t="s">
        <v>6301</v>
      </c>
      <c r="E5189" s="23" t="s">
        <v>6697</v>
      </c>
      <c r="F5189" s="24" t="s">
        <v>6711</v>
      </c>
      <c r="G5189" s="24" t="s">
        <v>88</v>
      </c>
      <c r="H5189" s="22" t="s">
        <v>6762</v>
      </c>
      <c r="I5189" s="46" t="e">
        <f>VLOOKUP(H5189,'合同高级查询数据-4月返'!A:A,1,FALSE)</f>
        <v>#N/A</v>
      </c>
      <c r="J5189" s="47" t="s">
        <v>90</v>
      </c>
      <c r="K5189" s="22" t="s">
        <v>6763</v>
      </c>
      <c r="L5189" s="22"/>
      <c r="M5189" s="22" t="s">
        <v>6713</v>
      </c>
      <c r="N5189" s="50">
        <v>44196</v>
      </c>
      <c r="O5189" s="22" t="s">
        <v>503</v>
      </c>
      <c r="P5189" s="486">
        <v>5980</v>
      </c>
      <c r="Q5189" s="486">
        <v>62</v>
      </c>
      <c r="R5189" s="52">
        <f t="shared" si="165"/>
        <v>370760</v>
      </c>
      <c r="S5189" s="47">
        <v>202304</v>
      </c>
      <c r="T5189" s="123" t="s">
        <v>6779</v>
      </c>
      <c r="U5189" s="48"/>
      <c r="V5189" s="48"/>
      <c r="W5189" s="48"/>
      <c r="X5189" s="50">
        <v>43830</v>
      </c>
      <c r="Y5189" s="50">
        <v>46022</v>
      </c>
    </row>
    <row r="5190" s="5" customFormat="1" customHeight="1" spans="1:25">
      <c r="A5190" s="24" t="s">
        <v>446</v>
      </c>
      <c r="B5190" s="24" t="s">
        <v>6300</v>
      </c>
      <c r="C5190" s="24" t="s">
        <v>3237</v>
      </c>
      <c r="D5190" s="22" t="s">
        <v>6301</v>
      </c>
      <c r="E5190" s="23" t="s">
        <v>6697</v>
      </c>
      <c r="F5190" s="24" t="s">
        <v>6711</v>
      </c>
      <c r="G5190" s="24" t="s">
        <v>88</v>
      </c>
      <c r="H5190" s="22" t="s">
        <v>6762</v>
      </c>
      <c r="I5190" s="46" t="e">
        <f>VLOOKUP(H5190,'合同高级查询数据-4月返'!A:A,1,FALSE)</f>
        <v>#N/A</v>
      </c>
      <c r="J5190" s="47" t="s">
        <v>90</v>
      </c>
      <c r="K5190" s="22" t="s">
        <v>6763</v>
      </c>
      <c r="L5190" s="22"/>
      <c r="M5190" s="22" t="s">
        <v>6713</v>
      </c>
      <c r="N5190" s="50">
        <v>44200</v>
      </c>
      <c r="O5190" s="22" t="s">
        <v>503</v>
      </c>
      <c r="P5190" s="486">
        <v>5980</v>
      </c>
      <c r="Q5190" s="486">
        <v>1</v>
      </c>
      <c r="R5190" s="52">
        <f t="shared" si="165"/>
        <v>5980</v>
      </c>
      <c r="S5190" s="47">
        <v>202304</v>
      </c>
      <c r="T5190" s="123" t="s">
        <v>6780</v>
      </c>
      <c r="U5190" s="48"/>
      <c r="V5190" s="48"/>
      <c r="W5190" s="48"/>
      <c r="X5190" s="50">
        <v>43830</v>
      </c>
      <c r="Y5190" s="50">
        <v>46022</v>
      </c>
    </row>
    <row r="5191" s="5" customFormat="1" customHeight="1" spans="1:25">
      <c r="A5191" s="24" t="s">
        <v>446</v>
      </c>
      <c r="B5191" s="24" t="s">
        <v>6300</v>
      </c>
      <c r="C5191" s="24" t="s">
        <v>3237</v>
      </c>
      <c r="D5191" s="22" t="s">
        <v>6301</v>
      </c>
      <c r="E5191" s="23" t="s">
        <v>6697</v>
      </c>
      <c r="F5191" s="24" t="s">
        <v>6711</v>
      </c>
      <c r="G5191" s="24" t="s">
        <v>88</v>
      </c>
      <c r="H5191" s="22" t="s">
        <v>6762</v>
      </c>
      <c r="I5191" s="46" t="e">
        <f>VLOOKUP(H5191,'合同高级查询数据-4月返'!A:A,1,FALSE)</f>
        <v>#N/A</v>
      </c>
      <c r="J5191" s="47" t="s">
        <v>90</v>
      </c>
      <c r="K5191" s="22" t="s">
        <v>6763</v>
      </c>
      <c r="L5191" s="22"/>
      <c r="M5191" s="22" t="s">
        <v>6713</v>
      </c>
      <c r="N5191" s="50">
        <v>44201</v>
      </c>
      <c r="O5191" s="22" t="s">
        <v>503</v>
      </c>
      <c r="P5191" s="486">
        <v>5980</v>
      </c>
      <c r="Q5191" s="486">
        <v>1</v>
      </c>
      <c r="R5191" s="52">
        <f t="shared" si="165"/>
        <v>5980</v>
      </c>
      <c r="S5191" s="47">
        <v>202304</v>
      </c>
      <c r="T5191" s="123" t="s">
        <v>6781</v>
      </c>
      <c r="U5191" s="48"/>
      <c r="V5191" s="48"/>
      <c r="W5191" s="48"/>
      <c r="X5191" s="50">
        <v>43830</v>
      </c>
      <c r="Y5191" s="50">
        <v>46022</v>
      </c>
    </row>
    <row r="5192" s="5" customFormat="1" customHeight="1" spans="1:25">
      <c r="A5192" s="24" t="s">
        <v>446</v>
      </c>
      <c r="B5192" s="24" t="s">
        <v>6300</v>
      </c>
      <c r="C5192" s="24" t="s">
        <v>3237</v>
      </c>
      <c r="D5192" s="22" t="s">
        <v>6301</v>
      </c>
      <c r="E5192" s="23" t="s">
        <v>6697</v>
      </c>
      <c r="F5192" s="24" t="s">
        <v>6711</v>
      </c>
      <c r="G5192" s="24" t="s">
        <v>88</v>
      </c>
      <c r="H5192" s="22" t="s">
        <v>6762</v>
      </c>
      <c r="I5192" s="46" t="e">
        <f>VLOOKUP(H5192,'合同高级查询数据-4月返'!A:A,1,FALSE)</f>
        <v>#N/A</v>
      </c>
      <c r="J5192" s="47" t="s">
        <v>90</v>
      </c>
      <c r="K5192" s="22" t="s">
        <v>6763</v>
      </c>
      <c r="L5192" s="22"/>
      <c r="M5192" s="22" t="s">
        <v>6713</v>
      </c>
      <c r="N5192" s="50">
        <v>44203</v>
      </c>
      <c r="O5192" s="22" t="s">
        <v>525</v>
      </c>
      <c r="P5192" s="486">
        <v>8970</v>
      </c>
      <c r="Q5192" s="486">
        <v>6</v>
      </c>
      <c r="R5192" s="52">
        <f t="shared" si="165"/>
        <v>53820</v>
      </c>
      <c r="S5192" s="47">
        <v>202304</v>
      </c>
      <c r="T5192" s="123" t="s">
        <v>6782</v>
      </c>
      <c r="U5192" s="48"/>
      <c r="V5192" s="48"/>
      <c r="W5192" s="48"/>
      <c r="X5192" s="50">
        <v>43830</v>
      </c>
      <c r="Y5192" s="50">
        <v>46022</v>
      </c>
    </row>
    <row r="5193" s="5" customFormat="1" customHeight="1" spans="1:25">
      <c r="A5193" s="24" t="s">
        <v>446</v>
      </c>
      <c r="B5193" s="24" t="s">
        <v>6300</v>
      </c>
      <c r="C5193" s="24" t="s">
        <v>3237</v>
      </c>
      <c r="D5193" s="22" t="s">
        <v>6301</v>
      </c>
      <c r="E5193" s="23" t="s">
        <v>6697</v>
      </c>
      <c r="F5193" s="24" t="s">
        <v>6711</v>
      </c>
      <c r="G5193" s="24" t="s">
        <v>88</v>
      </c>
      <c r="H5193" s="22" t="s">
        <v>6762</v>
      </c>
      <c r="I5193" s="46" t="e">
        <f>VLOOKUP(H5193,'合同高级查询数据-4月返'!A:A,1,FALSE)</f>
        <v>#N/A</v>
      </c>
      <c r="J5193" s="47" t="s">
        <v>90</v>
      </c>
      <c r="K5193" s="22" t="s">
        <v>6763</v>
      </c>
      <c r="L5193" s="22"/>
      <c r="M5193" s="22" t="s">
        <v>6713</v>
      </c>
      <c r="N5193" s="50">
        <v>44203</v>
      </c>
      <c r="O5193" s="22" t="s">
        <v>503</v>
      </c>
      <c r="P5193" s="486">
        <v>5980</v>
      </c>
      <c r="Q5193" s="486">
        <v>2</v>
      </c>
      <c r="R5193" s="52">
        <f t="shared" si="165"/>
        <v>11960</v>
      </c>
      <c r="S5193" s="47">
        <v>202304</v>
      </c>
      <c r="T5193" s="123" t="s">
        <v>6783</v>
      </c>
      <c r="U5193" s="48"/>
      <c r="V5193" s="48"/>
      <c r="W5193" s="48"/>
      <c r="X5193" s="50">
        <v>43830</v>
      </c>
      <c r="Y5193" s="50">
        <v>46022</v>
      </c>
    </row>
    <row r="5194" s="5" customFormat="1" customHeight="1" spans="1:25">
      <c r="A5194" s="24" t="s">
        <v>446</v>
      </c>
      <c r="B5194" s="24" t="s">
        <v>6300</v>
      </c>
      <c r="C5194" s="24" t="s">
        <v>3237</v>
      </c>
      <c r="D5194" s="22" t="s">
        <v>6301</v>
      </c>
      <c r="E5194" s="23" t="s">
        <v>6697</v>
      </c>
      <c r="F5194" s="24" t="s">
        <v>6711</v>
      </c>
      <c r="G5194" s="24" t="s">
        <v>88</v>
      </c>
      <c r="H5194" s="22" t="s">
        <v>6762</v>
      </c>
      <c r="I5194" s="46" t="e">
        <f>VLOOKUP(H5194,'合同高级查询数据-4月返'!A:A,1,FALSE)</f>
        <v>#N/A</v>
      </c>
      <c r="J5194" s="47" t="s">
        <v>90</v>
      </c>
      <c r="K5194" s="22" t="s">
        <v>6763</v>
      </c>
      <c r="L5194" s="22"/>
      <c r="M5194" s="22" t="s">
        <v>6713</v>
      </c>
      <c r="N5194" s="50">
        <v>44208</v>
      </c>
      <c r="O5194" s="22" t="s">
        <v>503</v>
      </c>
      <c r="P5194" s="486">
        <v>5980</v>
      </c>
      <c r="Q5194" s="486">
        <v>16</v>
      </c>
      <c r="R5194" s="52">
        <f t="shared" si="165"/>
        <v>95680</v>
      </c>
      <c r="S5194" s="47">
        <v>202304</v>
      </c>
      <c r="T5194" s="123" t="s">
        <v>6784</v>
      </c>
      <c r="U5194" s="48"/>
      <c r="V5194" s="48"/>
      <c r="W5194" s="48"/>
      <c r="X5194" s="50">
        <v>43830</v>
      </c>
      <c r="Y5194" s="50">
        <v>46022</v>
      </c>
    </row>
    <row r="5195" s="5" customFormat="1" customHeight="1" spans="1:25">
      <c r="A5195" s="24" t="s">
        <v>446</v>
      </c>
      <c r="B5195" s="24" t="s">
        <v>6300</v>
      </c>
      <c r="C5195" s="24" t="s">
        <v>3237</v>
      </c>
      <c r="D5195" s="22" t="s">
        <v>6301</v>
      </c>
      <c r="E5195" s="23" t="s">
        <v>6697</v>
      </c>
      <c r="F5195" s="24" t="s">
        <v>6711</v>
      </c>
      <c r="G5195" s="24" t="s">
        <v>88</v>
      </c>
      <c r="H5195" s="22" t="s">
        <v>6762</v>
      </c>
      <c r="I5195" s="46" t="e">
        <f>VLOOKUP(H5195,'合同高级查询数据-4月返'!A:A,1,FALSE)</f>
        <v>#N/A</v>
      </c>
      <c r="J5195" s="47" t="s">
        <v>90</v>
      </c>
      <c r="K5195" s="22" t="s">
        <v>6763</v>
      </c>
      <c r="L5195" s="22"/>
      <c r="M5195" s="22" t="s">
        <v>6713</v>
      </c>
      <c r="N5195" s="50">
        <v>44212</v>
      </c>
      <c r="O5195" s="22" t="s">
        <v>503</v>
      </c>
      <c r="P5195" s="486">
        <v>5980</v>
      </c>
      <c r="Q5195" s="486">
        <v>25</v>
      </c>
      <c r="R5195" s="52">
        <f t="shared" si="165"/>
        <v>149500</v>
      </c>
      <c r="S5195" s="47">
        <v>202304</v>
      </c>
      <c r="T5195" s="123" t="s">
        <v>6785</v>
      </c>
      <c r="U5195" s="48"/>
      <c r="V5195" s="48"/>
      <c r="W5195" s="48"/>
      <c r="X5195" s="50">
        <v>43830</v>
      </c>
      <c r="Y5195" s="50">
        <v>46022</v>
      </c>
    </row>
    <row r="5196" s="5" customFormat="1" customHeight="1" spans="1:25">
      <c r="A5196" s="24" t="s">
        <v>446</v>
      </c>
      <c r="B5196" s="24" t="s">
        <v>6300</v>
      </c>
      <c r="C5196" s="24" t="s">
        <v>3237</v>
      </c>
      <c r="D5196" s="22" t="s">
        <v>6301</v>
      </c>
      <c r="E5196" s="23" t="s">
        <v>6697</v>
      </c>
      <c r="F5196" s="24" t="s">
        <v>6711</v>
      </c>
      <c r="G5196" s="24" t="s">
        <v>88</v>
      </c>
      <c r="H5196" s="22" t="s">
        <v>6762</v>
      </c>
      <c r="I5196" s="46" t="e">
        <f>VLOOKUP(H5196,'合同高级查询数据-4月返'!A:A,1,FALSE)</f>
        <v>#N/A</v>
      </c>
      <c r="J5196" s="47" t="s">
        <v>90</v>
      </c>
      <c r="K5196" s="22" t="s">
        <v>6763</v>
      </c>
      <c r="L5196" s="22"/>
      <c r="M5196" s="22" t="s">
        <v>6713</v>
      </c>
      <c r="N5196" s="50">
        <v>44214</v>
      </c>
      <c r="O5196" s="22" t="s">
        <v>503</v>
      </c>
      <c r="P5196" s="486">
        <v>5980</v>
      </c>
      <c r="Q5196" s="486">
        <v>4</v>
      </c>
      <c r="R5196" s="52">
        <f t="shared" si="165"/>
        <v>23920</v>
      </c>
      <c r="S5196" s="47">
        <v>202304</v>
      </c>
      <c r="T5196" s="123" t="s">
        <v>6786</v>
      </c>
      <c r="U5196" s="48"/>
      <c r="V5196" s="48"/>
      <c r="W5196" s="48"/>
      <c r="X5196" s="50">
        <v>43830</v>
      </c>
      <c r="Y5196" s="50">
        <v>46022</v>
      </c>
    </row>
    <row r="5197" s="5" customFormat="1" customHeight="1" spans="1:25">
      <c r="A5197" s="24" t="s">
        <v>446</v>
      </c>
      <c r="B5197" s="24" t="s">
        <v>6300</v>
      </c>
      <c r="C5197" s="24" t="s">
        <v>3237</v>
      </c>
      <c r="D5197" s="22" t="s">
        <v>6301</v>
      </c>
      <c r="E5197" s="23" t="s">
        <v>6697</v>
      </c>
      <c r="F5197" s="24" t="s">
        <v>6711</v>
      </c>
      <c r="G5197" s="24" t="s">
        <v>88</v>
      </c>
      <c r="H5197" s="22" t="s">
        <v>6762</v>
      </c>
      <c r="I5197" s="46" t="e">
        <f>VLOOKUP(H5197,'合同高级查询数据-4月返'!A:A,1,FALSE)</f>
        <v>#N/A</v>
      </c>
      <c r="J5197" s="47" t="s">
        <v>90</v>
      </c>
      <c r="K5197" s="22" t="s">
        <v>6763</v>
      </c>
      <c r="L5197" s="22"/>
      <c r="M5197" s="22" t="s">
        <v>6713</v>
      </c>
      <c r="N5197" s="50">
        <v>44225</v>
      </c>
      <c r="O5197" s="22" t="s">
        <v>503</v>
      </c>
      <c r="P5197" s="486">
        <v>5980</v>
      </c>
      <c r="Q5197" s="486">
        <v>34</v>
      </c>
      <c r="R5197" s="52">
        <f t="shared" si="165"/>
        <v>203320</v>
      </c>
      <c r="S5197" s="47">
        <v>202304</v>
      </c>
      <c r="T5197" s="123" t="s">
        <v>6787</v>
      </c>
      <c r="U5197" s="48"/>
      <c r="V5197" s="48"/>
      <c r="W5197" s="48"/>
      <c r="X5197" s="50">
        <v>43830</v>
      </c>
      <c r="Y5197" s="50">
        <v>46022</v>
      </c>
    </row>
    <row r="5198" s="5" customFormat="1" customHeight="1" spans="1:25">
      <c r="A5198" s="24" t="s">
        <v>446</v>
      </c>
      <c r="B5198" s="24" t="s">
        <v>6300</v>
      </c>
      <c r="C5198" s="24" t="s">
        <v>3237</v>
      </c>
      <c r="D5198" s="22" t="s">
        <v>6301</v>
      </c>
      <c r="E5198" s="23" t="s">
        <v>6697</v>
      </c>
      <c r="F5198" s="24" t="s">
        <v>6711</v>
      </c>
      <c r="G5198" s="24" t="s">
        <v>88</v>
      </c>
      <c r="H5198" s="22" t="s">
        <v>6762</v>
      </c>
      <c r="I5198" s="46" t="e">
        <f>VLOOKUP(H5198,'合同高级查询数据-4月返'!A:A,1,FALSE)</f>
        <v>#N/A</v>
      </c>
      <c r="J5198" s="47" t="s">
        <v>90</v>
      </c>
      <c r="K5198" s="22" t="s">
        <v>6763</v>
      </c>
      <c r="L5198" s="22"/>
      <c r="M5198" s="22" t="s">
        <v>6713</v>
      </c>
      <c r="N5198" s="50">
        <v>44232</v>
      </c>
      <c r="O5198" s="22" t="s">
        <v>503</v>
      </c>
      <c r="P5198" s="486">
        <v>5980</v>
      </c>
      <c r="Q5198" s="486">
        <v>9</v>
      </c>
      <c r="R5198" s="52">
        <f t="shared" si="165"/>
        <v>53820</v>
      </c>
      <c r="S5198" s="47">
        <v>202304</v>
      </c>
      <c r="T5198" s="123" t="s">
        <v>6788</v>
      </c>
      <c r="U5198" s="48"/>
      <c r="V5198" s="48"/>
      <c r="W5198" s="48"/>
      <c r="X5198" s="50">
        <v>43830</v>
      </c>
      <c r="Y5198" s="50">
        <v>46022</v>
      </c>
    </row>
    <row r="5199" s="5" customFormat="1" customHeight="1" spans="1:25">
      <c r="A5199" s="24" t="s">
        <v>446</v>
      </c>
      <c r="B5199" s="24" t="s">
        <v>6300</v>
      </c>
      <c r="C5199" s="24" t="s">
        <v>3237</v>
      </c>
      <c r="D5199" s="22" t="s">
        <v>6301</v>
      </c>
      <c r="E5199" s="23" t="s">
        <v>6697</v>
      </c>
      <c r="F5199" s="24" t="s">
        <v>6711</v>
      </c>
      <c r="G5199" s="24" t="s">
        <v>88</v>
      </c>
      <c r="H5199" s="22" t="s">
        <v>6762</v>
      </c>
      <c r="I5199" s="46" t="e">
        <f>VLOOKUP(H5199,'合同高级查询数据-4月返'!A:A,1,FALSE)</f>
        <v>#N/A</v>
      </c>
      <c r="J5199" s="47" t="s">
        <v>90</v>
      </c>
      <c r="K5199" s="22" t="s">
        <v>6763</v>
      </c>
      <c r="L5199" s="22"/>
      <c r="M5199" s="22" t="s">
        <v>6713</v>
      </c>
      <c r="N5199" s="50">
        <v>44255</v>
      </c>
      <c r="O5199" s="22" t="s">
        <v>503</v>
      </c>
      <c r="P5199" s="486">
        <v>5980</v>
      </c>
      <c r="Q5199" s="486">
        <v>43</v>
      </c>
      <c r="R5199" s="52">
        <f t="shared" si="165"/>
        <v>257140</v>
      </c>
      <c r="S5199" s="47">
        <v>202304</v>
      </c>
      <c r="T5199" s="123" t="s">
        <v>6789</v>
      </c>
      <c r="U5199" s="48"/>
      <c r="V5199" s="48"/>
      <c r="W5199" s="48"/>
      <c r="X5199" s="50">
        <v>43830</v>
      </c>
      <c r="Y5199" s="50">
        <v>46022</v>
      </c>
    </row>
    <row r="5200" s="5" customFormat="1" customHeight="1" spans="1:25">
      <c r="A5200" s="24" t="s">
        <v>446</v>
      </c>
      <c r="B5200" s="24" t="s">
        <v>6300</v>
      </c>
      <c r="C5200" s="24" t="s">
        <v>3237</v>
      </c>
      <c r="D5200" s="22" t="s">
        <v>6301</v>
      </c>
      <c r="E5200" s="23" t="s">
        <v>6697</v>
      </c>
      <c r="F5200" s="24" t="s">
        <v>6711</v>
      </c>
      <c r="G5200" s="24" t="s">
        <v>88</v>
      </c>
      <c r="H5200" s="22" t="s">
        <v>6762</v>
      </c>
      <c r="I5200" s="46" t="e">
        <f>VLOOKUP(H5200,'合同高级查询数据-4月返'!A:A,1,FALSE)</f>
        <v>#N/A</v>
      </c>
      <c r="J5200" s="47" t="s">
        <v>90</v>
      </c>
      <c r="K5200" s="22" t="s">
        <v>6763</v>
      </c>
      <c r="L5200" s="22"/>
      <c r="M5200" s="22" t="s">
        <v>6713</v>
      </c>
      <c r="N5200" s="50">
        <v>44266</v>
      </c>
      <c r="O5200" s="22" t="s">
        <v>503</v>
      </c>
      <c r="P5200" s="486">
        <v>5980</v>
      </c>
      <c r="Q5200" s="486">
        <v>10</v>
      </c>
      <c r="R5200" s="52">
        <f t="shared" si="165"/>
        <v>59800</v>
      </c>
      <c r="S5200" s="47">
        <v>202304</v>
      </c>
      <c r="T5200" s="123" t="s">
        <v>6790</v>
      </c>
      <c r="U5200" s="48"/>
      <c r="V5200" s="48"/>
      <c r="W5200" s="48"/>
      <c r="X5200" s="50">
        <v>43830</v>
      </c>
      <c r="Y5200" s="50">
        <v>46022</v>
      </c>
    </row>
    <row r="5201" s="5" customFormat="1" customHeight="1" spans="1:25">
      <c r="A5201" s="24" t="s">
        <v>446</v>
      </c>
      <c r="B5201" s="24" t="s">
        <v>6300</v>
      </c>
      <c r="C5201" s="24" t="s">
        <v>3237</v>
      </c>
      <c r="D5201" s="22" t="s">
        <v>6301</v>
      </c>
      <c r="E5201" s="23" t="s">
        <v>6697</v>
      </c>
      <c r="F5201" s="24" t="s">
        <v>6711</v>
      </c>
      <c r="G5201" s="24" t="s">
        <v>88</v>
      </c>
      <c r="H5201" s="22" t="s">
        <v>6762</v>
      </c>
      <c r="I5201" s="46" t="e">
        <f>VLOOKUP(H5201,'合同高级查询数据-4月返'!A:A,1,FALSE)</f>
        <v>#N/A</v>
      </c>
      <c r="J5201" s="47" t="s">
        <v>90</v>
      </c>
      <c r="K5201" s="22" t="s">
        <v>6763</v>
      </c>
      <c r="L5201" s="22"/>
      <c r="M5201" s="22" t="s">
        <v>6713</v>
      </c>
      <c r="N5201" s="50">
        <v>44278</v>
      </c>
      <c r="O5201" s="22" t="s">
        <v>503</v>
      </c>
      <c r="P5201" s="486">
        <v>5980</v>
      </c>
      <c r="Q5201" s="486">
        <v>1</v>
      </c>
      <c r="R5201" s="52">
        <f t="shared" si="165"/>
        <v>5980</v>
      </c>
      <c r="S5201" s="47">
        <v>202304</v>
      </c>
      <c r="T5201" s="123" t="s">
        <v>6791</v>
      </c>
      <c r="U5201" s="48"/>
      <c r="V5201" s="48"/>
      <c r="W5201" s="48"/>
      <c r="X5201" s="50">
        <v>43830</v>
      </c>
      <c r="Y5201" s="50">
        <v>46022</v>
      </c>
    </row>
    <row r="5202" s="5" customFormat="1" customHeight="1" spans="1:25">
      <c r="A5202" s="24" t="s">
        <v>446</v>
      </c>
      <c r="B5202" s="24" t="s">
        <v>6300</v>
      </c>
      <c r="C5202" s="24" t="s">
        <v>3237</v>
      </c>
      <c r="D5202" s="22" t="s">
        <v>6301</v>
      </c>
      <c r="E5202" s="23" t="s">
        <v>6697</v>
      </c>
      <c r="F5202" s="24" t="s">
        <v>6711</v>
      </c>
      <c r="G5202" s="24" t="s">
        <v>88</v>
      </c>
      <c r="H5202" s="22" t="s">
        <v>6762</v>
      </c>
      <c r="I5202" s="46" t="e">
        <f>VLOOKUP(H5202,'合同高级查询数据-4月返'!A:A,1,FALSE)</f>
        <v>#N/A</v>
      </c>
      <c r="J5202" s="47" t="s">
        <v>90</v>
      </c>
      <c r="K5202" s="22" t="s">
        <v>6763</v>
      </c>
      <c r="L5202" s="22"/>
      <c r="M5202" s="22" t="s">
        <v>6713</v>
      </c>
      <c r="N5202" s="50">
        <v>44280</v>
      </c>
      <c r="O5202" s="22" t="s">
        <v>503</v>
      </c>
      <c r="P5202" s="486">
        <v>5980</v>
      </c>
      <c r="Q5202" s="486">
        <v>25</v>
      </c>
      <c r="R5202" s="52">
        <f t="shared" si="165"/>
        <v>149500</v>
      </c>
      <c r="S5202" s="47">
        <v>202304</v>
      </c>
      <c r="T5202" s="123" t="s">
        <v>6792</v>
      </c>
      <c r="U5202" s="48"/>
      <c r="V5202" s="48"/>
      <c r="W5202" s="48"/>
      <c r="X5202" s="50">
        <v>43830</v>
      </c>
      <c r="Y5202" s="50">
        <v>46022</v>
      </c>
    </row>
    <row r="5203" s="5" customFormat="1" customHeight="1" spans="1:25">
      <c r="A5203" s="24" t="s">
        <v>446</v>
      </c>
      <c r="B5203" s="24" t="s">
        <v>6300</v>
      </c>
      <c r="C5203" s="24" t="s">
        <v>3237</v>
      </c>
      <c r="D5203" s="22" t="s">
        <v>6301</v>
      </c>
      <c r="E5203" s="23" t="s">
        <v>6697</v>
      </c>
      <c r="F5203" s="24" t="s">
        <v>6711</v>
      </c>
      <c r="G5203" s="24" t="s">
        <v>88</v>
      </c>
      <c r="H5203" s="22" t="s">
        <v>6762</v>
      </c>
      <c r="I5203" s="46" t="e">
        <f>VLOOKUP(H5203,'合同高级查询数据-4月返'!A:A,1,FALSE)</f>
        <v>#N/A</v>
      </c>
      <c r="J5203" s="47" t="s">
        <v>90</v>
      </c>
      <c r="K5203" s="22" t="s">
        <v>6763</v>
      </c>
      <c r="L5203" s="22"/>
      <c r="M5203" s="22" t="s">
        <v>6713</v>
      </c>
      <c r="N5203" s="50">
        <v>44284</v>
      </c>
      <c r="O5203" s="22" t="s">
        <v>503</v>
      </c>
      <c r="P5203" s="486">
        <v>5980</v>
      </c>
      <c r="Q5203" s="486">
        <v>2</v>
      </c>
      <c r="R5203" s="52">
        <f t="shared" si="165"/>
        <v>11960</v>
      </c>
      <c r="S5203" s="47">
        <v>202304</v>
      </c>
      <c r="T5203" s="123" t="s">
        <v>6793</v>
      </c>
      <c r="U5203" s="48"/>
      <c r="V5203" s="48"/>
      <c r="W5203" s="48"/>
      <c r="X5203" s="50">
        <v>43830</v>
      </c>
      <c r="Y5203" s="50">
        <v>46022</v>
      </c>
    </row>
    <row r="5204" s="5" customFormat="1" customHeight="1" spans="1:25">
      <c r="A5204" s="24" t="s">
        <v>446</v>
      </c>
      <c r="B5204" s="24" t="s">
        <v>6300</v>
      </c>
      <c r="C5204" s="24" t="s">
        <v>3237</v>
      </c>
      <c r="D5204" s="22" t="s">
        <v>6301</v>
      </c>
      <c r="E5204" s="23" t="s">
        <v>6697</v>
      </c>
      <c r="F5204" s="24" t="s">
        <v>6711</v>
      </c>
      <c r="G5204" s="24" t="s">
        <v>88</v>
      </c>
      <c r="H5204" s="22" t="s">
        <v>6762</v>
      </c>
      <c r="I5204" s="46" t="e">
        <f>VLOOKUP(H5204,'合同高级查询数据-4月返'!A:A,1,FALSE)</f>
        <v>#N/A</v>
      </c>
      <c r="J5204" s="47" t="s">
        <v>90</v>
      </c>
      <c r="K5204" s="22" t="s">
        <v>6763</v>
      </c>
      <c r="L5204" s="22"/>
      <c r="M5204" s="22" t="s">
        <v>6713</v>
      </c>
      <c r="N5204" s="50">
        <v>44287</v>
      </c>
      <c r="O5204" s="22" t="s">
        <v>503</v>
      </c>
      <c r="P5204" s="486">
        <v>5980</v>
      </c>
      <c r="Q5204" s="486">
        <v>-10</v>
      </c>
      <c r="R5204" s="52">
        <f t="shared" si="165"/>
        <v>-59800</v>
      </c>
      <c r="S5204" s="47">
        <v>202304</v>
      </c>
      <c r="T5204" s="123" t="s">
        <v>6794</v>
      </c>
      <c r="U5204" s="48"/>
      <c r="V5204" s="48"/>
      <c r="W5204" s="48"/>
      <c r="X5204" s="50">
        <v>43830</v>
      </c>
      <c r="Y5204" s="50">
        <v>46022</v>
      </c>
    </row>
    <row r="5205" s="5" customFormat="1" customHeight="1" spans="1:25">
      <c r="A5205" s="24" t="s">
        <v>446</v>
      </c>
      <c r="B5205" s="24" t="s">
        <v>6300</v>
      </c>
      <c r="C5205" s="24" t="s">
        <v>3237</v>
      </c>
      <c r="D5205" s="22" t="s">
        <v>6301</v>
      </c>
      <c r="E5205" s="23" t="s">
        <v>6697</v>
      </c>
      <c r="F5205" s="24" t="s">
        <v>6711</v>
      </c>
      <c r="G5205" s="24" t="s">
        <v>88</v>
      </c>
      <c r="H5205" s="22" t="s">
        <v>6762</v>
      </c>
      <c r="I5205" s="46" t="e">
        <f>VLOOKUP(H5205,'合同高级查询数据-4月返'!A:A,1,FALSE)</f>
        <v>#N/A</v>
      </c>
      <c r="J5205" s="47" t="s">
        <v>90</v>
      </c>
      <c r="K5205" s="22" t="s">
        <v>6763</v>
      </c>
      <c r="L5205" s="22"/>
      <c r="M5205" s="22" t="s">
        <v>6713</v>
      </c>
      <c r="N5205" s="50">
        <v>44287</v>
      </c>
      <c r="O5205" s="22" t="s">
        <v>503</v>
      </c>
      <c r="P5205" s="486">
        <v>5980</v>
      </c>
      <c r="Q5205" s="486">
        <v>10</v>
      </c>
      <c r="R5205" s="52">
        <f t="shared" si="165"/>
        <v>59800</v>
      </c>
      <c r="S5205" s="47">
        <v>202304</v>
      </c>
      <c r="T5205" s="123" t="s">
        <v>6795</v>
      </c>
      <c r="U5205" s="48"/>
      <c r="V5205" s="48"/>
      <c r="W5205" s="48"/>
      <c r="X5205" s="50">
        <v>43830</v>
      </c>
      <c r="Y5205" s="50">
        <v>46022</v>
      </c>
    </row>
    <row r="5206" s="5" customFormat="1" customHeight="1" spans="1:25">
      <c r="A5206" s="24" t="s">
        <v>446</v>
      </c>
      <c r="B5206" s="24" t="s">
        <v>6300</v>
      </c>
      <c r="C5206" s="24" t="s">
        <v>3237</v>
      </c>
      <c r="D5206" s="22" t="s">
        <v>6301</v>
      </c>
      <c r="E5206" s="23" t="s">
        <v>6697</v>
      </c>
      <c r="F5206" s="24" t="s">
        <v>6711</v>
      </c>
      <c r="G5206" s="24" t="s">
        <v>88</v>
      </c>
      <c r="H5206" s="22" t="s">
        <v>6762</v>
      </c>
      <c r="I5206" s="46" t="e">
        <f>VLOOKUP(H5206,'合同高级查询数据-4月返'!A:A,1,FALSE)</f>
        <v>#N/A</v>
      </c>
      <c r="J5206" s="47" t="s">
        <v>90</v>
      </c>
      <c r="K5206" s="22" t="s">
        <v>6763</v>
      </c>
      <c r="L5206" s="22"/>
      <c r="M5206" s="22" t="s">
        <v>6713</v>
      </c>
      <c r="N5206" s="50">
        <v>44293</v>
      </c>
      <c r="O5206" s="22" t="s">
        <v>503</v>
      </c>
      <c r="P5206" s="486">
        <v>5980</v>
      </c>
      <c r="Q5206" s="486">
        <v>2</v>
      </c>
      <c r="R5206" s="52">
        <f t="shared" si="165"/>
        <v>11960</v>
      </c>
      <c r="S5206" s="47">
        <v>202304</v>
      </c>
      <c r="T5206" s="123" t="s">
        <v>6796</v>
      </c>
      <c r="U5206" s="48"/>
      <c r="V5206" s="48"/>
      <c r="W5206" s="48"/>
      <c r="X5206" s="50">
        <v>43830</v>
      </c>
      <c r="Y5206" s="50">
        <v>46022</v>
      </c>
    </row>
    <row r="5207" s="5" customFormat="1" customHeight="1" spans="1:25">
      <c r="A5207" s="24" t="s">
        <v>446</v>
      </c>
      <c r="B5207" s="24" t="s">
        <v>6300</v>
      </c>
      <c r="C5207" s="24" t="s">
        <v>3237</v>
      </c>
      <c r="D5207" s="22" t="s">
        <v>6301</v>
      </c>
      <c r="E5207" s="23" t="s">
        <v>6697</v>
      </c>
      <c r="F5207" s="24" t="s">
        <v>6711</v>
      </c>
      <c r="G5207" s="24" t="s">
        <v>88</v>
      </c>
      <c r="H5207" s="22" t="s">
        <v>6762</v>
      </c>
      <c r="I5207" s="46" t="e">
        <f>VLOOKUP(H5207,'合同高级查询数据-4月返'!A:A,1,FALSE)</f>
        <v>#N/A</v>
      </c>
      <c r="J5207" s="47" t="s">
        <v>90</v>
      </c>
      <c r="K5207" s="22" t="s">
        <v>6763</v>
      </c>
      <c r="L5207" s="22"/>
      <c r="M5207" s="22" t="s">
        <v>6713</v>
      </c>
      <c r="N5207" s="50">
        <v>44308</v>
      </c>
      <c r="O5207" s="22" t="s">
        <v>503</v>
      </c>
      <c r="P5207" s="486">
        <v>5980</v>
      </c>
      <c r="Q5207" s="486">
        <v>8</v>
      </c>
      <c r="R5207" s="52">
        <f t="shared" si="165"/>
        <v>47840</v>
      </c>
      <c r="S5207" s="47">
        <v>202304</v>
      </c>
      <c r="T5207" s="123" t="s">
        <v>6797</v>
      </c>
      <c r="U5207" s="48"/>
      <c r="V5207" s="48"/>
      <c r="W5207" s="48"/>
      <c r="X5207" s="50">
        <v>43830</v>
      </c>
      <c r="Y5207" s="50">
        <v>46022</v>
      </c>
    </row>
    <row r="5208" s="5" customFormat="1" customHeight="1" spans="1:25">
      <c r="A5208" s="24" t="s">
        <v>446</v>
      </c>
      <c r="B5208" s="24" t="s">
        <v>6300</v>
      </c>
      <c r="C5208" s="24" t="s">
        <v>3237</v>
      </c>
      <c r="D5208" s="22" t="s">
        <v>6301</v>
      </c>
      <c r="E5208" s="23" t="s">
        <v>6697</v>
      </c>
      <c r="F5208" s="24" t="s">
        <v>6711</v>
      </c>
      <c r="G5208" s="24" t="s">
        <v>88</v>
      </c>
      <c r="H5208" s="22" t="s">
        <v>6762</v>
      </c>
      <c r="I5208" s="46" t="e">
        <f>VLOOKUP(H5208,'合同高级查询数据-4月返'!A:A,1,FALSE)</f>
        <v>#N/A</v>
      </c>
      <c r="J5208" s="47" t="s">
        <v>90</v>
      </c>
      <c r="K5208" s="22" t="s">
        <v>6763</v>
      </c>
      <c r="L5208" s="22"/>
      <c r="M5208" s="22" t="s">
        <v>6713</v>
      </c>
      <c r="N5208" s="50">
        <v>44333</v>
      </c>
      <c r="O5208" s="22" t="s">
        <v>503</v>
      </c>
      <c r="P5208" s="486">
        <v>5980</v>
      </c>
      <c r="Q5208" s="486">
        <v>2</v>
      </c>
      <c r="R5208" s="52">
        <f t="shared" si="165"/>
        <v>11960</v>
      </c>
      <c r="S5208" s="47">
        <v>202304</v>
      </c>
      <c r="T5208" s="123" t="s">
        <v>6798</v>
      </c>
      <c r="U5208" s="48"/>
      <c r="V5208" s="48"/>
      <c r="W5208" s="48"/>
      <c r="X5208" s="50">
        <v>43830</v>
      </c>
      <c r="Y5208" s="50">
        <v>46022</v>
      </c>
    </row>
    <row r="5209" s="5" customFormat="1" customHeight="1" spans="1:25">
      <c r="A5209" s="24" t="s">
        <v>446</v>
      </c>
      <c r="B5209" s="24" t="s">
        <v>6300</v>
      </c>
      <c r="C5209" s="24" t="s">
        <v>3237</v>
      </c>
      <c r="D5209" s="22" t="s">
        <v>6301</v>
      </c>
      <c r="E5209" s="23" t="s">
        <v>6697</v>
      </c>
      <c r="F5209" s="24" t="s">
        <v>6711</v>
      </c>
      <c r="G5209" s="24" t="s">
        <v>88</v>
      </c>
      <c r="H5209" s="22" t="s">
        <v>6762</v>
      </c>
      <c r="I5209" s="46" t="e">
        <f>VLOOKUP(H5209,'合同高级查询数据-4月返'!A:A,1,FALSE)</f>
        <v>#N/A</v>
      </c>
      <c r="J5209" s="47" t="s">
        <v>90</v>
      </c>
      <c r="K5209" s="22" t="s">
        <v>6763</v>
      </c>
      <c r="L5209" s="22"/>
      <c r="M5209" s="22" t="s">
        <v>6713</v>
      </c>
      <c r="N5209" s="50">
        <v>44384</v>
      </c>
      <c r="O5209" s="22" t="s">
        <v>566</v>
      </c>
      <c r="P5209" s="486">
        <v>12229.1</v>
      </c>
      <c r="Q5209" s="486">
        <v>-2</v>
      </c>
      <c r="R5209" s="52">
        <f t="shared" si="165"/>
        <v>-24458.2</v>
      </c>
      <c r="S5209" s="47">
        <v>202304</v>
      </c>
      <c r="T5209" s="123" t="s">
        <v>6799</v>
      </c>
      <c r="U5209" s="48"/>
      <c r="V5209" s="48"/>
      <c r="W5209" s="48"/>
      <c r="X5209" s="50">
        <v>43830</v>
      </c>
      <c r="Y5209" s="50">
        <v>46022</v>
      </c>
    </row>
    <row r="5210" s="5" customFormat="1" customHeight="1" spans="1:25">
      <c r="A5210" s="24" t="s">
        <v>446</v>
      </c>
      <c r="B5210" s="24" t="s">
        <v>6300</v>
      </c>
      <c r="C5210" s="24" t="s">
        <v>3237</v>
      </c>
      <c r="D5210" s="22" t="s">
        <v>6301</v>
      </c>
      <c r="E5210" s="23" t="s">
        <v>6697</v>
      </c>
      <c r="F5210" s="24" t="s">
        <v>6711</v>
      </c>
      <c r="G5210" s="24" t="s">
        <v>88</v>
      </c>
      <c r="H5210" s="22" t="s">
        <v>6762</v>
      </c>
      <c r="I5210" s="46" t="e">
        <f>VLOOKUP(H5210,'合同高级查询数据-4月返'!A:A,1,FALSE)</f>
        <v>#N/A</v>
      </c>
      <c r="J5210" s="47" t="s">
        <v>90</v>
      </c>
      <c r="K5210" s="22" t="s">
        <v>6763</v>
      </c>
      <c r="L5210" s="22"/>
      <c r="M5210" s="22" t="s">
        <v>6713</v>
      </c>
      <c r="N5210" s="50">
        <v>44388</v>
      </c>
      <c r="O5210" s="22" t="s">
        <v>503</v>
      </c>
      <c r="P5210" s="486">
        <v>5980</v>
      </c>
      <c r="Q5210" s="486">
        <v>18</v>
      </c>
      <c r="R5210" s="52">
        <f t="shared" si="165"/>
        <v>107640</v>
      </c>
      <c r="S5210" s="47">
        <v>202304</v>
      </c>
      <c r="T5210" s="123" t="s">
        <v>6800</v>
      </c>
      <c r="U5210" s="48"/>
      <c r="V5210" s="48"/>
      <c r="W5210" s="48"/>
      <c r="X5210" s="50">
        <v>43830</v>
      </c>
      <c r="Y5210" s="50">
        <v>46022</v>
      </c>
    </row>
    <row r="5211" s="5" customFormat="1" customHeight="1" spans="1:25">
      <c r="A5211" s="24" t="s">
        <v>446</v>
      </c>
      <c r="B5211" s="24" t="s">
        <v>6300</v>
      </c>
      <c r="C5211" s="24" t="s">
        <v>3237</v>
      </c>
      <c r="D5211" s="22" t="s">
        <v>6301</v>
      </c>
      <c r="E5211" s="23" t="s">
        <v>6697</v>
      </c>
      <c r="F5211" s="24" t="s">
        <v>6711</v>
      </c>
      <c r="G5211" s="24" t="s">
        <v>88</v>
      </c>
      <c r="H5211" s="22" t="s">
        <v>6762</v>
      </c>
      <c r="I5211" s="46" t="e">
        <f>VLOOKUP(H5211,'合同高级查询数据-4月返'!A:A,1,FALSE)</f>
        <v>#N/A</v>
      </c>
      <c r="J5211" s="47" t="s">
        <v>90</v>
      </c>
      <c r="K5211" s="22" t="s">
        <v>6763</v>
      </c>
      <c r="L5211" s="22"/>
      <c r="M5211" s="22" t="s">
        <v>6713</v>
      </c>
      <c r="N5211" s="50">
        <v>44399</v>
      </c>
      <c r="O5211" s="22" t="s">
        <v>503</v>
      </c>
      <c r="P5211" s="486">
        <v>5980</v>
      </c>
      <c r="Q5211" s="486">
        <v>32</v>
      </c>
      <c r="R5211" s="52">
        <f t="shared" si="165"/>
        <v>191360</v>
      </c>
      <c r="S5211" s="47">
        <v>202304</v>
      </c>
      <c r="T5211" s="123" t="s">
        <v>6801</v>
      </c>
      <c r="U5211" s="48"/>
      <c r="V5211" s="48"/>
      <c r="W5211" s="48"/>
      <c r="X5211" s="50">
        <v>43830</v>
      </c>
      <c r="Y5211" s="50">
        <v>46022</v>
      </c>
    </row>
    <row r="5212" s="5" customFormat="1" customHeight="1" spans="1:25">
      <c r="A5212" s="24" t="s">
        <v>446</v>
      </c>
      <c r="B5212" s="24" t="s">
        <v>6300</v>
      </c>
      <c r="C5212" s="24" t="s">
        <v>3237</v>
      </c>
      <c r="D5212" s="22" t="s">
        <v>6301</v>
      </c>
      <c r="E5212" s="23" t="s">
        <v>6697</v>
      </c>
      <c r="F5212" s="24" t="s">
        <v>6711</v>
      </c>
      <c r="G5212" s="24" t="s">
        <v>88</v>
      </c>
      <c r="H5212" s="22" t="s">
        <v>6762</v>
      </c>
      <c r="I5212" s="46" t="e">
        <f>VLOOKUP(H5212,'合同高级查询数据-4月返'!A:A,1,FALSE)</f>
        <v>#N/A</v>
      </c>
      <c r="J5212" s="47" t="s">
        <v>90</v>
      </c>
      <c r="K5212" s="22" t="s">
        <v>6763</v>
      </c>
      <c r="L5212" s="22"/>
      <c r="M5212" s="22" t="s">
        <v>6713</v>
      </c>
      <c r="N5212" s="50">
        <v>44406</v>
      </c>
      <c r="O5212" s="22" t="s">
        <v>503</v>
      </c>
      <c r="P5212" s="486">
        <v>5980</v>
      </c>
      <c r="Q5212" s="486">
        <v>11</v>
      </c>
      <c r="R5212" s="52">
        <f t="shared" si="165"/>
        <v>65780</v>
      </c>
      <c r="S5212" s="47">
        <v>202304</v>
      </c>
      <c r="T5212" s="123" t="s">
        <v>6802</v>
      </c>
      <c r="U5212" s="48"/>
      <c r="V5212" s="48"/>
      <c r="W5212" s="48"/>
      <c r="X5212" s="50">
        <v>43830</v>
      </c>
      <c r="Y5212" s="50">
        <v>46022</v>
      </c>
    </row>
    <row r="5213" s="5" customFormat="1" customHeight="1" spans="1:25">
      <c r="A5213" s="24" t="s">
        <v>446</v>
      </c>
      <c r="B5213" s="24" t="s">
        <v>6300</v>
      </c>
      <c r="C5213" s="24" t="s">
        <v>3237</v>
      </c>
      <c r="D5213" s="22" t="s">
        <v>6301</v>
      </c>
      <c r="E5213" s="23" t="s">
        <v>6697</v>
      </c>
      <c r="F5213" s="24" t="s">
        <v>6711</v>
      </c>
      <c r="G5213" s="24" t="s">
        <v>88</v>
      </c>
      <c r="H5213" s="22" t="s">
        <v>6762</v>
      </c>
      <c r="I5213" s="46" t="e">
        <f>VLOOKUP(H5213,'合同高级查询数据-4月返'!A:A,1,FALSE)</f>
        <v>#N/A</v>
      </c>
      <c r="J5213" s="47" t="s">
        <v>90</v>
      </c>
      <c r="K5213" s="22" t="s">
        <v>6763</v>
      </c>
      <c r="L5213" s="22"/>
      <c r="M5213" s="22" t="s">
        <v>6713</v>
      </c>
      <c r="N5213" s="50">
        <v>44407</v>
      </c>
      <c r="O5213" s="22" t="s">
        <v>503</v>
      </c>
      <c r="P5213" s="486">
        <v>5980</v>
      </c>
      <c r="Q5213" s="486">
        <v>9</v>
      </c>
      <c r="R5213" s="52">
        <f t="shared" si="165"/>
        <v>53820</v>
      </c>
      <c r="S5213" s="47">
        <v>202304</v>
      </c>
      <c r="T5213" s="123" t="s">
        <v>6803</v>
      </c>
      <c r="U5213" s="48"/>
      <c r="V5213" s="48"/>
      <c r="W5213" s="48"/>
      <c r="X5213" s="50">
        <v>43830</v>
      </c>
      <c r="Y5213" s="50">
        <v>46022</v>
      </c>
    </row>
    <row r="5214" s="5" customFormat="1" customHeight="1" spans="1:25">
      <c r="A5214" s="24" t="s">
        <v>446</v>
      </c>
      <c r="B5214" s="24" t="s">
        <v>6300</v>
      </c>
      <c r="C5214" s="24" t="s">
        <v>3237</v>
      </c>
      <c r="D5214" s="22" t="s">
        <v>6301</v>
      </c>
      <c r="E5214" s="23" t="s">
        <v>6697</v>
      </c>
      <c r="F5214" s="24" t="s">
        <v>6711</v>
      </c>
      <c r="G5214" s="24" t="s">
        <v>88</v>
      </c>
      <c r="H5214" s="22" t="s">
        <v>6762</v>
      </c>
      <c r="I5214" s="46" t="e">
        <f>VLOOKUP(H5214,'合同高级查询数据-4月返'!A:A,1,FALSE)</f>
        <v>#N/A</v>
      </c>
      <c r="J5214" s="47" t="s">
        <v>90</v>
      </c>
      <c r="K5214" s="22" t="s">
        <v>6763</v>
      </c>
      <c r="L5214" s="22"/>
      <c r="M5214" s="22" t="s">
        <v>6713</v>
      </c>
      <c r="N5214" s="50">
        <v>44409</v>
      </c>
      <c r="O5214" s="22" t="s">
        <v>503</v>
      </c>
      <c r="P5214" s="486">
        <v>5980</v>
      </c>
      <c r="Q5214" s="486">
        <v>13</v>
      </c>
      <c r="R5214" s="52">
        <f t="shared" si="165"/>
        <v>77740</v>
      </c>
      <c r="S5214" s="47">
        <v>202304</v>
      </c>
      <c r="T5214" s="123" t="s">
        <v>6804</v>
      </c>
      <c r="U5214" s="48"/>
      <c r="V5214" s="48"/>
      <c r="W5214" s="48"/>
      <c r="X5214" s="50">
        <v>43830</v>
      </c>
      <c r="Y5214" s="50">
        <v>46022</v>
      </c>
    </row>
    <row r="5215" s="5" customFormat="1" customHeight="1" spans="1:25">
      <c r="A5215" s="24" t="s">
        <v>446</v>
      </c>
      <c r="B5215" s="24" t="s">
        <v>6300</v>
      </c>
      <c r="C5215" s="24" t="s">
        <v>3237</v>
      </c>
      <c r="D5215" s="22" t="s">
        <v>6301</v>
      </c>
      <c r="E5215" s="23" t="s">
        <v>6697</v>
      </c>
      <c r="F5215" s="24" t="s">
        <v>6711</v>
      </c>
      <c r="G5215" s="24" t="s">
        <v>88</v>
      </c>
      <c r="H5215" s="22" t="s">
        <v>6762</v>
      </c>
      <c r="I5215" s="46" t="e">
        <f>VLOOKUP(H5215,'合同高级查询数据-4月返'!A:A,1,FALSE)</f>
        <v>#N/A</v>
      </c>
      <c r="J5215" s="47" t="s">
        <v>90</v>
      </c>
      <c r="K5215" s="22" t="s">
        <v>6763</v>
      </c>
      <c r="L5215" s="22"/>
      <c r="M5215" s="22" t="s">
        <v>6713</v>
      </c>
      <c r="N5215" s="50">
        <v>44446</v>
      </c>
      <c r="O5215" s="22" t="s">
        <v>503</v>
      </c>
      <c r="P5215" s="486">
        <v>5980</v>
      </c>
      <c r="Q5215" s="486">
        <v>6</v>
      </c>
      <c r="R5215" s="52">
        <f t="shared" si="165"/>
        <v>35880</v>
      </c>
      <c r="S5215" s="47">
        <v>202304</v>
      </c>
      <c r="T5215" s="123" t="s">
        <v>6805</v>
      </c>
      <c r="U5215" s="48"/>
      <c r="V5215" s="48"/>
      <c r="W5215" s="48"/>
      <c r="X5215" s="50">
        <v>43830</v>
      </c>
      <c r="Y5215" s="50">
        <v>46022</v>
      </c>
    </row>
    <row r="5216" s="5" customFormat="1" customHeight="1" spans="1:25">
      <c r="A5216" s="24" t="s">
        <v>446</v>
      </c>
      <c r="B5216" s="24" t="s">
        <v>6300</v>
      </c>
      <c r="C5216" s="24" t="s">
        <v>3237</v>
      </c>
      <c r="D5216" s="22" t="s">
        <v>6301</v>
      </c>
      <c r="E5216" s="23" t="s">
        <v>6697</v>
      </c>
      <c r="F5216" s="24" t="s">
        <v>6711</v>
      </c>
      <c r="G5216" s="24" t="s">
        <v>88</v>
      </c>
      <c r="H5216" s="22" t="s">
        <v>6762</v>
      </c>
      <c r="I5216" s="46" t="e">
        <f>VLOOKUP(H5216,'合同高级查询数据-4月返'!A:A,1,FALSE)</f>
        <v>#N/A</v>
      </c>
      <c r="J5216" s="47" t="s">
        <v>90</v>
      </c>
      <c r="K5216" s="22" t="s">
        <v>6763</v>
      </c>
      <c r="L5216" s="22"/>
      <c r="M5216" s="22" t="s">
        <v>6713</v>
      </c>
      <c r="N5216" s="50">
        <v>44452</v>
      </c>
      <c r="O5216" s="22" t="s">
        <v>503</v>
      </c>
      <c r="P5216" s="486">
        <v>5980</v>
      </c>
      <c r="Q5216" s="486">
        <v>1</v>
      </c>
      <c r="R5216" s="52">
        <f t="shared" si="165"/>
        <v>5980</v>
      </c>
      <c r="S5216" s="47">
        <v>202304</v>
      </c>
      <c r="T5216" s="123" t="s">
        <v>6806</v>
      </c>
      <c r="U5216" s="48"/>
      <c r="V5216" s="48"/>
      <c r="W5216" s="48"/>
      <c r="X5216" s="50">
        <v>43830</v>
      </c>
      <c r="Y5216" s="50">
        <v>46022</v>
      </c>
    </row>
    <row r="5217" s="5" customFormat="1" customHeight="1" spans="1:25">
      <c r="A5217" s="24" t="s">
        <v>446</v>
      </c>
      <c r="B5217" s="24" t="s">
        <v>6300</v>
      </c>
      <c r="C5217" s="24" t="s">
        <v>3237</v>
      </c>
      <c r="D5217" s="22" t="s">
        <v>6301</v>
      </c>
      <c r="E5217" s="23" t="s">
        <v>6697</v>
      </c>
      <c r="F5217" s="24" t="s">
        <v>6711</v>
      </c>
      <c r="G5217" s="24" t="s">
        <v>88</v>
      </c>
      <c r="H5217" s="22" t="s">
        <v>6762</v>
      </c>
      <c r="I5217" s="46" t="e">
        <f>VLOOKUP(H5217,'合同高级查询数据-4月返'!A:A,1,FALSE)</f>
        <v>#N/A</v>
      </c>
      <c r="J5217" s="47" t="s">
        <v>90</v>
      </c>
      <c r="K5217" s="22" t="s">
        <v>6763</v>
      </c>
      <c r="L5217" s="22"/>
      <c r="M5217" s="22" t="s">
        <v>6713</v>
      </c>
      <c r="N5217" s="50">
        <v>44466</v>
      </c>
      <c r="O5217" s="22" t="s">
        <v>503</v>
      </c>
      <c r="P5217" s="486">
        <v>5980</v>
      </c>
      <c r="Q5217" s="486">
        <v>-2</v>
      </c>
      <c r="R5217" s="52">
        <f t="shared" si="165"/>
        <v>-11960</v>
      </c>
      <c r="S5217" s="47">
        <v>202304</v>
      </c>
      <c r="T5217" s="123" t="s">
        <v>6807</v>
      </c>
      <c r="U5217" s="491"/>
      <c r="V5217" s="48"/>
      <c r="W5217" s="491"/>
      <c r="X5217" s="50">
        <v>43830</v>
      </c>
      <c r="Y5217" s="50">
        <v>46022</v>
      </c>
    </row>
    <row r="5218" s="5" customFormat="1" customHeight="1" spans="1:25">
      <c r="A5218" s="24" t="s">
        <v>446</v>
      </c>
      <c r="B5218" s="24" t="s">
        <v>6300</v>
      </c>
      <c r="C5218" s="24" t="s">
        <v>3237</v>
      </c>
      <c r="D5218" s="22" t="s">
        <v>6301</v>
      </c>
      <c r="E5218" s="23" t="s">
        <v>6697</v>
      </c>
      <c r="F5218" s="24" t="s">
        <v>6711</v>
      </c>
      <c r="G5218" s="24" t="s">
        <v>88</v>
      </c>
      <c r="H5218" s="22" t="s">
        <v>6762</v>
      </c>
      <c r="I5218" s="46" t="e">
        <f>VLOOKUP(H5218,'合同高级查询数据-4月返'!A:A,1,FALSE)</f>
        <v>#N/A</v>
      </c>
      <c r="J5218" s="47" t="s">
        <v>90</v>
      </c>
      <c r="K5218" s="22" t="s">
        <v>6763</v>
      </c>
      <c r="L5218" s="22"/>
      <c r="M5218" s="22" t="s">
        <v>6713</v>
      </c>
      <c r="N5218" s="50">
        <v>44467</v>
      </c>
      <c r="O5218" s="22" t="s">
        <v>525</v>
      </c>
      <c r="P5218" s="486">
        <v>8970</v>
      </c>
      <c r="Q5218" s="486">
        <v>2</v>
      </c>
      <c r="R5218" s="52">
        <f t="shared" si="165"/>
        <v>17940</v>
      </c>
      <c r="S5218" s="47">
        <v>202304</v>
      </c>
      <c r="T5218" s="123" t="s">
        <v>6808</v>
      </c>
      <c r="U5218" s="48"/>
      <c r="V5218" s="48"/>
      <c r="W5218" s="48"/>
      <c r="X5218" s="50">
        <v>43830</v>
      </c>
      <c r="Y5218" s="50">
        <v>46022</v>
      </c>
    </row>
    <row r="5219" s="5" customFormat="1" customHeight="1" spans="1:25">
      <c r="A5219" s="24" t="s">
        <v>446</v>
      </c>
      <c r="B5219" s="24" t="s">
        <v>6300</v>
      </c>
      <c r="C5219" s="24" t="s">
        <v>3237</v>
      </c>
      <c r="D5219" s="22" t="s">
        <v>6301</v>
      </c>
      <c r="E5219" s="23" t="s">
        <v>6697</v>
      </c>
      <c r="F5219" s="24" t="s">
        <v>6711</v>
      </c>
      <c r="G5219" s="24" t="s">
        <v>88</v>
      </c>
      <c r="H5219" s="22" t="s">
        <v>6762</v>
      </c>
      <c r="I5219" s="46" t="e">
        <f>VLOOKUP(H5219,'合同高级查询数据-4月返'!A:A,1,FALSE)</f>
        <v>#N/A</v>
      </c>
      <c r="J5219" s="47" t="s">
        <v>90</v>
      </c>
      <c r="K5219" s="22" t="s">
        <v>6763</v>
      </c>
      <c r="L5219" s="22"/>
      <c r="M5219" s="22" t="s">
        <v>6713</v>
      </c>
      <c r="N5219" s="50">
        <v>44478</v>
      </c>
      <c r="O5219" s="22" t="s">
        <v>503</v>
      </c>
      <c r="P5219" s="486">
        <v>5980</v>
      </c>
      <c r="Q5219" s="486">
        <v>9</v>
      </c>
      <c r="R5219" s="52">
        <f t="shared" si="165"/>
        <v>53820</v>
      </c>
      <c r="S5219" s="47">
        <v>202304</v>
      </c>
      <c r="T5219" s="123" t="s">
        <v>6809</v>
      </c>
      <c r="U5219" s="48"/>
      <c r="V5219" s="48"/>
      <c r="W5219" s="48"/>
      <c r="X5219" s="50">
        <v>43830</v>
      </c>
      <c r="Y5219" s="50">
        <v>46022</v>
      </c>
    </row>
    <row r="5220" s="5" customFormat="1" customHeight="1" spans="1:25">
      <c r="A5220" s="24" t="s">
        <v>446</v>
      </c>
      <c r="B5220" s="24" t="s">
        <v>6300</v>
      </c>
      <c r="C5220" s="24" t="s">
        <v>3237</v>
      </c>
      <c r="D5220" s="22" t="s">
        <v>6301</v>
      </c>
      <c r="E5220" s="23" t="s">
        <v>6697</v>
      </c>
      <c r="F5220" s="24" t="s">
        <v>6711</v>
      </c>
      <c r="G5220" s="24" t="s">
        <v>88</v>
      </c>
      <c r="H5220" s="22" t="s">
        <v>6762</v>
      </c>
      <c r="I5220" s="46" t="e">
        <f>VLOOKUP(H5220,'合同高级查询数据-4月返'!A:A,1,FALSE)</f>
        <v>#N/A</v>
      </c>
      <c r="J5220" s="47" t="s">
        <v>90</v>
      </c>
      <c r="K5220" s="22" t="s">
        <v>6763</v>
      </c>
      <c r="L5220" s="22"/>
      <c r="M5220" s="22" t="s">
        <v>6713</v>
      </c>
      <c r="N5220" s="50">
        <v>44508</v>
      </c>
      <c r="O5220" s="22" t="s">
        <v>566</v>
      </c>
      <c r="P5220" s="486">
        <v>12229.1</v>
      </c>
      <c r="Q5220" s="486">
        <v>2</v>
      </c>
      <c r="R5220" s="52">
        <f t="shared" si="165"/>
        <v>24458.2</v>
      </c>
      <c r="S5220" s="47">
        <v>202304</v>
      </c>
      <c r="T5220" s="123" t="s">
        <v>6810</v>
      </c>
      <c r="U5220" s="48"/>
      <c r="V5220" s="48"/>
      <c r="W5220" s="48"/>
      <c r="X5220" s="50">
        <v>43830</v>
      </c>
      <c r="Y5220" s="50">
        <v>46022</v>
      </c>
    </row>
    <row r="5221" s="5" customFormat="1" customHeight="1" spans="1:25">
      <c r="A5221" s="24" t="s">
        <v>446</v>
      </c>
      <c r="B5221" s="24" t="s">
        <v>6300</v>
      </c>
      <c r="C5221" s="24" t="s">
        <v>3237</v>
      </c>
      <c r="D5221" s="22" t="s">
        <v>6301</v>
      </c>
      <c r="E5221" s="23" t="s">
        <v>6697</v>
      </c>
      <c r="F5221" s="24" t="s">
        <v>6711</v>
      </c>
      <c r="G5221" s="24" t="s">
        <v>88</v>
      </c>
      <c r="H5221" s="22" t="s">
        <v>6762</v>
      </c>
      <c r="I5221" s="46" t="e">
        <f>VLOOKUP(H5221,'合同高级查询数据-4月返'!A:A,1,FALSE)</f>
        <v>#N/A</v>
      </c>
      <c r="J5221" s="47" t="s">
        <v>162</v>
      </c>
      <c r="K5221" s="22" t="s">
        <v>6763</v>
      </c>
      <c r="L5221" s="22"/>
      <c r="M5221" s="49" t="s">
        <v>6713</v>
      </c>
      <c r="N5221" s="50">
        <v>44504</v>
      </c>
      <c r="O5221" s="451" t="s">
        <v>503</v>
      </c>
      <c r="P5221" s="52">
        <v>5980</v>
      </c>
      <c r="Q5221" s="70">
        <v>6</v>
      </c>
      <c r="R5221" s="52">
        <f t="shared" si="165"/>
        <v>35880</v>
      </c>
      <c r="S5221" s="47">
        <v>202304</v>
      </c>
      <c r="T5221" s="123" t="s">
        <v>6811</v>
      </c>
      <c r="U5221" s="48"/>
      <c r="V5221" s="48"/>
      <c r="W5221" s="48"/>
      <c r="X5221" s="50">
        <v>43830</v>
      </c>
      <c r="Y5221" s="73">
        <v>46022</v>
      </c>
    </row>
    <row r="5222" s="5" customFormat="1" customHeight="1" spans="1:25">
      <c r="A5222" s="24" t="s">
        <v>446</v>
      </c>
      <c r="B5222" s="24" t="s">
        <v>6300</v>
      </c>
      <c r="C5222" s="24" t="s">
        <v>3237</v>
      </c>
      <c r="D5222" s="22" t="s">
        <v>6301</v>
      </c>
      <c r="E5222" s="23" t="s">
        <v>6697</v>
      </c>
      <c r="F5222" s="24" t="s">
        <v>6711</v>
      </c>
      <c r="G5222" s="24" t="s">
        <v>88</v>
      </c>
      <c r="H5222" s="22" t="s">
        <v>6762</v>
      </c>
      <c r="I5222" s="46" t="e">
        <f>VLOOKUP(H5222,'合同高级查询数据-4月返'!A:A,1,FALSE)</f>
        <v>#N/A</v>
      </c>
      <c r="J5222" s="47" t="s">
        <v>90</v>
      </c>
      <c r="K5222" s="22" t="s">
        <v>6763</v>
      </c>
      <c r="L5222" s="22"/>
      <c r="M5222" s="49" t="s">
        <v>6713</v>
      </c>
      <c r="N5222" s="50">
        <v>44536</v>
      </c>
      <c r="O5222" s="451" t="s">
        <v>503</v>
      </c>
      <c r="P5222" s="52">
        <v>5980</v>
      </c>
      <c r="Q5222" s="70">
        <v>2</v>
      </c>
      <c r="R5222" s="52">
        <f t="shared" si="165"/>
        <v>11960</v>
      </c>
      <c r="S5222" s="47">
        <v>202304</v>
      </c>
      <c r="T5222" s="123" t="s">
        <v>6812</v>
      </c>
      <c r="U5222" s="48"/>
      <c r="V5222" s="48"/>
      <c r="W5222" s="48"/>
      <c r="X5222" s="50">
        <v>43830</v>
      </c>
      <c r="Y5222" s="73">
        <v>46022</v>
      </c>
    </row>
    <row r="5223" s="5" customFormat="1" customHeight="1" spans="1:25">
      <c r="A5223" s="24" t="s">
        <v>446</v>
      </c>
      <c r="B5223" s="24" t="s">
        <v>6300</v>
      </c>
      <c r="C5223" s="24" t="s">
        <v>3237</v>
      </c>
      <c r="D5223" s="22" t="s">
        <v>6301</v>
      </c>
      <c r="E5223" s="23" t="s">
        <v>6697</v>
      </c>
      <c r="F5223" s="24" t="s">
        <v>6711</v>
      </c>
      <c r="G5223" s="24" t="s">
        <v>88</v>
      </c>
      <c r="H5223" s="22" t="s">
        <v>6762</v>
      </c>
      <c r="I5223" s="46" t="e">
        <f>VLOOKUP(H5223,'合同高级查询数据-4月返'!A:A,1,FALSE)</f>
        <v>#N/A</v>
      </c>
      <c r="J5223" s="47" t="s">
        <v>90</v>
      </c>
      <c r="K5223" s="22" t="s">
        <v>6763</v>
      </c>
      <c r="L5223" s="22"/>
      <c r="M5223" s="49" t="s">
        <v>6713</v>
      </c>
      <c r="N5223" s="50">
        <v>44560</v>
      </c>
      <c r="O5223" s="451" t="s">
        <v>503</v>
      </c>
      <c r="P5223" s="52">
        <v>5980</v>
      </c>
      <c r="Q5223" s="70">
        <v>6</v>
      </c>
      <c r="R5223" s="52">
        <f t="shared" si="165"/>
        <v>35880</v>
      </c>
      <c r="S5223" s="47">
        <v>202304</v>
      </c>
      <c r="T5223" s="123" t="s">
        <v>6813</v>
      </c>
      <c r="U5223" s="48"/>
      <c r="V5223" s="48"/>
      <c r="W5223" s="48"/>
      <c r="X5223" s="50">
        <v>43830</v>
      </c>
      <c r="Y5223" s="73">
        <v>46022</v>
      </c>
    </row>
    <row r="5224" s="5" customFormat="1" customHeight="1" spans="1:25">
      <c r="A5224" s="24" t="s">
        <v>446</v>
      </c>
      <c r="B5224" s="24" t="s">
        <v>6300</v>
      </c>
      <c r="C5224" s="24" t="s">
        <v>3237</v>
      </c>
      <c r="D5224" s="22" t="s">
        <v>6301</v>
      </c>
      <c r="E5224" s="23" t="s">
        <v>6697</v>
      </c>
      <c r="F5224" s="24" t="s">
        <v>6711</v>
      </c>
      <c r="G5224" s="24" t="s">
        <v>88</v>
      </c>
      <c r="H5224" s="22" t="s">
        <v>6762</v>
      </c>
      <c r="I5224" s="46" t="e">
        <f>VLOOKUP(H5224,'合同高级查询数据-4月返'!A:A,1,FALSE)</f>
        <v>#N/A</v>
      </c>
      <c r="J5224" s="47" t="s">
        <v>90</v>
      </c>
      <c r="K5224" s="22" t="s">
        <v>6763</v>
      </c>
      <c r="L5224" s="22"/>
      <c r="M5224" s="49" t="s">
        <v>6713</v>
      </c>
      <c r="N5224" s="50">
        <v>44571</v>
      </c>
      <c r="O5224" s="451" t="s">
        <v>503</v>
      </c>
      <c r="P5224" s="52">
        <v>5980</v>
      </c>
      <c r="Q5224" s="70">
        <v>57</v>
      </c>
      <c r="R5224" s="52">
        <f t="shared" si="165"/>
        <v>340860</v>
      </c>
      <c r="S5224" s="47">
        <v>202304</v>
      </c>
      <c r="T5224" s="123" t="s">
        <v>6814</v>
      </c>
      <c r="U5224" s="48"/>
      <c r="V5224" s="48"/>
      <c r="W5224" s="48"/>
      <c r="X5224" s="50">
        <v>43830</v>
      </c>
      <c r="Y5224" s="73">
        <v>46022</v>
      </c>
    </row>
    <row r="5225" s="5" customFormat="1" customHeight="1" spans="1:25">
      <c r="A5225" s="24" t="s">
        <v>446</v>
      </c>
      <c r="B5225" s="24" t="s">
        <v>6300</v>
      </c>
      <c r="C5225" s="24" t="s">
        <v>3237</v>
      </c>
      <c r="D5225" s="22" t="s">
        <v>6301</v>
      </c>
      <c r="E5225" s="23" t="s">
        <v>6697</v>
      </c>
      <c r="F5225" s="24" t="s">
        <v>6711</v>
      </c>
      <c r="G5225" s="24" t="s">
        <v>88</v>
      </c>
      <c r="H5225" s="22" t="s">
        <v>6762</v>
      </c>
      <c r="I5225" s="46" t="e">
        <f>VLOOKUP(H5225,'合同高级查询数据-4月返'!A:A,1,FALSE)</f>
        <v>#N/A</v>
      </c>
      <c r="J5225" s="47" t="s">
        <v>90</v>
      </c>
      <c r="K5225" s="22" t="s">
        <v>6763</v>
      </c>
      <c r="L5225" s="22"/>
      <c r="M5225" s="49" t="s">
        <v>6713</v>
      </c>
      <c r="N5225" s="50">
        <v>44575</v>
      </c>
      <c r="O5225" s="451" t="s">
        <v>503</v>
      </c>
      <c r="P5225" s="52">
        <v>5980</v>
      </c>
      <c r="Q5225" s="70">
        <v>22</v>
      </c>
      <c r="R5225" s="52">
        <f t="shared" si="165"/>
        <v>131560</v>
      </c>
      <c r="S5225" s="47">
        <v>202304</v>
      </c>
      <c r="T5225" s="123" t="s">
        <v>6815</v>
      </c>
      <c r="U5225" s="48"/>
      <c r="V5225" s="48"/>
      <c r="W5225" s="48"/>
      <c r="X5225" s="50">
        <v>43830</v>
      </c>
      <c r="Y5225" s="73">
        <v>46022</v>
      </c>
    </row>
    <row r="5226" s="5" customFormat="1" customHeight="1" spans="1:25">
      <c r="A5226" s="24" t="s">
        <v>446</v>
      </c>
      <c r="B5226" s="24" t="s">
        <v>6300</v>
      </c>
      <c r="C5226" s="24" t="s">
        <v>3237</v>
      </c>
      <c r="D5226" s="22" t="s">
        <v>6301</v>
      </c>
      <c r="E5226" s="23" t="s">
        <v>6697</v>
      </c>
      <c r="F5226" s="24" t="s">
        <v>6711</v>
      </c>
      <c r="G5226" s="24" t="s">
        <v>88</v>
      </c>
      <c r="H5226" s="22" t="s">
        <v>6762</v>
      </c>
      <c r="I5226" s="46" t="e">
        <f>VLOOKUP(H5226,'合同高级查询数据-4月返'!A:A,1,FALSE)</f>
        <v>#N/A</v>
      </c>
      <c r="J5226" s="47" t="s">
        <v>90</v>
      </c>
      <c r="K5226" s="22" t="s">
        <v>6763</v>
      </c>
      <c r="L5226" s="22"/>
      <c r="M5226" s="49" t="s">
        <v>6713</v>
      </c>
      <c r="N5226" s="50">
        <v>44659</v>
      </c>
      <c r="O5226" s="451" t="s">
        <v>503</v>
      </c>
      <c r="P5226" s="52">
        <v>5980</v>
      </c>
      <c r="Q5226" s="70">
        <v>34</v>
      </c>
      <c r="R5226" s="52">
        <f t="shared" si="165"/>
        <v>203320</v>
      </c>
      <c r="S5226" s="47">
        <v>202304</v>
      </c>
      <c r="T5226" s="123" t="s">
        <v>6816</v>
      </c>
      <c r="U5226" s="48"/>
      <c r="V5226" s="48"/>
      <c r="W5226" s="48"/>
      <c r="X5226" s="50">
        <v>43830</v>
      </c>
      <c r="Y5226" s="73">
        <v>46022</v>
      </c>
    </row>
    <row r="5227" s="5" customFormat="1" customHeight="1" spans="1:25">
      <c r="A5227" s="24" t="s">
        <v>446</v>
      </c>
      <c r="B5227" s="24" t="s">
        <v>6300</v>
      </c>
      <c r="C5227" s="24" t="s">
        <v>3237</v>
      </c>
      <c r="D5227" s="22" t="s">
        <v>6301</v>
      </c>
      <c r="E5227" s="23" t="s">
        <v>6697</v>
      </c>
      <c r="F5227" s="24" t="s">
        <v>6711</v>
      </c>
      <c r="G5227" s="24" t="s">
        <v>88</v>
      </c>
      <c r="H5227" s="22" t="s">
        <v>6762</v>
      </c>
      <c r="I5227" s="46" t="e">
        <f>VLOOKUP(H5227,'合同高级查询数据-4月返'!A:A,1,FALSE)</f>
        <v>#N/A</v>
      </c>
      <c r="J5227" s="47" t="s">
        <v>90</v>
      </c>
      <c r="K5227" s="22" t="s">
        <v>6763</v>
      </c>
      <c r="L5227" s="22"/>
      <c r="M5227" s="49" t="s">
        <v>6713</v>
      </c>
      <c r="N5227" s="50">
        <v>44670</v>
      </c>
      <c r="O5227" s="451" t="s">
        <v>503</v>
      </c>
      <c r="P5227" s="52">
        <v>5980</v>
      </c>
      <c r="Q5227" s="70">
        <v>44</v>
      </c>
      <c r="R5227" s="52">
        <f t="shared" si="165"/>
        <v>263120</v>
      </c>
      <c r="S5227" s="47">
        <v>202304</v>
      </c>
      <c r="T5227" s="123" t="s">
        <v>6817</v>
      </c>
      <c r="U5227" s="48"/>
      <c r="V5227" s="48"/>
      <c r="W5227" s="48"/>
      <c r="X5227" s="50">
        <v>43830</v>
      </c>
      <c r="Y5227" s="73">
        <v>46022</v>
      </c>
    </row>
    <row r="5228" s="5" customFormat="1" customHeight="1" spans="1:25">
      <c r="A5228" s="24" t="s">
        <v>446</v>
      </c>
      <c r="B5228" s="24" t="s">
        <v>6300</v>
      </c>
      <c r="C5228" s="24" t="s">
        <v>3237</v>
      </c>
      <c r="D5228" s="22" t="s">
        <v>6301</v>
      </c>
      <c r="E5228" s="23" t="s">
        <v>6697</v>
      </c>
      <c r="F5228" s="24" t="s">
        <v>6711</v>
      </c>
      <c r="G5228" s="24" t="s">
        <v>88</v>
      </c>
      <c r="H5228" s="22" t="s">
        <v>6762</v>
      </c>
      <c r="I5228" s="46" t="e">
        <f>VLOOKUP(H5228,'合同高级查询数据-4月返'!A:A,1,FALSE)</f>
        <v>#N/A</v>
      </c>
      <c r="J5228" s="47" t="s">
        <v>90</v>
      </c>
      <c r="K5228" s="22" t="s">
        <v>6763</v>
      </c>
      <c r="L5228" s="22"/>
      <c r="M5228" s="49" t="s">
        <v>6713</v>
      </c>
      <c r="N5228" s="50">
        <v>44672</v>
      </c>
      <c r="O5228" s="451" t="s">
        <v>503</v>
      </c>
      <c r="P5228" s="52">
        <v>5980</v>
      </c>
      <c r="Q5228" s="70">
        <v>41</v>
      </c>
      <c r="R5228" s="52">
        <f t="shared" si="165"/>
        <v>245180</v>
      </c>
      <c r="S5228" s="47">
        <v>202304</v>
      </c>
      <c r="T5228" s="123" t="s">
        <v>6818</v>
      </c>
      <c r="U5228" s="48"/>
      <c r="V5228" s="48"/>
      <c r="W5228" s="48"/>
      <c r="X5228" s="50">
        <v>43830</v>
      </c>
      <c r="Y5228" s="73">
        <v>46022</v>
      </c>
    </row>
    <row r="5229" s="5" customFormat="1" customHeight="1" spans="1:25">
      <c r="A5229" s="24" t="s">
        <v>446</v>
      </c>
      <c r="B5229" s="24" t="s">
        <v>6300</v>
      </c>
      <c r="C5229" s="24" t="s">
        <v>3237</v>
      </c>
      <c r="D5229" s="22" t="s">
        <v>6301</v>
      </c>
      <c r="E5229" s="23" t="s">
        <v>6697</v>
      </c>
      <c r="F5229" s="24" t="s">
        <v>6711</v>
      </c>
      <c r="G5229" s="24" t="s">
        <v>88</v>
      </c>
      <c r="H5229" s="22" t="s">
        <v>6762</v>
      </c>
      <c r="I5229" s="46" t="e">
        <f>VLOOKUP(H5229,'合同高级查询数据-4月返'!A:A,1,FALSE)</f>
        <v>#N/A</v>
      </c>
      <c r="J5229" s="47" t="s">
        <v>90</v>
      </c>
      <c r="K5229" s="22" t="s">
        <v>6763</v>
      </c>
      <c r="L5229" s="22"/>
      <c r="M5229" s="49" t="s">
        <v>6713</v>
      </c>
      <c r="N5229" s="50">
        <v>44698</v>
      </c>
      <c r="O5229" s="451" t="s">
        <v>503</v>
      </c>
      <c r="P5229" s="52">
        <v>5980</v>
      </c>
      <c r="Q5229" s="70">
        <v>8</v>
      </c>
      <c r="R5229" s="52">
        <f t="shared" si="165"/>
        <v>47840</v>
      </c>
      <c r="S5229" s="47">
        <v>202304</v>
      </c>
      <c r="T5229" s="123" t="s">
        <v>6819</v>
      </c>
      <c r="U5229" s="48"/>
      <c r="V5229" s="48"/>
      <c r="W5229" s="48"/>
      <c r="X5229" s="50">
        <v>43830</v>
      </c>
      <c r="Y5229" s="73">
        <v>46022</v>
      </c>
    </row>
    <row r="5230" s="5" customFormat="1" customHeight="1" spans="1:25">
      <c r="A5230" s="24" t="s">
        <v>446</v>
      </c>
      <c r="B5230" s="24" t="s">
        <v>6300</v>
      </c>
      <c r="C5230" s="24" t="s">
        <v>3237</v>
      </c>
      <c r="D5230" s="22" t="s">
        <v>6301</v>
      </c>
      <c r="E5230" s="23" t="s">
        <v>6697</v>
      </c>
      <c r="F5230" s="24" t="s">
        <v>6711</v>
      </c>
      <c r="G5230" s="24" t="s">
        <v>88</v>
      </c>
      <c r="H5230" s="22" t="s">
        <v>6762</v>
      </c>
      <c r="I5230" s="46" t="e">
        <f>VLOOKUP(H5230,'合同高级查询数据-4月返'!A:A,1,FALSE)</f>
        <v>#N/A</v>
      </c>
      <c r="J5230" s="47" t="s">
        <v>90</v>
      </c>
      <c r="K5230" s="22" t="s">
        <v>6763</v>
      </c>
      <c r="L5230" s="22"/>
      <c r="M5230" s="49" t="s">
        <v>6713</v>
      </c>
      <c r="N5230" s="50">
        <v>44706</v>
      </c>
      <c r="O5230" s="451" t="s">
        <v>503</v>
      </c>
      <c r="P5230" s="52">
        <v>5980</v>
      </c>
      <c r="Q5230" s="70">
        <v>2</v>
      </c>
      <c r="R5230" s="52">
        <f t="shared" si="165"/>
        <v>11960</v>
      </c>
      <c r="S5230" s="47">
        <v>202304</v>
      </c>
      <c r="T5230" s="123" t="s">
        <v>6820</v>
      </c>
      <c r="U5230" s="48"/>
      <c r="V5230" s="48"/>
      <c r="W5230" s="48"/>
      <c r="X5230" s="50">
        <v>43830</v>
      </c>
      <c r="Y5230" s="73">
        <v>46022</v>
      </c>
    </row>
    <row r="5231" s="5" customFormat="1" customHeight="1" spans="1:25">
      <c r="A5231" s="24" t="s">
        <v>446</v>
      </c>
      <c r="B5231" s="24" t="s">
        <v>6300</v>
      </c>
      <c r="C5231" s="24" t="s">
        <v>3237</v>
      </c>
      <c r="D5231" s="22" t="s">
        <v>6301</v>
      </c>
      <c r="E5231" s="23" t="s">
        <v>6697</v>
      </c>
      <c r="F5231" s="24" t="s">
        <v>6711</v>
      </c>
      <c r="G5231" s="24" t="s">
        <v>88</v>
      </c>
      <c r="H5231" s="22" t="s">
        <v>6762</v>
      </c>
      <c r="I5231" s="46" t="e">
        <f>VLOOKUP(H5231,'合同高级查询数据-4月返'!A:A,1,FALSE)</f>
        <v>#N/A</v>
      </c>
      <c r="J5231" s="47" t="s">
        <v>90</v>
      </c>
      <c r="K5231" s="22" t="s">
        <v>6763</v>
      </c>
      <c r="L5231" s="22"/>
      <c r="M5231" s="49" t="s">
        <v>6713</v>
      </c>
      <c r="N5231" s="50">
        <v>44058</v>
      </c>
      <c r="O5231" s="22" t="s">
        <v>600</v>
      </c>
      <c r="P5231" s="52">
        <v>2600</v>
      </c>
      <c r="Q5231" s="70">
        <v>1</v>
      </c>
      <c r="R5231" s="52">
        <f t="shared" si="165"/>
        <v>2600</v>
      </c>
      <c r="S5231" s="47">
        <v>202304</v>
      </c>
      <c r="T5231" s="123" t="s">
        <v>6821</v>
      </c>
      <c r="U5231" s="48"/>
      <c r="V5231" s="48"/>
      <c r="W5231" s="48"/>
      <c r="X5231" s="50">
        <v>43830</v>
      </c>
      <c r="Y5231" s="73">
        <v>46022</v>
      </c>
    </row>
    <row r="5232" s="5" customFormat="1" customHeight="1" spans="1:25">
      <c r="A5232" s="24" t="s">
        <v>446</v>
      </c>
      <c r="B5232" s="24" t="s">
        <v>6300</v>
      </c>
      <c r="C5232" s="24" t="s">
        <v>3237</v>
      </c>
      <c r="D5232" s="22" t="s">
        <v>6301</v>
      </c>
      <c r="E5232" s="23" t="s">
        <v>6697</v>
      </c>
      <c r="F5232" s="24" t="s">
        <v>6711</v>
      </c>
      <c r="G5232" s="24" t="s">
        <v>88</v>
      </c>
      <c r="H5232" s="22" t="s">
        <v>6762</v>
      </c>
      <c r="I5232" s="46" t="e">
        <f>VLOOKUP(H5232,'合同高级查询数据-4月返'!A:A,1,FALSE)</f>
        <v>#N/A</v>
      </c>
      <c r="J5232" s="47" t="s">
        <v>90</v>
      </c>
      <c r="K5232" s="22" t="s">
        <v>6763</v>
      </c>
      <c r="L5232" s="22"/>
      <c r="M5232" s="49" t="s">
        <v>6713</v>
      </c>
      <c r="N5232" s="50">
        <v>44211</v>
      </c>
      <c r="O5232" s="22" t="s">
        <v>600</v>
      </c>
      <c r="P5232" s="52">
        <v>2600</v>
      </c>
      <c r="Q5232" s="70">
        <v>1</v>
      </c>
      <c r="R5232" s="52">
        <f t="shared" si="165"/>
        <v>2600</v>
      </c>
      <c r="S5232" s="47">
        <v>202304</v>
      </c>
      <c r="T5232" s="123" t="s">
        <v>6822</v>
      </c>
      <c r="U5232" s="48"/>
      <c r="V5232" s="48"/>
      <c r="W5232" s="48"/>
      <c r="X5232" s="50">
        <v>43830</v>
      </c>
      <c r="Y5232" s="73">
        <v>46022</v>
      </c>
    </row>
    <row r="5233" s="5" customFormat="1" customHeight="1" spans="1:25">
      <c r="A5233" s="24" t="s">
        <v>446</v>
      </c>
      <c r="B5233" s="24" t="s">
        <v>6300</v>
      </c>
      <c r="C5233" s="24" t="s">
        <v>3237</v>
      </c>
      <c r="D5233" s="22" t="s">
        <v>6301</v>
      </c>
      <c r="E5233" s="23" t="s">
        <v>6697</v>
      </c>
      <c r="F5233" s="24" t="s">
        <v>6711</v>
      </c>
      <c r="G5233" s="24" t="s">
        <v>88</v>
      </c>
      <c r="H5233" s="22" t="s">
        <v>6762</v>
      </c>
      <c r="I5233" s="46" t="e">
        <f>VLOOKUP(H5233,'合同高级查询数据-4月返'!A:A,1,FALSE)</f>
        <v>#N/A</v>
      </c>
      <c r="J5233" s="47" t="s">
        <v>162</v>
      </c>
      <c r="K5233" s="22" t="s">
        <v>6763</v>
      </c>
      <c r="L5233" s="22"/>
      <c r="M5233" s="49" t="s">
        <v>6713</v>
      </c>
      <c r="N5233" s="50">
        <v>44869</v>
      </c>
      <c r="O5233" s="22" t="s">
        <v>503</v>
      </c>
      <c r="P5233" s="52">
        <v>5980</v>
      </c>
      <c r="Q5233" s="70">
        <v>-2</v>
      </c>
      <c r="R5233" s="52">
        <f t="shared" si="165"/>
        <v>-11960</v>
      </c>
      <c r="S5233" s="47">
        <v>202304</v>
      </c>
      <c r="T5233" s="123" t="s">
        <v>6823</v>
      </c>
      <c r="U5233" s="48"/>
      <c r="V5233" s="48"/>
      <c r="W5233" s="48"/>
      <c r="X5233" s="50">
        <v>43830</v>
      </c>
      <c r="Y5233" s="73">
        <v>46022</v>
      </c>
    </row>
    <row r="5234" s="5" customFormat="1" customHeight="1" spans="1:25">
      <c r="A5234" s="24" t="s">
        <v>446</v>
      </c>
      <c r="B5234" s="24" t="s">
        <v>6300</v>
      </c>
      <c r="C5234" s="24" t="s">
        <v>3237</v>
      </c>
      <c r="D5234" s="22" t="s">
        <v>6301</v>
      </c>
      <c r="E5234" s="23" t="s">
        <v>6697</v>
      </c>
      <c r="F5234" s="24" t="s">
        <v>6711</v>
      </c>
      <c r="G5234" s="24" t="s">
        <v>88</v>
      </c>
      <c r="H5234" s="22" t="s">
        <v>6762</v>
      </c>
      <c r="I5234" s="46" t="e">
        <f>VLOOKUP(H5234,'合同高级查询数据-4月返'!A:A,1,FALSE)</f>
        <v>#N/A</v>
      </c>
      <c r="J5234" s="47" t="s">
        <v>90</v>
      </c>
      <c r="K5234" s="22" t="s">
        <v>6763</v>
      </c>
      <c r="L5234" s="22"/>
      <c r="M5234" s="49" t="s">
        <v>6713</v>
      </c>
      <c r="N5234" s="50">
        <v>44869</v>
      </c>
      <c r="O5234" s="22" t="s">
        <v>503</v>
      </c>
      <c r="P5234" s="52">
        <v>5980</v>
      </c>
      <c r="Q5234" s="70">
        <v>-1</v>
      </c>
      <c r="R5234" s="52">
        <f t="shared" si="165"/>
        <v>-5980</v>
      </c>
      <c r="S5234" s="47">
        <v>202304</v>
      </c>
      <c r="T5234" s="123" t="s">
        <v>6824</v>
      </c>
      <c r="U5234" s="48"/>
      <c r="V5234" s="48"/>
      <c r="W5234" s="48"/>
      <c r="X5234" s="50">
        <v>43830</v>
      </c>
      <c r="Y5234" s="73">
        <v>46022</v>
      </c>
    </row>
    <row r="5235" s="5" customFormat="1" customHeight="1" spans="1:25">
      <c r="A5235" s="24" t="s">
        <v>446</v>
      </c>
      <c r="B5235" s="24" t="s">
        <v>6300</v>
      </c>
      <c r="C5235" s="24" t="s">
        <v>3237</v>
      </c>
      <c r="D5235" s="22" t="s">
        <v>6301</v>
      </c>
      <c r="E5235" s="23" t="s">
        <v>6697</v>
      </c>
      <c r="F5235" s="24" t="s">
        <v>6711</v>
      </c>
      <c r="G5235" s="24" t="s">
        <v>88</v>
      </c>
      <c r="H5235" s="22" t="s">
        <v>6762</v>
      </c>
      <c r="I5235" s="46" t="e">
        <f>VLOOKUP(H5235,'合同高级查询数据-4月返'!A:A,1,FALSE)</f>
        <v>#N/A</v>
      </c>
      <c r="J5235" s="47" t="s">
        <v>90</v>
      </c>
      <c r="K5235" s="22" t="s">
        <v>6763</v>
      </c>
      <c r="L5235" s="22"/>
      <c r="M5235" s="49" t="s">
        <v>6713</v>
      </c>
      <c r="N5235" s="50">
        <v>44932</v>
      </c>
      <c r="O5235" s="22" t="s">
        <v>503</v>
      </c>
      <c r="P5235" s="52">
        <v>5980</v>
      </c>
      <c r="Q5235" s="70">
        <v>38</v>
      </c>
      <c r="R5235" s="52">
        <f t="shared" si="165"/>
        <v>227240</v>
      </c>
      <c r="S5235" s="47">
        <v>202304</v>
      </c>
      <c r="T5235" s="123" t="s">
        <v>6825</v>
      </c>
      <c r="U5235" s="48"/>
      <c r="V5235" s="48"/>
      <c r="W5235" s="48"/>
      <c r="X5235" s="50">
        <v>43830</v>
      </c>
      <c r="Y5235" s="73">
        <v>46022</v>
      </c>
    </row>
    <row r="5236" s="5" customFormat="1" customHeight="1" spans="1:25">
      <c r="A5236" s="24" t="s">
        <v>446</v>
      </c>
      <c r="B5236" s="24" t="s">
        <v>6300</v>
      </c>
      <c r="C5236" s="24" t="s">
        <v>3237</v>
      </c>
      <c r="D5236" s="22" t="s">
        <v>6301</v>
      </c>
      <c r="E5236" s="23" t="s">
        <v>6697</v>
      </c>
      <c r="F5236" s="24" t="s">
        <v>6711</v>
      </c>
      <c r="G5236" s="24" t="s">
        <v>88</v>
      </c>
      <c r="H5236" s="22" t="s">
        <v>6762</v>
      </c>
      <c r="I5236" s="46" t="e">
        <f>VLOOKUP(H5236,'合同高级查询数据-4月返'!A:A,1,FALSE)</f>
        <v>#N/A</v>
      </c>
      <c r="J5236" s="47" t="s">
        <v>90</v>
      </c>
      <c r="K5236" s="22" t="s">
        <v>6763</v>
      </c>
      <c r="L5236" s="22"/>
      <c r="M5236" s="49" t="s">
        <v>6713</v>
      </c>
      <c r="N5236" s="50">
        <v>44974</v>
      </c>
      <c r="O5236" s="22" t="s">
        <v>503</v>
      </c>
      <c r="P5236" s="52">
        <v>5980</v>
      </c>
      <c r="Q5236" s="70">
        <v>4</v>
      </c>
      <c r="R5236" s="52">
        <f t="shared" si="165"/>
        <v>23920</v>
      </c>
      <c r="S5236" s="47">
        <v>202304</v>
      </c>
      <c r="T5236" s="123" t="s">
        <v>6826</v>
      </c>
      <c r="U5236" s="48"/>
      <c r="V5236" s="48"/>
      <c r="W5236" s="48"/>
      <c r="X5236" s="50">
        <v>43830</v>
      </c>
      <c r="Y5236" s="73">
        <v>46022</v>
      </c>
    </row>
    <row r="5237" s="5" customFormat="1" customHeight="1" spans="1:25">
      <c r="A5237" s="24" t="s">
        <v>446</v>
      </c>
      <c r="B5237" s="24" t="s">
        <v>6300</v>
      </c>
      <c r="C5237" s="24" t="s">
        <v>3237</v>
      </c>
      <c r="D5237" s="22" t="s">
        <v>6301</v>
      </c>
      <c r="E5237" s="23" t="s">
        <v>6697</v>
      </c>
      <c r="F5237" s="24" t="s">
        <v>6711</v>
      </c>
      <c r="G5237" s="24" t="s">
        <v>88</v>
      </c>
      <c r="H5237" s="22" t="s">
        <v>6762</v>
      </c>
      <c r="I5237" s="46" t="e">
        <f>VLOOKUP(H5237,'合同高级查询数据-4月返'!A:A,1,FALSE)</f>
        <v>#N/A</v>
      </c>
      <c r="J5237" s="47" t="s">
        <v>90</v>
      </c>
      <c r="K5237" s="22" t="s">
        <v>6763</v>
      </c>
      <c r="L5237" s="22"/>
      <c r="M5237" s="49" t="s">
        <v>6713</v>
      </c>
      <c r="N5237" s="50">
        <v>45015</v>
      </c>
      <c r="O5237" s="22" t="s">
        <v>503</v>
      </c>
      <c r="P5237" s="52">
        <v>5980</v>
      </c>
      <c r="Q5237" s="70">
        <v>-5</v>
      </c>
      <c r="R5237" s="52">
        <f t="shared" si="165"/>
        <v>-29900</v>
      </c>
      <c r="S5237" s="47">
        <v>202304</v>
      </c>
      <c r="T5237" s="123" t="s">
        <v>6827</v>
      </c>
      <c r="U5237" s="48"/>
      <c r="V5237" s="48"/>
      <c r="W5237" s="48"/>
      <c r="X5237" s="50">
        <v>43830</v>
      </c>
      <c r="Y5237" s="73">
        <v>46022</v>
      </c>
    </row>
    <row r="5238" s="5" customFormat="1" customHeight="1" spans="1:25">
      <c r="A5238" s="24" t="s">
        <v>446</v>
      </c>
      <c r="B5238" s="24" t="s">
        <v>6300</v>
      </c>
      <c r="C5238" s="24" t="s">
        <v>3237</v>
      </c>
      <c r="D5238" s="22" t="s">
        <v>6301</v>
      </c>
      <c r="E5238" s="23" t="s">
        <v>6697</v>
      </c>
      <c r="F5238" s="24" t="s">
        <v>6711</v>
      </c>
      <c r="G5238" s="24" t="s">
        <v>88</v>
      </c>
      <c r="H5238" s="22" t="s">
        <v>6828</v>
      </c>
      <c r="I5238" s="46" t="e">
        <f>VLOOKUP(H5238,'合同高级查询数据-4月返'!A:A,1,FALSE)</f>
        <v>#N/A</v>
      </c>
      <c r="J5238" s="47" t="s">
        <v>90</v>
      </c>
      <c r="K5238" s="22" t="s">
        <v>6829</v>
      </c>
      <c r="L5238" s="22"/>
      <c r="M5238" s="22" t="s">
        <v>6713</v>
      </c>
      <c r="N5238" s="50">
        <v>44418</v>
      </c>
      <c r="O5238" s="22" t="s">
        <v>503</v>
      </c>
      <c r="P5238" s="486">
        <v>5500</v>
      </c>
      <c r="Q5238" s="486">
        <v>8</v>
      </c>
      <c r="R5238" s="52">
        <f t="shared" si="165"/>
        <v>44000</v>
      </c>
      <c r="S5238" s="47">
        <v>202304</v>
      </c>
      <c r="T5238" s="123" t="s">
        <v>6830</v>
      </c>
      <c r="U5238" s="48"/>
      <c r="V5238" s="48"/>
      <c r="W5238" s="48"/>
      <c r="X5238" s="50">
        <v>44396</v>
      </c>
      <c r="Y5238" s="50">
        <v>46022</v>
      </c>
    </row>
    <row r="5239" s="5" customFormat="1" customHeight="1" spans="1:25">
      <c r="A5239" s="24" t="s">
        <v>446</v>
      </c>
      <c r="B5239" s="24" t="s">
        <v>6300</v>
      </c>
      <c r="C5239" s="24" t="s">
        <v>3237</v>
      </c>
      <c r="D5239" s="22" t="s">
        <v>6301</v>
      </c>
      <c r="E5239" s="23" t="s">
        <v>6697</v>
      </c>
      <c r="F5239" s="24" t="s">
        <v>6711</v>
      </c>
      <c r="G5239" s="24" t="s">
        <v>88</v>
      </c>
      <c r="H5239" s="22" t="s">
        <v>6828</v>
      </c>
      <c r="I5239" s="46" t="e">
        <f>VLOOKUP(H5239,'合同高级查询数据-4月返'!A:A,1,FALSE)</f>
        <v>#N/A</v>
      </c>
      <c r="J5239" s="47" t="s">
        <v>90</v>
      </c>
      <c r="K5239" s="22" t="s">
        <v>6829</v>
      </c>
      <c r="L5239" s="22"/>
      <c r="M5239" s="22" t="s">
        <v>6713</v>
      </c>
      <c r="N5239" s="50">
        <v>44420</v>
      </c>
      <c r="O5239" s="22" t="s">
        <v>503</v>
      </c>
      <c r="P5239" s="486">
        <v>5500</v>
      </c>
      <c r="Q5239" s="486">
        <v>3</v>
      </c>
      <c r="R5239" s="52">
        <f t="shared" si="165"/>
        <v>16500</v>
      </c>
      <c r="S5239" s="47">
        <v>202304</v>
      </c>
      <c r="T5239" s="123" t="s">
        <v>6831</v>
      </c>
      <c r="U5239" s="48"/>
      <c r="V5239" s="48"/>
      <c r="W5239" s="48"/>
      <c r="X5239" s="50">
        <v>44396</v>
      </c>
      <c r="Y5239" s="50">
        <v>46022</v>
      </c>
    </row>
    <row r="5240" s="5" customFormat="1" customHeight="1" spans="1:25">
      <c r="A5240" s="24" t="s">
        <v>446</v>
      </c>
      <c r="B5240" s="24" t="s">
        <v>6300</v>
      </c>
      <c r="C5240" s="24" t="s">
        <v>3237</v>
      </c>
      <c r="D5240" s="22" t="s">
        <v>6301</v>
      </c>
      <c r="E5240" s="23" t="s">
        <v>6697</v>
      </c>
      <c r="F5240" s="24" t="s">
        <v>6711</v>
      </c>
      <c r="G5240" s="24" t="s">
        <v>88</v>
      </c>
      <c r="H5240" s="22" t="s">
        <v>6828</v>
      </c>
      <c r="I5240" s="46" t="e">
        <f>VLOOKUP(H5240,'合同高级查询数据-4月返'!A:A,1,FALSE)</f>
        <v>#N/A</v>
      </c>
      <c r="J5240" s="47" t="s">
        <v>90</v>
      </c>
      <c r="K5240" s="22" t="s">
        <v>6829</v>
      </c>
      <c r="L5240" s="22"/>
      <c r="M5240" s="22" t="s">
        <v>6713</v>
      </c>
      <c r="N5240" s="50">
        <v>44421</v>
      </c>
      <c r="O5240" s="22" t="s">
        <v>503</v>
      </c>
      <c r="P5240" s="486">
        <v>5500</v>
      </c>
      <c r="Q5240" s="486">
        <v>12</v>
      </c>
      <c r="R5240" s="52">
        <f t="shared" si="165"/>
        <v>66000</v>
      </c>
      <c r="S5240" s="47">
        <v>202304</v>
      </c>
      <c r="T5240" s="123" t="s">
        <v>6832</v>
      </c>
      <c r="U5240" s="48"/>
      <c r="V5240" s="48"/>
      <c r="W5240" s="48"/>
      <c r="X5240" s="50">
        <v>44396</v>
      </c>
      <c r="Y5240" s="50">
        <v>46022</v>
      </c>
    </row>
    <row r="5241" s="5" customFormat="1" customHeight="1" spans="1:25">
      <c r="A5241" s="24" t="s">
        <v>446</v>
      </c>
      <c r="B5241" s="24" t="s">
        <v>6300</v>
      </c>
      <c r="C5241" s="24" t="s">
        <v>3237</v>
      </c>
      <c r="D5241" s="22" t="s">
        <v>6301</v>
      </c>
      <c r="E5241" s="23" t="s">
        <v>6697</v>
      </c>
      <c r="F5241" s="24" t="s">
        <v>6711</v>
      </c>
      <c r="G5241" s="24" t="s">
        <v>88</v>
      </c>
      <c r="H5241" s="22" t="s">
        <v>6828</v>
      </c>
      <c r="I5241" s="46" t="e">
        <f>VLOOKUP(H5241,'合同高级查询数据-4月返'!A:A,1,FALSE)</f>
        <v>#N/A</v>
      </c>
      <c r="J5241" s="47" t="s">
        <v>90</v>
      </c>
      <c r="K5241" s="22" t="s">
        <v>6829</v>
      </c>
      <c r="L5241" s="22"/>
      <c r="M5241" s="22" t="s">
        <v>6713</v>
      </c>
      <c r="N5241" s="50">
        <v>44424</v>
      </c>
      <c r="O5241" s="22" t="s">
        <v>503</v>
      </c>
      <c r="P5241" s="486">
        <v>5500</v>
      </c>
      <c r="Q5241" s="486">
        <v>24</v>
      </c>
      <c r="R5241" s="52">
        <f t="shared" si="165"/>
        <v>132000</v>
      </c>
      <c r="S5241" s="47">
        <v>202304</v>
      </c>
      <c r="T5241" s="123" t="s">
        <v>6833</v>
      </c>
      <c r="U5241" s="48"/>
      <c r="V5241" s="48"/>
      <c r="W5241" s="48"/>
      <c r="X5241" s="50">
        <v>44396</v>
      </c>
      <c r="Y5241" s="50">
        <v>46022</v>
      </c>
    </row>
    <row r="5242" s="5" customFormat="1" customHeight="1" spans="1:25">
      <c r="A5242" s="24" t="s">
        <v>446</v>
      </c>
      <c r="B5242" s="24" t="s">
        <v>6300</v>
      </c>
      <c r="C5242" s="24" t="s">
        <v>3237</v>
      </c>
      <c r="D5242" s="22" t="s">
        <v>6301</v>
      </c>
      <c r="E5242" s="23" t="s">
        <v>6697</v>
      </c>
      <c r="F5242" s="24" t="s">
        <v>6711</v>
      </c>
      <c r="G5242" s="24" t="s">
        <v>88</v>
      </c>
      <c r="H5242" s="22" t="s">
        <v>6828</v>
      </c>
      <c r="I5242" s="46" t="e">
        <f>VLOOKUP(H5242,'合同高级查询数据-4月返'!A:A,1,FALSE)</f>
        <v>#N/A</v>
      </c>
      <c r="J5242" s="47" t="s">
        <v>90</v>
      </c>
      <c r="K5242" s="22" t="s">
        <v>6829</v>
      </c>
      <c r="L5242" s="22"/>
      <c r="M5242" s="22" t="s">
        <v>6713</v>
      </c>
      <c r="N5242" s="50">
        <v>44428</v>
      </c>
      <c r="O5242" s="22" t="s">
        <v>503</v>
      </c>
      <c r="P5242" s="486">
        <v>5500</v>
      </c>
      <c r="Q5242" s="486">
        <v>10</v>
      </c>
      <c r="R5242" s="52">
        <f t="shared" si="165"/>
        <v>55000</v>
      </c>
      <c r="S5242" s="47">
        <v>202304</v>
      </c>
      <c r="T5242" s="123" t="s">
        <v>6834</v>
      </c>
      <c r="U5242" s="48"/>
      <c r="V5242" s="48"/>
      <c r="W5242" s="48"/>
      <c r="X5242" s="50">
        <v>44396</v>
      </c>
      <c r="Y5242" s="50">
        <v>46022</v>
      </c>
    </row>
    <row r="5243" s="5" customFormat="1" customHeight="1" spans="1:25">
      <c r="A5243" s="24" t="s">
        <v>446</v>
      </c>
      <c r="B5243" s="24" t="s">
        <v>6300</v>
      </c>
      <c r="C5243" s="24" t="s">
        <v>3237</v>
      </c>
      <c r="D5243" s="22" t="s">
        <v>6301</v>
      </c>
      <c r="E5243" s="23" t="s">
        <v>6697</v>
      </c>
      <c r="F5243" s="24" t="s">
        <v>6711</v>
      </c>
      <c r="G5243" s="24" t="s">
        <v>88</v>
      </c>
      <c r="H5243" s="22" t="s">
        <v>6828</v>
      </c>
      <c r="I5243" s="46" t="e">
        <f>VLOOKUP(H5243,'合同高级查询数据-4月返'!A:A,1,FALSE)</f>
        <v>#N/A</v>
      </c>
      <c r="J5243" s="47" t="s">
        <v>90</v>
      </c>
      <c r="K5243" s="22" t="s">
        <v>6829</v>
      </c>
      <c r="L5243" s="22"/>
      <c r="M5243" s="22" t="s">
        <v>6713</v>
      </c>
      <c r="N5243" s="50">
        <v>44431</v>
      </c>
      <c r="O5243" s="22" t="s">
        <v>503</v>
      </c>
      <c r="P5243" s="486">
        <v>5500</v>
      </c>
      <c r="Q5243" s="486">
        <v>2</v>
      </c>
      <c r="R5243" s="52">
        <f t="shared" si="165"/>
        <v>11000</v>
      </c>
      <c r="S5243" s="47">
        <v>202304</v>
      </c>
      <c r="T5243" s="123" t="s">
        <v>6835</v>
      </c>
      <c r="U5243" s="48"/>
      <c r="V5243" s="48"/>
      <c r="W5243" s="48"/>
      <c r="X5243" s="50">
        <v>44396</v>
      </c>
      <c r="Y5243" s="50">
        <v>46022</v>
      </c>
    </row>
    <row r="5244" s="5" customFormat="1" customHeight="1" spans="1:25">
      <c r="A5244" s="24" t="s">
        <v>446</v>
      </c>
      <c r="B5244" s="24" t="s">
        <v>6300</v>
      </c>
      <c r="C5244" s="24" t="s">
        <v>3237</v>
      </c>
      <c r="D5244" s="22" t="s">
        <v>6301</v>
      </c>
      <c r="E5244" s="23" t="s">
        <v>6697</v>
      </c>
      <c r="F5244" s="24" t="s">
        <v>6711</v>
      </c>
      <c r="G5244" s="24" t="s">
        <v>88</v>
      </c>
      <c r="H5244" s="22" t="s">
        <v>6828</v>
      </c>
      <c r="I5244" s="46" t="e">
        <f>VLOOKUP(H5244,'合同高级查询数据-4月返'!A:A,1,FALSE)</f>
        <v>#N/A</v>
      </c>
      <c r="J5244" s="47" t="s">
        <v>90</v>
      </c>
      <c r="K5244" s="22" t="s">
        <v>6829</v>
      </c>
      <c r="L5244" s="22"/>
      <c r="M5244" s="22" t="s">
        <v>6713</v>
      </c>
      <c r="N5244" s="50">
        <v>44431</v>
      </c>
      <c r="O5244" s="22" t="s">
        <v>503</v>
      </c>
      <c r="P5244" s="486">
        <v>5500</v>
      </c>
      <c r="Q5244" s="486">
        <v>8</v>
      </c>
      <c r="R5244" s="52">
        <f t="shared" si="165"/>
        <v>44000</v>
      </c>
      <c r="S5244" s="47">
        <v>202304</v>
      </c>
      <c r="T5244" s="123" t="s">
        <v>6836</v>
      </c>
      <c r="U5244" s="48"/>
      <c r="V5244" s="48"/>
      <c r="W5244" s="48"/>
      <c r="X5244" s="50">
        <v>44396</v>
      </c>
      <c r="Y5244" s="50">
        <v>46022</v>
      </c>
    </row>
    <row r="5245" s="5" customFormat="1" customHeight="1" spans="1:25">
      <c r="A5245" s="24" t="s">
        <v>446</v>
      </c>
      <c r="B5245" s="24" t="s">
        <v>6300</v>
      </c>
      <c r="C5245" s="24" t="s">
        <v>3237</v>
      </c>
      <c r="D5245" s="22" t="s">
        <v>6301</v>
      </c>
      <c r="E5245" s="23" t="s">
        <v>6697</v>
      </c>
      <c r="F5245" s="24" t="s">
        <v>6711</v>
      </c>
      <c r="G5245" s="24" t="s">
        <v>88</v>
      </c>
      <c r="H5245" s="22" t="s">
        <v>6828</v>
      </c>
      <c r="I5245" s="46" t="e">
        <f>VLOOKUP(H5245,'合同高级查询数据-4月返'!A:A,1,FALSE)</f>
        <v>#N/A</v>
      </c>
      <c r="J5245" s="47" t="s">
        <v>90</v>
      </c>
      <c r="K5245" s="22" t="s">
        <v>6829</v>
      </c>
      <c r="L5245" s="22"/>
      <c r="M5245" s="22" t="s">
        <v>6713</v>
      </c>
      <c r="N5245" s="50">
        <v>44438</v>
      </c>
      <c r="O5245" s="22" t="s">
        <v>600</v>
      </c>
      <c r="P5245" s="486">
        <v>2600</v>
      </c>
      <c r="Q5245" s="486">
        <v>4</v>
      </c>
      <c r="R5245" s="52">
        <f t="shared" si="165"/>
        <v>10400</v>
      </c>
      <c r="S5245" s="47">
        <v>202304</v>
      </c>
      <c r="T5245" s="123" t="s">
        <v>6837</v>
      </c>
      <c r="U5245" s="48"/>
      <c r="V5245" s="48"/>
      <c r="W5245" s="48"/>
      <c r="X5245" s="50">
        <v>44396</v>
      </c>
      <c r="Y5245" s="50">
        <v>46022</v>
      </c>
    </row>
    <row r="5246" s="5" customFormat="1" customHeight="1" spans="1:25">
      <c r="A5246" s="24" t="s">
        <v>446</v>
      </c>
      <c r="B5246" s="24" t="s">
        <v>6300</v>
      </c>
      <c r="C5246" s="24" t="s">
        <v>3237</v>
      </c>
      <c r="D5246" s="22" t="s">
        <v>6301</v>
      </c>
      <c r="E5246" s="23" t="s">
        <v>6697</v>
      </c>
      <c r="F5246" s="24" t="s">
        <v>6711</v>
      </c>
      <c r="G5246" s="24" t="s">
        <v>88</v>
      </c>
      <c r="H5246" s="22" t="s">
        <v>6828</v>
      </c>
      <c r="I5246" s="46" t="e">
        <f>VLOOKUP(H5246,'合同高级查询数据-4月返'!A:A,1,FALSE)</f>
        <v>#N/A</v>
      </c>
      <c r="J5246" s="47" t="s">
        <v>90</v>
      </c>
      <c r="K5246" s="22" t="s">
        <v>6829</v>
      </c>
      <c r="L5246" s="22"/>
      <c r="M5246" s="22" t="s">
        <v>6713</v>
      </c>
      <c r="N5246" s="50">
        <v>44414</v>
      </c>
      <c r="O5246" s="22" t="s">
        <v>503</v>
      </c>
      <c r="P5246" s="486">
        <v>0</v>
      </c>
      <c r="Q5246" s="486">
        <v>133</v>
      </c>
      <c r="R5246" s="52">
        <f t="shared" si="165"/>
        <v>0</v>
      </c>
      <c r="S5246" s="47">
        <v>202304</v>
      </c>
      <c r="T5246" s="123" t="s">
        <v>6838</v>
      </c>
      <c r="U5246" s="48"/>
      <c r="V5246" s="48"/>
      <c r="W5246" s="48"/>
      <c r="X5246" s="50">
        <v>44396</v>
      </c>
      <c r="Y5246" s="50">
        <v>46022</v>
      </c>
    </row>
    <row r="5247" s="5" customFormat="1" customHeight="1" spans="1:25">
      <c r="A5247" s="24" t="s">
        <v>446</v>
      </c>
      <c r="B5247" s="24" t="s">
        <v>6300</v>
      </c>
      <c r="C5247" s="24" t="s">
        <v>3237</v>
      </c>
      <c r="D5247" s="22" t="s">
        <v>6301</v>
      </c>
      <c r="E5247" s="23" t="s">
        <v>6697</v>
      </c>
      <c r="F5247" s="24" t="s">
        <v>6711</v>
      </c>
      <c r="G5247" s="24" t="s">
        <v>88</v>
      </c>
      <c r="H5247" s="22" t="s">
        <v>6828</v>
      </c>
      <c r="I5247" s="46" t="e">
        <f>VLOOKUP(H5247,'合同高级查询数据-4月返'!A:A,1,FALSE)</f>
        <v>#N/A</v>
      </c>
      <c r="J5247" s="47" t="s">
        <v>90</v>
      </c>
      <c r="K5247" s="22" t="s">
        <v>6829</v>
      </c>
      <c r="L5247" s="22"/>
      <c r="M5247" s="22" t="s">
        <v>6713</v>
      </c>
      <c r="N5247" s="50">
        <v>44439</v>
      </c>
      <c r="O5247" s="22" t="s">
        <v>503</v>
      </c>
      <c r="P5247" s="486">
        <v>0</v>
      </c>
      <c r="Q5247" s="486">
        <v>-3</v>
      </c>
      <c r="R5247" s="52">
        <f t="shared" si="165"/>
        <v>0</v>
      </c>
      <c r="S5247" s="47">
        <v>202304</v>
      </c>
      <c r="T5247" s="123" t="s">
        <v>6839</v>
      </c>
      <c r="U5247" s="48"/>
      <c r="V5247" s="48"/>
      <c r="W5247" s="48"/>
      <c r="X5247" s="50">
        <v>44396</v>
      </c>
      <c r="Y5247" s="50">
        <v>46022</v>
      </c>
    </row>
    <row r="5248" s="5" customFormat="1" customHeight="1" spans="1:25">
      <c r="A5248" s="24" t="s">
        <v>446</v>
      </c>
      <c r="B5248" s="24" t="s">
        <v>6300</v>
      </c>
      <c r="C5248" s="24" t="s">
        <v>3237</v>
      </c>
      <c r="D5248" s="22" t="s">
        <v>6301</v>
      </c>
      <c r="E5248" s="23" t="s">
        <v>6697</v>
      </c>
      <c r="F5248" s="24" t="s">
        <v>6711</v>
      </c>
      <c r="G5248" s="24" t="s">
        <v>88</v>
      </c>
      <c r="H5248" s="22" t="s">
        <v>6828</v>
      </c>
      <c r="I5248" s="46" t="e">
        <f>VLOOKUP(H5248,'合同高级查询数据-4月返'!A:A,1,FALSE)</f>
        <v>#N/A</v>
      </c>
      <c r="J5248" s="47" t="s">
        <v>90</v>
      </c>
      <c r="K5248" s="22" t="s">
        <v>6829</v>
      </c>
      <c r="L5248" s="22"/>
      <c r="M5248" s="22" t="s">
        <v>6713</v>
      </c>
      <c r="N5248" s="50">
        <v>44440</v>
      </c>
      <c r="O5248" s="22" t="s">
        <v>503</v>
      </c>
      <c r="P5248" s="486">
        <v>5500</v>
      </c>
      <c r="Q5248" s="486">
        <v>12</v>
      </c>
      <c r="R5248" s="52">
        <f t="shared" si="165"/>
        <v>66000</v>
      </c>
      <c r="S5248" s="47">
        <v>202304</v>
      </c>
      <c r="T5248" s="123" t="s">
        <v>6840</v>
      </c>
      <c r="U5248" s="48"/>
      <c r="V5248" s="48"/>
      <c r="W5248" s="48"/>
      <c r="X5248" s="50">
        <v>44396</v>
      </c>
      <c r="Y5248" s="50">
        <v>46022</v>
      </c>
    </row>
    <row r="5249" s="5" customFormat="1" customHeight="1" spans="1:25">
      <c r="A5249" s="24" t="s">
        <v>446</v>
      </c>
      <c r="B5249" s="24" t="s">
        <v>6300</v>
      </c>
      <c r="C5249" s="24" t="s">
        <v>3237</v>
      </c>
      <c r="D5249" s="22" t="s">
        <v>6301</v>
      </c>
      <c r="E5249" s="23" t="s">
        <v>6697</v>
      </c>
      <c r="F5249" s="24" t="s">
        <v>6711</v>
      </c>
      <c r="G5249" s="24" t="s">
        <v>88</v>
      </c>
      <c r="H5249" s="22" t="s">
        <v>6828</v>
      </c>
      <c r="I5249" s="46" t="e">
        <f>VLOOKUP(H5249,'合同高级查询数据-4月返'!A:A,1,FALSE)</f>
        <v>#N/A</v>
      </c>
      <c r="J5249" s="47" t="s">
        <v>90</v>
      </c>
      <c r="K5249" s="22" t="s">
        <v>6829</v>
      </c>
      <c r="L5249" s="22"/>
      <c r="M5249" s="22" t="s">
        <v>6713</v>
      </c>
      <c r="N5249" s="50">
        <v>44443</v>
      </c>
      <c r="O5249" s="22" t="s">
        <v>503</v>
      </c>
      <c r="P5249" s="486">
        <v>0</v>
      </c>
      <c r="Q5249" s="486">
        <v>-9</v>
      </c>
      <c r="R5249" s="52">
        <f t="shared" ref="R5249:R5312" si="166">ROUND(P5249*Q5249,2)</f>
        <v>0</v>
      </c>
      <c r="S5249" s="47">
        <v>202304</v>
      </c>
      <c r="T5249" s="123" t="s">
        <v>6841</v>
      </c>
      <c r="U5249" s="48"/>
      <c r="V5249" s="48"/>
      <c r="W5249" s="48"/>
      <c r="X5249" s="50">
        <v>44396</v>
      </c>
      <c r="Y5249" s="50">
        <v>46022</v>
      </c>
    </row>
    <row r="5250" s="5" customFormat="1" customHeight="1" spans="1:25">
      <c r="A5250" s="24" t="s">
        <v>446</v>
      </c>
      <c r="B5250" s="24" t="s">
        <v>6300</v>
      </c>
      <c r="C5250" s="24" t="s">
        <v>3237</v>
      </c>
      <c r="D5250" s="22" t="s">
        <v>6301</v>
      </c>
      <c r="E5250" s="23" t="s">
        <v>6697</v>
      </c>
      <c r="F5250" s="24" t="s">
        <v>6711</v>
      </c>
      <c r="G5250" s="24" t="s">
        <v>88</v>
      </c>
      <c r="H5250" s="22" t="s">
        <v>6828</v>
      </c>
      <c r="I5250" s="46" t="e">
        <f>VLOOKUP(H5250,'合同高级查询数据-4月返'!A:A,1,FALSE)</f>
        <v>#N/A</v>
      </c>
      <c r="J5250" s="47" t="s">
        <v>90</v>
      </c>
      <c r="K5250" s="22" t="s">
        <v>6829</v>
      </c>
      <c r="L5250" s="22"/>
      <c r="M5250" s="22" t="s">
        <v>6713</v>
      </c>
      <c r="N5250" s="50">
        <v>44444</v>
      </c>
      <c r="O5250" s="22" t="s">
        <v>503</v>
      </c>
      <c r="P5250" s="486">
        <v>5500</v>
      </c>
      <c r="Q5250" s="486">
        <v>30</v>
      </c>
      <c r="R5250" s="52">
        <f t="shared" si="166"/>
        <v>165000</v>
      </c>
      <c r="S5250" s="47">
        <v>202304</v>
      </c>
      <c r="T5250" s="123" t="s">
        <v>6842</v>
      </c>
      <c r="U5250" s="48"/>
      <c r="V5250" s="48"/>
      <c r="W5250" s="48"/>
      <c r="X5250" s="50">
        <v>44396</v>
      </c>
      <c r="Y5250" s="50">
        <v>46022</v>
      </c>
    </row>
    <row r="5251" s="5" customFormat="1" customHeight="1" spans="1:25">
      <c r="A5251" s="24" t="s">
        <v>446</v>
      </c>
      <c r="B5251" s="24" t="s">
        <v>6300</v>
      </c>
      <c r="C5251" s="24" t="s">
        <v>3237</v>
      </c>
      <c r="D5251" s="22" t="s">
        <v>6301</v>
      </c>
      <c r="E5251" s="23" t="s">
        <v>6697</v>
      </c>
      <c r="F5251" s="24" t="s">
        <v>6711</v>
      </c>
      <c r="G5251" s="24" t="s">
        <v>88</v>
      </c>
      <c r="H5251" s="22" t="s">
        <v>6828</v>
      </c>
      <c r="I5251" s="46" t="e">
        <f>VLOOKUP(H5251,'合同高级查询数据-4月返'!A:A,1,FALSE)</f>
        <v>#N/A</v>
      </c>
      <c r="J5251" s="47" t="s">
        <v>90</v>
      </c>
      <c r="K5251" s="22" t="s">
        <v>6829</v>
      </c>
      <c r="L5251" s="22"/>
      <c r="M5251" s="22" t="s">
        <v>6713</v>
      </c>
      <c r="N5251" s="50">
        <v>44445</v>
      </c>
      <c r="O5251" s="22" t="s">
        <v>503</v>
      </c>
      <c r="P5251" s="486">
        <v>0</v>
      </c>
      <c r="Q5251" s="486">
        <v>-101</v>
      </c>
      <c r="R5251" s="52">
        <f t="shared" si="166"/>
        <v>0</v>
      </c>
      <c r="S5251" s="47">
        <v>202304</v>
      </c>
      <c r="T5251" s="123" t="s">
        <v>6843</v>
      </c>
      <c r="U5251" s="48"/>
      <c r="V5251" s="48"/>
      <c r="W5251" s="48"/>
      <c r="X5251" s="50">
        <v>44396</v>
      </c>
      <c r="Y5251" s="50">
        <v>46022</v>
      </c>
    </row>
    <row r="5252" s="5" customFormat="1" customHeight="1" spans="1:25">
      <c r="A5252" s="24" t="s">
        <v>446</v>
      </c>
      <c r="B5252" s="24" t="s">
        <v>6300</v>
      </c>
      <c r="C5252" s="24" t="s">
        <v>3237</v>
      </c>
      <c r="D5252" s="22" t="s">
        <v>6301</v>
      </c>
      <c r="E5252" s="23" t="s">
        <v>6697</v>
      </c>
      <c r="F5252" s="24" t="s">
        <v>6711</v>
      </c>
      <c r="G5252" s="24" t="s">
        <v>88</v>
      </c>
      <c r="H5252" s="22" t="s">
        <v>6828</v>
      </c>
      <c r="I5252" s="46" t="e">
        <f>VLOOKUP(H5252,'合同高级查询数据-4月返'!A:A,1,FALSE)</f>
        <v>#N/A</v>
      </c>
      <c r="J5252" s="47" t="s">
        <v>90</v>
      </c>
      <c r="K5252" s="22" t="s">
        <v>6829</v>
      </c>
      <c r="L5252" s="22"/>
      <c r="M5252" s="22" t="s">
        <v>6713</v>
      </c>
      <c r="N5252" s="50">
        <v>44446</v>
      </c>
      <c r="O5252" s="22" t="s">
        <v>503</v>
      </c>
      <c r="P5252" s="486">
        <v>0</v>
      </c>
      <c r="Q5252" s="486">
        <v>-20</v>
      </c>
      <c r="R5252" s="52">
        <f t="shared" si="166"/>
        <v>0</v>
      </c>
      <c r="S5252" s="47">
        <v>202304</v>
      </c>
      <c r="T5252" s="123" t="s">
        <v>6844</v>
      </c>
      <c r="U5252" s="48"/>
      <c r="V5252" s="48"/>
      <c r="W5252" s="48"/>
      <c r="X5252" s="50">
        <v>44396</v>
      </c>
      <c r="Y5252" s="50">
        <v>46022</v>
      </c>
    </row>
    <row r="5253" s="5" customFormat="1" customHeight="1" spans="1:25">
      <c r="A5253" s="24" t="s">
        <v>446</v>
      </c>
      <c r="B5253" s="24" t="s">
        <v>6300</v>
      </c>
      <c r="C5253" s="24" t="s">
        <v>3237</v>
      </c>
      <c r="D5253" s="22" t="s">
        <v>6301</v>
      </c>
      <c r="E5253" s="23" t="s">
        <v>6697</v>
      </c>
      <c r="F5253" s="24" t="s">
        <v>6711</v>
      </c>
      <c r="G5253" s="24" t="s">
        <v>88</v>
      </c>
      <c r="H5253" s="22" t="s">
        <v>6828</v>
      </c>
      <c r="I5253" s="46" t="e">
        <f>VLOOKUP(H5253,'合同高级查询数据-4月返'!A:A,1,FALSE)</f>
        <v>#N/A</v>
      </c>
      <c r="J5253" s="47" t="s">
        <v>90</v>
      </c>
      <c r="K5253" s="22" t="s">
        <v>6829</v>
      </c>
      <c r="L5253" s="22"/>
      <c r="M5253" s="22" t="s">
        <v>6713</v>
      </c>
      <c r="N5253" s="50">
        <v>44447</v>
      </c>
      <c r="O5253" s="22" t="s">
        <v>503</v>
      </c>
      <c r="P5253" s="486">
        <v>5500</v>
      </c>
      <c r="Q5253" s="486">
        <v>72</v>
      </c>
      <c r="R5253" s="52">
        <f t="shared" si="166"/>
        <v>396000</v>
      </c>
      <c r="S5253" s="47">
        <v>202304</v>
      </c>
      <c r="T5253" s="123" t="s">
        <v>6845</v>
      </c>
      <c r="U5253" s="48"/>
      <c r="V5253" s="48"/>
      <c r="W5253" s="48"/>
      <c r="X5253" s="50">
        <v>44396</v>
      </c>
      <c r="Y5253" s="50">
        <v>46022</v>
      </c>
    </row>
    <row r="5254" s="5" customFormat="1" customHeight="1" spans="1:25">
      <c r="A5254" s="24" t="s">
        <v>446</v>
      </c>
      <c r="B5254" s="24" t="s">
        <v>6300</v>
      </c>
      <c r="C5254" s="24" t="s">
        <v>3237</v>
      </c>
      <c r="D5254" s="22" t="s">
        <v>6301</v>
      </c>
      <c r="E5254" s="23" t="s">
        <v>6697</v>
      </c>
      <c r="F5254" s="24" t="s">
        <v>6711</v>
      </c>
      <c r="G5254" s="24" t="s">
        <v>88</v>
      </c>
      <c r="H5254" s="22" t="s">
        <v>6828</v>
      </c>
      <c r="I5254" s="46" t="e">
        <f>VLOOKUP(H5254,'合同高级查询数据-4月返'!A:A,1,FALSE)</f>
        <v>#N/A</v>
      </c>
      <c r="J5254" s="47" t="s">
        <v>90</v>
      </c>
      <c r="K5254" s="22" t="s">
        <v>6829</v>
      </c>
      <c r="L5254" s="22"/>
      <c r="M5254" s="22" t="s">
        <v>6713</v>
      </c>
      <c r="N5254" s="50">
        <v>44449</v>
      </c>
      <c r="O5254" s="22" t="s">
        <v>503</v>
      </c>
      <c r="P5254" s="486">
        <v>5500</v>
      </c>
      <c r="Q5254" s="486">
        <v>87</v>
      </c>
      <c r="R5254" s="52">
        <f t="shared" si="166"/>
        <v>478500</v>
      </c>
      <c r="S5254" s="47">
        <v>202304</v>
      </c>
      <c r="T5254" s="123" t="s">
        <v>6846</v>
      </c>
      <c r="U5254" s="48"/>
      <c r="V5254" s="48"/>
      <c r="W5254" s="48"/>
      <c r="X5254" s="50">
        <v>44396</v>
      </c>
      <c r="Y5254" s="50">
        <v>46022</v>
      </c>
    </row>
    <row r="5255" s="5" customFormat="1" customHeight="1" spans="1:25">
      <c r="A5255" s="24" t="s">
        <v>446</v>
      </c>
      <c r="B5255" s="24" t="s">
        <v>6300</v>
      </c>
      <c r="C5255" s="24" t="s">
        <v>3237</v>
      </c>
      <c r="D5255" s="22" t="s">
        <v>6301</v>
      </c>
      <c r="E5255" s="23" t="s">
        <v>6697</v>
      </c>
      <c r="F5255" s="24" t="s">
        <v>6711</v>
      </c>
      <c r="G5255" s="24" t="s">
        <v>88</v>
      </c>
      <c r="H5255" s="22" t="s">
        <v>6828</v>
      </c>
      <c r="I5255" s="46" t="e">
        <f>VLOOKUP(H5255,'合同高级查询数据-4月返'!A:A,1,FALSE)</f>
        <v>#N/A</v>
      </c>
      <c r="J5255" s="47" t="s">
        <v>90</v>
      </c>
      <c r="K5255" s="22" t="s">
        <v>6829</v>
      </c>
      <c r="L5255" s="22"/>
      <c r="M5255" s="22" t="s">
        <v>6713</v>
      </c>
      <c r="N5255" s="50">
        <v>44467</v>
      </c>
      <c r="O5255" s="22" t="s">
        <v>503</v>
      </c>
      <c r="P5255" s="486">
        <v>5500</v>
      </c>
      <c r="Q5255" s="486">
        <v>99</v>
      </c>
      <c r="R5255" s="52">
        <f t="shared" si="166"/>
        <v>544500</v>
      </c>
      <c r="S5255" s="47">
        <v>202304</v>
      </c>
      <c r="T5255" s="123" t="s">
        <v>6847</v>
      </c>
      <c r="U5255" s="48"/>
      <c r="V5255" s="48"/>
      <c r="W5255" s="48"/>
      <c r="X5255" s="50">
        <v>44396</v>
      </c>
      <c r="Y5255" s="50">
        <v>46022</v>
      </c>
    </row>
    <row r="5256" s="5" customFormat="1" customHeight="1" spans="1:25">
      <c r="A5256" s="24" t="s">
        <v>446</v>
      </c>
      <c r="B5256" s="24" t="s">
        <v>6300</v>
      </c>
      <c r="C5256" s="24" t="s">
        <v>3237</v>
      </c>
      <c r="D5256" s="22" t="s">
        <v>6301</v>
      </c>
      <c r="E5256" s="23" t="s">
        <v>6697</v>
      </c>
      <c r="F5256" s="24" t="s">
        <v>6711</v>
      </c>
      <c r="G5256" s="24" t="s">
        <v>88</v>
      </c>
      <c r="H5256" s="22" t="s">
        <v>6828</v>
      </c>
      <c r="I5256" s="46" t="e">
        <f>VLOOKUP(H5256,'合同高级查询数据-4月返'!A:A,1,FALSE)</f>
        <v>#N/A</v>
      </c>
      <c r="J5256" s="47" t="s">
        <v>90</v>
      </c>
      <c r="K5256" s="22" t="s">
        <v>6829</v>
      </c>
      <c r="L5256" s="22"/>
      <c r="M5256" s="22" t="s">
        <v>6713</v>
      </c>
      <c r="N5256" s="50">
        <v>44468</v>
      </c>
      <c r="O5256" s="22" t="s">
        <v>503</v>
      </c>
      <c r="P5256" s="486">
        <v>5500</v>
      </c>
      <c r="Q5256" s="486">
        <v>2</v>
      </c>
      <c r="R5256" s="52">
        <f t="shared" si="166"/>
        <v>11000</v>
      </c>
      <c r="S5256" s="47">
        <v>202304</v>
      </c>
      <c r="T5256" s="123" t="s">
        <v>6848</v>
      </c>
      <c r="U5256" s="48"/>
      <c r="V5256" s="48"/>
      <c r="W5256" s="48"/>
      <c r="X5256" s="50">
        <v>44396</v>
      </c>
      <c r="Y5256" s="50">
        <v>46022</v>
      </c>
    </row>
    <row r="5257" s="5" customFormat="1" customHeight="1" spans="1:25">
      <c r="A5257" s="24" t="s">
        <v>446</v>
      </c>
      <c r="B5257" s="24" t="s">
        <v>6300</v>
      </c>
      <c r="C5257" s="24" t="s">
        <v>3237</v>
      </c>
      <c r="D5257" s="22" t="s">
        <v>6301</v>
      </c>
      <c r="E5257" s="23" t="s">
        <v>6697</v>
      </c>
      <c r="F5257" s="24" t="s">
        <v>6711</v>
      </c>
      <c r="G5257" s="24" t="s">
        <v>88</v>
      </c>
      <c r="H5257" s="22" t="s">
        <v>6828</v>
      </c>
      <c r="I5257" s="46" t="e">
        <f>VLOOKUP(H5257,'合同高级查询数据-4月返'!A:A,1,FALSE)</f>
        <v>#N/A</v>
      </c>
      <c r="J5257" s="47" t="s">
        <v>90</v>
      </c>
      <c r="K5257" s="22" t="s">
        <v>6829</v>
      </c>
      <c r="L5257" s="22"/>
      <c r="M5257" s="22" t="s">
        <v>6713</v>
      </c>
      <c r="N5257" s="50">
        <v>44469</v>
      </c>
      <c r="O5257" s="22" t="s">
        <v>503</v>
      </c>
      <c r="P5257" s="486">
        <v>5500</v>
      </c>
      <c r="Q5257" s="486">
        <v>79</v>
      </c>
      <c r="R5257" s="52">
        <f t="shared" si="166"/>
        <v>434500</v>
      </c>
      <c r="S5257" s="47">
        <v>202304</v>
      </c>
      <c r="T5257" s="123" t="s">
        <v>6849</v>
      </c>
      <c r="U5257" s="491"/>
      <c r="V5257" s="48"/>
      <c r="W5257" s="491"/>
      <c r="X5257" s="50">
        <v>44396</v>
      </c>
      <c r="Y5257" s="50">
        <v>46022</v>
      </c>
    </row>
    <row r="5258" s="5" customFormat="1" customHeight="1" spans="1:25">
      <c r="A5258" s="24" t="s">
        <v>446</v>
      </c>
      <c r="B5258" s="24" t="s">
        <v>6300</v>
      </c>
      <c r="C5258" s="24" t="s">
        <v>3237</v>
      </c>
      <c r="D5258" s="22" t="s">
        <v>6301</v>
      </c>
      <c r="E5258" s="23" t="s">
        <v>6697</v>
      </c>
      <c r="F5258" s="24" t="s">
        <v>6711</v>
      </c>
      <c r="G5258" s="24" t="s">
        <v>88</v>
      </c>
      <c r="H5258" s="22" t="s">
        <v>6828</v>
      </c>
      <c r="I5258" s="46" t="e">
        <f>VLOOKUP(H5258,'合同高级查询数据-4月返'!A:A,1,FALSE)</f>
        <v>#N/A</v>
      </c>
      <c r="J5258" s="47" t="s">
        <v>90</v>
      </c>
      <c r="K5258" s="22" t="s">
        <v>6829</v>
      </c>
      <c r="L5258" s="22"/>
      <c r="M5258" s="22" t="s">
        <v>6713</v>
      </c>
      <c r="N5258" s="50">
        <v>44496</v>
      </c>
      <c r="O5258" s="22" t="s">
        <v>503</v>
      </c>
      <c r="P5258" s="486">
        <v>5500</v>
      </c>
      <c r="Q5258" s="486">
        <v>15</v>
      </c>
      <c r="R5258" s="52">
        <f t="shared" si="166"/>
        <v>82500</v>
      </c>
      <c r="S5258" s="47">
        <v>202304</v>
      </c>
      <c r="T5258" s="123" t="s">
        <v>6850</v>
      </c>
      <c r="U5258" s="491"/>
      <c r="V5258" s="48"/>
      <c r="W5258" s="491"/>
      <c r="X5258" s="50">
        <v>44396</v>
      </c>
      <c r="Y5258" s="50">
        <v>46022</v>
      </c>
    </row>
    <row r="5259" s="5" customFormat="1" customHeight="1" spans="1:25">
      <c r="A5259" s="24" t="s">
        <v>446</v>
      </c>
      <c r="B5259" s="24" t="s">
        <v>6300</v>
      </c>
      <c r="C5259" s="24" t="s">
        <v>3237</v>
      </c>
      <c r="D5259" s="22" t="s">
        <v>6301</v>
      </c>
      <c r="E5259" s="23" t="s">
        <v>6697</v>
      </c>
      <c r="F5259" s="24" t="s">
        <v>6711</v>
      </c>
      <c r="G5259" s="24" t="s">
        <v>88</v>
      </c>
      <c r="H5259" s="22" t="s">
        <v>6828</v>
      </c>
      <c r="I5259" s="46" t="e">
        <f>VLOOKUP(H5259,'合同高级查询数据-4月返'!A:A,1,FALSE)</f>
        <v>#N/A</v>
      </c>
      <c r="J5259" s="47" t="s">
        <v>90</v>
      </c>
      <c r="K5259" s="22" t="s">
        <v>6829</v>
      </c>
      <c r="L5259" s="22"/>
      <c r="M5259" s="22" t="s">
        <v>6713</v>
      </c>
      <c r="N5259" s="50">
        <v>44500</v>
      </c>
      <c r="O5259" s="22" t="s">
        <v>503</v>
      </c>
      <c r="P5259" s="486">
        <v>5500</v>
      </c>
      <c r="Q5259" s="486">
        <v>21</v>
      </c>
      <c r="R5259" s="52">
        <f t="shared" si="166"/>
        <v>115500</v>
      </c>
      <c r="S5259" s="47">
        <v>202304</v>
      </c>
      <c r="T5259" s="123" t="s">
        <v>6851</v>
      </c>
      <c r="U5259" s="491"/>
      <c r="V5259" s="48"/>
      <c r="W5259" s="491"/>
      <c r="X5259" s="50">
        <v>44396</v>
      </c>
      <c r="Y5259" s="50">
        <v>46022</v>
      </c>
    </row>
    <row r="5260" s="5" customFormat="1" customHeight="1" spans="1:25">
      <c r="A5260" s="24" t="s">
        <v>446</v>
      </c>
      <c r="B5260" s="24" t="s">
        <v>6300</v>
      </c>
      <c r="C5260" s="24" t="s">
        <v>3237</v>
      </c>
      <c r="D5260" s="22" t="s">
        <v>6301</v>
      </c>
      <c r="E5260" s="23" t="s">
        <v>6697</v>
      </c>
      <c r="F5260" s="24" t="s">
        <v>6711</v>
      </c>
      <c r="G5260" s="24" t="s">
        <v>88</v>
      </c>
      <c r="H5260" s="22" t="s">
        <v>6828</v>
      </c>
      <c r="I5260" s="46" t="e">
        <f>VLOOKUP(H5260,'合同高级查询数据-4月返'!A:A,1,FALSE)</f>
        <v>#N/A</v>
      </c>
      <c r="J5260" s="47" t="s">
        <v>90</v>
      </c>
      <c r="K5260" s="22" t="s">
        <v>6829</v>
      </c>
      <c r="L5260" s="22"/>
      <c r="M5260" s="22" t="s">
        <v>6713</v>
      </c>
      <c r="N5260" s="50">
        <v>44438</v>
      </c>
      <c r="O5260" s="22" t="s">
        <v>600</v>
      </c>
      <c r="P5260" s="486">
        <v>2600</v>
      </c>
      <c r="Q5260" s="486">
        <v>1</v>
      </c>
      <c r="R5260" s="52">
        <f t="shared" si="166"/>
        <v>2600</v>
      </c>
      <c r="S5260" s="47">
        <v>202304</v>
      </c>
      <c r="T5260" s="123" t="s">
        <v>6852</v>
      </c>
      <c r="U5260" s="491"/>
      <c r="V5260" s="48"/>
      <c r="W5260" s="491"/>
      <c r="X5260" s="50">
        <v>44396</v>
      </c>
      <c r="Y5260" s="50">
        <v>46022</v>
      </c>
    </row>
    <row r="5261" s="5" customFormat="1" customHeight="1" spans="1:25">
      <c r="A5261" s="24" t="s">
        <v>446</v>
      </c>
      <c r="B5261" s="24" t="s">
        <v>6300</v>
      </c>
      <c r="C5261" s="24" t="s">
        <v>3237</v>
      </c>
      <c r="D5261" s="22" t="s">
        <v>6301</v>
      </c>
      <c r="E5261" s="23" t="s">
        <v>6697</v>
      </c>
      <c r="F5261" s="24" t="s">
        <v>6711</v>
      </c>
      <c r="G5261" s="24" t="s">
        <v>88</v>
      </c>
      <c r="H5261" s="22" t="s">
        <v>6828</v>
      </c>
      <c r="I5261" s="46" t="e">
        <f>VLOOKUP(H5261,'合同高级查询数据-4月返'!A:A,1,FALSE)</f>
        <v>#N/A</v>
      </c>
      <c r="J5261" s="47" t="s">
        <v>90</v>
      </c>
      <c r="K5261" s="22" t="s">
        <v>6829</v>
      </c>
      <c r="L5261" s="22"/>
      <c r="M5261" s="22" t="s">
        <v>6713</v>
      </c>
      <c r="N5261" s="50">
        <v>44744</v>
      </c>
      <c r="O5261" s="22" t="s">
        <v>503</v>
      </c>
      <c r="P5261" s="486">
        <v>5500</v>
      </c>
      <c r="Q5261" s="486">
        <v>1</v>
      </c>
      <c r="R5261" s="52">
        <f t="shared" si="166"/>
        <v>5500</v>
      </c>
      <c r="S5261" s="47">
        <v>202304</v>
      </c>
      <c r="T5261" s="123" t="s">
        <v>6853</v>
      </c>
      <c r="U5261" s="491"/>
      <c r="V5261" s="48"/>
      <c r="W5261" s="491"/>
      <c r="X5261" s="50">
        <v>44396</v>
      </c>
      <c r="Y5261" s="50">
        <v>46022</v>
      </c>
    </row>
    <row r="5262" s="5" customFormat="1" customHeight="1" spans="1:25">
      <c r="A5262" s="24" t="s">
        <v>446</v>
      </c>
      <c r="B5262" s="24" t="s">
        <v>6300</v>
      </c>
      <c r="C5262" s="24" t="s">
        <v>3237</v>
      </c>
      <c r="D5262" s="22" t="s">
        <v>6301</v>
      </c>
      <c r="E5262" s="23" t="s">
        <v>6697</v>
      </c>
      <c r="F5262" s="24" t="s">
        <v>6711</v>
      </c>
      <c r="G5262" s="24" t="s">
        <v>88</v>
      </c>
      <c r="H5262" s="22" t="s">
        <v>6828</v>
      </c>
      <c r="I5262" s="46" t="e">
        <f>VLOOKUP(H5262,'合同高级查询数据-4月返'!A:A,1,FALSE)</f>
        <v>#N/A</v>
      </c>
      <c r="J5262" s="47" t="s">
        <v>6452</v>
      </c>
      <c r="K5262" s="22" t="s">
        <v>6829</v>
      </c>
      <c r="L5262" s="22"/>
      <c r="M5262" s="22" t="s">
        <v>6713</v>
      </c>
      <c r="N5262" s="50"/>
      <c r="O5262" s="22"/>
      <c r="P5262" s="486">
        <v>275</v>
      </c>
      <c r="Q5262" s="486">
        <v>0</v>
      </c>
      <c r="R5262" s="52">
        <f t="shared" si="166"/>
        <v>0</v>
      </c>
      <c r="S5262" s="47">
        <v>202304</v>
      </c>
      <c r="T5262" s="123"/>
      <c r="U5262" s="48"/>
      <c r="V5262" s="48"/>
      <c r="W5262" s="48"/>
      <c r="X5262" s="50">
        <v>44396</v>
      </c>
      <c r="Y5262" s="50">
        <v>46022</v>
      </c>
    </row>
    <row r="5263" s="5" customFormat="1" customHeight="1" spans="1:25">
      <c r="A5263" s="24" t="s">
        <v>446</v>
      </c>
      <c r="B5263" s="24" t="s">
        <v>6300</v>
      </c>
      <c r="C5263" s="24" t="s">
        <v>3237</v>
      </c>
      <c r="D5263" s="22" t="s">
        <v>6301</v>
      </c>
      <c r="E5263" s="23" t="s">
        <v>6697</v>
      </c>
      <c r="F5263" s="24" t="s">
        <v>6711</v>
      </c>
      <c r="G5263" s="24" t="s">
        <v>88</v>
      </c>
      <c r="H5263" s="22" t="s">
        <v>6854</v>
      </c>
      <c r="I5263" s="46" t="e">
        <f>VLOOKUP(H5263,'合同高级查询数据-4月返'!A:A,1,FALSE)</f>
        <v>#N/A</v>
      </c>
      <c r="J5263" s="47" t="s">
        <v>90</v>
      </c>
      <c r="K5263" s="22" t="s">
        <v>6855</v>
      </c>
      <c r="L5263" s="22"/>
      <c r="M5263" s="22" t="s">
        <v>6713</v>
      </c>
      <c r="N5263" s="50">
        <v>44573</v>
      </c>
      <c r="O5263" s="22" t="s">
        <v>503</v>
      </c>
      <c r="P5263" s="486">
        <v>0</v>
      </c>
      <c r="Q5263" s="486">
        <v>33</v>
      </c>
      <c r="R5263" s="52">
        <f t="shared" si="166"/>
        <v>0</v>
      </c>
      <c r="S5263" s="47">
        <v>202304</v>
      </c>
      <c r="T5263" s="123" t="s">
        <v>6856</v>
      </c>
      <c r="U5263" s="48"/>
      <c r="V5263" s="48"/>
      <c r="W5263" s="48"/>
      <c r="X5263" s="50">
        <v>44621</v>
      </c>
      <c r="Y5263" s="50">
        <v>46022</v>
      </c>
    </row>
    <row r="5264" s="5" customFormat="1" customHeight="1" spans="1:25">
      <c r="A5264" s="24" t="s">
        <v>446</v>
      </c>
      <c r="B5264" s="24" t="s">
        <v>6300</v>
      </c>
      <c r="C5264" s="24" t="s">
        <v>3237</v>
      </c>
      <c r="D5264" s="22" t="s">
        <v>6301</v>
      </c>
      <c r="E5264" s="23" t="s">
        <v>6697</v>
      </c>
      <c r="F5264" s="24" t="s">
        <v>6711</v>
      </c>
      <c r="G5264" s="24" t="s">
        <v>88</v>
      </c>
      <c r="H5264" s="22" t="s">
        <v>6854</v>
      </c>
      <c r="I5264" s="46" t="e">
        <f>VLOOKUP(H5264,'合同高级查询数据-4月返'!A:A,1,FALSE)</f>
        <v>#N/A</v>
      </c>
      <c r="J5264" s="47" t="s">
        <v>90</v>
      </c>
      <c r="K5264" s="22" t="s">
        <v>6855</v>
      </c>
      <c r="L5264" s="22"/>
      <c r="M5264" s="22" t="s">
        <v>6713</v>
      </c>
      <c r="N5264" s="50">
        <v>44580</v>
      </c>
      <c r="O5264" s="22" t="s">
        <v>503</v>
      </c>
      <c r="P5264" s="486">
        <v>0</v>
      </c>
      <c r="Q5264" s="486">
        <v>79</v>
      </c>
      <c r="R5264" s="52">
        <f t="shared" si="166"/>
        <v>0</v>
      </c>
      <c r="S5264" s="47">
        <v>202304</v>
      </c>
      <c r="T5264" s="123" t="s">
        <v>6857</v>
      </c>
      <c r="U5264" s="48"/>
      <c r="V5264" s="48"/>
      <c r="W5264" s="48"/>
      <c r="X5264" s="50">
        <v>44621</v>
      </c>
      <c r="Y5264" s="50">
        <v>46022</v>
      </c>
    </row>
    <row r="5265" s="5" customFormat="1" customHeight="1" spans="1:25">
      <c r="A5265" s="24" t="s">
        <v>446</v>
      </c>
      <c r="B5265" s="24" t="s">
        <v>6300</v>
      </c>
      <c r="C5265" s="24" t="s">
        <v>3237</v>
      </c>
      <c r="D5265" s="22" t="s">
        <v>6301</v>
      </c>
      <c r="E5265" s="23" t="s">
        <v>6697</v>
      </c>
      <c r="F5265" s="24" t="s">
        <v>6711</v>
      </c>
      <c r="G5265" s="24" t="s">
        <v>88</v>
      </c>
      <c r="H5265" s="22" t="s">
        <v>6854</v>
      </c>
      <c r="I5265" s="46" t="e">
        <f>VLOOKUP(H5265,'合同高级查询数据-4月返'!A:A,1,FALSE)</f>
        <v>#N/A</v>
      </c>
      <c r="J5265" s="47" t="s">
        <v>90</v>
      </c>
      <c r="K5265" s="22" t="s">
        <v>6855</v>
      </c>
      <c r="L5265" s="22"/>
      <c r="M5265" s="22" t="s">
        <v>6713</v>
      </c>
      <c r="N5265" s="50">
        <v>44586</v>
      </c>
      <c r="O5265" s="22" t="s">
        <v>503</v>
      </c>
      <c r="P5265" s="486">
        <v>0</v>
      </c>
      <c r="Q5265" s="486">
        <v>-112</v>
      </c>
      <c r="R5265" s="52">
        <f t="shared" si="166"/>
        <v>0</v>
      </c>
      <c r="S5265" s="47">
        <v>202304</v>
      </c>
      <c r="T5265" s="123" t="s">
        <v>6858</v>
      </c>
      <c r="U5265" s="48"/>
      <c r="V5265" s="48"/>
      <c r="W5265" s="48"/>
      <c r="X5265" s="50">
        <v>44621</v>
      </c>
      <c r="Y5265" s="50">
        <v>46022</v>
      </c>
    </row>
    <row r="5266" s="5" customFormat="1" customHeight="1" spans="1:25">
      <c r="A5266" s="24" t="s">
        <v>446</v>
      </c>
      <c r="B5266" s="24" t="s">
        <v>6300</v>
      </c>
      <c r="C5266" s="24" t="s">
        <v>3237</v>
      </c>
      <c r="D5266" s="22" t="s">
        <v>6301</v>
      </c>
      <c r="E5266" s="23" t="s">
        <v>6697</v>
      </c>
      <c r="F5266" s="24" t="s">
        <v>6711</v>
      </c>
      <c r="G5266" s="24" t="s">
        <v>88</v>
      </c>
      <c r="H5266" s="22" t="s">
        <v>6854</v>
      </c>
      <c r="I5266" s="46" t="e">
        <f>VLOOKUP(H5266,'合同高级查询数据-4月返'!A:A,1,FALSE)</f>
        <v>#N/A</v>
      </c>
      <c r="J5266" s="47" t="s">
        <v>90</v>
      </c>
      <c r="K5266" s="22" t="s">
        <v>6855</v>
      </c>
      <c r="L5266" s="22"/>
      <c r="M5266" s="22" t="s">
        <v>6713</v>
      </c>
      <c r="N5266" s="50">
        <v>44613</v>
      </c>
      <c r="O5266" s="22" t="s">
        <v>503</v>
      </c>
      <c r="P5266" s="486">
        <v>5000</v>
      </c>
      <c r="Q5266" s="486">
        <v>10</v>
      </c>
      <c r="R5266" s="52">
        <f t="shared" si="166"/>
        <v>50000</v>
      </c>
      <c r="S5266" s="47">
        <v>202304</v>
      </c>
      <c r="T5266" s="123" t="s">
        <v>6859</v>
      </c>
      <c r="U5266" s="48"/>
      <c r="V5266" s="48"/>
      <c r="W5266" s="48"/>
      <c r="X5266" s="50">
        <v>44621</v>
      </c>
      <c r="Y5266" s="50">
        <v>46022</v>
      </c>
    </row>
    <row r="5267" s="5" customFormat="1" customHeight="1" spans="1:25">
      <c r="A5267" s="24" t="s">
        <v>446</v>
      </c>
      <c r="B5267" s="24" t="s">
        <v>6300</v>
      </c>
      <c r="C5267" s="24" t="s">
        <v>3237</v>
      </c>
      <c r="D5267" s="22" t="s">
        <v>6301</v>
      </c>
      <c r="E5267" s="23" t="s">
        <v>6697</v>
      </c>
      <c r="F5267" s="24" t="s">
        <v>6711</v>
      </c>
      <c r="G5267" s="24" t="s">
        <v>88</v>
      </c>
      <c r="H5267" s="22" t="s">
        <v>6854</v>
      </c>
      <c r="I5267" s="46" t="e">
        <f>VLOOKUP(H5267,'合同高级查询数据-4月返'!A:A,1,FALSE)</f>
        <v>#N/A</v>
      </c>
      <c r="J5267" s="47" t="s">
        <v>90</v>
      </c>
      <c r="K5267" s="22" t="s">
        <v>6855</v>
      </c>
      <c r="L5267" s="22"/>
      <c r="M5267" s="22" t="s">
        <v>6713</v>
      </c>
      <c r="N5267" s="50">
        <v>44613</v>
      </c>
      <c r="O5267" s="22" t="s">
        <v>600</v>
      </c>
      <c r="P5267" s="486">
        <v>2600</v>
      </c>
      <c r="Q5267" s="486">
        <v>4</v>
      </c>
      <c r="R5267" s="52">
        <f t="shared" si="166"/>
        <v>10400</v>
      </c>
      <c r="S5267" s="47">
        <v>202304</v>
      </c>
      <c r="T5267" s="123" t="s">
        <v>6860</v>
      </c>
      <c r="U5267" s="48"/>
      <c r="V5267" s="48"/>
      <c r="W5267" s="48"/>
      <c r="X5267" s="50">
        <v>44621</v>
      </c>
      <c r="Y5267" s="50">
        <v>46022</v>
      </c>
    </row>
    <row r="5268" s="5" customFormat="1" customHeight="1" spans="1:25">
      <c r="A5268" s="24" t="s">
        <v>446</v>
      </c>
      <c r="B5268" s="24" t="s">
        <v>6300</v>
      </c>
      <c r="C5268" s="24" t="s">
        <v>3237</v>
      </c>
      <c r="D5268" s="22" t="s">
        <v>6301</v>
      </c>
      <c r="E5268" s="23" t="s">
        <v>6697</v>
      </c>
      <c r="F5268" s="24" t="s">
        <v>6711</v>
      </c>
      <c r="G5268" s="24" t="s">
        <v>88</v>
      </c>
      <c r="H5268" s="22" t="s">
        <v>6854</v>
      </c>
      <c r="I5268" s="46" t="e">
        <f>VLOOKUP(H5268,'合同高级查询数据-4月返'!A:A,1,FALSE)</f>
        <v>#N/A</v>
      </c>
      <c r="J5268" s="47" t="s">
        <v>90</v>
      </c>
      <c r="K5268" s="22" t="s">
        <v>6855</v>
      </c>
      <c r="L5268" s="22"/>
      <c r="M5268" s="22" t="s">
        <v>6713</v>
      </c>
      <c r="N5268" s="50">
        <v>44639</v>
      </c>
      <c r="O5268" s="22" t="s">
        <v>600</v>
      </c>
      <c r="P5268" s="486">
        <v>2600</v>
      </c>
      <c r="Q5268" s="486">
        <v>1</v>
      </c>
      <c r="R5268" s="52">
        <f t="shared" si="166"/>
        <v>2600</v>
      </c>
      <c r="S5268" s="47">
        <v>202304</v>
      </c>
      <c r="T5268" s="123" t="s">
        <v>6861</v>
      </c>
      <c r="U5268" s="48"/>
      <c r="V5268" s="48"/>
      <c r="W5268" s="48"/>
      <c r="X5268" s="50">
        <v>44621</v>
      </c>
      <c r="Y5268" s="50">
        <v>46022</v>
      </c>
    </row>
    <row r="5269" s="5" customFormat="1" customHeight="1" spans="1:25">
      <c r="A5269" s="24" t="s">
        <v>446</v>
      </c>
      <c r="B5269" s="24" t="s">
        <v>6300</v>
      </c>
      <c r="C5269" s="24" t="s">
        <v>3237</v>
      </c>
      <c r="D5269" s="22" t="s">
        <v>6301</v>
      </c>
      <c r="E5269" s="23" t="s">
        <v>6697</v>
      </c>
      <c r="F5269" s="24" t="s">
        <v>6711</v>
      </c>
      <c r="G5269" s="24" t="s">
        <v>88</v>
      </c>
      <c r="H5269" s="22" t="s">
        <v>6854</v>
      </c>
      <c r="I5269" s="46" t="e">
        <f>VLOOKUP(H5269,'合同高级查询数据-4月返'!A:A,1,FALSE)</f>
        <v>#N/A</v>
      </c>
      <c r="J5269" s="47" t="s">
        <v>90</v>
      </c>
      <c r="K5269" s="22" t="s">
        <v>6855</v>
      </c>
      <c r="L5269" s="22"/>
      <c r="M5269" s="22" t="s">
        <v>6713</v>
      </c>
      <c r="N5269" s="50">
        <v>44744</v>
      </c>
      <c r="O5269" s="22" t="s">
        <v>503</v>
      </c>
      <c r="P5269" s="486">
        <v>5000</v>
      </c>
      <c r="Q5269" s="486">
        <v>3</v>
      </c>
      <c r="R5269" s="52">
        <f t="shared" si="166"/>
        <v>15000</v>
      </c>
      <c r="S5269" s="47">
        <v>202304</v>
      </c>
      <c r="T5269" s="123" t="s">
        <v>6862</v>
      </c>
      <c r="U5269" s="48"/>
      <c r="V5269" s="48"/>
      <c r="W5269" s="48"/>
      <c r="X5269" s="50">
        <v>44621</v>
      </c>
      <c r="Y5269" s="50">
        <v>46022</v>
      </c>
    </row>
    <row r="5270" s="5" customFormat="1" customHeight="1" spans="1:25">
      <c r="A5270" s="24" t="s">
        <v>446</v>
      </c>
      <c r="B5270" s="24" t="s">
        <v>6300</v>
      </c>
      <c r="C5270" s="24" t="s">
        <v>3237</v>
      </c>
      <c r="D5270" s="22" t="s">
        <v>6301</v>
      </c>
      <c r="E5270" s="23" t="s">
        <v>6697</v>
      </c>
      <c r="F5270" s="24" t="s">
        <v>6711</v>
      </c>
      <c r="G5270" s="24" t="s">
        <v>88</v>
      </c>
      <c r="H5270" s="22" t="s">
        <v>6854</v>
      </c>
      <c r="I5270" s="46" t="e">
        <f>VLOOKUP(H5270,'合同高级查询数据-4月返'!A:A,1,FALSE)</f>
        <v>#N/A</v>
      </c>
      <c r="J5270" s="47" t="s">
        <v>90</v>
      </c>
      <c r="K5270" s="22" t="s">
        <v>6855</v>
      </c>
      <c r="L5270" s="22"/>
      <c r="M5270" s="22" t="s">
        <v>6713</v>
      </c>
      <c r="N5270" s="50">
        <v>44754</v>
      </c>
      <c r="O5270" s="22" t="s">
        <v>503</v>
      </c>
      <c r="P5270" s="486">
        <v>5000</v>
      </c>
      <c r="Q5270" s="486">
        <v>2</v>
      </c>
      <c r="R5270" s="52">
        <f t="shared" si="166"/>
        <v>10000</v>
      </c>
      <c r="S5270" s="47">
        <v>202304</v>
      </c>
      <c r="T5270" s="123" t="s">
        <v>6863</v>
      </c>
      <c r="U5270" s="48"/>
      <c r="V5270" s="48"/>
      <c r="W5270" s="48"/>
      <c r="X5270" s="50">
        <v>44621</v>
      </c>
      <c r="Y5270" s="50">
        <v>46022</v>
      </c>
    </row>
    <row r="5271" s="5" customFormat="1" customHeight="1" spans="1:25">
      <c r="A5271" s="24" t="s">
        <v>446</v>
      </c>
      <c r="B5271" s="24" t="s">
        <v>6300</v>
      </c>
      <c r="C5271" s="24" t="s">
        <v>3237</v>
      </c>
      <c r="D5271" s="22" t="s">
        <v>6301</v>
      </c>
      <c r="E5271" s="23" t="s">
        <v>6697</v>
      </c>
      <c r="F5271" s="24" t="s">
        <v>6711</v>
      </c>
      <c r="G5271" s="24" t="s">
        <v>88</v>
      </c>
      <c r="H5271" s="22" t="s">
        <v>6854</v>
      </c>
      <c r="I5271" s="46" t="e">
        <f>VLOOKUP(H5271,'合同高级查询数据-4月返'!A:A,1,FALSE)</f>
        <v>#N/A</v>
      </c>
      <c r="J5271" s="47" t="s">
        <v>90</v>
      </c>
      <c r="K5271" s="22" t="s">
        <v>6855</v>
      </c>
      <c r="L5271" s="22"/>
      <c r="M5271" s="22" t="s">
        <v>6713</v>
      </c>
      <c r="N5271" s="50">
        <v>44792</v>
      </c>
      <c r="O5271" s="22" t="s">
        <v>503</v>
      </c>
      <c r="P5271" s="486">
        <v>5000</v>
      </c>
      <c r="Q5271" s="486">
        <v>38</v>
      </c>
      <c r="R5271" s="52">
        <f t="shared" si="166"/>
        <v>190000</v>
      </c>
      <c r="S5271" s="47">
        <v>202304</v>
      </c>
      <c r="T5271" s="123" t="s">
        <v>6864</v>
      </c>
      <c r="U5271" s="48"/>
      <c r="V5271" s="48"/>
      <c r="W5271" s="48"/>
      <c r="X5271" s="50">
        <v>44621</v>
      </c>
      <c r="Y5271" s="50">
        <v>46022</v>
      </c>
    </row>
    <row r="5272" s="5" customFormat="1" customHeight="1" spans="1:25">
      <c r="A5272" s="24" t="s">
        <v>446</v>
      </c>
      <c r="B5272" s="24" t="s">
        <v>6300</v>
      </c>
      <c r="C5272" s="24" t="s">
        <v>3237</v>
      </c>
      <c r="D5272" s="22" t="s">
        <v>6301</v>
      </c>
      <c r="E5272" s="23" t="s">
        <v>6697</v>
      </c>
      <c r="F5272" s="24" t="s">
        <v>6711</v>
      </c>
      <c r="G5272" s="24" t="s">
        <v>88</v>
      </c>
      <c r="H5272" s="22" t="s">
        <v>6854</v>
      </c>
      <c r="I5272" s="46" t="e">
        <f>VLOOKUP(H5272,'合同高级查询数据-4月返'!A:A,1,FALSE)</f>
        <v>#N/A</v>
      </c>
      <c r="J5272" s="47" t="s">
        <v>90</v>
      </c>
      <c r="K5272" s="22" t="s">
        <v>6855</v>
      </c>
      <c r="L5272" s="22"/>
      <c r="M5272" s="22" t="s">
        <v>6713</v>
      </c>
      <c r="N5272" s="50">
        <v>44805</v>
      </c>
      <c r="O5272" s="22" t="s">
        <v>503</v>
      </c>
      <c r="P5272" s="486">
        <v>5000</v>
      </c>
      <c r="Q5272" s="486">
        <v>10</v>
      </c>
      <c r="R5272" s="52">
        <f t="shared" si="166"/>
        <v>50000</v>
      </c>
      <c r="S5272" s="47">
        <v>202304</v>
      </c>
      <c r="T5272" s="123" t="s">
        <v>6865</v>
      </c>
      <c r="U5272" s="48"/>
      <c r="V5272" s="48"/>
      <c r="W5272" s="48"/>
      <c r="X5272" s="50">
        <v>44621</v>
      </c>
      <c r="Y5272" s="50">
        <v>46022</v>
      </c>
    </row>
    <row r="5273" s="5" customFormat="1" customHeight="1" spans="1:25">
      <c r="A5273" s="24" t="s">
        <v>446</v>
      </c>
      <c r="B5273" s="24" t="s">
        <v>6300</v>
      </c>
      <c r="C5273" s="24" t="s">
        <v>3237</v>
      </c>
      <c r="D5273" s="22" t="s">
        <v>6301</v>
      </c>
      <c r="E5273" s="23" t="s">
        <v>6697</v>
      </c>
      <c r="F5273" s="24" t="s">
        <v>6711</v>
      </c>
      <c r="G5273" s="24" t="s">
        <v>88</v>
      </c>
      <c r="H5273" s="22" t="s">
        <v>6854</v>
      </c>
      <c r="I5273" s="46" t="e">
        <f>VLOOKUP(H5273,'合同高级查询数据-4月返'!A:A,1,FALSE)</f>
        <v>#N/A</v>
      </c>
      <c r="J5273" s="47" t="s">
        <v>90</v>
      </c>
      <c r="K5273" s="22" t="s">
        <v>6855</v>
      </c>
      <c r="L5273" s="22"/>
      <c r="M5273" s="22" t="s">
        <v>6713</v>
      </c>
      <c r="N5273" s="50">
        <v>44811</v>
      </c>
      <c r="O5273" s="22" t="s">
        <v>503</v>
      </c>
      <c r="P5273" s="486">
        <v>5000</v>
      </c>
      <c r="Q5273" s="486">
        <v>52</v>
      </c>
      <c r="R5273" s="52">
        <f t="shared" si="166"/>
        <v>260000</v>
      </c>
      <c r="S5273" s="47">
        <v>202304</v>
      </c>
      <c r="T5273" s="123" t="s">
        <v>6866</v>
      </c>
      <c r="U5273" s="48"/>
      <c r="V5273" s="48"/>
      <c r="W5273" s="48"/>
      <c r="X5273" s="50">
        <v>44621</v>
      </c>
      <c r="Y5273" s="50">
        <v>46022</v>
      </c>
    </row>
    <row r="5274" s="5" customFormat="1" customHeight="1" spans="1:25">
      <c r="A5274" s="24" t="s">
        <v>446</v>
      </c>
      <c r="B5274" s="24" t="s">
        <v>6300</v>
      </c>
      <c r="C5274" s="24" t="s">
        <v>3237</v>
      </c>
      <c r="D5274" s="22" t="s">
        <v>6301</v>
      </c>
      <c r="E5274" s="23" t="s">
        <v>6697</v>
      </c>
      <c r="F5274" s="24" t="s">
        <v>6711</v>
      </c>
      <c r="G5274" s="24" t="s">
        <v>88</v>
      </c>
      <c r="H5274" s="22" t="s">
        <v>6854</v>
      </c>
      <c r="I5274" s="46" t="e">
        <f>VLOOKUP(H5274,'合同高级查询数据-4月返'!A:A,1,FALSE)</f>
        <v>#N/A</v>
      </c>
      <c r="J5274" s="47" t="s">
        <v>90</v>
      </c>
      <c r="K5274" s="22" t="s">
        <v>6855</v>
      </c>
      <c r="L5274" s="22"/>
      <c r="M5274" s="22" t="s">
        <v>6713</v>
      </c>
      <c r="N5274" s="50">
        <v>44869</v>
      </c>
      <c r="O5274" s="22" t="s">
        <v>503</v>
      </c>
      <c r="P5274" s="486">
        <v>5000</v>
      </c>
      <c r="Q5274" s="486">
        <v>-3</v>
      </c>
      <c r="R5274" s="52">
        <f t="shared" si="166"/>
        <v>-15000</v>
      </c>
      <c r="S5274" s="47">
        <v>202304</v>
      </c>
      <c r="T5274" s="123" t="s">
        <v>6867</v>
      </c>
      <c r="U5274" s="48"/>
      <c r="V5274" s="48"/>
      <c r="W5274" s="48"/>
      <c r="X5274" s="50">
        <v>44621</v>
      </c>
      <c r="Y5274" s="50">
        <v>46022</v>
      </c>
    </row>
    <row r="5275" s="5" customFormat="1" customHeight="1" spans="1:25">
      <c r="A5275" s="24" t="s">
        <v>446</v>
      </c>
      <c r="B5275" s="24" t="s">
        <v>6300</v>
      </c>
      <c r="C5275" s="24" t="s">
        <v>3237</v>
      </c>
      <c r="D5275" s="22" t="s">
        <v>6301</v>
      </c>
      <c r="E5275" s="23" t="s">
        <v>6697</v>
      </c>
      <c r="F5275" s="24" t="s">
        <v>6711</v>
      </c>
      <c r="G5275" s="24" t="s">
        <v>88</v>
      </c>
      <c r="H5275" s="22" t="s">
        <v>6854</v>
      </c>
      <c r="I5275" s="46" t="e">
        <f>VLOOKUP(H5275,'合同高级查询数据-4月返'!A:A,1,FALSE)</f>
        <v>#N/A</v>
      </c>
      <c r="J5275" s="47" t="s">
        <v>6452</v>
      </c>
      <c r="K5275" s="22" t="s">
        <v>6855</v>
      </c>
      <c r="L5275" s="22"/>
      <c r="M5275" s="22" t="s">
        <v>6713</v>
      </c>
      <c r="N5275" s="50"/>
      <c r="O5275" s="22"/>
      <c r="P5275" s="486">
        <v>250</v>
      </c>
      <c r="Q5275" s="486">
        <v>0</v>
      </c>
      <c r="R5275" s="52">
        <f t="shared" si="166"/>
        <v>0</v>
      </c>
      <c r="S5275" s="47">
        <v>202304</v>
      </c>
      <c r="T5275" s="123" t="s">
        <v>6868</v>
      </c>
      <c r="U5275" s="48"/>
      <c r="V5275" s="48"/>
      <c r="W5275" s="48"/>
      <c r="X5275" s="50">
        <v>44621</v>
      </c>
      <c r="Y5275" s="50">
        <v>46022</v>
      </c>
    </row>
    <row r="5276" s="3" customFormat="1" customHeight="1" spans="1:25">
      <c r="A5276" s="35" t="s">
        <v>446</v>
      </c>
      <c r="B5276" s="35" t="s">
        <v>6300</v>
      </c>
      <c r="C5276" s="11" t="s">
        <v>3237</v>
      </c>
      <c r="D5276" s="35" t="s">
        <v>6301</v>
      </c>
      <c r="E5276" s="30" t="s">
        <v>6697</v>
      </c>
      <c r="F5276" s="35" t="s">
        <v>6711</v>
      </c>
      <c r="G5276" s="11" t="s">
        <v>31</v>
      </c>
      <c r="H5276" s="35" t="s">
        <v>6869</v>
      </c>
      <c r="I5276" s="30" t="e">
        <f>VLOOKUP(H5276,'合同高级查询数据-4月返'!A:A,1,FALSE)</f>
        <v>#N/A</v>
      </c>
      <c r="J5276" s="35" t="s">
        <v>6456</v>
      </c>
      <c r="K5276" s="35" t="s">
        <v>6672</v>
      </c>
      <c r="L5276" s="35"/>
      <c r="M5276" s="470" t="s">
        <v>6709</v>
      </c>
      <c r="N5276" s="34">
        <v>43922</v>
      </c>
      <c r="O5276" s="35" t="s">
        <v>37</v>
      </c>
      <c r="P5276" s="488">
        <v>2500</v>
      </c>
      <c r="Q5276" s="488">
        <v>2</v>
      </c>
      <c r="R5276" s="465">
        <f t="shared" si="166"/>
        <v>5000</v>
      </c>
      <c r="S5276" s="31">
        <v>202304</v>
      </c>
      <c r="T5276" s="60" t="s">
        <v>6870</v>
      </c>
      <c r="U5276" s="411"/>
      <c r="V5276" s="411"/>
      <c r="W5276" s="411"/>
      <c r="X5276" s="34"/>
      <c r="Y5276" s="34"/>
    </row>
    <row r="5277" s="3" customFormat="1" customHeight="1" spans="1:25">
      <c r="A5277" s="35" t="s">
        <v>446</v>
      </c>
      <c r="B5277" s="35" t="s">
        <v>6300</v>
      </c>
      <c r="C5277" s="11" t="s">
        <v>3237</v>
      </c>
      <c r="D5277" s="35" t="s">
        <v>6301</v>
      </c>
      <c r="E5277" s="30" t="s">
        <v>6697</v>
      </c>
      <c r="F5277" s="35" t="s">
        <v>6711</v>
      </c>
      <c r="G5277" s="35" t="s">
        <v>31</v>
      </c>
      <c r="H5277" s="35" t="s">
        <v>6869</v>
      </c>
      <c r="I5277" s="30" t="e">
        <f>VLOOKUP(H5277,'合同高级查询数据-4月返'!A:A,1,FALSE)</f>
        <v>#N/A</v>
      </c>
      <c r="J5277" s="35" t="s">
        <v>6456</v>
      </c>
      <c r="K5277" s="35" t="s">
        <v>6672</v>
      </c>
      <c r="L5277" s="35"/>
      <c r="M5277" s="35" t="s">
        <v>6709</v>
      </c>
      <c r="N5277" s="34">
        <v>44075</v>
      </c>
      <c r="O5277" s="35" t="s">
        <v>37</v>
      </c>
      <c r="P5277" s="488">
        <v>2500</v>
      </c>
      <c r="Q5277" s="488">
        <v>2</v>
      </c>
      <c r="R5277" s="465">
        <f t="shared" si="166"/>
        <v>5000</v>
      </c>
      <c r="S5277" s="31">
        <v>202304</v>
      </c>
      <c r="T5277" s="60" t="s">
        <v>6871</v>
      </c>
      <c r="U5277" s="411"/>
      <c r="V5277" s="411"/>
      <c r="W5277" s="411"/>
      <c r="X5277" s="34"/>
      <c r="Y5277" s="34"/>
    </row>
    <row r="5278" s="5" customFormat="1" customHeight="1" spans="1:25">
      <c r="A5278" s="22" t="s">
        <v>446</v>
      </c>
      <c r="B5278" s="22" t="s">
        <v>6300</v>
      </c>
      <c r="C5278" s="24" t="s">
        <v>3237</v>
      </c>
      <c r="D5278" s="22" t="s">
        <v>6301</v>
      </c>
      <c r="E5278" s="46" t="s">
        <v>6697</v>
      </c>
      <c r="F5278" s="22" t="s">
        <v>6711</v>
      </c>
      <c r="G5278" s="22" t="s">
        <v>31</v>
      </c>
      <c r="H5278" s="22" t="s">
        <v>6872</v>
      </c>
      <c r="I5278" s="46" t="e">
        <f>VLOOKUP(H5278,'合同高级查询数据-4月返'!A:A,1,FALSE)</f>
        <v>#N/A</v>
      </c>
      <c r="J5278" s="47" t="s">
        <v>33</v>
      </c>
      <c r="K5278" s="22" t="s">
        <v>6873</v>
      </c>
      <c r="L5278" s="22" t="s">
        <v>6874</v>
      </c>
      <c r="M5278" s="22" t="s">
        <v>6875</v>
      </c>
      <c r="N5278" s="50">
        <v>44743</v>
      </c>
      <c r="O5278" s="22" t="s">
        <v>37</v>
      </c>
      <c r="P5278" s="486">
        <v>0</v>
      </c>
      <c r="Q5278" s="486">
        <v>544</v>
      </c>
      <c r="R5278" s="52">
        <f t="shared" si="166"/>
        <v>0</v>
      </c>
      <c r="S5278" s="47">
        <v>202304</v>
      </c>
      <c r="T5278" s="123" t="s">
        <v>6876</v>
      </c>
      <c r="U5278" s="48"/>
      <c r="V5278" s="48"/>
      <c r="W5278" s="48"/>
      <c r="X5278" s="50">
        <v>44743</v>
      </c>
      <c r="Y5278" s="50">
        <v>45107</v>
      </c>
    </row>
    <row r="5279" s="5" customFormat="1" customHeight="1" spans="1:25">
      <c r="A5279" s="22" t="s">
        <v>446</v>
      </c>
      <c r="B5279" s="22" t="s">
        <v>6300</v>
      </c>
      <c r="C5279" s="24" t="s">
        <v>3237</v>
      </c>
      <c r="D5279" s="22" t="s">
        <v>6301</v>
      </c>
      <c r="E5279" s="46" t="s">
        <v>6697</v>
      </c>
      <c r="F5279" s="22" t="s">
        <v>6711</v>
      </c>
      <c r="G5279" s="22" t="s">
        <v>31</v>
      </c>
      <c r="H5279" s="22" t="s">
        <v>6872</v>
      </c>
      <c r="I5279" s="46" t="e">
        <f>VLOOKUP(H5279,'合同高级查询数据-4月返'!A:A,1,FALSE)</f>
        <v>#N/A</v>
      </c>
      <c r="J5279" s="47" t="s">
        <v>33</v>
      </c>
      <c r="K5279" s="22" t="s">
        <v>6873</v>
      </c>
      <c r="L5279" s="22" t="s">
        <v>6874</v>
      </c>
      <c r="M5279" s="22" t="s">
        <v>6875</v>
      </c>
      <c r="N5279" s="50">
        <v>44743</v>
      </c>
      <c r="O5279" s="22" t="s">
        <v>179</v>
      </c>
      <c r="P5279" s="486">
        <v>0</v>
      </c>
      <c r="Q5279" s="486">
        <v>1</v>
      </c>
      <c r="R5279" s="52">
        <f t="shared" si="166"/>
        <v>0</v>
      </c>
      <c r="S5279" s="47">
        <v>202304</v>
      </c>
      <c r="T5279" s="123" t="s">
        <v>6877</v>
      </c>
      <c r="U5279" s="48"/>
      <c r="V5279" s="48"/>
      <c r="W5279" s="48"/>
      <c r="X5279" s="50">
        <v>44743</v>
      </c>
      <c r="Y5279" s="50">
        <v>45107</v>
      </c>
    </row>
    <row r="5280" s="5" customFormat="1" customHeight="1" spans="1:25">
      <c r="A5280" s="22" t="s">
        <v>446</v>
      </c>
      <c r="B5280" s="22" t="s">
        <v>6300</v>
      </c>
      <c r="C5280" s="24" t="s">
        <v>3237</v>
      </c>
      <c r="D5280" s="22" t="s">
        <v>6301</v>
      </c>
      <c r="E5280" s="46" t="s">
        <v>6697</v>
      </c>
      <c r="F5280" s="22" t="s">
        <v>6711</v>
      </c>
      <c r="G5280" s="22" t="s">
        <v>31</v>
      </c>
      <c r="H5280" s="22" t="s">
        <v>6872</v>
      </c>
      <c r="I5280" s="46" t="e">
        <f>VLOOKUP(H5280,'合同高级查询数据-4月返'!A:A,1,FALSE)</f>
        <v>#N/A</v>
      </c>
      <c r="J5280" s="47" t="s">
        <v>33</v>
      </c>
      <c r="K5280" s="22" t="s">
        <v>6873</v>
      </c>
      <c r="L5280" s="22" t="s">
        <v>6874</v>
      </c>
      <c r="M5280" s="22" t="s">
        <v>6875</v>
      </c>
      <c r="N5280" s="50">
        <v>44834</v>
      </c>
      <c r="O5280" s="22" t="s">
        <v>179</v>
      </c>
      <c r="P5280" s="486">
        <v>0</v>
      </c>
      <c r="Q5280" s="486">
        <v>-1</v>
      </c>
      <c r="R5280" s="52">
        <f t="shared" si="166"/>
        <v>0</v>
      </c>
      <c r="S5280" s="47">
        <v>202304</v>
      </c>
      <c r="T5280" s="123" t="s">
        <v>6878</v>
      </c>
      <c r="U5280" s="48"/>
      <c r="V5280" s="48"/>
      <c r="W5280" s="48"/>
      <c r="X5280" s="50">
        <v>44743</v>
      </c>
      <c r="Y5280" s="50">
        <v>45107</v>
      </c>
    </row>
    <row r="5281" s="5" customFormat="1" customHeight="1" spans="1:25">
      <c r="A5281" s="22" t="s">
        <v>446</v>
      </c>
      <c r="B5281" s="22" t="s">
        <v>6300</v>
      </c>
      <c r="C5281" s="24" t="s">
        <v>3237</v>
      </c>
      <c r="D5281" s="22" t="s">
        <v>6301</v>
      </c>
      <c r="E5281" s="46" t="s">
        <v>6697</v>
      </c>
      <c r="F5281" s="22" t="s">
        <v>6711</v>
      </c>
      <c r="G5281" s="24" t="s">
        <v>88</v>
      </c>
      <c r="H5281" s="22" t="s">
        <v>6872</v>
      </c>
      <c r="I5281" s="46" t="e">
        <f>VLOOKUP(H5281,'合同高级查询数据-4月返'!A:A,1,FALSE)</f>
        <v>#N/A</v>
      </c>
      <c r="J5281" s="47" t="s">
        <v>162</v>
      </c>
      <c r="K5281" s="22" t="s">
        <v>6873</v>
      </c>
      <c r="L5281" s="22" t="s">
        <v>6874</v>
      </c>
      <c r="M5281" s="22" t="s">
        <v>6875</v>
      </c>
      <c r="N5281" s="50">
        <v>44743</v>
      </c>
      <c r="O5281" s="22" t="s">
        <v>702</v>
      </c>
      <c r="P5281" s="486">
        <v>3000</v>
      </c>
      <c r="Q5281" s="486">
        <v>1</v>
      </c>
      <c r="R5281" s="52">
        <f t="shared" si="166"/>
        <v>3000</v>
      </c>
      <c r="S5281" s="47">
        <v>202304</v>
      </c>
      <c r="T5281" s="123" t="s">
        <v>6879</v>
      </c>
      <c r="U5281" s="48"/>
      <c r="V5281" s="48"/>
      <c r="W5281" s="48"/>
      <c r="X5281" s="50">
        <v>44743</v>
      </c>
      <c r="Y5281" s="50">
        <v>45107</v>
      </c>
    </row>
    <row r="5282" s="5" customFormat="1" customHeight="1" spans="1:25">
      <c r="A5282" s="22" t="s">
        <v>446</v>
      </c>
      <c r="B5282" s="22" t="s">
        <v>6300</v>
      </c>
      <c r="C5282" s="24" t="s">
        <v>3237</v>
      </c>
      <c r="D5282" s="22" t="s">
        <v>6301</v>
      </c>
      <c r="E5282" s="46" t="s">
        <v>6697</v>
      </c>
      <c r="F5282" s="22" t="s">
        <v>6711</v>
      </c>
      <c r="G5282" s="24" t="s">
        <v>88</v>
      </c>
      <c r="H5282" s="22" t="s">
        <v>6872</v>
      </c>
      <c r="I5282" s="46" t="e">
        <f>VLOOKUP(H5282,'合同高级查询数据-4月返'!A:A,1,FALSE)</f>
        <v>#N/A</v>
      </c>
      <c r="J5282" s="47" t="s">
        <v>162</v>
      </c>
      <c r="K5282" s="22" t="s">
        <v>6873</v>
      </c>
      <c r="L5282" s="22" t="s">
        <v>6874</v>
      </c>
      <c r="M5282" s="22" t="s">
        <v>6875</v>
      </c>
      <c r="N5282" s="50">
        <v>44834</v>
      </c>
      <c r="O5282" s="22" t="s">
        <v>702</v>
      </c>
      <c r="P5282" s="486">
        <v>3000</v>
      </c>
      <c r="Q5282" s="486">
        <v>-1</v>
      </c>
      <c r="R5282" s="52">
        <f t="shared" si="166"/>
        <v>-3000</v>
      </c>
      <c r="S5282" s="47">
        <v>202304</v>
      </c>
      <c r="T5282" s="123" t="s">
        <v>6880</v>
      </c>
      <c r="U5282" s="48"/>
      <c r="V5282" s="48"/>
      <c r="W5282" s="48"/>
      <c r="X5282" s="50">
        <v>44743</v>
      </c>
      <c r="Y5282" s="50">
        <v>45107</v>
      </c>
    </row>
    <row r="5283" s="5" customFormat="1" customHeight="1" spans="1:25">
      <c r="A5283" s="22" t="s">
        <v>446</v>
      </c>
      <c r="B5283" s="22" t="s">
        <v>6300</v>
      </c>
      <c r="C5283" s="24" t="s">
        <v>3237</v>
      </c>
      <c r="D5283" s="22" t="s">
        <v>6301</v>
      </c>
      <c r="E5283" s="46" t="s">
        <v>6697</v>
      </c>
      <c r="F5283" s="22" t="s">
        <v>6711</v>
      </c>
      <c r="G5283" s="24" t="s">
        <v>88</v>
      </c>
      <c r="H5283" s="22" t="s">
        <v>6872</v>
      </c>
      <c r="I5283" s="46" t="e">
        <f>VLOOKUP(H5283,'合同高级查询数据-4月返'!A:A,1,FALSE)</f>
        <v>#N/A</v>
      </c>
      <c r="J5283" s="47" t="s">
        <v>162</v>
      </c>
      <c r="K5283" s="22" t="s">
        <v>6873</v>
      </c>
      <c r="L5283" s="22" t="s">
        <v>6874</v>
      </c>
      <c r="M5283" s="22" t="s">
        <v>6875</v>
      </c>
      <c r="N5283" s="50">
        <v>44743</v>
      </c>
      <c r="O5283" s="22" t="s">
        <v>584</v>
      </c>
      <c r="P5283" s="486">
        <v>290</v>
      </c>
      <c r="Q5283" s="486">
        <v>0</v>
      </c>
      <c r="R5283" s="52">
        <f t="shared" si="166"/>
        <v>0</v>
      </c>
      <c r="S5283" s="47">
        <v>202304</v>
      </c>
      <c r="T5283" s="123" t="s">
        <v>6881</v>
      </c>
      <c r="U5283" s="48"/>
      <c r="V5283" s="48"/>
      <c r="W5283" s="48"/>
      <c r="X5283" s="50">
        <v>44743</v>
      </c>
      <c r="Y5283" s="50">
        <v>45107</v>
      </c>
    </row>
    <row r="5284" s="5" customFormat="1" customHeight="1" spans="1:25">
      <c r="A5284" s="22" t="s">
        <v>446</v>
      </c>
      <c r="B5284" s="22" t="s">
        <v>6300</v>
      </c>
      <c r="C5284" s="24" t="s">
        <v>3237</v>
      </c>
      <c r="D5284" s="22" t="s">
        <v>6301</v>
      </c>
      <c r="E5284" s="46" t="s">
        <v>6697</v>
      </c>
      <c r="F5284" s="22" t="s">
        <v>6711</v>
      </c>
      <c r="G5284" s="22" t="s">
        <v>31</v>
      </c>
      <c r="H5284" s="22" t="s">
        <v>6872</v>
      </c>
      <c r="I5284" s="46" t="e">
        <f>VLOOKUP(H5284,'合同高级查询数据-4月返'!A:A,1,FALSE)</f>
        <v>#N/A</v>
      </c>
      <c r="J5284" s="47" t="s">
        <v>33</v>
      </c>
      <c r="K5284" s="22" t="s">
        <v>6882</v>
      </c>
      <c r="L5284" s="22" t="s">
        <v>6883</v>
      </c>
      <c r="M5284" s="22" t="s">
        <v>6884</v>
      </c>
      <c r="N5284" s="50">
        <v>44743</v>
      </c>
      <c r="O5284" s="22" t="s">
        <v>37</v>
      </c>
      <c r="P5284" s="486">
        <v>0</v>
      </c>
      <c r="Q5284" s="486">
        <v>552</v>
      </c>
      <c r="R5284" s="52">
        <f t="shared" si="166"/>
        <v>0</v>
      </c>
      <c r="S5284" s="47">
        <v>202304</v>
      </c>
      <c r="T5284" s="123" t="s">
        <v>6885</v>
      </c>
      <c r="U5284" s="48"/>
      <c r="V5284" s="48"/>
      <c r="W5284" s="48"/>
      <c r="X5284" s="50">
        <v>44743</v>
      </c>
      <c r="Y5284" s="50">
        <v>45107</v>
      </c>
    </row>
    <row r="5285" s="5" customFormat="1" customHeight="1" spans="1:25">
      <c r="A5285" s="22" t="s">
        <v>446</v>
      </c>
      <c r="B5285" s="22" t="s">
        <v>6300</v>
      </c>
      <c r="C5285" s="24" t="s">
        <v>3237</v>
      </c>
      <c r="D5285" s="22" t="s">
        <v>6301</v>
      </c>
      <c r="E5285" s="46" t="s">
        <v>6697</v>
      </c>
      <c r="F5285" s="22" t="s">
        <v>6711</v>
      </c>
      <c r="G5285" s="22" t="s">
        <v>31</v>
      </c>
      <c r="H5285" s="22" t="s">
        <v>6872</v>
      </c>
      <c r="I5285" s="46" t="e">
        <f>VLOOKUP(H5285,'合同高级查询数据-4月返'!A:A,1,FALSE)</f>
        <v>#N/A</v>
      </c>
      <c r="J5285" s="47" t="s">
        <v>33</v>
      </c>
      <c r="K5285" s="22" t="s">
        <v>6882</v>
      </c>
      <c r="L5285" s="22" t="s">
        <v>6883</v>
      </c>
      <c r="M5285" s="22" t="s">
        <v>6884</v>
      </c>
      <c r="N5285" s="50">
        <v>44743</v>
      </c>
      <c r="O5285" s="22" t="s">
        <v>179</v>
      </c>
      <c r="P5285" s="486">
        <v>0</v>
      </c>
      <c r="Q5285" s="486">
        <v>1</v>
      </c>
      <c r="R5285" s="52">
        <f t="shared" si="166"/>
        <v>0</v>
      </c>
      <c r="S5285" s="47">
        <v>202304</v>
      </c>
      <c r="T5285" s="123" t="s">
        <v>6886</v>
      </c>
      <c r="U5285" s="48"/>
      <c r="V5285" s="48"/>
      <c r="W5285" s="48"/>
      <c r="X5285" s="50">
        <v>44743</v>
      </c>
      <c r="Y5285" s="50">
        <v>45107</v>
      </c>
    </row>
    <row r="5286" s="5" customFormat="1" customHeight="1" spans="1:25">
      <c r="A5286" s="22" t="s">
        <v>446</v>
      </c>
      <c r="B5286" s="22" t="s">
        <v>6300</v>
      </c>
      <c r="C5286" s="24" t="s">
        <v>3237</v>
      </c>
      <c r="D5286" s="22" t="s">
        <v>6301</v>
      </c>
      <c r="E5286" s="46" t="s">
        <v>6697</v>
      </c>
      <c r="F5286" s="22" t="s">
        <v>6711</v>
      </c>
      <c r="G5286" s="24" t="s">
        <v>88</v>
      </c>
      <c r="H5286" s="22" t="s">
        <v>6872</v>
      </c>
      <c r="I5286" s="46" t="e">
        <f>VLOOKUP(H5286,'合同高级查询数据-4月返'!A:A,1,FALSE)</f>
        <v>#N/A</v>
      </c>
      <c r="J5286" s="47" t="s">
        <v>162</v>
      </c>
      <c r="K5286" s="22" t="s">
        <v>6882</v>
      </c>
      <c r="L5286" s="22" t="s">
        <v>6883</v>
      </c>
      <c r="M5286" s="22" t="s">
        <v>6884</v>
      </c>
      <c r="N5286" s="50">
        <v>44743</v>
      </c>
      <c r="O5286" s="22" t="s">
        <v>702</v>
      </c>
      <c r="P5286" s="486">
        <v>3000</v>
      </c>
      <c r="Q5286" s="486">
        <v>1</v>
      </c>
      <c r="R5286" s="52">
        <f t="shared" si="166"/>
        <v>3000</v>
      </c>
      <c r="S5286" s="47">
        <v>202304</v>
      </c>
      <c r="T5286" s="123" t="s">
        <v>6887</v>
      </c>
      <c r="U5286" s="48"/>
      <c r="V5286" s="48"/>
      <c r="W5286" s="48"/>
      <c r="X5286" s="50">
        <v>44743</v>
      </c>
      <c r="Y5286" s="50">
        <v>45107</v>
      </c>
    </row>
    <row r="5287" s="5" customFormat="1" customHeight="1" spans="1:25">
      <c r="A5287" s="22" t="s">
        <v>446</v>
      </c>
      <c r="B5287" s="22" t="s">
        <v>6300</v>
      </c>
      <c r="C5287" s="24" t="s">
        <v>3237</v>
      </c>
      <c r="D5287" s="22" t="s">
        <v>6301</v>
      </c>
      <c r="E5287" s="46" t="s">
        <v>6697</v>
      </c>
      <c r="F5287" s="22" t="s">
        <v>6711</v>
      </c>
      <c r="G5287" s="24" t="s">
        <v>88</v>
      </c>
      <c r="H5287" s="22" t="s">
        <v>6872</v>
      </c>
      <c r="I5287" s="46" t="e">
        <f>VLOOKUP(H5287,'合同高级查询数据-4月返'!A:A,1,FALSE)</f>
        <v>#N/A</v>
      </c>
      <c r="J5287" s="47" t="s">
        <v>162</v>
      </c>
      <c r="K5287" s="22" t="s">
        <v>6882</v>
      </c>
      <c r="L5287" s="22" t="s">
        <v>6883</v>
      </c>
      <c r="M5287" s="22" t="s">
        <v>6884</v>
      </c>
      <c r="N5287" s="50">
        <v>44743</v>
      </c>
      <c r="O5287" s="22" t="s">
        <v>584</v>
      </c>
      <c r="P5287" s="486">
        <v>290</v>
      </c>
      <c r="Q5287" s="486">
        <v>0</v>
      </c>
      <c r="R5287" s="52">
        <f t="shared" si="166"/>
        <v>0</v>
      </c>
      <c r="S5287" s="47">
        <v>202304</v>
      </c>
      <c r="T5287" s="123" t="s">
        <v>6881</v>
      </c>
      <c r="U5287" s="48"/>
      <c r="V5287" s="48"/>
      <c r="W5287" s="48"/>
      <c r="X5287" s="50">
        <v>44743</v>
      </c>
      <c r="Y5287" s="50">
        <v>45107</v>
      </c>
    </row>
    <row r="5288" s="3" customFormat="1" customHeight="1" spans="1:25">
      <c r="A5288" s="35" t="s">
        <v>446</v>
      </c>
      <c r="B5288" s="35" t="s">
        <v>6300</v>
      </c>
      <c r="C5288" s="11" t="s">
        <v>3237</v>
      </c>
      <c r="D5288" s="35" t="s">
        <v>6301</v>
      </c>
      <c r="E5288" s="30" t="s">
        <v>6697</v>
      </c>
      <c r="F5288" s="35" t="s">
        <v>6711</v>
      </c>
      <c r="G5288" s="35" t="s">
        <v>31</v>
      </c>
      <c r="H5288" s="35" t="s">
        <v>6888</v>
      </c>
      <c r="I5288" s="30" t="e">
        <f>VLOOKUP(H5288,'合同高级查询数据-4月返'!A:A,1,FALSE)</f>
        <v>#N/A</v>
      </c>
      <c r="J5288" s="31" t="s">
        <v>33</v>
      </c>
      <c r="K5288" s="35" t="s">
        <v>6873</v>
      </c>
      <c r="L5288" s="35" t="s">
        <v>6889</v>
      </c>
      <c r="M5288" s="35" t="s">
        <v>6890</v>
      </c>
      <c r="N5288" s="34">
        <v>44986</v>
      </c>
      <c r="O5288" s="35" t="s">
        <v>37</v>
      </c>
      <c r="P5288" s="488">
        <v>0</v>
      </c>
      <c r="Q5288" s="488">
        <v>520</v>
      </c>
      <c r="R5288" s="465">
        <f t="shared" si="166"/>
        <v>0</v>
      </c>
      <c r="S5288" s="31">
        <v>202304</v>
      </c>
      <c r="T5288" s="60" t="s">
        <v>6891</v>
      </c>
      <c r="U5288" s="411"/>
      <c r="V5288" s="411"/>
      <c r="W5288" s="411"/>
      <c r="X5288" s="34"/>
      <c r="Y5288" s="34"/>
    </row>
    <row r="5289" s="3" customFormat="1" customHeight="1" spans="1:25">
      <c r="A5289" s="35" t="s">
        <v>446</v>
      </c>
      <c r="B5289" s="35" t="s">
        <v>6300</v>
      </c>
      <c r="C5289" s="11" t="s">
        <v>3237</v>
      </c>
      <c r="D5289" s="35" t="s">
        <v>6301</v>
      </c>
      <c r="E5289" s="30" t="s">
        <v>6697</v>
      </c>
      <c r="F5289" s="35" t="s">
        <v>6711</v>
      </c>
      <c r="G5289" s="35" t="s">
        <v>31</v>
      </c>
      <c r="H5289" s="35" t="s">
        <v>6888</v>
      </c>
      <c r="I5289" s="30" t="e">
        <f>VLOOKUP(H5289,'合同高级查询数据-4月返'!A:A,1,FALSE)</f>
        <v>#N/A</v>
      </c>
      <c r="J5289" s="31" t="s">
        <v>33</v>
      </c>
      <c r="K5289" s="35" t="s">
        <v>6873</v>
      </c>
      <c r="L5289" s="35" t="s">
        <v>6889</v>
      </c>
      <c r="M5289" s="35" t="s">
        <v>6890</v>
      </c>
      <c r="N5289" s="34">
        <v>44986</v>
      </c>
      <c r="O5289" s="35" t="s">
        <v>179</v>
      </c>
      <c r="P5289" s="488">
        <v>0</v>
      </c>
      <c r="Q5289" s="488">
        <v>1</v>
      </c>
      <c r="R5289" s="465">
        <f t="shared" si="166"/>
        <v>0</v>
      </c>
      <c r="S5289" s="31">
        <v>202304</v>
      </c>
      <c r="T5289" s="60" t="s">
        <v>6892</v>
      </c>
      <c r="U5289" s="411"/>
      <c r="V5289" s="411"/>
      <c r="W5289" s="411"/>
      <c r="X5289" s="34"/>
      <c r="Y5289" s="34"/>
    </row>
    <row r="5290" s="3" customFormat="1" customHeight="1" spans="1:25">
      <c r="A5290" s="35" t="s">
        <v>446</v>
      </c>
      <c r="B5290" s="35" t="s">
        <v>6300</v>
      </c>
      <c r="C5290" s="11" t="s">
        <v>3237</v>
      </c>
      <c r="D5290" s="35" t="s">
        <v>6301</v>
      </c>
      <c r="E5290" s="30" t="s">
        <v>6697</v>
      </c>
      <c r="F5290" s="35" t="s">
        <v>6711</v>
      </c>
      <c r="G5290" s="11" t="s">
        <v>88</v>
      </c>
      <c r="H5290" s="35" t="s">
        <v>6888</v>
      </c>
      <c r="I5290" s="30" t="e">
        <f>VLOOKUP(H5290,'合同高级查询数据-4月返'!A:A,1,FALSE)</f>
        <v>#N/A</v>
      </c>
      <c r="J5290" s="31" t="s">
        <v>162</v>
      </c>
      <c r="K5290" s="35" t="s">
        <v>6873</v>
      </c>
      <c r="L5290" s="35" t="s">
        <v>6889</v>
      </c>
      <c r="M5290" s="35" t="s">
        <v>6890</v>
      </c>
      <c r="N5290" s="34">
        <v>44986</v>
      </c>
      <c r="O5290" s="35" t="s">
        <v>4123</v>
      </c>
      <c r="P5290" s="488">
        <v>3000</v>
      </c>
      <c r="Q5290" s="488">
        <v>1</v>
      </c>
      <c r="R5290" s="465">
        <f t="shared" si="166"/>
        <v>3000</v>
      </c>
      <c r="S5290" s="31">
        <v>202304</v>
      </c>
      <c r="T5290" s="60" t="s">
        <v>6893</v>
      </c>
      <c r="U5290" s="411"/>
      <c r="V5290" s="411"/>
      <c r="W5290" s="411"/>
      <c r="X5290" s="34"/>
      <c r="Y5290" s="34"/>
    </row>
    <row r="5291" s="5" customFormat="1" customHeight="1" spans="1:25">
      <c r="A5291" s="24" t="s">
        <v>446</v>
      </c>
      <c r="B5291" s="24" t="s">
        <v>6300</v>
      </c>
      <c r="C5291" s="24" t="s">
        <v>6468</v>
      </c>
      <c r="D5291" s="22" t="s">
        <v>6301</v>
      </c>
      <c r="E5291" s="23" t="s">
        <v>6894</v>
      </c>
      <c r="F5291" s="24" t="s">
        <v>6895</v>
      </c>
      <c r="G5291" s="24" t="s">
        <v>31</v>
      </c>
      <c r="H5291" s="25" t="s">
        <v>6896</v>
      </c>
      <c r="I5291" s="46" t="e">
        <f>VLOOKUP(H5291,'合同高级查询数据-4月返'!A:A,1,FALSE)</f>
        <v>#N/A</v>
      </c>
      <c r="J5291" s="47" t="s">
        <v>33</v>
      </c>
      <c r="K5291" s="24" t="s">
        <v>6897</v>
      </c>
      <c r="L5291" s="109" t="s">
        <v>6898</v>
      </c>
      <c r="M5291" s="475" t="s">
        <v>6899</v>
      </c>
      <c r="N5291" s="50">
        <v>44105</v>
      </c>
      <c r="O5291" s="24" t="s">
        <v>37</v>
      </c>
      <c r="P5291" s="52">
        <v>35</v>
      </c>
      <c r="Q5291" s="70">
        <v>144</v>
      </c>
      <c r="R5291" s="52">
        <f t="shared" si="166"/>
        <v>5040</v>
      </c>
      <c r="S5291" s="47">
        <v>202304</v>
      </c>
      <c r="T5291" s="123" t="s">
        <v>6900</v>
      </c>
      <c r="U5291" s="48"/>
      <c r="V5291" s="475"/>
      <c r="W5291" s="48"/>
      <c r="X5291" s="50">
        <v>44835</v>
      </c>
      <c r="Y5291" s="73">
        <v>45199</v>
      </c>
    </row>
    <row r="5292" s="5" customFormat="1" customHeight="1" spans="1:25">
      <c r="A5292" s="24" t="s">
        <v>446</v>
      </c>
      <c r="B5292" s="24" t="s">
        <v>6300</v>
      </c>
      <c r="C5292" s="24" t="s">
        <v>6468</v>
      </c>
      <c r="D5292" s="22" t="s">
        <v>6301</v>
      </c>
      <c r="E5292" s="23" t="s">
        <v>6894</v>
      </c>
      <c r="F5292" s="24" t="s">
        <v>6895</v>
      </c>
      <c r="G5292" s="24" t="s">
        <v>31</v>
      </c>
      <c r="H5292" s="25" t="s">
        <v>6896</v>
      </c>
      <c r="I5292" s="46" t="e">
        <f>VLOOKUP(H5292,'合同高级查询数据-4月返'!A:A,1,FALSE)</f>
        <v>#N/A</v>
      </c>
      <c r="J5292" s="47" t="s">
        <v>33</v>
      </c>
      <c r="K5292" s="24" t="s">
        <v>6897</v>
      </c>
      <c r="L5292" s="109" t="s">
        <v>6898</v>
      </c>
      <c r="M5292" s="475" t="s">
        <v>6899</v>
      </c>
      <c r="N5292" s="50">
        <v>44105</v>
      </c>
      <c r="O5292" s="24" t="s">
        <v>37</v>
      </c>
      <c r="P5292" s="52">
        <v>0</v>
      </c>
      <c r="Q5292" s="70">
        <v>16</v>
      </c>
      <c r="R5292" s="52">
        <f t="shared" si="166"/>
        <v>0</v>
      </c>
      <c r="S5292" s="47">
        <v>202304</v>
      </c>
      <c r="T5292" s="123" t="s">
        <v>6901</v>
      </c>
      <c r="U5292" s="48"/>
      <c r="V5292" s="48"/>
      <c r="W5292" s="48"/>
      <c r="X5292" s="50">
        <v>44835</v>
      </c>
      <c r="Y5292" s="73">
        <v>45199</v>
      </c>
    </row>
    <row r="5293" s="5" customFormat="1" customHeight="1" spans="1:25">
      <c r="A5293" s="24" t="s">
        <v>446</v>
      </c>
      <c r="B5293" s="24" t="s">
        <v>6300</v>
      </c>
      <c r="C5293" s="24" t="s">
        <v>6468</v>
      </c>
      <c r="D5293" s="22" t="s">
        <v>6301</v>
      </c>
      <c r="E5293" s="23" t="s">
        <v>6894</v>
      </c>
      <c r="F5293" s="24" t="s">
        <v>6895</v>
      </c>
      <c r="G5293" s="24" t="s">
        <v>31</v>
      </c>
      <c r="H5293" s="25" t="s">
        <v>6896</v>
      </c>
      <c r="I5293" s="46" t="e">
        <f>VLOOKUP(H5293,'合同高级查询数据-4月返'!A:A,1,FALSE)</f>
        <v>#N/A</v>
      </c>
      <c r="J5293" s="47" t="s">
        <v>33</v>
      </c>
      <c r="K5293" s="24" t="s">
        <v>6897</v>
      </c>
      <c r="L5293" s="109" t="s">
        <v>6898</v>
      </c>
      <c r="M5293" s="475" t="s">
        <v>6899</v>
      </c>
      <c r="N5293" s="50">
        <v>44105</v>
      </c>
      <c r="O5293" s="22" t="s">
        <v>179</v>
      </c>
      <c r="P5293" s="52">
        <v>0</v>
      </c>
      <c r="Q5293" s="70">
        <v>1</v>
      </c>
      <c r="R5293" s="52">
        <f t="shared" si="166"/>
        <v>0</v>
      </c>
      <c r="S5293" s="47">
        <v>202304</v>
      </c>
      <c r="T5293" s="123" t="s">
        <v>6902</v>
      </c>
      <c r="U5293" s="48"/>
      <c r="V5293" s="48"/>
      <c r="W5293" s="48"/>
      <c r="X5293" s="50">
        <v>44835</v>
      </c>
      <c r="Y5293" s="73">
        <v>45199</v>
      </c>
    </row>
    <row r="5294" s="5" customFormat="1" customHeight="1" spans="1:25">
      <c r="A5294" s="24" t="s">
        <v>446</v>
      </c>
      <c r="B5294" s="24" t="s">
        <v>6300</v>
      </c>
      <c r="C5294" s="24" t="s">
        <v>6468</v>
      </c>
      <c r="D5294" s="22" t="s">
        <v>6301</v>
      </c>
      <c r="E5294" s="23" t="s">
        <v>6894</v>
      </c>
      <c r="F5294" s="24" t="s">
        <v>6895</v>
      </c>
      <c r="G5294" s="24" t="s">
        <v>31</v>
      </c>
      <c r="H5294" s="25" t="s">
        <v>6896</v>
      </c>
      <c r="I5294" s="46" t="e">
        <f>VLOOKUP(H5294,'合同高级查询数据-4月返'!A:A,1,FALSE)</f>
        <v>#N/A</v>
      </c>
      <c r="J5294" s="47" t="s">
        <v>33</v>
      </c>
      <c r="K5294" s="24" t="s">
        <v>6897</v>
      </c>
      <c r="L5294" s="109" t="s">
        <v>6898</v>
      </c>
      <c r="M5294" s="475" t="s">
        <v>6899</v>
      </c>
      <c r="N5294" s="50">
        <v>44329</v>
      </c>
      <c r="O5294" s="22" t="s">
        <v>37</v>
      </c>
      <c r="P5294" s="52">
        <v>35</v>
      </c>
      <c r="Q5294" s="70">
        <v>112</v>
      </c>
      <c r="R5294" s="52">
        <f t="shared" si="166"/>
        <v>3920</v>
      </c>
      <c r="S5294" s="47">
        <v>202304</v>
      </c>
      <c r="T5294" s="123" t="s">
        <v>6903</v>
      </c>
      <c r="U5294" s="48"/>
      <c r="V5294" s="48"/>
      <c r="W5294" s="48"/>
      <c r="X5294" s="50">
        <v>44835</v>
      </c>
      <c r="Y5294" s="73">
        <v>45199</v>
      </c>
    </row>
    <row r="5295" s="5" customFormat="1" customHeight="1" spans="1:25">
      <c r="A5295" s="24" t="s">
        <v>446</v>
      </c>
      <c r="B5295" s="24" t="s">
        <v>6300</v>
      </c>
      <c r="C5295" s="24" t="s">
        <v>6468</v>
      </c>
      <c r="D5295" s="22" t="s">
        <v>6301</v>
      </c>
      <c r="E5295" s="23" t="s">
        <v>6894</v>
      </c>
      <c r="F5295" s="24" t="s">
        <v>6895</v>
      </c>
      <c r="G5295" s="24" t="s">
        <v>31</v>
      </c>
      <c r="H5295" s="25" t="s">
        <v>6896</v>
      </c>
      <c r="I5295" s="46" t="e">
        <f>VLOOKUP(H5295,'合同高级查询数据-4月返'!A:A,1,FALSE)</f>
        <v>#N/A</v>
      </c>
      <c r="J5295" s="47" t="s">
        <v>33</v>
      </c>
      <c r="K5295" s="24" t="s">
        <v>6897</v>
      </c>
      <c r="L5295" s="109" t="s">
        <v>6898</v>
      </c>
      <c r="M5295" s="475" t="s">
        <v>6899</v>
      </c>
      <c r="N5295" s="50">
        <v>44329</v>
      </c>
      <c r="O5295" s="22" t="s">
        <v>37</v>
      </c>
      <c r="P5295" s="52">
        <v>0</v>
      </c>
      <c r="Q5295" s="70">
        <v>16</v>
      </c>
      <c r="R5295" s="52">
        <f t="shared" si="166"/>
        <v>0</v>
      </c>
      <c r="S5295" s="47">
        <v>202304</v>
      </c>
      <c r="T5295" s="123" t="s">
        <v>6903</v>
      </c>
      <c r="U5295" s="48"/>
      <c r="V5295" s="48"/>
      <c r="W5295" s="48"/>
      <c r="X5295" s="50">
        <v>44835</v>
      </c>
      <c r="Y5295" s="73">
        <v>45199</v>
      </c>
    </row>
    <row r="5296" s="5" customFormat="1" customHeight="1" spans="1:25">
      <c r="A5296" s="24" t="s">
        <v>446</v>
      </c>
      <c r="B5296" s="24" t="s">
        <v>6300</v>
      </c>
      <c r="C5296" s="24" t="s">
        <v>6468</v>
      </c>
      <c r="D5296" s="22" t="s">
        <v>6301</v>
      </c>
      <c r="E5296" s="23" t="s">
        <v>6894</v>
      </c>
      <c r="F5296" s="24" t="s">
        <v>6895</v>
      </c>
      <c r="G5296" s="24" t="s">
        <v>31</v>
      </c>
      <c r="H5296" s="25" t="s">
        <v>6896</v>
      </c>
      <c r="I5296" s="46" t="e">
        <f>VLOOKUP(H5296,'合同高级查询数据-4月返'!A:A,1,FALSE)</f>
        <v>#N/A</v>
      </c>
      <c r="J5296" s="47" t="s">
        <v>33</v>
      </c>
      <c r="K5296" s="24" t="s">
        <v>6897</v>
      </c>
      <c r="L5296" s="109" t="s">
        <v>6898</v>
      </c>
      <c r="M5296" s="475" t="s">
        <v>6899</v>
      </c>
      <c r="N5296" s="50">
        <v>44329</v>
      </c>
      <c r="O5296" s="22" t="s">
        <v>179</v>
      </c>
      <c r="P5296" s="52">
        <v>0</v>
      </c>
      <c r="Q5296" s="70">
        <v>1</v>
      </c>
      <c r="R5296" s="52">
        <f t="shared" si="166"/>
        <v>0</v>
      </c>
      <c r="S5296" s="47">
        <v>202304</v>
      </c>
      <c r="T5296" s="123" t="s">
        <v>6904</v>
      </c>
      <c r="U5296" s="48"/>
      <c r="V5296" s="48"/>
      <c r="W5296" s="48"/>
      <c r="X5296" s="50">
        <v>44835</v>
      </c>
      <c r="Y5296" s="73">
        <v>45199</v>
      </c>
    </row>
    <row r="5297" s="5" customFormat="1" customHeight="1" spans="1:25">
      <c r="A5297" s="24" t="s">
        <v>446</v>
      </c>
      <c r="B5297" s="24" t="s">
        <v>6300</v>
      </c>
      <c r="C5297" s="24" t="s">
        <v>6468</v>
      </c>
      <c r="D5297" s="22" t="s">
        <v>6301</v>
      </c>
      <c r="E5297" s="23" t="s">
        <v>6894</v>
      </c>
      <c r="F5297" s="24" t="s">
        <v>6895</v>
      </c>
      <c r="G5297" s="24" t="s">
        <v>31</v>
      </c>
      <c r="H5297" s="25" t="s">
        <v>6896</v>
      </c>
      <c r="I5297" s="46" t="e">
        <f>VLOOKUP(H5297,'合同高级查询数据-4月返'!A:A,1,FALSE)</f>
        <v>#N/A</v>
      </c>
      <c r="J5297" s="47" t="s">
        <v>33</v>
      </c>
      <c r="K5297" s="24" t="s">
        <v>6897</v>
      </c>
      <c r="L5297" s="109" t="s">
        <v>6898</v>
      </c>
      <c r="M5297" s="475" t="s">
        <v>6899</v>
      </c>
      <c r="N5297" s="50">
        <v>44398</v>
      </c>
      <c r="O5297" s="22" t="s">
        <v>37</v>
      </c>
      <c r="P5297" s="52">
        <v>35</v>
      </c>
      <c r="Q5297" s="70">
        <v>128</v>
      </c>
      <c r="R5297" s="52">
        <f t="shared" si="166"/>
        <v>4480</v>
      </c>
      <c r="S5297" s="47">
        <v>202304</v>
      </c>
      <c r="T5297" s="123" t="s">
        <v>6905</v>
      </c>
      <c r="U5297" s="48"/>
      <c r="V5297" s="48"/>
      <c r="W5297" s="48"/>
      <c r="X5297" s="50">
        <v>44835</v>
      </c>
      <c r="Y5297" s="73">
        <v>45199</v>
      </c>
    </row>
    <row r="5298" s="5" customFormat="1" customHeight="1" spans="1:25">
      <c r="A5298" s="24" t="s">
        <v>446</v>
      </c>
      <c r="B5298" s="24" t="s">
        <v>6300</v>
      </c>
      <c r="C5298" s="24" t="s">
        <v>6468</v>
      </c>
      <c r="D5298" s="22" t="s">
        <v>6301</v>
      </c>
      <c r="E5298" s="23" t="s">
        <v>6894</v>
      </c>
      <c r="F5298" s="24" t="s">
        <v>6895</v>
      </c>
      <c r="G5298" s="24" t="s">
        <v>88</v>
      </c>
      <c r="H5298" s="25" t="s">
        <v>6896</v>
      </c>
      <c r="I5298" s="46" t="e">
        <f>VLOOKUP(H5298,'合同高级查询数据-4月返'!A:A,1,FALSE)</f>
        <v>#N/A</v>
      </c>
      <c r="J5298" s="47" t="s">
        <v>162</v>
      </c>
      <c r="K5298" s="24" t="s">
        <v>6897</v>
      </c>
      <c r="L5298" s="109" t="s">
        <v>6898</v>
      </c>
      <c r="M5298" s="475" t="s">
        <v>6899</v>
      </c>
      <c r="N5298" s="50">
        <v>44105</v>
      </c>
      <c r="O5298" s="24" t="s">
        <v>3999</v>
      </c>
      <c r="P5298" s="52">
        <v>5256</v>
      </c>
      <c r="Q5298" s="70">
        <v>2</v>
      </c>
      <c r="R5298" s="52">
        <f t="shared" si="166"/>
        <v>10512</v>
      </c>
      <c r="S5298" s="47">
        <v>202304</v>
      </c>
      <c r="T5298" s="123" t="s">
        <v>6906</v>
      </c>
      <c r="U5298" s="48"/>
      <c r="V5298" s="48"/>
      <c r="W5298" s="48"/>
      <c r="X5298" s="50">
        <v>44835</v>
      </c>
      <c r="Y5298" s="73">
        <v>45199</v>
      </c>
    </row>
    <row r="5299" s="5" customFormat="1" customHeight="1" spans="1:25">
      <c r="A5299" s="24" t="s">
        <v>446</v>
      </c>
      <c r="B5299" s="24" t="s">
        <v>6300</v>
      </c>
      <c r="C5299" s="24" t="s">
        <v>6468</v>
      </c>
      <c r="D5299" s="22" t="s">
        <v>6301</v>
      </c>
      <c r="E5299" s="23" t="s">
        <v>6894</v>
      </c>
      <c r="F5299" s="24" t="s">
        <v>6895</v>
      </c>
      <c r="G5299" s="24" t="s">
        <v>88</v>
      </c>
      <c r="H5299" s="25" t="s">
        <v>6896</v>
      </c>
      <c r="I5299" s="46" t="e">
        <f>VLOOKUP(H5299,'合同高级查询数据-4月返'!A:A,1,FALSE)</f>
        <v>#N/A</v>
      </c>
      <c r="J5299" s="47" t="s">
        <v>162</v>
      </c>
      <c r="K5299" s="24" t="s">
        <v>6897</v>
      </c>
      <c r="L5299" s="109" t="s">
        <v>6898</v>
      </c>
      <c r="M5299" s="475" t="s">
        <v>6899</v>
      </c>
      <c r="N5299" s="50">
        <v>44329</v>
      </c>
      <c r="O5299" s="24" t="s">
        <v>3999</v>
      </c>
      <c r="P5299" s="52">
        <v>5256</v>
      </c>
      <c r="Q5299" s="70">
        <v>2</v>
      </c>
      <c r="R5299" s="52">
        <f t="shared" si="166"/>
        <v>10512</v>
      </c>
      <c r="S5299" s="47">
        <v>202304</v>
      </c>
      <c r="T5299" s="123" t="s">
        <v>6907</v>
      </c>
      <c r="U5299" s="48"/>
      <c r="V5299" s="48"/>
      <c r="W5299" s="48"/>
      <c r="X5299" s="50">
        <v>44835</v>
      </c>
      <c r="Y5299" s="73">
        <v>45199</v>
      </c>
    </row>
    <row r="5300" s="5" customFormat="1" customHeight="1" spans="1:25">
      <c r="A5300" s="24" t="s">
        <v>446</v>
      </c>
      <c r="B5300" s="24" t="s">
        <v>6300</v>
      </c>
      <c r="C5300" s="22" t="s">
        <v>512</v>
      </c>
      <c r="D5300" s="22" t="s">
        <v>6301</v>
      </c>
      <c r="E5300" s="23" t="s">
        <v>6908</v>
      </c>
      <c r="F5300" s="24" t="s">
        <v>6909</v>
      </c>
      <c r="G5300" s="24" t="s">
        <v>31</v>
      </c>
      <c r="H5300" s="25" t="s">
        <v>6910</v>
      </c>
      <c r="I5300" s="46" t="e">
        <f>VLOOKUP(H5300,'合同高级查询数据-4月返'!A:A,1,FALSE)</f>
        <v>#N/A</v>
      </c>
      <c r="J5300" s="47" t="s">
        <v>33</v>
      </c>
      <c r="K5300" s="24" t="s">
        <v>6911</v>
      </c>
      <c r="L5300" s="109" t="s">
        <v>6912</v>
      </c>
      <c r="M5300" s="49" t="s">
        <v>6913</v>
      </c>
      <c r="N5300" s="50">
        <v>43923</v>
      </c>
      <c r="O5300" s="24" t="s">
        <v>37</v>
      </c>
      <c r="P5300" s="52">
        <v>0</v>
      </c>
      <c r="Q5300" s="70">
        <v>288</v>
      </c>
      <c r="R5300" s="52">
        <f t="shared" si="166"/>
        <v>0</v>
      </c>
      <c r="S5300" s="47">
        <v>202304</v>
      </c>
      <c r="T5300" s="123" t="s">
        <v>6914</v>
      </c>
      <c r="U5300" s="48"/>
      <c r="V5300" s="48"/>
      <c r="W5300" s="48"/>
      <c r="X5300" s="50">
        <v>43831</v>
      </c>
      <c r="Y5300" s="50">
        <v>44439</v>
      </c>
    </row>
    <row r="5301" s="5" customFormat="1" customHeight="1" spans="1:25">
      <c r="A5301" s="24" t="s">
        <v>446</v>
      </c>
      <c r="B5301" s="24" t="s">
        <v>6300</v>
      </c>
      <c r="C5301" s="22" t="s">
        <v>512</v>
      </c>
      <c r="D5301" s="22" t="s">
        <v>6301</v>
      </c>
      <c r="E5301" s="23" t="s">
        <v>6908</v>
      </c>
      <c r="F5301" s="24" t="s">
        <v>6909</v>
      </c>
      <c r="G5301" s="24" t="s">
        <v>31</v>
      </c>
      <c r="H5301" s="25" t="s">
        <v>6910</v>
      </c>
      <c r="I5301" s="46" t="e">
        <f>VLOOKUP(H5301,'合同高级查询数据-4月返'!A:A,1,FALSE)</f>
        <v>#N/A</v>
      </c>
      <c r="J5301" s="47" t="s">
        <v>33</v>
      </c>
      <c r="K5301" s="24" t="s">
        <v>6911</v>
      </c>
      <c r="L5301" s="109" t="s">
        <v>6912</v>
      </c>
      <c r="M5301" s="49" t="s">
        <v>6913</v>
      </c>
      <c r="N5301" s="50">
        <v>44439</v>
      </c>
      <c r="O5301" s="24" t="s">
        <v>37</v>
      </c>
      <c r="P5301" s="52">
        <v>0</v>
      </c>
      <c r="Q5301" s="70">
        <v>-288</v>
      </c>
      <c r="R5301" s="52">
        <f t="shared" si="166"/>
        <v>0</v>
      </c>
      <c r="S5301" s="47">
        <v>202304</v>
      </c>
      <c r="T5301" s="123" t="s">
        <v>6915</v>
      </c>
      <c r="U5301" s="48"/>
      <c r="V5301" s="48"/>
      <c r="W5301" s="48"/>
      <c r="X5301" s="50">
        <v>43831</v>
      </c>
      <c r="Y5301" s="50">
        <v>44439</v>
      </c>
    </row>
    <row r="5302" s="5" customFormat="1" customHeight="1" spans="1:25">
      <c r="A5302" s="24" t="s">
        <v>446</v>
      </c>
      <c r="B5302" s="24" t="s">
        <v>6300</v>
      </c>
      <c r="C5302" s="22" t="s">
        <v>512</v>
      </c>
      <c r="D5302" s="22" t="s">
        <v>6301</v>
      </c>
      <c r="E5302" s="23" t="s">
        <v>6908</v>
      </c>
      <c r="F5302" s="24" t="s">
        <v>6909</v>
      </c>
      <c r="G5302" s="24" t="s">
        <v>88</v>
      </c>
      <c r="H5302" s="25" t="s">
        <v>6910</v>
      </c>
      <c r="I5302" s="46" t="e">
        <f>VLOOKUP(H5302,'合同高级查询数据-4月返'!A:A,1,FALSE)</f>
        <v>#N/A</v>
      </c>
      <c r="J5302" s="47" t="s">
        <v>162</v>
      </c>
      <c r="K5302" s="24" t="s">
        <v>6911</v>
      </c>
      <c r="L5302" s="109" t="s">
        <v>6912</v>
      </c>
      <c r="M5302" s="49" t="s">
        <v>6913</v>
      </c>
      <c r="N5302" s="50">
        <v>43923</v>
      </c>
      <c r="O5302" s="24" t="s">
        <v>4123</v>
      </c>
      <c r="P5302" s="52">
        <v>5000</v>
      </c>
      <c r="Q5302" s="70">
        <v>2</v>
      </c>
      <c r="R5302" s="52">
        <f t="shared" si="166"/>
        <v>10000</v>
      </c>
      <c r="S5302" s="47">
        <v>202304</v>
      </c>
      <c r="T5302" s="123" t="s">
        <v>6916</v>
      </c>
      <c r="U5302" s="48"/>
      <c r="V5302" s="48"/>
      <c r="W5302" s="48"/>
      <c r="X5302" s="50">
        <v>43831</v>
      </c>
      <c r="Y5302" s="50">
        <v>44439</v>
      </c>
    </row>
    <row r="5303" s="5" customFormat="1" customHeight="1" spans="1:25">
      <c r="A5303" s="24" t="s">
        <v>446</v>
      </c>
      <c r="B5303" s="24" t="s">
        <v>6300</v>
      </c>
      <c r="C5303" s="22" t="s">
        <v>512</v>
      </c>
      <c r="D5303" s="22" t="s">
        <v>6301</v>
      </c>
      <c r="E5303" s="23" t="s">
        <v>6908</v>
      </c>
      <c r="F5303" s="24" t="s">
        <v>6909</v>
      </c>
      <c r="G5303" s="24" t="s">
        <v>88</v>
      </c>
      <c r="H5303" s="25" t="s">
        <v>6910</v>
      </c>
      <c r="I5303" s="46" t="e">
        <f>VLOOKUP(H5303,'合同高级查询数据-4月返'!A:A,1,FALSE)</f>
        <v>#N/A</v>
      </c>
      <c r="J5303" s="47" t="s">
        <v>162</v>
      </c>
      <c r="K5303" s="24" t="s">
        <v>6911</v>
      </c>
      <c r="L5303" s="109" t="s">
        <v>6912</v>
      </c>
      <c r="M5303" s="49" t="s">
        <v>6913</v>
      </c>
      <c r="N5303" s="50">
        <v>44439</v>
      </c>
      <c r="O5303" s="24" t="s">
        <v>4123</v>
      </c>
      <c r="P5303" s="52">
        <v>5000</v>
      </c>
      <c r="Q5303" s="70">
        <v>-2</v>
      </c>
      <c r="R5303" s="52">
        <f t="shared" si="166"/>
        <v>-10000</v>
      </c>
      <c r="S5303" s="47">
        <v>202304</v>
      </c>
      <c r="T5303" s="123" t="s">
        <v>6917</v>
      </c>
      <c r="U5303" s="48"/>
      <c r="V5303" s="48"/>
      <c r="W5303" s="48"/>
      <c r="X5303" s="50">
        <v>43831</v>
      </c>
      <c r="Y5303" s="50">
        <v>44439</v>
      </c>
    </row>
    <row r="5304" s="5" customFormat="1" customHeight="1" spans="1:25">
      <c r="A5304" s="24" t="s">
        <v>446</v>
      </c>
      <c r="B5304" s="24" t="s">
        <v>6300</v>
      </c>
      <c r="C5304" s="24" t="s">
        <v>3237</v>
      </c>
      <c r="D5304" s="22" t="s">
        <v>6301</v>
      </c>
      <c r="E5304" s="23" t="s">
        <v>6918</v>
      </c>
      <c r="F5304" s="24" t="s">
        <v>6919</v>
      </c>
      <c r="G5304" s="24" t="s">
        <v>346</v>
      </c>
      <c r="H5304" s="25" t="s">
        <v>6920</v>
      </c>
      <c r="I5304" s="46" t="e">
        <f>VLOOKUP(H5304,'合同高级查询数据-4月返'!A:A,1,FALSE)</f>
        <v>#N/A</v>
      </c>
      <c r="J5304" s="47" t="s">
        <v>346</v>
      </c>
      <c r="K5304" s="24" t="s">
        <v>6921</v>
      </c>
      <c r="L5304" s="109"/>
      <c r="M5304" s="475"/>
      <c r="N5304" s="50">
        <v>43620</v>
      </c>
      <c r="O5304" s="22" t="s">
        <v>486</v>
      </c>
      <c r="P5304" s="52">
        <v>1200</v>
      </c>
      <c r="Q5304" s="70">
        <v>1</v>
      </c>
      <c r="R5304" s="52">
        <f t="shared" si="166"/>
        <v>1200</v>
      </c>
      <c r="S5304" s="47">
        <v>202304</v>
      </c>
      <c r="T5304" s="123" t="s">
        <v>6922</v>
      </c>
      <c r="U5304" s="48"/>
      <c r="V5304" s="48"/>
      <c r="W5304" s="48"/>
      <c r="X5304" s="50">
        <v>44378</v>
      </c>
      <c r="Y5304" s="50">
        <v>45107</v>
      </c>
    </row>
    <row r="5305" s="5" customFormat="1" customHeight="1" spans="1:25">
      <c r="A5305" s="24" t="s">
        <v>446</v>
      </c>
      <c r="B5305" s="24" t="s">
        <v>6300</v>
      </c>
      <c r="C5305" s="24" t="s">
        <v>3237</v>
      </c>
      <c r="D5305" s="22" t="s">
        <v>6301</v>
      </c>
      <c r="E5305" s="23" t="s">
        <v>6918</v>
      </c>
      <c r="F5305" s="24" t="s">
        <v>6919</v>
      </c>
      <c r="G5305" s="24" t="s">
        <v>346</v>
      </c>
      <c r="H5305" s="25" t="s">
        <v>6920</v>
      </c>
      <c r="I5305" s="46" t="e">
        <f>VLOOKUP(H5305,'合同高级查询数据-4月返'!A:A,1,FALSE)</f>
        <v>#N/A</v>
      </c>
      <c r="J5305" s="47" t="s">
        <v>346</v>
      </c>
      <c r="K5305" s="24" t="s">
        <v>6923</v>
      </c>
      <c r="L5305" s="109"/>
      <c r="M5305" s="475"/>
      <c r="N5305" s="50">
        <v>43539</v>
      </c>
      <c r="O5305" s="22" t="s">
        <v>486</v>
      </c>
      <c r="P5305" s="52">
        <v>5800</v>
      </c>
      <c r="Q5305" s="70">
        <v>1</v>
      </c>
      <c r="R5305" s="52">
        <f t="shared" si="166"/>
        <v>5800</v>
      </c>
      <c r="S5305" s="47">
        <v>202304</v>
      </c>
      <c r="T5305" s="123" t="s">
        <v>6924</v>
      </c>
      <c r="U5305" s="48"/>
      <c r="V5305" s="48"/>
      <c r="W5305" s="48"/>
      <c r="X5305" s="50">
        <v>44378</v>
      </c>
      <c r="Y5305" s="50">
        <v>45107</v>
      </c>
    </row>
    <row r="5306" s="5" customFormat="1" customHeight="1" spans="1:25">
      <c r="A5306" s="24" t="s">
        <v>446</v>
      </c>
      <c r="B5306" s="24" t="s">
        <v>6300</v>
      </c>
      <c r="C5306" s="24" t="s">
        <v>3237</v>
      </c>
      <c r="D5306" s="22" t="s">
        <v>6301</v>
      </c>
      <c r="E5306" s="23" t="s">
        <v>6918</v>
      </c>
      <c r="F5306" s="24" t="s">
        <v>6919</v>
      </c>
      <c r="G5306" s="24" t="s">
        <v>346</v>
      </c>
      <c r="H5306" s="25" t="s">
        <v>6925</v>
      </c>
      <c r="I5306" s="46" t="e">
        <f>VLOOKUP(H5306,'合同高级查询数据-4月返'!A:A,1,FALSE)</f>
        <v>#N/A</v>
      </c>
      <c r="J5306" s="47" t="s">
        <v>346</v>
      </c>
      <c r="K5306" s="24" t="s">
        <v>6926</v>
      </c>
      <c r="L5306" s="109"/>
      <c r="M5306" s="475"/>
      <c r="N5306" s="50">
        <v>43983</v>
      </c>
      <c r="O5306" s="22" t="s">
        <v>1470</v>
      </c>
      <c r="P5306" s="52">
        <v>200000</v>
      </c>
      <c r="Q5306" s="70">
        <v>1</v>
      </c>
      <c r="R5306" s="52">
        <f t="shared" si="166"/>
        <v>200000</v>
      </c>
      <c r="S5306" s="47">
        <v>202304</v>
      </c>
      <c r="T5306" s="123" t="s">
        <v>6927</v>
      </c>
      <c r="U5306" s="48"/>
      <c r="V5306" s="48"/>
      <c r="W5306" s="489"/>
      <c r="X5306" s="489">
        <v>43647</v>
      </c>
      <c r="Y5306" s="50">
        <v>45107</v>
      </c>
    </row>
    <row r="5307" s="5" customFormat="1" customHeight="1" spans="1:25">
      <c r="A5307" s="24" t="s">
        <v>446</v>
      </c>
      <c r="B5307" s="24" t="s">
        <v>6300</v>
      </c>
      <c r="C5307" s="24" t="s">
        <v>3237</v>
      </c>
      <c r="D5307" s="22" t="s">
        <v>6301</v>
      </c>
      <c r="E5307" s="23" t="s">
        <v>6918</v>
      </c>
      <c r="F5307" s="24" t="s">
        <v>6919</v>
      </c>
      <c r="G5307" s="24" t="s">
        <v>346</v>
      </c>
      <c r="H5307" s="25" t="s">
        <v>6925</v>
      </c>
      <c r="I5307" s="46" t="e">
        <f>VLOOKUP(H5307,'合同高级查询数据-4月返'!A:A,1,FALSE)</f>
        <v>#N/A</v>
      </c>
      <c r="J5307" s="47" t="s">
        <v>346</v>
      </c>
      <c r="K5307" s="24" t="s">
        <v>6928</v>
      </c>
      <c r="L5307" s="109"/>
      <c r="M5307" s="475"/>
      <c r="N5307" s="50">
        <v>43983</v>
      </c>
      <c r="O5307" s="22" t="s">
        <v>1470</v>
      </c>
      <c r="P5307" s="52">
        <v>200000</v>
      </c>
      <c r="Q5307" s="70">
        <v>1</v>
      </c>
      <c r="R5307" s="52">
        <f t="shared" si="166"/>
        <v>200000</v>
      </c>
      <c r="S5307" s="47">
        <v>202304</v>
      </c>
      <c r="T5307" s="123" t="s">
        <v>6929</v>
      </c>
      <c r="U5307" s="48"/>
      <c r="V5307" s="48"/>
      <c r="W5307" s="489"/>
      <c r="X5307" s="489">
        <v>43647</v>
      </c>
      <c r="Y5307" s="50">
        <v>45107</v>
      </c>
    </row>
    <row r="5308" s="3" customFormat="1" customHeight="1" spans="1:25">
      <c r="A5308" s="11" t="s">
        <v>446</v>
      </c>
      <c r="B5308" s="11" t="s">
        <v>6300</v>
      </c>
      <c r="C5308" s="11" t="s">
        <v>120</v>
      </c>
      <c r="D5308" s="35" t="s">
        <v>6301</v>
      </c>
      <c r="E5308" s="13" t="s">
        <v>6930</v>
      </c>
      <c r="F5308" s="11" t="s">
        <v>6931</v>
      </c>
      <c r="G5308" s="11" t="s">
        <v>31</v>
      </c>
      <c r="H5308" s="110" t="s">
        <v>6932</v>
      </c>
      <c r="I5308" s="30" t="e">
        <f>VLOOKUP(H5308,'合同高级查询数据-4月返'!A:A,1,FALSE)</f>
        <v>#N/A</v>
      </c>
      <c r="J5308" s="31" t="s">
        <v>33</v>
      </c>
      <c r="K5308" s="11" t="s">
        <v>121</v>
      </c>
      <c r="L5308" s="32" t="s">
        <v>6933</v>
      </c>
      <c r="M5308" s="470" t="s">
        <v>6337</v>
      </c>
      <c r="N5308" s="34">
        <v>44805</v>
      </c>
      <c r="O5308" s="35" t="s">
        <v>37</v>
      </c>
      <c r="P5308" s="465">
        <v>0</v>
      </c>
      <c r="Q5308" s="459">
        <v>512</v>
      </c>
      <c r="R5308" s="465">
        <f t="shared" si="166"/>
        <v>0</v>
      </c>
      <c r="S5308" s="31">
        <v>202304</v>
      </c>
      <c r="T5308" s="60" t="s">
        <v>6934</v>
      </c>
      <c r="U5308" s="411"/>
      <c r="V5308" s="411"/>
      <c r="W5308" s="485"/>
      <c r="X5308" s="485"/>
      <c r="Y5308" s="34"/>
    </row>
    <row r="5309" s="3" customFormat="1" customHeight="1" spans="1:25">
      <c r="A5309" s="11" t="s">
        <v>446</v>
      </c>
      <c r="B5309" s="11" t="s">
        <v>6300</v>
      </c>
      <c r="C5309" s="11" t="s">
        <v>120</v>
      </c>
      <c r="D5309" s="35" t="s">
        <v>6301</v>
      </c>
      <c r="E5309" s="13" t="s">
        <v>6930</v>
      </c>
      <c r="F5309" s="11" t="s">
        <v>6931</v>
      </c>
      <c r="G5309" s="11" t="s">
        <v>31</v>
      </c>
      <c r="H5309" s="110" t="s">
        <v>6932</v>
      </c>
      <c r="I5309" s="30" t="e">
        <f>VLOOKUP(H5309,'合同高级查询数据-4月返'!A:A,1,FALSE)</f>
        <v>#N/A</v>
      </c>
      <c r="J5309" s="31" t="s">
        <v>33</v>
      </c>
      <c r="K5309" s="11" t="s">
        <v>121</v>
      </c>
      <c r="L5309" s="32" t="s">
        <v>6933</v>
      </c>
      <c r="M5309" s="470" t="s">
        <v>6337</v>
      </c>
      <c r="N5309" s="34"/>
      <c r="O5309" s="35" t="s">
        <v>179</v>
      </c>
      <c r="P5309" s="465">
        <v>0</v>
      </c>
      <c r="Q5309" s="459">
        <v>0</v>
      </c>
      <c r="R5309" s="465">
        <f t="shared" si="166"/>
        <v>0</v>
      </c>
      <c r="S5309" s="31">
        <v>202304</v>
      </c>
      <c r="T5309" s="60" t="s">
        <v>6935</v>
      </c>
      <c r="U5309" s="411"/>
      <c r="V5309" s="411"/>
      <c r="W5309" s="485"/>
      <c r="X5309" s="485"/>
      <c r="Y5309" s="34"/>
    </row>
    <row r="5310" s="5" customFormat="1" customHeight="1" spans="1:25">
      <c r="A5310" s="24" t="s">
        <v>444</v>
      </c>
      <c r="B5310" s="24" t="s">
        <v>6300</v>
      </c>
      <c r="C5310" s="24" t="s">
        <v>3237</v>
      </c>
      <c r="D5310" s="22" t="s">
        <v>6301</v>
      </c>
      <c r="E5310" s="23" t="s">
        <v>6936</v>
      </c>
      <c r="F5310" s="24" t="s">
        <v>6937</v>
      </c>
      <c r="G5310" s="24" t="s">
        <v>31</v>
      </c>
      <c r="H5310" s="25" t="s">
        <v>6938</v>
      </c>
      <c r="I5310" s="46" t="e">
        <f>VLOOKUP(H5310,'合同高级查询数据-4月返'!A:A,1,FALSE)</f>
        <v>#N/A</v>
      </c>
      <c r="J5310" s="47" t="s">
        <v>6456</v>
      </c>
      <c r="K5310" s="109" t="s">
        <v>6937</v>
      </c>
      <c r="L5310" s="109"/>
      <c r="M5310" s="475" t="s">
        <v>6939</v>
      </c>
      <c r="N5310" s="50">
        <v>43891</v>
      </c>
      <c r="O5310" s="22" t="s">
        <v>37</v>
      </c>
      <c r="P5310" s="52">
        <v>2500</v>
      </c>
      <c r="Q5310" s="70">
        <v>2</v>
      </c>
      <c r="R5310" s="52">
        <f t="shared" si="166"/>
        <v>5000</v>
      </c>
      <c r="S5310" s="47">
        <v>202304</v>
      </c>
      <c r="T5310" s="123" t="s">
        <v>6940</v>
      </c>
      <c r="U5310" s="48"/>
      <c r="V5310" s="48"/>
      <c r="W5310" s="48"/>
      <c r="X5310" s="50">
        <v>44256</v>
      </c>
      <c r="Y5310" s="50">
        <v>45716</v>
      </c>
    </row>
    <row r="5311" s="5" customFormat="1" customHeight="1" spans="1:25">
      <c r="A5311" s="24" t="s">
        <v>444</v>
      </c>
      <c r="B5311" s="24" t="s">
        <v>6300</v>
      </c>
      <c r="C5311" s="24" t="s">
        <v>3237</v>
      </c>
      <c r="D5311" s="22" t="s">
        <v>6301</v>
      </c>
      <c r="E5311" s="23" t="s">
        <v>6936</v>
      </c>
      <c r="F5311" s="24" t="s">
        <v>6937</v>
      </c>
      <c r="G5311" s="24" t="s">
        <v>31</v>
      </c>
      <c r="H5311" s="25" t="s">
        <v>6938</v>
      </c>
      <c r="I5311" s="46" t="e">
        <f>VLOOKUP(H5311,'合同高级查询数据-4月返'!A:A,1,FALSE)</f>
        <v>#N/A</v>
      </c>
      <c r="J5311" s="47" t="s">
        <v>6456</v>
      </c>
      <c r="K5311" s="109" t="s">
        <v>6937</v>
      </c>
      <c r="L5311" s="109"/>
      <c r="M5311" s="475" t="s">
        <v>6939</v>
      </c>
      <c r="N5311" s="50">
        <v>44103</v>
      </c>
      <c r="O5311" s="22" t="s">
        <v>37</v>
      </c>
      <c r="P5311" s="52">
        <v>2500</v>
      </c>
      <c r="Q5311" s="70">
        <v>2</v>
      </c>
      <c r="R5311" s="52">
        <f t="shared" si="166"/>
        <v>5000</v>
      </c>
      <c r="S5311" s="47">
        <v>202304</v>
      </c>
      <c r="T5311" s="123" t="s">
        <v>6941</v>
      </c>
      <c r="U5311" s="48"/>
      <c r="V5311" s="48"/>
      <c r="W5311" s="48"/>
      <c r="X5311" s="50">
        <v>44256</v>
      </c>
      <c r="Y5311" s="50">
        <v>45716</v>
      </c>
    </row>
    <row r="5312" s="3" customFormat="1" customHeight="1" spans="1:25">
      <c r="A5312" s="11" t="s">
        <v>444</v>
      </c>
      <c r="B5312" s="11" t="s">
        <v>6300</v>
      </c>
      <c r="C5312" s="11" t="s">
        <v>3237</v>
      </c>
      <c r="D5312" s="35" t="s">
        <v>6301</v>
      </c>
      <c r="E5312" s="13" t="s">
        <v>6936</v>
      </c>
      <c r="F5312" s="11" t="s">
        <v>6937</v>
      </c>
      <c r="G5312" s="11" t="s">
        <v>31</v>
      </c>
      <c r="H5312" s="110" t="s">
        <v>6942</v>
      </c>
      <c r="I5312" s="30" t="e">
        <f>VLOOKUP(H5312,'合同高级查询数据-4月返'!A:A,1,FALSE)</f>
        <v>#N/A</v>
      </c>
      <c r="J5312" s="31" t="s">
        <v>33</v>
      </c>
      <c r="K5312" s="11" t="s">
        <v>6704</v>
      </c>
      <c r="L5312" s="32" t="s">
        <v>6937</v>
      </c>
      <c r="M5312" s="470"/>
      <c r="N5312" s="34">
        <v>41122</v>
      </c>
      <c r="O5312" s="11" t="s">
        <v>37</v>
      </c>
      <c r="P5312" s="465">
        <v>0</v>
      </c>
      <c r="Q5312" s="459">
        <v>512</v>
      </c>
      <c r="R5312" s="465">
        <f t="shared" si="166"/>
        <v>0</v>
      </c>
      <c r="S5312" s="31">
        <v>202304</v>
      </c>
      <c r="T5312" s="60" t="s">
        <v>6943</v>
      </c>
      <c r="U5312" s="411"/>
      <c r="V5312" s="411"/>
      <c r="W5312" s="411"/>
      <c r="X5312" s="34"/>
      <c r="Y5312" s="34"/>
    </row>
    <row r="5313" s="3" customFormat="1" customHeight="1" spans="1:25">
      <c r="A5313" s="11" t="s">
        <v>444</v>
      </c>
      <c r="B5313" s="11" t="s">
        <v>6300</v>
      </c>
      <c r="C5313" s="11" t="s">
        <v>3237</v>
      </c>
      <c r="D5313" s="35" t="s">
        <v>6301</v>
      </c>
      <c r="E5313" s="13" t="s">
        <v>6936</v>
      </c>
      <c r="F5313" s="11" t="s">
        <v>6937</v>
      </c>
      <c r="G5313" s="11" t="s">
        <v>31</v>
      </c>
      <c r="H5313" s="110" t="s">
        <v>6942</v>
      </c>
      <c r="I5313" s="30" t="e">
        <f>VLOOKUP(H5313,'合同高级查询数据-4月返'!A:A,1,FALSE)</f>
        <v>#N/A</v>
      </c>
      <c r="J5313" s="31" t="s">
        <v>33</v>
      </c>
      <c r="K5313" s="11" t="s">
        <v>6704</v>
      </c>
      <c r="L5313" s="32"/>
      <c r="M5313" s="470" t="s">
        <v>6944</v>
      </c>
      <c r="N5313" s="34">
        <v>43617</v>
      </c>
      <c r="O5313" s="11" t="s">
        <v>37</v>
      </c>
      <c r="P5313" s="465">
        <v>50</v>
      </c>
      <c r="Q5313" s="459">
        <v>120</v>
      </c>
      <c r="R5313" s="465">
        <f t="shared" ref="R5313:R5336" si="167">ROUND(P5313*Q5313,2)</f>
        <v>6000</v>
      </c>
      <c r="S5313" s="31">
        <v>202304</v>
      </c>
      <c r="T5313" s="60" t="s">
        <v>6945</v>
      </c>
      <c r="U5313" s="411"/>
      <c r="V5313" s="411"/>
      <c r="W5313" s="411"/>
      <c r="X5313" s="34"/>
      <c r="Y5313" s="34"/>
    </row>
    <row r="5314" s="3" customFormat="1" customHeight="1" spans="1:25">
      <c r="A5314" s="11" t="s">
        <v>444</v>
      </c>
      <c r="B5314" s="11" t="s">
        <v>6300</v>
      </c>
      <c r="C5314" s="11" t="s">
        <v>3237</v>
      </c>
      <c r="D5314" s="35" t="s">
        <v>6301</v>
      </c>
      <c r="E5314" s="13" t="s">
        <v>6936</v>
      </c>
      <c r="F5314" s="11" t="s">
        <v>6937</v>
      </c>
      <c r="G5314" s="11" t="s">
        <v>31</v>
      </c>
      <c r="H5314" s="110" t="s">
        <v>6942</v>
      </c>
      <c r="I5314" s="30" t="e">
        <f>VLOOKUP(H5314,'合同高级查询数据-4月返'!A:A,1,FALSE)</f>
        <v>#N/A</v>
      </c>
      <c r="J5314" s="31" t="s">
        <v>33</v>
      </c>
      <c r="K5314" s="11" t="s">
        <v>6704</v>
      </c>
      <c r="L5314" s="32"/>
      <c r="M5314" s="470" t="s">
        <v>6944</v>
      </c>
      <c r="N5314" s="34">
        <v>43617</v>
      </c>
      <c r="O5314" s="11" t="s">
        <v>37</v>
      </c>
      <c r="P5314" s="465">
        <v>0</v>
      </c>
      <c r="Q5314" s="459">
        <v>168</v>
      </c>
      <c r="R5314" s="465">
        <f t="shared" si="167"/>
        <v>0</v>
      </c>
      <c r="S5314" s="31">
        <v>202304</v>
      </c>
      <c r="T5314" s="60" t="s">
        <v>6945</v>
      </c>
      <c r="U5314" s="411"/>
      <c r="V5314" s="411"/>
      <c r="W5314" s="411"/>
      <c r="X5314" s="34"/>
      <c r="Y5314" s="34"/>
    </row>
    <row r="5315" s="3" customFormat="1" customHeight="1" spans="1:25">
      <c r="A5315" s="11" t="s">
        <v>444</v>
      </c>
      <c r="B5315" s="11" t="s">
        <v>6300</v>
      </c>
      <c r="C5315" s="11" t="s">
        <v>3237</v>
      </c>
      <c r="D5315" s="35" t="s">
        <v>6301</v>
      </c>
      <c r="E5315" s="13" t="s">
        <v>6936</v>
      </c>
      <c r="F5315" s="11" t="s">
        <v>6937</v>
      </c>
      <c r="G5315" s="11" t="s">
        <v>31</v>
      </c>
      <c r="H5315" s="110" t="s">
        <v>6942</v>
      </c>
      <c r="I5315" s="30" t="e">
        <f>VLOOKUP(H5315,'合同高级查询数据-4月返'!A:A,1,FALSE)</f>
        <v>#N/A</v>
      </c>
      <c r="J5315" s="31" t="s">
        <v>33</v>
      </c>
      <c r="K5315" s="11" t="s">
        <v>6704</v>
      </c>
      <c r="L5315" s="32"/>
      <c r="M5315" s="470" t="s">
        <v>6946</v>
      </c>
      <c r="N5315" s="34">
        <v>43982</v>
      </c>
      <c r="O5315" s="11" t="s">
        <v>37</v>
      </c>
      <c r="P5315" s="465">
        <v>0</v>
      </c>
      <c r="Q5315" s="459">
        <v>-512</v>
      </c>
      <c r="R5315" s="465">
        <f t="shared" si="167"/>
        <v>0</v>
      </c>
      <c r="S5315" s="31">
        <v>202304</v>
      </c>
      <c r="T5315" s="60" t="s">
        <v>6947</v>
      </c>
      <c r="U5315" s="411"/>
      <c r="V5315" s="411"/>
      <c r="W5315" s="411"/>
      <c r="X5315" s="34"/>
      <c r="Y5315" s="34"/>
    </row>
    <row r="5316" s="3" customFormat="1" customHeight="1" spans="1:25">
      <c r="A5316" s="11" t="s">
        <v>444</v>
      </c>
      <c r="B5316" s="11" t="s">
        <v>6300</v>
      </c>
      <c r="C5316" s="11" t="s">
        <v>3237</v>
      </c>
      <c r="D5316" s="35" t="s">
        <v>6301</v>
      </c>
      <c r="E5316" s="13" t="s">
        <v>6936</v>
      </c>
      <c r="F5316" s="11" t="s">
        <v>6937</v>
      </c>
      <c r="G5316" s="11" t="s">
        <v>31</v>
      </c>
      <c r="H5316" s="110" t="s">
        <v>6942</v>
      </c>
      <c r="I5316" s="30" t="e">
        <f>VLOOKUP(H5316,'合同高级查询数据-4月返'!A:A,1,FALSE)</f>
        <v>#N/A</v>
      </c>
      <c r="J5316" s="31" t="s">
        <v>33</v>
      </c>
      <c r="K5316" s="11" t="s">
        <v>6704</v>
      </c>
      <c r="L5316" s="32"/>
      <c r="M5316" s="470" t="s">
        <v>6944</v>
      </c>
      <c r="N5316" s="34" t="s">
        <v>1329</v>
      </c>
      <c r="O5316" s="35" t="s">
        <v>37</v>
      </c>
      <c r="P5316" s="465">
        <v>50</v>
      </c>
      <c r="Q5316" s="459">
        <v>256</v>
      </c>
      <c r="R5316" s="465">
        <f t="shared" si="167"/>
        <v>12800</v>
      </c>
      <c r="S5316" s="31">
        <v>202304</v>
      </c>
      <c r="T5316" s="60" t="s">
        <v>6948</v>
      </c>
      <c r="U5316" s="411"/>
      <c r="V5316" s="411"/>
      <c r="W5316" s="411"/>
      <c r="X5316" s="34"/>
      <c r="Y5316" s="34"/>
    </row>
    <row r="5317" s="3" customFormat="1" customHeight="1" spans="1:25">
      <c r="A5317" s="11" t="s">
        <v>444</v>
      </c>
      <c r="B5317" s="11" t="s">
        <v>6300</v>
      </c>
      <c r="C5317" s="11" t="s">
        <v>3237</v>
      </c>
      <c r="D5317" s="35" t="s">
        <v>6301</v>
      </c>
      <c r="E5317" s="13" t="s">
        <v>6936</v>
      </c>
      <c r="F5317" s="11" t="s">
        <v>6937</v>
      </c>
      <c r="G5317" s="11" t="s">
        <v>31</v>
      </c>
      <c r="H5317" s="110" t="s">
        <v>6942</v>
      </c>
      <c r="I5317" s="30" t="e">
        <f>VLOOKUP(H5317,'合同高级查询数据-4月返'!A:A,1,FALSE)</f>
        <v>#N/A</v>
      </c>
      <c r="J5317" s="31" t="s">
        <v>33</v>
      </c>
      <c r="K5317" s="11" t="s">
        <v>6704</v>
      </c>
      <c r="L5317" s="32"/>
      <c r="M5317" s="113" t="s">
        <v>6949</v>
      </c>
      <c r="N5317" s="34">
        <v>43690</v>
      </c>
      <c r="O5317" s="35" t="s">
        <v>37</v>
      </c>
      <c r="P5317" s="465">
        <v>0</v>
      </c>
      <c r="Q5317" s="459">
        <v>128</v>
      </c>
      <c r="R5317" s="465">
        <f t="shared" si="167"/>
        <v>0</v>
      </c>
      <c r="S5317" s="31">
        <v>202304</v>
      </c>
      <c r="T5317" s="60" t="s">
        <v>6950</v>
      </c>
      <c r="U5317" s="411"/>
      <c r="V5317" s="411"/>
      <c r="W5317" s="411"/>
      <c r="X5317" s="34"/>
      <c r="Y5317" s="34"/>
    </row>
    <row r="5318" s="3" customFormat="1" customHeight="1" spans="1:25">
      <c r="A5318" s="11" t="s">
        <v>444</v>
      </c>
      <c r="B5318" s="11" t="s">
        <v>6300</v>
      </c>
      <c r="C5318" s="11" t="s">
        <v>3237</v>
      </c>
      <c r="D5318" s="35" t="s">
        <v>6301</v>
      </c>
      <c r="E5318" s="13" t="s">
        <v>6936</v>
      </c>
      <c r="F5318" s="11" t="s">
        <v>6937</v>
      </c>
      <c r="G5318" s="11" t="s">
        <v>31</v>
      </c>
      <c r="H5318" s="110" t="s">
        <v>6942</v>
      </c>
      <c r="I5318" s="30" t="e">
        <f>VLOOKUP(H5318,'合同高级查询数据-4月返'!A:A,1,FALSE)</f>
        <v>#N/A</v>
      </c>
      <c r="J5318" s="31" t="s">
        <v>33</v>
      </c>
      <c r="K5318" s="11" t="s">
        <v>6704</v>
      </c>
      <c r="L5318" s="32"/>
      <c r="M5318" s="113" t="s">
        <v>6949</v>
      </c>
      <c r="N5318" s="34">
        <v>44792</v>
      </c>
      <c r="O5318" s="35" t="s">
        <v>37</v>
      </c>
      <c r="P5318" s="465">
        <v>50</v>
      </c>
      <c r="Q5318" s="459">
        <v>-128</v>
      </c>
      <c r="R5318" s="465">
        <f t="shared" si="167"/>
        <v>-6400</v>
      </c>
      <c r="S5318" s="31">
        <v>202304</v>
      </c>
      <c r="T5318" s="60" t="s">
        <v>6951</v>
      </c>
      <c r="U5318" s="411"/>
      <c r="V5318" s="411"/>
      <c r="W5318" s="411"/>
      <c r="X5318" s="34"/>
      <c r="Y5318" s="34"/>
    </row>
    <row r="5319" s="3" customFormat="1" customHeight="1" spans="1:25">
      <c r="A5319" s="11" t="s">
        <v>444</v>
      </c>
      <c r="B5319" s="11" t="s">
        <v>6300</v>
      </c>
      <c r="C5319" s="11" t="s">
        <v>3237</v>
      </c>
      <c r="D5319" s="35" t="s">
        <v>6301</v>
      </c>
      <c r="E5319" s="13" t="s">
        <v>6936</v>
      </c>
      <c r="F5319" s="11" t="s">
        <v>6952</v>
      </c>
      <c r="G5319" s="11" t="s">
        <v>31</v>
      </c>
      <c r="H5319" s="110" t="s">
        <v>6942</v>
      </c>
      <c r="I5319" s="30" t="e">
        <f>VLOOKUP(H5319,'合同高级查询数据-4月返'!A:A,1,FALSE)</f>
        <v>#N/A</v>
      </c>
      <c r="J5319" s="31" t="s">
        <v>1273</v>
      </c>
      <c r="K5319" s="11" t="s">
        <v>6704</v>
      </c>
      <c r="L5319" s="32" t="s">
        <v>6952</v>
      </c>
      <c r="M5319" s="470" t="s">
        <v>6953</v>
      </c>
      <c r="N5319" s="492">
        <v>42248</v>
      </c>
      <c r="O5319" s="11" t="s">
        <v>37</v>
      </c>
      <c r="P5319" s="465">
        <v>50</v>
      </c>
      <c r="Q5319" s="459">
        <v>280</v>
      </c>
      <c r="R5319" s="465">
        <f t="shared" si="167"/>
        <v>14000</v>
      </c>
      <c r="S5319" s="31">
        <v>202304</v>
      </c>
      <c r="T5319" s="60" t="s">
        <v>6954</v>
      </c>
      <c r="U5319" s="411"/>
      <c r="V5319" s="411"/>
      <c r="W5319" s="411"/>
      <c r="X5319" s="34"/>
      <c r="Y5319" s="34"/>
    </row>
    <row r="5320" s="3" customFormat="1" customHeight="1" spans="1:25">
      <c r="A5320" s="11" t="s">
        <v>444</v>
      </c>
      <c r="B5320" s="11" t="s">
        <v>6300</v>
      </c>
      <c r="C5320" s="11" t="s">
        <v>3237</v>
      </c>
      <c r="D5320" s="35" t="s">
        <v>6301</v>
      </c>
      <c r="E5320" s="13" t="s">
        <v>6936</v>
      </c>
      <c r="F5320" s="11" t="s">
        <v>6952</v>
      </c>
      <c r="G5320" s="11" t="s">
        <v>31</v>
      </c>
      <c r="H5320" s="110" t="s">
        <v>6942</v>
      </c>
      <c r="I5320" s="30" t="e">
        <f>VLOOKUP(H5320,'合同高级查询数据-4月返'!A:A,1,FALSE)</f>
        <v>#N/A</v>
      </c>
      <c r="J5320" s="31" t="s">
        <v>1273</v>
      </c>
      <c r="K5320" s="11" t="s">
        <v>6704</v>
      </c>
      <c r="L5320" s="32" t="s">
        <v>6952</v>
      </c>
      <c r="M5320" s="470" t="s">
        <v>6953</v>
      </c>
      <c r="N5320" s="492">
        <v>42248</v>
      </c>
      <c r="O5320" s="11" t="s">
        <v>37</v>
      </c>
      <c r="P5320" s="465">
        <v>0</v>
      </c>
      <c r="Q5320" s="459">
        <v>232</v>
      </c>
      <c r="R5320" s="465">
        <f t="shared" si="167"/>
        <v>0</v>
      </c>
      <c r="S5320" s="31">
        <v>202304</v>
      </c>
      <c r="T5320" s="60" t="s">
        <v>6955</v>
      </c>
      <c r="U5320" s="411"/>
      <c r="V5320" s="411"/>
      <c r="W5320" s="411"/>
      <c r="X5320" s="34"/>
      <c r="Y5320" s="34"/>
    </row>
    <row r="5321" s="5" customFormat="1" customHeight="1" spans="1:25">
      <c r="A5321" s="24" t="s">
        <v>444</v>
      </c>
      <c r="B5321" s="24" t="s">
        <v>6300</v>
      </c>
      <c r="C5321" s="24" t="s">
        <v>3237</v>
      </c>
      <c r="D5321" s="22" t="s">
        <v>6301</v>
      </c>
      <c r="E5321" s="23" t="s">
        <v>6936</v>
      </c>
      <c r="F5321" s="24" t="s">
        <v>6937</v>
      </c>
      <c r="G5321" s="24" t="s">
        <v>31</v>
      </c>
      <c r="H5321" s="25" t="s">
        <v>6956</v>
      </c>
      <c r="I5321" s="46" t="e">
        <f>VLOOKUP(H5321,'合同高级查询数据-4月返'!A:A,1,FALSE)</f>
        <v>#N/A</v>
      </c>
      <c r="J5321" s="47" t="s">
        <v>497</v>
      </c>
      <c r="K5321" s="24" t="s">
        <v>514</v>
      </c>
      <c r="L5321" s="109"/>
      <c r="M5321" s="475"/>
      <c r="N5321" s="50">
        <v>43190</v>
      </c>
      <c r="O5321" s="24" t="s">
        <v>37</v>
      </c>
      <c r="P5321" s="52">
        <v>0</v>
      </c>
      <c r="Q5321" s="70">
        <v>3072</v>
      </c>
      <c r="R5321" s="52">
        <f t="shared" si="167"/>
        <v>0</v>
      </c>
      <c r="S5321" s="47">
        <v>202304</v>
      </c>
      <c r="T5321" s="123" t="s">
        <v>6957</v>
      </c>
      <c r="U5321" s="48"/>
      <c r="V5321" s="48"/>
      <c r="W5321" s="48"/>
      <c r="X5321" s="50">
        <v>43190</v>
      </c>
      <c r="Y5321" s="50">
        <v>45382</v>
      </c>
    </row>
    <row r="5322" s="3" customFormat="1" customHeight="1" spans="1:25">
      <c r="A5322" s="11" t="s">
        <v>444</v>
      </c>
      <c r="B5322" s="11" t="s">
        <v>6300</v>
      </c>
      <c r="C5322" s="11" t="s">
        <v>3237</v>
      </c>
      <c r="D5322" s="35" t="s">
        <v>6301</v>
      </c>
      <c r="E5322" s="13" t="s">
        <v>6936</v>
      </c>
      <c r="F5322" s="11" t="s">
        <v>6937</v>
      </c>
      <c r="G5322" s="11" t="s">
        <v>31</v>
      </c>
      <c r="H5322" s="110" t="s">
        <v>6958</v>
      </c>
      <c r="I5322" s="30" t="e">
        <f>VLOOKUP(H5322,'合同高级查询数据-4月返'!A:A,1,FALSE)</f>
        <v>#N/A</v>
      </c>
      <c r="J5322" s="31" t="s">
        <v>497</v>
      </c>
      <c r="K5322" s="11" t="s">
        <v>6704</v>
      </c>
      <c r="L5322" s="32" t="s">
        <v>6937</v>
      </c>
      <c r="M5322" s="470"/>
      <c r="N5322" s="34">
        <v>42248</v>
      </c>
      <c r="O5322" s="11" t="s">
        <v>37</v>
      </c>
      <c r="P5322" s="465">
        <v>0</v>
      </c>
      <c r="Q5322" s="459">
        <v>5120</v>
      </c>
      <c r="R5322" s="465">
        <f t="shared" si="167"/>
        <v>0</v>
      </c>
      <c r="S5322" s="31">
        <v>202304</v>
      </c>
      <c r="T5322" s="60" t="s">
        <v>6959</v>
      </c>
      <c r="U5322" s="411"/>
      <c r="V5322" s="411"/>
      <c r="W5322" s="411"/>
      <c r="X5322" s="34"/>
      <c r="Y5322" s="34"/>
    </row>
    <row r="5323" s="5" customFormat="1" customHeight="1" spans="1:25">
      <c r="A5323" s="24" t="s">
        <v>444</v>
      </c>
      <c r="B5323" s="24" t="s">
        <v>6300</v>
      </c>
      <c r="C5323" s="24" t="s">
        <v>3237</v>
      </c>
      <c r="D5323" s="22" t="s">
        <v>6301</v>
      </c>
      <c r="E5323" s="23" t="s">
        <v>6936</v>
      </c>
      <c r="F5323" s="24" t="s">
        <v>6937</v>
      </c>
      <c r="G5323" s="24" t="s">
        <v>31</v>
      </c>
      <c r="H5323" s="25" t="s">
        <v>6960</v>
      </c>
      <c r="I5323" s="46" t="e">
        <f>VLOOKUP(H5323,'合同高级查询数据-4月返'!A:A,1,FALSE)</f>
        <v>#N/A</v>
      </c>
      <c r="J5323" s="47" t="s">
        <v>497</v>
      </c>
      <c r="K5323" s="24" t="s">
        <v>6961</v>
      </c>
      <c r="L5323" s="109"/>
      <c r="M5323" s="475"/>
      <c r="N5323" s="50">
        <v>44186</v>
      </c>
      <c r="O5323" s="24" t="s">
        <v>37</v>
      </c>
      <c r="P5323" s="52">
        <v>20000</v>
      </c>
      <c r="Q5323" s="70">
        <v>1</v>
      </c>
      <c r="R5323" s="52">
        <f t="shared" si="167"/>
        <v>20000</v>
      </c>
      <c r="S5323" s="47">
        <v>202304</v>
      </c>
      <c r="T5323" s="123" t="s">
        <v>6962</v>
      </c>
      <c r="U5323" s="48"/>
      <c r="V5323" s="48"/>
      <c r="W5323" s="48"/>
      <c r="X5323" s="50">
        <v>44551</v>
      </c>
      <c r="Y5323" s="50">
        <v>44985</v>
      </c>
    </row>
    <row r="5324" s="5" customFormat="1" customHeight="1" spans="1:25">
      <c r="A5324" s="24" t="s">
        <v>444</v>
      </c>
      <c r="B5324" s="24" t="s">
        <v>6300</v>
      </c>
      <c r="C5324" s="24" t="s">
        <v>3237</v>
      </c>
      <c r="D5324" s="22" t="s">
        <v>6301</v>
      </c>
      <c r="E5324" s="23" t="s">
        <v>6936</v>
      </c>
      <c r="F5324" s="24" t="s">
        <v>6937</v>
      </c>
      <c r="G5324" s="24" t="s">
        <v>31</v>
      </c>
      <c r="H5324" s="25" t="s">
        <v>6960</v>
      </c>
      <c r="I5324" s="46" t="e">
        <f>VLOOKUP(H5324,'合同高级查询数据-4月返'!A:A,1,FALSE)</f>
        <v>#N/A</v>
      </c>
      <c r="J5324" s="47" t="s">
        <v>497</v>
      </c>
      <c r="K5324" s="24" t="s">
        <v>6961</v>
      </c>
      <c r="L5324" s="109"/>
      <c r="M5324" s="475"/>
      <c r="N5324" s="50">
        <v>44985</v>
      </c>
      <c r="O5324" s="24" t="s">
        <v>37</v>
      </c>
      <c r="P5324" s="52">
        <v>20000</v>
      </c>
      <c r="Q5324" s="70">
        <v>-1</v>
      </c>
      <c r="R5324" s="52">
        <f t="shared" si="167"/>
        <v>-20000</v>
      </c>
      <c r="S5324" s="47">
        <v>202304</v>
      </c>
      <c r="T5324" s="123" t="s">
        <v>6963</v>
      </c>
      <c r="U5324" s="48"/>
      <c r="V5324" s="48"/>
      <c r="W5324" s="48"/>
      <c r="X5324" s="50">
        <v>44551</v>
      </c>
      <c r="Y5324" s="50">
        <v>44985</v>
      </c>
    </row>
    <row r="5325" s="5" customFormat="1" customHeight="1" spans="1:25">
      <c r="A5325" s="24" t="s">
        <v>444</v>
      </c>
      <c r="B5325" s="24" t="s">
        <v>6300</v>
      </c>
      <c r="C5325" s="24" t="s">
        <v>3237</v>
      </c>
      <c r="D5325" s="22" t="s">
        <v>6301</v>
      </c>
      <c r="E5325" s="23" t="s">
        <v>6936</v>
      </c>
      <c r="F5325" s="24" t="s">
        <v>6937</v>
      </c>
      <c r="G5325" s="24" t="s">
        <v>31</v>
      </c>
      <c r="H5325" s="25" t="s">
        <v>6960</v>
      </c>
      <c r="I5325" s="46" t="e">
        <f>VLOOKUP(H5325,'合同高级查询数据-4月返'!A:A,1,FALSE)</f>
        <v>#N/A</v>
      </c>
      <c r="J5325" s="47" t="s">
        <v>497</v>
      </c>
      <c r="K5325" s="24" t="s">
        <v>6961</v>
      </c>
      <c r="L5325" s="109"/>
      <c r="M5325" s="475"/>
      <c r="N5325" s="50"/>
      <c r="O5325" s="24" t="s">
        <v>37</v>
      </c>
      <c r="P5325" s="52">
        <v>100</v>
      </c>
      <c r="Q5325" s="70">
        <v>0</v>
      </c>
      <c r="R5325" s="52">
        <f t="shared" si="167"/>
        <v>0</v>
      </c>
      <c r="S5325" s="47">
        <v>202304</v>
      </c>
      <c r="T5325" s="123" t="s">
        <v>6964</v>
      </c>
      <c r="U5325" s="48"/>
      <c r="V5325" s="48"/>
      <c r="W5325" s="48"/>
      <c r="X5325" s="50">
        <v>44551</v>
      </c>
      <c r="Y5325" s="50">
        <v>44985</v>
      </c>
    </row>
    <row r="5326" s="3" customFormat="1" customHeight="1" spans="1:25">
      <c r="A5326" s="11" t="s">
        <v>444</v>
      </c>
      <c r="B5326" s="11" t="s">
        <v>6300</v>
      </c>
      <c r="C5326" s="11" t="s">
        <v>3237</v>
      </c>
      <c r="D5326" s="35" t="s">
        <v>6301</v>
      </c>
      <c r="E5326" s="13" t="s">
        <v>6936</v>
      </c>
      <c r="F5326" s="11" t="s">
        <v>6937</v>
      </c>
      <c r="G5326" s="11" t="s">
        <v>88</v>
      </c>
      <c r="H5326" s="110" t="s">
        <v>6965</v>
      </c>
      <c r="I5326" s="30" t="e">
        <f>VLOOKUP(H5326,'合同高级查询数据-4月返'!A:A,1,FALSE)</f>
        <v>#N/A</v>
      </c>
      <c r="J5326" s="31" t="s">
        <v>162</v>
      </c>
      <c r="K5326" s="11" t="s">
        <v>6966</v>
      </c>
      <c r="L5326" s="32"/>
      <c r="M5326" s="113" t="s">
        <v>6946</v>
      </c>
      <c r="N5326" s="34" t="s">
        <v>6426</v>
      </c>
      <c r="O5326" s="35" t="s">
        <v>92</v>
      </c>
      <c r="P5326" s="465">
        <v>5000</v>
      </c>
      <c r="Q5326" s="459">
        <v>13</v>
      </c>
      <c r="R5326" s="465">
        <f t="shared" si="167"/>
        <v>65000</v>
      </c>
      <c r="S5326" s="31">
        <v>202304</v>
      </c>
      <c r="T5326" s="60" t="s">
        <v>6967</v>
      </c>
      <c r="U5326" s="411"/>
      <c r="V5326" s="411"/>
      <c r="W5326" s="411"/>
      <c r="X5326" s="34"/>
      <c r="Y5326" s="34"/>
    </row>
    <row r="5327" s="3" customFormat="1" customHeight="1" spans="1:25">
      <c r="A5327" s="11" t="s">
        <v>444</v>
      </c>
      <c r="B5327" s="11" t="s">
        <v>6300</v>
      </c>
      <c r="C5327" s="11" t="s">
        <v>3237</v>
      </c>
      <c r="D5327" s="35" t="s">
        <v>6301</v>
      </c>
      <c r="E5327" s="13" t="s">
        <v>6936</v>
      </c>
      <c r="F5327" s="11" t="s">
        <v>6937</v>
      </c>
      <c r="G5327" s="11" t="s">
        <v>88</v>
      </c>
      <c r="H5327" s="110" t="s">
        <v>6965</v>
      </c>
      <c r="I5327" s="30" t="e">
        <f>VLOOKUP(H5327,'合同高级查询数据-4月返'!A:A,1,FALSE)</f>
        <v>#N/A</v>
      </c>
      <c r="J5327" s="31" t="s">
        <v>162</v>
      </c>
      <c r="K5327" s="11" t="s">
        <v>6966</v>
      </c>
      <c r="L5327" s="32"/>
      <c r="M5327" s="113" t="s">
        <v>6946</v>
      </c>
      <c r="N5327" s="34">
        <v>43982</v>
      </c>
      <c r="O5327" s="35" t="s">
        <v>92</v>
      </c>
      <c r="P5327" s="465">
        <v>5000</v>
      </c>
      <c r="Q5327" s="459">
        <v>-13</v>
      </c>
      <c r="R5327" s="465">
        <f t="shared" si="167"/>
        <v>-65000</v>
      </c>
      <c r="S5327" s="31">
        <v>202304</v>
      </c>
      <c r="T5327" s="60" t="s">
        <v>6967</v>
      </c>
      <c r="U5327" s="411"/>
      <c r="V5327" s="411"/>
      <c r="W5327" s="411"/>
      <c r="X5327" s="34"/>
      <c r="Y5327" s="34"/>
    </row>
    <row r="5328" s="3" customFormat="1" customHeight="1" spans="1:25">
      <c r="A5328" s="11" t="s">
        <v>444</v>
      </c>
      <c r="B5328" s="11" t="s">
        <v>6300</v>
      </c>
      <c r="C5328" s="11" t="s">
        <v>3237</v>
      </c>
      <c r="D5328" s="35" t="s">
        <v>6301</v>
      </c>
      <c r="E5328" s="13" t="s">
        <v>6936</v>
      </c>
      <c r="F5328" s="11" t="s">
        <v>6937</v>
      </c>
      <c r="G5328" s="11" t="s">
        <v>88</v>
      </c>
      <c r="H5328" s="110" t="s">
        <v>6965</v>
      </c>
      <c r="I5328" s="30" t="e">
        <f>VLOOKUP(H5328,'合同高级查询数据-4月返'!A:A,1,FALSE)</f>
        <v>#N/A</v>
      </c>
      <c r="J5328" s="31" t="s">
        <v>162</v>
      </c>
      <c r="K5328" s="11" t="s">
        <v>6704</v>
      </c>
      <c r="L5328" s="32"/>
      <c r="M5328" s="113" t="s">
        <v>6949</v>
      </c>
      <c r="N5328" s="34">
        <v>43617</v>
      </c>
      <c r="O5328" s="35" t="s">
        <v>92</v>
      </c>
      <c r="P5328" s="465">
        <v>5000</v>
      </c>
      <c r="Q5328" s="459">
        <v>11</v>
      </c>
      <c r="R5328" s="465">
        <f t="shared" si="167"/>
        <v>55000</v>
      </c>
      <c r="S5328" s="31">
        <v>202304</v>
      </c>
      <c r="T5328" s="60" t="s">
        <v>6968</v>
      </c>
      <c r="U5328" s="411"/>
      <c r="V5328" s="411"/>
      <c r="W5328" s="411"/>
      <c r="X5328" s="34"/>
      <c r="Y5328" s="34"/>
    </row>
    <row r="5329" s="3" customFormat="1" customHeight="1" spans="1:25">
      <c r="A5329" s="11" t="s">
        <v>444</v>
      </c>
      <c r="B5329" s="11" t="s">
        <v>6300</v>
      </c>
      <c r="C5329" s="11" t="s">
        <v>3237</v>
      </c>
      <c r="D5329" s="35" t="s">
        <v>6301</v>
      </c>
      <c r="E5329" s="13" t="s">
        <v>6936</v>
      </c>
      <c r="F5329" s="11" t="s">
        <v>6937</v>
      </c>
      <c r="G5329" s="11" t="s">
        <v>88</v>
      </c>
      <c r="H5329" s="110" t="s">
        <v>6965</v>
      </c>
      <c r="I5329" s="30" t="e">
        <f>VLOOKUP(H5329,'合同高级查询数据-4月返'!A:A,1,FALSE)</f>
        <v>#N/A</v>
      </c>
      <c r="J5329" s="31" t="s">
        <v>162</v>
      </c>
      <c r="K5329" s="11" t="s">
        <v>6704</v>
      </c>
      <c r="L5329" s="32"/>
      <c r="M5329" s="113" t="s">
        <v>6949</v>
      </c>
      <c r="N5329" s="34">
        <v>43690</v>
      </c>
      <c r="O5329" s="35" t="s">
        <v>92</v>
      </c>
      <c r="P5329" s="465">
        <v>5000</v>
      </c>
      <c r="Q5329" s="459">
        <v>4</v>
      </c>
      <c r="R5329" s="465">
        <f t="shared" si="167"/>
        <v>20000</v>
      </c>
      <c r="S5329" s="31">
        <v>202304</v>
      </c>
      <c r="T5329" s="60" t="s">
        <v>6969</v>
      </c>
      <c r="U5329" s="411"/>
      <c r="V5329" s="411"/>
      <c r="W5329" s="411"/>
      <c r="X5329" s="34"/>
      <c r="Y5329" s="34"/>
    </row>
    <row r="5330" s="3" customFormat="1" customHeight="1" spans="1:25">
      <c r="A5330" s="11" t="s">
        <v>444</v>
      </c>
      <c r="B5330" s="11" t="s">
        <v>6300</v>
      </c>
      <c r="C5330" s="11" t="s">
        <v>3237</v>
      </c>
      <c r="D5330" s="35" t="s">
        <v>6301</v>
      </c>
      <c r="E5330" s="13" t="s">
        <v>6936</v>
      </c>
      <c r="F5330" s="11" t="s">
        <v>6937</v>
      </c>
      <c r="G5330" s="11" t="s">
        <v>88</v>
      </c>
      <c r="H5330" s="110" t="s">
        <v>6965</v>
      </c>
      <c r="I5330" s="30" t="e">
        <f>VLOOKUP(H5330,'合同高级查询数据-4月返'!A:A,1,FALSE)</f>
        <v>#N/A</v>
      </c>
      <c r="J5330" s="31" t="s">
        <v>162</v>
      </c>
      <c r="K5330" s="11" t="s">
        <v>6704</v>
      </c>
      <c r="L5330" s="32" t="s">
        <v>6970</v>
      </c>
      <c r="M5330" s="470" t="s">
        <v>6944</v>
      </c>
      <c r="N5330" s="34">
        <v>44295</v>
      </c>
      <c r="O5330" s="11" t="s">
        <v>92</v>
      </c>
      <c r="P5330" s="488">
        <v>5000</v>
      </c>
      <c r="Q5330" s="459">
        <v>1</v>
      </c>
      <c r="R5330" s="465">
        <f t="shared" si="167"/>
        <v>5000</v>
      </c>
      <c r="S5330" s="31">
        <v>202304</v>
      </c>
      <c r="T5330" s="60" t="s">
        <v>6971</v>
      </c>
      <c r="U5330" s="411"/>
      <c r="V5330" s="411"/>
      <c r="W5330" s="411"/>
      <c r="X5330" s="34"/>
      <c r="Y5330" s="34"/>
    </row>
    <row r="5331" s="3" customFormat="1" customHeight="1" spans="1:25">
      <c r="A5331" s="11" t="s">
        <v>444</v>
      </c>
      <c r="B5331" s="11" t="s">
        <v>6300</v>
      </c>
      <c r="C5331" s="11" t="s">
        <v>3237</v>
      </c>
      <c r="D5331" s="35" t="s">
        <v>6301</v>
      </c>
      <c r="E5331" s="13" t="s">
        <v>6936</v>
      </c>
      <c r="F5331" s="11" t="s">
        <v>6937</v>
      </c>
      <c r="G5331" s="11" t="s">
        <v>88</v>
      </c>
      <c r="H5331" s="110" t="s">
        <v>6965</v>
      </c>
      <c r="I5331" s="30" t="e">
        <f>VLOOKUP(H5331,'合同高级查询数据-4月返'!A:A,1,FALSE)</f>
        <v>#N/A</v>
      </c>
      <c r="J5331" s="31" t="s">
        <v>162</v>
      </c>
      <c r="K5331" s="11" t="s">
        <v>6704</v>
      </c>
      <c r="L5331" s="32" t="s">
        <v>6970</v>
      </c>
      <c r="M5331" s="470" t="s">
        <v>6944</v>
      </c>
      <c r="N5331" s="34">
        <v>44719</v>
      </c>
      <c r="O5331" s="11" t="s">
        <v>92</v>
      </c>
      <c r="P5331" s="488">
        <v>5000</v>
      </c>
      <c r="Q5331" s="459">
        <v>-7</v>
      </c>
      <c r="R5331" s="465">
        <f t="shared" si="167"/>
        <v>-35000</v>
      </c>
      <c r="S5331" s="31">
        <v>202304</v>
      </c>
      <c r="T5331" s="60" t="s">
        <v>6972</v>
      </c>
      <c r="U5331" s="411"/>
      <c r="V5331" s="411"/>
      <c r="W5331" s="411"/>
      <c r="X5331" s="34"/>
      <c r="Y5331" s="34"/>
    </row>
    <row r="5332" s="3" customFormat="1" customHeight="1" spans="1:25">
      <c r="A5332" s="11" t="s">
        <v>444</v>
      </c>
      <c r="B5332" s="11" t="s">
        <v>6300</v>
      </c>
      <c r="C5332" s="11" t="s">
        <v>3237</v>
      </c>
      <c r="D5332" s="35" t="s">
        <v>6301</v>
      </c>
      <c r="E5332" s="13" t="s">
        <v>6936</v>
      </c>
      <c r="F5332" s="11" t="s">
        <v>6937</v>
      </c>
      <c r="G5332" s="11" t="s">
        <v>88</v>
      </c>
      <c r="H5332" s="110" t="s">
        <v>6965</v>
      </c>
      <c r="I5332" s="30" t="e">
        <f>VLOOKUP(H5332,'合同高级查询数据-4月返'!A:A,1,FALSE)</f>
        <v>#N/A</v>
      </c>
      <c r="J5332" s="31" t="s">
        <v>162</v>
      </c>
      <c r="K5332" s="11" t="s">
        <v>6704</v>
      </c>
      <c r="L5332" s="32" t="s">
        <v>6970</v>
      </c>
      <c r="M5332" s="470" t="s">
        <v>6944</v>
      </c>
      <c r="N5332" s="34">
        <v>44788</v>
      </c>
      <c r="O5332" s="11" t="s">
        <v>92</v>
      </c>
      <c r="P5332" s="488">
        <v>5000</v>
      </c>
      <c r="Q5332" s="459">
        <v>-3</v>
      </c>
      <c r="R5332" s="465">
        <f t="shared" si="167"/>
        <v>-15000</v>
      </c>
      <c r="S5332" s="31">
        <v>202304</v>
      </c>
      <c r="T5332" s="60" t="s">
        <v>6973</v>
      </c>
      <c r="U5332" s="411"/>
      <c r="V5332" s="411"/>
      <c r="W5332" s="411"/>
      <c r="X5332" s="34"/>
      <c r="Y5332" s="34"/>
    </row>
    <row r="5333" s="3" customFormat="1" customHeight="1" spans="1:25">
      <c r="A5333" s="11" t="s">
        <v>444</v>
      </c>
      <c r="B5333" s="11" t="s">
        <v>6300</v>
      </c>
      <c r="C5333" s="11" t="s">
        <v>3237</v>
      </c>
      <c r="D5333" s="35" t="s">
        <v>6301</v>
      </c>
      <c r="E5333" s="13" t="s">
        <v>6936</v>
      </c>
      <c r="F5333" s="11" t="s">
        <v>6952</v>
      </c>
      <c r="G5333" s="11" t="s">
        <v>88</v>
      </c>
      <c r="H5333" s="110" t="s">
        <v>6965</v>
      </c>
      <c r="I5333" s="30" t="e">
        <f>VLOOKUP(H5333,'合同高级查询数据-4月返'!A:A,1,FALSE)</f>
        <v>#N/A</v>
      </c>
      <c r="J5333" s="31" t="s">
        <v>1287</v>
      </c>
      <c r="K5333" s="11" t="s">
        <v>6704</v>
      </c>
      <c r="L5333" s="32"/>
      <c r="M5333" s="113" t="s">
        <v>6953</v>
      </c>
      <c r="N5333" s="34">
        <v>42248</v>
      </c>
      <c r="O5333" s="35" t="s">
        <v>92</v>
      </c>
      <c r="P5333" s="465">
        <v>5000</v>
      </c>
      <c r="Q5333" s="459">
        <v>3</v>
      </c>
      <c r="R5333" s="465">
        <f t="shared" si="167"/>
        <v>15000</v>
      </c>
      <c r="S5333" s="31">
        <v>202304</v>
      </c>
      <c r="T5333" s="60"/>
      <c r="U5333" s="411"/>
      <c r="V5333" s="411"/>
      <c r="W5333" s="411"/>
      <c r="X5333" s="34"/>
      <c r="Y5333" s="34"/>
    </row>
    <row r="5334" s="3" customFormat="1" customHeight="1" spans="1:25">
      <c r="A5334" s="11" t="s">
        <v>444</v>
      </c>
      <c r="B5334" s="11" t="s">
        <v>6300</v>
      </c>
      <c r="C5334" s="11" t="s">
        <v>3237</v>
      </c>
      <c r="D5334" s="35" t="s">
        <v>6301</v>
      </c>
      <c r="E5334" s="13" t="s">
        <v>6936</v>
      </c>
      <c r="F5334" s="11" t="s">
        <v>6952</v>
      </c>
      <c r="G5334" s="11" t="s">
        <v>88</v>
      </c>
      <c r="H5334" s="110" t="s">
        <v>6965</v>
      </c>
      <c r="I5334" s="30" t="e">
        <f>VLOOKUP(H5334,'合同高级查询数据-4月返'!A:A,1,FALSE)</f>
        <v>#N/A</v>
      </c>
      <c r="J5334" s="31" t="s">
        <v>1287</v>
      </c>
      <c r="K5334" s="11" t="s">
        <v>6704</v>
      </c>
      <c r="L5334" s="32"/>
      <c r="M5334" s="113" t="s">
        <v>6953</v>
      </c>
      <c r="N5334" s="34">
        <v>43970</v>
      </c>
      <c r="O5334" s="35" t="s">
        <v>92</v>
      </c>
      <c r="P5334" s="465">
        <v>5000</v>
      </c>
      <c r="Q5334" s="459">
        <v>-3</v>
      </c>
      <c r="R5334" s="465">
        <f t="shared" si="167"/>
        <v>-15000</v>
      </c>
      <c r="S5334" s="31">
        <v>202304</v>
      </c>
      <c r="T5334" s="60" t="s">
        <v>6974</v>
      </c>
      <c r="U5334" s="411"/>
      <c r="V5334" s="411"/>
      <c r="W5334" s="411"/>
      <c r="X5334" s="34"/>
      <c r="Y5334" s="34"/>
    </row>
    <row r="5335" s="3" customFormat="1" customHeight="1" spans="1:25">
      <c r="A5335" s="11" t="s">
        <v>444</v>
      </c>
      <c r="B5335" s="11" t="s">
        <v>6300</v>
      </c>
      <c r="C5335" s="11" t="s">
        <v>3237</v>
      </c>
      <c r="D5335" s="35" t="s">
        <v>6301</v>
      </c>
      <c r="E5335" s="13" t="s">
        <v>6936</v>
      </c>
      <c r="F5335" s="11" t="s">
        <v>6952</v>
      </c>
      <c r="G5335" s="11" t="s">
        <v>88</v>
      </c>
      <c r="H5335" s="110" t="s">
        <v>6965</v>
      </c>
      <c r="I5335" s="30" t="e">
        <f>VLOOKUP(H5335,'合同高级查询数据-4月返'!A:A,1,FALSE)</f>
        <v>#N/A</v>
      </c>
      <c r="J5335" s="31" t="s">
        <v>1287</v>
      </c>
      <c r="K5335" s="11" t="s">
        <v>6704</v>
      </c>
      <c r="L5335" s="32"/>
      <c r="M5335" s="113" t="s">
        <v>6975</v>
      </c>
      <c r="N5335" s="34">
        <v>43970</v>
      </c>
      <c r="O5335" s="35" t="s">
        <v>92</v>
      </c>
      <c r="P5335" s="465">
        <v>5000</v>
      </c>
      <c r="Q5335" s="459">
        <v>8</v>
      </c>
      <c r="R5335" s="465">
        <f t="shared" si="167"/>
        <v>40000</v>
      </c>
      <c r="S5335" s="31">
        <v>202304</v>
      </c>
      <c r="T5335" s="60" t="s">
        <v>6976</v>
      </c>
      <c r="U5335" s="411"/>
      <c r="V5335" s="411"/>
      <c r="W5335" s="411"/>
      <c r="X5335" s="34"/>
      <c r="Y5335" s="34"/>
    </row>
    <row r="5336" s="3" customFormat="1" customHeight="1" spans="1:25">
      <c r="A5336" s="11" t="s">
        <v>444</v>
      </c>
      <c r="B5336" s="11" t="s">
        <v>6300</v>
      </c>
      <c r="C5336" s="11" t="s">
        <v>3237</v>
      </c>
      <c r="D5336" s="35" t="s">
        <v>6301</v>
      </c>
      <c r="E5336" s="13" t="s">
        <v>6936</v>
      </c>
      <c r="F5336" s="11" t="s">
        <v>6952</v>
      </c>
      <c r="G5336" s="11" t="s">
        <v>88</v>
      </c>
      <c r="H5336" s="110" t="s">
        <v>6965</v>
      </c>
      <c r="I5336" s="30" t="e">
        <f>VLOOKUP(H5336,'合同高级查询数据-4月返'!A:A,1,FALSE)</f>
        <v>#N/A</v>
      </c>
      <c r="J5336" s="31" t="s">
        <v>1287</v>
      </c>
      <c r="K5336" s="11" t="s">
        <v>6704</v>
      </c>
      <c r="L5336" s="32"/>
      <c r="M5336" s="113" t="s">
        <v>6975</v>
      </c>
      <c r="N5336" s="34">
        <v>44651</v>
      </c>
      <c r="O5336" s="35" t="s">
        <v>92</v>
      </c>
      <c r="P5336" s="465">
        <v>5000</v>
      </c>
      <c r="Q5336" s="459">
        <v>-4</v>
      </c>
      <c r="R5336" s="465">
        <f t="shared" si="167"/>
        <v>-20000</v>
      </c>
      <c r="S5336" s="31">
        <v>202304</v>
      </c>
      <c r="T5336" s="60" t="s">
        <v>6977</v>
      </c>
      <c r="U5336" s="411"/>
      <c r="V5336" s="411"/>
      <c r="W5336" s="411"/>
      <c r="X5336" s="34"/>
      <c r="Y5336" s="34"/>
    </row>
    <row r="5337" s="3" customFormat="1" customHeight="1" spans="1:25">
      <c r="A5337" s="11" t="s">
        <v>444</v>
      </c>
      <c r="B5337" s="11" t="s">
        <v>6300</v>
      </c>
      <c r="C5337" s="11" t="s">
        <v>3237</v>
      </c>
      <c r="D5337" s="35" t="s">
        <v>6301</v>
      </c>
      <c r="E5337" s="13" t="s">
        <v>6936</v>
      </c>
      <c r="F5337" s="11" t="s">
        <v>6952</v>
      </c>
      <c r="G5337" s="11" t="s">
        <v>88</v>
      </c>
      <c r="H5337" s="110" t="s">
        <v>6965</v>
      </c>
      <c r="I5337" s="30" t="e">
        <f>VLOOKUP(H5337,'合同高级查询数据-4月返'!A:A,1,FALSE)</f>
        <v>#N/A</v>
      </c>
      <c r="J5337" s="31" t="s">
        <v>1287</v>
      </c>
      <c r="K5337" s="11" t="s">
        <v>6704</v>
      </c>
      <c r="L5337" s="32"/>
      <c r="M5337" s="113" t="s">
        <v>6975</v>
      </c>
      <c r="N5337" s="34">
        <v>45031</v>
      </c>
      <c r="O5337" s="35" t="s">
        <v>92</v>
      </c>
      <c r="P5337" s="465">
        <v>5000</v>
      </c>
      <c r="Q5337" s="459">
        <v>-1</v>
      </c>
      <c r="R5337" s="465">
        <f>ROUND(P5337*Q5337*15/30,2)</f>
        <v>-2500</v>
      </c>
      <c r="S5337" s="31">
        <v>202304</v>
      </c>
      <c r="T5337" s="472" t="s">
        <v>6978</v>
      </c>
      <c r="U5337" s="411"/>
      <c r="V5337" s="411"/>
      <c r="W5337" s="411"/>
      <c r="X5337" s="34"/>
      <c r="Y5337" s="34"/>
    </row>
    <row r="5338" s="5" customFormat="1" customHeight="1" spans="1:25">
      <c r="A5338" s="24" t="s">
        <v>444</v>
      </c>
      <c r="B5338" s="24" t="s">
        <v>6300</v>
      </c>
      <c r="C5338" s="24" t="s">
        <v>3237</v>
      </c>
      <c r="D5338" s="22" t="s">
        <v>6301</v>
      </c>
      <c r="E5338" s="23" t="s">
        <v>6936</v>
      </c>
      <c r="F5338" s="24" t="s">
        <v>6937</v>
      </c>
      <c r="G5338" s="24" t="s">
        <v>88</v>
      </c>
      <c r="H5338" s="25" t="s">
        <v>6979</v>
      </c>
      <c r="I5338" s="46" t="str">
        <f>VLOOKUP(H5338,'合同高级查询数据-4月返'!A:A,1,FALSE)</f>
        <v>182315IDC00162</v>
      </c>
      <c r="J5338" s="47" t="s">
        <v>3488</v>
      </c>
      <c r="K5338" s="24" t="s">
        <v>6980</v>
      </c>
      <c r="L5338" s="109"/>
      <c r="M5338" s="49" t="s">
        <v>6961</v>
      </c>
      <c r="N5338" s="50">
        <v>42206</v>
      </c>
      <c r="O5338" s="22" t="s">
        <v>6981</v>
      </c>
      <c r="P5338" s="52">
        <v>8728</v>
      </c>
      <c r="Q5338" s="70">
        <v>6</v>
      </c>
      <c r="R5338" s="52">
        <f t="shared" ref="R5338:R5401" si="168">ROUND(P5338*Q5338,2)</f>
        <v>52368</v>
      </c>
      <c r="S5338" s="47">
        <v>202304</v>
      </c>
      <c r="T5338" s="123" t="s">
        <v>6982</v>
      </c>
      <c r="U5338" s="48"/>
      <c r="V5338" s="48"/>
      <c r="W5338" s="48"/>
      <c r="X5338" s="50">
        <v>44958</v>
      </c>
      <c r="Y5338" s="50">
        <v>45291</v>
      </c>
    </row>
    <row r="5339" s="5" customFormat="1" customHeight="1" spans="1:25">
      <c r="A5339" s="24" t="s">
        <v>444</v>
      </c>
      <c r="B5339" s="24" t="s">
        <v>6300</v>
      </c>
      <c r="C5339" s="24" t="s">
        <v>3237</v>
      </c>
      <c r="D5339" s="22" t="s">
        <v>6301</v>
      </c>
      <c r="E5339" s="23" t="s">
        <v>6936</v>
      </c>
      <c r="F5339" s="24" t="s">
        <v>6937</v>
      </c>
      <c r="G5339" s="24" t="s">
        <v>88</v>
      </c>
      <c r="H5339" s="25" t="s">
        <v>6979</v>
      </c>
      <c r="I5339" s="46" t="str">
        <f>VLOOKUP(H5339,'合同高级查询数据-4月返'!A:A,1,FALSE)</f>
        <v>182315IDC00162</v>
      </c>
      <c r="J5339" s="47" t="s">
        <v>3488</v>
      </c>
      <c r="K5339" s="24" t="s">
        <v>6980</v>
      </c>
      <c r="L5339" s="109"/>
      <c r="M5339" s="49" t="s">
        <v>6961</v>
      </c>
      <c r="N5339" s="50">
        <v>42206</v>
      </c>
      <c r="O5339" s="22" t="s">
        <v>6983</v>
      </c>
      <c r="P5339" s="52">
        <v>15000</v>
      </c>
      <c r="Q5339" s="70">
        <v>16</v>
      </c>
      <c r="R5339" s="52">
        <f t="shared" si="168"/>
        <v>240000</v>
      </c>
      <c r="S5339" s="47">
        <v>202304</v>
      </c>
      <c r="T5339" s="123"/>
      <c r="U5339" s="48"/>
      <c r="V5339" s="48"/>
      <c r="W5339" s="48"/>
      <c r="X5339" s="50">
        <v>44958</v>
      </c>
      <c r="Y5339" s="50">
        <v>45291</v>
      </c>
    </row>
    <row r="5340" s="5" customFormat="1" customHeight="1" spans="1:25">
      <c r="A5340" s="24" t="s">
        <v>444</v>
      </c>
      <c r="B5340" s="24" t="s">
        <v>6300</v>
      </c>
      <c r="C5340" s="24" t="s">
        <v>3237</v>
      </c>
      <c r="D5340" s="22" t="s">
        <v>6301</v>
      </c>
      <c r="E5340" s="23" t="s">
        <v>6936</v>
      </c>
      <c r="F5340" s="24" t="s">
        <v>6937</v>
      </c>
      <c r="G5340" s="24" t="s">
        <v>88</v>
      </c>
      <c r="H5340" s="25" t="s">
        <v>6979</v>
      </c>
      <c r="I5340" s="46" t="str">
        <f>VLOOKUP(H5340,'合同高级查询数据-4月返'!A:A,1,FALSE)</f>
        <v>182315IDC00162</v>
      </c>
      <c r="J5340" s="47" t="s">
        <v>3488</v>
      </c>
      <c r="K5340" s="24" t="s">
        <v>6980</v>
      </c>
      <c r="L5340" s="109"/>
      <c r="M5340" s="49" t="s">
        <v>6961</v>
      </c>
      <c r="N5340" s="50">
        <v>42206</v>
      </c>
      <c r="O5340" s="22" t="s">
        <v>6983</v>
      </c>
      <c r="P5340" s="52">
        <v>15000</v>
      </c>
      <c r="Q5340" s="70">
        <v>2</v>
      </c>
      <c r="R5340" s="52">
        <f t="shared" si="168"/>
        <v>30000</v>
      </c>
      <c r="S5340" s="47">
        <v>202304</v>
      </c>
      <c r="T5340" s="123" t="s">
        <v>6984</v>
      </c>
      <c r="U5340" s="48"/>
      <c r="V5340" s="48"/>
      <c r="W5340" s="48"/>
      <c r="X5340" s="50">
        <v>44958</v>
      </c>
      <c r="Y5340" s="50">
        <v>45291</v>
      </c>
    </row>
    <row r="5341" s="5" customFormat="1" customHeight="1" spans="1:25">
      <c r="A5341" s="24" t="s">
        <v>444</v>
      </c>
      <c r="B5341" s="24" t="s">
        <v>6300</v>
      </c>
      <c r="C5341" s="24" t="s">
        <v>3237</v>
      </c>
      <c r="D5341" s="22" t="s">
        <v>6301</v>
      </c>
      <c r="E5341" s="23" t="s">
        <v>6936</v>
      </c>
      <c r="F5341" s="24" t="s">
        <v>6937</v>
      </c>
      <c r="G5341" s="24" t="s">
        <v>88</v>
      </c>
      <c r="H5341" s="25" t="s">
        <v>6979</v>
      </c>
      <c r="I5341" s="46" t="str">
        <f>VLOOKUP(H5341,'合同高级查询数据-4月返'!A:A,1,FALSE)</f>
        <v>182315IDC00162</v>
      </c>
      <c r="J5341" s="47" t="s">
        <v>3488</v>
      </c>
      <c r="K5341" s="24" t="s">
        <v>6980</v>
      </c>
      <c r="L5341" s="109"/>
      <c r="M5341" s="49" t="s">
        <v>6961</v>
      </c>
      <c r="N5341" s="50">
        <v>43029</v>
      </c>
      <c r="O5341" s="22" t="s">
        <v>503</v>
      </c>
      <c r="P5341" s="52">
        <v>4800</v>
      </c>
      <c r="Q5341" s="70">
        <v>1989</v>
      </c>
      <c r="R5341" s="52">
        <f t="shared" si="168"/>
        <v>9547200</v>
      </c>
      <c r="S5341" s="47">
        <v>202304</v>
      </c>
      <c r="T5341" s="123" t="s">
        <v>6985</v>
      </c>
      <c r="U5341" s="48"/>
      <c r="V5341" s="48"/>
      <c r="W5341" s="48"/>
      <c r="X5341" s="50">
        <v>44958</v>
      </c>
      <c r="Y5341" s="50">
        <v>45291</v>
      </c>
    </row>
    <row r="5342" s="5" customFormat="1" customHeight="1" spans="1:25">
      <c r="A5342" s="24" t="s">
        <v>444</v>
      </c>
      <c r="B5342" s="24" t="s">
        <v>6300</v>
      </c>
      <c r="C5342" s="24" t="s">
        <v>3237</v>
      </c>
      <c r="D5342" s="22" t="s">
        <v>6301</v>
      </c>
      <c r="E5342" s="23" t="s">
        <v>6936</v>
      </c>
      <c r="F5342" s="24" t="s">
        <v>6937</v>
      </c>
      <c r="G5342" s="24" t="s">
        <v>88</v>
      </c>
      <c r="H5342" s="25" t="s">
        <v>6979</v>
      </c>
      <c r="I5342" s="46" t="str">
        <f>VLOOKUP(H5342,'合同高级查询数据-4月返'!A:A,1,FALSE)</f>
        <v>182315IDC00162</v>
      </c>
      <c r="J5342" s="47" t="s">
        <v>3488</v>
      </c>
      <c r="K5342" s="24" t="s">
        <v>6980</v>
      </c>
      <c r="L5342" s="109"/>
      <c r="M5342" s="49" t="s">
        <v>6961</v>
      </c>
      <c r="N5342" s="50">
        <v>43433</v>
      </c>
      <c r="O5342" s="22" t="s">
        <v>503</v>
      </c>
      <c r="P5342" s="52">
        <v>4800</v>
      </c>
      <c r="Q5342" s="70">
        <v>2</v>
      </c>
      <c r="R5342" s="52">
        <f t="shared" si="168"/>
        <v>9600</v>
      </c>
      <c r="S5342" s="47">
        <v>202304</v>
      </c>
      <c r="T5342" s="123"/>
      <c r="U5342" s="48"/>
      <c r="V5342" s="48"/>
      <c r="W5342" s="48"/>
      <c r="X5342" s="50">
        <v>44958</v>
      </c>
      <c r="Y5342" s="50">
        <v>45291</v>
      </c>
    </row>
    <row r="5343" s="5" customFormat="1" customHeight="1" spans="1:25">
      <c r="A5343" s="24" t="s">
        <v>444</v>
      </c>
      <c r="B5343" s="24" t="s">
        <v>6300</v>
      </c>
      <c r="C5343" s="24" t="s">
        <v>3237</v>
      </c>
      <c r="D5343" s="22" t="s">
        <v>6301</v>
      </c>
      <c r="E5343" s="23" t="s">
        <v>6936</v>
      </c>
      <c r="F5343" s="24" t="s">
        <v>6937</v>
      </c>
      <c r="G5343" s="24" t="s">
        <v>88</v>
      </c>
      <c r="H5343" s="25" t="s">
        <v>6979</v>
      </c>
      <c r="I5343" s="46" t="str">
        <f>VLOOKUP(H5343,'合同高级查询数据-4月返'!A:A,1,FALSE)</f>
        <v>182315IDC00162</v>
      </c>
      <c r="J5343" s="47" t="s">
        <v>3488</v>
      </c>
      <c r="K5343" s="24" t="s">
        <v>6980</v>
      </c>
      <c r="L5343" s="109"/>
      <c r="M5343" s="49" t="s">
        <v>6961</v>
      </c>
      <c r="N5343" s="50">
        <v>43444</v>
      </c>
      <c r="O5343" s="22" t="s">
        <v>503</v>
      </c>
      <c r="P5343" s="52">
        <v>4800</v>
      </c>
      <c r="Q5343" s="70">
        <v>2</v>
      </c>
      <c r="R5343" s="52">
        <f t="shared" si="168"/>
        <v>9600</v>
      </c>
      <c r="S5343" s="47">
        <v>202304</v>
      </c>
      <c r="T5343" s="123"/>
      <c r="U5343" s="48"/>
      <c r="V5343" s="48"/>
      <c r="W5343" s="48"/>
      <c r="X5343" s="50">
        <v>44958</v>
      </c>
      <c r="Y5343" s="50">
        <v>45291</v>
      </c>
    </row>
    <row r="5344" s="5" customFormat="1" customHeight="1" spans="1:25">
      <c r="A5344" s="24" t="s">
        <v>444</v>
      </c>
      <c r="B5344" s="24" t="s">
        <v>6300</v>
      </c>
      <c r="C5344" s="24" t="s">
        <v>3237</v>
      </c>
      <c r="D5344" s="22" t="s">
        <v>6301</v>
      </c>
      <c r="E5344" s="23" t="s">
        <v>6936</v>
      </c>
      <c r="F5344" s="24" t="s">
        <v>6937</v>
      </c>
      <c r="G5344" s="24" t="s">
        <v>88</v>
      </c>
      <c r="H5344" s="25" t="s">
        <v>6979</v>
      </c>
      <c r="I5344" s="46" t="str">
        <f>VLOOKUP(H5344,'合同高级查询数据-4月返'!A:A,1,FALSE)</f>
        <v>182315IDC00162</v>
      </c>
      <c r="J5344" s="47" t="s">
        <v>3488</v>
      </c>
      <c r="K5344" s="24" t="s">
        <v>6980</v>
      </c>
      <c r="L5344" s="109"/>
      <c r="M5344" s="49" t="s">
        <v>6961</v>
      </c>
      <c r="N5344" s="50">
        <v>43451</v>
      </c>
      <c r="O5344" s="22" t="s">
        <v>503</v>
      </c>
      <c r="P5344" s="52">
        <v>4800</v>
      </c>
      <c r="Q5344" s="70">
        <v>4</v>
      </c>
      <c r="R5344" s="52">
        <f t="shared" si="168"/>
        <v>19200</v>
      </c>
      <c r="S5344" s="47">
        <v>202304</v>
      </c>
      <c r="T5344" s="123"/>
      <c r="U5344" s="48"/>
      <c r="V5344" s="48"/>
      <c r="W5344" s="48"/>
      <c r="X5344" s="50">
        <v>44958</v>
      </c>
      <c r="Y5344" s="50">
        <v>45291</v>
      </c>
    </row>
    <row r="5345" s="5" customFormat="1" customHeight="1" spans="1:25">
      <c r="A5345" s="24" t="s">
        <v>444</v>
      </c>
      <c r="B5345" s="24" t="s">
        <v>6300</v>
      </c>
      <c r="C5345" s="24" t="s">
        <v>3237</v>
      </c>
      <c r="D5345" s="22" t="s">
        <v>6301</v>
      </c>
      <c r="E5345" s="23" t="s">
        <v>6936</v>
      </c>
      <c r="F5345" s="24" t="s">
        <v>6937</v>
      </c>
      <c r="G5345" s="24" t="s">
        <v>88</v>
      </c>
      <c r="H5345" s="25" t="s">
        <v>6979</v>
      </c>
      <c r="I5345" s="46" t="str">
        <f>VLOOKUP(H5345,'合同高级查询数据-4月返'!A:A,1,FALSE)</f>
        <v>182315IDC00162</v>
      </c>
      <c r="J5345" s="47" t="s">
        <v>3488</v>
      </c>
      <c r="K5345" s="24" t="s">
        <v>6980</v>
      </c>
      <c r="L5345" s="109"/>
      <c r="M5345" s="49" t="s">
        <v>6961</v>
      </c>
      <c r="N5345" s="50">
        <v>43460</v>
      </c>
      <c r="O5345" s="22" t="s">
        <v>503</v>
      </c>
      <c r="P5345" s="52">
        <v>4800</v>
      </c>
      <c r="Q5345" s="70">
        <v>6</v>
      </c>
      <c r="R5345" s="52">
        <f t="shared" si="168"/>
        <v>28800</v>
      </c>
      <c r="S5345" s="47">
        <v>202304</v>
      </c>
      <c r="T5345" s="123"/>
      <c r="U5345" s="48"/>
      <c r="V5345" s="48"/>
      <c r="W5345" s="48"/>
      <c r="X5345" s="50">
        <v>44958</v>
      </c>
      <c r="Y5345" s="50">
        <v>45291</v>
      </c>
    </row>
    <row r="5346" s="5" customFormat="1" customHeight="1" spans="1:25">
      <c r="A5346" s="24" t="s">
        <v>444</v>
      </c>
      <c r="B5346" s="24" t="s">
        <v>6300</v>
      </c>
      <c r="C5346" s="24" t="s">
        <v>3237</v>
      </c>
      <c r="D5346" s="22" t="s">
        <v>6301</v>
      </c>
      <c r="E5346" s="23" t="s">
        <v>6936</v>
      </c>
      <c r="F5346" s="24" t="s">
        <v>6937</v>
      </c>
      <c r="G5346" s="24" t="s">
        <v>88</v>
      </c>
      <c r="H5346" s="25" t="s">
        <v>6979</v>
      </c>
      <c r="I5346" s="46" t="str">
        <f>VLOOKUP(H5346,'合同高级查询数据-4月返'!A:A,1,FALSE)</f>
        <v>182315IDC00162</v>
      </c>
      <c r="J5346" s="47" t="s">
        <v>3488</v>
      </c>
      <c r="K5346" s="24" t="s">
        <v>6980</v>
      </c>
      <c r="L5346" s="109"/>
      <c r="M5346" s="49" t="s">
        <v>6961</v>
      </c>
      <c r="N5346" s="50">
        <v>43463</v>
      </c>
      <c r="O5346" s="22" t="s">
        <v>503</v>
      </c>
      <c r="P5346" s="52">
        <v>4800</v>
      </c>
      <c r="Q5346" s="70">
        <v>4</v>
      </c>
      <c r="R5346" s="52">
        <f t="shared" si="168"/>
        <v>19200</v>
      </c>
      <c r="S5346" s="47">
        <v>202304</v>
      </c>
      <c r="T5346" s="123"/>
      <c r="U5346" s="48"/>
      <c r="V5346" s="48"/>
      <c r="W5346" s="48"/>
      <c r="X5346" s="50">
        <v>44958</v>
      </c>
      <c r="Y5346" s="50">
        <v>45291</v>
      </c>
    </row>
    <row r="5347" s="5" customFormat="1" customHeight="1" spans="1:25">
      <c r="A5347" s="24" t="s">
        <v>444</v>
      </c>
      <c r="B5347" s="24" t="s">
        <v>6300</v>
      </c>
      <c r="C5347" s="24" t="s">
        <v>3237</v>
      </c>
      <c r="D5347" s="22" t="s">
        <v>6301</v>
      </c>
      <c r="E5347" s="23" t="s">
        <v>6936</v>
      </c>
      <c r="F5347" s="24" t="s">
        <v>6937</v>
      </c>
      <c r="G5347" s="24" t="s">
        <v>88</v>
      </c>
      <c r="H5347" s="25" t="s">
        <v>6979</v>
      </c>
      <c r="I5347" s="46" t="str">
        <f>VLOOKUP(H5347,'合同高级查询数据-4月返'!A:A,1,FALSE)</f>
        <v>182315IDC00162</v>
      </c>
      <c r="J5347" s="47" t="s">
        <v>3488</v>
      </c>
      <c r="K5347" s="24" t="s">
        <v>6980</v>
      </c>
      <c r="L5347" s="109"/>
      <c r="M5347" s="49" t="s">
        <v>6961</v>
      </c>
      <c r="N5347" s="50">
        <v>43481</v>
      </c>
      <c r="O5347" s="22" t="s">
        <v>503</v>
      </c>
      <c r="P5347" s="52">
        <v>4800</v>
      </c>
      <c r="Q5347" s="70">
        <v>5</v>
      </c>
      <c r="R5347" s="52">
        <f t="shared" si="168"/>
        <v>24000</v>
      </c>
      <c r="S5347" s="47">
        <v>202304</v>
      </c>
      <c r="T5347" s="123"/>
      <c r="U5347" s="48"/>
      <c r="V5347" s="48"/>
      <c r="W5347" s="48"/>
      <c r="X5347" s="50">
        <v>44958</v>
      </c>
      <c r="Y5347" s="50">
        <v>45291</v>
      </c>
    </row>
    <row r="5348" s="5" customFormat="1" customHeight="1" spans="1:25">
      <c r="A5348" s="24" t="s">
        <v>444</v>
      </c>
      <c r="B5348" s="24" t="s">
        <v>6300</v>
      </c>
      <c r="C5348" s="24" t="s">
        <v>3237</v>
      </c>
      <c r="D5348" s="22" t="s">
        <v>6301</v>
      </c>
      <c r="E5348" s="23" t="s">
        <v>6936</v>
      </c>
      <c r="F5348" s="24" t="s">
        <v>6937</v>
      </c>
      <c r="G5348" s="24" t="s">
        <v>88</v>
      </c>
      <c r="H5348" s="25" t="s">
        <v>6979</v>
      </c>
      <c r="I5348" s="46" t="str">
        <f>VLOOKUP(H5348,'合同高级查询数据-4月返'!A:A,1,FALSE)</f>
        <v>182315IDC00162</v>
      </c>
      <c r="J5348" s="47" t="s">
        <v>3488</v>
      </c>
      <c r="K5348" s="24" t="s">
        <v>6980</v>
      </c>
      <c r="L5348" s="109"/>
      <c r="M5348" s="49" t="s">
        <v>6961</v>
      </c>
      <c r="N5348" s="50">
        <v>43482</v>
      </c>
      <c r="O5348" s="22" t="s">
        <v>503</v>
      </c>
      <c r="P5348" s="52">
        <v>4800</v>
      </c>
      <c r="Q5348" s="70">
        <v>1</v>
      </c>
      <c r="R5348" s="52">
        <f t="shared" si="168"/>
        <v>4800</v>
      </c>
      <c r="S5348" s="47">
        <v>202304</v>
      </c>
      <c r="T5348" s="123"/>
      <c r="U5348" s="48"/>
      <c r="V5348" s="48"/>
      <c r="W5348" s="48"/>
      <c r="X5348" s="50">
        <v>44958</v>
      </c>
      <c r="Y5348" s="50">
        <v>45291</v>
      </c>
    </row>
    <row r="5349" s="5" customFormat="1" customHeight="1" spans="1:25">
      <c r="A5349" s="24" t="s">
        <v>444</v>
      </c>
      <c r="B5349" s="24" t="s">
        <v>6300</v>
      </c>
      <c r="C5349" s="24" t="s">
        <v>3237</v>
      </c>
      <c r="D5349" s="22" t="s">
        <v>6301</v>
      </c>
      <c r="E5349" s="23" t="s">
        <v>6936</v>
      </c>
      <c r="F5349" s="24" t="s">
        <v>6937</v>
      </c>
      <c r="G5349" s="24" t="s">
        <v>88</v>
      </c>
      <c r="H5349" s="25" t="s">
        <v>6979</v>
      </c>
      <c r="I5349" s="46" t="str">
        <f>VLOOKUP(H5349,'合同高级查询数据-4月返'!A:A,1,FALSE)</f>
        <v>182315IDC00162</v>
      </c>
      <c r="J5349" s="47" t="s">
        <v>3488</v>
      </c>
      <c r="K5349" s="24" t="s">
        <v>6980</v>
      </c>
      <c r="L5349" s="109"/>
      <c r="M5349" s="49" t="s">
        <v>6961</v>
      </c>
      <c r="N5349" s="50">
        <v>43489</v>
      </c>
      <c r="O5349" s="22" t="s">
        <v>503</v>
      </c>
      <c r="P5349" s="52">
        <v>4800</v>
      </c>
      <c r="Q5349" s="70">
        <v>2</v>
      </c>
      <c r="R5349" s="52">
        <f t="shared" si="168"/>
        <v>9600</v>
      </c>
      <c r="S5349" s="47">
        <v>202304</v>
      </c>
      <c r="T5349" s="123"/>
      <c r="U5349" s="48"/>
      <c r="V5349" s="48"/>
      <c r="W5349" s="48"/>
      <c r="X5349" s="50">
        <v>44958</v>
      </c>
      <c r="Y5349" s="50">
        <v>45291</v>
      </c>
    </row>
    <row r="5350" s="5" customFormat="1" customHeight="1" spans="1:25">
      <c r="A5350" s="24" t="s">
        <v>444</v>
      </c>
      <c r="B5350" s="24" t="s">
        <v>6300</v>
      </c>
      <c r="C5350" s="24" t="s">
        <v>3237</v>
      </c>
      <c r="D5350" s="22" t="s">
        <v>6301</v>
      </c>
      <c r="E5350" s="23" t="s">
        <v>6936</v>
      </c>
      <c r="F5350" s="24" t="s">
        <v>6937</v>
      </c>
      <c r="G5350" s="24" t="s">
        <v>88</v>
      </c>
      <c r="H5350" s="25" t="s">
        <v>6979</v>
      </c>
      <c r="I5350" s="46" t="str">
        <f>VLOOKUP(H5350,'合同高级查询数据-4月返'!A:A,1,FALSE)</f>
        <v>182315IDC00162</v>
      </c>
      <c r="J5350" s="47" t="s">
        <v>3488</v>
      </c>
      <c r="K5350" s="24" t="s">
        <v>6980</v>
      </c>
      <c r="L5350" s="109"/>
      <c r="M5350" s="49" t="s">
        <v>6961</v>
      </c>
      <c r="N5350" s="50">
        <v>43494</v>
      </c>
      <c r="O5350" s="22" t="s">
        <v>503</v>
      </c>
      <c r="P5350" s="52">
        <v>4800</v>
      </c>
      <c r="Q5350" s="70">
        <v>4</v>
      </c>
      <c r="R5350" s="52">
        <f t="shared" si="168"/>
        <v>19200</v>
      </c>
      <c r="S5350" s="47">
        <v>202304</v>
      </c>
      <c r="T5350" s="123"/>
      <c r="U5350" s="48"/>
      <c r="V5350" s="48"/>
      <c r="W5350" s="48"/>
      <c r="X5350" s="50">
        <v>44958</v>
      </c>
      <c r="Y5350" s="50">
        <v>45291</v>
      </c>
    </row>
    <row r="5351" s="5" customFormat="1" customHeight="1" spans="1:25">
      <c r="A5351" s="24" t="s">
        <v>444</v>
      </c>
      <c r="B5351" s="24" t="s">
        <v>6300</v>
      </c>
      <c r="C5351" s="24" t="s">
        <v>3237</v>
      </c>
      <c r="D5351" s="22" t="s">
        <v>6301</v>
      </c>
      <c r="E5351" s="23" t="s">
        <v>6936</v>
      </c>
      <c r="F5351" s="24" t="s">
        <v>6937</v>
      </c>
      <c r="G5351" s="24" t="s">
        <v>88</v>
      </c>
      <c r="H5351" s="25" t="s">
        <v>6979</v>
      </c>
      <c r="I5351" s="46" t="str">
        <f>VLOOKUP(H5351,'合同高级查询数据-4月返'!A:A,1,FALSE)</f>
        <v>182315IDC00162</v>
      </c>
      <c r="J5351" s="47" t="s">
        <v>3488</v>
      </c>
      <c r="K5351" s="24" t="s">
        <v>6980</v>
      </c>
      <c r="L5351" s="109"/>
      <c r="M5351" s="49" t="s">
        <v>6961</v>
      </c>
      <c r="N5351" s="50">
        <v>43511</v>
      </c>
      <c r="O5351" s="22" t="s">
        <v>503</v>
      </c>
      <c r="P5351" s="52">
        <v>4800</v>
      </c>
      <c r="Q5351" s="70">
        <v>8</v>
      </c>
      <c r="R5351" s="52">
        <f t="shared" si="168"/>
        <v>38400</v>
      </c>
      <c r="S5351" s="47">
        <v>202304</v>
      </c>
      <c r="T5351" s="123"/>
      <c r="U5351" s="48"/>
      <c r="V5351" s="48"/>
      <c r="W5351" s="48"/>
      <c r="X5351" s="50">
        <v>44958</v>
      </c>
      <c r="Y5351" s="50">
        <v>45291</v>
      </c>
    </row>
    <row r="5352" s="5" customFormat="1" customHeight="1" spans="1:25">
      <c r="A5352" s="24" t="s">
        <v>444</v>
      </c>
      <c r="B5352" s="24" t="s">
        <v>6300</v>
      </c>
      <c r="C5352" s="24" t="s">
        <v>3237</v>
      </c>
      <c r="D5352" s="22" t="s">
        <v>6301</v>
      </c>
      <c r="E5352" s="23" t="s">
        <v>6936</v>
      </c>
      <c r="F5352" s="24" t="s">
        <v>6937</v>
      </c>
      <c r="G5352" s="24" t="s">
        <v>88</v>
      </c>
      <c r="H5352" s="25" t="s">
        <v>6979</v>
      </c>
      <c r="I5352" s="46" t="str">
        <f>VLOOKUP(H5352,'合同高级查询数据-4月返'!A:A,1,FALSE)</f>
        <v>182315IDC00162</v>
      </c>
      <c r="J5352" s="47" t="s">
        <v>3488</v>
      </c>
      <c r="K5352" s="24" t="s">
        <v>6980</v>
      </c>
      <c r="L5352" s="109"/>
      <c r="M5352" s="49" t="s">
        <v>6961</v>
      </c>
      <c r="N5352" s="50">
        <v>43514</v>
      </c>
      <c r="O5352" s="22" t="s">
        <v>503</v>
      </c>
      <c r="P5352" s="52">
        <v>4800</v>
      </c>
      <c r="Q5352" s="70">
        <v>1</v>
      </c>
      <c r="R5352" s="52">
        <f t="shared" si="168"/>
        <v>4800</v>
      </c>
      <c r="S5352" s="47">
        <v>202304</v>
      </c>
      <c r="T5352" s="123"/>
      <c r="U5352" s="48"/>
      <c r="V5352" s="48"/>
      <c r="W5352" s="48"/>
      <c r="X5352" s="50">
        <v>44958</v>
      </c>
      <c r="Y5352" s="50">
        <v>45291</v>
      </c>
    </row>
    <row r="5353" s="5" customFormat="1" customHeight="1" spans="1:25">
      <c r="A5353" s="24" t="s">
        <v>444</v>
      </c>
      <c r="B5353" s="24" t="s">
        <v>6300</v>
      </c>
      <c r="C5353" s="24" t="s">
        <v>3237</v>
      </c>
      <c r="D5353" s="22" t="s">
        <v>6301</v>
      </c>
      <c r="E5353" s="23" t="s">
        <v>6936</v>
      </c>
      <c r="F5353" s="24" t="s">
        <v>6937</v>
      </c>
      <c r="G5353" s="24" t="s">
        <v>88</v>
      </c>
      <c r="H5353" s="25" t="s">
        <v>6979</v>
      </c>
      <c r="I5353" s="46" t="str">
        <f>VLOOKUP(H5353,'合同高级查询数据-4月返'!A:A,1,FALSE)</f>
        <v>182315IDC00162</v>
      </c>
      <c r="J5353" s="47" t="s">
        <v>3488</v>
      </c>
      <c r="K5353" s="24" t="s">
        <v>6980</v>
      </c>
      <c r="L5353" s="109"/>
      <c r="M5353" s="49" t="s">
        <v>6961</v>
      </c>
      <c r="N5353" s="50">
        <v>43516</v>
      </c>
      <c r="O5353" s="22" t="s">
        <v>503</v>
      </c>
      <c r="P5353" s="52">
        <v>4800</v>
      </c>
      <c r="Q5353" s="70">
        <v>2</v>
      </c>
      <c r="R5353" s="52">
        <f t="shared" si="168"/>
        <v>9600</v>
      </c>
      <c r="S5353" s="47">
        <v>202304</v>
      </c>
      <c r="T5353" s="123"/>
      <c r="U5353" s="48"/>
      <c r="V5353" s="48"/>
      <c r="W5353" s="48"/>
      <c r="X5353" s="50">
        <v>44958</v>
      </c>
      <c r="Y5353" s="50">
        <v>45291</v>
      </c>
    </row>
    <row r="5354" s="5" customFormat="1" customHeight="1" spans="1:25">
      <c r="A5354" s="24" t="s">
        <v>444</v>
      </c>
      <c r="B5354" s="24" t="s">
        <v>6300</v>
      </c>
      <c r="C5354" s="24" t="s">
        <v>3237</v>
      </c>
      <c r="D5354" s="22" t="s">
        <v>6301</v>
      </c>
      <c r="E5354" s="23" t="s">
        <v>6936</v>
      </c>
      <c r="F5354" s="24" t="s">
        <v>6937</v>
      </c>
      <c r="G5354" s="24" t="s">
        <v>88</v>
      </c>
      <c r="H5354" s="25" t="s">
        <v>6979</v>
      </c>
      <c r="I5354" s="46" t="str">
        <f>VLOOKUP(H5354,'合同高级查询数据-4月返'!A:A,1,FALSE)</f>
        <v>182315IDC00162</v>
      </c>
      <c r="J5354" s="47" t="s">
        <v>3488</v>
      </c>
      <c r="K5354" s="24" t="s">
        <v>6980</v>
      </c>
      <c r="L5354" s="109"/>
      <c r="M5354" s="49" t="s">
        <v>6961</v>
      </c>
      <c r="N5354" s="50">
        <v>43528</v>
      </c>
      <c r="O5354" s="22" t="s">
        <v>503</v>
      </c>
      <c r="P5354" s="52">
        <v>4800</v>
      </c>
      <c r="Q5354" s="70">
        <v>1</v>
      </c>
      <c r="R5354" s="52">
        <f t="shared" si="168"/>
        <v>4800</v>
      </c>
      <c r="S5354" s="47">
        <v>202304</v>
      </c>
      <c r="T5354" s="123"/>
      <c r="U5354" s="48"/>
      <c r="V5354" s="48"/>
      <c r="W5354" s="48"/>
      <c r="X5354" s="50">
        <v>44958</v>
      </c>
      <c r="Y5354" s="50">
        <v>45291</v>
      </c>
    </row>
    <row r="5355" s="5" customFormat="1" customHeight="1" spans="1:25">
      <c r="A5355" s="24" t="s">
        <v>444</v>
      </c>
      <c r="B5355" s="24" t="s">
        <v>6300</v>
      </c>
      <c r="C5355" s="24" t="s">
        <v>3237</v>
      </c>
      <c r="D5355" s="22" t="s">
        <v>6301</v>
      </c>
      <c r="E5355" s="23" t="s">
        <v>6936</v>
      </c>
      <c r="F5355" s="24" t="s">
        <v>6937</v>
      </c>
      <c r="G5355" s="24" t="s">
        <v>88</v>
      </c>
      <c r="H5355" s="25" t="s">
        <v>6979</v>
      </c>
      <c r="I5355" s="46" t="str">
        <f>VLOOKUP(H5355,'合同高级查询数据-4月返'!A:A,1,FALSE)</f>
        <v>182315IDC00162</v>
      </c>
      <c r="J5355" s="47" t="s">
        <v>3488</v>
      </c>
      <c r="K5355" s="24" t="s">
        <v>6980</v>
      </c>
      <c r="L5355" s="109"/>
      <c r="M5355" s="49" t="s">
        <v>6961</v>
      </c>
      <c r="N5355" s="50">
        <v>43539</v>
      </c>
      <c r="O5355" s="22" t="s">
        <v>503</v>
      </c>
      <c r="P5355" s="52">
        <v>4800</v>
      </c>
      <c r="Q5355" s="70">
        <v>8</v>
      </c>
      <c r="R5355" s="52">
        <f t="shared" si="168"/>
        <v>38400</v>
      </c>
      <c r="S5355" s="47">
        <v>202304</v>
      </c>
      <c r="T5355" s="123"/>
      <c r="U5355" s="48"/>
      <c r="V5355" s="48"/>
      <c r="W5355" s="48"/>
      <c r="X5355" s="50">
        <v>44958</v>
      </c>
      <c r="Y5355" s="50">
        <v>45291</v>
      </c>
    </row>
    <row r="5356" s="5" customFormat="1" customHeight="1" spans="1:25">
      <c r="A5356" s="24" t="s">
        <v>444</v>
      </c>
      <c r="B5356" s="24" t="s">
        <v>6300</v>
      </c>
      <c r="C5356" s="24" t="s">
        <v>3237</v>
      </c>
      <c r="D5356" s="22" t="s">
        <v>6301</v>
      </c>
      <c r="E5356" s="23" t="s">
        <v>6936</v>
      </c>
      <c r="F5356" s="24" t="s">
        <v>6937</v>
      </c>
      <c r="G5356" s="24" t="s">
        <v>88</v>
      </c>
      <c r="H5356" s="25" t="s">
        <v>6979</v>
      </c>
      <c r="I5356" s="46" t="str">
        <f>VLOOKUP(H5356,'合同高级查询数据-4月返'!A:A,1,FALSE)</f>
        <v>182315IDC00162</v>
      </c>
      <c r="J5356" s="47" t="s">
        <v>3488</v>
      </c>
      <c r="K5356" s="24" t="s">
        <v>6980</v>
      </c>
      <c r="L5356" s="109"/>
      <c r="M5356" s="49" t="s">
        <v>6961</v>
      </c>
      <c r="N5356" s="50">
        <v>43543</v>
      </c>
      <c r="O5356" s="22" t="s">
        <v>503</v>
      </c>
      <c r="P5356" s="52">
        <v>4800</v>
      </c>
      <c r="Q5356" s="70">
        <v>2</v>
      </c>
      <c r="R5356" s="52">
        <f t="shared" si="168"/>
        <v>9600</v>
      </c>
      <c r="S5356" s="47">
        <v>202304</v>
      </c>
      <c r="T5356" s="123"/>
      <c r="U5356" s="48"/>
      <c r="V5356" s="48"/>
      <c r="W5356" s="48"/>
      <c r="X5356" s="50">
        <v>44958</v>
      </c>
      <c r="Y5356" s="50">
        <v>45291</v>
      </c>
    </row>
    <row r="5357" s="5" customFormat="1" customHeight="1" spans="1:25">
      <c r="A5357" s="24" t="s">
        <v>444</v>
      </c>
      <c r="B5357" s="24" t="s">
        <v>6300</v>
      </c>
      <c r="C5357" s="24" t="s">
        <v>3237</v>
      </c>
      <c r="D5357" s="22" t="s">
        <v>6301</v>
      </c>
      <c r="E5357" s="23" t="s">
        <v>6936</v>
      </c>
      <c r="F5357" s="24" t="s">
        <v>6937</v>
      </c>
      <c r="G5357" s="24" t="s">
        <v>88</v>
      </c>
      <c r="H5357" s="25" t="s">
        <v>6979</v>
      </c>
      <c r="I5357" s="46" t="str">
        <f>VLOOKUP(H5357,'合同高级查询数据-4月返'!A:A,1,FALSE)</f>
        <v>182315IDC00162</v>
      </c>
      <c r="J5357" s="47" t="s">
        <v>3488</v>
      </c>
      <c r="K5357" s="24" t="s">
        <v>6980</v>
      </c>
      <c r="L5357" s="109"/>
      <c r="M5357" s="49" t="s">
        <v>6961</v>
      </c>
      <c r="N5357" s="50">
        <v>43550</v>
      </c>
      <c r="O5357" s="22" t="s">
        <v>503</v>
      </c>
      <c r="P5357" s="52">
        <v>4800</v>
      </c>
      <c r="Q5357" s="70">
        <v>1</v>
      </c>
      <c r="R5357" s="52">
        <f t="shared" si="168"/>
        <v>4800</v>
      </c>
      <c r="S5357" s="47">
        <v>202304</v>
      </c>
      <c r="T5357" s="123"/>
      <c r="U5357" s="48"/>
      <c r="V5357" s="48"/>
      <c r="W5357" s="48"/>
      <c r="X5357" s="50">
        <v>44958</v>
      </c>
      <c r="Y5357" s="50">
        <v>45291</v>
      </c>
    </row>
    <row r="5358" s="5" customFormat="1" customHeight="1" spans="1:25">
      <c r="A5358" s="24" t="s">
        <v>444</v>
      </c>
      <c r="B5358" s="24" t="s">
        <v>6300</v>
      </c>
      <c r="C5358" s="24" t="s">
        <v>3237</v>
      </c>
      <c r="D5358" s="22" t="s">
        <v>6301</v>
      </c>
      <c r="E5358" s="23" t="s">
        <v>6936</v>
      </c>
      <c r="F5358" s="24" t="s">
        <v>6937</v>
      </c>
      <c r="G5358" s="24" t="s">
        <v>88</v>
      </c>
      <c r="H5358" s="25" t="s">
        <v>6979</v>
      </c>
      <c r="I5358" s="46" t="str">
        <f>VLOOKUP(H5358,'合同高级查询数据-4月返'!A:A,1,FALSE)</f>
        <v>182315IDC00162</v>
      </c>
      <c r="J5358" s="47" t="s">
        <v>3488</v>
      </c>
      <c r="K5358" s="24" t="s">
        <v>6980</v>
      </c>
      <c r="L5358" s="109"/>
      <c r="M5358" s="49" t="s">
        <v>6961</v>
      </c>
      <c r="N5358" s="50">
        <v>43606</v>
      </c>
      <c r="O5358" s="22" t="s">
        <v>503</v>
      </c>
      <c r="P5358" s="52">
        <v>4800</v>
      </c>
      <c r="Q5358" s="70">
        <v>2</v>
      </c>
      <c r="R5358" s="52">
        <f t="shared" si="168"/>
        <v>9600</v>
      </c>
      <c r="S5358" s="47">
        <v>202304</v>
      </c>
      <c r="T5358" s="123" t="s">
        <v>6986</v>
      </c>
      <c r="U5358" s="48"/>
      <c r="V5358" s="48"/>
      <c r="W5358" s="48"/>
      <c r="X5358" s="50">
        <v>44958</v>
      </c>
      <c r="Y5358" s="50">
        <v>45291</v>
      </c>
    </row>
    <row r="5359" s="5" customFormat="1" customHeight="1" spans="1:25">
      <c r="A5359" s="24" t="s">
        <v>444</v>
      </c>
      <c r="B5359" s="24" t="s">
        <v>6300</v>
      </c>
      <c r="C5359" s="24" t="s">
        <v>3237</v>
      </c>
      <c r="D5359" s="22" t="s">
        <v>6301</v>
      </c>
      <c r="E5359" s="23" t="s">
        <v>6936</v>
      </c>
      <c r="F5359" s="24" t="s">
        <v>6937</v>
      </c>
      <c r="G5359" s="24" t="s">
        <v>88</v>
      </c>
      <c r="H5359" s="25" t="s">
        <v>6979</v>
      </c>
      <c r="I5359" s="46" t="str">
        <f>VLOOKUP(H5359,'合同高级查询数据-4月返'!A:A,1,FALSE)</f>
        <v>182315IDC00162</v>
      </c>
      <c r="J5359" s="47" t="s">
        <v>3488</v>
      </c>
      <c r="K5359" s="24" t="s">
        <v>6980</v>
      </c>
      <c r="L5359" s="109"/>
      <c r="M5359" s="49" t="s">
        <v>6961</v>
      </c>
      <c r="N5359" s="50">
        <v>43630</v>
      </c>
      <c r="O5359" s="22" t="s">
        <v>503</v>
      </c>
      <c r="P5359" s="52">
        <v>4800</v>
      </c>
      <c r="Q5359" s="70">
        <v>2</v>
      </c>
      <c r="R5359" s="52">
        <f t="shared" si="168"/>
        <v>9600</v>
      </c>
      <c r="S5359" s="47">
        <v>202304</v>
      </c>
      <c r="T5359" s="123" t="s">
        <v>6987</v>
      </c>
      <c r="U5359" s="48"/>
      <c r="V5359" s="48"/>
      <c r="W5359" s="48"/>
      <c r="X5359" s="50">
        <v>44958</v>
      </c>
      <c r="Y5359" s="50">
        <v>45291</v>
      </c>
    </row>
    <row r="5360" s="5" customFormat="1" customHeight="1" spans="1:25">
      <c r="A5360" s="24" t="s">
        <v>444</v>
      </c>
      <c r="B5360" s="24" t="s">
        <v>6300</v>
      </c>
      <c r="C5360" s="24" t="s">
        <v>3237</v>
      </c>
      <c r="D5360" s="22" t="s">
        <v>6301</v>
      </c>
      <c r="E5360" s="23" t="s">
        <v>6936</v>
      </c>
      <c r="F5360" s="24" t="s">
        <v>6937</v>
      </c>
      <c r="G5360" s="24" t="s">
        <v>88</v>
      </c>
      <c r="H5360" s="25" t="s">
        <v>6979</v>
      </c>
      <c r="I5360" s="46" t="str">
        <f>VLOOKUP(H5360,'合同高级查询数据-4月返'!A:A,1,FALSE)</f>
        <v>182315IDC00162</v>
      </c>
      <c r="J5360" s="47" t="s">
        <v>3488</v>
      </c>
      <c r="K5360" s="24" t="s">
        <v>6980</v>
      </c>
      <c r="L5360" s="109"/>
      <c r="M5360" s="49" t="s">
        <v>6961</v>
      </c>
      <c r="N5360" s="50">
        <v>43657</v>
      </c>
      <c r="O5360" s="22" t="s">
        <v>6981</v>
      </c>
      <c r="P5360" s="52">
        <v>8728</v>
      </c>
      <c r="Q5360" s="70">
        <v>2</v>
      </c>
      <c r="R5360" s="52">
        <f t="shared" si="168"/>
        <v>17456</v>
      </c>
      <c r="S5360" s="47">
        <v>202304</v>
      </c>
      <c r="T5360" s="123" t="s">
        <v>6988</v>
      </c>
      <c r="U5360" s="48"/>
      <c r="V5360" s="48"/>
      <c r="W5360" s="48"/>
      <c r="X5360" s="50">
        <v>44958</v>
      </c>
      <c r="Y5360" s="50">
        <v>45291</v>
      </c>
    </row>
    <row r="5361" s="5" customFormat="1" customHeight="1" spans="1:25">
      <c r="A5361" s="24" t="s">
        <v>444</v>
      </c>
      <c r="B5361" s="24" t="s">
        <v>6300</v>
      </c>
      <c r="C5361" s="24" t="s">
        <v>3237</v>
      </c>
      <c r="D5361" s="22" t="s">
        <v>6301</v>
      </c>
      <c r="E5361" s="23" t="s">
        <v>6936</v>
      </c>
      <c r="F5361" s="24" t="s">
        <v>6937</v>
      </c>
      <c r="G5361" s="24" t="s">
        <v>88</v>
      </c>
      <c r="H5361" s="25" t="s">
        <v>6979</v>
      </c>
      <c r="I5361" s="46" t="str">
        <f>VLOOKUP(H5361,'合同高级查询数据-4月返'!A:A,1,FALSE)</f>
        <v>182315IDC00162</v>
      </c>
      <c r="J5361" s="47" t="s">
        <v>3488</v>
      </c>
      <c r="K5361" s="24" t="s">
        <v>6980</v>
      </c>
      <c r="L5361" s="109"/>
      <c r="M5361" s="49" t="s">
        <v>6961</v>
      </c>
      <c r="N5361" s="50">
        <v>43664</v>
      </c>
      <c r="O5361" s="22" t="s">
        <v>503</v>
      </c>
      <c r="P5361" s="52">
        <v>4800</v>
      </c>
      <c r="Q5361" s="70">
        <v>1</v>
      </c>
      <c r="R5361" s="52">
        <f t="shared" si="168"/>
        <v>4800</v>
      </c>
      <c r="S5361" s="47">
        <v>202304</v>
      </c>
      <c r="T5361" s="123" t="s">
        <v>6989</v>
      </c>
      <c r="U5361" s="48"/>
      <c r="V5361" s="48"/>
      <c r="W5361" s="48"/>
      <c r="X5361" s="50">
        <v>44958</v>
      </c>
      <c r="Y5361" s="50">
        <v>45291</v>
      </c>
    </row>
    <row r="5362" s="5" customFormat="1" customHeight="1" spans="1:25">
      <c r="A5362" s="24" t="s">
        <v>444</v>
      </c>
      <c r="B5362" s="24" t="s">
        <v>6300</v>
      </c>
      <c r="C5362" s="24" t="s">
        <v>3237</v>
      </c>
      <c r="D5362" s="22" t="s">
        <v>6301</v>
      </c>
      <c r="E5362" s="23" t="s">
        <v>6936</v>
      </c>
      <c r="F5362" s="24" t="s">
        <v>6937</v>
      </c>
      <c r="G5362" s="24" t="s">
        <v>88</v>
      </c>
      <c r="H5362" s="25" t="s">
        <v>6979</v>
      </c>
      <c r="I5362" s="46" t="str">
        <f>VLOOKUP(H5362,'合同高级查询数据-4月返'!A:A,1,FALSE)</f>
        <v>182315IDC00162</v>
      </c>
      <c r="J5362" s="47" t="s">
        <v>3488</v>
      </c>
      <c r="K5362" s="24" t="s">
        <v>6980</v>
      </c>
      <c r="L5362" s="109"/>
      <c r="M5362" s="49" t="s">
        <v>6961</v>
      </c>
      <c r="N5362" s="50">
        <v>43650</v>
      </c>
      <c r="O5362" s="22" t="s">
        <v>503</v>
      </c>
      <c r="P5362" s="52">
        <v>4800</v>
      </c>
      <c r="Q5362" s="70">
        <v>9</v>
      </c>
      <c r="R5362" s="52">
        <f t="shared" si="168"/>
        <v>43200</v>
      </c>
      <c r="S5362" s="47">
        <v>202304</v>
      </c>
      <c r="T5362" s="123" t="s">
        <v>6990</v>
      </c>
      <c r="U5362" s="48"/>
      <c r="V5362" s="48"/>
      <c r="W5362" s="48"/>
      <c r="X5362" s="50">
        <v>44958</v>
      </c>
      <c r="Y5362" s="50">
        <v>45291</v>
      </c>
    </row>
    <row r="5363" s="5" customFormat="1" customHeight="1" spans="1:25">
      <c r="A5363" s="24" t="s">
        <v>444</v>
      </c>
      <c r="B5363" s="24" t="s">
        <v>6300</v>
      </c>
      <c r="C5363" s="24" t="s">
        <v>3237</v>
      </c>
      <c r="D5363" s="22" t="s">
        <v>6301</v>
      </c>
      <c r="E5363" s="23" t="s">
        <v>6936</v>
      </c>
      <c r="F5363" s="24" t="s">
        <v>6937</v>
      </c>
      <c r="G5363" s="24" t="s">
        <v>88</v>
      </c>
      <c r="H5363" s="25" t="s">
        <v>6979</v>
      </c>
      <c r="I5363" s="46" t="str">
        <f>VLOOKUP(H5363,'合同高级查询数据-4月返'!A:A,1,FALSE)</f>
        <v>182315IDC00162</v>
      </c>
      <c r="J5363" s="47" t="s">
        <v>3488</v>
      </c>
      <c r="K5363" s="24" t="s">
        <v>6980</v>
      </c>
      <c r="L5363" s="109"/>
      <c r="M5363" s="49" t="s">
        <v>6961</v>
      </c>
      <c r="N5363" s="50">
        <v>43658</v>
      </c>
      <c r="O5363" s="22" t="s">
        <v>503</v>
      </c>
      <c r="P5363" s="52">
        <v>4800</v>
      </c>
      <c r="Q5363" s="70">
        <v>1</v>
      </c>
      <c r="R5363" s="52">
        <f t="shared" si="168"/>
        <v>4800</v>
      </c>
      <c r="S5363" s="47">
        <v>202304</v>
      </c>
      <c r="T5363" s="123" t="s">
        <v>6991</v>
      </c>
      <c r="U5363" s="48"/>
      <c r="V5363" s="48"/>
      <c r="W5363" s="48"/>
      <c r="X5363" s="50">
        <v>44958</v>
      </c>
      <c r="Y5363" s="50">
        <v>45291</v>
      </c>
    </row>
    <row r="5364" s="5" customFormat="1" customHeight="1" spans="1:25">
      <c r="A5364" s="24" t="s">
        <v>444</v>
      </c>
      <c r="B5364" s="24" t="s">
        <v>6300</v>
      </c>
      <c r="C5364" s="24" t="s">
        <v>3237</v>
      </c>
      <c r="D5364" s="22" t="s">
        <v>6301</v>
      </c>
      <c r="E5364" s="23" t="s">
        <v>6936</v>
      </c>
      <c r="F5364" s="24" t="s">
        <v>6937</v>
      </c>
      <c r="G5364" s="24" t="s">
        <v>88</v>
      </c>
      <c r="H5364" s="25" t="s">
        <v>6979</v>
      </c>
      <c r="I5364" s="46" t="str">
        <f>VLOOKUP(H5364,'合同高级查询数据-4月返'!A:A,1,FALSE)</f>
        <v>182315IDC00162</v>
      </c>
      <c r="J5364" s="47" t="s">
        <v>3488</v>
      </c>
      <c r="K5364" s="24" t="s">
        <v>6980</v>
      </c>
      <c r="L5364" s="109"/>
      <c r="M5364" s="49" t="s">
        <v>6961</v>
      </c>
      <c r="N5364" s="50">
        <v>43685</v>
      </c>
      <c r="O5364" s="22" t="s">
        <v>503</v>
      </c>
      <c r="P5364" s="52">
        <v>4800</v>
      </c>
      <c r="Q5364" s="70">
        <v>2</v>
      </c>
      <c r="R5364" s="52">
        <f t="shared" si="168"/>
        <v>9600</v>
      </c>
      <c r="S5364" s="47">
        <v>202304</v>
      </c>
      <c r="T5364" s="123" t="s">
        <v>6992</v>
      </c>
      <c r="U5364" s="48"/>
      <c r="V5364" s="48"/>
      <c r="W5364" s="48"/>
      <c r="X5364" s="50">
        <v>44958</v>
      </c>
      <c r="Y5364" s="50">
        <v>45291</v>
      </c>
    </row>
    <row r="5365" s="5" customFormat="1" customHeight="1" spans="1:25">
      <c r="A5365" s="24" t="s">
        <v>444</v>
      </c>
      <c r="B5365" s="24" t="s">
        <v>6300</v>
      </c>
      <c r="C5365" s="24" t="s">
        <v>3237</v>
      </c>
      <c r="D5365" s="22" t="s">
        <v>6301</v>
      </c>
      <c r="E5365" s="23" t="s">
        <v>6936</v>
      </c>
      <c r="F5365" s="24" t="s">
        <v>6937</v>
      </c>
      <c r="G5365" s="24" t="s">
        <v>88</v>
      </c>
      <c r="H5365" s="25" t="s">
        <v>6979</v>
      </c>
      <c r="I5365" s="46" t="str">
        <f>VLOOKUP(H5365,'合同高级查询数据-4月返'!A:A,1,FALSE)</f>
        <v>182315IDC00162</v>
      </c>
      <c r="J5365" s="47" t="s">
        <v>3488</v>
      </c>
      <c r="K5365" s="24" t="s">
        <v>6980</v>
      </c>
      <c r="L5365" s="109"/>
      <c r="M5365" s="49" t="s">
        <v>6961</v>
      </c>
      <c r="N5365" s="50">
        <v>43710</v>
      </c>
      <c r="O5365" s="22" t="s">
        <v>503</v>
      </c>
      <c r="P5365" s="52">
        <v>4800</v>
      </c>
      <c r="Q5365" s="70">
        <v>2</v>
      </c>
      <c r="R5365" s="52">
        <f t="shared" si="168"/>
        <v>9600</v>
      </c>
      <c r="S5365" s="47">
        <v>202304</v>
      </c>
      <c r="T5365" s="123" t="s">
        <v>6993</v>
      </c>
      <c r="U5365" s="48"/>
      <c r="V5365" s="48"/>
      <c r="W5365" s="48"/>
      <c r="X5365" s="50">
        <v>44958</v>
      </c>
      <c r="Y5365" s="50">
        <v>45291</v>
      </c>
    </row>
    <row r="5366" s="5" customFormat="1" customHeight="1" spans="1:25">
      <c r="A5366" s="24" t="s">
        <v>444</v>
      </c>
      <c r="B5366" s="24" t="s">
        <v>6300</v>
      </c>
      <c r="C5366" s="24" t="s">
        <v>3237</v>
      </c>
      <c r="D5366" s="22" t="s">
        <v>6301</v>
      </c>
      <c r="E5366" s="23" t="s">
        <v>6936</v>
      </c>
      <c r="F5366" s="24" t="s">
        <v>6937</v>
      </c>
      <c r="G5366" s="24" t="s">
        <v>88</v>
      </c>
      <c r="H5366" s="25" t="s">
        <v>6979</v>
      </c>
      <c r="I5366" s="46" t="str">
        <f>VLOOKUP(H5366,'合同高级查询数据-4月返'!A:A,1,FALSE)</f>
        <v>182315IDC00162</v>
      </c>
      <c r="J5366" s="47" t="s">
        <v>3488</v>
      </c>
      <c r="K5366" s="24" t="s">
        <v>6980</v>
      </c>
      <c r="L5366" s="109"/>
      <c r="M5366" s="49" t="s">
        <v>6961</v>
      </c>
      <c r="N5366" s="50">
        <v>43719</v>
      </c>
      <c r="O5366" s="22" t="s">
        <v>503</v>
      </c>
      <c r="P5366" s="52">
        <v>4800</v>
      </c>
      <c r="Q5366" s="70">
        <v>4</v>
      </c>
      <c r="R5366" s="52">
        <f t="shared" si="168"/>
        <v>19200</v>
      </c>
      <c r="S5366" s="47">
        <v>202304</v>
      </c>
      <c r="T5366" s="123" t="s">
        <v>6994</v>
      </c>
      <c r="U5366" s="48"/>
      <c r="V5366" s="48"/>
      <c r="W5366" s="48"/>
      <c r="X5366" s="50">
        <v>44958</v>
      </c>
      <c r="Y5366" s="50">
        <v>45291</v>
      </c>
    </row>
    <row r="5367" s="5" customFormat="1" customHeight="1" spans="1:25">
      <c r="A5367" s="24" t="s">
        <v>444</v>
      </c>
      <c r="B5367" s="24" t="s">
        <v>6300</v>
      </c>
      <c r="C5367" s="24" t="s">
        <v>3237</v>
      </c>
      <c r="D5367" s="22" t="s">
        <v>6301</v>
      </c>
      <c r="E5367" s="23" t="s">
        <v>6936</v>
      </c>
      <c r="F5367" s="24" t="s">
        <v>6937</v>
      </c>
      <c r="G5367" s="24" t="s">
        <v>88</v>
      </c>
      <c r="H5367" s="25" t="s">
        <v>6979</v>
      </c>
      <c r="I5367" s="46" t="str">
        <f>VLOOKUP(H5367,'合同高级查询数据-4月返'!A:A,1,FALSE)</f>
        <v>182315IDC00162</v>
      </c>
      <c r="J5367" s="47" t="s">
        <v>3488</v>
      </c>
      <c r="K5367" s="24" t="s">
        <v>6980</v>
      </c>
      <c r="L5367" s="109"/>
      <c r="M5367" s="49" t="s">
        <v>6961</v>
      </c>
      <c r="N5367" s="50">
        <v>43712</v>
      </c>
      <c r="O5367" s="22" t="s">
        <v>503</v>
      </c>
      <c r="P5367" s="52">
        <v>4800</v>
      </c>
      <c r="Q5367" s="70">
        <v>-1</v>
      </c>
      <c r="R5367" s="52">
        <f t="shared" si="168"/>
        <v>-4800</v>
      </c>
      <c r="S5367" s="47">
        <v>202304</v>
      </c>
      <c r="T5367" s="123" t="s">
        <v>6995</v>
      </c>
      <c r="U5367" s="48"/>
      <c r="V5367" s="48"/>
      <c r="W5367" s="48"/>
      <c r="X5367" s="50">
        <v>44958</v>
      </c>
      <c r="Y5367" s="50">
        <v>45291</v>
      </c>
    </row>
    <row r="5368" s="5" customFormat="1" customHeight="1" spans="1:25">
      <c r="A5368" s="24" t="s">
        <v>444</v>
      </c>
      <c r="B5368" s="24" t="s">
        <v>6300</v>
      </c>
      <c r="C5368" s="24" t="s">
        <v>3237</v>
      </c>
      <c r="D5368" s="22" t="s">
        <v>6301</v>
      </c>
      <c r="E5368" s="23" t="s">
        <v>6936</v>
      </c>
      <c r="F5368" s="24" t="s">
        <v>6937</v>
      </c>
      <c r="G5368" s="24" t="s">
        <v>88</v>
      </c>
      <c r="H5368" s="25" t="s">
        <v>6979</v>
      </c>
      <c r="I5368" s="46" t="str">
        <f>VLOOKUP(H5368,'合同高级查询数据-4月返'!A:A,1,FALSE)</f>
        <v>182315IDC00162</v>
      </c>
      <c r="J5368" s="47" t="s">
        <v>3488</v>
      </c>
      <c r="K5368" s="24" t="s">
        <v>6980</v>
      </c>
      <c r="L5368" s="109"/>
      <c r="M5368" s="49" t="s">
        <v>6961</v>
      </c>
      <c r="N5368" s="50">
        <v>43716</v>
      </c>
      <c r="O5368" s="22" t="s">
        <v>503</v>
      </c>
      <c r="P5368" s="52">
        <v>4800</v>
      </c>
      <c r="Q5368" s="70">
        <v>-16</v>
      </c>
      <c r="R5368" s="52">
        <f t="shared" si="168"/>
        <v>-76800</v>
      </c>
      <c r="S5368" s="47">
        <v>202304</v>
      </c>
      <c r="T5368" s="123" t="s">
        <v>6996</v>
      </c>
      <c r="U5368" s="48"/>
      <c r="V5368" s="48"/>
      <c r="W5368" s="48"/>
      <c r="X5368" s="50">
        <v>44958</v>
      </c>
      <c r="Y5368" s="50">
        <v>45291</v>
      </c>
    </row>
    <row r="5369" s="5" customFormat="1" customHeight="1" spans="1:25">
      <c r="A5369" s="24" t="s">
        <v>444</v>
      </c>
      <c r="B5369" s="24" t="s">
        <v>6300</v>
      </c>
      <c r="C5369" s="24" t="s">
        <v>3237</v>
      </c>
      <c r="D5369" s="22" t="s">
        <v>6301</v>
      </c>
      <c r="E5369" s="23" t="s">
        <v>6936</v>
      </c>
      <c r="F5369" s="24" t="s">
        <v>6937</v>
      </c>
      <c r="G5369" s="24" t="s">
        <v>88</v>
      </c>
      <c r="H5369" s="25" t="s">
        <v>6979</v>
      </c>
      <c r="I5369" s="46" t="str">
        <f>VLOOKUP(H5369,'合同高级查询数据-4月返'!A:A,1,FALSE)</f>
        <v>182315IDC00162</v>
      </c>
      <c r="J5369" s="47" t="s">
        <v>3488</v>
      </c>
      <c r="K5369" s="24" t="s">
        <v>6980</v>
      </c>
      <c r="L5369" s="109"/>
      <c r="M5369" s="49" t="s">
        <v>6961</v>
      </c>
      <c r="N5369" s="50">
        <v>43802</v>
      </c>
      <c r="O5369" s="22" t="s">
        <v>503</v>
      </c>
      <c r="P5369" s="52">
        <v>4800</v>
      </c>
      <c r="Q5369" s="70">
        <v>-6</v>
      </c>
      <c r="R5369" s="52">
        <f t="shared" si="168"/>
        <v>-28800</v>
      </c>
      <c r="S5369" s="47">
        <v>202304</v>
      </c>
      <c r="T5369" s="123" t="s">
        <v>6997</v>
      </c>
      <c r="U5369" s="48"/>
      <c r="V5369" s="48"/>
      <c r="W5369" s="48"/>
      <c r="X5369" s="50">
        <v>44958</v>
      </c>
      <c r="Y5369" s="50">
        <v>45291</v>
      </c>
    </row>
    <row r="5370" s="5" customFormat="1" customHeight="1" spans="1:25">
      <c r="A5370" s="24" t="s">
        <v>444</v>
      </c>
      <c r="B5370" s="24" t="s">
        <v>6300</v>
      </c>
      <c r="C5370" s="24" t="s">
        <v>3237</v>
      </c>
      <c r="D5370" s="22" t="s">
        <v>6301</v>
      </c>
      <c r="E5370" s="23" t="s">
        <v>6936</v>
      </c>
      <c r="F5370" s="24" t="s">
        <v>6937</v>
      </c>
      <c r="G5370" s="24" t="s">
        <v>88</v>
      </c>
      <c r="H5370" s="25" t="s">
        <v>6979</v>
      </c>
      <c r="I5370" s="46" t="str">
        <f>VLOOKUP(H5370,'合同高级查询数据-4月返'!A:A,1,FALSE)</f>
        <v>182315IDC00162</v>
      </c>
      <c r="J5370" s="47" t="s">
        <v>3488</v>
      </c>
      <c r="K5370" s="24" t="s">
        <v>6980</v>
      </c>
      <c r="L5370" s="109"/>
      <c r="M5370" s="49" t="s">
        <v>6961</v>
      </c>
      <c r="N5370" s="50">
        <v>43913</v>
      </c>
      <c r="O5370" s="22" t="s">
        <v>503</v>
      </c>
      <c r="P5370" s="52">
        <v>4800</v>
      </c>
      <c r="Q5370" s="70">
        <v>1</v>
      </c>
      <c r="R5370" s="52">
        <f t="shared" si="168"/>
        <v>4800</v>
      </c>
      <c r="S5370" s="47">
        <v>202304</v>
      </c>
      <c r="T5370" s="123" t="s">
        <v>6998</v>
      </c>
      <c r="U5370" s="48"/>
      <c r="V5370" s="48"/>
      <c r="W5370" s="48"/>
      <c r="X5370" s="50">
        <v>44958</v>
      </c>
      <c r="Y5370" s="50">
        <v>45291</v>
      </c>
    </row>
    <row r="5371" s="5" customFormat="1" customHeight="1" spans="1:25">
      <c r="A5371" s="24" t="s">
        <v>444</v>
      </c>
      <c r="B5371" s="24" t="s">
        <v>6300</v>
      </c>
      <c r="C5371" s="24" t="s">
        <v>3237</v>
      </c>
      <c r="D5371" s="22" t="s">
        <v>6301</v>
      </c>
      <c r="E5371" s="23" t="s">
        <v>6936</v>
      </c>
      <c r="F5371" s="24" t="s">
        <v>6937</v>
      </c>
      <c r="G5371" s="24" t="s">
        <v>88</v>
      </c>
      <c r="H5371" s="25" t="s">
        <v>6979</v>
      </c>
      <c r="I5371" s="46" t="str">
        <f>VLOOKUP(H5371,'合同高级查询数据-4月返'!A:A,1,FALSE)</f>
        <v>182315IDC00162</v>
      </c>
      <c r="J5371" s="47" t="s">
        <v>3488</v>
      </c>
      <c r="K5371" s="24" t="s">
        <v>6980</v>
      </c>
      <c r="L5371" s="109"/>
      <c r="M5371" s="49" t="s">
        <v>6961</v>
      </c>
      <c r="N5371" s="50">
        <v>43999</v>
      </c>
      <c r="O5371" s="22" t="s">
        <v>503</v>
      </c>
      <c r="P5371" s="52">
        <v>4800</v>
      </c>
      <c r="Q5371" s="70">
        <v>2</v>
      </c>
      <c r="R5371" s="52">
        <f t="shared" si="168"/>
        <v>9600</v>
      </c>
      <c r="S5371" s="47">
        <v>202304</v>
      </c>
      <c r="T5371" s="123" t="s">
        <v>6999</v>
      </c>
      <c r="U5371" s="48"/>
      <c r="V5371" s="48"/>
      <c r="W5371" s="48"/>
      <c r="X5371" s="50">
        <v>44958</v>
      </c>
      <c r="Y5371" s="50">
        <v>45291</v>
      </c>
    </row>
    <row r="5372" s="5" customFormat="1" customHeight="1" spans="1:25">
      <c r="A5372" s="24" t="s">
        <v>444</v>
      </c>
      <c r="B5372" s="24" t="s">
        <v>6300</v>
      </c>
      <c r="C5372" s="24" t="s">
        <v>3237</v>
      </c>
      <c r="D5372" s="22" t="s">
        <v>6301</v>
      </c>
      <c r="E5372" s="23" t="s">
        <v>6936</v>
      </c>
      <c r="F5372" s="24" t="s">
        <v>6937</v>
      </c>
      <c r="G5372" s="24" t="s">
        <v>88</v>
      </c>
      <c r="H5372" s="25" t="s">
        <v>6979</v>
      </c>
      <c r="I5372" s="46" t="str">
        <f>VLOOKUP(H5372,'合同高级查询数据-4月返'!A:A,1,FALSE)</f>
        <v>182315IDC00162</v>
      </c>
      <c r="J5372" s="47" t="s">
        <v>3488</v>
      </c>
      <c r="K5372" s="24" t="s">
        <v>6980</v>
      </c>
      <c r="L5372" s="109"/>
      <c r="M5372" s="49" t="s">
        <v>6961</v>
      </c>
      <c r="N5372" s="50">
        <v>44175</v>
      </c>
      <c r="O5372" s="22" t="s">
        <v>503</v>
      </c>
      <c r="P5372" s="52">
        <v>4800</v>
      </c>
      <c r="Q5372" s="70">
        <v>1</v>
      </c>
      <c r="R5372" s="52">
        <f t="shared" si="168"/>
        <v>4800</v>
      </c>
      <c r="S5372" s="47">
        <v>202304</v>
      </c>
      <c r="T5372" s="123" t="s">
        <v>7000</v>
      </c>
      <c r="U5372" s="48"/>
      <c r="V5372" s="48"/>
      <c r="W5372" s="48"/>
      <c r="X5372" s="50">
        <v>44958</v>
      </c>
      <c r="Y5372" s="50">
        <v>45291</v>
      </c>
    </row>
    <row r="5373" s="5" customFormat="1" customHeight="1" spans="1:25">
      <c r="A5373" s="24" t="s">
        <v>444</v>
      </c>
      <c r="B5373" s="24" t="s">
        <v>6300</v>
      </c>
      <c r="C5373" s="24" t="s">
        <v>3237</v>
      </c>
      <c r="D5373" s="22" t="s">
        <v>6301</v>
      </c>
      <c r="E5373" s="23" t="s">
        <v>6936</v>
      </c>
      <c r="F5373" s="24" t="s">
        <v>6937</v>
      </c>
      <c r="G5373" s="24" t="s">
        <v>88</v>
      </c>
      <c r="H5373" s="25" t="s">
        <v>6979</v>
      </c>
      <c r="I5373" s="46" t="str">
        <f>VLOOKUP(H5373,'合同高级查询数据-4月返'!A:A,1,FALSE)</f>
        <v>182315IDC00162</v>
      </c>
      <c r="J5373" s="47" t="s">
        <v>3488</v>
      </c>
      <c r="K5373" s="24" t="s">
        <v>6980</v>
      </c>
      <c r="L5373" s="109"/>
      <c r="M5373" s="49" t="s">
        <v>6961</v>
      </c>
      <c r="N5373" s="50">
        <v>44272</v>
      </c>
      <c r="O5373" s="22" t="s">
        <v>503</v>
      </c>
      <c r="P5373" s="52">
        <v>4800</v>
      </c>
      <c r="Q5373" s="70">
        <v>2</v>
      </c>
      <c r="R5373" s="52">
        <f t="shared" si="168"/>
        <v>9600</v>
      </c>
      <c r="S5373" s="47">
        <v>202304</v>
      </c>
      <c r="T5373" s="123" t="s">
        <v>7001</v>
      </c>
      <c r="U5373" s="48"/>
      <c r="V5373" s="48"/>
      <c r="W5373" s="48"/>
      <c r="X5373" s="50">
        <v>44958</v>
      </c>
      <c r="Y5373" s="50">
        <v>45291</v>
      </c>
    </row>
    <row r="5374" s="5" customFormat="1" customHeight="1" spans="1:25">
      <c r="A5374" s="24" t="s">
        <v>444</v>
      </c>
      <c r="B5374" s="24" t="s">
        <v>6300</v>
      </c>
      <c r="C5374" s="24" t="s">
        <v>3237</v>
      </c>
      <c r="D5374" s="22" t="s">
        <v>6301</v>
      </c>
      <c r="E5374" s="23" t="s">
        <v>6936</v>
      </c>
      <c r="F5374" s="24" t="s">
        <v>6937</v>
      </c>
      <c r="G5374" s="24" t="s">
        <v>88</v>
      </c>
      <c r="H5374" s="25" t="s">
        <v>6979</v>
      </c>
      <c r="I5374" s="46" t="str">
        <f>VLOOKUP(H5374,'合同高级查询数据-4月返'!A:A,1,FALSE)</f>
        <v>182315IDC00162</v>
      </c>
      <c r="J5374" s="47" t="s">
        <v>3488</v>
      </c>
      <c r="K5374" s="24" t="s">
        <v>6980</v>
      </c>
      <c r="L5374" s="109"/>
      <c r="M5374" s="49" t="s">
        <v>6961</v>
      </c>
      <c r="N5374" s="50">
        <v>44273</v>
      </c>
      <c r="O5374" s="493" t="s">
        <v>7002</v>
      </c>
      <c r="P5374" s="52">
        <v>9600</v>
      </c>
      <c r="Q5374" s="70">
        <v>1</v>
      </c>
      <c r="R5374" s="52">
        <f t="shared" si="168"/>
        <v>9600</v>
      </c>
      <c r="S5374" s="47">
        <v>202304</v>
      </c>
      <c r="T5374" s="123" t="s">
        <v>7003</v>
      </c>
      <c r="U5374" s="48"/>
      <c r="V5374" s="48"/>
      <c r="W5374" s="48"/>
      <c r="X5374" s="50">
        <v>44958</v>
      </c>
      <c r="Y5374" s="50">
        <v>45291</v>
      </c>
    </row>
    <row r="5375" s="5" customFormat="1" customHeight="1" spans="1:25">
      <c r="A5375" s="24" t="s">
        <v>444</v>
      </c>
      <c r="B5375" s="24" t="s">
        <v>6300</v>
      </c>
      <c r="C5375" s="24" t="s">
        <v>3237</v>
      </c>
      <c r="D5375" s="22" t="s">
        <v>6301</v>
      </c>
      <c r="E5375" s="23" t="s">
        <v>6936</v>
      </c>
      <c r="F5375" s="24" t="s">
        <v>6937</v>
      </c>
      <c r="G5375" s="24" t="s">
        <v>88</v>
      </c>
      <c r="H5375" s="25" t="s">
        <v>6979</v>
      </c>
      <c r="I5375" s="46" t="str">
        <f>VLOOKUP(H5375,'合同高级查询数据-4月返'!A:A,1,FALSE)</f>
        <v>182315IDC00162</v>
      </c>
      <c r="J5375" s="47" t="s">
        <v>3488</v>
      </c>
      <c r="K5375" s="24" t="s">
        <v>6980</v>
      </c>
      <c r="L5375" s="109"/>
      <c r="M5375" s="49" t="s">
        <v>6961</v>
      </c>
      <c r="N5375" s="50">
        <v>44281</v>
      </c>
      <c r="O5375" s="493" t="s">
        <v>503</v>
      </c>
      <c r="P5375" s="52">
        <v>4800</v>
      </c>
      <c r="Q5375" s="70">
        <v>8</v>
      </c>
      <c r="R5375" s="52">
        <f t="shared" si="168"/>
        <v>38400</v>
      </c>
      <c r="S5375" s="47">
        <v>202304</v>
      </c>
      <c r="T5375" s="123" t="s">
        <v>7004</v>
      </c>
      <c r="U5375" s="48"/>
      <c r="V5375" s="48"/>
      <c r="W5375" s="48"/>
      <c r="X5375" s="50">
        <v>44958</v>
      </c>
      <c r="Y5375" s="50">
        <v>45291</v>
      </c>
    </row>
    <row r="5376" s="5" customFormat="1" customHeight="1" spans="1:25">
      <c r="A5376" s="24" t="s">
        <v>444</v>
      </c>
      <c r="B5376" s="24" t="s">
        <v>6300</v>
      </c>
      <c r="C5376" s="24" t="s">
        <v>3237</v>
      </c>
      <c r="D5376" s="22" t="s">
        <v>6301</v>
      </c>
      <c r="E5376" s="23" t="s">
        <v>6936</v>
      </c>
      <c r="F5376" s="24" t="s">
        <v>6937</v>
      </c>
      <c r="G5376" s="24" t="s">
        <v>88</v>
      </c>
      <c r="H5376" s="25" t="s">
        <v>6979</v>
      </c>
      <c r="I5376" s="46" t="str">
        <f>VLOOKUP(H5376,'合同高级查询数据-4月返'!A:A,1,FALSE)</f>
        <v>182315IDC00162</v>
      </c>
      <c r="J5376" s="47" t="s">
        <v>3488</v>
      </c>
      <c r="K5376" s="24" t="s">
        <v>6980</v>
      </c>
      <c r="L5376" s="109"/>
      <c r="M5376" s="49" t="s">
        <v>6961</v>
      </c>
      <c r="N5376" s="50">
        <v>44305</v>
      </c>
      <c r="O5376" s="493" t="s">
        <v>503</v>
      </c>
      <c r="P5376" s="52">
        <v>4800</v>
      </c>
      <c r="Q5376" s="70">
        <v>1</v>
      </c>
      <c r="R5376" s="52">
        <f t="shared" si="168"/>
        <v>4800</v>
      </c>
      <c r="S5376" s="47">
        <v>202304</v>
      </c>
      <c r="T5376" s="123" t="s">
        <v>7005</v>
      </c>
      <c r="U5376" s="48"/>
      <c r="V5376" s="48"/>
      <c r="W5376" s="48"/>
      <c r="X5376" s="50">
        <v>44958</v>
      </c>
      <c r="Y5376" s="50">
        <v>45291</v>
      </c>
    </row>
    <row r="5377" s="5" customFormat="1" customHeight="1" spans="1:25">
      <c r="A5377" s="24" t="s">
        <v>444</v>
      </c>
      <c r="B5377" s="24" t="s">
        <v>6300</v>
      </c>
      <c r="C5377" s="24" t="s">
        <v>3237</v>
      </c>
      <c r="D5377" s="22" t="s">
        <v>6301</v>
      </c>
      <c r="E5377" s="23" t="s">
        <v>6936</v>
      </c>
      <c r="F5377" s="24" t="s">
        <v>6937</v>
      </c>
      <c r="G5377" s="24" t="s">
        <v>88</v>
      </c>
      <c r="H5377" s="25" t="s">
        <v>6979</v>
      </c>
      <c r="I5377" s="46" t="str">
        <f>VLOOKUP(H5377,'合同高级查询数据-4月返'!A:A,1,FALSE)</f>
        <v>182315IDC00162</v>
      </c>
      <c r="J5377" s="47" t="s">
        <v>3488</v>
      </c>
      <c r="K5377" s="24" t="s">
        <v>6980</v>
      </c>
      <c r="L5377" s="109"/>
      <c r="M5377" s="49" t="s">
        <v>6961</v>
      </c>
      <c r="N5377" s="50">
        <v>44352</v>
      </c>
      <c r="O5377" s="493" t="s">
        <v>503</v>
      </c>
      <c r="P5377" s="52">
        <v>4800</v>
      </c>
      <c r="Q5377" s="70">
        <v>-4</v>
      </c>
      <c r="R5377" s="52">
        <f t="shared" si="168"/>
        <v>-19200</v>
      </c>
      <c r="S5377" s="47">
        <v>202304</v>
      </c>
      <c r="T5377" s="123" t="s">
        <v>7006</v>
      </c>
      <c r="U5377" s="48"/>
      <c r="V5377" s="48"/>
      <c r="W5377" s="48"/>
      <c r="X5377" s="50">
        <v>44958</v>
      </c>
      <c r="Y5377" s="50">
        <v>45291</v>
      </c>
    </row>
    <row r="5378" s="5" customFormat="1" customHeight="1" spans="1:25">
      <c r="A5378" s="24" t="s">
        <v>444</v>
      </c>
      <c r="B5378" s="24" t="s">
        <v>6300</v>
      </c>
      <c r="C5378" s="24" t="s">
        <v>3237</v>
      </c>
      <c r="D5378" s="22" t="s">
        <v>6301</v>
      </c>
      <c r="E5378" s="23" t="s">
        <v>6936</v>
      </c>
      <c r="F5378" s="24" t="s">
        <v>6937</v>
      </c>
      <c r="G5378" s="24" t="s">
        <v>88</v>
      </c>
      <c r="H5378" s="25" t="s">
        <v>6979</v>
      </c>
      <c r="I5378" s="46" t="str">
        <f>VLOOKUP(H5378,'合同高级查询数据-4月返'!A:A,1,FALSE)</f>
        <v>182315IDC00162</v>
      </c>
      <c r="J5378" s="47" t="s">
        <v>3488</v>
      </c>
      <c r="K5378" s="24" t="s">
        <v>6980</v>
      </c>
      <c r="L5378" s="109"/>
      <c r="M5378" s="49" t="s">
        <v>6961</v>
      </c>
      <c r="N5378" s="50">
        <v>44590</v>
      </c>
      <c r="O5378" s="493" t="s">
        <v>503</v>
      </c>
      <c r="P5378" s="52">
        <v>4800</v>
      </c>
      <c r="Q5378" s="70">
        <v>2</v>
      </c>
      <c r="R5378" s="52">
        <f t="shared" si="168"/>
        <v>9600</v>
      </c>
      <c r="S5378" s="47">
        <v>202304</v>
      </c>
      <c r="T5378" s="123" t="s">
        <v>7007</v>
      </c>
      <c r="U5378" s="48"/>
      <c r="V5378" s="48"/>
      <c r="W5378" s="48"/>
      <c r="X5378" s="50">
        <v>44958</v>
      </c>
      <c r="Y5378" s="50">
        <v>45291</v>
      </c>
    </row>
    <row r="5379" s="5" customFormat="1" customHeight="1" spans="1:25">
      <c r="A5379" s="24" t="s">
        <v>444</v>
      </c>
      <c r="B5379" s="24" t="s">
        <v>6300</v>
      </c>
      <c r="C5379" s="24" t="s">
        <v>3237</v>
      </c>
      <c r="D5379" s="22" t="s">
        <v>6301</v>
      </c>
      <c r="E5379" s="23" t="s">
        <v>6936</v>
      </c>
      <c r="F5379" s="24" t="s">
        <v>6937</v>
      </c>
      <c r="G5379" s="24" t="s">
        <v>88</v>
      </c>
      <c r="H5379" s="25" t="s">
        <v>6979</v>
      </c>
      <c r="I5379" s="46" t="str">
        <f>VLOOKUP(H5379,'合同高级查询数据-4月返'!A:A,1,FALSE)</f>
        <v>182315IDC00162</v>
      </c>
      <c r="J5379" s="47" t="s">
        <v>3488</v>
      </c>
      <c r="K5379" s="24" t="s">
        <v>6980</v>
      </c>
      <c r="L5379" s="109"/>
      <c r="M5379" s="49" t="s">
        <v>6961</v>
      </c>
      <c r="N5379" s="50">
        <v>44617</v>
      </c>
      <c r="O5379" s="493" t="s">
        <v>503</v>
      </c>
      <c r="P5379" s="52">
        <v>4800</v>
      </c>
      <c r="Q5379" s="70">
        <v>2</v>
      </c>
      <c r="R5379" s="52">
        <f t="shared" si="168"/>
        <v>9600</v>
      </c>
      <c r="S5379" s="47">
        <v>202304</v>
      </c>
      <c r="T5379" s="123" t="s">
        <v>7008</v>
      </c>
      <c r="U5379" s="48"/>
      <c r="V5379" s="48"/>
      <c r="W5379" s="48"/>
      <c r="X5379" s="50">
        <v>44958</v>
      </c>
      <c r="Y5379" s="50">
        <v>45291</v>
      </c>
    </row>
    <row r="5380" s="5" customFormat="1" customHeight="1" spans="1:25">
      <c r="A5380" s="24" t="s">
        <v>444</v>
      </c>
      <c r="B5380" s="24" t="s">
        <v>6300</v>
      </c>
      <c r="C5380" s="24" t="s">
        <v>3237</v>
      </c>
      <c r="D5380" s="22" t="s">
        <v>6301</v>
      </c>
      <c r="E5380" s="23" t="s">
        <v>6936</v>
      </c>
      <c r="F5380" s="24" t="s">
        <v>6937</v>
      </c>
      <c r="G5380" s="24" t="s">
        <v>88</v>
      </c>
      <c r="H5380" s="25" t="s">
        <v>6979</v>
      </c>
      <c r="I5380" s="46" t="str">
        <f>VLOOKUP(H5380,'合同高级查询数据-4月返'!A:A,1,FALSE)</f>
        <v>182315IDC00162</v>
      </c>
      <c r="J5380" s="47" t="s">
        <v>3488</v>
      </c>
      <c r="K5380" s="24" t="s">
        <v>6980</v>
      </c>
      <c r="L5380" s="109"/>
      <c r="M5380" s="49" t="s">
        <v>6961</v>
      </c>
      <c r="N5380" s="50">
        <v>44636</v>
      </c>
      <c r="O5380" s="493" t="s">
        <v>503</v>
      </c>
      <c r="P5380" s="52">
        <v>4800</v>
      </c>
      <c r="Q5380" s="70">
        <v>2</v>
      </c>
      <c r="R5380" s="52">
        <f t="shared" si="168"/>
        <v>9600</v>
      </c>
      <c r="S5380" s="47">
        <v>202304</v>
      </c>
      <c r="T5380" s="123" t="s">
        <v>7009</v>
      </c>
      <c r="U5380" s="48"/>
      <c r="V5380" s="48"/>
      <c r="W5380" s="48"/>
      <c r="X5380" s="50">
        <v>44958</v>
      </c>
      <c r="Y5380" s="50">
        <v>45291</v>
      </c>
    </row>
    <row r="5381" s="5" customFormat="1" customHeight="1" spans="1:25">
      <c r="A5381" s="24" t="s">
        <v>444</v>
      </c>
      <c r="B5381" s="24" t="s">
        <v>6300</v>
      </c>
      <c r="C5381" s="24" t="s">
        <v>3237</v>
      </c>
      <c r="D5381" s="22" t="s">
        <v>6301</v>
      </c>
      <c r="E5381" s="23" t="s">
        <v>6936</v>
      </c>
      <c r="F5381" s="24" t="s">
        <v>6937</v>
      </c>
      <c r="G5381" s="24" t="s">
        <v>88</v>
      </c>
      <c r="H5381" s="25" t="s">
        <v>6979</v>
      </c>
      <c r="I5381" s="46" t="str">
        <f>VLOOKUP(H5381,'合同高级查询数据-4月返'!A:A,1,FALSE)</f>
        <v>182315IDC00162</v>
      </c>
      <c r="J5381" s="47" t="s">
        <v>3488</v>
      </c>
      <c r="K5381" s="24" t="s">
        <v>6980</v>
      </c>
      <c r="L5381" s="109"/>
      <c r="M5381" s="49" t="s">
        <v>6961</v>
      </c>
      <c r="N5381" s="50">
        <v>44671</v>
      </c>
      <c r="O5381" s="493" t="s">
        <v>503</v>
      </c>
      <c r="P5381" s="52">
        <v>4800</v>
      </c>
      <c r="Q5381" s="70">
        <v>2</v>
      </c>
      <c r="R5381" s="52">
        <f t="shared" si="168"/>
        <v>9600</v>
      </c>
      <c r="S5381" s="47">
        <v>202304</v>
      </c>
      <c r="T5381" s="123" t="s">
        <v>7010</v>
      </c>
      <c r="U5381" s="48"/>
      <c r="V5381" s="48"/>
      <c r="W5381" s="48"/>
      <c r="X5381" s="50">
        <v>44958</v>
      </c>
      <c r="Y5381" s="50">
        <v>45291</v>
      </c>
    </row>
    <row r="5382" s="5" customFormat="1" customHeight="1" spans="1:25">
      <c r="A5382" s="24" t="s">
        <v>444</v>
      </c>
      <c r="B5382" s="24" t="s">
        <v>6300</v>
      </c>
      <c r="C5382" s="24" t="s">
        <v>3237</v>
      </c>
      <c r="D5382" s="22" t="s">
        <v>6301</v>
      </c>
      <c r="E5382" s="23" t="s">
        <v>6936</v>
      </c>
      <c r="F5382" s="24" t="s">
        <v>6937</v>
      </c>
      <c r="G5382" s="24" t="s">
        <v>88</v>
      </c>
      <c r="H5382" s="25" t="s">
        <v>6979</v>
      </c>
      <c r="I5382" s="46" t="str">
        <f>VLOOKUP(H5382,'合同高级查询数据-4月返'!A:A,1,FALSE)</f>
        <v>182315IDC00162</v>
      </c>
      <c r="J5382" s="47" t="s">
        <v>3488</v>
      </c>
      <c r="K5382" s="24" t="s">
        <v>6980</v>
      </c>
      <c r="L5382" s="109"/>
      <c r="M5382" s="49" t="s">
        <v>6961</v>
      </c>
      <c r="N5382" s="50">
        <v>43717</v>
      </c>
      <c r="O5382" s="22" t="s">
        <v>6981</v>
      </c>
      <c r="P5382" s="52">
        <v>8728</v>
      </c>
      <c r="Q5382" s="70">
        <v>-2</v>
      </c>
      <c r="R5382" s="52">
        <f t="shared" si="168"/>
        <v>-17456</v>
      </c>
      <c r="S5382" s="47">
        <v>202304</v>
      </c>
      <c r="T5382" s="123" t="s">
        <v>7011</v>
      </c>
      <c r="U5382" s="48"/>
      <c r="V5382" s="48"/>
      <c r="W5382" s="48"/>
      <c r="X5382" s="50">
        <v>44958</v>
      </c>
      <c r="Y5382" s="50">
        <v>45291</v>
      </c>
    </row>
    <row r="5383" s="5" customFormat="1" customHeight="1" spans="1:25">
      <c r="A5383" s="24" t="s">
        <v>444</v>
      </c>
      <c r="B5383" s="24" t="s">
        <v>6300</v>
      </c>
      <c r="C5383" s="24" t="s">
        <v>3237</v>
      </c>
      <c r="D5383" s="22" t="s">
        <v>6301</v>
      </c>
      <c r="E5383" s="23" t="s">
        <v>6936</v>
      </c>
      <c r="F5383" s="24" t="s">
        <v>6937</v>
      </c>
      <c r="G5383" s="24" t="s">
        <v>88</v>
      </c>
      <c r="H5383" s="25" t="s">
        <v>6979</v>
      </c>
      <c r="I5383" s="46" t="str">
        <f>VLOOKUP(H5383,'合同高级查询数据-4月返'!A:A,1,FALSE)</f>
        <v>182315IDC00162</v>
      </c>
      <c r="J5383" s="47" t="s">
        <v>3488</v>
      </c>
      <c r="K5383" s="24" t="s">
        <v>6980</v>
      </c>
      <c r="L5383" s="109"/>
      <c r="M5383" s="49" t="s">
        <v>6961</v>
      </c>
      <c r="N5383" s="50">
        <v>43718</v>
      </c>
      <c r="O5383" s="22" t="s">
        <v>566</v>
      </c>
      <c r="P5383" s="52">
        <v>8728</v>
      </c>
      <c r="Q5383" s="70">
        <v>2</v>
      </c>
      <c r="R5383" s="52">
        <f t="shared" si="168"/>
        <v>17456</v>
      </c>
      <c r="S5383" s="47">
        <v>202304</v>
      </c>
      <c r="T5383" s="123" t="s">
        <v>7012</v>
      </c>
      <c r="U5383" s="48"/>
      <c r="V5383" s="48"/>
      <c r="W5383" s="48"/>
      <c r="X5383" s="50">
        <v>44958</v>
      </c>
      <c r="Y5383" s="50">
        <v>45291</v>
      </c>
    </row>
    <row r="5384" s="5" customFormat="1" customHeight="1" spans="1:25">
      <c r="A5384" s="24" t="s">
        <v>444</v>
      </c>
      <c r="B5384" s="24" t="s">
        <v>6300</v>
      </c>
      <c r="C5384" s="24" t="s">
        <v>3237</v>
      </c>
      <c r="D5384" s="22" t="s">
        <v>6301</v>
      </c>
      <c r="E5384" s="23" t="s">
        <v>6936</v>
      </c>
      <c r="F5384" s="24" t="s">
        <v>6937</v>
      </c>
      <c r="G5384" s="24" t="s">
        <v>88</v>
      </c>
      <c r="H5384" s="25" t="s">
        <v>6979</v>
      </c>
      <c r="I5384" s="46" t="str">
        <f>VLOOKUP(H5384,'合同高级查询数据-4月返'!A:A,1,FALSE)</f>
        <v>182315IDC00162</v>
      </c>
      <c r="J5384" s="47" t="s">
        <v>3488</v>
      </c>
      <c r="K5384" s="24" t="s">
        <v>6980</v>
      </c>
      <c r="L5384" s="109"/>
      <c r="M5384" s="49" t="s">
        <v>6961</v>
      </c>
      <c r="N5384" s="50">
        <v>44642</v>
      </c>
      <c r="O5384" s="22" t="s">
        <v>6981</v>
      </c>
      <c r="P5384" s="52">
        <v>8728</v>
      </c>
      <c r="Q5384" s="70">
        <v>-2</v>
      </c>
      <c r="R5384" s="52">
        <f t="shared" si="168"/>
        <v>-17456</v>
      </c>
      <c r="S5384" s="47">
        <v>202304</v>
      </c>
      <c r="T5384" s="123" t="s">
        <v>7013</v>
      </c>
      <c r="U5384" s="48"/>
      <c r="V5384" s="48"/>
      <c r="W5384" s="48"/>
      <c r="X5384" s="50">
        <v>44958</v>
      </c>
      <c r="Y5384" s="50">
        <v>45291</v>
      </c>
    </row>
    <row r="5385" s="5" customFormat="1" customHeight="1" spans="1:25">
      <c r="A5385" s="24" t="s">
        <v>444</v>
      </c>
      <c r="B5385" s="24" t="s">
        <v>6300</v>
      </c>
      <c r="C5385" s="24" t="s">
        <v>3237</v>
      </c>
      <c r="D5385" s="22" t="s">
        <v>6301</v>
      </c>
      <c r="E5385" s="23" t="s">
        <v>6936</v>
      </c>
      <c r="F5385" s="24" t="s">
        <v>6937</v>
      </c>
      <c r="G5385" s="24" t="s">
        <v>88</v>
      </c>
      <c r="H5385" s="25" t="s">
        <v>6979</v>
      </c>
      <c r="I5385" s="46" t="str">
        <f>VLOOKUP(H5385,'合同高级查询数据-4月返'!A:A,1,FALSE)</f>
        <v>182315IDC00162</v>
      </c>
      <c r="J5385" s="47" t="s">
        <v>3488</v>
      </c>
      <c r="K5385" s="24" t="s">
        <v>6980</v>
      </c>
      <c r="L5385" s="109"/>
      <c r="M5385" s="49" t="s">
        <v>6961</v>
      </c>
      <c r="N5385" s="50">
        <v>44642</v>
      </c>
      <c r="O5385" s="22" t="s">
        <v>1426</v>
      </c>
      <c r="P5385" s="52">
        <v>19637</v>
      </c>
      <c r="Q5385" s="70">
        <v>2</v>
      </c>
      <c r="R5385" s="52">
        <f t="shared" si="168"/>
        <v>39274</v>
      </c>
      <c r="S5385" s="47">
        <v>202304</v>
      </c>
      <c r="T5385" s="123" t="s">
        <v>7013</v>
      </c>
      <c r="U5385" s="48"/>
      <c r="V5385" s="48"/>
      <c r="W5385" s="48"/>
      <c r="X5385" s="50">
        <v>44958</v>
      </c>
      <c r="Y5385" s="50">
        <v>45291</v>
      </c>
    </row>
    <row r="5386" s="5" customFormat="1" customHeight="1" spans="1:25">
      <c r="A5386" s="24" t="s">
        <v>444</v>
      </c>
      <c r="B5386" s="24" t="s">
        <v>6300</v>
      </c>
      <c r="C5386" s="24" t="s">
        <v>3237</v>
      </c>
      <c r="D5386" s="22" t="s">
        <v>6301</v>
      </c>
      <c r="E5386" s="23" t="s">
        <v>6936</v>
      </c>
      <c r="F5386" s="24" t="s">
        <v>6937</v>
      </c>
      <c r="G5386" s="24" t="s">
        <v>88</v>
      </c>
      <c r="H5386" s="25" t="s">
        <v>6979</v>
      </c>
      <c r="I5386" s="46" t="str">
        <f>VLOOKUP(H5386,'合同高级查询数据-4月返'!A:A,1,FALSE)</f>
        <v>182315IDC00162</v>
      </c>
      <c r="J5386" s="47" t="s">
        <v>3488</v>
      </c>
      <c r="K5386" s="24" t="s">
        <v>6980</v>
      </c>
      <c r="L5386" s="109"/>
      <c r="M5386" s="49" t="s">
        <v>6961</v>
      </c>
      <c r="N5386" s="50">
        <v>44280</v>
      </c>
      <c r="O5386" s="22" t="s">
        <v>6983</v>
      </c>
      <c r="P5386" s="52">
        <v>15000</v>
      </c>
      <c r="Q5386" s="70">
        <v>-1</v>
      </c>
      <c r="R5386" s="52">
        <f t="shared" si="168"/>
        <v>-15000</v>
      </c>
      <c r="S5386" s="47">
        <v>202304</v>
      </c>
      <c r="T5386" s="123" t="s">
        <v>7014</v>
      </c>
      <c r="U5386" s="48"/>
      <c r="V5386" s="48"/>
      <c r="W5386" s="48"/>
      <c r="X5386" s="50">
        <v>44958</v>
      </c>
      <c r="Y5386" s="50">
        <v>45291</v>
      </c>
    </row>
    <row r="5387" s="5" customFormat="1" customHeight="1" spans="1:25">
      <c r="A5387" s="24" t="s">
        <v>444</v>
      </c>
      <c r="B5387" s="24" t="s">
        <v>6300</v>
      </c>
      <c r="C5387" s="24" t="s">
        <v>3237</v>
      </c>
      <c r="D5387" s="22" t="s">
        <v>6301</v>
      </c>
      <c r="E5387" s="23" t="s">
        <v>6936</v>
      </c>
      <c r="F5387" s="24" t="s">
        <v>6937</v>
      </c>
      <c r="G5387" s="24" t="s">
        <v>88</v>
      </c>
      <c r="H5387" s="25" t="s">
        <v>6979</v>
      </c>
      <c r="I5387" s="46" t="str">
        <f>VLOOKUP(H5387,'合同高级查询数据-4月返'!A:A,1,FALSE)</f>
        <v>182315IDC00162</v>
      </c>
      <c r="J5387" s="47" t="s">
        <v>3488</v>
      </c>
      <c r="K5387" s="24" t="s">
        <v>6980</v>
      </c>
      <c r="L5387" s="109"/>
      <c r="M5387" s="49" t="s">
        <v>6961</v>
      </c>
      <c r="N5387" s="50">
        <v>44280</v>
      </c>
      <c r="O5387" s="22" t="s">
        <v>606</v>
      </c>
      <c r="P5387" s="52">
        <v>26182</v>
      </c>
      <c r="Q5387" s="70">
        <v>1</v>
      </c>
      <c r="R5387" s="52">
        <f t="shared" si="168"/>
        <v>26182</v>
      </c>
      <c r="S5387" s="47">
        <v>202304</v>
      </c>
      <c r="T5387" s="123" t="s">
        <v>7014</v>
      </c>
      <c r="U5387" s="48"/>
      <c r="V5387" s="48"/>
      <c r="W5387" s="48"/>
      <c r="X5387" s="50">
        <v>44958</v>
      </c>
      <c r="Y5387" s="50">
        <v>45291</v>
      </c>
    </row>
    <row r="5388" s="5" customFormat="1" customHeight="1" spans="1:25">
      <c r="A5388" s="24" t="s">
        <v>444</v>
      </c>
      <c r="B5388" s="24" t="s">
        <v>6300</v>
      </c>
      <c r="C5388" s="24" t="s">
        <v>3237</v>
      </c>
      <c r="D5388" s="22" t="s">
        <v>6301</v>
      </c>
      <c r="E5388" s="23" t="s">
        <v>6936</v>
      </c>
      <c r="F5388" s="24" t="s">
        <v>6937</v>
      </c>
      <c r="G5388" s="24" t="s">
        <v>88</v>
      </c>
      <c r="H5388" s="25" t="s">
        <v>6979</v>
      </c>
      <c r="I5388" s="46" t="str">
        <f>VLOOKUP(H5388,'合同高级查询数据-4月返'!A:A,1,FALSE)</f>
        <v>182315IDC00162</v>
      </c>
      <c r="J5388" s="47" t="s">
        <v>3488</v>
      </c>
      <c r="K5388" s="24" t="s">
        <v>6980</v>
      </c>
      <c r="L5388" s="109"/>
      <c r="M5388" s="49" t="s">
        <v>6961</v>
      </c>
      <c r="N5388" s="50">
        <v>44285</v>
      </c>
      <c r="O5388" s="22" t="s">
        <v>6983</v>
      </c>
      <c r="P5388" s="52">
        <v>15000</v>
      </c>
      <c r="Q5388" s="70">
        <v>-1</v>
      </c>
      <c r="R5388" s="52">
        <f t="shared" si="168"/>
        <v>-15000</v>
      </c>
      <c r="S5388" s="47">
        <v>202304</v>
      </c>
      <c r="T5388" s="123" t="s">
        <v>7015</v>
      </c>
      <c r="U5388" s="48"/>
      <c r="V5388" s="48"/>
      <c r="W5388" s="48"/>
      <c r="X5388" s="50">
        <v>44958</v>
      </c>
      <c r="Y5388" s="50">
        <v>45291</v>
      </c>
    </row>
    <row r="5389" s="5" customFormat="1" customHeight="1" spans="1:25">
      <c r="A5389" s="24" t="s">
        <v>444</v>
      </c>
      <c r="B5389" s="24" t="s">
        <v>6300</v>
      </c>
      <c r="C5389" s="24" t="s">
        <v>3237</v>
      </c>
      <c r="D5389" s="22" t="s">
        <v>6301</v>
      </c>
      <c r="E5389" s="23" t="s">
        <v>6936</v>
      </c>
      <c r="F5389" s="24" t="s">
        <v>6937</v>
      </c>
      <c r="G5389" s="24" t="s">
        <v>88</v>
      </c>
      <c r="H5389" s="25" t="s">
        <v>6979</v>
      </c>
      <c r="I5389" s="46" t="str">
        <f>VLOOKUP(H5389,'合同高级查询数据-4月返'!A:A,1,FALSE)</f>
        <v>182315IDC00162</v>
      </c>
      <c r="J5389" s="47" t="s">
        <v>3488</v>
      </c>
      <c r="K5389" s="24" t="s">
        <v>6980</v>
      </c>
      <c r="L5389" s="109"/>
      <c r="M5389" s="49" t="s">
        <v>6961</v>
      </c>
      <c r="N5389" s="50">
        <v>44285</v>
      </c>
      <c r="O5389" s="22" t="s">
        <v>606</v>
      </c>
      <c r="P5389" s="52">
        <v>26182</v>
      </c>
      <c r="Q5389" s="70">
        <v>1</v>
      </c>
      <c r="R5389" s="52">
        <f t="shared" si="168"/>
        <v>26182</v>
      </c>
      <c r="S5389" s="47">
        <v>202304</v>
      </c>
      <c r="T5389" s="123" t="s">
        <v>7015</v>
      </c>
      <c r="U5389" s="48"/>
      <c r="V5389" s="48"/>
      <c r="W5389" s="48"/>
      <c r="X5389" s="50">
        <v>44958</v>
      </c>
      <c r="Y5389" s="50">
        <v>45291</v>
      </c>
    </row>
    <row r="5390" s="5" customFormat="1" customHeight="1" spans="1:25">
      <c r="A5390" s="24" t="s">
        <v>444</v>
      </c>
      <c r="B5390" s="24" t="s">
        <v>6300</v>
      </c>
      <c r="C5390" s="24" t="s">
        <v>3237</v>
      </c>
      <c r="D5390" s="22" t="s">
        <v>6301</v>
      </c>
      <c r="E5390" s="23" t="s">
        <v>6936</v>
      </c>
      <c r="F5390" s="24" t="s">
        <v>6937</v>
      </c>
      <c r="G5390" s="24" t="s">
        <v>88</v>
      </c>
      <c r="H5390" s="25" t="s">
        <v>6979</v>
      </c>
      <c r="I5390" s="46" t="str">
        <f>VLOOKUP(H5390,'合同高级查询数据-4月返'!A:A,1,FALSE)</f>
        <v>182315IDC00162</v>
      </c>
      <c r="J5390" s="47" t="s">
        <v>3488</v>
      </c>
      <c r="K5390" s="24" t="s">
        <v>6980</v>
      </c>
      <c r="L5390" s="109"/>
      <c r="M5390" s="49" t="s">
        <v>6961</v>
      </c>
      <c r="N5390" s="50">
        <v>44694</v>
      </c>
      <c r="O5390" s="22" t="s">
        <v>503</v>
      </c>
      <c r="P5390" s="52">
        <v>4800</v>
      </c>
      <c r="Q5390" s="70">
        <v>-3</v>
      </c>
      <c r="R5390" s="52">
        <f t="shared" si="168"/>
        <v>-14400</v>
      </c>
      <c r="S5390" s="47">
        <v>202304</v>
      </c>
      <c r="T5390" s="123" t="s">
        <v>7016</v>
      </c>
      <c r="U5390" s="48"/>
      <c r="V5390" s="48"/>
      <c r="W5390" s="48"/>
      <c r="X5390" s="50">
        <v>44958</v>
      </c>
      <c r="Y5390" s="50">
        <v>45291</v>
      </c>
    </row>
    <row r="5391" s="5" customFormat="1" customHeight="1" spans="1:25">
      <c r="A5391" s="24" t="s">
        <v>444</v>
      </c>
      <c r="B5391" s="24" t="s">
        <v>6300</v>
      </c>
      <c r="C5391" s="24" t="s">
        <v>3237</v>
      </c>
      <c r="D5391" s="22" t="s">
        <v>6301</v>
      </c>
      <c r="E5391" s="23" t="s">
        <v>6936</v>
      </c>
      <c r="F5391" s="24" t="s">
        <v>6937</v>
      </c>
      <c r="G5391" s="24" t="s">
        <v>88</v>
      </c>
      <c r="H5391" s="25" t="s">
        <v>6979</v>
      </c>
      <c r="I5391" s="46" t="str">
        <f>VLOOKUP(H5391,'合同高级查询数据-4月返'!A:A,1,FALSE)</f>
        <v>182315IDC00162</v>
      </c>
      <c r="J5391" s="47" t="s">
        <v>3488</v>
      </c>
      <c r="K5391" s="24" t="s">
        <v>6980</v>
      </c>
      <c r="L5391" s="109"/>
      <c r="M5391" s="49" t="s">
        <v>6961</v>
      </c>
      <c r="N5391" s="50">
        <v>44789</v>
      </c>
      <c r="O5391" s="22" t="s">
        <v>503</v>
      </c>
      <c r="P5391" s="52">
        <v>4800</v>
      </c>
      <c r="Q5391" s="70">
        <v>-4</v>
      </c>
      <c r="R5391" s="52">
        <f t="shared" si="168"/>
        <v>-19200</v>
      </c>
      <c r="S5391" s="47">
        <v>202304</v>
      </c>
      <c r="T5391" s="123" t="s">
        <v>7017</v>
      </c>
      <c r="U5391" s="48"/>
      <c r="V5391" s="48"/>
      <c r="W5391" s="48"/>
      <c r="X5391" s="50">
        <v>44958</v>
      </c>
      <c r="Y5391" s="50">
        <v>45291</v>
      </c>
    </row>
    <row r="5392" s="5" customFormat="1" customHeight="1" spans="1:25">
      <c r="A5392" s="24" t="s">
        <v>444</v>
      </c>
      <c r="B5392" s="24" t="s">
        <v>6300</v>
      </c>
      <c r="C5392" s="24" t="s">
        <v>3237</v>
      </c>
      <c r="D5392" s="22" t="s">
        <v>6301</v>
      </c>
      <c r="E5392" s="23" t="s">
        <v>6936</v>
      </c>
      <c r="F5392" s="24" t="s">
        <v>6937</v>
      </c>
      <c r="G5392" s="24" t="s">
        <v>88</v>
      </c>
      <c r="H5392" s="25" t="s">
        <v>6979</v>
      </c>
      <c r="I5392" s="46" t="str">
        <f>VLOOKUP(H5392,'合同高级查询数据-4月返'!A:A,1,FALSE)</f>
        <v>182315IDC00162</v>
      </c>
      <c r="J5392" s="47" t="s">
        <v>3488</v>
      </c>
      <c r="K5392" s="24" t="s">
        <v>6980</v>
      </c>
      <c r="L5392" s="109"/>
      <c r="M5392" s="49" t="s">
        <v>6961</v>
      </c>
      <c r="N5392" s="50">
        <v>44869</v>
      </c>
      <c r="O5392" s="22" t="s">
        <v>503</v>
      </c>
      <c r="P5392" s="52">
        <v>4800</v>
      </c>
      <c r="Q5392" s="70">
        <v>-3</v>
      </c>
      <c r="R5392" s="52">
        <f t="shared" si="168"/>
        <v>-14400</v>
      </c>
      <c r="S5392" s="47">
        <v>202304</v>
      </c>
      <c r="T5392" s="123" t="s">
        <v>7018</v>
      </c>
      <c r="U5392" s="48"/>
      <c r="V5392" s="48"/>
      <c r="W5392" s="48"/>
      <c r="X5392" s="50">
        <v>44958</v>
      </c>
      <c r="Y5392" s="50">
        <v>45291</v>
      </c>
    </row>
    <row r="5393" s="3" customFormat="1" customHeight="1" spans="1:25">
      <c r="A5393" s="11" t="s">
        <v>444</v>
      </c>
      <c r="B5393" s="11" t="s">
        <v>6300</v>
      </c>
      <c r="C5393" s="11" t="s">
        <v>3237</v>
      </c>
      <c r="D5393" s="35" t="s">
        <v>6301</v>
      </c>
      <c r="E5393" s="13" t="s">
        <v>6936</v>
      </c>
      <c r="F5393" s="11" t="s">
        <v>6937</v>
      </c>
      <c r="G5393" s="11" t="s">
        <v>78</v>
      </c>
      <c r="H5393" s="110" t="s">
        <v>7019</v>
      </c>
      <c r="I5393" s="30" t="e">
        <f>VLOOKUP(H5393,'合同高级查询数据-4月返'!A:A,1,FALSE)</f>
        <v>#N/A</v>
      </c>
      <c r="J5393" s="31" t="s">
        <v>530</v>
      </c>
      <c r="K5393" s="11" t="s">
        <v>6980</v>
      </c>
      <c r="L5393" s="32"/>
      <c r="M5393" s="470" t="s">
        <v>6961</v>
      </c>
      <c r="N5393" s="494">
        <v>0</v>
      </c>
      <c r="O5393" s="411">
        <v>0</v>
      </c>
      <c r="P5393" s="465">
        <v>0</v>
      </c>
      <c r="Q5393" s="459">
        <v>0</v>
      </c>
      <c r="R5393" s="465">
        <f t="shared" si="168"/>
        <v>0</v>
      </c>
      <c r="S5393" s="31">
        <v>202304</v>
      </c>
      <c r="T5393" s="60" t="s">
        <v>7020</v>
      </c>
      <c r="U5393" s="411"/>
      <c r="V5393" s="411"/>
      <c r="W5393" s="411"/>
      <c r="X5393" s="34"/>
      <c r="Y5393" s="34"/>
    </row>
    <row r="5394" s="5" customFormat="1" customHeight="1" spans="1:25">
      <c r="A5394" s="24" t="s">
        <v>444</v>
      </c>
      <c r="B5394" s="24" t="s">
        <v>6300</v>
      </c>
      <c r="C5394" s="24" t="s">
        <v>3237</v>
      </c>
      <c r="D5394" s="22" t="s">
        <v>6301</v>
      </c>
      <c r="E5394" s="23" t="s">
        <v>6936</v>
      </c>
      <c r="F5394" s="24" t="s">
        <v>6937</v>
      </c>
      <c r="G5394" s="24" t="s">
        <v>88</v>
      </c>
      <c r="H5394" s="25" t="s">
        <v>7021</v>
      </c>
      <c r="I5394" s="46" t="e">
        <f>VLOOKUP(H5394,'合同高级查询数据-4月返'!A:A,1,FALSE)</f>
        <v>#N/A</v>
      </c>
      <c r="J5394" s="47" t="s">
        <v>3488</v>
      </c>
      <c r="K5394" s="24" t="s">
        <v>514</v>
      </c>
      <c r="L5394" s="109"/>
      <c r="M5394" s="49" t="s">
        <v>6939</v>
      </c>
      <c r="N5394" s="50">
        <v>43229</v>
      </c>
      <c r="O5394" s="22" t="s">
        <v>503</v>
      </c>
      <c r="P5394" s="52">
        <v>5950</v>
      </c>
      <c r="Q5394" s="70">
        <v>4</v>
      </c>
      <c r="R5394" s="52">
        <f t="shared" si="168"/>
        <v>23800</v>
      </c>
      <c r="S5394" s="47">
        <v>202304</v>
      </c>
      <c r="T5394" s="123" t="s">
        <v>7022</v>
      </c>
      <c r="U5394" s="48"/>
      <c r="V5394" s="48"/>
      <c r="W5394" s="48"/>
      <c r="X5394" s="50">
        <v>43190</v>
      </c>
      <c r="Y5394" s="50">
        <v>45382</v>
      </c>
    </row>
    <row r="5395" s="5" customFormat="1" customHeight="1" spans="1:25">
      <c r="A5395" s="24" t="s">
        <v>444</v>
      </c>
      <c r="B5395" s="24" t="s">
        <v>6300</v>
      </c>
      <c r="C5395" s="24" t="s">
        <v>3237</v>
      </c>
      <c r="D5395" s="22" t="s">
        <v>6301</v>
      </c>
      <c r="E5395" s="23" t="s">
        <v>6936</v>
      </c>
      <c r="F5395" s="24" t="s">
        <v>6937</v>
      </c>
      <c r="G5395" s="24" t="s">
        <v>88</v>
      </c>
      <c r="H5395" s="25" t="s">
        <v>7021</v>
      </c>
      <c r="I5395" s="46" t="e">
        <f>VLOOKUP(H5395,'合同高级查询数据-4月返'!A:A,1,FALSE)</f>
        <v>#N/A</v>
      </c>
      <c r="J5395" s="47" t="s">
        <v>3488</v>
      </c>
      <c r="K5395" s="24" t="s">
        <v>514</v>
      </c>
      <c r="L5395" s="109"/>
      <c r="M5395" s="49" t="s">
        <v>6939</v>
      </c>
      <c r="N5395" s="50">
        <v>43250</v>
      </c>
      <c r="O5395" s="22" t="s">
        <v>503</v>
      </c>
      <c r="P5395" s="52">
        <v>5950</v>
      </c>
      <c r="Q5395" s="70">
        <v>3</v>
      </c>
      <c r="R5395" s="52">
        <f t="shared" si="168"/>
        <v>17850</v>
      </c>
      <c r="S5395" s="47">
        <v>202304</v>
      </c>
      <c r="T5395" s="123"/>
      <c r="U5395" s="48"/>
      <c r="V5395" s="48"/>
      <c r="W5395" s="48"/>
      <c r="X5395" s="50">
        <v>43190</v>
      </c>
      <c r="Y5395" s="50">
        <v>45382</v>
      </c>
    </row>
    <row r="5396" s="5" customFormat="1" customHeight="1" spans="1:25">
      <c r="A5396" s="24" t="s">
        <v>444</v>
      </c>
      <c r="B5396" s="24" t="s">
        <v>6300</v>
      </c>
      <c r="C5396" s="24" t="s">
        <v>3237</v>
      </c>
      <c r="D5396" s="22" t="s">
        <v>6301</v>
      </c>
      <c r="E5396" s="23" t="s">
        <v>6936</v>
      </c>
      <c r="F5396" s="24" t="s">
        <v>6937</v>
      </c>
      <c r="G5396" s="24" t="s">
        <v>88</v>
      </c>
      <c r="H5396" s="25" t="s">
        <v>7021</v>
      </c>
      <c r="I5396" s="46" t="e">
        <f>VLOOKUP(H5396,'合同高级查询数据-4月返'!A:A,1,FALSE)</f>
        <v>#N/A</v>
      </c>
      <c r="J5396" s="47" t="s">
        <v>3488</v>
      </c>
      <c r="K5396" s="24" t="s">
        <v>514</v>
      </c>
      <c r="L5396" s="109"/>
      <c r="M5396" s="49" t="s">
        <v>6939</v>
      </c>
      <c r="N5396" s="50">
        <v>43255</v>
      </c>
      <c r="O5396" s="22" t="s">
        <v>503</v>
      </c>
      <c r="P5396" s="52">
        <v>5950</v>
      </c>
      <c r="Q5396" s="70">
        <v>7</v>
      </c>
      <c r="R5396" s="52">
        <f t="shared" si="168"/>
        <v>41650</v>
      </c>
      <c r="S5396" s="47">
        <v>202304</v>
      </c>
      <c r="T5396" s="123"/>
      <c r="U5396" s="48"/>
      <c r="V5396" s="48"/>
      <c r="W5396" s="48"/>
      <c r="X5396" s="50">
        <v>43190</v>
      </c>
      <c r="Y5396" s="50">
        <v>45382</v>
      </c>
    </row>
    <row r="5397" s="5" customFormat="1" customHeight="1" spans="1:25">
      <c r="A5397" s="24" t="s">
        <v>444</v>
      </c>
      <c r="B5397" s="24" t="s">
        <v>6300</v>
      </c>
      <c r="C5397" s="24" t="s">
        <v>3237</v>
      </c>
      <c r="D5397" s="22" t="s">
        <v>6301</v>
      </c>
      <c r="E5397" s="23" t="s">
        <v>6936</v>
      </c>
      <c r="F5397" s="24" t="s">
        <v>6937</v>
      </c>
      <c r="G5397" s="24" t="s">
        <v>88</v>
      </c>
      <c r="H5397" s="25" t="s">
        <v>7021</v>
      </c>
      <c r="I5397" s="46" t="e">
        <f>VLOOKUP(H5397,'合同高级查询数据-4月返'!A:A,1,FALSE)</f>
        <v>#N/A</v>
      </c>
      <c r="J5397" s="47" t="s">
        <v>3488</v>
      </c>
      <c r="K5397" s="24" t="s">
        <v>514</v>
      </c>
      <c r="L5397" s="109"/>
      <c r="M5397" s="49" t="s">
        <v>6939</v>
      </c>
      <c r="N5397" s="50">
        <v>43256</v>
      </c>
      <c r="O5397" s="22" t="s">
        <v>503</v>
      </c>
      <c r="P5397" s="52">
        <v>5950</v>
      </c>
      <c r="Q5397" s="70">
        <v>41</v>
      </c>
      <c r="R5397" s="52">
        <f t="shared" si="168"/>
        <v>243950</v>
      </c>
      <c r="S5397" s="47">
        <v>202304</v>
      </c>
      <c r="T5397" s="123"/>
      <c r="U5397" s="48"/>
      <c r="V5397" s="48"/>
      <c r="W5397" s="48"/>
      <c r="X5397" s="50">
        <v>43190</v>
      </c>
      <c r="Y5397" s="50">
        <v>45382</v>
      </c>
    </row>
    <row r="5398" s="5" customFormat="1" customHeight="1" spans="1:25">
      <c r="A5398" s="24" t="s">
        <v>444</v>
      </c>
      <c r="B5398" s="24" t="s">
        <v>6300</v>
      </c>
      <c r="C5398" s="24" t="s">
        <v>3237</v>
      </c>
      <c r="D5398" s="22" t="s">
        <v>6301</v>
      </c>
      <c r="E5398" s="23" t="s">
        <v>6936</v>
      </c>
      <c r="F5398" s="24" t="s">
        <v>6937</v>
      </c>
      <c r="G5398" s="24" t="s">
        <v>88</v>
      </c>
      <c r="H5398" s="25" t="s">
        <v>7021</v>
      </c>
      <c r="I5398" s="46" t="e">
        <f>VLOOKUP(H5398,'合同高级查询数据-4月返'!A:A,1,FALSE)</f>
        <v>#N/A</v>
      </c>
      <c r="J5398" s="47" t="s">
        <v>3488</v>
      </c>
      <c r="K5398" s="24" t="s">
        <v>514</v>
      </c>
      <c r="L5398" s="109"/>
      <c r="M5398" s="49" t="s">
        <v>6939</v>
      </c>
      <c r="N5398" s="50">
        <v>43263</v>
      </c>
      <c r="O5398" s="22" t="s">
        <v>503</v>
      </c>
      <c r="P5398" s="52">
        <v>5950</v>
      </c>
      <c r="Q5398" s="70">
        <v>20</v>
      </c>
      <c r="R5398" s="52">
        <f t="shared" si="168"/>
        <v>119000</v>
      </c>
      <c r="S5398" s="47">
        <v>202304</v>
      </c>
      <c r="T5398" s="123"/>
      <c r="U5398" s="48"/>
      <c r="V5398" s="48"/>
      <c r="W5398" s="48"/>
      <c r="X5398" s="50">
        <v>43190</v>
      </c>
      <c r="Y5398" s="50">
        <v>45382</v>
      </c>
    </row>
    <row r="5399" s="5" customFormat="1" customHeight="1" spans="1:25">
      <c r="A5399" s="24" t="s">
        <v>444</v>
      </c>
      <c r="B5399" s="24" t="s">
        <v>6300</v>
      </c>
      <c r="C5399" s="24" t="s">
        <v>3237</v>
      </c>
      <c r="D5399" s="22" t="s">
        <v>6301</v>
      </c>
      <c r="E5399" s="23" t="s">
        <v>6936</v>
      </c>
      <c r="F5399" s="24" t="s">
        <v>6937</v>
      </c>
      <c r="G5399" s="24" t="s">
        <v>88</v>
      </c>
      <c r="H5399" s="25" t="s">
        <v>7021</v>
      </c>
      <c r="I5399" s="46" t="e">
        <f>VLOOKUP(H5399,'合同高级查询数据-4月返'!A:A,1,FALSE)</f>
        <v>#N/A</v>
      </c>
      <c r="J5399" s="47" t="s">
        <v>3488</v>
      </c>
      <c r="K5399" s="24" t="s">
        <v>514</v>
      </c>
      <c r="L5399" s="109"/>
      <c r="M5399" s="49" t="s">
        <v>6939</v>
      </c>
      <c r="N5399" s="50">
        <v>43273</v>
      </c>
      <c r="O5399" s="22" t="s">
        <v>503</v>
      </c>
      <c r="P5399" s="52">
        <v>5950</v>
      </c>
      <c r="Q5399" s="70">
        <v>3</v>
      </c>
      <c r="R5399" s="52">
        <f t="shared" si="168"/>
        <v>17850</v>
      </c>
      <c r="S5399" s="47">
        <v>202304</v>
      </c>
      <c r="T5399" s="123"/>
      <c r="U5399" s="48"/>
      <c r="V5399" s="48"/>
      <c r="W5399" s="48"/>
      <c r="X5399" s="50">
        <v>43190</v>
      </c>
      <c r="Y5399" s="50">
        <v>45382</v>
      </c>
    </row>
    <row r="5400" s="5" customFormat="1" customHeight="1" spans="1:25">
      <c r="A5400" s="24" t="s">
        <v>444</v>
      </c>
      <c r="B5400" s="24" t="s">
        <v>6300</v>
      </c>
      <c r="C5400" s="24" t="s">
        <v>3237</v>
      </c>
      <c r="D5400" s="22" t="s">
        <v>6301</v>
      </c>
      <c r="E5400" s="23" t="s">
        <v>6936</v>
      </c>
      <c r="F5400" s="24" t="s">
        <v>6937</v>
      </c>
      <c r="G5400" s="24" t="s">
        <v>88</v>
      </c>
      <c r="H5400" s="25" t="s">
        <v>7021</v>
      </c>
      <c r="I5400" s="46" t="e">
        <f>VLOOKUP(H5400,'合同高级查询数据-4月返'!A:A,1,FALSE)</f>
        <v>#N/A</v>
      </c>
      <c r="J5400" s="47" t="s">
        <v>3488</v>
      </c>
      <c r="K5400" s="24" t="s">
        <v>514</v>
      </c>
      <c r="L5400" s="109"/>
      <c r="M5400" s="49" t="s">
        <v>6939</v>
      </c>
      <c r="N5400" s="50">
        <v>43283</v>
      </c>
      <c r="O5400" s="22" t="s">
        <v>503</v>
      </c>
      <c r="P5400" s="52">
        <v>5950</v>
      </c>
      <c r="Q5400" s="70">
        <v>2</v>
      </c>
      <c r="R5400" s="52">
        <f t="shared" si="168"/>
        <v>11900</v>
      </c>
      <c r="S5400" s="47">
        <v>202304</v>
      </c>
      <c r="T5400" s="123"/>
      <c r="U5400" s="48"/>
      <c r="V5400" s="48"/>
      <c r="W5400" s="48"/>
      <c r="X5400" s="50">
        <v>43190</v>
      </c>
      <c r="Y5400" s="50">
        <v>45382</v>
      </c>
    </row>
    <row r="5401" s="5" customFormat="1" customHeight="1" spans="1:25">
      <c r="A5401" s="24" t="s">
        <v>444</v>
      </c>
      <c r="B5401" s="24" t="s">
        <v>6300</v>
      </c>
      <c r="C5401" s="24" t="s">
        <v>3237</v>
      </c>
      <c r="D5401" s="22" t="s">
        <v>6301</v>
      </c>
      <c r="E5401" s="23" t="s">
        <v>6936</v>
      </c>
      <c r="F5401" s="24" t="s">
        <v>6937</v>
      </c>
      <c r="G5401" s="24" t="s">
        <v>88</v>
      </c>
      <c r="H5401" s="25" t="s">
        <v>7021</v>
      </c>
      <c r="I5401" s="46" t="e">
        <f>VLOOKUP(H5401,'合同高级查询数据-4月返'!A:A,1,FALSE)</f>
        <v>#N/A</v>
      </c>
      <c r="J5401" s="47" t="s">
        <v>3488</v>
      </c>
      <c r="K5401" s="24" t="s">
        <v>514</v>
      </c>
      <c r="L5401" s="109"/>
      <c r="M5401" s="49" t="s">
        <v>6939</v>
      </c>
      <c r="N5401" s="50">
        <v>43284</v>
      </c>
      <c r="O5401" s="22" t="s">
        <v>503</v>
      </c>
      <c r="P5401" s="52">
        <v>5950</v>
      </c>
      <c r="Q5401" s="70">
        <v>9</v>
      </c>
      <c r="R5401" s="52">
        <f t="shared" si="168"/>
        <v>53550</v>
      </c>
      <c r="S5401" s="47">
        <v>202304</v>
      </c>
      <c r="T5401" s="123"/>
      <c r="U5401" s="48"/>
      <c r="V5401" s="48"/>
      <c r="W5401" s="48"/>
      <c r="X5401" s="50">
        <v>43190</v>
      </c>
      <c r="Y5401" s="50">
        <v>45382</v>
      </c>
    </row>
    <row r="5402" s="5" customFormat="1" customHeight="1" spans="1:25">
      <c r="A5402" s="24" t="s">
        <v>444</v>
      </c>
      <c r="B5402" s="24" t="s">
        <v>6300</v>
      </c>
      <c r="C5402" s="24" t="s">
        <v>3237</v>
      </c>
      <c r="D5402" s="22" t="s">
        <v>6301</v>
      </c>
      <c r="E5402" s="23" t="s">
        <v>6936</v>
      </c>
      <c r="F5402" s="24" t="s">
        <v>6937</v>
      </c>
      <c r="G5402" s="24" t="s">
        <v>88</v>
      </c>
      <c r="H5402" s="25" t="s">
        <v>7021</v>
      </c>
      <c r="I5402" s="46" t="e">
        <f>VLOOKUP(H5402,'合同高级查询数据-4月返'!A:A,1,FALSE)</f>
        <v>#N/A</v>
      </c>
      <c r="J5402" s="47" t="s">
        <v>3488</v>
      </c>
      <c r="K5402" s="24" t="s">
        <v>514</v>
      </c>
      <c r="L5402" s="109"/>
      <c r="M5402" s="49" t="s">
        <v>6939</v>
      </c>
      <c r="N5402" s="50">
        <v>43298</v>
      </c>
      <c r="O5402" s="22" t="s">
        <v>503</v>
      </c>
      <c r="P5402" s="52">
        <v>5950</v>
      </c>
      <c r="Q5402" s="70">
        <v>3</v>
      </c>
      <c r="R5402" s="52">
        <f t="shared" ref="R5402:R5465" si="169">ROUND(P5402*Q5402,2)</f>
        <v>17850</v>
      </c>
      <c r="S5402" s="47">
        <v>202304</v>
      </c>
      <c r="T5402" s="123"/>
      <c r="U5402" s="48"/>
      <c r="V5402" s="48"/>
      <c r="W5402" s="48"/>
      <c r="X5402" s="50">
        <v>43190</v>
      </c>
      <c r="Y5402" s="50">
        <v>45382</v>
      </c>
    </row>
    <row r="5403" s="5" customFormat="1" customHeight="1" spans="1:25">
      <c r="A5403" s="24" t="s">
        <v>444</v>
      </c>
      <c r="B5403" s="24" t="s">
        <v>6300</v>
      </c>
      <c r="C5403" s="24" t="s">
        <v>3237</v>
      </c>
      <c r="D5403" s="22" t="s">
        <v>6301</v>
      </c>
      <c r="E5403" s="23" t="s">
        <v>6936</v>
      </c>
      <c r="F5403" s="24" t="s">
        <v>6937</v>
      </c>
      <c r="G5403" s="24" t="s">
        <v>88</v>
      </c>
      <c r="H5403" s="25" t="s">
        <v>7021</v>
      </c>
      <c r="I5403" s="46" t="e">
        <f>VLOOKUP(H5403,'合同高级查询数据-4月返'!A:A,1,FALSE)</f>
        <v>#N/A</v>
      </c>
      <c r="J5403" s="47" t="s">
        <v>3488</v>
      </c>
      <c r="K5403" s="24" t="s">
        <v>514</v>
      </c>
      <c r="L5403" s="109"/>
      <c r="M5403" s="49" t="s">
        <v>6939</v>
      </c>
      <c r="N5403" s="50">
        <v>43299</v>
      </c>
      <c r="O5403" s="22" t="s">
        <v>503</v>
      </c>
      <c r="P5403" s="52">
        <v>5950</v>
      </c>
      <c r="Q5403" s="70">
        <v>2</v>
      </c>
      <c r="R5403" s="52">
        <f t="shared" si="169"/>
        <v>11900</v>
      </c>
      <c r="S5403" s="47">
        <v>202304</v>
      </c>
      <c r="T5403" s="123"/>
      <c r="U5403" s="48"/>
      <c r="V5403" s="48"/>
      <c r="W5403" s="48"/>
      <c r="X5403" s="50">
        <v>43190</v>
      </c>
      <c r="Y5403" s="50">
        <v>45382</v>
      </c>
    </row>
    <row r="5404" s="5" customFormat="1" customHeight="1" spans="1:25">
      <c r="A5404" s="24" t="s">
        <v>444</v>
      </c>
      <c r="B5404" s="24" t="s">
        <v>6300</v>
      </c>
      <c r="C5404" s="24" t="s">
        <v>3237</v>
      </c>
      <c r="D5404" s="22" t="s">
        <v>6301</v>
      </c>
      <c r="E5404" s="23" t="s">
        <v>6936</v>
      </c>
      <c r="F5404" s="24" t="s">
        <v>6937</v>
      </c>
      <c r="G5404" s="24" t="s">
        <v>88</v>
      </c>
      <c r="H5404" s="25" t="s">
        <v>7021</v>
      </c>
      <c r="I5404" s="46" t="e">
        <f>VLOOKUP(H5404,'合同高级查询数据-4月返'!A:A,1,FALSE)</f>
        <v>#N/A</v>
      </c>
      <c r="J5404" s="47" t="s">
        <v>3488</v>
      </c>
      <c r="K5404" s="24" t="s">
        <v>514</v>
      </c>
      <c r="L5404" s="109"/>
      <c r="M5404" s="49" t="s">
        <v>6939</v>
      </c>
      <c r="N5404" s="50">
        <v>43300</v>
      </c>
      <c r="O5404" s="22" t="s">
        <v>503</v>
      </c>
      <c r="P5404" s="52">
        <v>5950</v>
      </c>
      <c r="Q5404" s="70">
        <v>10</v>
      </c>
      <c r="R5404" s="52">
        <f t="shared" si="169"/>
        <v>59500</v>
      </c>
      <c r="S5404" s="47">
        <v>202304</v>
      </c>
      <c r="T5404" s="123"/>
      <c r="U5404" s="48"/>
      <c r="V5404" s="48"/>
      <c r="W5404" s="48"/>
      <c r="X5404" s="50">
        <v>43190</v>
      </c>
      <c r="Y5404" s="50">
        <v>45382</v>
      </c>
    </row>
    <row r="5405" s="5" customFormat="1" customHeight="1" spans="1:25">
      <c r="A5405" s="24" t="s">
        <v>444</v>
      </c>
      <c r="B5405" s="24" t="s">
        <v>6300</v>
      </c>
      <c r="C5405" s="24" t="s">
        <v>3237</v>
      </c>
      <c r="D5405" s="22" t="s">
        <v>6301</v>
      </c>
      <c r="E5405" s="23" t="s">
        <v>6936</v>
      </c>
      <c r="F5405" s="24" t="s">
        <v>6937</v>
      </c>
      <c r="G5405" s="24" t="s">
        <v>88</v>
      </c>
      <c r="H5405" s="25" t="s">
        <v>7021</v>
      </c>
      <c r="I5405" s="46" t="e">
        <f>VLOOKUP(H5405,'合同高级查询数据-4月返'!A:A,1,FALSE)</f>
        <v>#N/A</v>
      </c>
      <c r="J5405" s="47" t="s">
        <v>3488</v>
      </c>
      <c r="K5405" s="24" t="s">
        <v>514</v>
      </c>
      <c r="L5405" s="109"/>
      <c r="M5405" s="49" t="s">
        <v>6939</v>
      </c>
      <c r="N5405" s="50">
        <v>43301</v>
      </c>
      <c r="O5405" s="22" t="s">
        <v>503</v>
      </c>
      <c r="P5405" s="52">
        <v>5950</v>
      </c>
      <c r="Q5405" s="70">
        <v>4</v>
      </c>
      <c r="R5405" s="52">
        <f t="shared" si="169"/>
        <v>23800</v>
      </c>
      <c r="S5405" s="47">
        <v>202304</v>
      </c>
      <c r="T5405" s="123"/>
      <c r="U5405" s="48"/>
      <c r="V5405" s="48"/>
      <c r="W5405" s="48"/>
      <c r="X5405" s="50">
        <v>43190</v>
      </c>
      <c r="Y5405" s="50">
        <v>45382</v>
      </c>
    </row>
    <row r="5406" s="5" customFormat="1" customHeight="1" spans="1:25">
      <c r="A5406" s="24" t="s">
        <v>444</v>
      </c>
      <c r="B5406" s="24" t="s">
        <v>6300</v>
      </c>
      <c r="C5406" s="24" t="s">
        <v>3237</v>
      </c>
      <c r="D5406" s="22" t="s">
        <v>6301</v>
      </c>
      <c r="E5406" s="23" t="s">
        <v>6936</v>
      </c>
      <c r="F5406" s="24" t="s">
        <v>6937</v>
      </c>
      <c r="G5406" s="24" t="s">
        <v>88</v>
      </c>
      <c r="H5406" s="25" t="s">
        <v>7021</v>
      </c>
      <c r="I5406" s="46" t="e">
        <f>VLOOKUP(H5406,'合同高级查询数据-4月返'!A:A,1,FALSE)</f>
        <v>#N/A</v>
      </c>
      <c r="J5406" s="47" t="s">
        <v>3488</v>
      </c>
      <c r="K5406" s="24" t="s">
        <v>514</v>
      </c>
      <c r="L5406" s="109"/>
      <c r="M5406" s="49" t="s">
        <v>6939</v>
      </c>
      <c r="N5406" s="50">
        <v>43318</v>
      </c>
      <c r="O5406" s="22" t="s">
        <v>503</v>
      </c>
      <c r="P5406" s="52">
        <v>5950</v>
      </c>
      <c r="Q5406" s="70">
        <v>12</v>
      </c>
      <c r="R5406" s="52">
        <f t="shared" si="169"/>
        <v>71400</v>
      </c>
      <c r="S5406" s="47">
        <v>202304</v>
      </c>
      <c r="T5406" s="123"/>
      <c r="U5406" s="48"/>
      <c r="V5406" s="48"/>
      <c r="W5406" s="48"/>
      <c r="X5406" s="50">
        <v>43190</v>
      </c>
      <c r="Y5406" s="50">
        <v>45382</v>
      </c>
    </row>
    <row r="5407" s="5" customFormat="1" customHeight="1" spans="1:25">
      <c r="A5407" s="24" t="s">
        <v>444</v>
      </c>
      <c r="B5407" s="24" t="s">
        <v>6300</v>
      </c>
      <c r="C5407" s="24" t="s">
        <v>3237</v>
      </c>
      <c r="D5407" s="22" t="s">
        <v>6301</v>
      </c>
      <c r="E5407" s="23" t="s">
        <v>6936</v>
      </c>
      <c r="F5407" s="24" t="s">
        <v>6937</v>
      </c>
      <c r="G5407" s="24" t="s">
        <v>88</v>
      </c>
      <c r="H5407" s="25" t="s">
        <v>7021</v>
      </c>
      <c r="I5407" s="46" t="e">
        <f>VLOOKUP(H5407,'合同高级查询数据-4月返'!A:A,1,FALSE)</f>
        <v>#N/A</v>
      </c>
      <c r="J5407" s="47" t="s">
        <v>3488</v>
      </c>
      <c r="K5407" s="24" t="s">
        <v>514</v>
      </c>
      <c r="L5407" s="109"/>
      <c r="M5407" s="49" t="s">
        <v>6939</v>
      </c>
      <c r="N5407" s="50">
        <v>43319</v>
      </c>
      <c r="O5407" s="22" t="s">
        <v>503</v>
      </c>
      <c r="P5407" s="52">
        <v>5950</v>
      </c>
      <c r="Q5407" s="70">
        <v>11</v>
      </c>
      <c r="R5407" s="52">
        <f t="shared" si="169"/>
        <v>65450</v>
      </c>
      <c r="S5407" s="47">
        <v>202304</v>
      </c>
      <c r="T5407" s="123"/>
      <c r="U5407" s="48"/>
      <c r="V5407" s="48"/>
      <c r="W5407" s="48"/>
      <c r="X5407" s="50">
        <v>43190</v>
      </c>
      <c r="Y5407" s="50">
        <v>45382</v>
      </c>
    </row>
    <row r="5408" s="5" customFormat="1" customHeight="1" spans="1:25">
      <c r="A5408" s="24" t="s">
        <v>444</v>
      </c>
      <c r="B5408" s="24" t="s">
        <v>6300</v>
      </c>
      <c r="C5408" s="24" t="s">
        <v>3237</v>
      </c>
      <c r="D5408" s="22" t="s">
        <v>6301</v>
      </c>
      <c r="E5408" s="23" t="s">
        <v>6936</v>
      </c>
      <c r="F5408" s="24" t="s">
        <v>6937</v>
      </c>
      <c r="G5408" s="24" t="s">
        <v>88</v>
      </c>
      <c r="H5408" s="25" t="s">
        <v>7021</v>
      </c>
      <c r="I5408" s="46" t="e">
        <f>VLOOKUP(H5408,'合同高级查询数据-4月返'!A:A,1,FALSE)</f>
        <v>#N/A</v>
      </c>
      <c r="J5408" s="47" t="s">
        <v>3488</v>
      </c>
      <c r="K5408" s="24" t="s">
        <v>514</v>
      </c>
      <c r="L5408" s="109"/>
      <c r="M5408" s="49" t="s">
        <v>6939</v>
      </c>
      <c r="N5408" s="50">
        <v>43325</v>
      </c>
      <c r="O5408" s="22" t="s">
        <v>503</v>
      </c>
      <c r="P5408" s="52">
        <v>5950</v>
      </c>
      <c r="Q5408" s="70">
        <v>14</v>
      </c>
      <c r="R5408" s="52">
        <f t="shared" si="169"/>
        <v>83300</v>
      </c>
      <c r="S5408" s="47">
        <v>202304</v>
      </c>
      <c r="T5408" s="123"/>
      <c r="U5408" s="48"/>
      <c r="V5408" s="48"/>
      <c r="W5408" s="48"/>
      <c r="X5408" s="50">
        <v>43190</v>
      </c>
      <c r="Y5408" s="50">
        <v>45382</v>
      </c>
    </row>
    <row r="5409" s="5" customFormat="1" customHeight="1" spans="1:25">
      <c r="A5409" s="24" t="s">
        <v>444</v>
      </c>
      <c r="B5409" s="24" t="s">
        <v>6300</v>
      </c>
      <c r="C5409" s="24" t="s">
        <v>3237</v>
      </c>
      <c r="D5409" s="22" t="s">
        <v>6301</v>
      </c>
      <c r="E5409" s="23" t="s">
        <v>6936</v>
      </c>
      <c r="F5409" s="24" t="s">
        <v>6937</v>
      </c>
      <c r="G5409" s="24" t="s">
        <v>88</v>
      </c>
      <c r="H5409" s="25" t="s">
        <v>7021</v>
      </c>
      <c r="I5409" s="46" t="e">
        <f>VLOOKUP(H5409,'合同高级查询数据-4月返'!A:A,1,FALSE)</f>
        <v>#N/A</v>
      </c>
      <c r="J5409" s="47" t="s">
        <v>3488</v>
      </c>
      <c r="K5409" s="24" t="s">
        <v>514</v>
      </c>
      <c r="L5409" s="109"/>
      <c r="M5409" s="49" t="s">
        <v>6939</v>
      </c>
      <c r="N5409" s="50">
        <v>43326</v>
      </c>
      <c r="O5409" s="22" t="s">
        <v>503</v>
      </c>
      <c r="P5409" s="52">
        <v>5950</v>
      </c>
      <c r="Q5409" s="70">
        <v>6</v>
      </c>
      <c r="R5409" s="52">
        <f t="shared" si="169"/>
        <v>35700</v>
      </c>
      <c r="S5409" s="47">
        <v>202304</v>
      </c>
      <c r="T5409" s="123"/>
      <c r="U5409" s="48"/>
      <c r="V5409" s="48"/>
      <c r="W5409" s="48"/>
      <c r="X5409" s="50">
        <v>43190</v>
      </c>
      <c r="Y5409" s="50">
        <v>45382</v>
      </c>
    </row>
    <row r="5410" s="5" customFormat="1" customHeight="1" spans="1:25">
      <c r="A5410" s="24" t="s">
        <v>444</v>
      </c>
      <c r="B5410" s="24" t="s">
        <v>6300</v>
      </c>
      <c r="C5410" s="24" t="s">
        <v>3237</v>
      </c>
      <c r="D5410" s="22" t="s">
        <v>6301</v>
      </c>
      <c r="E5410" s="23" t="s">
        <v>6936</v>
      </c>
      <c r="F5410" s="24" t="s">
        <v>6937</v>
      </c>
      <c r="G5410" s="24" t="s">
        <v>88</v>
      </c>
      <c r="H5410" s="25" t="s">
        <v>7021</v>
      </c>
      <c r="I5410" s="46" t="e">
        <f>VLOOKUP(H5410,'合同高级查询数据-4月返'!A:A,1,FALSE)</f>
        <v>#N/A</v>
      </c>
      <c r="J5410" s="47" t="s">
        <v>3488</v>
      </c>
      <c r="K5410" s="24" t="s">
        <v>514</v>
      </c>
      <c r="L5410" s="109"/>
      <c r="M5410" s="49" t="s">
        <v>6939</v>
      </c>
      <c r="N5410" s="50">
        <v>43328</v>
      </c>
      <c r="O5410" s="22" t="s">
        <v>503</v>
      </c>
      <c r="P5410" s="52">
        <v>5950</v>
      </c>
      <c r="Q5410" s="70">
        <v>30</v>
      </c>
      <c r="R5410" s="52">
        <f t="shared" si="169"/>
        <v>178500</v>
      </c>
      <c r="S5410" s="47">
        <v>202304</v>
      </c>
      <c r="T5410" s="123"/>
      <c r="U5410" s="48"/>
      <c r="V5410" s="48"/>
      <c r="W5410" s="48"/>
      <c r="X5410" s="50">
        <v>43190</v>
      </c>
      <c r="Y5410" s="50">
        <v>45382</v>
      </c>
    </row>
    <row r="5411" s="5" customFormat="1" customHeight="1" spans="1:25">
      <c r="A5411" s="24" t="s">
        <v>444</v>
      </c>
      <c r="B5411" s="24" t="s">
        <v>6300</v>
      </c>
      <c r="C5411" s="24" t="s">
        <v>3237</v>
      </c>
      <c r="D5411" s="22" t="s">
        <v>6301</v>
      </c>
      <c r="E5411" s="23" t="s">
        <v>6936</v>
      </c>
      <c r="F5411" s="24" t="s">
        <v>6937</v>
      </c>
      <c r="G5411" s="24" t="s">
        <v>88</v>
      </c>
      <c r="H5411" s="25" t="s">
        <v>7021</v>
      </c>
      <c r="I5411" s="46" t="e">
        <f>VLOOKUP(H5411,'合同高级查询数据-4月返'!A:A,1,FALSE)</f>
        <v>#N/A</v>
      </c>
      <c r="J5411" s="47" t="s">
        <v>3488</v>
      </c>
      <c r="K5411" s="24" t="s">
        <v>514</v>
      </c>
      <c r="L5411" s="109"/>
      <c r="M5411" s="49" t="s">
        <v>6939</v>
      </c>
      <c r="N5411" s="50">
        <v>43329</v>
      </c>
      <c r="O5411" s="22" t="s">
        <v>503</v>
      </c>
      <c r="P5411" s="52">
        <v>5950</v>
      </c>
      <c r="Q5411" s="70">
        <v>6</v>
      </c>
      <c r="R5411" s="52">
        <f t="shared" si="169"/>
        <v>35700</v>
      </c>
      <c r="S5411" s="47">
        <v>202304</v>
      </c>
      <c r="T5411" s="123"/>
      <c r="U5411" s="48"/>
      <c r="V5411" s="48"/>
      <c r="W5411" s="48"/>
      <c r="X5411" s="50">
        <v>43190</v>
      </c>
      <c r="Y5411" s="50">
        <v>45382</v>
      </c>
    </row>
    <row r="5412" s="5" customFormat="1" customHeight="1" spans="1:25">
      <c r="A5412" s="24" t="s">
        <v>444</v>
      </c>
      <c r="B5412" s="24" t="s">
        <v>6300</v>
      </c>
      <c r="C5412" s="24" t="s">
        <v>3237</v>
      </c>
      <c r="D5412" s="22" t="s">
        <v>6301</v>
      </c>
      <c r="E5412" s="23" t="s">
        <v>6936</v>
      </c>
      <c r="F5412" s="24" t="s">
        <v>6937</v>
      </c>
      <c r="G5412" s="24" t="s">
        <v>88</v>
      </c>
      <c r="H5412" s="25" t="s">
        <v>7021</v>
      </c>
      <c r="I5412" s="46" t="e">
        <f>VLOOKUP(H5412,'合同高级查询数据-4月返'!A:A,1,FALSE)</f>
        <v>#N/A</v>
      </c>
      <c r="J5412" s="47" t="s">
        <v>3488</v>
      </c>
      <c r="K5412" s="24" t="s">
        <v>514</v>
      </c>
      <c r="L5412" s="109"/>
      <c r="M5412" s="49" t="s">
        <v>6939</v>
      </c>
      <c r="N5412" s="50">
        <v>43334</v>
      </c>
      <c r="O5412" s="22" t="s">
        <v>503</v>
      </c>
      <c r="P5412" s="52">
        <v>5950</v>
      </c>
      <c r="Q5412" s="70">
        <v>11</v>
      </c>
      <c r="R5412" s="52">
        <f t="shared" si="169"/>
        <v>65450</v>
      </c>
      <c r="S5412" s="47">
        <v>202304</v>
      </c>
      <c r="T5412" s="123"/>
      <c r="U5412" s="48"/>
      <c r="V5412" s="48"/>
      <c r="W5412" s="48"/>
      <c r="X5412" s="50">
        <v>43190</v>
      </c>
      <c r="Y5412" s="50">
        <v>45382</v>
      </c>
    </row>
    <row r="5413" s="5" customFormat="1" customHeight="1" spans="1:25">
      <c r="A5413" s="24" t="s">
        <v>444</v>
      </c>
      <c r="B5413" s="24" t="s">
        <v>6300</v>
      </c>
      <c r="C5413" s="24" t="s">
        <v>3237</v>
      </c>
      <c r="D5413" s="22" t="s">
        <v>6301</v>
      </c>
      <c r="E5413" s="23" t="s">
        <v>6936</v>
      </c>
      <c r="F5413" s="24" t="s">
        <v>6937</v>
      </c>
      <c r="G5413" s="24" t="s">
        <v>88</v>
      </c>
      <c r="H5413" s="25" t="s">
        <v>7021</v>
      </c>
      <c r="I5413" s="46" t="e">
        <f>VLOOKUP(H5413,'合同高级查询数据-4月返'!A:A,1,FALSE)</f>
        <v>#N/A</v>
      </c>
      <c r="J5413" s="47" t="s">
        <v>3488</v>
      </c>
      <c r="K5413" s="24" t="s">
        <v>514</v>
      </c>
      <c r="L5413" s="109"/>
      <c r="M5413" s="49" t="s">
        <v>6939</v>
      </c>
      <c r="N5413" s="50">
        <v>43335</v>
      </c>
      <c r="O5413" s="22" t="s">
        <v>503</v>
      </c>
      <c r="P5413" s="52">
        <v>5950</v>
      </c>
      <c r="Q5413" s="70">
        <v>1</v>
      </c>
      <c r="R5413" s="52">
        <f t="shared" si="169"/>
        <v>5950</v>
      </c>
      <c r="S5413" s="47">
        <v>202304</v>
      </c>
      <c r="T5413" s="123"/>
      <c r="U5413" s="48"/>
      <c r="V5413" s="48"/>
      <c r="W5413" s="48"/>
      <c r="X5413" s="50">
        <v>43190</v>
      </c>
      <c r="Y5413" s="50">
        <v>45382</v>
      </c>
    </row>
    <row r="5414" s="5" customFormat="1" customHeight="1" spans="1:25">
      <c r="A5414" s="24" t="s">
        <v>444</v>
      </c>
      <c r="B5414" s="24" t="s">
        <v>6300</v>
      </c>
      <c r="C5414" s="24" t="s">
        <v>3237</v>
      </c>
      <c r="D5414" s="22" t="s">
        <v>6301</v>
      </c>
      <c r="E5414" s="23" t="s">
        <v>6936</v>
      </c>
      <c r="F5414" s="24" t="s">
        <v>6937</v>
      </c>
      <c r="G5414" s="24" t="s">
        <v>88</v>
      </c>
      <c r="H5414" s="25" t="s">
        <v>7021</v>
      </c>
      <c r="I5414" s="46" t="e">
        <f>VLOOKUP(H5414,'合同高级查询数据-4月返'!A:A,1,FALSE)</f>
        <v>#N/A</v>
      </c>
      <c r="J5414" s="47" t="s">
        <v>3488</v>
      </c>
      <c r="K5414" s="24" t="s">
        <v>514</v>
      </c>
      <c r="L5414" s="109"/>
      <c r="M5414" s="49" t="s">
        <v>6939</v>
      </c>
      <c r="N5414" s="50">
        <v>43339</v>
      </c>
      <c r="O5414" s="22" t="s">
        <v>503</v>
      </c>
      <c r="P5414" s="52">
        <v>5950</v>
      </c>
      <c r="Q5414" s="70">
        <v>21</v>
      </c>
      <c r="R5414" s="52">
        <f t="shared" si="169"/>
        <v>124950</v>
      </c>
      <c r="S5414" s="47">
        <v>202304</v>
      </c>
      <c r="T5414" s="123"/>
      <c r="U5414" s="48"/>
      <c r="V5414" s="48"/>
      <c r="W5414" s="48"/>
      <c r="X5414" s="50">
        <v>43190</v>
      </c>
      <c r="Y5414" s="50">
        <v>45382</v>
      </c>
    </row>
    <row r="5415" s="5" customFormat="1" customHeight="1" spans="1:25">
      <c r="A5415" s="24" t="s">
        <v>444</v>
      </c>
      <c r="B5415" s="24" t="s">
        <v>6300</v>
      </c>
      <c r="C5415" s="24" t="s">
        <v>3237</v>
      </c>
      <c r="D5415" s="22" t="s">
        <v>6301</v>
      </c>
      <c r="E5415" s="23" t="s">
        <v>6936</v>
      </c>
      <c r="F5415" s="24" t="s">
        <v>6937</v>
      </c>
      <c r="G5415" s="24" t="s">
        <v>88</v>
      </c>
      <c r="H5415" s="25" t="s">
        <v>7021</v>
      </c>
      <c r="I5415" s="46" t="e">
        <f>VLOOKUP(H5415,'合同高级查询数据-4月返'!A:A,1,FALSE)</f>
        <v>#N/A</v>
      </c>
      <c r="J5415" s="47" t="s">
        <v>3488</v>
      </c>
      <c r="K5415" s="24" t="s">
        <v>514</v>
      </c>
      <c r="L5415" s="109"/>
      <c r="M5415" s="49" t="s">
        <v>6939</v>
      </c>
      <c r="N5415" s="50">
        <v>43340</v>
      </c>
      <c r="O5415" s="22" t="s">
        <v>503</v>
      </c>
      <c r="P5415" s="52">
        <v>5950</v>
      </c>
      <c r="Q5415" s="70">
        <v>9</v>
      </c>
      <c r="R5415" s="52">
        <f t="shared" si="169"/>
        <v>53550</v>
      </c>
      <c r="S5415" s="47">
        <v>202304</v>
      </c>
      <c r="T5415" s="123"/>
      <c r="U5415" s="48"/>
      <c r="V5415" s="48"/>
      <c r="W5415" s="48"/>
      <c r="X5415" s="50">
        <v>43190</v>
      </c>
      <c r="Y5415" s="50">
        <v>45382</v>
      </c>
    </row>
    <row r="5416" s="5" customFormat="1" customHeight="1" spans="1:25">
      <c r="A5416" s="24" t="s">
        <v>444</v>
      </c>
      <c r="B5416" s="24" t="s">
        <v>6300</v>
      </c>
      <c r="C5416" s="24" t="s">
        <v>3237</v>
      </c>
      <c r="D5416" s="22" t="s">
        <v>6301</v>
      </c>
      <c r="E5416" s="23" t="s">
        <v>6936</v>
      </c>
      <c r="F5416" s="24" t="s">
        <v>6937</v>
      </c>
      <c r="G5416" s="24" t="s">
        <v>88</v>
      </c>
      <c r="H5416" s="25" t="s">
        <v>7021</v>
      </c>
      <c r="I5416" s="46" t="e">
        <f>VLOOKUP(H5416,'合同高级查询数据-4月返'!A:A,1,FALSE)</f>
        <v>#N/A</v>
      </c>
      <c r="J5416" s="47" t="s">
        <v>3488</v>
      </c>
      <c r="K5416" s="24" t="s">
        <v>514</v>
      </c>
      <c r="L5416" s="109"/>
      <c r="M5416" s="49" t="s">
        <v>6939</v>
      </c>
      <c r="N5416" s="50">
        <v>43342</v>
      </c>
      <c r="O5416" s="22" t="s">
        <v>503</v>
      </c>
      <c r="P5416" s="52">
        <v>5950</v>
      </c>
      <c r="Q5416" s="70">
        <v>1</v>
      </c>
      <c r="R5416" s="52">
        <f t="shared" si="169"/>
        <v>5950</v>
      </c>
      <c r="S5416" s="47">
        <v>202304</v>
      </c>
      <c r="T5416" s="123"/>
      <c r="U5416" s="48"/>
      <c r="V5416" s="48"/>
      <c r="W5416" s="48"/>
      <c r="X5416" s="50">
        <v>43190</v>
      </c>
      <c r="Y5416" s="50">
        <v>45382</v>
      </c>
    </row>
    <row r="5417" s="5" customFormat="1" customHeight="1" spans="1:25">
      <c r="A5417" s="24" t="s">
        <v>444</v>
      </c>
      <c r="B5417" s="24" t="s">
        <v>6300</v>
      </c>
      <c r="C5417" s="24" t="s">
        <v>3237</v>
      </c>
      <c r="D5417" s="22" t="s">
        <v>6301</v>
      </c>
      <c r="E5417" s="23" t="s">
        <v>6936</v>
      </c>
      <c r="F5417" s="24" t="s">
        <v>6937</v>
      </c>
      <c r="G5417" s="24" t="s">
        <v>88</v>
      </c>
      <c r="H5417" s="25" t="s">
        <v>7021</v>
      </c>
      <c r="I5417" s="46" t="e">
        <f>VLOOKUP(H5417,'合同高级查询数据-4月返'!A:A,1,FALSE)</f>
        <v>#N/A</v>
      </c>
      <c r="J5417" s="47" t="s">
        <v>3488</v>
      </c>
      <c r="K5417" s="24" t="s">
        <v>514</v>
      </c>
      <c r="L5417" s="109"/>
      <c r="M5417" s="49" t="s">
        <v>6939</v>
      </c>
      <c r="N5417" s="50">
        <v>43343</v>
      </c>
      <c r="O5417" s="22" t="s">
        <v>503</v>
      </c>
      <c r="P5417" s="52">
        <v>5950</v>
      </c>
      <c r="Q5417" s="70">
        <v>4</v>
      </c>
      <c r="R5417" s="52">
        <f t="shared" si="169"/>
        <v>23800</v>
      </c>
      <c r="S5417" s="47">
        <v>202304</v>
      </c>
      <c r="T5417" s="123"/>
      <c r="U5417" s="48"/>
      <c r="V5417" s="48"/>
      <c r="W5417" s="48"/>
      <c r="X5417" s="50">
        <v>43190</v>
      </c>
      <c r="Y5417" s="50">
        <v>45382</v>
      </c>
    </row>
    <row r="5418" s="5" customFormat="1" customHeight="1" spans="1:25">
      <c r="A5418" s="24" t="s">
        <v>444</v>
      </c>
      <c r="B5418" s="24" t="s">
        <v>6300</v>
      </c>
      <c r="C5418" s="24" t="s">
        <v>3237</v>
      </c>
      <c r="D5418" s="22" t="s">
        <v>6301</v>
      </c>
      <c r="E5418" s="23" t="s">
        <v>6936</v>
      </c>
      <c r="F5418" s="24" t="s">
        <v>6937</v>
      </c>
      <c r="G5418" s="24" t="s">
        <v>88</v>
      </c>
      <c r="H5418" s="25" t="s">
        <v>7021</v>
      </c>
      <c r="I5418" s="46" t="e">
        <f>VLOOKUP(H5418,'合同高级查询数据-4月返'!A:A,1,FALSE)</f>
        <v>#N/A</v>
      </c>
      <c r="J5418" s="47" t="s">
        <v>3488</v>
      </c>
      <c r="K5418" s="24" t="s">
        <v>514</v>
      </c>
      <c r="L5418" s="109"/>
      <c r="M5418" s="49" t="s">
        <v>6939</v>
      </c>
      <c r="N5418" s="50">
        <v>43346</v>
      </c>
      <c r="O5418" s="22" t="s">
        <v>503</v>
      </c>
      <c r="P5418" s="52">
        <v>5950</v>
      </c>
      <c r="Q5418" s="70">
        <v>2</v>
      </c>
      <c r="R5418" s="52">
        <f t="shared" si="169"/>
        <v>11900</v>
      </c>
      <c r="S5418" s="47">
        <v>202304</v>
      </c>
      <c r="T5418" s="123"/>
      <c r="U5418" s="48"/>
      <c r="V5418" s="48"/>
      <c r="W5418" s="48"/>
      <c r="X5418" s="50">
        <v>43190</v>
      </c>
      <c r="Y5418" s="50">
        <v>45382</v>
      </c>
    </row>
    <row r="5419" s="5" customFormat="1" customHeight="1" spans="1:25">
      <c r="A5419" s="24" t="s">
        <v>444</v>
      </c>
      <c r="B5419" s="24" t="s">
        <v>6300</v>
      </c>
      <c r="C5419" s="24" t="s">
        <v>3237</v>
      </c>
      <c r="D5419" s="22" t="s">
        <v>6301</v>
      </c>
      <c r="E5419" s="23" t="s">
        <v>6936</v>
      </c>
      <c r="F5419" s="24" t="s">
        <v>6937</v>
      </c>
      <c r="G5419" s="24" t="s">
        <v>88</v>
      </c>
      <c r="H5419" s="25" t="s">
        <v>7021</v>
      </c>
      <c r="I5419" s="46" t="e">
        <f>VLOOKUP(H5419,'合同高级查询数据-4月返'!A:A,1,FALSE)</f>
        <v>#N/A</v>
      </c>
      <c r="J5419" s="47" t="s">
        <v>3488</v>
      </c>
      <c r="K5419" s="24" t="s">
        <v>514</v>
      </c>
      <c r="L5419" s="109"/>
      <c r="M5419" s="49" t="s">
        <v>6939</v>
      </c>
      <c r="N5419" s="50">
        <v>43347</v>
      </c>
      <c r="O5419" s="22" t="s">
        <v>503</v>
      </c>
      <c r="P5419" s="52">
        <v>5950</v>
      </c>
      <c r="Q5419" s="70">
        <v>16</v>
      </c>
      <c r="R5419" s="52">
        <f t="shared" si="169"/>
        <v>95200</v>
      </c>
      <c r="S5419" s="47">
        <v>202304</v>
      </c>
      <c r="T5419" s="123"/>
      <c r="U5419" s="48"/>
      <c r="V5419" s="48"/>
      <c r="W5419" s="48"/>
      <c r="X5419" s="50">
        <v>43190</v>
      </c>
      <c r="Y5419" s="50">
        <v>45382</v>
      </c>
    </row>
    <row r="5420" s="5" customFormat="1" customHeight="1" spans="1:25">
      <c r="A5420" s="24" t="s">
        <v>444</v>
      </c>
      <c r="B5420" s="24" t="s">
        <v>6300</v>
      </c>
      <c r="C5420" s="24" t="s">
        <v>3237</v>
      </c>
      <c r="D5420" s="22" t="s">
        <v>6301</v>
      </c>
      <c r="E5420" s="23" t="s">
        <v>6936</v>
      </c>
      <c r="F5420" s="24" t="s">
        <v>6937</v>
      </c>
      <c r="G5420" s="24" t="s">
        <v>88</v>
      </c>
      <c r="H5420" s="25" t="s">
        <v>7021</v>
      </c>
      <c r="I5420" s="46" t="e">
        <f>VLOOKUP(H5420,'合同高级查询数据-4月返'!A:A,1,FALSE)</f>
        <v>#N/A</v>
      </c>
      <c r="J5420" s="47" t="s">
        <v>3488</v>
      </c>
      <c r="K5420" s="24" t="s">
        <v>514</v>
      </c>
      <c r="L5420" s="109"/>
      <c r="M5420" s="49" t="s">
        <v>6939</v>
      </c>
      <c r="N5420" s="50">
        <v>43347</v>
      </c>
      <c r="O5420" s="22" t="s">
        <v>3120</v>
      </c>
      <c r="P5420" s="52">
        <v>20284</v>
      </c>
      <c r="Q5420" s="70">
        <v>6</v>
      </c>
      <c r="R5420" s="52">
        <f t="shared" si="169"/>
        <v>121704</v>
      </c>
      <c r="S5420" s="47">
        <v>202304</v>
      </c>
      <c r="T5420" s="123" t="s">
        <v>7023</v>
      </c>
      <c r="U5420" s="48"/>
      <c r="V5420" s="48"/>
      <c r="W5420" s="48"/>
      <c r="X5420" s="50">
        <v>43190</v>
      </c>
      <c r="Y5420" s="50">
        <v>45382</v>
      </c>
    </row>
    <row r="5421" s="5" customFormat="1" customHeight="1" spans="1:25">
      <c r="A5421" s="24" t="s">
        <v>444</v>
      </c>
      <c r="B5421" s="24" t="s">
        <v>6300</v>
      </c>
      <c r="C5421" s="24" t="s">
        <v>3237</v>
      </c>
      <c r="D5421" s="22" t="s">
        <v>6301</v>
      </c>
      <c r="E5421" s="23" t="s">
        <v>6936</v>
      </c>
      <c r="F5421" s="24" t="s">
        <v>6937</v>
      </c>
      <c r="G5421" s="24" t="s">
        <v>88</v>
      </c>
      <c r="H5421" s="25" t="s">
        <v>7021</v>
      </c>
      <c r="I5421" s="46" t="e">
        <f>VLOOKUP(H5421,'合同高级查询数据-4月返'!A:A,1,FALSE)</f>
        <v>#N/A</v>
      </c>
      <c r="J5421" s="47" t="s">
        <v>3488</v>
      </c>
      <c r="K5421" s="24" t="s">
        <v>514</v>
      </c>
      <c r="L5421" s="109"/>
      <c r="M5421" s="49" t="s">
        <v>6939</v>
      </c>
      <c r="N5421" s="50">
        <v>43347</v>
      </c>
      <c r="O5421" s="22" t="s">
        <v>525</v>
      </c>
      <c r="P5421" s="52">
        <v>5950</v>
      </c>
      <c r="Q5421" s="70">
        <v>2</v>
      </c>
      <c r="R5421" s="52">
        <f t="shared" si="169"/>
        <v>11900</v>
      </c>
      <c r="S5421" s="47">
        <v>202304</v>
      </c>
      <c r="T5421" s="123" t="s">
        <v>7024</v>
      </c>
      <c r="U5421" s="48"/>
      <c r="V5421" s="48"/>
      <c r="W5421" s="48"/>
      <c r="X5421" s="50">
        <v>43190</v>
      </c>
      <c r="Y5421" s="50">
        <v>45382</v>
      </c>
    </row>
    <row r="5422" s="5" customFormat="1" customHeight="1" spans="1:25">
      <c r="A5422" s="24" t="s">
        <v>444</v>
      </c>
      <c r="B5422" s="24" t="s">
        <v>6300</v>
      </c>
      <c r="C5422" s="24" t="s">
        <v>3237</v>
      </c>
      <c r="D5422" s="22" t="s">
        <v>6301</v>
      </c>
      <c r="E5422" s="23" t="s">
        <v>6936</v>
      </c>
      <c r="F5422" s="24" t="s">
        <v>6937</v>
      </c>
      <c r="G5422" s="24" t="s">
        <v>88</v>
      </c>
      <c r="H5422" s="25" t="s">
        <v>7021</v>
      </c>
      <c r="I5422" s="46" t="e">
        <f>VLOOKUP(H5422,'合同高级查询数据-4月返'!A:A,1,FALSE)</f>
        <v>#N/A</v>
      </c>
      <c r="J5422" s="47" t="s">
        <v>3488</v>
      </c>
      <c r="K5422" s="24" t="s">
        <v>514</v>
      </c>
      <c r="L5422" s="109"/>
      <c r="M5422" s="49" t="s">
        <v>6939</v>
      </c>
      <c r="N5422" s="50">
        <v>43348</v>
      </c>
      <c r="O5422" s="22" t="s">
        <v>503</v>
      </c>
      <c r="P5422" s="52">
        <v>5950</v>
      </c>
      <c r="Q5422" s="70">
        <v>75</v>
      </c>
      <c r="R5422" s="52">
        <f t="shared" si="169"/>
        <v>446250</v>
      </c>
      <c r="S5422" s="47">
        <v>202304</v>
      </c>
      <c r="T5422" s="123"/>
      <c r="U5422" s="48"/>
      <c r="V5422" s="48"/>
      <c r="W5422" s="48"/>
      <c r="X5422" s="50">
        <v>43190</v>
      </c>
      <c r="Y5422" s="50">
        <v>45382</v>
      </c>
    </row>
    <row r="5423" s="5" customFormat="1" customHeight="1" spans="1:25">
      <c r="A5423" s="24" t="s">
        <v>444</v>
      </c>
      <c r="B5423" s="24" t="s">
        <v>6300</v>
      </c>
      <c r="C5423" s="24" t="s">
        <v>3237</v>
      </c>
      <c r="D5423" s="22" t="s">
        <v>6301</v>
      </c>
      <c r="E5423" s="23" t="s">
        <v>6936</v>
      </c>
      <c r="F5423" s="24" t="s">
        <v>6937</v>
      </c>
      <c r="G5423" s="24" t="s">
        <v>88</v>
      </c>
      <c r="H5423" s="25" t="s">
        <v>7021</v>
      </c>
      <c r="I5423" s="46" t="e">
        <f>VLOOKUP(H5423,'合同高级查询数据-4月返'!A:A,1,FALSE)</f>
        <v>#N/A</v>
      </c>
      <c r="J5423" s="47" t="s">
        <v>3488</v>
      </c>
      <c r="K5423" s="24" t="s">
        <v>514</v>
      </c>
      <c r="L5423" s="109"/>
      <c r="M5423" s="49" t="s">
        <v>6939</v>
      </c>
      <c r="N5423" s="50">
        <v>43349</v>
      </c>
      <c r="O5423" s="22" t="s">
        <v>503</v>
      </c>
      <c r="P5423" s="52">
        <v>5950</v>
      </c>
      <c r="Q5423" s="70">
        <v>14</v>
      </c>
      <c r="R5423" s="52">
        <f t="shared" si="169"/>
        <v>83300</v>
      </c>
      <c r="S5423" s="47">
        <v>202304</v>
      </c>
      <c r="T5423" s="123"/>
      <c r="U5423" s="48"/>
      <c r="V5423" s="48"/>
      <c r="W5423" s="48"/>
      <c r="X5423" s="50">
        <v>43190</v>
      </c>
      <c r="Y5423" s="50">
        <v>45382</v>
      </c>
    </row>
    <row r="5424" s="5" customFormat="1" customHeight="1" spans="1:25">
      <c r="A5424" s="24" t="s">
        <v>444</v>
      </c>
      <c r="B5424" s="24" t="s">
        <v>6300</v>
      </c>
      <c r="C5424" s="24" t="s">
        <v>3237</v>
      </c>
      <c r="D5424" s="22" t="s">
        <v>6301</v>
      </c>
      <c r="E5424" s="23" t="s">
        <v>6936</v>
      </c>
      <c r="F5424" s="24" t="s">
        <v>6937</v>
      </c>
      <c r="G5424" s="24" t="s">
        <v>88</v>
      </c>
      <c r="H5424" s="25" t="s">
        <v>7021</v>
      </c>
      <c r="I5424" s="46" t="e">
        <f>VLOOKUP(H5424,'合同高级查询数据-4月返'!A:A,1,FALSE)</f>
        <v>#N/A</v>
      </c>
      <c r="J5424" s="47" t="s">
        <v>3488</v>
      </c>
      <c r="K5424" s="24" t="s">
        <v>514</v>
      </c>
      <c r="L5424" s="109"/>
      <c r="M5424" s="49" t="s">
        <v>6939</v>
      </c>
      <c r="N5424" s="50">
        <v>43353</v>
      </c>
      <c r="O5424" s="22" t="s">
        <v>503</v>
      </c>
      <c r="P5424" s="52">
        <v>5950</v>
      </c>
      <c r="Q5424" s="70">
        <v>10</v>
      </c>
      <c r="R5424" s="52">
        <f t="shared" si="169"/>
        <v>59500</v>
      </c>
      <c r="S5424" s="47">
        <v>202304</v>
      </c>
      <c r="T5424" s="123"/>
      <c r="U5424" s="48"/>
      <c r="V5424" s="48"/>
      <c r="W5424" s="48"/>
      <c r="X5424" s="50">
        <v>43190</v>
      </c>
      <c r="Y5424" s="50">
        <v>45382</v>
      </c>
    </row>
    <row r="5425" s="5" customFormat="1" customHeight="1" spans="1:25">
      <c r="A5425" s="24" t="s">
        <v>444</v>
      </c>
      <c r="B5425" s="24" t="s">
        <v>6300</v>
      </c>
      <c r="C5425" s="24" t="s">
        <v>3237</v>
      </c>
      <c r="D5425" s="22" t="s">
        <v>6301</v>
      </c>
      <c r="E5425" s="23" t="s">
        <v>6936</v>
      </c>
      <c r="F5425" s="24" t="s">
        <v>6937</v>
      </c>
      <c r="G5425" s="24" t="s">
        <v>88</v>
      </c>
      <c r="H5425" s="25" t="s">
        <v>7021</v>
      </c>
      <c r="I5425" s="46" t="e">
        <f>VLOOKUP(H5425,'合同高级查询数据-4月返'!A:A,1,FALSE)</f>
        <v>#N/A</v>
      </c>
      <c r="J5425" s="47" t="s">
        <v>3488</v>
      </c>
      <c r="K5425" s="24" t="s">
        <v>514</v>
      </c>
      <c r="L5425" s="109"/>
      <c r="M5425" s="49" t="s">
        <v>6939</v>
      </c>
      <c r="N5425" s="50">
        <v>43354</v>
      </c>
      <c r="O5425" s="22" t="s">
        <v>503</v>
      </c>
      <c r="P5425" s="52">
        <v>5950</v>
      </c>
      <c r="Q5425" s="70">
        <v>28</v>
      </c>
      <c r="R5425" s="52">
        <f t="shared" si="169"/>
        <v>166600</v>
      </c>
      <c r="S5425" s="47">
        <v>202304</v>
      </c>
      <c r="T5425" s="123"/>
      <c r="U5425" s="48"/>
      <c r="V5425" s="48"/>
      <c r="W5425" s="48"/>
      <c r="X5425" s="50">
        <v>43190</v>
      </c>
      <c r="Y5425" s="50">
        <v>45382</v>
      </c>
    </row>
    <row r="5426" s="5" customFormat="1" customHeight="1" spans="1:25">
      <c r="A5426" s="24" t="s">
        <v>444</v>
      </c>
      <c r="B5426" s="24" t="s">
        <v>6300</v>
      </c>
      <c r="C5426" s="24" t="s">
        <v>3237</v>
      </c>
      <c r="D5426" s="22" t="s">
        <v>6301</v>
      </c>
      <c r="E5426" s="23" t="s">
        <v>6936</v>
      </c>
      <c r="F5426" s="24" t="s">
        <v>6937</v>
      </c>
      <c r="G5426" s="24" t="s">
        <v>88</v>
      </c>
      <c r="H5426" s="25" t="s">
        <v>7021</v>
      </c>
      <c r="I5426" s="46" t="e">
        <f>VLOOKUP(H5426,'合同高级查询数据-4月返'!A:A,1,FALSE)</f>
        <v>#N/A</v>
      </c>
      <c r="J5426" s="47" t="s">
        <v>3488</v>
      </c>
      <c r="K5426" s="24" t="s">
        <v>514</v>
      </c>
      <c r="L5426" s="109"/>
      <c r="M5426" s="49" t="s">
        <v>6939</v>
      </c>
      <c r="N5426" s="50">
        <v>43357</v>
      </c>
      <c r="O5426" s="22" t="s">
        <v>503</v>
      </c>
      <c r="P5426" s="52">
        <v>5950</v>
      </c>
      <c r="Q5426" s="70">
        <v>18</v>
      </c>
      <c r="R5426" s="52">
        <f t="shared" si="169"/>
        <v>107100</v>
      </c>
      <c r="S5426" s="47">
        <v>202304</v>
      </c>
      <c r="T5426" s="123"/>
      <c r="U5426" s="48"/>
      <c r="V5426" s="48"/>
      <c r="W5426" s="48"/>
      <c r="X5426" s="50">
        <v>43190</v>
      </c>
      <c r="Y5426" s="50">
        <v>45382</v>
      </c>
    </row>
    <row r="5427" s="5" customFormat="1" customHeight="1" spans="1:25">
      <c r="A5427" s="24" t="s">
        <v>444</v>
      </c>
      <c r="B5427" s="24" t="s">
        <v>6300</v>
      </c>
      <c r="C5427" s="24" t="s">
        <v>3237</v>
      </c>
      <c r="D5427" s="22" t="s">
        <v>6301</v>
      </c>
      <c r="E5427" s="23" t="s">
        <v>6936</v>
      </c>
      <c r="F5427" s="24" t="s">
        <v>6937</v>
      </c>
      <c r="G5427" s="24" t="s">
        <v>88</v>
      </c>
      <c r="H5427" s="25" t="s">
        <v>7021</v>
      </c>
      <c r="I5427" s="46" t="e">
        <f>VLOOKUP(H5427,'合同高级查询数据-4月返'!A:A,1,FALSE)</f>
        <v>#N/A</v>
      </c>
      <c r="J5427" s="47" t="s">
        <v>3488</v>
      </c>
      <c r="K5427" s="24" t="s">
        <v>514</v>
      </c>
      <c r="L5427" s="109"/>
      <c r="M5427" s="49" t="s">
        <v>6939</v>
      </c>
      <c r="N5427" s="50">
        <v>43358</v>
      </c>
      <c r="O5427" s="22" t="s">
        <v>503</v>
      </c>
      <c r="P5427" s="52">
        <v>5950</v>
      </c>
      <c r="Q5427" s="70">
        <v>11</v>
      </c>
      <c r="R5427" s="52">
        <f t="shared" si="169"/>
        <v>65450</v>
      </c>
      <c r="S5427" s="47">
        <v>202304</v>
      </c>
      <c r="T5427" s="123"/>
      <c r="U5427" s="48"/>
      <c r="V5427" s="48"/>
      <c r="W5427" s="48"/>
      <c r="X5427" s="50">
        <v>43190</v>
      </c>
      <c r="Y5427" s="50">
        <v>45382</v>
      </c>
    </row>
    <row r="5428" s="5" customFormat="1" customHeight="1" spans="1:25">
      <c r="A5428" s="24" t="s">
        <v>444</v>
      </c>
      <c r="B5428" s="24" t="s">
        <v>6300</v>
      </c>
      <c r="C5428" s="24" t="s">
        <v>3237</v>
      </c>
      <c r="D5428" s="22" t="s">
        <v>6301</v>
      </c>
      <c r="E5428" s="23" t="s">
        <v>6936</v>
      </c>
      <c r="F5428" s="24" t="s">
        <v>6937</v>
      </c>
      <c r="G5428" s="24" t="s">
        <v>88</v>
      </c>
      <c r="H5428" s="25" t="s">
        <v>7021</v>
      </c>
      <c r="I5428" s="46" t="e">
        <f>VLOOKUP(H5428,'合同高级查询数据-4月返'!A:A,1,FALSE)</f>
        <v>#N/A</v>
      </c>
      <c r="J5428" s="47" t="s">
        <v>3488</v>
      </c>
      <c r="K5428" s="24" t="s">
        <v>514</v>
      </c>
      <c r="L5428" s="109"/>
      <c r="M5428" s="49" t="s">
        <v>6939</v>
      </c>
      <c r="N5428" s="50">
        <v>43360</v>
      </c>
      <c r="O5428" s="22" t="s">
        <v>503</v>
      </c>
      <c r="P5428" s="52">
        <v>5950</v>
      </c>
      <c r="Q5428" s="70">
        <v>14</v>
      </c>
      <c r="R5428" s="52">
        <f t="shared" si="169"/>
        <v>83300</v>
      </c>
      <c r="S5428" s="47">
        <v>202304</v>
      </c>
      <c r="T5428" s="123"/>
      <c r="U5428" s="48"/>
      <c r="V5428" s="48"/>
      <c r="W5428" s="48"/>
      <c r="X5428" s="50">
        <v>43190</v>
      </c>
      <c r="Y5428" s="50">
        <v>45382</v>
      </c>
    </row>
    <row r="5429" s="5" customFormat="1" customHeight="1" spans="1:25">
      <c r="A5429" s="24" t="s">
        <v>444</v>
      </c>
      <c r="B5429" s="24" t="s">
        <v>6300</v>
      </c>
      <c r="C5429" s="24" t="s">
        <v>3237</v>
      </c>
      <c r="D5429" s="22" t="s">
        <v>6301</v>
      </c>
      <c r="E5429" s="23" t="s">
        <v>6936</v>
      </c>
      <c r="F5429" s="24" t="s">
        <v>6937</v>
      </c>
      <c r="G5429" s="24" t="s">
        <v>88</v>
      </c>
      <c r="H5429" s="25" t="s">
        <v>7021</v>
      </c>
      <c r="I5429" s="46" t="e">
        <f>VLOOKUP(H5429,'合同高级查询数据-4月返'!A:A,1,FALSE)</f>
        <v>#N/A</v>
      </c>
      <c r="J5429" s="47" t="s">
        <v>3488</v>
      </c>
      <c r="K5429" s="24" t="s">
        <v>514</v>
      </c>
      <c r="L5429" s="109"/>
      <c r="M5429" s="49" t="s">
        <v>6939</v>
      </c>
      <c r="N5429" s="50">
        <v>43361</v>
      </c>
      <c r="O5429" s="22" t="s">
        <v>503</v>
      </c>
      <c r="P5429" s="52">
        <v>5950</v>
      </c>
      <c r="Q5429" s="70">
        <v>13</v>
      </c>
      <c r="R5429" s="52">
        <f t="shared" si="169"/>
        <v>77350</v>
      </c>
      <c r="S5429" s="47">
        <v>202304</v>
      </c>
      <c r="T5429" s="123"/>
      <c r="U5429" s="48"/>
      <c r="V5429" s="48"/>
      <c r="W5429" s="48"/>
      <c r="X5429" s="50">
        <v>43190</v>
      </c>
      <c r="Y5429" s="50">
        <v>45382</v>
      </c>
    </row>
    <row r="5430" s="5" customFormat="1" customHeight="1" spans="1:25">
      <c r="A5430" s="24" t="s">
        <v>444</v>
      </c>
      <c r="B5430" s="24" t="s">
        <v>6300</v>
      </c>
      <c r="C5430" s="24" t="s">
        <v>3237</v>
      </c>
      <c r="D5430" s="22" t="s">
        <v>6301</v>
      </c>
      <c r="E5430" s="23" t="s">
        <v>6936</v>
      </c>
      <c r="F5430" s="24" t="s">
        <v>6937</v>
      </c>
      <c r="G5430" s="24" t="s">
        <v>88</v>
      </c>
      <c r="H5430" s="25" t="s">
        <v>7021</v>
      </c>
      <c r="I5430" s="46" t="e">
        <f>VLOOKUP(H5430,'合同高级查询数据-4月返'!A:A,1,FALSE)</f>
        <v>#N/A</v>
      </c>
      <c r="J5430" s="47" t="s">
        <v>3488</v>
      </c>
      <c r="K5430" s="24" t="s">
        <v>514</v>
      </c>
      <c r="L5430" s="109"/>
      <c r="M5430" s="49" t="s">
        <v>6939</v>
      </c>
      <c r="N5430" s="50">
        <v>43362</v>
      </c>
      <c r="O5430" s="22" t="s">
        <v>503</v>
      </c>
      <c r="P5430" s="52">
        <v>5950</v>
      </c>
      <c r="Q5430" s="70">
        <v>13</v>
      </c>
      <c r="R5430" s="52">
        <f t="shared" si="169"/>
        <v>77350</v>
      </c>
      <c r="S5430" s="47">
        <v>202304</v>
      </c>
      <c r="T5430" s="123"/>
      <c r="U5430" s="48"/>
      <c r="V5430" s="48"/>
      <c r="W5430" s="48"/>
      <c r="X5430" s="50">
        <v>43190</v>
      </c>
      <c r="Y5430" s="50">
        <v>45382</v>
      </c>
    </row>
    <row r="5431" s="5" customFormat="1" customHeight="1" spans="1:25">
      <c r="A5431" s="24" t="s">
        <v>444</v>
      </c>
      <c r="B5431" s="24" t="s">
        <v>6300</v>
      </c>
      <c r="C5431" s="24" t="s">
        <v>3237</v>
      </c>
      <c r="D5431" s="22" t="s">
        <v>6301</v>
      </c>
      <c r="E5431" s="23" t="s">
        <v>6936</v>
      </c>
      <c r="F5431" s="24" t="s">
        <v>6937</v>
      </c>
      <c r="G5431" s="24" t="s">
        <v>88</v>
      </c>
      <c r="H5431" s="25" t="s">
        <v>7021</v>
      </c>
      <c r="I5431" s="46" t="e">
        <f>VLOOKUP(H5431,'合同高级查询数据-4月返'!A:A,1,FALSE)</f>
        <v>#N/A</v>
      </c>
      <c r="J5431" s="47" t="s">
        <v>3488</v>
      </c>
      <c r="K5431" s="24" t="s">
        <v>514</v>
      </c>
      <c r="L5431" s="109"/>
      <c r="M5431" s="49" t="s">
        <v>6939</v>
      </c>
      <c r="N5431" s="50">
        <v>43364</v>
      </c>
      <c r="O5431" s="22" t="s">
        <v>503</v>
      </c>
      <c r="P5431" s="52">
        <v>5950</v>
      </c>
      <c r="Q5431" s="70">
        <v>19</v>
      </c>
      <c r="R5431" s="52">
        <f t="shared" si="169"/>
        <v>113050</v>
      </c>
      <c r="S5431" s="47">
        <v>202304</v>
      </c>
      <c r="T5431" s="123"/>
      <c r="U5431" s="48"/>
      <c r="V5431" s="48"/>
      <c r="W5431" s="48"/>
      <c r="X5431" s="50">
        <v>43190</v>
      </c>
      <c r="Y5431" s="50">
        <v>45382</v>
      </c>
    </row>
    <row r="5432" s="5" customFormat="1" customHeight="1" spans="1:25">
      <c r="A5432" s="24" t="s">
        <v>444</v>
      </c>
      <c r="B5432" s="24" t="s">
        <v>6300</v>
      </c>
      <c r="C5432" s="24" t="s">
        <v>3237</v>
      </c>
      <c r="D5432" s="22" t="s">
        <v>6301</v>
      </c>
      <c r="E5432" s="23" t="s">
        <v>6936</v>
      </c>
      <c r="F5432" s="24" t="s">
        <v>6937</v>
      </c>
      <c r="G5432" s="24" t="s">
        <v>88</v>
      </c>
      <c r="H5432" s="25" t="s">
        <v>7021</v>
      </c>
      <c r="I5432" s="46" t="e">
        <f>VLOOKUP(H5432,'合同高级查询数据-4月返'!A:A,1,FALSE)</f>
        <v>#N/A</v>
      </c>
      <c r="J5432" s="47" t="s">
        <v>3488</v>
      </c>
      <c r="K5432" s="24" t="s">
        <v>514</v>
      </c>
      <c r="L5432" s="109"/>
      <c r="M5432" s="49" t="s">
        <v>6939</v>
      </c>
      <c r="N5432" s="50">
        <v>43370</v>
      </c>
      <c r="O5432" s="22" t="s">
        <v>503</v>
      </c>
      <c r="P5432" s="52">
        <v>5950</v>
      </c>
      <c r="Q5432" s="70">
        <v>3</v>
      </c>
      <c r="R5432" s="52">
        <f t="shared" si="169"/>
        <v>17850</v>
      </c>
      <c r="S5432" s="47">
        <v>202304</v>
      </c>
      <c r="T5432" s="123"/>
      <c r="U5432" s="48"/>
      <c r="V5432" s="48"/>
      <c r="W5432" s="48"/>
      <c r="X5432" s="50">
        <v>43190</v>
      </c>
      <c r="Y5432" s="50">
        <v>45382</v>
      </c>
    </row>
    <row r="5433" s="5" customFormat="1" customHeight="1" spans="1:25">
      <c r="A5433" s="24" t="s">
        <v>444</v>
      </c>
      <c r="B5433" s="24" t="s">
        <v>6300</v>
      </c>
      <c r="C5433" s="24" t="s">
        <v>3237</v>
      </c>
      <c r="D5433" s="22" t="s">
        <v>6301</v>
      </c>
      <c r="E5433" s="23" t="s">
        <v>6936</v>
      </c>
      <c r="F5433" s="24" t="s">
        <v>6937</v>
      </c>
      <c r="G5433" s="24" t="s">
        <v>88</v>
      </c>
      <c r="H5433" s="25" t="s">
        <v>7021</v>
      </c>
      <c r="I5433" s="46" t="e">
        <f>VLOOKUP(H5433,'合同高级查询数据-4月返'!A:A,1,FALSE)</f>
        <v>#N/A</v>
      </c>
      <c r="J5433" s="47" t="s">
        <v>3488</v>
      </c>
      <c r="K5433" s="24" t="s">
        <v>514</v>
      </c>
      <c r="L5433" s="109"/>
      <c r="M5433" s="49" t="s">
        <v>6939</v>
      </c>
      <c r="N5433" s="50">
        <v>43371</v>
      </c>
      <c r="O5433" s="22" t="s">
        <v>503</v>
      </c>
      <c r="P5433" s="52">
        <v>5950</v>
      </c>
      <c r="Q5433" s="70">
        <v>2</v>
      </c>
      <c r="R5433" s="52">
        <f t="shared" si="169"/>
        <v>11900</v>
      </c>
      <c r="S5433" s="47">
        <v>202304</v>
      </c>
      <c r="T5433" s="123"/>
      <c r="U5433" s="48"/>
      <c r="V5433" s="48"/>
      <c r="W5433" s="48"/>
      <c r="X5433" s="50">
        <v>43190</v>
      </c>
      <c r="Y5433" s="50">
        <v>45382</v>
      </c>
    </row>
    <row r="5434" s="5" customFormat="1" customHeight="1" spans="1:25">
      <c r="A5434" s="24" t="s">
        <v>444</v>
      </c>
      <c r="B5434" s="24" t="s">
        <v>6300</v>
      </c>
      <c r="C5434" s="24" t="s">
        <v>3237</v>
      </c>
      <c r="D5434" s="22" t="s">
        <v>6301</v>
      </c>
      <c r="E5434" s="23" t="s">
        <v>6936</v>
      </c>
      <c r="F5434" s="24" t="s">
        <v>6937</v>
      </c>
      <c r="G5434" s="24" t="s">
        <v>88</v>
      </c>
      <c r="H5434" s="25" t="s">
        <v>7021</v>
      </c>
      <c r="I5434" s="46" t="e">
        <f>VLOOKUP(H5434,'合同高级查询数据-4月返'!A:A,1,FALSE)</f>
        <v>#N/A</v>
      </c>
      <c r="J5434" s="47" t="s">
        <v>3488</v>
      </c>
      <c r="K5434" s="24" t="s">
        <v>514</v>
      </c>
      <c r="L5434" s="109"/>
      <c r="M5434" s="49" t="s">
        <v>6939</v>
      </c>
      <c r="N5434" s="50">
        <v>43373</v>
      </c>
      <c r="O5434" s="22" t="s">
        <v>503</v>
      </c>
      <c r="P5434" s="52">
        <v>5950</v>
      </c>
      <c r="Q5434" s="70">
        <v>25</v>
      </c>
      <c r="R5434" s="52">
        <f t="shared" si="169"/>
        <v>148750</v>
      </c>
      <c r="S5434" s="47">
        <v>202304</v>
      </c>
      <c r="T5434" s="123"/>
      <c r="U5434" s="48"/>
      <c r="V5434" s="48"/>
      <c r="W5434" s="48"/>
      <c r="X5434" s="50">
        <v>43190</v>
      </c>
      <c r="Y5434" s="50">
        <v>45382</v>
      </c>
    </row>
    <row r="5435" s="5" customFormat="1" customHeight="1" spans="1:25">
      <c r="A5435" s="24" t="s">
        <v>444</v>
      </c>
      <c r="B5435" s="24" t="s">
        <v>6300</v>
      </c>
      <c r="C5435" s="24" t="s">
        <v>3237</v>
      </c>
      <c r="D5435" s="22" t="s">
        <v>6301</v>
      </c>
      <c r="E5435" s="23" t="s">
        <v>6936</v>
      </c>
      <c r="F5435" s="24" t="s">
        <v>6937</v>
      </c>
      <c r="G5435" s="24" t="s">
        <v>88</v>
      </c>
      <c r="H5435" s="25" t="s">
        <v>7021</v>
      </c>
      <c r="I5435" s="46" t="e">
        <f>VLOOKUP(H5435,'合同高级查询数据-4月返'!A:A,1,FALSE)</f>
        <v>#N/A</v>
      </c>
      <c r="J5435" s="47" t="s">
        <v>3488</v>
      </c>
      <c r="K5435" s="24" t="s">
        <v>514</v>
      </c>
      <c r="L5435" s="109"/>
      <c r="M5435" s="49" t="s">
        <v>6939</v>
      </c>
      <c r="N5435" s="50">
        <v>43381</v>
      </c>
      <c r="O5435" s="22" t="s">
        <v>503</v>
      </c>
      <c r="P5435" s="52">
        <v>5950</v>
      </c>
      <c r="Q5435" s="70">
        <v>5</v>
      </c>
      <c r="R5435" s="52">
        <f t="shared" si="169"/>
        <v>29750</v>
      </c>
      <c r="S5435" s="47">
        <v>202304</v>
      </c>
      <c r="T5435" s="123"/>
      <c r="U5435" s="48"/>
      <c r="V5435" s="48"/>
      <c r="W5435" s="48"/>
      <c r="X5435" s="50">
        <v>43190</v>
      </c>
      <c r="Y5435" s="50">
        <v>45382</v>
      </c>
    </row>
    <row r="5436" s="5" customFormat="1" customHeight="1" spans="1:25">
      <c r="A5436" s="24" t="s">
        <v>444</v>
      </c>
      <c r="B5436" s="24" t="s">
        <v>6300</v>
      </c>
      <c r="C5436" s="24" t="s">
        <v>3237</v>
      </c>
      <c r="D5436" s="22" t="s">
        <v>6301</v>
      </c>
      <c r="E5436" s="23" t="s">
        <v>6936</v>
      </c>
      <c r="F5436" s="24" t="s">
        <v>6937</v>
      </c>
      <c r="G5436" s="24" t="s">
        <v>88</v>
      </c>
      <c r="H5436" s="25" t="s">
        <v>7021</v>
      </c>
      <c r="I5436" s="46" t="e">
        <f>VLOOKUP(H5436,'合同高级查询数据-4月返'!A:A,1,FALSE)</f>
        <v>#N/A</v>
      </c>
      <c r="J5436" s="47" t="s">
        <v>3488</v>
      </c>
      <c r="K5436" s="24" t="s">
        <v>514</v>
      </c>
      <c r="L5436" s="109"/>
      <c r="M5436" s="49" t="s">
        <v>6939</v>
      </c>
      <c r="N5436" s="50">
        <v>43389</v>
      </c>
      <c r="O5436" s="22" t="s">
        <v>503</v>
      </c>
      <c r="P5436" s="52">
        <v>5950</v>
      </c>
      <c r="Q5436" s="70">
        <v>33</v>
      </c>
      <c r="R5436" s="52">
        <f t="shared" si="169"/>
        <v>196350</v>
      </c>
      <c r="S5436" s="47">
        <v>202304</v>
      </c>
      <c r="T5436" s="123"/>
      <c r="U5436" s="48"/>
      <c r="V5436" s="48"/>
      <c r="W5436" s="48"/>
      <c r="X5436" s="50">
        <v>43190</v>
      </c>
      <c r="Y5436" s="50">
        <v>45382</v>
      </c>
    </row>
    <row r="5437" s="5" customFormat="1" customHeight="1" spans="1:25">
      <c r="A5437" s="24" t="s">
        <v>444</v>
      </c>
      <c r="B5437" s="24" t="s">
        <v>6300</v>
      </c>
      <c r="C5437" s="24" t="s">
        <v>3237</v>
      </c>
      <c r="D5437" s="22" t="s">
        <v>6301</v>
      </c>
      <c r="E5437" s="23" t="s">
        <v>6936</v>
      </c>
      <c r="F5437" s="24" t="s">
        <v>6937</v>
      </c>
      <c r="G5437" s="24" t="s">
        <v>88</v>
      </c>
      <c r="H5437" s="25" t="s">
        <v>7021</v>
      </c>
      <c r="I5437" s="46" t="e">
        <f>VLOOKUP(H5437,'合同高级查询数据-4月返'!A:A,1,FALSE)</f>
        <v>#N/A</v>
      </c>
      <c r="J5437" s="47" t="s">
        <v>3488</v>
      </c>
      <c r="K5437" s="24" t="s">
        <v>514</v>
      </c>
      <c r="L5437" s="109"/>
      <c r="M5437" s="49" t="s">
        <v>6939</v>
      </c>
      <c r="N5437" s="50">
        <v>43395</v>
      </c>
      <c r="O5437" s="22" t="s">
        <v>503</v>
      </c>
      <c r="P5437" s="52">
        <v>5950</v>
      </c>
      <c r="Q5437" s="70">
        <v>5</v>
      </c>
      <c r="R5437" s="52">
        <f t="shared" si="169"/>
        <v>29750</v>
      </c>
      <c r="S5437" s="47">
        <v>202304</v>
      </c>
      <c r="T5437" s="123"/>
      <c r="U5437" s="48"/>
      <c r="V5437" s="48"/>
      <c r="W5437" s="48"/>
      <c r="X5437" s="50">
        <v>43190</v>
      </c>
      <c r="Y5437" s="50">
        <v>45382</v>
      </c>
    </row>
    <row r="5438" s="5" customFormat="1" customHeight="1" spans="1:25">
      <c r="A5438" s="24" t="s">
        <v>444</v>
      </c>
      <c r="B5438" s="24" t="s">
        <v>6300</v>
      </c>
      <c r="C5438" s="24" t="s">
        <v>3237</v>
      </c>
      <c r="D5438" s="22" t="s">
        <v>6301</v>
      </c>
      <c r="E5438" s="23" t="s">
        <v>6936</v>
      </c>
      <c r="F5438" s="24" t="s">
        <v>6937</v>
      </c>
      <c r="G5438" s="24" t="s">
        <v>88</v>
      </c>
      <c r="H5438" s="25" t="s">
        <v>7021</v>
      </c>
      <c r="I5438" s="46" t="e">
        <f>VLOOKUP(H5438,'合同高级查询数据-4月返'!A:A,1,FALSE)</f>
        <v>#N/A</v>
      </c>
      <c r="J5438" s="47" t="s">
        <v>3488</v>
      </c>
      <c r="K5438" s="24" t="s">
        <v>514</v>
      </c>
      <c r="L5438" s="109"/>
      <c r="M5438" s="49" t="s">
        <v>6939</v>
      </c>
      <c r="N5438" s="50">
        <v>43396</v>
      </c>
      <c r="O5438" s="22" t="s">
        <v>503</v>
      </c>
      <c r="P5438" s="52">
        <v>5950</v>
      </c>
      <c r="Q5438" s="70">
        <v>2</v>
      </c>
      <c r="R5438" s="52">
        <f t="shared" si="169"/>
        <v>11900</v>
      </c>
      <c r="S5438" s="47">
        <v>202304</v>
      </c>
      <c r="T5438" s="123"/>
      <c r="U5438" s="48"/>
      <c r="V5438" s="48"/>
      <c r="W5438" s="48"/>
      <c r="X5438" s="50">
        <v>43190</v>
      </c>
      <c r="Y5438" s="50">
        <v>45382</v>
      </c>
    </row>
    <row r="5439" s="5" customFormat="1" customHeight="1" spans="1:25">
      <c r="A5439" s="24" t="s">
        <v>444</v>
      </c>
      <c r="B5439" s="24" t="s">
        <v>6300</v>
      </c>
      <c r="C5439" s="24" t="s">
        <v>3237</v>
      </c>
      <c r="D5439" s="22" t="s">
        <v>6301</v>
      </c>
      <c r="E5439" s="23" t="s">
        <v>6936</v>
      </c>
      <c r="F5439" s="24" t="s">
        <v>6937</v>
      </c>
      <c r="G5439" s="24" t="s">
        <v>88</v>
      </c>
      <c r="H5439" s="25" t="s">
        <v>7021</v>
      </c>
      <c r="I5439" s="46" t="e">
        <f>VLOOKUP(H5439,'合同高级查询数据-4月返'!A:A,1,FALSE)</f>
        <v>#N/A</v>
      </c>
      <c r="J5439" s="47" t="s">
        <v>3488</v>
      </c>
      <c r="K5439" s="24" t="s">
        <v>514</v>
      </c>
      <c r="L5439" s="109"/>
      <c r="M5439" s="49" t="s">
        <v>6939</v>
      </c>
      <c r="N5439" s="50">
        <v>43397</v>
      </c>
      <c r="O5439" s="22" t="s">
        <v>503</v>
      </c>
      <c r="P5439" s="52">
        <v>5950</v>
      </c>
      <c r="Q5439" s="70">
        <v>1</v>
      </c>
      <c r="R5439" s="52">
        <f t="shared" si="169"/>
        <v>5950</v>
      </c>
      <c r="S5439" s="47">
        <v>202304</v>
      </c>
      <c r="T5439" s="123"/>
      <c r="U5439" s="48"/>
      <c r="V5439" s="48"/>
      <c r="W5439" s="48"/>
      <c r="X5439" s="50">
        <v>43190</v>
      </c>
      <c r="Y5439" s="50">
        <v>45382</v>
      </c>
    </row>
    <row r="5440" s="5" customFormat="1" customHeight="1" spans="1:25">
      <c r="A5440" s="24" t="s">
        <v>444</v>
      </c>
      <c r="B5440" s="24" t="s">
        <v>6300</v>
      </c>
      <c r="C5440" s="24" t="s">
        <v>3237</v>
      </c>
      <c r="D5440" s="22" t="s">
        <v>6301</v>
      </c>
      <c r="E5440" s="23" t="s">
        <v>6936</v>
      </c>
      <c r="F5440" s="24" t="s">
        <v>6937</v>
      </c>
      <c r="G5440" s="24" t="s">
        <v>88</v>
      </c>
      <c r="H5440" s="25" t="s">
        <v>7021</v>
      </c>
      <c r="I5440" s="46" t="e">
        <f>VLOOKUP(H5440,'合同高级查询数据-4月返'!A:A,1,FALSE)</f>
        <v>#N/A</v>
      </c>
      <c r="J5440" s="47" t="s">
        <v>3488</v>
      </c>
      <c r="K5440" s="24" t="s">
        <v>514</v>
      </c>
      <c r="L5440" s="109"/>
      <c r="M5440" s="49" t="s">
        <v>6939</v>
      </c>
      <c r="N5440" s="50">
        <v>43403</v>
      </c>
      <c r="O5440" s="22" t="s">
        <v>503</v>
      </c>
      <c r="P5440" s="52">
        <v>5950</v>
      </c>
      <c r="Q5440" s="70">
        <v>19</v>
      </c>
      <c r="R5440" s="52">
        <f t="shared" si="169"/>
        <v>113050</v>
      </c>
      <c r="S5440" s="47">
        <v>202304</v>
      </c>
      <c r="T5440" s="123"/>
      <c r="U5440" s="48"/>
      <c r="V5440" s="48"/>
      <c r="W5440" s="48"/>
      <c r="X5440" s="50">
        <v>43190</v>
      </c>
      <c r="Y5440" s="50">
        <v>45382</v>
      </c>
    </row>
    <row r="5441" s="5" customFormat="1" customHeight="1" spans="1:25">
      <c r="A5441" s="24" t="s">
        <v>444</v>
      </c>
      <c r="B5441" s="24" t="s">
        <v>6300</v>
      </c>
      <c r="C5441" s="24" t="s">
        <v>3237</v>
      </c>
      <c r="D5441" s="22" t="s">
        <v>6301</v>
      </c>
      <c r="E5441" s="23" t="s">
        <v>6936</v>
      </c>
      <c r="F5441" s="24" t="s">
        <v>6937</v>
      </c>
      <c r="G5441" s="24" t="s">
        <v>88</v>
      </c>
      <c r="H5441" s="25" t="s">
        <v>7021</v>
      </c>
      <c r="I5441" s="46" t="e">
        <f>VLOOKUP(H5441,'合同高级查询数据-4月返'!A:A,1,FALSE)</f>
        <v>#N/A</v>
      </c>
      <c r="J5441" s="47" t="s">
        <v>3488</v>
      </c>
      <c r="K5441" s="24" t="s">
        <v>514</v>
      </c>
      <c r="L5441" s="109"/>
      <c r="M5441" s="49" t="s">
        <v>6939</v>
      </c>
      <c r="N5441" s="50">
        <v>43404</v>
      </c>
      <c r="O5441" s="22" t="s">
        <v>503</v>
      </c>
      <c r="P5441" s="52">
        <v>5950</v>
      </c>
      <c r="Q5441" s="70">
        <v>32</v>
      </c>
      <c r="R5441" s="52">
        <f t="shared" si="169"/>
        <v>190400</v>
      </c>
      <c r="S5441" s="47">
        <v>202304</v>
      </c>
      <c r="T5441" s="123"/>
      <c r="U5441" s="48"/>
      <c r="V5441" s="48"/>
      <c r="W5441" s="48"/>
      <c r="X5441" s="50">
        <v>43190</v>
      </c>
      <c r="Y5441" s="50">
        <v>45382</v>
      </c>
    </row>
    <row r="5442" s="5" customFormat="1" customHeight="1" spans="1:25">
      <c r="A5442" s="24" t="s">
        <v>444</v>
      </c>
      <c r="B5442" s="24" t="s">
        <v>6300</v>
      </c>
      <c r="C5442" s="24" t="s">
        <v>3237</v>
      </c>
      <c r="D5442" s="22" t="s">
        <v>6301</v>
      </c>
      <c r="E5442" s="23" t="s">
        <v>6936</v>
      </c>
      <c r="F5442" s="24" t="s">
        <v>6937</v>
      </c>
      <c r="G5442" s="24" t="s">
        <v>88</v>
      </c>
      <c r="H5442" s="25" t="s">
        <v>7021</v>
      </c>
      <c r="I5442" s="46" t="e">
        <f>VLOOKUP(H5442,'合同高级查询数据-4月返'!A:A,1,FALSE)</f>
        <v>#N/A</v>
      </c>
      <c r="J5442" s="47" t="s">
        <v>3488</v>
      </c>
      <c r="K5442" s="24" t="s">
        <v>514</v>
      </c>
      <c r="L5442" s="109"/>
      <c r="M5442" s="49" t="s">
        <v>6939</v>
      </c>
      <c r="N5442" s="50">
        <v>43405</v>
      </c>
      <c r="O5442" s="22" t="s">
        <v>503</v>
      </c>
      <c r="P5442" s="52">
        <v>5950</v>
      </c>
      <c r="Q5442" s="70">
        <v>25</v>
      </c>
      <c r="R5442" s="52">
        <f t="shared" si="169"/>
        <v>148750</v>
      </c>
      <c r="S5442" s="47">
        <v>202304</v>
      </c>
      <c r="T5442" s="123"/>
      <c r="U5442" s="48"/>
      <c r="V5442" s="48"/>
      <c r="W5442" s="48"/>
      <c r="X5442" s="50">
        <v>43190</v>
      </c>
      <c r="Y5442" s="50">
        <v>45382</v>
      </c>
    </row>
    <row r="5443" s="5" customFormat="1" customHeight="1" spans="1:25">
      <c r="A5443" s="24" t="s">
        <v>444</v>
      </c>
      <c r="B5443" s="24" t="s">
        <v>6300</v>
      </c>
      <c r="C5443" s="24" t="s">
        <v>3237</v>
      </c>
      <c r="D5443" s="22" t="s">
        <v>6301</v>
      </c>
      <c r="E5443" s="23" t="s">
        <v>6936</v>
      </c>
      <c r="F5443" s="24" t="s">
        <v>6937</v>
      </c>
      <c r="G5443" s="24" t="s">
        <v>88</v>
      </c>
      <c r="H5443" s="25" t="s">
        <v>7021</v>
      </c>
      <c r="I5443" s="46" t="e">
        <f>VLOOKUP(H5443,'合同高级查询数据-4月返'!A:A,1,FALSE)</f>
        <v>#N/A</v>
      </c>
      <c r="J5443" s="47" t="s">
        <v>3488</v>
      </c>
      <c r="K5443" s="24" t="s">
        <v>514</v>
      </c>
      <c r="L5443" s="109"/>
      <c r="M5443" s="49" t="s">
        <v>6939</v>
      </c>
      <c r="N5443" s="50">
        <v>43406</v>
      </c>
      <c r="O5443" s="22" t="s">
        <v>503</v>
      </c>
      <c r="P5443" s="52">
        <v>5950</v>
      </c>
      <c r="Q5443" s="70">
        <v>25</v>
      </c>
      <c r="R5443" s="52">
        <f t="shared" si="169"/>
        <v>148750</v>
      </c>
      <c r="S5443" s="47">
        <v>202304</v>
      </c>
      <c r="T5443" s="123"/>
      <c r="U5443" s="48"/>
      <c r="V5443" s="48"/>
      <c r="W5443" s="48"/>
      <c r="X5443" s="50">
        <v>43190</v>
      </c>
      <c r="Y5443" s="50">
        <v>45382</v>
      </c>
    </row>
    <row r="5444" s="5" customFormat="1" customHeight="1" spans="1:25">
      <c r="A5444" s="24" t="s">
        <v>444</v>
      </c>
      <c r="B5444" s="24" t="s">
        <v>6300</v>
      </c>
      <c r="C5444" s="24" t="s">
        <v>3237</v>
      </c>
      <c r="D5444" s="22" t="s">
        <v>6301</v>
      </c>
      <c r="E5444" s="23" t="s">
        <v>6936</v>
      </c>
      <c r="F5444" s="24" t="s">
        <v>6937</v>
      </c>
      <c r="G5444" s="24" t="s">
        <v>88</v>
      </c>
      <c r="H5444" s="25" t="s">
        <v>7021</v>
      </c>
      <c r="I5444" s="46" t="e">
        <f>VLOOKUP(H5444,'合同高级查询数据-4月返'!A:A,1,FALSE)</f>
        <v>#N/A</v>
      </c>
      <c r="J5444" s="47" t="s">
        <v>3488</v>
      </c>
      <c r="K5444" s="24" t="s">
        <v>514</v>
      </c>
      <c r="L5444" s="109"/>
      <c r="M5444" s="49" t="s">
        <v>6939</v>
      </c>
      <c r="N5444" s="50">
        <v>43410</v>
      </c>
      <c r="O5444" s="22" t="s">
        <v>503</v>
      </c>
      <c r="P5444" s="52">
        <v>5950</v>
      </c>
      <c r="Q5444" s="70">
        <v>28</v>
      </c>
      <c r="R5444" s="52">
        <f t="shared" si="169"/>
        <v>166600</v>
      </c>
      <c r="S5444" s="47">
        <v>202304</v>
      </c>
      <c r="T5444" s="123"/>
      <c r="U5444" s="48"/>
      <c r="V5444" s="48"/>
      <c r="W5444" s="48"/>
      <c r="X5444" s="50">
        <v>43190</v>
      </c>
      <c r="Y5444" s="50">
        <v>45382</v>
      </c>
    </row>
    <row r="5445" s="5" customFormat="1" customHeight="1" spans="1:25">
      <c r="A5445" s="24" t="s">
        <v>444</v>
      </c>
      <c r="B5445" s="24" t="s">
        <v>6300</v>
      </c>
      <c r="C5445" s="24" t="s">
        <v>3237</v>
      </c>
      <c r="D5445" s="22" t="s">
        <v>6301</v>
      </c>
      <c r="E5445" s="23" t="s">
        <v>6936</v>
      </c>
      <c r="F5445" s="24" t="s">
        <v>6937</v>
      </c>
      <c r="G5445" s="24" t="s">
        <v>88</v>
      </c>
      <c r="H5445" s="25" t="s">
        <v>7021</v>
      </c>
      <c r="I5445" s="46" t="e">
        <f>VLOOKUP(H5445,'合同高级查询数据-4月返'!A:A,1,FALSE)</f>
        <v>#N/A</v>
      </c>
      <c r="J5445" s="47" t="s">
        <v>3488</v>
      </c>
      <c r="K5445" s="24" t="s">
        <v>514</v>
      </c>
      <c r="L5445" s="109"/>
      <c r="M5445" s="49" t="s">
        <v>6939</v>
      </c>
      <c r="N5445" s="50">
        <v>43413</v>
      </c>
      <c r="O5445" s="22" t="s">
        <v>503</v>
      </c>
      <c r="P5445" s="52">
        <v>5950</v>
      </c>
      <c r="Q5445" s="70">
        <v>3</v>
      </c>
      <c r="R5445" s="52">
        <f t="shared" si="169"/>
        <v>17850</v>
      </c>
      <c r="S5445" s="47">
        <v>202304</v>
      </c>
      <c r="T5445" s="123"/>
      <c r="U5445" s="48"/>
      <c r="V5445" s="48"/>
      <c r="W5445" s="48"/>
      <c r="X5445" s="50">
        <v>43190</v>
      </c>
      <c r="Y5445" s="50">
        <v>45382</v>
      </c>
    </row>
    <row r="5446" s="5" customFormat="1" customHeight="1" spans="1:25">
      <c r="A5446" s="24" t="s">
        <v>444</v>
      </c>
      <c r="B5446" s="24" t="s">
        <v>6300</v>
      </c>
      <c r="C5446" s="24" t="s">
        <v>3237</v>
      </c>
      <c r="D5446" s="22" t="s">
        <v>6301</v>
      </c>
      <c r="E5446" s="23" t="s">
        <v>6936</v>
      </c>
      <c r="F5446" s="24" t="s">
        <v>6937</v>
      </c>
      <c r="G5446" s="24" t="s">
        <v>88</v>
      </c>
      <c r="H5446" s="25" t="s">
        <v>7021</v>
      </c>
      <c r="I5446" s="46" t="e">
        <f>VLOOKUP(H5446,'合同高级查询数据-4月返'!A:A,1,FALSE)</f>
        <v>#N/A</v>
      </c>
      <c r="J5446" s="47" t="s">
        <v>3488</v>
      </c>
      <c r="K5446" s="24" t="s">
        <v>514</v>
      </c>
      <c r="L5446" s="109"/>
      <c r="M5446" s="49" t="s">
        <v>6939</v>
      </c>
      <c r="N5446" s="50">
        <v>43417</v>
      </c>
      <c r="O5446" s="22" t="s">
        <v>503</v>
      </c>
      <c r="P5446" s="52">
        <v>5950</v>
      </c>
      <c r="Q5446" s="70">
        <v>52</v>
      </c>
      <c r="R5446" s="52">
        <f t="shared" si="169"/>
        <v>309400</v>
      </c>
      <c r="S5446" s="47">
        <v>202304</v>
      </c>
      <c r="T5446" s="123"/>
      <c r="U5446" s="48"/>
      <c r="V5446" s="48"/>
      <c r="W5446" s="48"/>
      <c r="X5446" s="50">
        <v>43190</v>
      </c>
      <c r="Y5446" s="50">
        <v>45382</v>
      </c>
    </row>
    <row r="5447" s="5" customFormat="1" customHeight="1" spans="1:25">
      <c r="A5447" s="24" t="s">
        <v>444</v>
      </c>
      <c r="B5447" s="24" t="s">
        <v>6300</v>
      </c>
      <c r="C5447" s="24" t="s">
        <v>3237</v>
      </c>
      <c r="D5447" s="22" t="s">
        <v>6301</v>
      </c>
      <c r="E5447" s="23" t="s">
        <v>6936</v>
      </c>
      <c r="F5447" s="24" t="s">
        <v>6937</v>
      </c>
      <c r="G5447" s="24" t="s">
        <v>88</v>
      </c>
      <c r="H5447" s="25" t="s">
        <v>7021</v>
      </c>
      <c r="I5447" s="46" t="e">
        <f>VLOOKUP(H5447,'合同高级查询数据-4月返'!A:A,1,FALSE)</f>
        <v>#N/A</v>
      </c>
      <c r="J5447" s="47" t="s">
        <v>3488</v>
      </c>
      <c r="K5447" s="24" t="s">
        <v>514</v>
      </c>
      <c r="L5447" s="109"/>
      <c r="M5447" s="49" t="s">
        <v>6939</v>
      </c>
      <c r="N5447" s="50">
        <v>43418</v>
      </c>
      <c r="O5447" s="22" t="s">
        <v>503</v>
      </c>
      <c r="P5447" s="52">
        <v>5950</v>
      </c>
      <c r="Q5447" s="70">
        <v>8</v>
      </c>
      <c r="R5447" s="52">
        <f t="shared" si="169"/>
        <v>47600</v>
      </c>
      <c r="S5447" s="47">
        <v>202304</v>
      </c>
      <c r="T5447" s="123"/>
      <c r="U5447" s="48"/>
      <c r="V5447" s="48"/>
      <c r="W5447" s="48"/>
      <c r="X5447" s="50">
        <v>43190</v>
      </c>
      <c r="Y5447" s="50">
        <v>45382</v>
      </c>
    </row>
    <row r="5448" s="5" customFormat="1" customHeight="1" spans="1:25">
      <c r="A5448" s="24" t="s">
        <v>444</v>
      </c>
      <c r="B5448" s="24" t="s">
        <v>6300</v>
      </c>
      <c r="C5448" s="24" t="s">
        <v>3237</v>
      </c>
      <c r="D5448" s="22" t="s">
        <v>6301</v>
      </c>
      <c r="E5448" s="23" t="s">
        <v>6936</v>
      </c>
      <c r="F5448" s="24" t="s">
        <v>6937</v>
      </c>
      <c r="G5448" s="24" t="s">
        <v>88</v>
      </c>
      <c r="H5448" s="25" t="s">
        <v>7021</v>
      </c>
      <c r="I5448" s="46" t="e">
        <f>VLOOKUP(H5448,'合同高级查询数据-4月返'!A:A,1,FALSE)</f>
        <v>#N/A</v>
      </c>
      <c r="J5448" s="47" t="s">
        <v>3488</v>
      </c>
      <c r="K5448" s="24" t="s">
        <v>514</v>
      </c>
      <c r="L5448" s="109"/>
      <c r="M5448" s="49" t="s">
        <v>6939</v>
      </c>
      <c r="N5448" s="50">
        <v>43418</v>
      </c>
      <c r="O5448" s="22" t="s">
        <v>574</v>
      </c>
      <c r="P5448" s="52">
        <v>16227</v>
      </c>
      <c r="Q5448" s="70">
        <v>6</v>
      </c>
      <c r="R5448" s="52">
        <f t="shared" si="169"/>
        <v>97362</v>
      </c>
      <c r="S5448" s="47">
        <v>202304</v>
      </c>
      <c r="T5448" s="123" t="s">
        <v>7025</v>
      </c>
      <c r="U5448" s="48"/>
      <c r="V5448" s="48"/>
      <c r="W5448" s="48"/>
      <c r="X5448" s="50">
        <v>43190</v>
      </c>
      <c r="Y5448" s="50">
        <v>45382</v>
      </c>
    </row>
    <row r="5449" s="5" customFormat="1" customHeight="1" spans="1:25">
      <c r="A5449" s="24" t="s">
        <v>444</v>
      </c>
      <c r="B5449" s="24" t="s">
        <v>6300</v>
      </c>
      <c r="C5449" s="24" t="s">
        <v>3237</v>
      </c>
      <c r="D5449" s="22" t="s">
        <v>6301</v>
      </c>
      <c r="E5449" s="23" t="s">
        <v>6936</v>
      </c>
      <c r="F5449" s="24" t="s">
        <v>6937</v>
      </c>
      <c r="G5449" s="24" t="s">
        <v>88</v>
      </c>
      <c r="H5449" s="25" t="s">
        <v>7021</v>
      </c>
      <c r="I5449" s="46" t="e">
        <f>VLOOKUP(H5449,'合同高级查询数据-4月返'!A:A,1,FALSE)</f>
        <v>#N/A</v>
      </c>
      <c r="J5449" s="47" t="s">
        <v>3488</v>
      </c>
      <c r="K5449" s="24" t="s">
        <v>514</v>
      </c>
      <c r="L5449" s="109"/>
      <c r="M5449" s="49" t="s">
        <v>6939</v>
      </c>
      <c r="N5449" s="50">
        <v>43422</v>
      </c>
      <c r="O5449" s="22" t="s">
        <v>503</v>
      </c>
      <c r="P5449" s="52">
        <v>5950</v>
      </c>
      <c r="Q5449" s="70">
        <v>8</v>
      </c>
      <c r="R5449" s="52">
        <f t="shared" si="169"/>
        <v>47600</v>
      </c>
      <c r="S5449" s="47">
        <v>202304</v>
      </c>
      <c r="T5449" s="123"/>
      <c r="U5449" s="48"/>
      <c r="V5449" s="48"/>
      <c r="W5449" s="48"/>
      <c r="X5449" s="50">
        <v>43190</v>
      </c>
      <c r="Y5449" s="50">
        <v>45382</v>
      </c>
    </row>
    <row r="5450" s="5" customFormat="1" customHeight="1" spans="1:25">
      <c r="A5450" s="24" t="s">
        <v>444</v>
      </c>
      <c r="B5450" s="24" t="s">
        <v>6300</v>
      </c>
      <c r="C5450" s="24" t="s">
        <v>3237</v>
      </c>
      <c r="D5450" s="22" t="s">
        <v>6301</v>
      </c>
      <c r="E5450" s="23" t="s">
        <v>6936</v>
      </c>
      <c r="F5450" s="24" t="s">
        <v>6937</v>
      </c>
      <c r="G5450" s="24" t="s">
        <v>88</v>
      </c>
      <c r="H5450" s="25" t="s">
        <v>7021</v>
      </c>
      <c r="I5450" s="46" t="e">
        <f>VLOOKUP(H5450,'合同高级查询数据-4月返'!A:A,1,FALSE)</f>
        <v>#N/A</v>
      </c>
      <c r="J5450" s="47" t="s">
        <v>3488</v>
      </c>
      <c r="K5450" s="24" t="s">
        <v>514</v>
      </c>
      <c r="L5450" s="109"/>
      <c r="M5450" s="49" t="s">
        <v>6939</v>
      </c>
      <c r="N5450" s="50">
        <v>43423</v>
      </c>
      <c r="O5450" s="22" t="s">
        <v>503</v>
      </c>
      <c r="P5450" s="52">
        <v>5950</v>
      </c>
      <c r="Q5450" s="70">
        <v>15</v>
      </c>
      <c r="R5450" s="52">
        <f t="shared" si="169"/>
        <v>89250</v>
      </c>
      <c r="S5450" s="47">
        <v>202304</v>
      </c>
      <c r="T5450" s="123"/>
      <c r="U5450" s="48"/>
      <c r="V5450" s="48"/>
      <c r="W5450" s="48"/>
      <c r="X5450" s="50">
        <v>43190</v>
      </c>
      <c r="Y5450" s="50">
        <v>45382</v>
      </c>
    </row>
    <row r="5451" s="5" customFormat="1" customHeight="1" spans="1:25">
      <c r="A5451" s="24" t="s">
        <v>444</v>
      </c>
      <c r="B5451" s="24" t="s">
        <v>6300</v>
      </c>
      <c r="C5451" s="24" t="s">
        <v>3237</v>
      </c>
      <c r="D5451" s="22" t="s">
        <v>6301</v>
      </c>
      <c r="E5451" s="23" t="s">
        <v>6936</v>
      </c>
      <c r="F5451" s="24" t="s">
        <v>6937</v>
      </c>
      <c r="G5451" s="24" t="s">
        <v>88</v>
      </c>
      <c r="H5451" s="25" t="s">
        <v>7021</v>
      </c>
      <c r="I5451" s="46" t="e">
        <f>VLOOKUP(H5451,'合同高级查询数据-4月返'!A:A,1,FALSE)</f>
        <v>#N/A</v>
      </c>
      <c r="J5451" s="47" t="s">
        <v>3488</v>
      </c>
      <c r="K5451" s="24" t="s">
        <v>514</v>
      </c>
      <c r="L5451" s="109"/>
      <c r="M5451" s="49" t="s">
        <v>6939</v>
      </c>
      <c r="N5451" s="50">
        <v>43426</v>
      </c>
      <c r="O5451" s="22" t="s">
        <v>503</v>
      </c>
      <c r="P5451" s="52">
        <v>5950</v>
      </c>
      <c r="Q5451" s="70">
        <v>7</v>
      </c>
      <c r="R5451" s="52">
        <f t="shared" si="169"/>
        <v>41650</v>
      </c>
      <c r="S5451" s="47">
        <v>202304</v>
      </c>
      <c r="T5451" s="123"/>
      <c r="U5451" s="48"/>
      <c r="V5451" s="48"/>
      <c r="W5451" s="48"/>
      <c r="X5451" s="50">
        <v>43190</v>
      </c>
      <c r="Y5451" s="50">
        <v>45382</v>
      </c>
    </row>
    <row r="5452" s="5" customFormat="1" customHeight="1" spans="1:25">
      <c r="A5452" s="24" t="s">
        <v>444</v>
      </c>
      <c r="B5452" s="24" t="s">
        <v>6300</v>
      </c>
      <c r="C5452" s="24" t="s">
        <v>3237</v>
      </c>
      <c r="D5452" s="22" t="s">
        <v>6301</v>
      </c>
      <c r="E5452" s="23" t="s">
        <v>6936</v>
      </c>
      <c r="F5452" s="24" t="s">
        <v>6937</v>
      </c>
      <c r="G5452" s="24" t="s">
        <v>88</v>
      </c>
      <c r="H5452" s="25" t="s">
        <v>7021</v>
      </c>
      <c r="I5452" s="46" t="e">
        <f>VLOOKUP(H5452,'合同高级查询数据-4月返'!A:A,1,FALSE)</f>
        <v>#N/A</v>
      </c>
      <c r="J5452" s="47" t="s">
        <v>3488</v>
      </c>
      <c r="K5452" s="24" t="s">
        <v>514</v>
      </c>
      <c r="L5452" s="109"/>
      <c r="M5452" s="49" t="s">
        <v>6939</v>
      </c>
      <c r="N5452" s="50">
        <v>43427</v>
      </c>
      <c r="O5452" s="22" t="s">
        <v>503</v>
      </c>
      <c r="P5452" s="52">
        <v>5950</v>
      </c>
      <c r="Q5452" s="70">
        <v>1</v>
      </c>
      <c r="R5452" s="52">
        <f t="shared" si="169"/>
        <v>5950</v>
      </c>
      <c r="S5452" s="47">
        <v>202304</v>
      </c>
      <c r="T5452" s="123"/>
      <c r="U5452" s="48"/>
      <c r="V5452" s="48"/>
      <c r="W5452" s="48"/>
      <c r="X5452" s="50">
        <v>43190</v>
      </c>
      <c r="Y5452" s="50">
        <v>45382</v>
      </c>
    </row>
    <row r="5453" s="5" customFormat="1" customHeight="1" spans="1:25">
      <c r="A5453" s="24" t="s">
        <v>444</v>
      </c>
      <c r="B5453" s="24" t="s">
        <v>6300</v>
      </c>
      <c r="C5453" s="24" t="s">
        <v>3237</v>
      </c>
      <c r="D5453" s="22" t="s">
        <v>6301</v>
      </c>
      <c r="E5453" s="23" t="s">
        <v>6936</v>
      </c>
      <c r="F5453" s="24" t="s">
        <v>6937</v>
      </c>
      <c r="G5453" s="24" t="s">
        <v>88</v>
      </c>
      <c r="H5453" s="25" t="s">
        <v>7021</v>
      </c>
      <c r="I5453" s="46" t="e">
        <f>VLOOKUP(H5453,'合同高级查询数据-4月返'!A:A,1,FALSE)</f>
        <v>#N/A</v>
      </c>
      <c r="J5453" s="47" t="s">
        <v>3488</v>
      </c>
      <c r="K5453" s="24" t="s">
        <v>514</v>
      </c>
      <c r="L5453" s="109"/>
      <c r="M5453" s="49" t="s">
        <v>6939</v>
      </c>
      <c r="N5453" s="50">
        <v>43430</v>
      </c>
      <c r="O5453" s="22" t="s">
        <v>503</v>
      </c>
      <c r="P5453" s="52">
        <v>5950</v>
      </c>
      <c r="Q5453" s="70">
        <v>34</v>
      </c>
      <c r="R5453" s="52">
        <f t="shared" si="169"/>
        <v>202300</v>
      </c>
      <c r="S5453" s="47">
        <v>202304</v>
      </c>
      <c r="T5453" s="123"/>
      <c r="U5453" s="48"/>
      <c r="V5453" s="48"/>
      <c r="W5453" s="48"/>
      <c r="X5453" s="50">
        <v>43190</v>
      </c>
      <c r="Y5453" s="50">
        <v>45382</v>
      </c>
    </row>
    <row r="5454" s="5" customFormat="1" customHeight="1" spans="1:25">
      <c r="A5454" s="24" t="s">
        <v>444</v>
      </c>
      <c r="B5454" s="24" t="s">
        <v>6300</v>
      </c>
      <c r="C5454" s="24" t="s">
        <v>3237</v>
      </c>
      <c r="D5454" s="22" t="s">
        <v>6301</v>
      </c>
      <c r="E5454" s="23" t="s">
        <v>6936</v>
      </c>
      <c r="F5454" s="24" t="s">
        <v>6937</v>
      </c>
      <c r="G5454" s="24" t="s">
        <v>88</v>
      </c>
      <c r="H5454" s="25" t="s">
        <v>7021</v>
      </c>
      <c r="I5454" s="46" t="e">
        <f>VLOOKUP(H5454,'合同高级查询数据-4月返'!A:A,1,FALSE)</f>
        <v>#N/A</v>
      </c>
      <c r="J5454" s="47" t="s">
        <v>3488</v>
      </c>
      <c r="K5454" s="24" t="s">
        <v>514</v>
      </c>
      <c r="L5454" s="109"/>
      <c r="M5454" s="49" t="s">
        <v>6939</v>
      </c>
      <c r="N5454" s="50">
        <v>43432</v>
      </c>
      <c r="O5454" s="22" t="s">
        <v>503</v>
      </c>
      <c r="P5454" s="52">
        <v>5950</v>
      </c>
      <c r="Q5454" s="70">
        <v>73</v>
      </c>
      <c r="R5454" s="52">
        <f t="shared" si="169"/>
        <v>434350</v>
      </c>
      <c r="S5454" s="47">
        <v>202304</v>
      </c>
      <c r="T5454" s="123"/>
      <c r="U5454" s="48"/>
      <c r="V5454" s="48"/>
      <c r="W5454" s="48"/>
      <c r="X5454" s="50">
        <v>43190</v>
      </c>
      <c r="Y5454" s="50">
        <v>45382</v>
      </c>
    </row>
    <row r="5455" s="5" customFormat="1" customHeight="1" spans="1:25">
      <c r="A5455" s="24" t="s">
        <v>444</v>
      </c>
      <c r="B5455" s="24" t="s">
        <v>6300</v>
      </c>
      <c r="C5455" s="24" t="s">
        <v>3237</v>
      </c>
      <c r="D5455" s="22" t="s">
        <v>6301</v>
      </c>
      <c r="E5455" s="23" t="s">
        <v>6936</v>
      </c>
      <c r="F5455" s="24" t="s">
        <v>6937</v>
      </c>
      <c r="G5455" s="24" t="s">
        <v>88</v>
      </c>
      <c r="H5455" s="25" t="s">
        <v>7021</v>
      </c>
      <c r="I5455" s="46" t="e">
        <f>VLOOKUP(H5455,'合同高级查询数据-4月返'!A:A,1,FALSE)</f>
        <v>#N/A</v>
      </c>
      <c r="J5455" s="47" t="s">
        <v>3488</v>
      </c>
      <c r="K5455" s="24" t="s">
        <v>514</v>
      </c>
      <c r="L5455" s="109"/>
      <c r="M5455" s="49" t="s">
        <v>6939</v>
      </c>
      <c r="N5455" s="50">
        <v>43433</v>
      </c>
      <c r="O5455" s="22" t="s">
        <v>503</v>
      </c>
      <c r="P5455" s="52">
        <v>5950</v>
      </c>
      <c r="Q5455" s="70">
        <v>24</v>
      </c>
      <c r="R5455" s="52">
        <f t="shared" si="169"/>
        <v>142800</v>
      </c>
      <c r="S5455" s="47">
        <v>202304</v>
      </c>
      <c r="T5455" s="123"/>
      <c r="U5455" s="48"/>
      <c r="V5455" s="48"/>
      <c r="W5455" s="48"/>
      <c r="X5455" s="50">
        <v>43190</v>
      </c>
      <c r="Y5455" s="50">
        <v>45382</v>
      </c>
    </row>
    <row r="5456" s="5" customFormat="1" customHeight="1" spans="1:25">
      <c r="A5456" s="24" t="s">
        <v>444</v>
      </c>
      <c r="B5456" s="24" t="s">
        <v>6300</v>
      </c>
      <c r="C5456" s="24" t="s">
        <v>3237</v>
      </c>
      <c r="D5456" s="22" t="s">
        <v>6301</v>
      </c>
      <c r="E5456" s="23" t="s">
        <v>6936</v>
      </c>
      <c r="F5456" s="24" t="s">
        <v>6937</v>
      </c>
      <c r="G5456" s="24" t="s">
        <v>88</v>
      </c>
      <c r="H5456" s="25" t="s">
        <v>7021</v>
      </c>
      <c r="I5456" s="46" t="e">
        <f>VLOOKUP(H5456,'合同高级查询数据-4月返'!A:A,1,FALSE)</f>
        <v>#N/A</v>
      </c>
      <c r="J5456" s="47" t="s">
        <v>3488</v>
      </c>
      <c r="K5456" s="24" t="s">
        <v>514</v>
      </c>
      <c r="L5456" s="109"/>
      <c r="M5456" s="49" t="s">
        <v>6939</v>
      </c>
      <c r="N5456" s="50">
        <v>43434</v>
      </c>
      <c r="O5456" s="22" t="s">
        <v>503</v>
      </c>
      <c r="P5456" s="52">
        <v>5950</v>
      </c>
      <c r="Q5456" s="70">
        <v>24</v>
      </c>
      <c r="R5456" s="52">
        <f t="shared" si="169"/>
        <v>142800</v>
      </c>
      <c r="S5456" s="47">
        <v>202304</v>
      </c>
      <c r="T5456" s="123"/>
      <c r="U5456" s="48"/>
      <c r="V5456" s="48"/>
      <c r="W5456" s="48"/>
      <c r="X5456" s="50">
        <v>43190</v>
      </c>
      <c r="Y5456" s="50">
        <v>45382</v>
      </c>
    </row>
    <row r="5457" s="5" customFormat="1" customHeight="1" spans="1:25">
      <c r="A5457" s="24" t="s">
        <v>444</v>
      </c>
      <c r="B5457" s="24" t="s">
        <v>6300</v>
      </c>
      <c r="C5457" s="24" t="s">
        <v>3237</v>
      </c>
      <c r="D5457" s="22" t="s">
        <v>6301</v>
      </c>
      <c r="E5457" s="23" t="s">
        <v>6936</v>
      </c>
      <c r="F5457" s="24" t="s">
        <v>6937</v>
      </c>
      <c r="G5457" s="24" t="s">
        <v>88</v>
      </c>
      <c r="H5457" s="25" t="s">
        <v>7021</v>
      </c>
      <c r="I5457" s="46" t="e">
        <f>VLOOKUP(H5457,'合同高级查询数据-4月返'!A:A,1,FALSE)</f>
        <v>#N/A</v>
      </c>
      <c r="J5457" s="47" t="s">
        <v>3488</v>
      </c>
      <c r="K5457" s="24" t="s">
        <v>514</v>
      </c>
      <c r="L5457" s="109"/>
      <c r="M5457" s="49" t="s">
        <v>6939</v>
      </c>
      <c r="N5457" s="50">
        <v>43435</v>
      </c>
      <c r="O5457" s="22" t="s">
        <v>503</v>
      </c>
      <c r="P5457" s="52">
        <v>5950</v>
      </c>
      <c r="Q5457" s="70">
        <v>10</v>
      </c>
      <c r="R5457" s="52">
        <f t="shared" si="169"/>
        <v>59500</v>
      </c>
      <c r="S5457" s="47">
        <v>202304</v>
      </c>
      <c r="T5457" s="123"/>
      <c r="U5457" s="48"/>
      <c r="V5457" s="48"/>
      <c r="W5457" s="48"/>
      <c r="X5457" s="50">
        <v>43190</v>
      </c>
      <c r="Y5457" s="50">
        <v>45382</v>
      </c>
    </row>
    <row r="5458" s="5" customFormat="1" customHeight="1" spans="1:25">
      <c r="A5458" s="24" t="s">
        <v>444</v>
      </c>
      <c r="B5458" s="24" t="s">
        <v>6300</v>
      </c>
      <c r="C5458" s="24" t="s">
        <v>3237</v>
      </c>
      <c r="D5458" s="22" t="s">
        <v>6301</v>
      </c>
      <c r="E5458" s="23" t="s">
        <v>6936</v>
      </c>
      <c r="F5458" s="24" t="s">
        <v>6937</v>
      </c>
      <c r="G5458" s="24" t="s">
        <v>88</v>
      </c>
      <c r="H5458" s="25" t="s">
        <v>7021</v>
      </c>
      <c r="I5458" s="46" t="e">
        <f>VLOOKUP(H5458,'合同高级查询数据-4月返'!A:A,1,FALSE)</f>
        <v>#N/A</v>
      </c>
      <c r="J5458" s="47" t="s">
        <v>3488</v>
      </c>
      <c r="K5458" s="24" t="s">
        <v>514</v>
      </c>
      <c r="L5458" s="109"/>
      <c r="M5458" s="49" t="s">
        <v>6939</v>
      </c>
      <c r="N5458" s="50">
        <v>43438</v>
      </c>
      <c r="O5458" s="22" t="s">
        <v>503</v>
      </c>
      <c r="P5458" s="52">
        <v>5950</v>
      </c>
      <c r="Q5458" s="70">
        <v>24</v>
      </c>
      <c r="R5458" s="52">
        <f t="shared" si="169"/>
        <v>142800</v>
      </c>
      <c r="S5458" s="47">
        <v>202304</v>
      </c>
      <c r="T5458" s="123"/>
      <c r="U5458" s="48"/>
      <c r="V5458" s="48"/>
      <c r="W5458" s="48"/>
      <c r="X5458" s="50">
        <v>43190</v>
      </c>
      <c r="Y5458" s="50">
        <v>45382</v>
      </c>
    </row>
    <row r="5459" s="5" customFormat="1" customHeight="1" spans="1:25">
      <c r="A5459" s="24" t="s">
        <v>444</v>
      </c>
      <c r="B5459" s="24" t="s">
        <v>6300</v>
      </c>
      <c r="C5459" s="24" t="s">
        <v>3237</v>
      </c>
      <c r="D5459" s="22" t="s">
        <v>6301</v>
      </c>
      <c r="E5459" s="23" t="s">
        <v>6936</v>
      </c>
      <c r="F5459" s="24" t="s">
        <v>6937</v>
      </c>
      <c r="G5459" s="24" t="s">
        <v>88</v>
      </c>
      <c r="H5459" s="25" t="s">
        <v>7021</v>
      </c>
      <c r="I5459" s="46" t="e">
        <f>VLOOKUP(H5459,'合同高级查询数据-4月返'!A:A,1,FALSE)</f>
        <v>#N/A</v>
      </c>
      <c r="J5459" s="47" t="s">
        <v>3488</v>
      </c>
      <c r="K5459" s="24" t="s">
        <v>514</v>
      </c>
      <c r="L5459" s="109"/>
      <c r="M5459" s="49" t="s">
        <v>6939</v>
      </c>
      <c r="N5459" s="50">
        <v>43439</v>
      </c>
      <c r="O5459" s="22" t="s">
        <v>503</v>
      </c>
      <c r="P5459" s="52">
        <v>5950</v>
      </c>
      <c r="Q5459" s="70">
        <v>21</v>
      </c>
      <c r="R5459" s="52">
        <f t="shared" si="169"/>
        <v>124950</v>
      </c>
      <c r="S5459" s="47">
        <v>202304</v>
      </c>
      <c r="T5459" s="123"/>
      <c r="U5459" s="48"/>
      <c r="V5459" s="48"/>
      <c r="W5459" s="48"/>
      <c r="X5459" s="50">
        <v>43190</v>
      </c>
      <c r="Y5459" s="50">
        <v>45382</v>
      </c>
    </row>
    <row r="5460" s="5" customFormat="1" customHeight="1" spans="1:25">
      <c r="A5460" s="24" t="s">
        <v>444</v>
      </c>
      <c r="B5460" s="24" t="s">
        <v>6300</v>
      </c>
      <c r="C5460" s="24" t="s">
        <v>3237</v>
      </c>
      <c r="D5460" s="22" t="s">
        <v>6301</v>
      </c>
      <c r="E5460" s="23" t="s">
        <v>6936</v>
      </c>
      <c r="F5460" s="24" t="s">
        <v>6937</v>
      </c>
      <c r="G5460" s="24" t="s">
        <v>88</v>
      </c>
      <c r="H5460" s="25" t="s">
        <v>7021</v>
      </c>
      <c r="I5460" s="46" t="e">
        <f>VLOOKUP(H5460,'合同高级查询数据-4月返'!A:A,1,FALSE)</f>
        <v>#N/A</v>
      </c>
      <c r="J5460" s="47" t="s">
        <v>3488</v>
      </c>
      <c r="K5460" s="24" t="s">
        <v>514</v>
      </c>
      <c r="L5460" s="109"/>
      <c r="M5460" s="49" t="s">
        <v>6939</v>
      </c>
      <c r="N5460" s="50">
        <v>43440</v>
      </c>
      <c r="O5460" s="22" t="s">
        <v>503</v>
      </c>
      <c r="P5460" s="52">
        <v>5950</v>
      </c>
      <c r="Q5460" s="70">
        <v>7</v>
      </c>
      <c r="R5460" s="52">
        <f t="shared" si="169"/>
        <v>41650</v>
      </c>
      <c r="S5460" s="47">
        <v>202304</v>
      </c>
      <c r="T5460" s="123"/>
      <c r="U5460" s="48"/>
      <c r="V5460" s="48"/>
      <c r="W5460" s="48"/>
      <c r="X5460" s="50">
        <v>43190</v>
      </c>
      <c r="Y5460" s="50">
        <v>45382</v>
      </c>
    </row>
    <row r="5461" s="5" customFormat="1" customHeight="1" spans="1:25">
      <c r="A5461" s="24" t="s">
        <v>444</v>
      </c>
      <c r="B5461" s="24" t="s">
        <v>6300</v>
      </c>
      <c r="C5461" s="24" t="s">
        <v>3237</v>
      </c>
      <c r="D5461" s="22" t="s">
        <v>6301</v>
      </c>
      <c r="E5461" s="23" t="s">
        <v>6936</v>
      </c>
      <c r="F5461" s="24" t="s">
        <v>6937</v>
      </c>
      <c r="G5461" s="24" t="s">
        <v>88</v>
      </c>
      <c r="H5461" s="25" t="s">
        <v>7021</v>
      </c>
      <c r="I5461" s="46" t="e">
        <f>VLOOKUP(H5461,'合同高级查询数据-4月返'!A:A,1,FALSE)</f>
        <v>#N/A</v>
      </c>
      <c r="J5461" s="47" t="s">
        <v>3488</v>
      </c>
      <c r="K5461" s="24" t="s">
        <v>514</v>
      </c>
      <c r="L5461" s="109"/>
      <c r="M5461" s="49" t="s">
        <v>6939</v>
      </c>
      <c r="N5461" s="50">
        <v>43441</v>
      </c>
      <c r="O5461" s="22" t="s">
        <v>503</v>
      </c>
      <c r="P5461" s="52">
        <v>5950</v>
      </c>
      <c r="Q5461" s="70">
        <v>10</v>
      </c>
      <c r="R5461" s="52">
        <f t="shared" si="169"/>
        <v>59500</v>
      </c>
      <c r="S5461" s="47">
        <v>202304</v>
      </c>
      <c r="T5461" s="123"/>
      <c r="U5461" s="48"/>
      <c r="V5461" s="48"/>
      <c r="W5461" s="48"/>
      <c r="X5461" s="50">
        <v>43190</v>
      </c>
      <c r="Y5461" s="50">
        <v>45382</v>
      </c>
    </row>
    <row r="5462" s="5" customFormat="1" customHeight="1" spans="1:25">
      <c r="A5462" s="24" t="s">
        <v>444</v>
      </c>
      <c r="B5462" s="24" t="s">
        <v>6300</v>
      </c>
      <c r="C5462" s="24" t="s">
        <v>3237</v>
      </c>
      <c r="D5462" s="22" t="s">
        <v>6301</v>
      </c>
      <c r="E5462" s="23" t="s">
        <v>6936</v>
      </c>
      <c r="F5462" s="24" t="s">
        <v>6937</v>
      </c>
      <c r="G5462" s="24" t="s">
        <v>88</v>
      </c>
      <c r="H5462" s="25" t="s">
        <v>7021</v>
      </c>
      <c r="I5462" s="46" t="e">
        <f>VLOOKUP(H5462,'合同高级查询数据-4月返'!A:A,1,FALSE)</f>
        <v>#N/A</v>
      </c>
      <c r="J5462" s="47" t="s">
        <v>3488</v>
      </c>
      <c r="K5462" s="24" t="s">
        <v>514</v>
      </c>
      <c r="L5462" s="109"/>
      <c r="M5462" s="49" t="s">
        <v>6939</v>
      </c>
      <c r="N5462" s="50">
        <v>43444</v>
      </c>
      <c r="O5462" s="22" t="s">
        <v>503</v>
      </c>
      <c r="P5462" s="52">
        <v>5950</v>
      </c>
      <c r="Q5462" s="70">
        <v>1</v>
      </c>
      <c r="R5462" s="52">
        <f t="shared" si="169"/>
        <v>5950</v>
      </c>
      <c r="S5462" s="47">
        <v>202304</v>
      </c>
      <c r="T5462" s="123"/>
      <c r="U5462" s="48"/>
      <c r="V5462" s="48"/>
      <c r="W5462" s="48"/>
      <c r="X5462" s="50">
        <v>43190</v>
      </c>
      <c r="Y5462" s="50">
        <v>45382</v>
      </c>
    </row>
    <row r="5463" s="5" customFormat="1" customHeight="1" spans="1:25">
      <c r="A5463" s="24" t="s">
        <v>444</v>
      </c>
      <c r="B5463" s="24" t="s">
        <v>6300</v>
      </c>
      <c r="C5463" s="24" t="s">
        <v>3237</v>
      </c>
      <c r="D5463" s="22" t="s">
        <v>6301</v>
      </c>
      <c r="E5463" s="23" t="s">
        <v>6936</v>
      </c>
      <c r="F5463" s="24" t="s">
        <v>6937</v>
      </c>
      <c r="G5463" s="24" t="s">
        <v>88</v>
      </c>
      <c r="H5463" s="25" t="s">
        <v>7021</v>
      </c>
      <c r="I5463" s="46" t="e">
        <f>VLOOKUP(H5463,'合同高级查询数据-4月返'!A:A,1,FALSE)</f>
        <v>#N/A</v>
      </c>
      <c r="J5463" s="47" t="s">
        <v>3488</v>
      </c>
      <c r="K5463" s="24" t="s">
        <v>514</v>
      </c>
      <c r="L5463" s="109"/>
      <c r="M5463" s="49" t="s">
        <v>6939</v>
      </c>
      <c r="N5463" s="50">
        <v>43449</v>
      </c>
      <c r="O5463" s="22" t="s">
        <v>503</v>
      </c>
      <c r="P5463" s="52">
        <v>5950</v>
      </c>
      <c r="Q5463" s="70">
        <v>28</v>
      </c>
      <c r="R5463" s="52">
        <f t="shared" si="169"/>
        <v>166600</v>
      </c>
      <c r="S5463" s="47">
        <v>202304</v>
      </c>
      <c r="T5463" s="123"/>
      <c r="U5463" s="48"/>
      <c r="V5463" s="48"/>
      <c r="W5463" s="48"/>
      <c r="X5463" s="50">
        <v>43190</v>
      </c>
      <c r="Y5463" s="50">
        <v>45382</v>
      </c>
    </row>
    <row r="5464" s="5" customFormat="1" customHeight="1" spans="1:25">
      <c r="A5464" s="24" t="s">
        <v>444</v>
      </c>
      <c r="B5464" s="24" t="s">
        <v>6300</v>
      </c>
      <c r="C5464" s="24" t="s">
        <v>3237</v>
      </c>
      <c r="D5464" s="22" t="s">
        <v>6301</v>
      </c>
      <c r="E5464" s="23" t="s">
        <v>6936</v>
      </c>
      <c r="F5464" s="24" t="s">
        <v>6937</v>
      </c>
      <c r="G5464" s="24" t="s">
        <v>88</v>
      </c>
      <c r="H5464" s="25" t="s">
        <v>7021</v>
      </c>
      <c r="I5464" s="46" t="e">
        <f>VLOOKUP(H5464,'合同高级查询数据-4月返'!A:A,1,FALSE)</f>
        <v>#N/A</v>
      </c>
      <c r="J5464" s="47" t="s">
        <v>3488</v>
      </c>
      <c r="K5464" s="24" t="s">
        <v>514</v>
      </c>
      <c r="L5464" s="109"/>
      <c r="M5464" s="49" t="s">
        <v>6939</v>
      </c>
      <c r="N5464" s="50">
        <v>43450</v>
      </c>
      <c r="O5464" s="22" t="s">
        <v>503</v>
      </c>
      <c r="P5464" s="52">
        <v>5950</v>
      </c>
      <c r="Q5464" s="70">
        <v>11</v>
      </c>
      <c r="R5464" s="52">
        <f t="shared" si="169"/>
        <v>65450</v>
      </c>
      <c r="S5464" s="47">
        <v>202304</v>
      </c>
      <c r="T5464" s="123"/>
      <c r="U5464" s="48"/>
      <c r="V5464" s="48"/>
      <c r="W5464" s="48"/>
      <c r="X5464" s="50">
        <v>43190</v>
      </c>
      <c r="Y5464" s="50">
        <v>45382</v>
      </c>
    </row>
    <row r="5465" s="5" customFormat="1" customHeight="1" spans="1:25">
      <c r="A5465" s="24" t="s">
        <v>444</v>
      </c>
      <c r="B5465" s="24" t="s">
        <v>6300</v>
      </c>
      <c r="C5465" s="24" t="s">
        <v>3237</v>
      </c>
      <c r="D5465" s="22" t="s">
        <v>6301</v>
      </c>
      <c r="E5465" s="23" t="s">
        <v>6936</v>
      </c>
      <c r="F5465" s="24" t="s">
        <v>6937</v>
      </c>
      <c r="G5465" s="24" t="s">
        <v>88</v>
      </c>
      <c r="H5465" s="25" t="s">
        <v>7021</v>
      </c>
      <c r="I5465" s="46" t="e">
        <f>VLOOKUP(H5465,'合同高级查询数据-4月返'!A:A,1,FALSE)</f>
        <v>#N/A</v>
      </c>
      <c r="J5465" s="47" t="s">
        <v>3488</v>
      </c>
      <c r="K5465" s="24" t="s">
        <v>514</v>
      </c>
      <c r="L5465" s="109"/>
      <c r="M5465" s="49" t="s">
        <v>6939</v>
      </c>
      <c r="N5465" s="50">
        <v>43451</v>
      </c>
      <c r="O5465" s="22" t="s">
        <v>503</v>
      </c>
      <c r="P5465" s="52">
        <v>5950</v>
      </c>
      <c r="Q5465" s="70">
        <v>4</v>
      </c>
      <c r="R5465" s="52">
        <f t="shared" si="169"/>
        <v>23800</v>
      </c>
      <c r="S5465" s="47">
        <v>202304</v>
      </c>
      <c r="T5465" s="123"/>
      <c r="U5465" s="48"/>
      <c r="V5465" s="48"/>
      <c r="W5465" s="48"/>
      <c r="X5465" s="50">
        <v>43190</v>
      </c>
      <c r="Y5465" s="50">
        <v>45382</v>
      </c>
    </row>
    <row r="5466" s="5" customFormat="1" customHeight="1" spans="1:25">
      <c r="A5466" s="24" t="s">
        <v>444</v>
      </c>
      <c r="B5466" s="24" t="s">
        <v>6300</v>
      </c>
      <c r="C5466" s="24" t="s">
        <v>3237</v>
      </c>
      <c r="D5466" s="22" t="s">
        <v>6301</v>
      </c>
      <c r="E5466" s="23" t="s">
        <v>6936</v>
      </c>
      <c r="F5466" s="24" t="s">
        <v>6937</v>
      </c>
      <c r="G5466" s="24" t="s">
        <v>88</v>
      </c>
      <c r="H5466" s="25" t="s">
        <v>7021</v>
      </c>
      <c r="I5466" s="46" t="e">
        <f>VLOOKUP(H5466,'合同高级查询数据-4月返'!A:A,1,FALSE)</f>
        <v>#N/A</v>
      </c>
      <c r="J5466" s="47" t="s">
        <v>3488</v>
      </c>
      <c r="K5466" s="24" t="s">
        <v>514</v>
      </c>
      <c r="L5466" s="109"/>
      <c r="M5466" s="49" t="s">
        <v>6939</v>
      </c>
      <c r="N5466" s="50">
        <v>43459</v>
      </c>
      <c r="O5466" s="22" t="s">
        <v>503</v>
      </c>
      <c r="P5466" s="52">
        <v>5950</v>
      </c>
      <c r="Q5466" s="70">
        <v>6</v>
      </c>
      <c r="R5466" s="52">
        <f t="shared" ref="R5466:R5529" si="170">ROUND(P5466*Q5466,2)</f>
        <v>35700</v>
      </c>
      <c r="S5466" s="47">
        <v>202304</v>
      </c>
      <c r="T5466" s="123"/>
      <c r="U5466" s="48"/>
      <c r="V5466" s="48"/>
      <c r="W5466" s="48"/>
      <c r="X5466" s="50">
        <v>43190</v>
      </c>
      <c r="Y5466" s="50">
        <v>45382</v>
      </c>
    </row>
    <row r="5467" s="5" customFormat="1" customHeight="1" spans="1:25">
      <c r="A5467" s="24" t="s">
        <v>444</v>
      </c>
      <c r="B5467" s="24" t="s">
        <v>6300</v>
      </c>
      <c r="C5467" s="24" t="s">
        <v>3237</v>
      </c>
      <c r="D5467" s="22" t="s">
        <v>6301</v>
      </c>
      <c r="E5467" s="23" t="s">
        <v>6936</v>
      </c>
      <c r="F5467" s="24" t="s">
        <v>6937</v>
      </c>
      <c r="G5467" s="24" t="s">
        <v>88</v>
      </c>
      <c r="H5467" s="25" t="s">
        <v>7021</v>
      </c>
      <c r="I5467" s="46" t="e">
        <f>VLOOKUP(H5467,'合同高级查询数据-4月返'!A:A,1,FALSE)</f>
        <v>#N/A</v>
      </c>
      <c r="J5467" s="47" t="s">
        <v>3488</v>
      </c>
      <c r="K5467" s="24" t="s">
        <v>514</v>
      </c>
      <c r="L5467" s="109"/>
      <c r="M5467" s="49" t="s">
        <v>6939</v>
      </c>
      <c r="N5467" s="50">
        <v>43460</v>
      </c>
      <c r="O5467" s="22" t="s">
        <v>503</v>
      </c>
      <c r="P5467" s="52">
        <v>5950</v>
      </c>
      <c r="Q5467" s="70">
        <v>2</v>
      </c>
      <c r="R5467" s="52">
        <f t="shared" si="170"/>
        <v>11900</v>
      </c>
      <c r="S5467" s="47">
        <v>202304</v>
      </c>
      <c r="T5467" s="123"/>
      <c r="U5467" s="48"/>
      <c r="V5467" s="48"/>
      <c r="W5467" s="48"/>
      <c r="X5467" s="50">
        <v>43190</v>
      </c>
      <c r="Y5467" s="50">
        <v>45382</v>
      </c>
    </row>
    <row r="5468" s="5" customFormat="1" customHeight="1" spans="1:25">
      <c r="A5468" s="24" t="s">
        <v>444</v>
      </c>
      <c r="B5468" s="24" t="s">
        <v>6300</v>
      </c>
      <c r="C5468" s="24" t="s">
        <v>3237</v>
      </c>
      <c r="D5468" s="22" t="s">
        <v>6301</v>
      </c>
      <c r="E5468" s="23" t="s">
        <v>6936</v>
      </c>
      <c r="F5468" s="24" t="s">
        <v>6937</v>
      </c>
      <c r="G5468" s="24" t="s">
        <v>88</v>
      </c>
      <c r="H5468" s="25" t="s">
        <v>7021</v>
      </c>
      <c r="I5468" s="46" t="e">
        <f>VLOOKUP(H5468,'合同高级查询数据-4月返'!A:A,1,FALSE)</f>
        <v>#N/A</v>
      </c>
      <c r="J5468" s="47" t="s">
        <v>3488</v>
      </c>
      <c r="K5468" s="24" t="s">
        <v>514</v>
      </c>
      <c r="L5468" s="109"/>
      <c r="M5468" s="49" t="s">
        <v>6939</v>
      </c>
      <c r="N5468" s="50">
        <v>43461</v>
      </c>
      <c r="O5468" s="22" t="s">
        <v>503</v>
      </c>
      <c r="P5468" s="52">
        <v>5950</v>
      </c>
      <c r="Q5468" s="70">
        <v>5</v>
      </c>
      <c r="R5468" s="52">
        <f t="shared" si="170"/>
        <v>29750</v>
      </c>
      <c r="S5468" s="47">
        <v>202304</v>
      </c>
      <c r="T5468" s="123"/>
      <c r="U5468" s="48"/>
      <c r="V5468" s="48"/>
      <c r="W5468" s="48"/>
      <c r="X5468" s="50">
        <v>43190</v>
      </c>
      <c r="Y5468" s="50">
        <v>45382</v>
      </c>
    </row>
    <row r="5469" s="5" customFormat="1" customHeight="1" spans="1:25">
      <c r="A5469" s="24" t="s">
        <v>444</v>
      </c>
      <c r="B5469" s="24" t="s">
        <v>6300</v>
      </c>
      <c r="C5469" s="24" t="s">
        <v>3237</v>
      </c>
      <c r="D5469" s="22" t="s">
        <v>6301</v>
      </c>
      <c r="E5469" s="23" t="s">
        <v>6936</v>
      </c>
      <c r="F5469" s="24" t="s">
        <v>6937</v>
      </c>
      <c r="G5469" s="24" t="s">
        <v>88</v>
      </c>
      <c r="H5469" s="25" t="s">
        <v>7021</v>
      </c>
      <c r="I5469" s="46" t="e">
        <f>VLOOKUP(H5469,'合同高级查询数据-4月返'!A:A,1,FALSE)</f>
        <v>#N/A</v>
      </c>
      <c r="J5469" s="47" t="s">
        <v>3488</v>
      </c>
      <c r="K5469" s="24" t="s">
        <v>514</v>
      </c>
      <c r="L5469" s="109"/>
      <c r="M5469" s="49" t="s">
        <v>6939</v>
      </c>
      <c r="N5469" s="50">
        <v>43462</v>
      </c>
      <c r="O5469" s="22" t="s">
        <v>503</v>
      </c>
      <c r="P5469" s="52">
        <v>5950</v>
      </c>
      <c r="Q5469" s="70">
        <v>4</v>
      </c>
      <c r="R5469" s="52">
        <f t="shared" si="170"/>
        <v>23800</v>
      </c>
      <c r="S5469" s="47">
        <v>202304</v>
      </c>
      <c r="T5469" s="123"/>
      <c r="U5469" s="48"/>
      <c r="V5469" s="48"/>
      <c r="W5469" s="48"/>
      <c r="X5469" s="50">
        <v>43190</v>
      </c>
      <c r="Y5469" s="50">
        <v>45382</v>
      </c>
    </row>
    <row r="5470" s="5" customFormat="1" customHeight="1" spans="1:25">
      <c r="A5470" s="24" t="s">
        <v>444</v>
      </c>
      <c r="B5470" s="24" t="s">
        <v>6300</v>
      </c>
      <c r="C5470" s="24" t="s">
        <v>3237</v>
      </c>
      <c r="D5470" s="22" t="s">
        <v>6301</v>
      </c>
      <c r="E5470" s="23" t="s">
        <v>6936</v>
      </c>
      <c r="F5470" s="24" t="s">
        <v>6937</v>
      </c>
      <c r="G5470" s="24" t="s">
        <v>88</v>
      </c>
      <c r="H5470" s="25" t="s">
        <v>7021</v>
      </c>
      <c r="I5470" s="46" t="e">
        <f>VLOOKUP(H5470,'合同高级查询数据-4月返'!A:A,1,FALSE)</f>
        <v>#N/A</v>
      </c>
      <c r="J5470" s="47" t="s">
        <v>3488</v>
      </c>
      <c r="K5470" s="24" t="s">
        <v>514</v>
      </c>
      <c r="L5470" s="109"/>
      <c r="M5470" s="49" t="s">
        <v>6939</v>
      </c>
      <c r="N5470" s="50">
        <v>43463</v>
      </c>
      <c r="O5470" s="22" t="s">
        <v>503</v>
      </c>
      <c r="P5470" s="52">
        <v>5950</v>
      </c>
      <c r="Q5470" s="70">
        <v>2</v>
      </c>
      <c r="R5470" s="52">
        <f t="shared" si="170"/>
        <v>11900</v>
      </c>
      <c r="S5470" s="47">
        <v>202304</v>
      </c>
      <c r="T5470" s="123"/>
      <c r="U5470" s="48"/>
      <c r="V5470" s="48"/>
      <c r="W5470" s="48"/>
      <c r="X5470" s="50">
        <v>43190</v>
      </c>
      <c r="Y5470" s="50">
        <v>45382</v>
      </c>
    </row>
    <row r="5471" s="5" customFormat="1" customHeight="1" spans="1:25">
      <c r="A5471" s="24" t="s">
        <v>444</v>
      </c>
      <c r="B5471" s="24" t="s">
        <v>6300</v>
      </c>
      <c r="C5471" s="24" t="s">
        <v>3237</v>
      </c>
      <c r="D5471" s="22" t="s">
        <v>6301</v>
      </c>
      <c r="E5471" s="23" t="s">
        <v>6936</v>
      </c>
      <c r="F5471" s="24" t="s">
        <v>6937</v>
      </c>
      <c r="G5471" s="24" t="s">
        <v>88</v>
      </c>
      <c r="H5471" s="25" t="s">
        <v>7021</v>
      </c>
      <c r="I5471" s="46" t="e">
        <f>VLOOKUP(H5471,'合同高级查询数据-4月返'!A:A,1,FALSE)</f>
        <v>#N/A</v>
      </c>
      <c r="J5471" s="47" t="s">
        <v>3488</v>
      </c>
      <c r="K5471" s="24" t="s">
        <v>514</v>
      </c>
      <c r="L5471" s="109"/>
      <c r="M5471" s="49" t="s">
        <v>6939</v>
      </c>
      <c r="N5471" s="50">
        <v>43467</v>
      </c>
      <c r="O5471" s="22" t="s">
        <v>503</v>
      </c>
      <c r="P5471" s="52">
        <v>5950</v>
      </c>
      <c r="Q5471" s="70">
        <v>12</v>
      </c>
      <c r="R5471" s="52">
        <f t="shared" si="170"/>
        <v>71400</v>
      </c>
      <c r="S5471" s="47">
        <v>202304</v>
      </c>
      <c r="T5471" s="123"/>
      <c r="U5471" s="48"/>
      <c r="V5471" s="48"/>
      <c r="W5471" s="48"/>
      <c r="X5471" s="50">
        <v>43190</v>
      </c>
      <c r="Y5471" s="50">
        <v>45382</v>
      </c>
    </row>
    <row r="5472" s="5" customFormat="1" customHeight="1" spans="1:25">
      <c r="A5472" s="24" t="s">
        <v>444</v>
      </c>
      <c r="B5472" s="24" t="s">
        <v>6300</v>
      </c>
      <c r="C5472" s="24" t="s">
        <v>3237</v>
      </c>
      <c r="D5472" s="22" t="s">
        <v>6301</v>
      </c>
      <c r="E5472" s="23" t="s">
        <v>6936</v>
      </c>
      <c r="F5472" s="24" t="s">
        <v>6937</v>
      </c>
      <c r="G5472" s="24" t="s">
        <v>88</v>
      </c>
      <c r="H5472" s="25" t="s">
        <v>7021</v>
      </c>
      <c r="I5472" s="46" t="e">
        <f>VLOOKUP(H5472,'合同高级查询数据-4月返'!A:A,1,FALSE)</f>
        <v>#N/A</v>
      </c>
      <c r="J5472" s="47" t="s">
        <v>3488</v>
      </c>
      <c r="K5472" s="24" t="s">
        <v>514</v>
      </c>
      <c r="L5472" s="109"/>
      <c r="M5472" s="49" t="s">
        <v>6939</v>
      </c>
      <c r="N5472" s="50">
        <v>43468</v>
      </c>
      <c r="O5472" s="22" t="s">
        <v>503</v>
      </c>
      <c r="P5472" s="52">
        <v>5950</v>
      </c>
      <c r="Q5472" s="70">
        <v>1</v>
      </c>
      <c r="R5472" s="52">
        <f t="shared" si="170"/>
        <v>5950</v>
      </c>
      <c r="S5472" s="47">
        <v>202304</v>
      </c>
      <c r="T5472" s="123"/>
      <c r="U5472" s="48"/>
      <c r="V5472" s="48"/>
      <c r="W5472" s="48"/>
      <c r="X5472" s="50">
        <v>43190</v>
      </c>
      <c r="Y5472" s="50">
        <v>45382</v>
      </c>
    </row>
    <row r="5473" s="5" customFormat="1" customHeight="1" spans="1:25">
      <c r="A5473" s="24" t="s">
        <v>444</v>
      </c>
      <c r="B5473" s="24" t="s">
        <v>6300</v>
      </c>
      <c r="C5473" s="24" t="s">
        <v>3237</v>
      </c>
      <c r="D5473" s="22" t="s">
        <v>6301</v>
      </c>
      <c r="E5473" s="23" t="s">
        <v>6936</v>
      </c>
      <c r="F5473" s="24" t="s">
        <v>6937</v>
      </c>
      <c r="G5473" s="24" t="s">
        <v>88</v>
      </c>
      <c r="H5473" s="25" t="s">
        <v>7021</v>
      </c>
      <c r="I5473" s="46" t="e">
        <f>VLOOKUP(H5473,'合同高级查询数据-4月返'!A:A,1,FALSE)</f>
        <v>#N/A</v>
      </c>
      <c r="J5473" s="47" t="s">
        <v>3488</v>
      </c>
      <c r="K5473" s="24" t="s">
        <v>514</v>
      </c>
      <c r="L5473" s="109"/>
      <c r="M5473" s="49" t="s">
        <v>6939</v>
      </c>
      <c r="N5473" s="50">
        <v>43474</v>
      </c>
      <c r="O5473" s="22" t="s">
        <v>503</v>
      </c>
      <c r="P5473" s="52">
        <v>5950</v>
      </c>
      <c r="Q5473" s="70">
        <v>22</v>
      </c>
      <c r="R5473" s="52">
        <f t="shared" si="170"/>
        <v>130900</v>
      </c>
      <c r="S5473" s="47">
        <v>202304</v>
      </c>
      <c r="T5473" s="123"/>
      <c r="U5473" s="48"/>
      <c r="V5473" s="48"/>
      <c r="W5473" s="48"/>
      <c r="X5473" s="50">
        <v>43190</v>
      </c>
      <c r="Y5473" s="50">
        <v>45382</v>
      </c>
    </row>
    <row r="5474" s="5" customFormat="1" customHeight="1" spans="1:25">
      <c r="A5474" s="24" t="s">
        <v>444</v>
      </c>
      <c r="B5474" s="24" t="s">
        <v>6300</v>
      </c>
      <c r="C5474" s="24" t="s">
        <v>3237</v>
      </c>
      <c r="D5474" s="22" t="s">
        <v>6301</v>
      </c>
      <c r="E5474" s="23" t="s">
        <v>6936</v>
      </c>
      <c r="F5474" s="24" t="s">
        <v>6937</v>
      </c>
      <c r="G5474" s="24" t="s">
        <v>88</v>
      </c>
      <c r="H5474" s="25" t="s">
        <v>7021</v>
      </c>
      <c r="I5474" s="46" t="e">
        <f>VLOOKUP(H5474,'合同高级查询数据-4月返'!A:A,1,FALSE)</f>
        <v>#N/A</v>
      </c>
      <c r="J5474" s="47" t="s">
        <v>3488</v>
      </c>
      <c r="K5474" s="24" t="s">
        <v>514</v>
      </c>
      <c r="L5474" s="109"/>
      <c r="M5474" s="49" t="s">
        <v>6939</v>
      </c>
      <c r="N5474" s="50">
        <v>43479</v>
      </c>
      <c r="O5474" s="22" t="s">
        <v>503</v>
      </c>
      <c r="P5474" s="52">
        <v>5950</v>
      </c>
      <c r="Q5474" s="70">
        <v>1</v>
      </c>
      <c r="R5474" s="52">
        <f t="shared" si="170"/>
        <v>5950</v>
      </c>
      <c r="S5474" s="47">
        <v>202304</v>
      </c>
      <c r="T5474" s="123"/>
      <c r="U5474" s="48"/>
      <c r="V5474" s="48"/>
      <c r="W5474" s="48"/>
      <c r="X5474" s="50">
        <v>43190</v>
      </c>
      <c r="Y5474" s="50">
        <v>45382</v>
      </c>
    </row>
    <row r="5475" s="5" customFormat="1" customHeight="1" spans="1:25">
      <c r="A5475" s="24" t="s">
        <v>444</v>
      </c>
      <c r="B5475" s="24" t="s">
        <v>6300</v>
      </c>
      <c r="C5475" s="24" t="s">
        <v>3237</v>
      </c>
      <c r="D5475" s="22" t="s">
        <v>6301</v>
      </c>
      <c r="E5475" s="23" t="s">
        <v>6936</v>
      </c>
      <c r="F5475" s="24" t="s">
        <v>6937</v>
      </c>
      <c r="G5475" s="24" t="s">
        <v>88</v>
      </c>
      <c r="H5475" s="25" t="s">
        <v>7021</v>
      </c>
      <c r="I5475" s="46" t="e">
        <f>VLOOKUP(H5475,'合同高级查询数据-4月返'!A:A,1,FALSE)</f>
        <v>#N/A</v>
      </c>
      <c r="J5475" s="47" t="s">
        <v>3488</v>
      </c>
      <c r="K5475" s="24" t="s">
        <v>514</v>
      </c>
      <c r="L5475" s="109"/>
      <c r="M5475" s="49" t="s">
        <v>6939</v>
      </c>
      <c r="N5475" s="50">
        <v>43481</v>
      </c>
      <c r="O5475" s="22" t="s">
        <v>503</v>
      </c>
      <c r="P5475" s="52">
        <v>5950</v>
      </c>
      <c r="Q5475" s="70">
        <v>4</v>
      </c>
      <c r="R5475" s="52">
        <f t="shared" si="170"/>
        <v>23800</v>
      </c>
      <c r="S5475" s="47">
        <v>202304</v>
      </c>
      <c r="T5475" s="123"/>
      <c r="U5475" s="48"/>
      <c r="V5475" s="48"/>
      <c r="W5475" s="48"/>
      <c r="X5475" s="50">
        <v>43190</v>
      </c>
      <c r="Y5475" s="50">
        <v>45382</v>
      </c>
    </row>
    <row r="5476" s="5" customFormat="1" customHeight="1" spans="1:25">
      <c r="A5476" s="24" t="s">
        <v>444</v>
      </c>
      <c r="B5476" s="24" t="s">
        <v>6300</v>
      </c>
      <c r="C5476" s="24" t="s">
        <v>3237</v>
      </c>
      <c r="D5476" s="22" t="s">
        <v>6301</v>
      </c>
      <c r="E5476" s="23" t="s">
        <v>6936</v>
      </c>
      <c r="F5476" s="24" t="s">
        <v>6937</v>
      </c>
      <c r="G5476" s="24" t="s">
        <v>88</v>
      </c>
      <c r="H5476" s="25" t="s">
        <v>7021</v>
      </c>
      <c r="I5476" s="46" t="e">
        <f>VLOOKUP(H5476,'合同高级查询数据-4月返'!A:A,1,FALSE)</f>
        <v>#N/A</v>
      </c>
      <c r="J5476" s="47" t="s">
        <v>3488</v>
      </c>
      <c r="K5476" s="24" t="s">
        <v>514</v>
      </c>
      <c r="L5476" s="109"/>
      <c r="M5476" s="49" t="s">
        <v>6939</v>
      </c>
      <c r="N5476" s="50">
        <v>43483</v>
      </c>
      <c r="O5476" s="22" t="s">
        <v>503</v>
      </c>
      <c r="P5476" s="52">
        <v>5950</v>
      </c>
      <c r="Q5476" s="70">
        <v>4</v>
      </c>
      <c r="R5476" s="52">
        <f t="shared" si="170"/>
        <v>23800</v>
      </c>
      <c r="S5476" s="47">
        <v>202304</v>
      </c>
      <c r="T5476" s="123"/>
      <c r="U5476" s="48"/>
      <c r="V5476" s="48"/>
      <c r="W5476" s="48"/>
      <c r="X5476" s="50">
        <v>43190</v>
      </c>
      <c r="Y5476" s="50">
        <v>45382</v>
      </c>
    </row>
    <row r="5477" s="5" customFormat="1" customHeight="1" spans="1:25">
      <c r="A5477" s="24" t="s">
        <v>444</v>
      </c>
      <c r="B5477" s="24" t="s">
        <v>6300</v>
      </c>
      <c r="C5477" s="24" t="s">
        <v>3237</v>
      </c>
      <c r="D5477" s="22" t="s">
        <v>6301</v>
      </c>
      <c r="E5477" s="23" t="s">
        <v>6936</v>
      </c>
      <c r="F5477" s="24" t="s">
        <v>6937</v>
      </c>
      <c r="G5477" s="24" t="s">
        <v>88</v>
      </c>
      <c r="H5477" s="25" t="s">
        <v>7021</v>
      </c>
      <c r="I5477" s="46" t="e">
        <f>VLOOKUP(H5477,'合同高级查询数据-4月返'!A:A,1,FALSE)</f>
        <v>#N/A</v>
      </c>
      <c r="J5477" s="47" t="s">
        <v>3488</v>
      </c>
      <c r="K5477" s="24" t="s">
        <v>514</v>
      </c>
      <c r="L5477" s="109"/>
      <c r="M5477" s="49" t="s">
        <v>6939</v>
      </c>
      <c r="N5477" s="50">
        <v>43484</v>
      </c>
      <c r="O5477" s="22" t="s">
        <v>503</v>
      </c>
      <c r="P5477" s="52">
        <v>5950</v>
      </c>
      <c r="Q5477" s="70">
        <v>12</v>
      </c>
      <c r="R5477" s="52">
        <f t="shared" si="170"/>
        <v>71400</v>
      </c>
      <c r="S5477" s="47">
        <v>202304</v>
      </c>
      <c r="T5477" s="123"/>
      <c r="U5477" s="48"/>
      <c r="V5477" s="48"/>
      <c r="W5477" s="48"/>
      <c r="X5477" s="50">
        <v>43190</v>
      </c>
      <c r="Y5477" s="50">
        <v>45382</v>
      </c>
    </row>
    <row r="5478" s="5" customFormat="1" customHeight="1" spans="1:25">
      <c r="A5478" s="24" t="s">
        <v>444</v>
      </c>
      <c r="B5478" s="24" t="s">
        <v>6300</v>
      </c>
      <c r="C5478" s="24" t="s">
        <v>3237</v>
      </c>
      <c r="D5478" s="22" t="s">
        <v>6301</v>
      </c>
      <c r="E5478" s="23" t="s">
        <v>6936</v>
      </c>
      <c r="F5478" s="24" t="s">
        <v>6937</v>
      </c>
      <c r="G5478" s="24" t="s">
        <v>88</v>
      </c>
      <c r="H5478" s="25" t="s">
        <v>7021</v>
      </c>
      <c r="I5478" s="46" t="e">
        <f>VLOOKUP(H5478,'合同高级查询数据-4月返'!A:A,1,FALSE)</f>
        <v>#N/A</v>
      </c>
      <c r="J5478" s="47" t="s">
        <v>3488</v>
      </c>
      <c r="K5478" s="24" t="s">
        <v>514</v>
      </c>
      <c r="L5478" s="109"/>
      <c r="M5478" s="49" t="s">
        <v>6939</v>
      </c>
      <c r="N5478" s="50">
        <v>43485</v>
      </c>
      <c r="O5478" s="22" t="s">
        <v>503</v>
      </c>
      <c r="P5478" s="52">
        <v>5950</v>
      </c>
      <c r="Q5478" s="70">
        <v>5</v>
      </c>
      <c r="R5478" s="52">
        <f t="shared" si="170"/>
        <v>29750</v>
      </c>
      <c r="S5478" s="47">
        <v>202304</v>
      </c>
      <c r="T5478" s="123"/>
      <c r="U5478" s="48"/>
      <c r="V5478" s="48"/>
      <c r="W5478" s="48"/>
      <c r="X5478" s="50">
        <v>43190</v>
      </c>
      <c r="Y5478" s="50">
        <v>45382</v>
      </c>
    </row>
    <row r="5479" s="5" customFormat="1" customHeight="1" spans="1:25">
      <c r="A5479" s="24" t="s">
        <v>444</v>
      </c>
      <c r="B5479" s="24" t="s">
        <v>6300</v>
      </c>
      <c r="C5479" s="24" t="s">
        <v>3237</v>
      </c>
      <c r="D5479" s="22" t="s">
        <v>6301</v>
      </c>
      <c r="E5479" s="23" t="s">
        <v>6936</v>
      </c>
      <c r="F5479" s="24" t="s">
        <v>6937</v>
      </c>
      <c r="G5479" s="24" t="s">
        <v>88</v>
      </c>
      <c r="H5479" s="25" t="s">
        <v>7021</v>
      </c>
      <c r="I5479" s="46" t="e">
        <f>VLOOKUP(H5479,'合同高级查询数据-4月返'!A:A,1,FALSE)</f>
        <v>#N/A</v>
      </c>
      <c r="J5479" s="47" t="s">
        <v>3488</v>
      </c>
      <c r="K5479" s="24" t="s">
        <v>514</v>
      </c>
      <c r="L5479" s="109"/>
      <c r="M5479" s="49" t="s">
        <v>6939</v>
      </c>
      <c r="N5479" s="50">
        <v>43487</v>
      </c>
      <c r="O5479" s="22" t="s">
        <v>503</v>
      </c>
      <c r="P5479" s="52">
        <v>5950</v>
      </c>
      <c r="Q5479" s="70">
        <v>36</v>
      </c>
      <c r="R5479" s="52">
        <f t="shared" si="170"/>
        <v>214200</v>
      </c>
      <c r="S5479" s="47">
        <v>202304</v>
      </c>
      <c r="T5479" s="123"/>
      <c r="U5479" s="48"/>
      <c r="V5479" s="48"/>
      <c r="W5479" s="48"/>
      <c r="X5479" s="50">
        <v>43190</v>
      </c>
      <c r="Y5479" s="50">
        <v>45382</v>
      </c>
    </row>
    <row r="5480" s="5" customFormat="1" customHeight="1" spans="1:25">
      <c r="A5480" s="24" t="s">
        <v>444</v>
      </c>
      <c r="B5480" s="24" t="s">
        <v>6300</v>
      </c>
      <c r="C5480" s="24" t="s">
        <v>3237</v>
      </c>
      <c r="D5480" s="22" t="s">
        <v>6301</v>
      </c>
      <c r="E5480" s="23" t="s">
        <v>6936</v>
      </c>
      <c r="F5480" s="24" t="s">
        <v>6937</v>
      </c>
      <c r="G5480" s="24" t="s">
        <v>88</v>
      </c>
      <c r="H5480" s="25" t="s">
        <v>7021</v>
      </c>
      <c r="I5480" s="46" t="e">
        <f>VLOOKUP(H5480,'合同高级查询数据-4月返'!A:A,1,FALSE)</f>
        <v>#N/A</v>
      </c>
      <c r="J5480" s="47" t="s">
        <v>3488</v>
      </c>
      <c r="K5480" s="24" t="s">
        <v>514</v>
      </c>
      <c r="L5480" s="109"/>
      <c r="M5480" s="49" t="s">
        <v>6939</v>
      </c>
      <c r="N5480" s="50">
        <v>43488</v>
      </c>
      <c r="O5480" s="22" t="s">
        <v>503</v>
      </c>
      <c r="P5480" s="52">
        <v>5950</v>
      </c>
      <c r="Q5480" s="70">
        <v>5</v>
      </c>
      <c r="R5480" s="52">
        <f t="shared" si="170"/>
        <v>29750</v>
      </c>
      <c r="S5480" s="47">
        <v>202304</v>
      </c>
      <c r="T5480" s="123"/>
      <c r="U5480" s="48"/>
      <c r="V5480" s="48"/>
      <c r="W5480" s="48"/>
      <c r="X5480" s="50">
        <v>43190</v>
      </c>
      <c r="Y5480" s="50">
        <v>45382</v>
      </c>
    </row>
    <row r="5481" s="5" customFormat="1" customHeight="1" spans="1:25">
      <c r="A5481" s="24" t="s">
        <v>444</v>
      </c>
      <c r="B5481" s="24" t="s">
        <v>6300</v>
      </c>
      <c r="C5481" s="24" t="s">
        <v>3237</v>
      </c>
      <c r="D5481" s="22" t="s">
        <v>6301</v>
      </c>
      <c r="E5481" s="23" t="s">
        <v>6936</v>
      </c>
      <c r="F5481" s="24" t="s">
        <v>6937</v>
      </c>
      <c r="G5481" s="24" t="s">
        <v>88</v>
      </c>
      <c r="H5481" s="25" t="s">
        <v>7021</v>
      </c>
      <c r="I5481" s="46" t="e">
        <f>VLOOKUP(H5481,'合同高级查询数据-4月返'!A:A,1,FALSE)</f>
        <v>#N/A</v>
      </c>
      <c r="J5481" s="47" t="s">
        <v>3488</v>
      </c>
      <c r="K5481" s="24" t="s">
        <v>514</v>
      </c>
      <c r="L5481" s="109"/>
      <c r="M5481" s="49" t="s">
        <v>6939</v>
      </c>
      <c r="N5481" s="50">
        <v>43494</v>
      </c>
      <c r="O5481" s="22" t="s">
        <v>503</v>
      </c>
      <c r="P5481" s="52">
        <v>5950</v>
      </c>
      <c r="Q5481" s="70">
        <v>8</v>
      </c>
      <c r="R5481" s="52">
        <f t="shared" si="170"/>
        <v>47600</v>
      </c>
      <c r="S5481" s="47">
        <v>202304</v>
      </c>
      <c r="T5481" s="123"/>
      <c r="U5481" s="48"/>
      <c r="V5481" s="48"/>
      <c r="W5481" s="48"/>
      <c r="X5481" s="50">
        <v>43190</v>
      </c>
      <c r="Y5481" s="50">
        <v>45382</v>
      </c>
    </row>
    <row r="5482" s="5" customFormat="1" customHeight="1" spans="1:25">
      <c r="A5482" s="24" t="s">
        <v>444</v>
      </c>
      <c r="B5482" s="24" t="s">
        <v>6300</v>
      </c>
      <c r="C5482" s="24" t="s">
        <v>3237</v>
      </c>
      <c r="D5482" s="22" t="s">
        <v>6301</v>
      </c>
      <c r="E5482" s="23" t="s">
        <v>6936</v>
      </c>
      <c r="F5482" s="24" t="s">
        <v>6937</v>
      </c>
      <c r="G5482" s="24" t="s">
        <v>88</v>
      </c>
      <c r="H5482" s="25" t="s">
        <v>7021</v>
      </c>
      <c r="I5482" s="46" t="e">
        <f>VLOOKUP(H5482,'合同高级查询数据-4月返'!A:A,1,FALSE)</f>
        <v>#N/A</v>
      </c>
      <c r="J5482" s="47" t="s">
        <v>3488</v>
      </c>
      <c r="K5482" s="24" t="s">
        <v>514</v>
      </c>
      <c r="L5482" s="109"/>
      <c r="M5482" s="49" t="s">
        <v>6939</v>
      </c>
      <c r="N5482" s="50">
        <v>43496</v>
      </c>
      <c r="O5482" s="22" t="s">
        <v>503</v>
      </c>
      <c r="P5482" s="52">
        <v>5950</v>
      </c>
      <c r="Q5482" s="70">
        <v>3</v>
      </c>
      <c r="R5482" s="52">
        <f t="shared" si="170"/>
        <v>17850</v>
      </c>
      <c r="S5482" s="47">
        <v>202304</v>
      </c>
      <c r="T5482" s="123"/>
      <c r="U5482" s="48"/>
      <c r="V5482" s="48"/>
      <c r="W5482" s="48"/>
      <c r="X5482" s="50">
        <v>43190</v>
      </c>
      <c r="Y5482" s="50">
        <v>45382</v>
      </c>
    </row>
    <row r="5483" s="5" customFormat="1" customHeight="1" spans="1:25">
      <c r="A5483" s="24" t="s">
        <v>444</v>
      </c>
      <c r="B5483" s="24" t="s">
        <v>6300</v>
      </c>
      <c r="C5483" s="24" t="s">
        <v>3237</v>
      </c>
      <c r="D5483" s="22" t="s">
        <v>6301</v>
      </c>
      <c r="E5483" s="23" t="s">
        <v>6936</v>
      </c>
      <c r="F5483" s="24" t="s">
        <v>6937</v>
      </c>
      <c r="G5483" s="24" t="s">
        <v>88</v>
      </c>
      <c r="H5483" s="25" t="s">
        <v>7021</v>
      </c>
      <c r="I5483" s="46" t="e">
        <f>VLOOKUP(H5483,'合同高级查询数据-4月返'!A:A,1,FALSE)</f>
        <v>#N/A</v>
      </c>
      <c r="J5483" s="47" t="s">
        <v>3488</v>
      </c>
      <c r="K5483" s="24" t="s">
        <v>514</v>
      </c>
      <c r="L5483" s="109"/>
      <c r="M5483" s="49" t="s">
        <v>6939</v>
      </c>
      <c r="N5483" s="50">
        <v>43516</v>
      </c>
      <c r="O5483" s="22" t="s">
        <v>503</v>
      </c>
      <c r="P5483" s="52">
        <v>5950</v>
      </c>
      <c r="Q5483" s="70">
        <v>5</v>
      </c>
      <c r="R5483" s="52">
        <f t="shared" si="170"/>
        <v>29750</v>
      </c>
      <c r="S5483" s="47">
        <v>202304</v>
      </c>
      <c r="T5483" s="123"/>
      <c r="U5483" s="48"/>
      <c r="V5483" s="48"/>
      <c r="W5483" s="48"/>
      <c r="X5483" s="50">
        <v>43190</v>
      </c>
      <c r="Y5483" s="50">
        <v>45382</v>
      </c>
    </row>
    <row r="5484" s="5" customFormat="1" customHeight="1" spans="1:25">
      <c r="A5484" s="24" t="s">
        <v>444</v>
      </c>
      <c r="B5484" s="24" t="s">
        <v>6300</v>
      </c>
      <c r="C5484" s="24" t="s">
        <v>3237</v>
      </c>
      <c r="D5484" s="22" t="s">
        <v>6301</v>
      </c>
      <c r="E5484" s="23" t="s">
        <v>6936</v>
      </c>
      <c r="F5484" s="24" t="s">
        <v>6937</v>
      </c>
      <c r="G5484" s="24" t="s">
        <v>88</v>
      </c>
      <c r="H5484" s="25" t="s">
        <v>7021</v>
      </c>
      <c r="I5484" s="46" t="e">
        <f>VLOOKUP(H5484,'合同高级查询数据-4月返'!A:A,1,FALSE)</f>
        <v>#N/A</v>
      </c>
      <c r="J5484" s="47" t="s">
        <v>3488</v>
      </c>
      <c r="K5484" s="24" t="s">
        <v>514</v>
      </c>
      <c r="L5484" s="109"/>
      <c r="M5484" s="49" t="s">
        <v>6939</v>
      </c>
      <c r="N5484" s="50">
        <v>43517</v>
      </c>
      <c r="O5484" s="22" t="s">
        <v>503</v>
      </c>
      <c r="P5484" s="52">
        <v>5950</v>
      </c>
      <c r="Q5484" s="70">
        <v>3</v>
      </c>
      <c r="R5484" s="52">
        <f t="shared" si="170"/>
        <v>17850</v>
      </c>
      <c r="S5484" s="47">
        <v>202304</v>
      </c>
      <c r="T5484" s="123"/>
      <c r="U5484" s="48"/>
      <c r="V5484" s="48"/>
      <c r="W5484" s="48"/>
      <c r="X5484" s="50">
        <v>43190</v>
      </c>
      <c r="Y5484" s="50">
        <v>45382</v>
      </c>
    </row>
    <row r="5485" s="5" customFormat="1" customHeight="1" spans="1:25">
      <c r="A5485" s="24" t="s">
        <v>444</v>
      </c>
      <c r="B5485" s="24" t="s">
        <v>6300</v>
      </c>
      <c r="C5485" s="24" t="s">
        <v>3237</v>
      </c>
      <c r="D5485" s="22" t="s">
        <v>6301</v>
      </c>
      <c r="E5485" s="23" t="s">
        <v>6936</v>
      </c>
      <c r="F5485" s="24" t="s">
        <v>6937</v>
      </c>
      <c r="G5485" s="24" t="s">
        <v>88</v>
      </c>
      <c r="H5485" s="25" t="s">
        <v>7021</v>
      </c>
      <c r="I5485" s="46" t="e">
        <f>VLOOKUP(H5485,'合同高级查询数据-4月返'!A:A,1,FALSE)</f>
        <v>#N/A</v>
      </c>
      <c r="J5485" s="47" t="s">
        <v>3488</v>
      </c>
      <c r="K5485" s="24" t="s">
        <v>514</v>
      </c>
      <c r="L5485" s="109"/>
      <c r="M5485" s="49" t="s">
        <v>6939</v>
      </c>
      <c r="N5485" s="50">
        <v>43522</v>
      </c>
      <c r="O5485" s="22" t="s">
        <v>503</v>
      </c>
      <c r="P5485" s="52">
        <v>5950</v>
      </c>
      <c r="Q5485" s="70">
        <v>1</v>
      </c>
      <c r="R5485" s="52">
        <f t="shared" si="170"/>
        <v>5950</v>
      </c>
      <c r="S5485" s="47">
        <v>202304</v>
      </c>
      <c r="T5485" s="123"/>
      <c r="U5485" s="48"/>
      <c r="V5485" s="48"/>
      <c r="W5485" s="48"/>
      <c r="X5485" s="50">
        <v>43190</v>
      </c>
      <c r="Y5485" s="50">
        <v>45382</v>
      </c>
    </row>
    <row r="5486" s="5" customFormat="1" customHeight="1" spans="1:25">
      <c r="A5486" s="24" t="s">
        <v>444</v>
      </c>
      <c r="B5486" s="24" t="s">
        <v>6300</v>
      </c>
      <c r="C5486" s="24" t="s">
        <v>3237</v>
      </c>
      <c r="D5486" s="22" t="s">
        <v>6301</v>
      </c>
      <c r="E5486" s="23" t="s">
        <v>6936</v>
      </c>
      <c r="F5486" s="24" t="s">
        <v>6937</v>
      </c>
      <c r="G5486" s="24" t="s">
        <v>88</v>
      </c>
      <c r="H5486" s="25" t="s">
        <v>7021</v>
      </c>
      <c r="I5486" s="46" t="e">
        <f>VLOOKUP(H5486,'合同高级查询数据-4月返'!A:A,1,FALSE)</f>
        <v>#N/A</v>
      </c>
      <c r="J5486" s="47" t="s">
        <v>3488</v>
      </c>
      <c r="K5486" s="24" t="s">
        <v>514</v>
      </c>
      <c r="L5486" s="109"/>
      <c r="M5486" s="49" t="s">
        <v>6939</v>
      </c>
      <c r="N5486" s="50">
        <v>43525</v>
      </c>
      <c r="O5486" s="22" t="s">
        <v>503</v>
      </c>
      <c r="P5486" s="52">
        <v>5950</v>
      </c>
      <c r="Q5486" s="70">
        <v>2</v>
      </c>
      <c r="R5486" s="52">
        <f t="shared" si="170"/>
        <v>11900</v>
      </c>
      <c r="S5486" s="47">
        <v>202304</v>
      </c>
      <c r="T5486" s="123"/>
      <c r="U5486" s="48"/>
      <c r="V5486" s="48"/>
      <c r="W5486" s="48"/>
      <c r="X5486" s="50">
        <v>43190</v>
      </c>
      <c r="Y5486" s="50">
        <v>45382</v>
      </c>
    </row>
    <row r="5487" s="5" customFormat="1" customHeight="1" spans="1:25">
      <c r="A5487" s="24" t="s">
        <v>444</v>
      </c>
      <c r="B5487" s="24" t="s">
        <v>6300</v>
      </c>
      <c r="C5487" s="24" t="s">
        <v>3237</v>
      </c>
      <c r="D5487" s="22" t="s">
        <v>6301</v>
      </c>
      <c r="E5487" s="23" t="s">
        <v>6936</v>
      </c>
      <c r="F5487" s="24" t="s">
        <v>6937</v>
      </c>
      <c r="G5487" s="24" t="s">
        <v>88</v>
      </c>
      <c r="H5487" s="25" t="s">
        <v>7021</v>
      </c>
      <c r="I5487" s="46" t="e">
        <f>VLOOKUP(H5487,'合同高级查询数据-4月返'!A:A,1,FALSE)</f>
        <v>#N/A</v>
      </c>
      <c r="J5487" s="47" t="s">
        <v>3488</v>
      </c>
      <c r="K5487" s="24" t="s">
        <v>514</v>
      </c>
      <c r="L5487" s="109"/>
      <c r="M5487" s="49" t="s">
        <v>6939</v>
      </c>
      <c r="N5487" s="50">
        <v>43528</v>
      </c>
      <c r="O5487" s="22" t="s">
        <v>503</v>
      </c>
      <c r="P5487" s="52">
        <v>5950</v>
      </c>
      <c r="Q5487" s="70">
        <v>2</v>
      </c>
      <c r="R5487" s="52">
        <f t="shared" si="170"/>
        <v>11900</v>
      </c>
      <c r="S5487" s="47">
        <v>202304</v>
      </c>
      <c r="T5487" s="123"/>
      <c r="U5487" s="48"/>
      <c r="V5487" s="48"/>
      <c r="W5487" s="48"/>
      <c r="X5487" s="50">
        <v>43190</v>
      </c>
      <c r="Y5487" s="50">
        <v>45382</v>
      </c>
    </row>
    <row r="5488" s="5" customFormat="1" customHeight="1" spans="1:25">
      <c r="A5488" s="24" t="s">
        <v>444</v>
      </c>
      <c r="B5488" s="24" t="s">
        <v>6300</v>
      </c>
      <c r="C5488" s="24" t="s">
        <v>3237</v>
      </c>
      <c r="D5488" s="22" t="s">
        <v>6301</v>
      </c>
      <c r="E5488" s="23" t="s">
        <v>6936</v>
      </c>
      <c r="F5488" s="24" t="s">
        <v>6937</v>
      </c>
      <c r="G5488" s="24" t="s">
        <v>88</v>
      </c>
      <c r="H5488" s="25" t="s">
        <v>7021</v>
      </c>
      <c r="I5488" s="46" t="e">
        <f>VLOOKUP(H5488,'合同高级查询数据-4月返'!A:A,1,FALSE)</f>
        <v>#N/A</v>
      </c>
      <c r="J5488" s="47" t="s">
        <v>3488</v>
      </c>
      <c r="K5488" s="24" t="s">
        <v>514</v>
      </c>
      <c r="L5488" s="109"/>
      <c r="M5488" s="49" t="s">
        <v>6939</v>
      </c>
      <c r="N5488" s="50">
        <v>43546</v>
      </c>
      <c r="O5488" s="22" t="s">
        <v>503</v>
      </c>
      <c r="P5488" s="52">
        <v>5950</v>
      </c>
      <c r="Q5488" s="70">
        <v>1</v>
      </c>
      <c r="R5488" s="52">
        <f t="shared" si="170"/>
        <v>5950</v>
      </c>
      <c r="S5488" s="47">
        <v>202304</v>
      </c>
      <c r="T5488" s="123"/>
      <c r="U5488" s="48"/>
      <c r="V5488" s="48"/>
      <c r="W5488" s="48"/>
      <c r="X5488" s="50">
        <v>43190</v>
      </c>
      <c r="Y5488" s="50">
        <v>45382</v>
      </c>
    </row>
    <row r="5489" s="5" customFormat="1" customHeight="1" spans="1:25">
      <c r="A5489" s="24" t="s">
        <v>444</v>
      </c>
      <c r="B5489" s="24" t="s">
        <v>6300</v>
      </c>
      <c r="C5489" s="24" t="s">
        <v>3237</v>
      </c>
      <c r="D5489" s="22" t="s">
        <v>6301</v>
      </c>
      <c r="E5489" s="23" t="s">
        <v>6936</v>
      </c>
      <c r="F5489" s="24" t="s">
        <v>6937</v>
      </c>
      <c r="G5489" s="24" t="s">
        <v>88</v>
      </c>
      <c r="H5489" s="25" t="s">
        <v>7021</v>
      </c>
      <c r="I5489" s="46" t="e">
        <f>VLOOKUP(H5489,'合同高级查询数据-4月返'!A:A,1,FALSE)</f>
        <v>#N/A</v>
      </c>
      <c r="J5489" s="47" t="s">
        <v>3488</v>
      </c>
      <c r="K5489" s="24" t="s">
        <v>514</v>
      </c>
      <c r="L5489" s="109"/>
      <c r="M5489" s="49" t="s">
        <v>6939</v>
      </c>
      <c r="N5489" s="50">
        <v>43550</v>
      </c>
      <c r="O5489" s="22" t="s">
        <v>503</v>
      </c>
      <c r="P5489" s="52">
        <v>5950</v>
      </c>
      <c r="Q5489" s="70">
        <v>2</v>
      </c>
      <c r="R5489" s="52">
        <f t="shared" si="170"/>
        <v>11900</v>
      </c>
      <c r="S5489" s="47">
        <v>202304</v>
      </c>
      <c r="T5489" s="123"/>
      <c r="U5489" s="48"/>
      <c r="V5489" s="48"/>
      <c r="W5489" s="48"/>
      <c r="X5489" s="50">
        <v>43190</v>
      </c>
      <c r="Y5489" s="50">
        <v>45382</v>
      </c>
    </row>
    <row r="5490" s="5" customFormat="1" customHeight="1" spans="1:25">
      <c r="A5490" s="24" t="s">
        <v>444</v>
      </c>
      <c r="B5490" s="24" t="s">
        <v>6300</v>
      </c>
      <c r="C5490" s="24" t="s">
        <v>3237</v>
      </c>
      <c r="D5490" s="22" t="s">
        <v>6301</v>
      </c>
      <c r="E5490" s="23" t="s">
        <v>6936</v>
      </c>
      <c r="F5490" s="24" t="s">
        <v>6937</v>
      </c>
      <c r="G5490" s="24" t="s">
        <v>88</v>
      </c>
      <c r="H5490" s="25" t="s">
        <v>7021</v>
      </c>
      <c r="I5490" s="46" t="e">
        <f>VLOOKUP(H5490,'合同高级查询数据-4月返'!A:A,1,FALSE)</f>
        <v>#N/A</v>
      </c>
      <c r="J5490" s="47" t="s">
        <v>3488</v>
      </c>
      <c r="K5490" s="24" t="s">
        <v>514</v>
      </c>
      <c r="L5490" s="109"/>
      <c r="M5490" s="49" t="s">
        <v>6939</v>
      </c>
      <c r="N5490" s="50">
        <v>43564</v>
      </c>
      <c r="O5490" s="22" t="s">
        <v>503</v>
      </c>
      <c r="P5490" s="52">
        <v>5950</v>
      </c>
      <c r="Q5490" s="70">
        <v>1</v>
      </c>
      <c r="R5490" s="52">
        <f t="shared" si="170"/>
        <v>5950</v>
      </c>
      <c r="S5490" s="47">
        <v>202304</v>
      </c>
      <c r="T5490" s="123"/>
      <c r="U5490" s="48"/>
      <c r="V5490" s="48"/>
      <c r="W5490" s="48"/>
      <c r="X5490" s="50">
        <v>43190</v>
      </c>
      <c r="Y5490" s="50">
        <v>45382</v>
      </c>
    </row>
    <row r="5491" s="5" customFormat="1" customHeight="1" spans="1:25">
      <c r="A5491" s="24" t="s">
        <v>444</v>
      </c>
      <c r="B5491" s="24" t="s">
        <v>6300</v>
      </c>
      <c r="C5491" s="24" t="s">
        <v>3237</v>
      </c>
      <c r="D5491" s="22" t="s">
        <v>6301</v>
      </c>
      <c r="E5491" s="23" t="s">
        <v>6936</v>
      </c>
      <c r="F5491" s="24" t="s">
        <v>6937</v>
      </c>
      <c r="G5491" s="24" t="s">
        <v>88</v>
      </c>
      <c r="H5491" s="25" t="s">
        <v>7021</v>
      </c>
      <c r="I5491" s="46" t="e">
        <f>VLOOKUP(H5491,'合同高级查询数据-4月返'!A:A,1,FALSE)</f>
        <v>#N/A</v>
      </c>
      <c r="J5491" s="47" t="s">
        <v>3488</v>
      </c>
      <c r="K5491" s="24" t="s">
        <v>514</v>
      </c>
      <c r="L5491" s="109"/>
      <c r="M5491" s="49" t="s">
        <v>6939</v>
      </c>
      <c r="N5491" s="50">
        <v>43566</v>
      </c>
      <c r="O5491" s="22" t="s">
        <v>3120</v>
      </c>
      <c r="P5491" s="52">
        <v>20284</v>
      </c>
      <c r="Q5491" s="70">
        <v>4</v>
      </c>
      <c r="R5491" s="52">
        <f t="shared" si="170"/>
        <v>81136</v>
      </c>
      <c r="S5491" s="47">
        <v>202304</v>
      </c>
      <c r="T5491" s="123"/>
      <c r="U5491" s="48"/>
      <c r="V5491" s="48"/>
      <c r="W5491" s="48"/>
      <c r="X5491" s="50">
        <v>43190</v>
      </c>
      <c r="Y5491" s="50">
        <v>45382</v>
      </c>
    </row>
    <row r="5492" s="5" customFormat="1" customHeight="1" spans="1:25">
      <c r="A5492" s="24" t="s">
        <v>444</v>
      </c>
      <c r="B5492" s="24" t="s">
        <v>6300</v>
      </c>
      <c r="C5492" s="24" t="s">
        <v>3237</v>
      </c>
      <c r="D5492" s="22" t="s">
        <v>6301</v>
      </c>
      <c r="E5492" s="23" t="s">
        <v>6936</v>
      </c>
      <c r="F5492" s="24" t="s">
        <v>6937</v>
      </c>
      <c r="G5492" s="24" t="s">
        <v>88</v>
      </c>
      <c r="H5492" s="25" t="s">
        <v>7021</v>
      </c>
      <c r="I5492" s="46" t="e">
        <f>VLOOKUP(H5492,'合同高级查询数据-4月返'!A:A,1,FALSE)</f>
        <v>#N/A</v>
      </c>
      <c r="J5492" s="47" t="s">
        <v>3488</v>
      </c>
      <c r="K5492" s="24" t="s">
        <v>514</v>
      </c>
      <c r="L5492" s="109"/>
      <c r="M5492" s="49" t="s">
        <v>6939</v>
      </c>
      <c r="N5492" s="50">
        <v>43598</v>
      </c>
      <c r="O5492" s="22" t="s">
        <v>503</v>
      </c>
      <c r="P5492" s="52">
        <v>5950</v>
      </c>
      <c r="Q5492" s="70">
        <v>4</v>
      </c>
      <c r="R5492" s="52">
        <f t="shared" si="170"/>
        <v>23800</v>
      </c>
      <c r="S5492" s="47">
        <v>202304</v>
      </c>
      <c r="T5492" s="123" t="s">
        <v>7026</v>
      </c>
      <c r="U5492" s="48"/>
      <c r="V5492" s="48"/>
      <c r="W5492" s="48"/>
      <c r="X5492" s="50">
        <v>43190</v>
      </c>
      <c r="Y5492" s="50">
        <v>45382</v>
      </c>
    </row>
    <row r="5493" s="5" customFormat="1" customHeight="1" spans="1:25">
      <c r="A5493" s="24" t="s">
        <v>444</v>
      </c>
      <c r="B5493" s="24" t="s">
        <v>6300</v>
      </c>
      <c r="C5493" s="24" t="s">
        <v>3237</v>
      </c>
      <c r="D5493" s="22" t="s">
        <v>6301</v>
      </c>
      <c r="E5493" s="23" t="s">
        <v>6936</v>
      </c>
      <c r="F5493" s="24" t="s">
        <v>6937</v>
      </c>
      <c r="G5493" s="24" t="s">
        <v>88</v>
      </c>
      <c r="H5493" s="25" t="s">
        <v>7021</v>
      </c>
      <c r="I5493" s="46" t="e">
        <f>VLOOKUP(H5493,'合同高级查询数据-4月返'!A:A,1,FALSE)</f>
        <v>#N/A</v>
      </c>
      <c r="J5493" s="47" t="s">
        <v>3488</v>
      </c>
      <c r="K5493" s="24" t="s">
        <v>514</v>
      </c>
      <c r="L5493" s="109"/>
      <c r="M5493" s="49" t="s">
        <v>6939</v>
      </c>
      <c r="N5493" s="50">
        <v>43608</v>
      </c>
      <c r="O5493" s="22" t="s">
        <v>503</v>
      </c>
      <c r="P5493" s="52">
        <v>5950</v>
      </c>
      <c r="Q5493" s="70">
        <v>2</v>
      </c>
      <c r="R5493" s="52">
        <f t="shared" si="170"/>
        <v>11900</v>
      </c>
      <c r="S5493" s="47">
        <v>202304</v>
      </c>
      <c r="T5493" s="123" t="s">
        <v>7027</v>
      </c>
      <c r="U5493" s="48"/>
      <c r="V5493" s="48"/>
      <c r="W5493" s="48"/>
      <c r="X5493" s="50">
        <v>43190</v>
      </c>
      <c r="Y5493" s="50">
        <v>45382</v>
      </c>
    </row>
    <row r="5494" s="5" customFormat="1" customHeight="1" spans="1:25">
      <c r="A5494" s="24" t="s">
        <v>444</v>
      </c>
      <c r="B5494" s="24" t="s">
        <v>6300</v>
      </c>
      <c r="C5494" s="24" t="s">
        <v>3237</v>
      </c>
      <c r="D5494" s="22" t="s">
        <v>6301</v>
      </c>
      <c r="E5494" s="23" t="s">
        <v>6936</v>
      </c>
      <c r="F5494" s="24" t="s">
        <v>6937</v>
      </c>
      <c r="G5494" s="24" t="s">
        <v>88</v>
      </c>
      <c r="H5494" s="25" t="s">
        <v>7021</v>
      </c>
      <c r="I5494" s="46" t="e">
        <f>VLOOKUP(H5494,'合同高级查询数据-4月返'!A:A,1,FALSE)</f>
        <v>#N/A</v>
      </c>
      <c r="J5494" s="47" t="s">
        <v>3488</v>
      </c>
      <c r="K5494" s="24" t="s">
        <v>514</v>
      </c>
      <c r="L5494" s="109"/>
      <c r="M5494" s="49" t="s">
        <v>6939</v>
      </c>
      <c r="N5494" s="50">
        <v>43330</v>
      </c>
      <c r="O5494" s="22" t="s">
        <v>503</v>
      </c>
      <c r="P5494" s="52">
        <v>5950</v>
      </c>
      <c r="Q5494" s="70">
        <v>17</v>
      </c>
      <c r="R5494" s="52">
        <f t="shared" si="170"/>
        <v>101150</v>
      </c>
      <c r="S5494" s="47">
        <v>202304</v>
      </c>
      <c r="T5494" s="123" t="s">
        <v>7028</v>
      </c>
      <c r="U5494" s="48"/>
      <c r="V5494" s="48"/>
      <c r="W5494" s="48"/>
      <c r="X5494" s="50">
        <v>43190</v>
      </c>
      <c r="Y5494" s="50">
        <v>45382</v>
      </c>
    </row>
    <row r="5495" s="5" customFormat="1" customHeight="1" spans="1:25">
      <c r="A5495" s="24" t="s">
        <v>444</v>
      </c>
      <c r="B5495" s="24" t="s">
        <v>6300</v>
      </c>
      <c r="C5495" s="24" t="s">
        <v>3237</v>
      </c>
      <c r="D5495" s="22" t="s">
        <v>6301</v>
      </c>
      <c r="E5495" s="23" t="s">
        <v>6936</v>
      </c>
      <c r="F5495" s="24" t="s">
        <v>6937</v>
      </c>
      <c r="G5495" s="24" t="s">
        <v>88</v>
      </c>
      <c r="H5495" s="25" t="s">
        <v>7021</v>
      </c>
      <c r="I5495" s="46" t="e">
        <f>VLOOKUP(H5495,'合同高级查询数据-4月返'!A:A,1,FALSE)</f>
        <v>#N/A</v>
      </c>
      <c r="J5495" s="47" t="s">
        <v>3488</v>
      </c>
      <c r="K5495" s="24" t="s">
        <v>514</v>
      </c>
      <c r="L5495" s="109"/>
      <c r="M5495" s="49" t="s">
        <v>6939</v>
      </c>
      <c r="N5495" s="50">
        <v>43250</v>
      </c>
      <c r="O5495" s="22" t="s">
        <v>525</v>
      </c>
      <c r="P5495" s="52">
        <v>5950</v>
      </c>
      <c r="Q5495" s="70">
        <v>2</v>
      </c>
      <c r="R5495" s="52">
        <f t="shared" si="170"/>
        <v>11900</v>
      </c>
      <c r="S5495" s="47">
        <v>202304</v>
      </c>
      <c r="T5495" s="123"/>
      <c r="U5495" s="48"/>
      <c r="V5495" s="48"/>
      <c r="W5495" s="48"/>
      <c r="X5495" s="50">
        <v>43190</v>
      </c>
      <c r="Y5495" s="50">
        <v>45382</v>
      </c>
    </row>
    <row r="5496" s="5" customFormat="1" customHeight="1" spans="1:25">
      <c r="A5496" s="24" t="s">
        <v>444</v>
      </c>
      <c r="B5496" s="24" t="s">
        <v>6300</v>
      </c>
      <c r="C5496" s="24" t="s">
        <v>3237</v>
      </c>
      <c r="D5496" s="22" t="s">
        <v>6301</v>
      </c>
      <c r="E5496" s="23" t="s">
        <v>6936</v>
      </c>
      <c r="F5496" s="24" t="s">
        <v>6937</v>
      </c>
      <c r="G5496" s="24" t="s">
        <v>88</v>
      </c>
      <c r="H5496" s="25" t="s">
        <v>7021</v>
      </c>
      <c r="I5496" s="46" t="e">
        <f>VLOOKUP(H5496,'合同高级查询数据-4月返'!A:A,1,FALSE)</f>
        <v>#N/A</v>
      </c>
      <c r="J5496" s="47" t="s">
        <v>3488</v>
      </c>
      <c r="K5496" s="24" t="s">
        <v>514</v>
      </c>
      <c r="L5496" s="109"/>
      <c r="M5496" s="49" t="s">
        <v>6939</v>
      </c>
      <c r="N5496" s="50">
        <v>43250</v>
      </c>
      <c r="O5496" s="22" t="s">
        <v>574</v>
      </c>
      <c r="P5496" s="52">
        <v>16227</v>
      </c>
      <c r="Q5496" s="70">
        <v>6</v>
      </c>
      <c r="R5496" s="52">
        <f t="shared" si="170"/>
        <v>97362</v>
      </c>
      <c r="S5496" s="47">
        <v>202304</v>
      </c>
      <c r="T5496" s="123"/>
      <c r="U5496" s="48"/>
      <c r="V5496" s="48"/>
      <c r="W5496" s="48"/>
      <c r="X5496" s="50">
        <v>43190</v>
      </c>
      <c r="Y5496" s="50">
        <v>45382</v>
      </c>
    </row>
    <row r="5497" s="5" customFormat="1" customHeight="1" spans="1:25">
      <c r="A5497" s="24" t="s">
        <v>444</v>
      </c>
      <c r="B5497" s="24" t="s">
        <v>6300</v>
      </c>
      <c r="C5497" s="24" t="s">
        <v>3237</v>
      </c>
      <c r="D5497" s="22" t="s">
        <v>6301</v>
      </c>
      <c r="E5497" s="23" t="s">
        <v>6936</v>
      </c>
      <c r="F5497" s="24" t="s">
        <v>6937</v>
      </c>
      <c r="G5497" s="24" t="s">
        <v>88</v>
      </c>
      <c r="H5497" s="25" t="s">
        <v>7021</v>
      </c>
      <c r="I5497" s="46" t="e">
        <f>VLOOKUP(H5497,'合同高级查询数据-4月返'!A:A,1,FALSE)</f>
        <v>#N/A</v>
      </c>
      <c r="J5497" s="47" t="s">
        <v>3488</v>
      </c>
      <c r="K5497" s="24" t="s">
        <v>514</v>
      </c>
      <c r="L5497" s="109"/>
      <c r="M5497" s="49" t="s">
        <v>6939</v>
      </c>
      <c r="N5497" s="50">
        <v>43630</v>
      </c>
      <c r="O5497" s="22" t="s">
        <v>503</v>
      </c>
      <c r="P5497" s="52">
        <v>5950</v>
      </c>
      <c r="Q5497" s="70">
        <v>6</v>
      </c>
      <c r="R5497" s="52">
        <f t="shared" si="170"/>
        <v>35700</v>
      </c>
      <c r="S5497" s="47">
        <v>202304</v>
      </c>
      <c r="T5497" s="123" t="s">
        <v>7029</v>
      </c>
      <c r="U5497" s="48"/>
      <c r="V5497" s="48"/>
      <c r="W5497" s="48"/>
      <c r="X5497" s="50">
        <v>43190</v>
      </c>
      <c r="Y5497" s="50">
        <v>45382</v>
      </c>
    </row>
    <row r="5498" s="5" customFormat="1" customHeight="1" spans="1:25">
      <c r="A5498" s="24" t="s">
        <v>444</v>
      </c>
      <c r="B5498" s="24" t="s">
        <v>6300</v>
      </c>
      <c r="C5498" s="24" t="s">
        <v>3237</v>
      </c>
      <c r="D5498" s="22" t="s">
        <v>6301</v>
      </c>
      <c r="E5498" s="23" t="s">
        <v>6936</v>
      </c>
      <c r="F5498" s="24" t="s">
        <v>6937</v>
      </c>
      <c r="G5498" s="24" t="s">
        <v>88</v>
      </c>
      <c r="H5498" s="25" t="s">
        <v>7021</v>
      </c>
      <c r="I5498" s="46" t="e">
        <f>VLOOKUP(H5498,'合同高级查询数据-4月返'!A:A,1,FALSE)</f>
        <v>#N/A</v>
      </c>
      <c r="J5498" s="47" t="s">
        <v>3488</v>
      </c>
      <c r="K5498" s="24" t="s">
        <v>514</v>
      </c>
      <c r="L5498" s="109"/>
      <c r="M5498" s="49" t="s">
        <v>6939</v>
      </c>
      <c r="N5498" s="50">
        <v>43637</v>
      </c>
      <c r="O5498" s="22" t="s">
        <v>507</v>
      </c>
      <c r="P5498" s="52">
        <v>8114</v>
      </c>
      <c r="Q5498" s="70">
        <v>2</v>
      </c>
      <c r="R5498" s="52">
        <f t="shared" si="170"/>
        <v>16228</v>
      </c>
      <c r="S5498" s="47">
        <v>202304</v>
      </c>
      <c r="T5498" s="123" t="s">
        <v>7030</v>
      </c>
      <c r="U5498" s="48"/>
      <c r="V5498" s="48"/>
      <c r="W5498" s="48"/>
      <c r="X5498" s="50">
        <v>43190</v>
      </c>
      <c r="Y5498" s="50">
        <v>45382</v>
      </c>
    </row>
    <row r="5499" s="5" customFormat="1" customHeight="1" spans="1:25">
      <c r="A5499" s="24" t="s">
        <v>444</v>
      </c>
      <c r="B5499" s="24" t="s">
        <v>6300</v>
      </c>
      <c r="C5499" s="24" t="s">
        <v>3237</v>
      </c>
      <c r="D5499" s="22" t="s">
        <v>6301</v>
      </c>
      <c r="E5499" s="23" t="s">
        <v>6936</v>
      </c>
      <c r="F5499" s="24" t="s">
        <v>6937</v>
      </c>
      <c r="G5499" s="24" t="s">
        <v>88</v>
      </c>
      <c r="H5499" s="25" t="s">
        <v>7021</v>
      </c>
      <c r="I5499" s="46" t="e">
        <f>VLOOKUP(H5499,'合同高级查询数据-4月返'!A:A,1,FALSE)</f>
        <v>#N/A</v>
      </c>
      <c r="J5499" s="47" t="s">
        <v>3488</v>
      </c>
      <c r="K5499" s="24" t="s">
        <v>514</v>
      </c>
      <c r="L5499" s="109"/>
      <c r="M5499" s="49" t="s">
        <v>6939</v>
      </c>
      <c r="N5499" s="50">
        <v>43650</v>
      </c>
      <c r="O5499" s="22" t="s">
        <v>503</v>
      </c>
      <c r="P5499" s="52">
        <v>5950</v>
      </c>
      <c r="Q5499" s="70">
        <v>160</v>
      </c>
      <c r="R5499" s="52">
        <f t="shared" si="170"/>
        <v>952000</v>
      </c>
      <c r="S5499" s="47">
        <v>202304</v>
      </c>
      <c r="T5499" s="123"/>
      <c r="U5499" s="48"/>
      <c r="V5499" s="48"/>
      <c r="W5499" s="48"/>
      <c r="X5499" s="50">
        <v>43190</v>
      </c>
      <c r="Y5499" s="50">
        <v>45382</v>
      </c>
    </row>
    <row r="5500" s="5" customFormat="1" customHeight="1" spans="1:25">
      <c r="A5500" s="24" t="s">
        <v>444</v>
      </c>
      <c r="B5500" s="24" t="s">
        <v>6300</v>
      </c>
      <c r="C5500" s="24" t="s">
        <v>3237</v>
      </c>
      <c r="D5500" s="22" t="s">
        <v>6301</v>
      </c>
      <c r="E5500" s="23" t="s">
        <v>6936</v>
      </c>
      <c r="F5500" s="24" t="s">
        <v>6937</v>
      </c>
      <c r="G5500" s="24" t="s">
        <v>88</v>
      </c>
      <c r="H5500" s="25" t="s">
        <v>7021</v>
      </c>
      <c r="I5500" s="46" t="e">
        <f>VLOOKUP(H5500,'合同高级查询数据-4月返'!A:A,1,FALSE)</f>
        <v>#N/A</v>
      </c>
      <c r="J5500" s="47" t="s">
        <v>3488</v>
      </c>
      <c r="K5500" s="24" t="s">
        <v>514</v>
      </c>
      <c r="L5500" s="109"/>
      <c r="M5500" s="49" t="s">
        <v>6939</v>
      </c>
      <c r="N5500" s="50">
        <v>43651</v>
      </c>
      <c r="O5500" s="22" t="s">
        <v>503</v>
      </c>
      <c r="P5500" s="52">
        <v>5950</v>
      </c>
      <c r="Q5500" s="70">
        <v>1</v>
      </c>
      <c r="R5500" s="52">
        <f t="shared" si="170"/>
        <v>5950</v>
      </c>
      <c r="S5500" s="47">
        <v>202304</v>
      </c>
      <c r="T5500" s="123" t="s">
        <v>7031</v>
      </c>
      <c r="U5500" s="48"/>
      <c r="V5500" s="48"/>
      <c r="W5500" s="48"/>
      <c r="X5500" s="50">
        <v>43190</v>
      </c>
      <c r="Y5500" s="50">
        <v>45382</v>
      </c>
    </row>
    <row r="5501" s="5" customFormat="1" customHeight="1" spans="1:25">
      <c r="A5501" s="24" t="s">
        <v>444</v>
      </c>
      <c r="B5501" s="24" t="s">
        <v>6300</v>
      </c>
      <c r="C5501" s="24" t="s">
        <v>3237</v>
      </c>
      <c r="D5501" s="22" t="s">
        <v>6301</v>
      </c>
      <c r="E5501" s="23" t="s">
        <v>6936</v>
      </c>
      <c r="F5501" s="24" t="s">
        <v>6937</v>
      </c>
      <c r="G5501" s="24" t="s">
        <v>88</v>
      </c>
      <c r="H5501" s="25" t="s">
        <v>7021</v>
      </c>
      <c r="I5501" s="46" t="e">
        <f>VLOOKUP(H5501,'合同高级查询数据-4月返'!A:A,1,FALSE)</f>
        <v>#N/A</v>
      </c>
      <c r="J5501" s="47" t="s">
        <v>3488</v>
      </c>
      <c r="K5501" s="24" t="s">
        <v>514</v>
      </c>
      <c r="L5501" s="109"/>
      <c r="M5501" s="49" t="s">
        <v>6939</v>
      </c>
      <c r="N5501" s="50">
        <v>43661</v>
      </c>
      <c r="O5501" s="22" t="s">
        <v>503</v>
      </c>
      <c r="P5501" s="52">
        <v>5950</v>
      </c>
      <c r="Q5501" s="70">
        <v>2</v>
      </c>
      <c r="R5501" s="52">
        <f t="shared" si="170"/>
        <v>11900</v>
      </c>
      <c r="S5501" s="47">
        <v>202304</v>
      </c>
      <c r="T5501" s="123" t="s">
        <v>7032</v>
      </c>
      <c r="U5501" s="48"/>
      <c r="V5501" s="48"/>
      <c r="W5501" s="48"/>
      <c r="X5501" s="50">
        <v>43190</v>
      </c>
      <c r="Y5501" s="50">
        <v>45382</v>
      </c>
    </row>
    <row r="5502" s="5" customFormat="1" customHeight="1" spans="1:25">
      <c r="A5502" s="24" t="s">
        <v>444</v>
      </c>
      <c r="B5502" s="24" t="s">
        <v>6300</v>
      </c>
      <c r="C5502" s="24" t="s">
        <v>3237</v>
      </c>
      <c r="D5502" s="22" t="s">
        <v>6301</v>
      </c>
      <c r="E5502" s="23" t="s">
        <v>6936</v>
      </c>
      <c r="F5502" s="24" t="s">
        <v>6937</v>
      </c>
      <c r="G5502" s="24" t="s">
        <v>88</v>
      </c>
      <c r="H5502" s="25" t="s">
        <v>7021</v>
      </c>
      <c r="I5502" s="46" t="e">
        <f>VLOOKUP(H5502,'合同高级查询数据-4月返'!A:A,1,FALSE)</f>
        <v>#N/A</v>
      </c>
      <c r="J5502" s="47" t="s">
        <v>3488</v>
      </c>
      <c r="K5502" s="24" t="s">
        <v>514</v>
      </c>
      <c r="L5502" s="109"/>
      <c r="M5502" s="49" t="s">
        <v>6939</v>
      </c>
      <c r="N5502" s="50">
        <v>43663</v>
      </c>
      <c r="O5502" s="22" t="s">
        <v>503</v>
      </c>
      <c r="P5502" s="52">
        <v>5950</v>
      </c>
      <c r="Q5502" s="70">
        <v>14</v>
      </c>
      <c r="R5502" s="52">
        <f t="shared" si="170"/>
        <v>83300</v>
      </c>
      <c r="S5502" s="47">
        <v>202304</v>
      </c>
      <c r="T5502" s="123"/>
      <c r="U5502" s="48"/>
      <c r="V5502" s="48"/>
      <c r="W5502" s="48"/>
      <c r="X5502" s="50">
        <v>43190</v>
      </c>
      <c r="Y5502" s="50">
        <v>45382</v>
      </c>
    </row>
    <row r="5503" s="5" customFormat="1" customHeight="1" spans="1:25">
      <c r="A5503" s="24" t="s">
        <v>444</v>
      </c>
      <c r="B5503" s="24" t="s">
        <v>6300</v>
      </c>
      <c r="C5503" s="24" t="s">
        <v>3237</v>
      </c>
      <c r="D5503" s="22" t="s">
        <v>6301</v>
      </c>
      <c r="E5503" s="23" t="s">
        <v>6936</v>
      </c>
      <c r="F5503" s="24" t="s">
        <v>6937</v>
      </c>
      <c r="G5503" s="24" t="s">
        <v>88</v>
      </c>
      <c r="H5503" s="25" t="s">
        <v>7021</v>
      </c>
      <c r="I5503" s="46" t="e">
        <f>VLOOKUP(H5503,'合同高级查询数据-4月返'!A:A,1,FALSE)</f>
        <v>#N/A</v>
      </c>
      <c r="J5503" s="47" t="s">
        <v>3488</v>
      </c>
      <c r="K5503" s="24" t="s">
        <v>514</v>
      </c>
      <c r="L5503" s="109"/>
      <c r="M5503" s="49" t="s">
        <v>6939</v>
      </c>
      <c r="N5503" s="50">
        <v>43665</v>
      </c>
      <c r="O5503" s="22" t="s">
        <v>503</v>
      </c>
      <c r="P5503" s="52">
        <v>5950</v>
      </c>
      <c r="Q5503" s="70">
        <v>10</v>
      </c>
      <c r="R5503" s="52">
        <f t="shared" si="170"/>
        <v>59500</v>
      </c>
      <c r="S5503" s="47">
        <v>202304</v>
      </c>
      <c r="T5503" s="123"/>
      <c r="U5503" s="48"/>
      <c r="V5503" s="48"/>
      <c r="W5503" s="48"/>
      <c r="X5503" s="50">
        <v>43190</v>
      </c>
      <c r="Y5503" s="50">
        <v>45382</v>
      </c>
    </row>
    <row r="5504" s="5" customFormat="1" customHeight="1" spans="1:25">
      <c r="A5504" s="24" t="s">
        <v>444</v>
      </c>
      <c r="B5504" s="24" t="s">
        <v>6300</v>
      </c>
      <c r="C5504" s="24" t="s">
        <v>3237</v>
      </c>
      <c r="D5504" s="22" t="s">
        <v>6301</v>
      </c>
      <c r="E5504" s="23" t="s">
        <v>6936</v>
      </c>
      <c r="F5504" s="24" t="s">
        <v>6937</v>
      </c>
      <c r="G5504" s="24" t="s">
        <v>88</v>
      </c>
      <c r="H5504" s="25" t="s">
        <v>7021</v>
      </c>
      <c r="I5504" s="46" t="e">
        <f>VLOOKUP(H5504,'合同高级查询数据-4月返'!A:A,1,FALSE)</f>
        <v>#N/A</v>
      </c>
      <c r="J5504" s="47" t="s">
        <v>3488</v>
      </c>
      <c r="K5504" s="24" t="s">
        <v>514</v>
      </c>
      <c r="L5504" s="109"/>
      <c r="M5504" s="49" t="s">
        <v>6939</v>
      </c>
      <c r="N5504" s="50">
        <v>43669</v>
      </c>
      <c r="O5504" s="22" t="s">
        <v>503</v>
      </c>
      <c r="P5504" s="52">
        <v>5950</v>
      </c>
      <c r="Q5504" s="70">
        <v>13</v>
      </c>
      <c r="R5504" s="52">
        <f t="shared" si="170"/>
        <v>77350</v>
      </c>
      <c r="S5504" s="47">
        <v>202304</v>
      </c>
      <c r="T5504" s="123"/>
      <c r="U5504" s="48"/>
      <c r="V5504" s="48"/>
      <c r="W5504" s="48"/>
      <c r="X5504" s="50">
        <v>43190</v>
      </c>
      <c r="Y5504" s="50">
        <v>45382</v>
      </c>
    </row>
    <row r="5505" s="5" customFormat="1" customHeight="1" spans="1:25">
      <c r="A5505" s="24" t="s">
        <v>444</v>
      </c>
      <c r="B5505" s="24" t="s">
        <v>6300</v>
      </c>
      <c r="C5505" s="24" t="s">
        <v>3237</v>
      </c>
      <c r="D5505" s="22" t="s">
        <v>6301</v>
      </c>
      <c r="E5505" s="23" t="s">
        <v>6936</v>
      </c>
      <c r="F5505" s="24" t="s">
        <v>6937</v>
      </c>
      <c r="G5505" s="24" t="s">
        <v>88</v>
      </c>
      <c r="H5505" s="25" t="s">
        <v>7021</v>
      </c>
      <c r="I5505" s="46" t="e">
        <f>VLOOKUP(H5505,'合同高级查询数据-4月返'!A:A,1,FALSE)</f>
        <v>#N/A</v>
      </c>
      <c r="J5505" s="47" t="s">
        <v>3488</v>
      </c>
      <c r="K5505" s="24" t="s">
        <v>514</v>
      </c>
      <c r="L5505" s="109"/>
      <c r="M5505" s="49" t="s">
        <v>6939</v>
      </c>
      <c r="N5505" s="50">
        <v>43684</v>
      </c>
      <c r="O5505" s="22" t="s">
        <v>503</v>
      </c>
      <c r="P5505" s="52">
        <v>5950</v>
      </c>
      <c r="Q5505" s="70">
        <v>2</v>
      </c>
      <c r="R5505" s="52">
        <f t="shared" si="170"/>
        <v>11900</v>
      </c>
      <c r="S5505" s="47">
        <v>202304</v>
      </c>
      <c r="T5505" s="123" t="s">
        <v>7033</v>
      </c>
      <c r="U5505" s="48"/>
      <c r="V5505" s="48"/>
      <c r="W5505" s="48"/>
      <c r="X5505" s="50">
        <v>43190</v>
      </c>
      <c r="Y5505" s="50">
        <v>45382</v>
      </c>
    </row>
    <row r="5506" s="5" customFormat="1" customHeight="1" spans="1:25">
      <c r="A5506" s="24" t="s">
        <v>444</v>
      </c>
      <c r="B5506" s="24" t="s">
        <v>6300</v>
      </c>
      <c r="C5506" s="24" t="s">
        <v>3237</v>
      </c>
      <c r="D5506" s="22" t="s">
        <v>6301</v>
      </c>
      <c r="E5506" s="23" t="s">
        <v>6936</v>
      </c>
      <c r="F5506" s="24" t="s">
        <v>6937</v>
      </c>
      <c r="G5506" s="24" t="s">
        <v>88</v>
      </c>
      <c r="H5506" s="25" t="s">
        <v>7021</v>
      </c>
      <c r="I5506" s="46" t="e">
        <f>VLOOKUP(H5506,'合同高级查询数据-4月返'!A:A,1,FALSE)</f>
        <v>#N/A</v>
      </c>
      <c r="J5506" s="47" t="s">
        <v>3488</v>
      </c>
      <c r="K5506" s="24" t="s">
        <v>514</v>
      </c>
      <c r="L5506" s="109"/>
      <c r="M5506" s="49" t="s">
        <v>6939</v>
      </c>
      <c r="N5506" s="50">
        <v>43691</v>
      </c>
      <c r="O5506" s="22" t="s">
        <v>503</v>
      </c>
      <c r="P5506" s="52">
        <v>5950</v>
      </c>
      <c r="Q5506" s="70">
        <v>2</v>
      </c>
      <c r="R5506" s="52">
        <f t="shared" si="170"/>
        <v>11900</v>
      </c>
      <c r="S5506" s="47">
        <v>202304</v>
      </c>
      <c r="T5506" s="123" t="s">
        <v>7034</v>
      </c>
      <c r="U5506" s="48"/>
      <c r="V5506" s="48"/>
      <c r="W5506" s="48"/>
      <c r="X5506" s="50">
        <v>43190</v>
      </c>
      <c r="Y5506" s="50">
        <v>45382</v>
      </c>
    </row>
    <row r="5507" s="5" customFormat="1" customHeight="1" spans="1:25">
      <c r="A5507" s="24" t="s">
        <v>444</v>
      </c>
      <c r="B5507" s="24" t="s">
        <v>6300</v>
      </c>
      <c r="C5507" s="24" t="s">
        <v>3237</v>
      </c>
      <c r="D5507" s="22" t="s">
        <v>6301</v>
      </c>
      <c r="E5507" s="23" t="s">
        <v>6936</v>
      </c>
      <c r="F5507" s="24" t="s">
        <v>6937</v>
      </c>
      <c r="G5507" s="24" t="s">
        <v>88</v>
      </c>
      <c r="H5507" s="25" t="s">
        <v>7021</v>
      </c>
      <c r="I5507" s="46" t="e">
        <f>VLOOKUP(H5507,'合同高级查询数据-4月返'!A:A,1,FALSE)</f>
        <v>#N/A</v>
      </c>
      <c r="J5507" s="47" t="s">
        <v>3488</v>
      </c>
      <c r="K5507" s="24" t="s">
        <v>514</v>
      </c>
      <c r="L5507" s="109"/>
      <c r="M5507" s="49" t="s">
        <v>6939</v>
      </c>
      <c r="N5507" s="50">
        <v>43699</v>
      </c>
      <c r="O5507" s="22" t="s">
        <v>503</v>
      </c>
      <c r="P5507" s="52">
        <v>5950</v>
      </c>
      <c r="Q5507" s="70">
        <v>2</v>
      </c>
      <c r="R5507" s="52">
        <f t="shared" si="170"/>
        <v>11900</v>
      </c>
      <c r="S5507" s="47">
        <v>202304</v>
      </c>
      <c r="T5507" s="123" t="s">
        <v>7035</v>
      </c>
      <c r="U5507" s="48"/>
      <c r="V5507" s="48"/>
      <c r="W5507" s="48"/>
      <c r="X5507" s="50">
        <v>43190</v>
      </c>
      <c r="Y5507" s="50">
        <v>45382</v>
      </c>
    </row>
    <row r="5508" s="5" customFormat="1" customHeight="1" spans="1:25">
      <c r="A5508" s="24" t="s">
        <v>444</v>
      </c>
      <c r="B5508" s="24" t="s">
        <v>6300</v>
      </c>
      <c r="C5508" s="24" t="s">
        <v>3237</v>
      </c>
      <c r="D5508" s="22" t="s">
        <v>6301</v>
      </c>
      <c r="E5508" s="23" t="s">
        <v>6936</v>
      </c>
      <c r="F5508" s="24" t="s">
        <v>6937</v>
      </c>
      <c r="G5508" s="24" t="s">
        <v>88</v>
      </c>
      <c r="H5508" s="25" t="s">
        <v>7021</v>
      </c>
      <c r="I5508" s="46" t="e">
        <f>VLOOKUP(H5508,'合同高级查询数据-4月返'!A:A,1,FALSE)</f>
        <v>#N/A</v>
      </c>
      <c r="J5508" s="47" t="s">
        <v>3488</v>
      </c>
      <c r="K5508" s="24" t="s">
        <v>514</v>
      </c>
      <c r="L5508" s="109"/>
      <c r="M5508" s="49" t="s">
        <v>6939</v>
      </c>
      <c r="N5508" s="50">
        <v>43691</v>
      </c>
      <c r="O5508" s="22" t="s">
        <v>503</v>
      </c>
      <c r="P5508" s="52">
        <v>5950</v>
      </c>
      <c r="Q5508" s="70">
        <v>-1</v>
      </c>
      <c r="R5508" s="52">
        <f t="shared" si="170"/>
        <v>-5950</v>
      </c>
      <c r="S5508" s="47">
        <v>202304</v>
      </c>
      <c r="T5508" s="123" t="s">
        <v>7036</v>
      </c>
      <c r="U5508" s="48"/>
      <c r="V5508" s="48"/>
      <c r="W5508" s="48"/>
      <c r="X5508" s="50">
        <v>43190</v>
      </c>
      <c r="Y5508" s="50">
        <v>45382</v>
      </c>
    </row>
    <row r="5509" s="5" customFormat="1" customHeight="1" spans="1:25">
      <c r="A5509" s="24" t="s">
        <v>444</v>
      </c>
      <c r="B5509" s="24" t="s">
        <v>6300</v>
      </c>
      <c r="C5509" s="24" t="s">
        <v>3237</v>
      </c>
      <c r="D5509" s="22" t="s">
        <v>6301</v>
      </c>
      <c r="E5509" s="23" t="s">
        <v>6936</v>
      </c>
      <c r="F5509" s="24" t="s">
        <v>6937</v>
      </c>
      <c r="G5509" s="24" t="s">
        <v>88</v>
      </c>
      <c r="H5509" s="25" t="s">
        <v>7021</v>
      </c>
      <c r="I5509" s="46" t="e">
        <f>VLOOKUP(H5509,'合同高级查询数据-4月返'!A:A,1,FALSE)</f>
        <v>#N/A</v>
      </c>
      <c r="J5509" s="47" t="s">
        <v>3488</v>
      </c>
      <c r="K5509" s="24" t="s">
        <v>514</v>
      </c>
      <c r="L5509" s="109"/>
      <c r="M5509" s="49" t="s">
        <v>6939</v>
      </c>
      <c r="N5509" s="50">
        <v>43714</v>
      </c>
      <c r="O5509" s="22" t="s">
        <v>503</v>
      </c>
      <c r="P5509" s="52">
        <v>5950</v>
      </c>
      <c r="Q5509" s="70">
        <v>63</v>
      </c>
      <c r="R5509" s="52">
        <f t="shared" si="170"/>
        <v>374850</v>
      </c>
      <c r="S5509" s="47">
        <v>202304</v>
      </c>
      <c r="T5509" s="123" t="s">
        <v>7037</v>
      </c>
      <c r="U5509" s="48"/>
      <c r="V5509" s="48"/>
      <c r="W5509" s="48"/>
      <c r="X5509" s="50">
        <v>43190</v>
      </c>
      <c r="Y5509" s="50">
        <v>45382</v>
      </c>
    </row>
    <row r="5510" s="5" customFormat="1" customHeight="1" spans="1:25">
      <c r="A5510" s="24" t="s">
        <v>444</v>
      </c>
      <c r="B5510" s="24" t="s">
        <v>6300</v>
      </c>
      <c r="C5510" s="24" t="s">
        <v>3237</v>
      </c>
      <c r="D5510" s="22" t="s">
        <v>6301</v>
      </c>
      <c r="E5510" s="23" t="s">
        <v>6936</v>
      </c>
      <c r="F5510" s="24" t="s">
        <v>6937</v>
      </c>
      <c r="G5510" s="24" t="s">
        <v>88</v>
      </c>
      <c r="H5510" s="25" t="s">
        <v>7021</v>
      </c>
      <c r="I5510" s="46" t="e">
        <f>VLOOKUP(H5510,'合同高级查询数据-4月返'!A:A,1,FALSE)</f>
        <v>#N/A</v>
      </c>
      <c r="J5510" s="47" t="s">
        <v>3488</v>
      </c>
      <c r="K5510" s="24" t="s">
        <v>514</v>
      </c>
      <c r="L5510" s="109"/>
      <c r="M5510" s="49" t="s">
        <v>6939</v>
      </c>
      <c r="N5510" s="50">
        <v>43720</v>
      </c>
      <c r="O5510" s="22" t="s">
        <v>503</v>
      </c>
      <c r="P5510" s="52">
        <v>5950</v>
      </c>
      <c r="Q5510" s="70">
        <v>4</v>
      </c>
      <c r="R5510" s="52">
        <f t="shared" si="170"/>
        <v>23800</v>
      </c>
      <c r="S5510" s="47">
        <v>202304</v>
      </c>
      <c r="T5510" s="123" t="s">
        <v>7038</v>
      </c>
      <c r="U5510" s="48"/>
      <c r="V5510" s="48"/>
      <c r="W5510" s="48"/>
      <c r="X5510" s="50">
        <v>43190</v>
      </c>
      <c r="Y5510" s="50">
        <v>45382</v>
      </c>
    </row>
    <row r="5511" s="5" customFormat="1" customHeight="1" spans="1:25">
      <c r="A5511" s="24" t="s">
        <v>444</v>
      </c>
      <c r="B5511" s="24" t="s">
        <v>6300</v>
      </c>
      <c r="C5511" s="24" t="s">
        <v>3237</v>
      </c>
      <c r="D5511" s="22" t="s">
        <v>6301</v>
      </c>
      <c r="E5511" s="23" t="s">
        <v>6936</v>
      </c>
      <c r="F5511" s="24" t="s">
        <v>6937</v>
      </c>
      <c r="G5511" s="24" t="s">
        <v>88</v>
      </c>
      <c r="H5511" s="25" t="s">
        <v>7021</v>
      </c>
      <c r="I5511" s="46" t="e">
        <f>VLOOKUP(H5511,'合同高级查询数据-4月返'!A:A,1,FALSE)</f>
        <v>#N/A</v>
      </c>
      <c r="J5511" s="47" t="s">
        <v>3488</v>
      </c>
      <c r="K5511" s="24" t="s">
        <v>514</v>
      </c>
      <c r="L5511" s="109"/>
      <c r="M5511" s="49" t="s">
        <v>6939</v>
      </c>
      <c r="N5511" s="50">
        <v>43765</v>
      </c>
      <c r="O5511" s="22" t="s">
        <v>503</v>
      </c>
      <c r="P5511" s="52">
        <v>5950</v>
      </c>
      <c r="Q5511" s="70">
        <v>12</v>
      </c>
      <c r="R5511" s="52">
        <f t="shared" si="170"/>
        <v>71400</v>
      </c>
      <c r="S5511" s="47">
        <v>202304</v>
      </c>
      <c r="T5511" s="123" t="s">
        <v>7039</v>
      </c>
      <c r="U5511" s="48"/>
      <c r="V5511" s="48"/>
      <c r="W5511" s="48"/>
      <c r="X5511" s="50">
        <v>43190</v>
      </c>
      <c r="Y5511" s="50">
        <v>45382</v>
      </c>
    </row>
    <row r="5512" s="5" customFormat="1" customHeight="1" spans="1:25">
      <c r="A5512" s="24" t="s">
        <v>444</v>
      </c>
      <c r="B5512" s="24" t="s">
        <v>6300</v>
      </c>
      <c r="C5512" s="24" t="s">
        <v>3237</v>
      </c>
      <c r="D5512" s="22" t="s">
        <v>6301</v>
      </c>
      <c r="E5512" s="23" t="s">
        <v>6936</v>
      </c>
      <c r="F5512" s="24" t="s">
        <v>6937</v>
      </c>
      <c r="G5512" s="24" t="s">
        <v>88</v>
      </c>
      <c r="H5512" s="25" t="s">
        <v>7021</v>
      </c>
      <c r="I5512" s="46" t="e">
        <f>VLOOKUP(H5512,'合同高级查询数据-4月返'!A:A,1,FALSE)</f>
        <v>#N/A</v>
      </c>
      <c r="J5512" s="47" t="s">
        <v>3488</v>
      </c>
      <c r="K5512" s="24" t="s">
        <v>514</v>
      </c>
      <c r="L5512" s="109"/>
      <c r="M5512" s="49" t="s">
        <v>6939</v>
      </c>
      <c r="N5512" s="50">
        <v>43770</v>
      </c>
      <c r="O5512" s="22" t="s">
        <v>503</v>
      </c>
      <c r="P5512" s="52">
        <v>5950</v>
      </c>
      <c r="Q5512" s="70">
        <v>22</v>
      </c>
      <c r="R5512" s="52">
        <f t="shared" si="170"/>
        <v>130900</v>
      </c>
      <c r="S5512" s="47">
        <v>202304</v>
      </c>
      <c r="T5512" s="123" t="s">
        <v>7040</v>
      </c>
      <c r="U5512" s="48"/>
      <c r="V5512" s="48"/>
      <c r="W5512" s="48"/>
      <c r="X5512" s="50">
        <v>43190</v>
      </c>
      <c r="Y5512" s="50">
        <v>45382</v>
      </c>
    </row>
    <row r="5513" s="5" customFormat="1" customHeight="1" spans="1:25">
      <c r="A5513" s="24" t="s">
        <v>444</v>
      </c>
      <c r="B5513" s="24" t="s">
        <v>6300</v>
      </c>
      <c r="C5513" s="24" t="s">
        <v>3237</v>
      </c>
      <c r="D5513" s="22" t="s">
        <v>6301</v>
      </c>
      <c r="E5513" s="23" t="s">
        <v>6936</v>
      </c>
      <c r="F5513" s="24" t="s">
        <v>6937</v>
      </c>
      <c r="G5513" s="24" t="s">
        <v>88</v>
      </c>
      <c r="H5513" s="25" t="s">
        <v>7021</v>
      </c>
      <c r="I5513" s="46" t="e">
        <f>VLOOKUP(H5513,'合同高级查询数据-4月返'!A:A,1,FALSE)</f>
        <v>#N/A</v>
      </c>
      <c r="J5513" s="47" t="s">
        <v>3488</v>
      </c>
      <c r="K5513" s="24" t="s">
        <v>514</v>
      </c>
      <c r="L5513" s="109"/>
      <c r="M5513" s="49" t="s">
        <v>6939</v>
      </c>
      <c r="N5513" s="50">
        <v>43791</v>
      </c>
      <c r="O5513" s="22" t="s">
        <v>503</v>
      </c>
      <c r="P5513" s="52">
        <v>5950</v>
      </c>
      <c r="Q5513" s="70">
        <v>1</v>
      </c>
      <c r="R5513" s="52">
        <f t="shared" si="170"/>
        <v>5950</v>
      </c>
      <c r="S5513" s="47">
        <v>202304</v>
      </c>
      <c r="T5513" s="123" t="s">
        <v>7041</v>
      </c>
      <c r="U5513" s="48"/>
      <c r="V5513" s="48"/>
      <c r="W5513" s="48"/>
      <c r="X5513" s="50">
        <v>43190</v>
      </c>
      <c r="Y5513" s="50">
        <v>45382</v>
      </c>
    </row>
    <row r="5514" s="5" customFormat="1" customHeight="1" spans="1:25">
      <c r="A5514" s="24" t="s">
        <v>444</v>
      </c>
      <c r="B5514" s="24" t="s">
        <v>6300</v>
      </c>
      <c r="C5514" s="24" t="s">
        <v>3237</v>
      </c>
      <c r="D5514" s="22" t="s">
        <v>6301</v>
      </c>
      <c r="E5514" s="23" t="s">
        <v>6936</v>
      </c>
      <c r="F5514" s="24" t="s">
        <v>6937</v>
      </c>
      <c r="G5514" s="24" t="s">
        <v>88</v>
      </c>
      <c r="H5514" s="25" t="s">
        <v>7021</v>
      </c>
      <c r="I5514" s="46" t="e">
        <f>VLOOKUP(H5514,'合同高级查询数据-4月返'!A:A,1,FALSE)</f>
        <v>#N/A</v>
      </c>
      <c r="J5514" s="47" t="s">
        <v>3488</v>
      </c>
      <c r="K5514" s="24" t="s">
        <v>514</v>
      </c>
      <c r="L5514" s="109"/>
      <c r="M5514" s="49" t="s">
        <v>6939</v>
      </c>
      <c r="N5514" s="50">
        <v>43808</v>
      </c>
      <c r="O5514" s="22" t="s">
        <v>503</v>
      </c>
      <c r="P5514" s="52">
        <v>5950</v>
      </c>
      <c r="Q5514" s="70">
        <v>-8</v>
      </c>
      <c r="R5514" s="52">
        <f t="shared" si="170"/>
        <v>-47600</v>
      </c>
      <c r="S5514" s="47">
        <v>202304</v>
      </c>
      <c r="T5514" s="123" t="s">
        <v>7042</v>
      </c>
      <c r="U5514" s="48"/>
      <c r="V5514" s="48"/>
      <c r="W5514" s="48"/>
      <c r="X5514" s="50">
        <v>43190</v>
      </c>
      <c r="Y5514" s="50">
        <v>45382</v>
      </c>
    </row>
    <row r="5515" s="5" customFormat="1" customHeight="1" spans="1:25">
      <c r="A5515" s="24" t="s">
        <v>444</v>
      </c>
      <c r="B5515" s="24" t="s">
        <v>6300</v>
      </c>
      <c r="C5515" s="24" t="s">
        <v>3237</v>
      </c>
      <c r="D5515" s="22" t="s">
        <v>6301</v>
      </c>
      <c r="E5515" s="23" t="s">
        <v>6936</v>
      </c>
      <c r="F5515" s="24" t="s">
        <v>6937</v>
      </c>
      <c r="G5515" s="24" t="s">
        <v>88</v>
      </c>
      <c r="H5515" s="25" t="s">
        <v>7021</v>
      </c>
      <c r="I5515" s="46" t="e">
        <f>VLOOKUP(H5515,'合同高级查询数据-4月返'!A:A,1,FALSE)</f>
        <v>#N/A</v>
      </c>
      <c r="J5515" s="47" t="s">
        <v>3488</v>
      </c>
      <c r="K5515" s="24" t="s">
        <v>514</v>
      </c>
      <c r="L5515" s="109"/>
      <c r="M5515" s="49" t="s">
        <v>6939</v>
      </c>
      <c r="N5515" s="50">
        <v>43805</v>
      </c>
      <c r="O5515" s="22" t="s">
        <v>503</v>
      </c>
      <c r="P5515" s="52">
        <v>5950</v>
      </c>
      <c r="Q5515" s="70">
        <v>4</v>
      </c>
      <c r="R5515" s="52">
        <f t="shared" si="170"/>
        <v>23800</v>
      </c>
      <c r="S5515" s="47">
        <v>202304</v>
      </c>
      <c r="T5515" s="123" t="s">
        <v>7043</v>
      </c>
      <c r="U5515" s="48"/>
      <c r="V5515" s="48"/>
      <c r="W5515" s="48"/>
      <c r="X5515" s="50">
        <v>43190</v>
      </c>
      <c r="Y5515" s="50">
        <v>45382</v>
      </c>
    </row>
    <row r="5516" s="5" customFormat="1" customHeight="1" spans="1:25">
      <c r="A5516" s="24" t="s">
        <v>444</v>
      </c>
      <c r="B5516" s="24" t="s">
        <v>6300</v>
      </c>
      <c r="C5516" s="24" t="s">
        <v>3237</v>
      </c>
      <c r="D5516" s="22" t="s">
        <v>6301</v>
      </c>
      <c r="E5516" s="23" t="s">
        <v>6936</v>
      </c>
      <c r="F5516" s="24" t="s">
        <v>6937</v>
      </c>
      <c r="G5516" s="24" t="s">
        <v>88</v>
      </c>
      <c r="H5516" s="25" t="s">
        <v>7021</v>
      </c>
      <c r="I5516" s="46" t="e">
        <f>VLOOKUP(H5516,'合同高级查询数据-4月返'!A:A,1,FALSE)</f>
        <v>#N/A</v>
      </c>
      <c r="J5516" s="47" t="s">
        <v>3488</v>
      </c>
      <c r="K5516" s="24" t="s">
        <v>514</v>
      </c>
      <c r="L5516" s="109"/>
      <c r="M5516" s="49" t="s">
        <v>6939</v>
      </c>
      <c r="N5516" s="50">
        <v>43823</v>
      </c>
      <c r="O5516" s="22" t="s">
        <v>503</v>
      </c>
      <c r="P5516" s="52">
        <v>5950</v>
      </c>
      <c r="Q5516" s="70">
        <v>2</v>
      </c>
      <c r="R5516" s="52">
        <f t="shared" si="170"/>
        <v>11900</v>
      </c>
      <c r="S5516" s="47">
        <v>202304</v>
      </c>
      <c r="T5516" s="123" t="s">
        <v>7044</v>
      </c>
      <c r="U5516" s="48"/>
      <c r="V5516" s="48"/>
      <c r="W5516" s="48"/>
      <c r="X5516" s="50">
        <v>43190</v>
      </c>
      <c r="Y5516" s="50">
        <v>45382</v>
      </c>
    </row>
    <row r="5517" s="5" customFormat="1" customHeight="1" spans="1:25">
      <c r="A5517" s="24" t="s">
        <v>444</v>
      </c>
      <c r="B5517" s="24" t="s">
        <v>6300</v>
      </c>
      <c r="C5517" s="24" t="s">
        <v>3237</v>
      </c>
      <c r="D5517" s="22" t="s">
        <v>6301</v>
      </c>
      <c r="E5517" s="23" t="s">
        <v>6936</v>
      </c>
      <c r="F5517" s="24" t="s">
        <v>6937</v>
      </c>
      <c r="G5517" s="24" t="s">
        <v>88</v>
      </c>
      <c r="H5517" s="25" t="s">
        <v>7021</v>
      </c>
      <c r="I5517" s="46" t="e">
        <f>VLOOKUP(H5517,'合同高级查询数据-4月返'!A:A,1,FALSE)</f>
        <v>#N/A</v>
      </c>
      <c r="J5517" s="47" t="s">
        <v>3488</v>
      </c>
      <c r="K5517" s="24" t="s">
        <v>514</v>
      </c>
      <c r="L5517" s="109"/>
      <c r="M5517" s="49" t="s">
        <v>6939</v>
      </c>
      <c r="N5517" s="50">
        <v>43849</v>
      </c>
      <c r="O5517" s="22" t="s">
        <v>503</v>
      </c>
      <c r="P5517" s="52">
        <v>5950</v>
      </c>
      <c r="Q5517" s="70">
        <v>4</v>
      </c>
      <c r="R5517" s="52">
        <f t="shared" si="170"/>
        <v>23800</v>
      </c>
      <c r="S5517" s="47">
        <v>202304</v>
      </c>
      <c r="T5517" s="123" t="s">
        <v>7045</v>
      </c>
      <c r="U5517" s="48"/>
      <c r="V5517" s="48"/>
      <c r="W5517" s="48"/>
      <c r="X5517" s="50">
        <v>43190</v>
      </c>
      <c r="Y5517" s="50">
        <v>45382</v>
      </c>
    </row>
    <row r="5518" s="5" customFormat="1" customHeight="1" spans="1:25">
      <c r="A5518" s="24" t="s">
        <v>444</v>
      </c>
      <c r="B5518" s="24" t="s">
        <v>6300</v>
      </c>
      <c r="C5518" s="24" t="s">
        <v>3237</v>
      </c>
      <c r="D5518" s="22" t="s">
        <v>6301</v>
      </c>
      <c r="E5518" s="23" t="s">
        <v>6936</v>
      </c>
      <c r="F5518" s="24" t="s">
        <v>6937</v>
      </c>
      <c r="G5518" s="24" t="s">
        <v>88</v>
      </c>
      <c r="H5518" s="25" t="s">
        <v>7021</v>
      </c>
      <c r="I5518" s="46" t="e">
        <f>VLOOKUP(H5518,'合同高级查询数据-4月返'!A:A,1,FALSE)</f>
        <v>#N/A</v>
      </c>
      <c r="J5518" s="47" t="s">
        <v>3488</v>
      </c>
      <c r="K5518" s="24" t="s">
        <v>514</v>
      </c>
      <c r="L5518" s="109"/>
      <c r="M5518" s="49" t="s">
        <v>6939</v>
      </c>
      <c r="N5518" s="50">
        <v>43896</v>
      </c>
      <c r="O5518" s="22" t="s">
        <v>503</v>
      </c>
      <c r="P5518" s="52">
        <v>5950</v>
      </c>
      <c r="Q5518" s="70">
        <v>2</v>
      </c>
      <c r="R5518" s="52">
        <f t="shared" si="170"/>
        <v>11900</v>
      </c>
      <c r="S5518" s="47">
        <v>202304</v>
      </c>
      <c r="T5518" s="123" t="s">
        <v>7046</v>
      </c>
      <c r="U5518" s="48"/>
      <c r="V5518" s="48"/>
      <c r="W5518" s="48"/>
      <c r="X5518" s="50">
        <v>43190</v>
      </c>
      <c r="Y5518" s="50">
        <v>45382</v>
      </c>
    </row>
    <row r="5519" s="5" customFormat="1" customHeight="1" spans="1:25">
      <c r="A5519" s="24" t="s">
        <v>444</v>
      </c>
      <c r="B5519" s="24" t="s">
        <v>6300</v>
      </c>
      <c r="C5519" s="24" t="s">
        <v>3237</v>
      </c>
      <c r="D5519" s="22" t="s">
        <v>6301</v>
      </c>
      <c r="E5519" s="23" t="s">
        <v>6936</v>
      </c>
      <c r="F5519" s="24" t="s">
        <v>6937</v>
      </c>
      <c r="G5519" s="24" t="s">
        <v>88</v>
      </c>
      <c r="H5519" s="25" t="s">
        <v>7021</v>
      </c>
      <c r="I5519" s="46" t="e">
        <f>VLOOKUP(H5519,'合同高级查询数据-4月返'!A:A,1,FALSE)</f>
        <v>#N/A</v>
      </c>
      <c r="J5519" s="47" t="s">
        <v>3488</v>
      </c>
      <c r="K5519" s="24" t="s">
        <v>514</v>
      </c>
      <c r="L5519" s="109"/>
      <c r="M5519" s="49" t="s">
        <v>6939</v>
      </c>
      <c r="N5519" s="50">
        <v>43907</v>
      </c>
      <c r="O5519" s="22" t="s">
        <v>503</v>
      </c>
      <c r="P5519" s="52">
        <v>5950</v>
      </c>
      <c r="Q5519" s="70">
        <v>8</v>
      </c>
      <c r="R5519" s="52">
        <f t="shared" si="170"/>
        <v>47600</v>
      </c>
      <c r="S5519" s="47">
        <v>202304</v>
      </c>
      <c r="T5519" s="123" t="s">
        <v>7047</v>
      </c>
      <c r="U5519" s="48"/>
      <c r="V5519" s="48"/>
      <c r="W5519" s="48"/>
      <c r="X5519" s="50">
        <v>43190</v>
      </c>
      <c r="Y5519" s="50">
        <v>45382</v>
      </c>
    </row>
    <row r="5520" s="5" customFormat="1" customHeight="1" spans="1:25">
      <c r="A5520" s="24" t="s">
        <v>444</v>
      </c>
      <c r="B5520" s="24" t="s">
        <v>6300</v>
      </c>
      <c r="C5520" s="24" t="s">
        <v>3237</v>
      </c>
      <c r="D5520" s="22" t="s">
        <v>6301</v>
      </c>
      <c r="E5520" s="23" t="s">
        <v>6936</v>
      </c>
      <c r="F5520" s="24" t="s">
        <v>6937</v>
      </c>
      <c r="G5520" s="24" t="s">
        <v>88</v>
      </c>
      <c r="H5520" s="25" t="s">
        <v>7021</v>
      </c>
      <c r="I5520" s="46" t="e">
        <f>VLOOKUP(H5520,'合同高级查询数据-4月返'!A:A,1,FALSE)</f>
        <v>#N/A</v>
      </c>
      <c r="J5520" s="47" t="s">
        <v>3488</v>
      </c>
      <c r="K5520" s="24" t="s">
        <v>514</v>
      </c>
      <c r="L5520" s="109"/>
      <c r="M5520" s="49" t="s">
        <v>6939</v>
      </c>
      <c r="N5520" s="50">
        <v>43931</v>
      </c>
      <c r="O5520" s="22" t="s">
        <v>503</v>
      </c>
      <c r="P5520" s="52">
        <v>5950</v>
      </c>
      <c r="Q5520" s="70">
        <v>-2</v>
      </c>
      <c r="R5520" s="52">
        <f t="shared" si="170"/>
        <v>-11900</v>
      </c>
      <c r="S5520" s="47">
        <v>202304</v>
      </c>
      <c r="T5520" s="123" t="s">
        <v>7048</v>
      </c>
      <c r="U5520" s="48"/>
      <c r="V5520" s="48"/>
      <c r="W5520" s="48"/>
      <c r="X5520" s="50">
        <v>43190</v>
      </c>
      <c r="Y5520" s="50">
        <v>45382</v>
      </c>
    </row>
    <row r="5521" s="5" customFormat="1" customHeight="1" spans="1:25">
      <c r="A5521" s="24" t="s">
        <v>444</v>
      </c>
      <c r="B5521" s="24" t="s">
        <v>6300</v>
      </c>
      <c r="C5521" s="24" t="s">
        <v>3237</v>
      </c>
      <c r="D5521" s="22" t="s">
        <v>6301</v>
      </c>
      <c r="E5521" s="23" t="s">
        <v>6936</v>
      </c>
      <c r="F5521" s="24" t="s">
        <v>6937</v>
      </c>
      <c r="G5521" s="24" t="s">
        <v>88</v>
      </c>
      <c r="H5521" s="25" t="s">
        <v>7021</v>
      </c>
      <c r="I5521" s="46" t="e">
        <f>VLOOKUP(H5521,'合同高级查询数据-4月返'!A:A,1,FALSE)</f>
        <v>#N/A</v>
      </c>
      <c r="J5521" s="47" t="s">
        <v>3488</v>
      </c>
      <c r="K5521" s="22" t="s">
        <v>514</v>
      </c>
      <c r="L5521" s="109"/>
      <c r="M5521" s="49" t="s">
        <v>6939</v>
      </c>
      <c r="N5521" s="50">
        <v>43993</v>
      </c>
      <c r="O5521" s="22" t="s">
        <v>503</v>
      </c>
      <c r="P5521" s="52">
        <v>5950</v>
      </c>
      <c r="Q5521" s="70">
        <v>9</v>
      </c>
      <c r="R5521" s="52">
        <f t="shared" si="170"/>
        <v>53550</v>
      </c>
      <c r="S5521" s="47">
        <v>202304</v>
      </c>
      <c r="T5521" s="123" t="s">
        <v>7049</v>
      </c>
      <c r="U5521" s="48"/>
      <c r="V5521" s="48"/>
      <c r="W5521" s="48"/>
      <c r="X5521" s="50">
        <v>43190</v>
      </c>
      <c r="Y5521" s="50">
        <v>45382</v>
      </c>
    </row>
    <row r="5522" s="5" customFormat="1" customHeight="1" spans="1:25">
      <c r="A5522" s="24" t="s">
        <v>444</v>
      </c>
      <c r="B5522" s="24" t="s">
        <v>6300</v>
      </c>
      <c r="C5522" s="24" t="s">
        <v>3237</v>
      </c>
      <c r="D5522" s="22" t="s">
        <v>6301</v>
      </c>
      <c r="E5522" s="23" t="s">
        <v>6936</v>
      </c>
      <c r="F5522" s="24" t="s">
        <v>6937</v>
      </c>
      <c r="G5522" s="24" t="s">
        <v>88</v>
      </c>
      <c r="H5522" s="25" t="s">
        <v>7021</v>
      </c>
      <c r="I5522" s="46" t="e">
        <f>VLOOKUP(H5522,'合同高级查询数据-4月返'!A:A,1,FALSE)</f>
        <v>#N/A</v>
      </c>
      <c r="J5522" s="47" t="s">
        <v>3488</v>
      </c>
      <c r="K5522" s="24" t="s">
        <v>514</v>
      </c>
      <c r="L5522" s="109"/>
      <c r="M5522" s="49" t="s">
        <v>6939</v>
      </c>
      <c r="N5522" s="50">
        <v>43999</v>
      </c>
      <c r="O5522" s="22" t="s">
        <v>503</v>
      </c>
      <c r="P5522" s="52">
        <v>5950</v>
      </c>
      <c r="Q5522" s="70">
        <v>6</v>
      </c>
      <c r="R5522" s="52">
        <f t="shared" si="170"/>
        <v>35700</v>
      </c>
      <c r="S5522" s="47">
        <v>202304</v>
      </c>
      <c r="T5522" s="123" t="s">
        <v>7050</v>
      </c>
      <c r="U5522" s="48"/>
      <c r="V5522" s="48"/>
      <c r="W5522" s="48"/>
      <c r="X5522" s="50">
        <v>43190</v>
      </c>
      <c r="Y5522" s="50">
        <v>45382</v>
      </c>
    </row>
    <row r="5523" s="5" customFormat="1" customHeight="1" spans="1:25">
      <c r="A5523" s="24" t="s">
        <v>444</v>
      </c>
      <c r="B5523" s="24" t="s">
        <v>6300</v>
      </c>
      <c r="C5523" s="24" t="s">
        <v>3237</v>
      </c>
      <c r="D5523" s="22" t="s">
        <v>6301</v>
      </c>
      <c r="E5523" s="23" t="s">
        <v>6936</v>
      </c>
      <c r="F5523" s="24" t="s">
        <v>6937</v>
      </c>
      <c r="G5523" s="24" t="s">
        <v>88</v>
      </c>
      <c r="H5523" s="25" t="s">
        <v>7021</v>
      </c>
      <c r="I5523" s="46" t="e">
        <f>VLOOKUP(H5523,'合同高级查询数据-4月返'!A:A,1,FALSE)</f>
        <v>#N/A</v>
      </c>
      <c r="J5523" s="47" t="s">
        <v>3488</v>
      </c>
      <c r="K5523" s="24" t="s">
        <v>514</v>
      </c>
      <c r="L5523" s="109"/>
      <c r="M5523" s="49" t="s">
        <v>6939</v>
      </c>
      <c r="N5523" s="50">
        <v>44001</v>
      </c>
      <c r="O5523" s="22" t="s">
        <v>503</v>
      </c>
      <c r="P5523" s="52">
        <v>5950</v>
      </c>
      <c r="Q5523" s="70">
        <v>1</v>
      </c>
      <c r="R5523" s="52">
        <f t="shared" si="170"/>
        <v>5950</v>
      </c>
      <c r="S5523" s="47">
        <v>202304</v>
      </c>
      <c r="T5523" s="123" t="s">
        <v>7051</v>
      </c>
      <c r="U5523" s="48"/>
      <c r="V5523" s="48"/>
      <c r="W5523" s="48"/>
      <c r="X5523" s="50">
        <v>43190</v>
      </c>
      <c r="Y5523" s="50">
        <v>45382</v>
      </c>
    </row>
    <row r="5524" s="5" customFormat="1" customHeight="1" spans="1:25">
      <c r="A5524" s="24" t="s">
        <v>444</v>
      </c>
      <c r="B5524" s="24" t="s">
        <v>6300</v>
      </c>
      <c r="C5524" s="24" t="s">
        <v>3237</v>
      </c>
      <c r="D5524" s="22" t="s">
        <v>6301</v>
      </c>
      <c r="E5524" s="23" t="s">
        <v>6936</v>
      </c>
      <c r="F5524" s="24" t="s">
        <v>6937</v>
      </c>
      <c r="G5524" s="24" t="s">
        <v>88</v>
      </c>
      <c r="H5524" s="25" t="s">
        <v>7021</v>
      </c>
      <c r="I5524" s="46" t="e">
        <f>VLOOKUP(H5524,'合同高级查询数据-4月返'!A:A,1,FALSE)</f>
        <v>#N/A</v>
      </c>
      <c r="J5524" s="47" t="s">
        <v>3488</v>
      </c>
      <c r="K5524" s="24" t="s">
        <v>514</v>
      </c>
      <c r="L5524" s="109"/>
      <c r="M5524" s="49" t="s">
        <v>7052</v>
      </c>
      <c r="N5524" s="50">
        <v>44004</v>
      </c>
      <c r="O5524" s="22" t="s">
        <v>503</v>
      </c>
      <c r="P5524" s="52">
        <v>5950</v>
      </c>
      <c r="Q5524" s="70">
        <v>3</v>
      </c>
      <c r="R5524" s="52">
        <f t="shared" si="170"/>
        <v>17850</v>
      </c>
      <c r="S5524" s="47">
        <v>202304</v>
      </c>
      <c r="T5524" s="123" t="s">
        <v>7053</v>
      </c>
      <c r="U5524" s="48"/>
      <c r="V5524" s="48"/>
      <c r="W5524" s="48"/>
      <c r="X5524" s="50">
        <v>43190</v>
      </c>
      <c r="Y5524" s="50">
        <v>45382</v>
      </c>
    </row>
    <row r="5525" s="5" customFormat="1" customHeight="1" spans="1:25">
      <c r="A5525" s="24" t="s">
        <v>444</v>
      </c>
      <c r="B5525" s="24" t="s">
        <v>6300</v>
      </c>
      <c r="C5525" s="24" t="s">
        <v>3237</v>
      </c>
      <c r="D5525" s="22" t="s">
        <v>6301</v>
      </c>
      <c r="E5525" s="23" t="s">
        <v>6936</v>
      </c>
      <c r="F5525" s="24" t="s">
        <v>6937</v>
      </c>
      <c r="G5525" s="24" t="s">
        <v>88</v>
      </c>
      <c r="H5525" s="25" t="s">
        <v>7021</v>
      </c>
      <c r="I5525" s="46" t="e">
        <f>VLOOKUP(H5525,'合同高级查询数据-4月返'!A:A,1,FALSE)</f>
        <v>#N/A</v>
      </c>
      <c r="J5525" s="47" t="s">
        <v>3488</v>
      </c>
      <c r="K5525" s="24" t="s">
        <v>514</v>
      </c>
      <c r="L5525" s="109"/>
      <c r="M5525" s="49" t="s">
        <v>7052</v>
      </c>
      <c r="N5525" s="50">
        <v>44006</v>
      </c>
      <c r="O5525" s="22" t="s">
        <v>503</v>
      </c>
      <c r="P5525" s="52">
        <v>5950</v>
      </c>
      <c r="Q5525" s="70">
        <v>1</v>
      </c>
      <c r="R5525" s="52">
        <f t="shared" si="170"/>
        <v>5950</v>
      </c>
      <c r="S5525" s="47">
        <v>202304</v>
      </c>
      <c r="T5525" s="123" t="s">
        <v>7054</v>
      </c>
      <c r="U5525" s="48"/>
      <c r="V5525" s="48"/>
      <c r="W5525" s="48"/>
      <c r="X5525" s="50">
        <v>43190</v>
      </c>
      <c r="Y5525" s="50">
        <v>45382</v>
      </c>
    </row>
    <row r="5526" s="5" customFormat="1" customHeight="1" spans="1:25">
      <c r="A5526" s="24" t="s">
        <v>444</v>
      </c>
      <c r="B5526" s="24" t="s">
        <v>6300</v>
      </c>
      <c r="C5526" s="24" t="s">
        <v>3237</v>
      </c>
      <c r="D5526" s="22" t="s">
        <v>6301</v>
      </c>
      <c r="E5526" s="23" t="s">
        <v>6936</v>
      </c>
      <c r="F5526" s="24" t="s">
        <v>6937</v>
      </c>
      <c r="G5526" s="24" t="s">
        <v>88</v>
      </c>
      <c r="H5526" s="25" t="s">
        <v>7021</v>
      </c>
      <c r="I5526" s="46" t="e">
        <f>VLOOKUP(H5526,'合同高级查询数据-4月返'!A:A,1,FALSE)</f>
        <v>#N/A</v>
      </c>
      <c r="J5526" s="47" t="s">
        <v>3488</v>
      </c>
      <c r="K5526" s="22" t="s">
        <v>514</v>
      </c>
      <c r="L5526" s="109"/>
      <c r="M5526" s="49" t="s">
        <v>6939</v>
      </c>
      <c r="N5526" s="50">
        <v>43998</v>
      </c>
      <c r="O5526" s="22" t="s">
        <v>503</v>
      </c>
      <c r="P5526" s="52">
        <v>5950</v>
      </c>
      <c r="Q5526" s="70">
        <v>1</v>
      </c>
      <c r="R5526" s="52">
        <f t="shared" si="170"/>
        <v>5950</v>
      </c>
      <c r="S5526" s="47">
        <v>202304</v>
      </c>
      <c r="T5526" s="123" t="s">
        <v>7055</v>
      </c>
      <c r="U5526" s="48"/>
      <c r="V5526" s="48"/>
      <c r="W5526" s="48"/>
      <c r="X5526" s="50">
        <v>43190</v>
      </c>
      <c r="Y5526" s="50">
        <v>45382</v>
      </c>
    </row>
    <row r="5527" s="5" customFormat="1" customHeight="1" spans="1:25">
      <c r="A5527" s="24" t="s">
        <v>444</v>
      </c>
      <c r="B5527" s="24" t="s">
        <v>6300</v>
      </c>
      <c r="C5527" s="24" t="s">
        <v>3237</v>
      </c>
      <c r="D5527" s="22" t="s">
        <v>6301</v>
      </c>
      <c r="E5527" s="23" t="s">
        <v>6936</v>
      </c>
      <c r="F5527" s="24" t="s">
        <v>6937</v>
      </c>
      <c r="G5527" s="24" t="s">
        <v>88</v>
      </c>
      <c r="H5527" s="47" t="s">
        <v>7056</v>
      </c>
      <c r="I5527" s="46" t="e">
        <f>VLOOKUP(H5527,'合同高级查询数据-4月返'!A:A,1,FALSE)</f>
        <v>#N/A</v>
      </c>
      <c r="J5527" s="47" t="s">
        <v>3488</v>
      </c>
      <c r="K5527" s="24" t="s">
        <v>514</v>
      </c>
      <c r="L5527" s="109"/>
      <c r="M5527" s="49" t="s">
        <v>7052</v>
      </c>
      <c r="N5527" s="50">
        <v>44006</v>
      </c>
      <c r="O5527" s="22" t="s">
        <v>503</v>
      </c>
      <c r="P5527" s="52">
        <v>3134.7</v>
      </c>
      <c r="Q5527" s="70">
        <v>8</v>
      </c>
      <c r="R5527" s="52">
        <f t="shared" si="170"/>
        <v>25077.6</v>
      </c>
      <c r="S5527" s="47">
        <v>202304</v>
      </c>
      <c r="T5527" s="123" t="s">
        <v>7057</v>
      </c>
      <c r="U5527" s="48"/>
      <c r="V5527" s="48"/>
      <c r="W5527" s="48"/>
      <c r="X5527" s="50">
        <v>44006</v>
      </c>
      <c r="Y5527" s="50">
        <v>45382</v>
      </c>
    </row>
    <row r="5528" s="5" customFormat="1" customHeight="1" spans="1:25">
      <c r="A5528" s="24" t="s">
        <v>444</v>
      </c>
      <c r="B5528" s="24" t="s">
        <v>6300</v>
      </c>
      <c r="C5528" s="24" t="s">
        <v>3237</v>
      </c>
      <c r="D5528" s="22" t="s">
        <v>6301</v>
      </c>
      <c r="E5528" s="23" t="s">
        <v>6936</v>
      </c>
      <c r="F5528" s="24" t="s">
        <v>6937</v>
      </c>
      <c r="G5528" s="24" t="s">
        <v>88</v>
      </c>
      <c r="H5528" s="25" t="s">
        <v>7021</v>
      </c>
      <c r="I5528" s="46" t="e">
        <f>VLOOKUP(H5528,'合同高级查询数据-4月返'!A:A,1,FALSE)</f>
        <v>#N/A</v>
      </c>
      <c r="J5528" s="47" t="s">
        <v>3488</v>
      </c>
      <c r="K5528" s="22" t="s">
        <v>514</v>
      </c>
      <c r="L5528" s="109"/>
      <c r="M5528" s="49" t="s">
        <v>6939</v>
      </c>
      <c r="N5528" s="50">
        <v>44050</v>
      </c>
      <c r="O5528" s="22" t="s">
        <v>3120</v>
      </c>
      <c r="P5528" s="52">
        <v>20284</v>
      </c>
      <c r="Q5528" s="70">
        <v>-2</v>
      </c>
      <c r="R5528" s="52">
        <f t="shared" si="170"/>
        <v>-40568</v>
      </c>
      <c r="S5528" s="47">
        <v>202304</v>
      </c>
      <c r="T5528" s="123" t="s">
        <v>7058</v>
      </c>
      <c r="U5528" s="48"/>
      <c r="V5528" s="48"/>
      <c r="W5528" s="48"/>
      <c r="X5528" s="50">
        <v>43190</v>
      </c>
      <c r="Y5528" s="50">
        <v>45382</v>
      </c>
    </row>
    <row r="5529" s="5" customFormat="1" customHeight="1" spans="1:25">
      <c r="A5529" s="24" t="s">
        <v>444</v>
      </c>
      <c r="B5529" s="24" t="s">
        <v>6300</v>
      </c>
      <c r="C5529" s="24" t="s">
        <v>3237</v>
      </c>
      <c r="D5529" s="22" t="s">
        <v>6301</v>
      </c>
      <c r="E5529" s="23" t="s">
        <v>6936</v>
      </c>
      <c r="F5529" s="24" t="s">
        <v>6937</v>
      </c>
      <c r="G5529" s="24" t="s">
        <v>88</v>
      </c>
      <c r="H5529" s="25" t="s">
        <v>7021</v>
      </c>
      <c r="I5529" s="46" t="e">
        <f>VLOOKUP(H5529,'合同高级查询数据-4月返'!A:A,1,FALSE)</f>
        <v>#N/A</v>
      </c>
      <c r="J5529" s="47" t="s">
        <v>3488</v>
      </c>
      <c r="K5529" s="22" t="s">
        <v>514</v>
      </c>
      <c r="L5529" s="109"/>
      <c r="M5529" s="49" t="s">
        <v>6939</v>
      </c>
      <c r="N5529" s="50">
        <v>44061</v>
      </c>
      <c r="O5529" s="22" t="s">
        <v>503</v>
      </c>
      <c r="P5529" s="52">
        <v>5950</v>
      </c>
      <c r="Q5529" s="70">
        <v>2</v>
      </c>
      <c r="R5529" s="52">
        <f t="shared" si="170"/>
        <v>11900</v>
      </c>
      <c r="S5529" s="47">
        <v>202304</v>
      </c>
      <c r="T5529" s="123" t="s">
        <v>7059</v>
      </c>
      <c r="U5529" s="48"/>
      <c r="V5529" s="48"/>
      <c r="W5529" s="48"/>
      <c r="X5529" s="50">
        <v>43190</v>
      </c>
      <c r="Y5529" s="50">
        <v>45382</v>
      </c>
    </row>
    <row r="5530" s="5" customFormat="1" customHeight="1" spans="1:25">
      <c r="A5530" s="24" t="s">
        <v>444</v>
      </c>
      <c r="B5530" s="24" t="s">
        <v>6300</v>
      </c>
      <c r="C5530" s="24" t="s">
        <v>3237</v>
      </c>
      <c r="D5530" s="22" t="s">
        <v>6301</v>
      </c>
      <c r="E5530" s="23" t="s">
        <v>6936</v>
      </c>
      <c r="F5530" s="24" t="s">
        <v>6937</v>
      </c>
      <c r="G5530" s="24" t="s">
        <v>88</v>
      </c>
      <c r="H5530" s="25" t="s">
        <v>7021</v>
      </c>
      <c r="I5530" s="46" t="e">
        <f>VLOOKUP(H5530,'合同高级查询数据-4月返'!A:A,1,FALSE)</f>
        <v>#N/A</v>
      </c>
      <c r="J5530" s="47" t="s">
        <v>3488</v>
      </c>
      <c r="K5530" s="22" t="s">
        <v>514</v>
      </c>
      <c r="L5530" s="109"/>
      <c r="M5530" s="49" t="s">
        <v>7052</v>
      </c>
      <c r="N5530" s="50">
        <v>44061</v>
      </c>
      <c r="O5530" s="22" t="s">
        <v>503</v>
      </c>
      <c r="P5530" s="52">
        <v>5950</v>
      </c>
      <c r="Q5530" s="70">
        <v>2</v>
      </c>
      <c r="R5530" s="52">
        <f t="shared" ref="R5530:R5595" si="171">ROUND(P5530*Q5530,2)</f>
        <v>11900</v>
      </c>
      <c r="S5530" s="47">
        <v>202304</v>
      </c>
      <c r="T5530" s="123" t="s">
        <v>7060</v>
      </c>
      <c r="U5530" s="48"/>
      <c r="V5530" s="48"/>
      <c r="W5530" s="48"/>
      <c r="X5530" s="50">
        <v>43190</v>
      </c>
      <c r="Y5530" s="50">
        <v>45382</v>
      </c>
    </row>
    <row r="5531" s="5" customFormat="1" customHeight="1" spans="1:25">
      <c r="A5531" s="24" t="s">
        <v>444</v>
      </c>
      <c r="B5531" s="24" t="s">
        <v>6300</v>
      </c>
      <c r="C5531" s="24" t="s">
        <v>3237</v>
      </c>
      <c r="D5531" s="22" t="s">
        <v>6301</v>
      </c>
      <c r="E5531" s="23" t="s">
        <v>6936</v>
      </c>
      <c r="F5531" s="24" t="s">
        <v>6937</v>
      </c>
      <c r="G5531" s="24" t="s">
        <v>88</v>
      </c>
      <c r="H5531" s="25" t="s">
        <v>7021</v>
      </c>
      <c r="I5531" s="46" t="e">
        <f>VLOOKUP(H5531,'合同高级查询数据-4月返'!A:A,1,FALSE)</f>
        <v>#N/A</v>
      </c>
      <c r="J5531" s="47" t="s">
        <v>3488</v>
      </c>
      <c r="K5531" s="22" t="s">
        <v>514</v>
      </c>
      <c r="L5531" s="109"/>
      <c r="M5531" s="49" t="s">
        <v>6939</v>
      </c>
      <c r="N5531" s="50">
        <v>44064</v>
      </c>
      <c r="O5531" s="22" t="s">
        <v>606</v>
      </c>
      <c r="P5531" s="52">
        <v>20284</v>
      </c>
      <c r="Q5531" s="70">
        <v>1</v>
      </c>
      <c r="R5531" s="52">
        <f t="shared" si="171"/>
        <v>20284</v>
      </c>
      <c r="S5531" s="47">
        <v>202304</v>
      </c>
      <c r="T5531" s="123" t="s">
        <v>7061</v>
      </c>
      <c r="U5531" s="48"/>
      <c r="V5531" s="48"/>
      <c r="W5531" s="48"/>
      <c r="X5531" s="50">
        <v>43190</v>
      </c>
      <c r="Y5531" s="50">
        <v>45382</v>
      </c>
    </row>
    <row r="5532" s="5" customFormat="1" customHeight="1" spans="1:25">
      <c r="A5532" s="24" t="s">
        <v>444</v>
      </c>
      <c r="B5532" s="24" t="s">
        <v>6300</v>
      </c>
      <c r="C5532" s="24" t="s">
        <v>3237</v>
      </c>
      <c r="D5532" s="22" t="s">
        <v>6301</v>
      </c>
      <c r="E5532" s="23" t="s">
        <v>6936</v>
      </c>
      <c r="F5532" s="24" t="s">
        <v>6937</v>
      </c>
      <c r="G5532" s="24" t="s">
        <v>88</v>
      </c>
      <c r="H5532" s="25" t="s">
        <v>7021</v>
      </c>
      <c r="I5532" s="46" t="e">
        <f>VLOOKUP(H5532,'合同高级查询数据-4月返'!A:A,1,FALSE)</f>
        <v>#N/A</v>
      </c>
      <c r="J5532" s="47" t="s">
        <v>3488</v>
      </c>
      <c r="K5532" s="22" t="s">
        <v>514</v>
      </c>
      <c r="L5532" s="109"/>
      <c r="M5532" s="49" t="s">
        <v>7052</v>
      </c>
      <c r="N5532" s="50">
        <v>44071</v>
      </c>
      <c r="O5532" s="22" t="s">
        <v>503</v>
      </c>
      <c r="P5532" s="52">
        <v>5950</v>
      </c>
      <c r="Q5532" s="70">
        <v>1</v>
      </c>
      <c r="R5532" s="52">
        <f t="shared" si="171"/>
        <v>5950</v>
      </c>
      <c r="S5532" s="47">
        <v>202304</v>
      </c>
      <c r="T5532" s="123" t="s">
        <v>7062</v>
      </c>
      <c r="U5532" s="48"/>
      <c r="V5532" s="48"/>
      <c r="W5532" s="48"/>
      <c r="X5532" s="50">
        <v>43190</v>
      </c>
      <c r="Y5532" s="50">
        <v>45382</v>
      </c>
    </row>
    <row r="5533" s="5" customFormat="1" customHeight="1" spans="1:25">
      <c r="A5533" s="24" t="s">
        <v>444</v>
      </c>
      <c r="B5533" s="24" t="s">
        <v>6300</v>
      </c>
      <c r="C5533" s="24" t="s">
        <v>3237</v>
      </c>
      <c r="D5533" s="22" t="s">
        <v>6301</v>
      </c>
      <c r="E5533" s="23" t="s">
        <v>6936</v>
      </c>
      <c r="F5533" s="24" t="s">
        <v>6937</v>
      </c>
      <c r="G5533" s="24" t="s">
        <v>88</v>
      </c>
      <c r="H5533" s="25" t="s">
        <v>7021</v>
      </c>
      <c r="I5533" s="46" t="e">
        <f>VLOOKUP(H5533,'合同高级查询数据-4月返'!A:A,1,FALSE)</f>
        <v>#N/A</v>
      </c>
      <c r="J5533" s="47" t="s">
        <v>3488</v>
      </c>
      <c r="K5533" s="22" t="s">
        <v>514</v>
      </c>
      <c r="L5533" s="109"/>
      <c r="M5533" s="49" t="s">
        <v>6939</v>
      </c>
      <c r="N5533" s="50">
        <v>44081</v>
      </c>
      <c r="O5533" s="22" t="s">
        <v>503</v>
      </c>
      <c r="P5533" s="52">
        <v>5950</v>
      </c>
      <c r="Q5533" s="70">
        <v>2</v>
      </c>
      <c r="R5533" s="52">
        <f t="shared" si="171"/>
        <v>11900</v>
      </c>
      <c r="S5533" s="47">
        <v>202304</v>
      </c>
      <c r="T5533" s="123" t="s">
        <v>7063</v>
      </c>
      <c r="U5533" s="48"/>
      <c r="V5533" s="48"/>
      <c r="W5533" s="48"/>
      <c r="X5533" s="50">
        <v>43190</v>
      </c>
      <c r="Y5533" s="50">
        <v>45382</v>
      </c>
    </row>
    <row r="5534" s="3" customFormat="1" customHeight="1" spans="1:25">
      <c r="A5534" s="11" t="s">
        <v>444</v>
      </c>
      <c r="B5534" s="11" t="s">
        <v>6300</v>
      </c>
      <c r="C5534" s="11" t="s">
        <v>3237</v>
      </c>
      <c r="D5534" s="35" t="s">
        <v>6301</v>
      </c>
      <c r="E5534" s="13" t="s">
        <v>6936</v>
      </c>
      <c r="F5534" s="11" t="s">
        <v>6937</v>
      </c>
      <c r="G5534" s="11" t="s">
        <v>88</v>
      </c>
      <c r="H5534" s="110" t="s">
        <v>7064</v>
      </c>
      <c r="I5534" s="30" t="e">
        <f>VLOOKUP(H5534,'合同高级查询数据-4月返'!A:A,1,FALSE)</f>
        <v>#N/A</v>
      </c>
      <c r="J5534" s="31" t="s">
        <v>3488</v>
      </c>
      <c r="K5534" s="35" t="s">
        <v>514</v>
      </c>
      <c r="L5534" s="32"/>
      <c r="M5534" s="113" t="s">
        <v>6939</v>
      </c>
      <c r="N5534" s="466" t="s">
        <v>1329</v>
      </c>
      <c r="O5534" s="35" t="s">
        <v>600</v>
      </c>
      <c r="P5534" s="465">
        <v>0</v>
      </c>
      <c r="Q5534" s="459">
        <v>27</v>
      </c>
      <c r="R5534" s="465">
        <f t="shared" si="171"/>
        <v>0</v>
      </c>
      <c r="S5534" s="31">
        <v>202304</v>
      </c>
      <c r="T5534" s="60" t="s">
        <v>7065</v>
      </c>
      <c r="U5534" s="411"/>
      <c r="V5534" s="411"/>
      <c r="W5534" s="411"/>
      <c r="X5534" s="34"/>
      <c r="Y5534" s="34"/>
    </row>
    <row r="5535" s="5" customFormat="1" customHeight="1" spans="1:25">
      <c r="A5535" s="24" t="s">
        <v>444</v>
      </c>
      <c r="B5535" s="24" t="s">
        <v>6300</v>
      </c>
      <c r="C5535" s="24" t="s">
        <v>3237</v>
      </c>
      <c r="D5535" s="22" t="s">
        <v>6301</v>
      </c>
      <c r="E5535" s="23" t="s">
        <v>6936</v>
      </c>
      <c r="F5535" s="24" t="s">
        <v>6937</v>
      </c>
      <c r="G5535" s="24" t="s">
        <v>88</v>
      </c>
      <c r="H5535" s="25" t="s">
        <v>7021</v>
      </c>
      <c r="I5535" s="46" t="e">
        <f>VLOOKUP(H5535,'合同高级查询数据-4月返'!A:A,1,FALSE)</f>
        <v>#N/A</v>
      </c>
      <c r="J5535" s="47" t="s">
        <v>3488</v>
      </c>
      <c r="K5535" s="24" t="s">
        <v>514</v>
      </c>
      <c r="L5535" s="109"/>
      <c r="M5535" s="49" t="s">
        <v>6939</v>
      </c>
      <c r="N5535" s="50">
        <v>44133</v>
      </c>
      <c r="O5535" s="22" t="s">
        <v>507</v>
      </c>
      <c r="P5535" s="52">
        <v>8114</v>
      </c>
      <c r="Q5535" s="70">
        <v>1</v>
      </c>
      <c r="R5535" s="52">
        <f t="shared" si="171"/>
        <v>8114</v>
      </c>
      <c r="S5535" s="47">
        <v>202304</v>
      </c>
      <c r="T5535" s="123" t="s">
        <v>7066</v>
      </c>
      <c r="U5535" s="48"/>
      <c r="V5535" s="48"/>
      <c r="W5535" s="48"/>
      <c r="X5535" s="50">
        <v>43190</v>
      </c>
      <c r="Y5535" s="50">
        <v>45382</v>
      </c>
    </row>
    <row r="5536" s="5" customFormat="1" customHeight="1" spans="1:25">
      <c r="A5536" s="24" t="s">
        <v>444</v>
      </c>
      <c r="B5536" s="24" t="s">
        <v>6300</v>
      </c>
      <c r="C5536" s="24" t="s">
        <v>3237</v>
      </c>
      <c r="D5536" s="22" t="s">
        <v>6301</v>
      </c>
      <c r="E5536" s="23" t="s">
        <v>6936</v>
      </c>
      <c r="F5536" s="24" t="s">
        <v>6937</v>
      </c>
      <c r="G5536" s="24" t="s">
        <v>88</v>
      </c>
      <c r="H5536" s="25" t="s">
        <v>7021</v>
      </c>
      <c r="I5536" s="46" t="e">
        <f>VLOOKUP(H5536,'合同高级查询数据-4月返'!A:A,1,FALSE)</f>
        <v>#N/A</v>
      </c>
      <c r="J5536" s="47" t="s">
        <v>3488</v>
      </c>
      <c r="K5536" s="24" t="s">
        <v>514</v>
      </c>
      <c r="L5536" s="109"/>
      <c r="M5536" s="49" t="s">
        <v>6939</v>
      </c>
      <c r="N5536" s="50">
        <v>44155</v>
      </c>
      <c r="O5536" s="22" t="s">
        <v>507</v>
      </c>
      <c r="P5536" s="52">
        <v>8114</v>
      </c>
      <c r="Q5536" s="70">
        <v>1</v>
      </c>
      <c r="R5536" s="52">
        <f t="shared" si="171"/>
        <v>8114</v>
      </c>
      <c r="S5536" s="47">
        <v>202304</v>
      </c>
      <c r="T5536" s="123" t="s">
        <v>7067</v>
      </c>
      <c r="U5536" s="48"/>
      <c r="V5536" s="48"/>
      <c r="W5536" s="48"/>
      <c r="X5536" s="50">
        <v>43190</v>
      </c>
      <c r="Y5536" s="50">
        <v>45382</v>
      </c>
    </row>
    <row r="5537" s="5" customFormat="1" customHeight="1" spans="1:25">
      <c r="A5537" s="24" t="s">
        <v>444</v>
      </c>
      <c r="B5537" s="24" t="s">
        <v>6300</v>
      </c>
      <c r="C5537" s="24" t="s">
        <v>3237</v>
      </c>
      <c r="D5537" s="22" t="s">
        <v>6301</v>
      </c>
      <c r="E5537" s="23" t="s">
        <v>6936</v>
      </c>
      <c r="F5537" s="24" t="s">
        <v>6937</v>
      </c>
      <c r="G5537" s="24" t="s">
        <v>88</v>
      </c>
      <c r="H5537" s="25" t="s">
        <v>7021</v>
      </c>
      <c r="I5537" s="46" t="e">
        <f>VLOOKUP(H5537,'合同高级查询数据-4月返'!A:A,1,FALSE)</f>
        <v>#N/A</v>
      </c>
      <c r="J5537" s="47" t="s">
        <v>3488</v>
      </c>
      <c r="K5537" s="24" t="s">
        <v>514</v>
      </c>
      <c r="L5537" s="109"/>
      <c r="M5537" s="49" t="s">
        <v>6939</v>
      </c>
      <c r="N5537" s="50">
        <v>44167</v>
      </c>
      <c r="O5537" s="22" t="s">
        <v>503</v>
      </c>
      <c r="P5537" s="52">
        <v>5950</v>
      </c>
      <c r="Q5537" s="70">
        <v>2</v>
      </c>
      <c r="R5537" s="52">
        <f t="shared" si="171"/>
        <v>11900</v>
      </c>
      <c r="S5537" s="47">
        <v>202304</v>
      </c>
      <c r="T5537" s="123" t="s">
        <v>7068</v>
      </c>
      <c r="U5537" s="48"/>
      <c r="V5537" s="48"/>
      <c r="W5537" s="48"/>
      <c r="X5537" s="50">
        <v>43190</v>
      </c>
      <c r="Y5537" s="50">
        <v>45382</v>
      </c>
    </row>
    <row r="5538" s="5" customFormat="1" customHeight="1" spans="1:25">
      <c r="A5538" s="24" t="s">
        <v>444</v>
      </c>
      <c r="B5538" s="24" t="s">
        <v>6300</v>
      </c>
      <c r="C5538" s="24" t="s">
        <v>3237</v>
      </c>
      <c r="D5538" s="22" t="s">
        <v>6301</v>
      </c>
      <c r="E5538" s="23" t="s">
        <v>6936</v>
      </c>
      <c r="F5538" s="24" t="s">
        <v>6937</v>
      </c>
      <c r="G5538" s="24" t="s">
        <v>88</v>
      </c>
      <c r="H5538" s="25" t="s">
        <v>7021</v>
      </c>
      <c r="I5538" s="46" t="e">
        <f>VLOOKUP(H5538,'合同高级查询数据-4月返'!A:A,1,FALSE)</f>
        <v>#N/A</v>
      </c>
      <c r="J5538" s="47" t="s">
        <v>3488</v>
      </c>
      <c r="K5538" s="24" t="s">
        <v>514</v>
      </c>
      <c r="L5538" s="109"/>
      <c r="M5538" s="49" t="s">
        <v>6939</v>
      </c>
      <c r="N5538" s="50">
        <v>44215</v>
      </c>
      <c r="O5538" s="22" t="s">
        <v>503</v>
      </c>
      <c r="P5538" s="52">
        <v>5950</v>
      </c>
      <c r="Q5538" s="70">
        <v>18</v>
      </c>
      <c r="R5538" s="52">
        <f t="shared" si="171"/>
        <v>107100</v>
      </c>
      <c r="S5538" s="47">
        <v>202304</v>
      </c>
      <c r="T5538" s="123" t="s">
        <v>7069</v>
      </c>
      <c r="U5538" s="48"/>
      <c r="V5538" s="48"/>
      <c r="W5538" s="48"/>
      <c r="X5538" s="50">
        <v>43190</v>
      </c>
      <c r="Y5538" s="50">
        <v>45382</v>
      </c>
    </row>
    <row r="5539" s="5" customFormat="1" customHeight="1" spans="1:25">
      <c r="A5539" s="24" t="s">
        <v>444</v>
      </c>
      <c r="B5539" s="24" t="s">
        <v>6300</v>
      </c>
      <c r="C5539" s="24" t="s">
        <v>3237</v>
      </c>
      <c r="D5539" s="22" t="s">
        <v>6301</v>
      </c>
      <c r="E5539" s="23" t="s">
        <v>6936</v>
      </c>
      <c r="F5539" s="24" t="s">
        <v>6937</v>
      </c>
      <c r="G5539" s="24" t="s">
        <v>88</v>
      </c>
      <c r="H5539" s="25" t="s">
        <v>7021</v>
      </c>
      <c r="I5539" s="46" t="e">
        <f>VLOOKUP(H5539,'合同高级查询数据-4月返'!A:A,1,FALSE)</f>
        <v>#N/A</v>
      </c>
      <c r="J5539" s="47" t="s">
        <v>3488</v>
      </c>
      <c r="K5539" s="24" t="s">
        <v>514</v>
      </c>
      <c r="L5539" s="109"/>
      <c r="M5539" s="49" t="s">
        <v>6939</v>
      </c>
      <c r="N5539" s="50">
        <v>44229</v>
      </c>
      <c r="O5539" s="22" t="s">
        <v>503</v>
      </c>
      <c r="P5539" s="52">
        <v>5950</v>
      </c>
      <c r="Q5539" s="70">
        <v>2</v>
      </c>
      <c r="R5539" s="52">
        <f t="shared" si="171"/>
        <v>11900</v>
      </c>
      <c r="S5539" s="47">
        <v>202304</v>
      </c>
      <c r="T5539" s="123" t="s">
        <v>7070</v>
      </c>
      <c r="U5539" s="48"/>
      <c r="V5539" s="48"/>
      <c r="W5539" s="48"/>
      <c r="X5539" s="50">
        <v>43190</v>
      </c>
      <c r="Y5539" s="50">
        <v>45382</v>
      </c>
    </row>
    <row r="5540" s="5" customFormat="1" customHeight="1" spans="1:25">
      <c r="A5540" s="24" t="s">
        <v>444</v>
      </c>
      <c r="B5540" s="24" t="s">
        <v>6300</v>
      </c>
      <c r="C5540" s="24" t="s">
        <v>3237</v>
      </c>
      <c r="D5540" s="22" t="s">
        <v>6301</v>
      </c>
      <c r="E5540" s="23" t="s">
        <v>6936</v>
      </c>
      <c r="F5540" s="24" t="s">
        <v>6937</v>
      </c>
      <c r="G5540" s="24" t="s">
        <v>88</v>
      </c>
      <c r="H5540" s="25" t="s">
        <v>7021</v>
      </c>
      <c r="I5540" s="46" t="e">
        <f>VLOOKUP(H5540,'合同高级查询数据-4月返'!A:A,1,FALSE)</f>
        <v>#N/A</v>
      </c>
      <c r="J5540" s="47" t="s">
        <v>3488</v>
      </c>
      <c r="K5540" s="24" t="s">
        <v>514</v>
      </c>
      <c r="L5540" s="109"/>
      <c r="M5540" s="49" t="s">
        <v>6939</v>
      </c>
      <c r="N5540" s="50">
        <v>44232</v>
      </c>
      <c r="O5540" s="22" t="s">
        <v>503</v>
      </c>
      <c r="P5540" s="52">
        <v>5950</v>
      </c>
      <c r="Q5540" s="70">
        <v>2</v>
      </c>
      <c r="R5540" s="52">
        <f t="shared" si="171"/>
        <v>11900</v>
      </c>
      <c r="S5540" s="47">
        <v>202304</v>
      </c>
      <c r="T5540" s="123" t="s">
        <v>7071</v>
      </c>
      <c r="U5540" s="48"/>
      <c r="V5540" s="48"/>
      <c r="W5540" s="48"/>
      <c r="X5540" s="50">
        <v>43190</v>
      </c>
      <c r="Y5540" s="50">
        <v>45382</v>
      </c>
    </row>
    <row r="5541" s="5" customFormat="1" customHeight="1" spans="1:25">
      <c r="A5541" s="24" t="s">
        <v>444</v>
      </c>
      <c r="B5541" s="24" t="s">
        <v>6300</v>
      </c>
      <c r="C5541" s="24" t="s">
        <v>3237</v>
      </c>
      <c r="D5541" s="22" t="s">
        <v>6301</v>
      </c>
      <c r="E5541" s="23" t="s">
        <v>6936</v>
      </c>
      <c r="F5541" s="24" t="s">
        <v>6937</v>
      </c>
      <c r="G5541" s="24" t="s">
        <v>88</v>
      </c>
      <c r="H5541" s="25" t="s">
        <v>7021</v>
      </c>
      <c r="I5541" s="46" t="e">
        <f>VLOOKUP(H5541,'合同高级查询数据-4月返'!A:A,1,FALSE)</f>
        <v>#N/A</v>
      </c>
      <c r="J5541" s="47" t="s">
        <v>3488</v>
      </c>
      <c r="K5541" s="24" t="s">
        <v>514</v>
      </c>
      <c r="L5541" s="109"/>
      <c r="M5541" s="49" t="s">
        <v>6939</v>
      </c>
      <c r="N5541" s="50">
        <v>44234</v>
      </c>
      <c r="O5541" s="22" t="s">
        <v>503</v>
      </c>
      <c r="P5541" s="52">
        <v>5950</v>
      </c>
      <c r="Q5541" s="70">
        <v>16</v>
      </c>
      <c r="R5541" s="52">
        <f t="shared" si="171"/>
        <v>95200</v>
      </c>
      <c r="S5541" s="47">
        <v>202304</v>
      </c>
      <c r="T5541" s="123" t="s">
        <v>7072</v>
      </c>
      <c r="U5541" s="48"/>
      <c r="V5541" s="48"/>
      <c r="W5541" s="48"/>
      <c r="X5541" s="50">
        <v>43190</v>
      </c>
      <c r="Y5541" s="50">
        <v>45382</v>
      </c>
    </row>
    <row r="5542" s="5" customFormat="1" customHeight="1" spans="1:25">
      <c r="A5542" s="24" t="s">
        <v>444</v>
      </c>
      <c r="B5542" s="24" t="s">
        <v>6300</v>
      </c>
      <c r="C5542" s="24" t="s">
        <v>3237</v>
      </c>
      <c r="D5542" s="22" t="s">
        <v>6301</v>
      </c>
      <c r="E5542" s="23" t="s">
        <v>6936</v>
      </c>
      <c r="F5542" s="24" t="s">
        <v>6937</v>
      </c>
      <c r="G5542" s="24" t="s">
        <v>88</v>
      </c>
      <c r="H5542" s="25" t="s">
        <v>7021</v>
      </c>
      <c r="I5542" s="46" t="e">
        <f>VLOOKUP(H5542,'合同高级查询数据-4月返'!A:A,1,FALSE)</f>
        <v>#N/A</v>
      </c>
      <c r="J5542" s="47" t="s">
        <v>3488</v>
      </c>
      <c r="K5542" s="24" t="s">
        <v>514</v>
      </c>
      <c r="L5542" s="109"/>
      <c r="M5542" s="49" t="s">
        <v>6939</v>
      </c>
      <c r="N5542" s="50">
        <v>44253</v>
      </c>
      <c r="O5542" s="22" t="s">
        <v>503</v>
      </c>
      <c r="P5542" s="52">
        <v>5950</v>
      </c>
      <c r="Q5542" s="70">
        <v>2</v>
      </c>
      <c r="R5542" s="52">
        <f t="shared" si="171"/>
        <v>11900</v>
      </c>
      <c r="S5542" s="47">
        <v>202304</v>
      </c>
      <c r="T5542" s="123" t="s">
        <v>7073</v>
      </c>
      <c r="U5542" s="48"/>
      <c r="V5542" s="48"/>
      <c r="W5542" s="48"/>
      <c r="X5542" s="50">
        <v>43190</v>
      </c>
      <c r="Y5542" s="50">
        <v>45382</v>
      </c>
    </row>
    <row r="5543" s="5" customFormat="1" customHeight="1" spans="1:25">
      <c r="A5543" s="24" t="s">
        <v>444</v>
      </c>
      <c r="B5543" s="24" t="s">
        <v>6300</v>
      </c>
      <c r="C5543" s="24" t="s">
        <v>3237</v>
      </c>
      <c r="D5543" s="22" t="s">
        <v>6301</v>
      </c>
      <c r="E5543" s="23" t="s">
        <v>6936</v>
      </c>
      <c r="F5543" s="24" t="s">
        <v>6937</v>
      </c>
      <c r="G5543" s="24" t="s">
        <v>88</v>
      </c>
      <c r="H5543" s="25" t="s">
        <v>7021</v>
      </c>
      <c r="I5543" s="46" t="e">
        <f>VLOOKUP(H5543,'合同高级查询数据-4月返'!A:A,1,FALSE)</f>
        <v>#N/A</v>
      </c>
      <c r="J5543" s="47" t="s">
        <v>3488</v>
      </c>
      <c r="K5543" s="24" t="s">
        <v>514</v>
      </c>
      <c r="L5543" s="109"/>
      <c r="M5543" s="49" t="s">
        <v>6939</v>
      </c>
      <c r="N5543" s="50">
        <v>44254</v>
      </c>
      <c r="O5543" s="22" t="s">
        <v>503</v>
      </c>
      <c r="P5543" s="52">
        <v>5950</v>
      </c>
      <c r="Q5543" s="70">
        <v>4</v>
      </c>
      <c r="R5543" s="52">
        <f t="shared" si="171"/>
        <v>23800</v>
      </c>
      <c r="S5543" s="47">
        <v>202304</v>
      </c>
      <c r="T5543" s="123" t="s">
        <v>7074</v>
      </c>
      <c r="U5543" s="48"/>
      <c r="V5543" s="48"/>
      <c r="W5543" s="48"/>
      <c r="X5543" s="50">
        <v>43190</v>
      </c>
      <c r="Y5543" s="50">
        <v>45382</v>
      </c>
    </row>
    <row r="5544" s="5" customFormat="1" customHeight="1" spans="1:25">
      <c r="A5544" s="24" t="s">
        <v>444</v>
      </c>
      <c r="B5544" s="24" t="s">
        <v>6300</v>
      </c>
      <c r="C5544" s="24" t="s">
        <v>3237</v>
      </c>
      <c r="D5544" s="22" t="s">
        <v>6301</v>
      </c>
      <c r="E5544" s="23" t="s">
        <v>6936</v>
      </c>
      <c r="F5544" s="24" t="s">
        <v>6937</v>
      </c>
      <c r="G5544" s="24" t="s">
        <v>88</v>
      </c>
      <c r="H5544" s="25" t="s">
        <v>7021</v>
      </c>
      <c r="I5544" s="46" t="e">
        <f>VLOOKUP(H5544,'合同高级查询数据-4月返'!A:A,1,FALSE)</f>
        <v>#N/A</v>
      </c>
      <c r="J5544" s="47" t="s">
        <v>3488</v>
      </c>
      <c r="K5544" s="24" t="s">
        <v>514</v>
      </c>
      <c r="L5544" s="109"/>
      <c r="M5544" s="49" t="s">
        <v>6939</v>
      </c>
      <c r="N5544" s="50">
        <v>44257</v>
      </c>
      <c r="O5544" s="22" t="s">
        <v>503</v>
      </c>
      <c r="P5544" s="52">
        <v>5950</v>
      </c>
      <c r="Q5544" s="70">
        <v>2</v>
      </c>
      <c r="R5544" s="52">
        <f t="shared" si="171"/>
        <v>11900</v>
      </c>
      <c r="S5544" s="47">
        <v>202304</v>
      </c>
      <c r="T5544" s="123" t="s">
        <v>7075</v>
      </c>
      <c r="U5544" s="48"/>
      <c r="V5544" s="48"/>
      <c r="W5544" s="48"/>
      <c r="X5544" s="50">
        <v>43190</v>
      </c>
      <c r="Y5544" s="50">
        <v>45382</v>
      </c>
    </row>
    <row r="5545" s="5" customFormat="1" customHeight="1" spans="1:25">
      <c r="A5545" s="24" t="s">
        <v>444</v>
      </c>
      <c r="B5545" s="24" t="s">
        <v>6300</v>
      </c>
      <c r="C5545" s="24" t="s">
        <v>3237</v>
      </c>
      <c r="D5545" s="22" t="s">
        <v>6301</v>
      </c>
      <c r="E5545" s="23" t="s">
        <v>6936</v>
      </c>
      <c r="F5545" s="24" t="s">
        <v>6937</v>
      </c>
      <c r="G5545" s="24" t="s">
        <v>88</v>
      </c>
      <c r="H5545" s="25" t="s">
        <v>7021</v>
      </c>
      <c r="I5545" s="46" t="e">
        <f>VLOOKUP(H5545,'合同高级查询数据-4月返'!A:A,1,FALSE)</f>
        <v>#N/A</v>
      </c>
      <c r="J5545" s="47" t="s">
        <v>3488</v>
      </c>
      <c r="K5545" s="24" t="s">
        <v>514</v>
      </c>
      <c r="L5545" s="109"/>
      <c r="M5545" s="49" t="s">
        <v>6939</v>
      </c>
      <c r="N5545" s="50">
        <v>44267</v>
      </c>
      <c r="O5545" s="22" t="s">
        <v>503</v>
      </c>
      <c r="P5545" s="52">
        <v>5950</v>
      </c>
      <c r="Q5545" s="70">
        <v>5</v>
      </c>
      <c r="R5545" s="52">
        <f t="shared" si="171"/>
        <v>29750</v>
      </c>
      <c r="S5545" s="47">
        <v>202304</v>
      </c>
      <c r="T5545" s="123" t="s">
        <v>7076</v>
      </c>
      <c r="U5545" s="48"/>
      <c r="V5545" s="48"/>
      <c r="W5545" s="48"/>
      <c r="X5545" s="50">
        <v>43190</v>
      </c>
      <c r="Y5545" s="50">
        <v>45382</v>
      </c>
    </row>
    <row r="5546" s="5" customFormat="1" customHeight="1" spans="1:25">
      <c r="A5546" s="24" t="s">
        <v>444</v>
      </c>
      <c r="B5546" s="24" t="s">
        <v>6300</v>
      </c>
      <c r="C5546" s="24" t="s">
        <v>3237</v>
      </c>
      <c r="D5546" s="22" t="s">
        <v>6301</v>
      </c>
      <c r="E5546" s="23" t="s">
        <v>6936</v>
      </c>
      <c r="F5546" s="24" t="s">
        <v>6937</v>
      </c>
      <c r="G5546" s="24" t="s">
        <v>88</v>
      </c>
      <c r="H5546" s="25" t="s">
        <v>7021</v>
      </c>
      <c r="I5546" s="46" t="e">
        <f>VLOOKUP(H5546,'合同高级查询数据-4月返'!A:A,1,FALSE)</f>
        <v>#N/A</v>
      </c>
      <c r="J5546" s="47" t="s">
        <v>3488</v>
      </c>
      <c r="K5546" s="24" t="s">
        <v>514</v>
      </c>
      <c r="L5546" s="109"/>
      <c r="M5546" s="49" t="s">
        <v>6939</v>
      </c>
      <c r="N5546" s="50">
        <v>44270</v>
      </c>
      <c r="O5546" s="22" t="s">
        <v>503</v>
      </c>
      <c r="P5546" s="52">
        <v>5950</v>
      </c>
      <c r="Q5546" s="70">
        <v>1</v>
      </c>
      <c r="R5546" s="52">
        <f t="shared" si="171"/>
        <v>5950</v>
      </c>
      <c r="S5546" s="47">
        <v>202304</v>
      </c>
      <c r="T5546" s="123" t="s">
        <v>7077</v>
      </c>
      <c r="U5546" s="48"/>
      <c r="V5546" s="48"/>
      <c r="W5546" s="48"/>
      <c r="X5546" s="50">
        <v>43190</v>
      </c>
      <c r="Y5546" s="50">
        <v>45382</v>
      </c>
    </row>
    <row r="5547" s="5" customFormat="1" customHeight="1" spans="1:25">
      <c r="A5547" s="24" t="s">
        <v>444</v>
      </c>
      <c r="B5547" s="24" t="s">
        <v>6300</v>
      </c>
      <c r="C5547" s="24" t="s">
        <v>3237</v>
      </c>
      <c r="D5547" s="22" t="s">
        <v>6301</v>
      </c>
      <c r="E5547" s="23" t="s">
        <v>6936</v>
      </c>
      <c r="F5547" s="24" t="s">
        <v>6937</v>
      </c>
      <c r="G5547" s="24" t="s">
        <v>88</v>
      </c>
      <c r="H5547" s="25" t="s">
        <v>7021</v>
      </c>
      <c r="I5547" s="46" t="e">
        <f>VLOOKUP(H5547,'合同高级查询数据-4月返'!A:A,1,FALSE)</f>
        <v>#N/A</v>
      </c>
      <c r="J5547" s="47" t="s">
        <v>3488</v>
      </c>
      <c r="K5547" s="24" t="s">
        <v>514</v>
      </c>
      <c r="L5547" s="109"/>
      <c r="M5547" s="49" t="s">
        <v>6939</v>
      </c>
      <c r="N5547" s="50">
        <v>44272</v>
      </c>
      <c r="O5547" s="22" t="s">
        <v>503</v>
      </c>
      <c r="P5547" s="52">
        <v>5950</v>
      </c>
      <c r="Q5547" s="70">
        <v>2</v>
      </c>
      <c r="R5547" s="52">
        <f t="shared" si="171"/>
        <v>11900</v>
      </c>
      <c r="S5547" s="47">
        <v>202304</v>
      </c>
      <c r="T5547" s="123" t="s">
        <v>7078</v>
      </c>
      <c r="U5547" s="48"/>
      <c r="V5547" s="48"/>
      <c r="W5547" s="48"/>
      <c r="X5547" s="50">
        <v>43190</v>
      </c>
      <c r="Y5547" s="50">
        <v>45382</v>
      </c>
    </row>
    <row r="5548" s="5" customFormat="1" customHeight="1" spans="1:25">
      <c r="A5548" s="24" t="s">
        <v>444</v>
      </c>
      <c r="B5548" s="24" t="s">
        <v>6300</v>
      </c>
      <c r="C5548" s="24" t="s">
        <v>3237</v>
      </c>
      <c r="D5548" s="22" t="s">
        <v>6301</v>
      </c>
      <c r="E5548" s="23" t="s">
        <v>6936</v>
      </c>
      <c r="F5548" s="24" t="s">
        <v>6937</v>
      </c>
      <c r="G5548" s="24" t="s">
        <v>88</v>
      </c>
      <c r="H5548" s="25" t="s">
        <v>7021</v>
      </c>
      <c r="I5548" s="46" t="e">
        <f>VLOOKUP(H5548,'合同高级查询数据-4月返'!A:A,1,FALSE)</f>
        <v>#N/A</v>
      </c>
      <c r="J5548" s="47" t="s">
        <v>3488</v>
      </c>
      <c r="K5548" s="24" t="s">
        <v>514</v>
      </c>
      <c r="L5548" s="109"/>
      <c r="M5548" s="49" t="s">
        <v>6939</v>
      </c>
      <c r="N5548" s="50">
        <v>44288</v>
      </c>
      <c r="O5548" s="22" t="s">
        <v>503</v>
      </c>
      <c r="P5548" s="52">
        <v>5950</v>
      </c>
      <c r="Q5548" s="70">
        <v>3</v>
      </c>
      <c r="R5548" s="52">
        <f t="shared" si="171"/>
        <v>17850</v>
      </c>
      <c r="S5548" s="47">
        <v>202304</v>
      </c>
      <c r="T5548" s="123" t="s">
        <v>7079</v>
      </c>
      <c r="U5548" s="48"/>
      <c r="V5548" s="48"/>
      <c r="W5548" s="48"/>
      <c r="X5548" s="50">
        <v>43190</v>
      </c>
      <c r="Y5548" s="50">
        <v>45382</v>
      </c>
    </row>
    <row r="5549" s="5" customFormat="1" customHeight="1" spans="1:25">
      <c r="A5549" s="24" t="s">
        <v>444</v>
      </c>
      <c r="B5549" s="24" t="s">
        <v>6300</v>
      </c>
      <c r="C5549" s="24" t="s">
        <v>3237</v>
      </c>
      <c r="D5549" s="22" t="s">
        <v>6301</v>
      </c>
      <c r="E5549" s="23" t="s">
        <v>6936</v>
      </c>
      <c r="F5549" s="24" t="s">
        <v>6937</v>
      </c>
      <c r="G5549" s="24" t="s">
        <v>88</v>
      </c>
      <c r="H5549" s="25" t="s">
        <v>7021</v>
      </c>
      <c r="I5549" s="46" t="e">
        <f>VLOOKUP(H5549,'合同高级查询数据-4月返'!A:A,1,FALSE)</f>
        <v>#N/A</v>
      </c>
      <c r="J5549" s="47" t="s">
        <v>3488</v>
      </c>
      <c r="K5549" s="24" t="s">
        <v>514</v>
      </c>
      <c r="L5549" s="109"/>
      <c r="M5549" s="49" t="s">
        <v>6939</v>
      </c>
      <c r="N5549" s="50">
        <v>44308</v>
      </c>
      <c r="O5549" s="22" t="s">
        <v>525</v>
      </c>
      <c r="P5549" s="52">
        <v>5950</v>
      </c>
      <c r="Q5549" s="70">
        <v>-1</v>
      </c>
      <c r="R5549" s="52">
        <f t="shared" si="171"/>
        <v>-5950</v>
      </c>
      <c r="S5549" s="47">
        <v>202304</v>
      </c>
      <c r="T5549" s="123" t="s">
        <v>7080</v>
      </c>
      <c r="U5549" s="48"/>
      <c r="V5549" s="48"/>
      <c r="W5549" s="48"/>
      <c r="X5549" s="50">
        <v>43190</v>
      </c>
      <c r="Y5549" s="50">
        <v>45382</v>
      </c>
    </row>
    <row r="5550" s="5" customFormat="1" customHeight="1" spans="1:25">
      <c r="A5550" s="24" t="s">
        <v>444</v>
      </c>
      <c r="B5550" s="24" t="s">
        <v>6300</v>
      </c>
      <c r="C5550" s="24" t="s">
        <v>3237</v>
      </c>
      <c r="D5550" s="22" t="s">
        <v>6301</v>
      </c>
      <c r="E5550" s="23" t="s">
        <v>6936</v>
      </c>
      <c r="F5550" s="24" t="s">
        <v>6937</v>
      </c>
      <c r="G5550" s="24" t="s">
        <v>88</v>
      </c>
      <c r="H5550" s="25" t="s">
        <v>7021</v>
      </c>
      <c r="I5550" s="46" t="e">
        <f>VLOOKUP(H5550,'合同高级查询数据-4月返'!A:A,1,FALSE)</f>
        <v>#N/A</v>
      </c>
      <c r="J5550" s="47" t="s">
        <v>3488</v>
      </c>
      <c r="K5550" s="24" t="s">
        <v>514</v>
      </c>
      <c r="L5550" s="109"/>
      <c r="M5550" s="49" t="s">
        <v>6939</v>
      </c>
      <c r="N5550" s="50">
        <v>44309</v>
      </c>
      <c r="O5550" s="22" t="s">
        <v>503</v>
      </c>
      <c r="P5550" s="52">
        <v>5950</v>
      </c>
      <c r="Q5550" s="70">
        <v>2</v>
      </c>
      <c r="R5550" s="52">
        <f t="shared" si="171"/>
        <v>11900</v>
      </c>
      <c r="S5550" s="47">
        <v>202304</v>
      </c>
      <c r="T5550" s="123" t="s">
        <v>7081</v>
      </c>
      <c r="U5550" s="48"/>
      <c r="V5550" s="48"/>
      <c r="W5550" s="48"/>
      <c r="X5550" s="50">
        <v>43190</v>
      </c>
      <c r="Y5550" s="50">
        <v>45382</v>
      </c>
    </row>
    <row r="5551" s="5" customFormat="1" customHeight="1" spans="1:25">
      <c r="A5551" s="24" t="s">
        <v>444</v>
      </c>
      <c r="B5551" s="24" t="s">
        <v>6300</v>
      </c>
      <c r="C5551" s="24" t="s">
        <v>3237</v>
      </c>
      <c r="D5551" s="22" t="s">
        <v>6301</v>
      </c>
      <c r="E5551" s="23" t="s">
        <v>6936</v>
      </c>
      <c r="F5551" s="24" t="s">
        <v>6937</v>
      </c>
      <c r="G5551" s="24" t="s">
        <v>88</v>
      </c>
      <c r="H5551" s="25" t="s">
        <v>7021</v>
      </c>
      <c r="I5551" s="46" t="e">
        <f>VLOOKUP(H5551,'合同高级查询数据-4月返'!A:A,1,FALSE)</f>
        <v>#N/A</v>
      </c>
      <c r="J5551" s="47" t="s">
        <v>3488</v>
      </c>
      <c r="K5551" s="24" t="s">
        <v>514</v>
      </c>
      <c r="L5551" s="109"/>
      <c r="M5551" s="49" t="s">
        <v>6939</v>
      </c>
      <c r="N5551" s="50">
        <v>44315</v>
      </c>
      <c r="O5551" s="22" t="s">
        <v>503</v>
      </c>
      <c r="P5551" s="52">
        <v>5950</v>
      </c>
      <c r="Q5551" s="70">
        <v>20</v>
      </c>
      <c r="R5551" s="52">
        <f t="shared" si="171"/>
        <v>119000</v>
      </c>
      <c r="S5551" s="47">
        <v>202304</v>
      </c>
      <c r="T5551" s="123" t="s">
        <v>7082</v>
      </c>
      <c r="U5551" s="48"/>
      <c r="V5551" s="48"/>
      <c r="W5551" s="48"/>
      <c r="X5551" s="50">
        <v>43190</v>
      </c>
      <c r="Y5551" s="50">
        <v>45382</v>
      </c>
    </row>
    <row r="5552" s="5" customFormat="1" customHeight="1" spans="1:25">
      <c r="A5552" s="24" t="s">
        <v>444</v>
      </c>
      <c r="B5552" s="24" t="s">
        <v>6300</v>
      </c>
      <c r="C5552" s="24" t="s">
        <v>3237</v>
      </c>
      <c r="D5552" s="22" t="s">
        <v>6301</v>
      </c>
      <c r="E5552" s="23" t="s">
        <v>6936</v>
      </c>
      <c r="F5552" s="24" t="s">
        <v>6937</v>
      </c>
      <c r="G5552" s="24" t="s">
        <v>88</v>
      </c>
      <c r="H5552" s="25" t="s">
        <v>7021</v>
      </c>
      <c r="I5552" s="46" t="e">
        <f>VLOOKUP(H5552,'合同高级查询数据-4月返'!A:A,1,FALSE)</f>
        <v>#N/A</v>
      </c>
      <c r="J5552" s="47" t="s">
        <v>3488</v>
      </c>
      <c r="K5552" s="24" t="s">
        <v>514</v>
      </c>
      <c r="L5552" s="109"/>
      <c r="M5552" s="49" t="s">
        <v>6939</v>
      </c>
      <c r="N5552" s="50">
        <v>44327</v>
      </c>
      <c r="O5552" s="22" t="s">
        <v>503</v>
      </c>
      <c r="P5552" s="52">
        <v>5950</v>
      </c>
      <c r="Q5552" s="70">
        <v>-2</v>
      </c>
      <c r="R5552" s="52">
        <f t="shared" si="171"/>
        <v>-11900</v>
      </c>
      <c r="S5552" s="47">
        <v>202304</v>
      </c>
      <c r="T5552" s="123" t="s">
        <v>7083</v>
      </c>
      <c r="U5552" s="48"/>
      <c r="V5552" s="48"/>
      <c r="W5552" s="48"/>
      <c r="X5552" s="50">
        <v>43190</v>
      </c>
      <c r="Y5552" s="50">
        <v>45382</v>
      </c>
    </row>
    <row r="5553" s="5" customFormat="1" customHeight="1" spans="1:25">
      <c r="A5553" s="24" t="s">
        <v>444</v>
      </c>
      <c r="B5553" s="24" t="s">
        <v>6300</v>
      </c>
      <c r="C5553" s="24" t="s">
        <v>3237</v>
      </c>
      <c r="D5553" s="22" t="s">
        <v>6301</v>
      </c>
      <c r="E5553" s="23" t="s">
        <v>6936</v>
      </c>
      <c r="F5553" s="24" t="s">
        <v>6937</v>
      </c>
      <c r="G5553" s="24" t="s">
        <v>88</v>
      </c>
      <c r="H5553" s="25" t="s">
        <v>7021</v>
      </c>
      <c r="I5553" s="46" t="e">
        <f>VLOOKUP(H5553,'合同高级查询数据-4月返'!A:A,1,FALSE)</f>
        <v>#N/A</v>
      </c>
      <c r="J5553" s="47" t="s">
        <v>3488</v>
      </c>
      <c r="K5553" s="24" t="s">
        <v>514</v>
      </c>
      <c r="L5553" s="109"/>
      <c r="M5553" s="49" t="s">
        <v>7052</v>
      </c>
      <c r="N5553" s="50">
        <v>44334</v>
      </c>
      <c r="O5553" s="22" t="s">
        <v>503</v>
      </c>
      <c r="P5553" s="52">
        <v>5950</v>
      </c>
      <c r="Q5553" s="70">
        <v>2</v>
      </c>
      <c r="R5553" s="52">
        <f t="shared" si="171"/>
        <v>11900</v>
      </c>
      <c r="S5553" s="47">
        <v>202304</v>
      </c>
      <c r="T5553" s="123" t="s">
        <v>7084</v>
      </c>
      <c r="U5553" s="48"/>
      <c r="V5553" s="48"/>
      <c r="W5553" s="48"/>
      <c r="X5553" s="50">
        <v>43190</v>
      </c>
      <c r="Y5553" s="50">
        <v>45382</v>
      </c>
    </row>
    <row r="5554" s="5" customFormat="1" customHeight="1" spans="1:25">
      <c r="A5554" s="24" t="s">
        <v>444</v>
      </c>
      <c r="B5554" s="24" t="s">
        <v>6300</v>
      </c>
      <c r="C5554" s="24" t="s">
        <v>3237</v>
      </c>
      <c r="D5554" s="22" t="s">
        <v>6301</v>
      </c>
      <c r="E5554" s="23" t="s">
        <v>6936</v>
      </c>
      <c r="F5554" s="24" t="s">
        <v>6937</v>
      </c>
      <c r="G5554" s="24" t="s">
        <v>88</v>
      </c>
      <c r="H5554" s="25" t="s">
        <v>7021</v>
      </c>
      <c r="I5554" s="46" t="e">
        <f>VLOOKUP(H5554,'合同高级查询数据-4月返'!A:A,1,FALSE)</f>
        <v>#N/A</v>
      </c>
      <c r="J5554" s="47" t="s">
        <v>3488</v>
      </c>
      <c r="K5554" s="24" t="s">
        <v>514</v>
      </c>
      <c r="L5554" s="109"/>
      <c r="M5554" s="49" t="s">
        <v>6939</v>
      </c>
      <c r="N5554" s="50">
        <v>44336</v>
      </c>
      <c r="O5554" s="22" t="s">
        <v>503</v>
      </c>
      <c r="P5554" s="52">
        <v>5950</v>
      </c>
      <c r="Q5554" s="70">
        <v>6</v>
      </c>
      <c r="R5554" s="52">
        <f t="shared" si="171"/>
        <v>35700</v>
      </c>
      <c r="S5554" s="47">
        <v>202304</v>
      </c>
      <c r="T5554" s="123" t="s">
        <v>7085</v>
      </c>
      <c r="U5554" s="48"/>
      <c r="V5554" s="48"/>
      <c r="W5554" s="48"/>
      <c r="X5554" s="50">
        <v>43190</v>
      </c>
      <c r="Y5554" s="50">
        <v>45382</v>
      </c>
    </row>
    <row r="5555" s="5" customFormat="1" customHeight="1" spans="1:25">
      <c r="A5555" s="24" t="s">
        <v>444</v>
      </c>
      <c r="B5555" s="24" t="s">
        <v>6300</v>
      </c>
      <c r="C5555" s="24" t="s">
        <v>3237</v>
      </c>
      <c r="D5555" s="22" t="s">
        <v>6301</v>
      </c>
      <c r="E5555" s="23" t="s">
        <v>6936</v>
      </c>
      <c r="F5555" s="24" t="s">
        <v>6937</v>
      </c>
      <c r="G5555" s="24" t="s">
        <v>88</v>
      </c>
      <c r="H5555" s="25" t="s">
        <v>7021</v>
      </c>
      <c r="I5555" s="46" t="e">
        <f>VLOOKUP(H5555,'合同高级查询数据-4月返'!A:A,1,FALSE)</f>
        <v>#N/A</v>
      </c>
      <c r="J5555" s="47" t="s">
        <v>3488</v>
      </c>
      <c r="K5555" s="24" t="s">
        <v>514</v>
      </c>
      <c r="L5555" s="109"/>
      <c r="M5555" s="49" t="s">
        <v>6939</v>
      </c>
      <c r="N5555" s="50">
        <v>44351</v>
      </c>
      <c r="O5555" s="493" t="s">
        <v>503</v>
      </c>
      <c r="P5555" s="52">
        <v>5950</v>
      </c>
      <c r="Q5555" s="70">
        <v>14</v>
      </c>
      <c r="R5555" s="52">
        <f t="shared" si="171"/>
        <v>83300</v>
      </c>
      <c r="S5555" s="47">
        <v>202304</v>
      </c>
      <c r="T5555" s="123" t="s">
        <v>7086</v>
      </c>
      <c r="U5555" s="48"/>
      <c r="V5555" s="48"/>
      <c r="W5555" s="48"/>
      <c r="X5555" s="50">
        <v>43190</v>
      </c>
      <c r="Y5555" s="50">
        <v>45382</v>
      </c>
    </row>
    <row r="5556" s="5" customFormat="1" customHeight="1" spans="1:25">
      <c r="A5556" s="24" t="s">
        <v>444</v>
      </c>
      <c r="B5556" s="24" t="s">
        <v>6300</v>
      </c>
      <c r="C5556" s="24" t="s">
        <v>3237</v>
      </c>
      <c r="D5556" s="22" t="s">
        <v>6301</v>
      </c>
      <c r="E5556" s="23" t="s">
        <v>6936</v>
      </c>
      <c r="F5556" s="24" t="s">
        <v>6937</v>
      </c>
      <c r="G5556" s="24" t="s">
        <v>88</v>
      </c>
      <c r="H5556" s="25" t="s">
        <v>7021</v>
      </c>
      <c r="I5556" s="46" t="e">
        <f>VLOOKUP(H5556,'合同高级查询数据-4月返'!A:A,1,FALSE)</f>
        <v>#N/A</v>
      </c>
      <c r="J5556" s="47" t="s">
        <v>3488</v>
      </c>
      <c r="K5556" s="24" t="s">
        <v>514</v>
      </c>
      <c r="L5556" s="109"/>
      <c r="M5556" s="49" t="s">
        <v>6939</v>
      </c>
      <c r="N5556" s="50">
        <v>44357</v>
      </c>
      <c r="O5556" s="22" t="s">
        <v>503</v>
      </c>
      <c r="P5556" s="52">
        <v>5950</v>
      </c>
      <c r="Q5556" s="70">
        <v>10</v>
      </c>
      <c r="R5556" s="52">
        <f t="shared" si="171"/>
        <v>59500</v>
      </c>
      <c r="S5556" s="47">
        <v>202304</v>
      </c>
      <c r="T5556" s="123" t="s">
        <v>7087</v>
      </c>
      <c r="U5556" s="48"/>
      <c r="V5556" s="48"/>
      <c r="W5556" s="48"/>
      <c r="X5556" s="50">
        <v>43190</v>
      </c>
      <c r="Y5556" s="50">
        <v>45382</v>
      </c>
    </row>
    <row r="5557" s="5" customFormat="1" customHeight="1" spans="1:25">
      <c r="A5557" s="24" t="s">
        <v>444</v>
      </c>
      <c r="B5557" s="24" t="s">
        <v>6300</v>
      </c>
      <c r="C5557" s="24" t="s">
        <v>3237</v>
      </c>
      <c r="D5557" s="22" t="s">
        <v>6301</v>
      </c>
      <c r="E5557" s="23" t="s">
        <v>6936</v>
      </c>
      <c r="F5557" s="24" t="s">
        <v>6937</v>
      </c>
      <c r="G5557" s="24" t="s">
        <v>88</v>
      </c>
      <c r="H5557" s="25" t="s">
        <v>7021</v>
      </c>
      <c r="I5557" s="46" t="e">
        <f>VLOOKUP(H5557,'合同高级查询数据-4月返'!A:A,1,FALSE)</f>
        <v>#N/A</v>
      </c>
      <c r="J5557" s="47" t="s">
        <v>3488</v>
      </c>
      <c r="K5557" s="24" t="s">
        <v>514</v>
      </c>
      <c r="L5557" s="109"/>
      <c r="M5557" s="49" t="s">
        <v>6939</v>
      </c>
      <c r="N5557" s="50">
        <v>44358</v>
      </c>
      <c r="O5557" s="22" t="s">
        <v>503</v>
      </c>
      <c r="P5557" s="52">
        <v>5950</v>
      </c>
      <c r="Q5557" s="70">
        <v>4</v>
      </c>
      <c r="R5557" s="52">
        <f t="shared" si="171"/>
        <v>23800</v>
      </c>
      <c r="S5557" s="47">
        <v>202304</v>
      </c>
      <c r="T5557" s="123" t="s">
        <v>7088</v>
      </c>
      <c r="U5557" s="48"/>
      <c r="V5557" s="48"/>
      <c r="W5557" s="48"/>
      <c r="X5557" s="50">
        <v>43190</v>
      </c>
      <c r="Y5557" s="50">
        <v>45382</v>
      </c>
    </row>
    <row r="5558" s="5" customFormat="1" customHeight="1" spans="1:25">
      <c r="A5558" s="24" t="s">
        <v>444</v>
      </c>
      <c r="B5558" s="24" t="s">
        <v>6300</v>
      </c>
      <c r="C5558" s="24" t="s">
        <v>3237</v>
      </c>
      <c r="D5558" s="22" t="s">
        <v>6301</v>
      </c>
      <c r="E5558" s="23" t="s">
        <v>6936</v>
      </c>
      <c r="F5558" s="24" t="s">
        <v>6937</v>
      </c>
      <c r="G5558" s="24" t="s">
        <v>88</v>
      </c>
      <c r="H5558" s="25" t="s">
        <v>7021</v>
      </c>
      <c r="I5558" s="46" t="e">
        <f>VLOOKUP(H5558,'合同高级查询数据-4月返'!A:A,1,FALSE)</f>
        <v>#N/A</v>
      </c>
      <c r="J5558" s="47" t="s">
        <v>3488</v>
      </c>
      <c r="K5558" s="24" t="s">
        <v>514</v>
      </c>
      <c r="L5558" s="109"/>
      <c r="M5558" s="49" t="s">
        <v>6939</v>
      </c>
      <c r="N5558" s="50">
        <v>44363</v>
      </c>
      <c r="O5558" s="22" t="s">
        <v>503</v>
      </c>
      <c r="P5558" s="52">
        <v>5950</v>
      </c>
      <c r="Q5558" s="70">
        <v>2</v>
      </c>
      <c r="R5558" s="52">
        <f t="shared" si="171"/>
        <v>11900</v>
      </c>
      <c r="S5558" s="47">
        <v>202304</v>
      </c>
      <c r="T5558" s="123" t="s">
        <v>7089</v>
      </c>
      <c r="U5558" s="48"/>
      <c r="V5558" s="48"/>
      <c r="W5558" s="48"/>
      <c r="X5558" s="50">
        <v>43190</v>
      </c>
      <c r="Y5558" s="50">
        <v>45382</v>
      </c>
    </row>
    <row r="5559" s="5" customFormat="1" customHeight="1" spans="1:25">
      <c r="A5559" s="24" t="s">
        <v>444</v>
      </c>
      <c r="B5559" s="24" t="s">
        <v>6300</v>
      </c>
      <c r="C5559" s="24" t="s">
        <v>3237</v>
      </c>
      <c r="D5559" s="22" t="s">
        <v>6301</v>
      </c>
      <c r="E5559" s="23" t="s">
        <v>6936</v>
      </c>
      <c r="F5559" s="24" t="s">
        <v>6937</v>
      </c>
      <c r="G5559" s="24" t="s">
        <v>88</v>
      </c>
      <c r="H5559" s="25" t="s">
        <v>7021</v>
      </c>
      <c r="I5559" s="46" t="e">
        <f>VLOOKUP(H5559,'合同高级查询数据-4月返'!A:A,1,FALSE)</f>
        <v>#N/A</v>
      </c>
      <c r="J5559" s="47" t="s">
        <v>3488</v>
      </c>
      <c r="K5559" s="24" t="s">
        <v>514</v>
      </c>
      <c r="L5559" s="109"/>
      <c r="M5559" s="49" t="s">
        <v>6939</v>
      </c>
      <c r="N5559" s="50">
        <v>44364</v>
      </c>
      <c r="O5559" s="22" t="s">
        <v>503</v>
      </c>
      <c r="P5559" s="52">
        <v>5950</v>
      </c>
      <c r="Q5559" s="70">
        <v>2</v>
      </c>
      <c r="R5559" s="52">
        <f t="shared" si="171"/>
        <v>11900</v>
      </c>
      <c r="S5559" s="47">
        <v>202304</v>
      </c>
      <c r="T5559" s="123" t="s">
        <v>7090</v>
      </c>
      <c r="U5559" s="48"/>
      <c r="V5559" s="48"/>
      <c r="W5559" s="48"/>
      <c r="X5559" s="50">
        <v>43190</v>
      </c>
      <c r="Y5559" s="50">
        <v>45382</v>
      </c>
    </row>
    <row r="5560" s="5" customFormat="1" customHeight="1" spans="1:25">
      <c r="A5560" s="24" t="s">
        <v>444</v>
      </c>
      <c r="B5560" s="24" t="s">
        <v>6300</v>
      </c>
      <c r="C5560" s="24" t="s">
        <v>3237</v>
      </c>
      <c r="D5560" s="22" t="s">
        <v>6301</v>
      </c>
      <c r="E5560" s="23" t="s">
        <v>6936</v>
      </c>
      <c r="F5560" s="24" t="s">
        <v>6937</v>
      </c>
      <c r="G5560" s="24" t="s">
        <v>88</v>
      </c>
      <c r="H5560" s="25" t="s">
        <v>7021</v>
      </c>
      <c r="I5560" s="46" t="e">
        <f>VLOOKUP(H5560,'合同高级查询数据-4月返'!A:A,1,FALSE)</f>
        <v>#N/A</v>
      </c>
      <c r="J5560" s="47" t="s">
        <v>3488</v>
      </c>
      <c r="K5560" s="24" t="s">
        <v>514</v>
      </c>
      <c r="L5560" s="109"/>
      <c r="M5560" s="49" t="s">
        <v>6939</v>
      </c>
      <c r="N5560" s="50">
        <v>44371</v>
      </c>
      <c r="O5560" s="22" t="s">
        <v>503</v>
      </c>
      <c r="P5560" s="52">
        <v>5950</v>
      </c>
      <c r="Q5560" s="70">
        <v>7</v>
      </c>
      <c r="R5560" s="52">
        <f t="shared" si="171"/>
        <v>41650</v>
      </c>
      <c r="S5560" s="47">
        <v>202304</v>
      </c>
      <c r="T5560" s="123" t="s">
        <v>7091</v>
      </c>
      <c r="U5560" s="48"/>
      <c r="V5560" s="48"/>
      <c r="W5560" s="48"/>
      <c r="X5560" s="50">
        <v>43190</v>
      </c>
      <c r="Y5560" s="50">
        <v>45382</v>
      </c>
    </row>
    <row r="5561" s="5" customFormat="1" customHeight="1" spans="1:25">
      <c r="A5561" s="24" t="s">
        <v>444</v>
      </c>
      <c r="B5561" s="24" t="s">
        <v>6300</v>
      </c>
      <c r="C5561" s="24" t="s">
        <v>3237</v>
      </c>
      <c r="D5561" s="22" t="s">
        <v>6301</v>
      </c>
      <c r="E5561" s="23" t="s">
        <v>6936</v>
      </c>
      <c r="F5561" s="24" t="s">
        <v>6937</v>
      </c>
      <c r="G5561" s="24" t="s">
        <v>88</v>
      </c>
      <c r="H5561" s="25" t="s">
        <v>7021</v>
      </c>
      <c r="I5561" s="46" t="e">
        <f>VLOOKUP(H5561,'合同高级查询数据-4月返'!A:A,1,FALSE)</f>
        <v>#N/A</v>
      </c>
      <c r="J5561" s="47" t="s">
        <v>3488</v>
      </c>
      <c r="K5561" s="24" t="s">
        <v>514</v>
      </c>
      <c r="L5561" s="109"/>
      <c r="M5561" s="49" t="s">
        <v>6939</v>
      </c>
      <c r="N5561" s="50">
        <v>44421</v>
      </c>
      <c r="O5561" s="22" t="s">
        <v>503</v>
      </c>
      <c r="P5561" s="52">
        <v>5950</v>
      </c>
      <c r="Q5561" s="70">
        <v>4</v>
      </c>
      <c r="R5561" s="52">
        <f t="shared" si="171"/>
        <v>23800</v>
      </c>
      <c r="S5561" s="47">
        <v>202304</v>
      </c>
      <c r="T5561" s="123" t="s">
        <v>7092</v>
      </c>
      <c r="U5561" s="48"/>
      <c r="V5561" s="48"/>
      <c r="W5561" s="48"/>
      <c r="X5561" s="50">
        <v>43617</v>
      </c>
      <c r="Y5561" s="50">
        <v>45382</v>
      </c>
    </row>
    <row r="5562" s="5" customFormat="1" customHeight="1" spans="1:25">
      <c r="A5562" s="24" t="s">
        <v>444</v>
      </c>
      <c r="B5562" s="24" t="s">
        <v>6300</v>
      </c>
      <c r="C5562" s="24" t="s">
        <v>3237</v>
      </c>
      <c r="D5562" s="22" t="s">
        <v>6301</v>
      </c>
      <c r="E5562" s="23" t="s">
        <v>6936</v>
      </c>
      <c r="F5562" s="24" t="s">
        <v>6937</v>
      </c>
      <c r="G5562" s="24" t="s">
        <v>88</v>
      </c>
      <c r="H5562" s="25" t="s">
        <v>7021</v>
      </c>
      <c r="I5562" s="46" t="e">
        <f>VLOOKUP(H5562,'合同高级查询数据-4月返'!A:A,1,FALSE)</f>
        <v>#N/A</v>
      </c>
      <c r="J5562" s="47" t="s">
        <v>3488</v>
      </c>
      <c r="K5562" s="24" t="s">
        <v>514</v>
      </c>
      <c r="L5562" s="109"/>
      <c r="M5562" s="49" t="s">
        <v>6939</v>
      </c>
      <c r="N5562" s="50">
        <v>44431</v>
      </c>
      <c r="O5562" s="22" t="s">
        <v>503</v>
      </c>
      <c r="P5562" s="52">
        <v>5950</v>
      </c>
      <c r="Q5562" s="70">
        <v>22</v>
      </c>
      <c r="R5562" s="52">
        <f t="shared" si="171"/>
        <v>130900</v>
      </c>
      <c r="S5562" s="47">
        <v>202304</v>
      </c>
      <c r="T5562" s="123" t="s">
        <v>7093</v>
      </c>
      <c r="U5562" s="48"/>
      <c r="V5562" s="48"/>
      <c r="W5562" s="48"/>
      <c r="X5562" s="50">
        <v>43617</v>
      </c>
      <c r="Y5562" s="50">
        <v>45382</v>
      </c>
    </row>
    <row r="5563" s="5" customFormat="1" customHeight="1" spans="1:25">
      <c r="A5563" s="24" t="s">
        <v>444</v>
      </c>
      <c r="B5563" s="24" t="s">
        <v>6300</v>
      </c>
      <c r="C5563" s="24" t="s">
        <v>3237</v>
      </c>
      <c r="D5563" s="22" t="s">
        <v>6301</v>
      </c>
      <c r="E5563" s="23" t="s">
        <v>6936</v>
      </c>
      <c r="F5563" s="24" t="s">
        <v>6937</v>
      </c>
      <c r="G5563" s="24" t="s">
        <v>88</v>
      </c>
      <c r="H5563" s="25" t="s">
        <v>7021</v>
      </c>
      <c r="I5563" s="46" t="e">
        <f>VLOOKUP(H5563,'合同高级查询数据-4月返'!A:A,1,FALSE)</f>
        <v>#N/A</v>
      </c>
      <c r="J5563" s="47" t="s">
        <v>3488</v>
      </c>
      <c r="K5563" s="24" t="s">
        <v>514</v>
      </c>
      <c r="L5563" s="109"/>
      <c r="M5563" s="49" t="s">
        <v>6939</v>
      </c>
      <c r="N5563" s="50">
        <v>44434</v>
      </c>
      <c r="O5563" s="22" t="s">
        <v>503</v>
      </c>
      <c r="P5563" s="52">
        <v>5950</v>
      </c>
      <c r="Q5563" s="70">
        <v>4</v>
      </c>
      <c r="R5563" s="52">
        <f t="shared" si="171"/>
        <v>23800</v>
      </c>
      <c r="S5563" s="47">
        <v>202304</v>
      </c>
      <c r="T5563" s="123" t="s">
        <v>7094</v>
      </c>
      <c r="U5563" s="48"/>
      <c r="V5563" s="48"/>
      <c r="W5563" s="48"/>
      <c r="X5563" s="50">
        <v>43617</v>
      </c>
      <c r="Y5563" s="50">
        <v>45382</v>
      </c>
    </row>
    <row r="5564" s="5" customFormat="1" customHeight="1" spans="1:25">
      <c r="A5564" s="24" t="s">
        <v>444</v>
      </c>
      <c r="B5564" s="24" t="s">
        <v>6300</v>
      </c>
      <c r="C5564" s="24" t="s">
        <v>3237</v>
      </c>
      <c r="D5564" s="22" t="s">
        <v>6301</v>
      </c>
      <c r="E5564" s="23" t="s">
        <v>6936</v>
      </c>
      <c r="F5564" s="24" t="s">
        <v>6937</v>
      </c>
      <c r="G5564" s="24" t="s">
        <v>88</v>
      </c>
      <c r="H5564" s="25" t="s">
        <v>7021</v>
      </c>
      <c r="I5564" s="46" t="e">
        <f>VLOOKUP(H5564,'合同高级查询数据-4月返'!A:A,1,FALSE)</f>
        <v>#N/A</v>
      </c>
      <c r="J5564" s="47" t="s">
        <v>3488</v>
      </c>
      <c r="K5564" s="24" t="s">
        <v>514</v>
      </c>
      <c r="L5564" s="109"/>
      <c r="M5564" s="49" t="s">
        <v>6939</v>
      </c>
      <c r="N5564" s="50">
        <v>44456</v>
      </c>
      <c r="O5564" s="22" t="s">
        <v>503</v>
      </c>
      <c r="P5564" s="52">
        <v>5950</v>
      </c>
      <c r="Q5564" s="70">
        <v>3</v>
      </c>
      <c r="R5564" s="52">
        <f t="shared" si="171"/>
        <v>17850</v>
      </c>
      <c r="S5564" s="47">
        <v>202304</v>
      </c>
      <c r="T5564" s="123" t="s">
        <v>7095</v>
      </c>
      <c r="U5564" s="48"/>
      <c r="V5564" s="48"/>
      <c r="W5564" s="48"/>
      <c r="X5564" s="50">
        <v>43617</v>
      </c>
      <c r="Y5564" s="50">
        <v>45382</v>
      </c>
    </row>
    <row r="5565" s="5" customFormat="1" customHeight="1" spans="1:25">
      <c r="A5565" s="24" t="s">
        <v>444</v>
      </c>
      <c r="B5565" s="24" t="s">
        <v>6300</v>
      </c>
      <c r="C5565" s="24" t="s">
        <v>3237</v>
      </c>
      <c r="D5565" s="22" t="s">
        <v>6301</v>
      </c>
      <c r="E5565" s="23" t="s">
        <v>6936</v>
      </c>
      <c r="F5565" s="24" t="s">
        <v>6937</v>
      </c>
      <c r="G5565" s="24" t="s">
        <v>88</v>
      </c>
      <c r="H5565" s="25" t="s">
        <v>7021</v>
      </c>
      <c r="I5565" s="46" t="e">
        <f>VLOOKUP(H5565,'合同高级查询数据-4月返'!A:A,1,FALSE)</f>
        <v>#N/A</v>
      </c>
      <c r="J5565" s="47" t="s">
        <v>3488</v>
      </c>
      <c r="K5565" s="24" t="s">
        <v>514</v>
      </c>
      <c r="L5565" s="109"/>
      <c r="M5565" s="49" t="s">
        <v>6939</v>
      </c>
      <c r="N5565" s="50">
        <v>44462</v>
      </c>
      <c r="O5565" s="22" t="s">
        <v>503</v>
      </c>
      <c r="P5565" s="52">
        <v>5950</v>
      </c>
      <c r="Q5565" s="70">
        <v>7</v>
      </c>
      <c r="R5565" s="52">
        <f t="shared" si="171"/>
        <v>41650</v>
      </c>
      <c r="S5565" s="47">
        <v>202304</v>
      </c>
      <c r="T5565" s="123" t="s">
        <v>7096</v>
      </c>
      <c r="U5565" s="48"/>
      <c r="V5565" s="48"/>
      <c r="W5565" s="48"/>
      <c r="X5565" s="50">
        <v>43617</v>
      </c>
      <c r="Y5565" s="50">
        <v>45382</v>
      </c>
    </row>
    <row r="5566" s="5" customFormat="1" customHeight="1" spans="1:25">
      <c r="A5566" s="24" t="s">
        <v>444</v>
      </c>
      <c r="B5566" s="24" t="s">
        <v>6300</v>
      </c>
      <c r="C5566" s="24" t="s">
        <v>3237</v>
      </c>
      <c r="D5566" s="22" t="s">
        <v>6301</v>
      </c>
      <c r="E5566" s="23" t="s">
        <v>6936</v>
      </c>
      <c r="F5566" s="24" t="s">
        <v>6937</v>
      </c>
      <c r="G5566" s="24" t="s">
        <v>88</v>
      </c>
      <c r="H5566" s="25" t="s">
        <v>7021</v>
      </c>
      <c r="I5566" s="46" t="e">
        <f>VLOOKUP(H5566,'合同高级查询数据-4月返'!A:A,1,FALSE)</f>
        <v>#N/A</v>
      </c>
      <c r="J5566" s="47" t="s">
        <v>3488</v>
      </c>
      <c r="K5566" s="24" t="s">
        <v>514</v>
      </c>
      <c r="L5566" s="109"/>
      <c r="M5566" s="49" t="s">
        <v>6939</v>
      </c>
      <c r="N5566" s="50">
        <v>44497</v>
      </c>
      <c r="O5566" s="22" t="s">
        <v>503</v>
      </c>
      <c r="P5566" s="52">
        <v>5950</v>
      </c>
      <c r="Q5566" s="70">
        <v>3</v>
      </c>
      <c r="R5566" s="52">
        <f t="shared" si="171"/>
        <v>17850</v>
      </c>
      <c r="S5566" s="47">
        <v>202304</v>
      </c>
      <c r="T5566" s="123" t="s">
        <v>7097</v>
      </c>
      <c r="U5566" s="48"/>
      <c r="V5566" s="48"/>
      <c r="W5566" s="48"/>
      <c r="X5566" s="50">
        <v>43617</v>
      </c>
      <c r="Y5566" s="50">
        <v>45382</v>
      </c>
    </row>
    <row r="5567" s="5" customFormat="1" customHeight="1" spans="1:25">
      <c r="A5567" s="24" t="s">
        <v>444</v>
      </c>
      <c r="B5567" s="24" t="s">
        <v>6300</v>
      </c>
      <c r="C5567" s="24" t="s">
        <v>3237</v>
      </c>
      <c r="D5567" s="22" t="s">
        <v>6301</v>
      </c>
      <c r="E5567" s="23" t="s">
        <v>6936</v>
      </c>
      <c r="F5567" s="24" t="s">
        <v>6937</v>
      </c>
      <c r="G5567" s="24" t="s">
        <v>88</v>
      </c>
      <c r="H5567" s="25" t="s">
        <v>7021</v>
      </c>
      <c r="I5567" s="46" t="e">
        <f>VLOOKUP(H5567,'合同高级查询数据-4月返'!A:A,1,FALSE)</f>
        <v>#N/A</v>
      </c>
      <c r="J5567" s="47" t="s">
        <v>3488</v>
      </c>
      <c r="K5567" s="24" t="s">
        <v>514</v>
      </c>
      <c r="L5567" s="109"/>
      <c r="M5567" s="49" t="s">
        <v>6939</v>
      </c>
      <c r="N5567" s="50">
        <v>44501</v>
      </c>
      <c r="O5567" s="22" t="s">
        <v>503</v>
      </c>
      <c r="P5567" s="52">
        <v>5950</v>
      </c>
      <c r="Q5567" s="70">
        <v>2</v>
      </c>
      <c r="R5567" s="52">
        <f t="shared" si="171"/>
        <v>11900</v>
      </c>
      <c r="S5567" s="47">
        <v>202304</v>
      </c>
      <c r="T5567" s="123" t="s">
        <v>7098</v>
      </c>
      <c r="U5567" s="48"/>
      <c r="V5567" s="48"/>
      <c r="W5567" s="48"/>
      <c r="X5567" s="50">
        <v>43617</v>
      </c>
      <c r="Y5567" s="50">
        <v>45382</v>
      </c>
    </row>
    <row r="5568" s="5" customFormat="1" customHeight="1" spans="1:25">
      <c r="A5568" s="24" t="s">
        <v>444</v>
      </c>
      <c r="B5568" s="24" t="s">
        <v>6300</v>
      </c>
      <c r="C5568" s="24" t="s">
        <v>3237</v>
      </c>
      <c r="D5568" s="22" t="s">
        <v>6301</v>
      </c>
      <c r="E5568" s="23" t="s">
        <v>6936</v>
      </c>
      <c r="F5568" s="24" t="s">
        <v>6937</v>
      </c>
      <c r="G5568" s="24" t="s">
        <v>88</v>
      </c>
      <c r="H5568" s="25" t="s">
        <v>7021</v>
      </c>
      <c r="I5568" s="46" t="e">
        <f>VLOOKUP(H5568,'合同高级查询数据-4月返'!A:A,1,FALSE)</f>
        <v>#N/A</v>
      </c>
      <c r="J5568" s="47" t="s">
        <v>3488</v>
      </c>
      <c r="K5568" s="24" t="s">
        <v>514</v>
      </c>
      <c r="L5568" s="109"/>
      <c r="M5568" s="49" t="s">
        <v>6939</v>
      </c>
      <c r="N5568" s="50">
        <v>44557</v>
      </c>
      <c r="O5568" s="22" t="s">
        <v>503</v>
      </c>
      <c r="P5568" s="52">
        <v>5950</v>
      </c>
      <c r="Q5568" s="70">
        <v>1</v>
      </c>
      <c r="R5568" s="52">
        <f t="shared" si="171"/>
        <v>5950</v>
      </c>
      <c r="S5568" s="47">
        <v>202304</v>
      </c>
      <c r="T5568" s="123" t="s">
        <v>7099</v>
      </c>
      <c r="U5568" s="48"/>
      <c r="V5568" s="48"/>
      <c r="W5568" s="48"/>
      <c r="X5568" s="50">
        <v>43617</v>
      </c>
      <c r="Y5568" s="50">
        <v>45382</v>
      </c>
    </row>
    <row r="5569" s="5" customFormat="1" customHeight="1" spans="1:25">
      <c r="A5569" s="24" t="s">
        <v>444</v>
      </c>
      <c r="B5569" s="24" t="s">
        <v>6300</v>
      </c>
      <c r="C5569" s="24" t="s">
        <v>3237</v>
      </c>
      <c r="D5569" s="22" t="s">
        <v>6301</v>
      </c>
      <c r="E5569" s="23" t="s">
        <v>6936</v>
      </c>
      <c r="F5569" s="24" t="s">
        <v>6937</v>
      </c>
      <c r="G5569" s="24" t="s">
        <v>88</v>
      </c>
      <c r="H5569" s="25" t="s">
        <v>7021</v>
      </c>
      <c r="I5569" s="46" t="e">
        <f>VLOOKUP(H5569,'合同高级查询数据-4月返'!A:A,1,FALSE)</f>
        <v>#N/A</v>
      </c>
      <c r="J5569" s="47" t="s">
        <v>3488</v>
      </c>
      <c r="K5569" s="24" t="s">
        <v>514</v>
      </c>
      <c r="L5569" s="109"/>
      <c r="M5569" s="49" t="s">
        <v>6939</v>
      </c>
      <c r="N5569" s="50">
        <v>44559</v>
      </c>
      <c r="O5569" s="22" t="s">
        <v>503</v>
      </c>
      <c r="P5569" s="52">
        <v>5950</v>
      </c>
      <c r="Q5569" s="70">
        <v>25</v>
      </c>
      <c r="R5569" s="52">
        <f t="shared" si="171"/>
        <v>148750</v>
      </c>
      <c r="S5569" s="47">
        <v>202304</v>
      </c>
      <c r="T5569" s="123" t="s">
        <v>7100</v>
      </c>
      <c r="U5569" s="48"/>
      <c r="V5569" s="48"/>
      <c r="W5569" s="48"/>
      <c r="X5569" s="50">
        <v>43617</v>
      </c>
      <c r="Y5569" s="50">
        <v>45382</v>
      </c>
    </row>
    <row r="5570" s="5" customFormat="1" customHeight="1" spans="1:25">
      <c r="A5570" s="24" t="s">
        <v>444</v>
      </c>
      <c r="B5570" s="24" t="s">
        <v>6300</v>
      </c>
      <c r="C5570" s="24" t="s">
        <v>3237</v>
      </c>
      <c r="D5570" s="22" t="s">
        <v>6301</v>
      </c>
      <c r="E5570" s="23" t="s">
        <v>6936</v>
      </c>
      <c r="F5570" s="24" t="s">
        <v>6937</v>
      </c>
      <c r="G5570" s="24" t="s">
        <v>88</v>
      </c>
      <c r="H5570" s="25" t="s">
        <v>7021</v>
      </c>
      <c r="I5570" s="46" t="e">
        <f>VLOOKUP(H5570,'合同高级查询数据-4月返'!A:A,1,FALSE)</f>
        <v>#N/A</v>
      </c>
      <c r="J5570" s="47" t="s">
        <v>3488</v>
      </c>
      <c r="K5570" s="24" t="s">
        <v>514</v>
      </c>
      <c r="L5570" s="109"/>
      <c r="M5570" s="49" t="s">
        <v>6939</v>
      </c>
      <c r="N5570" s="50">
        <v>44649</v>
      </c>
      <c r="O5570" s="22" t="s">
        <v>503</v>
      </c>
      <c r="P5570" s="52">
        <v>5950</v>
      </c>
      <c r="Q5570" s="70">
        <v>1</v>
      </c>
      <c r="R5570" s="52">
        <f t="shared" si="171"/>
        <v>5950</v>
      </c>
      <c r="S5570" s="47">
        <v>202304</v>
      </c>
      <c r="T5570" s="123" t="s">
        <v>7101</v>
      </c>
      <c r="U5570" s="48"/>
      <c r="V5570" s="48"/>
      <c r="W5570" s="48"/>
      <c r="X5570" s="50">
        <v>43617</v>
      </c>
      <c r="Y5570" s="50">
        <v>45382</v>
      </c>
    </row>
    <row r="5571" s="5" customFormat="1" customHeight="1" spans="1:25">
      <c r="A5571" s="24" t="s">
        <v>444</v>
      </c>
      <c r="B5571" s="24" t="s">
        <v>6300</v>
      </c>
      <c r="C5571" s="24" t="s">
        <v>3237</v>
      </c>
      <c r="D5571" s="22" t="s">
        <v>6301</v>
      </c>
      <c r="E5571" s="23" t="s">
        <v>6936</v>
      </c>
      <c r="F5571" s="24" t="s">
        <v>6937</v>
      </c>
      <c r="G5571" s="24" t="s">
        <v>88</v>
      </c>
      <c r="H5571" s="25" t="s">
        <v>7021</v>
      </c>
      <c r="I5571" s="46" t="e">
        <f>VLOOKUP(H5571,'合同高级查询数据-4月返'!A:A,1,FALSE)</f>
        <v>#N/A</v>
      </c>
      <c r="J5571" s="47" t="s">
        <v>3488</v>
      </c>
      <c r="K5571" s="24" t="s">
        <v>514</v>
      </c>
      <c r="L5571" s="109"/>
      <c r="M5571" s="49" t="s">
        <v>6939</v>
      </c>
      <c r="N5571" s="50">
        <v>44650</v>
      </c>
      <c r="O5571" s="22" t="s">
        <v>503</v>
      </c>
      <c r="P5571" s="52">
        <v>5950</v>
      </c>
      <c r="Q5571" s="70">
        <v>10</v>
      </c>
      <c r="R5571" s="52">
        <f t="shared" si="171"/>
        <v>59500</v>
      </c>
      <c r="S5571" s="47">
        <v>202304</v>
      </c>
      <c r="T5571" s="123" t="s">
        <v>7102</v>
      </c>
      <c r="U5571" s="48"/>
      <c r="V5571" s="48"/>
      <c r="W5571" s="48"/>
      <c r="X5571" s="50">
        <v>43617</v>
      </c>
      <c r="Y5571" s="50">
        <v>45382</v>
      </c>
    </row>
    <row r="5572" s="5" customFormat="1" customHeight="1" spans="1:25">
      <c r="A5572" s="24" t="s">
        <v>444</v>
      </c>
      <c r="B5572" s="24" t="s">
        <v>6300</v>
      </c>
      <c r="C5572" s="24" t="s">
        <v>3237</v>
      </c>
      <c r="D5572" s="22" t="s">
        <v>6301</v>
      </c>
      <c r="E5572" s="23" t="s">
        <v>6936</v>
      </c>
      <c r="F5572" s="24" t="s">
        <v>6937</v>
      </c>
      <c r="G5572" s="24" t="s">
        <v>88</v>
      </c>
      <c r="H5572" s="25" t="s">
        <v>7021</v>
      </c>
      <c r="I5572" s="46" t="e">
        <f>VLOOKUP(H5572,'合同高级查询数据-4月返'!A:A,1,FALSE)</f>
        <v>#N/A</v>
      </c>
      <c r="J5572" s="47" t="s">
        <v>3488</v>
      </c>
      <c r="K5572" s="24" t="s">
        <v>514</v>
      </c>
      <c r="L5572" s="109"/>
      <c r="M5572" s="49" t="s">
        <v>6939</v>
      </c>
      <c r="N5572" s="50">
        <v>44650</v>
      </c>
      <c r="O5572" s="22" t="s">
        <v>503</v>
      </c>
      <c r="P5572" s="52">
        <v>5950</v>
      </c>
      <c r="Q5572" s="70">
        <v>-1</v>
      </c>
      <c r="R5572" s="52">
        <f t="shared" si="171"/>
        <v>-5950</v>
      </c>
      <c r="S5572" s="47">
        <v>202304</v>
      </c>
      <c r="T5572" s="123" t="s">
        <v>7103</v>
      </c>
      <c r="U5572" s="48"/>
      <c r="V5572" s="48"/>
      <c r="W5572" s="48"/>
      <c r="X5572" s="50">
        <v>43617</v>
      </c>
      <c r="Y5572" s="50">
        <v>45382</v>
      </c>
    </row>
    <row r="5573" s="5" customFormat="1" customHeight="1" spans="1:25">
      <c r="A5573" s="24" t="s">
        <v>444</v>
      </c>
      <c r="B5573" s="24" t="s">
        <v>6300</v>
      </c>
      <c r="C5573" s="24" t="s">
        <v>3237</v>
      </c>
      <c r="D5573" s="22" t="s">
        <v>6301</v>
      </c>
      <c r="E5573" s="23" t="s">
        <v>6936</v>
      </c>
      <c r="F5573" s="24" t="s">
        <v>6937</v>
      </c>
      <c r="G5573" s="24" t="s">
        <v>88</v>
      </c>
      <c r="H5573" s="25" t="s">
        <v>7021</v>
      </c>
      <c r="I5573" s="46" t="e">
        <f>VLOOKUP(H5573,'合同高级查询数据-4月返'!A:A,1,FALSE)</f>
        <v>#N/A</v>
      </c>
      <c r="J5573" s="47" t="s">
        <v>3488</v>
      </c>
      <c r="K5573" s="24" t="s">
        <v>514</v>
      </c>
      <c r="L5573" s="109"/>
      <c r="M5573" s="49" t="s">
        <v>6939</v>
      </c>
      <c r="N5573" s="50">
        <v>44664</v>
      </c>
      <c r="O5573" s="22" t="s">
        <v>503</v>
      </c>
      <c r="P5573" s="52">
        <v>5950</v>
      </c>
      <c r="Q5573" s="70">
        <v>3</v>
      </c>
      <c r="R5573" s="52">
        <f t="shared" si="171"/>
        <v>17850</v>
      </c>
      <c r="S5573" s="47">
        <v>202304</v>
      </c>
      <c r="T5573" s="123" t="s">
        <v>7104</v>
      </c>
      <c r="U5573" s="48"/>
      <c r="V5573" s="48"/>
      <c r="W5573" s="48"/>
      <c r="X5573" s="50">
        <v>43617</v>
      </c>
      <c r="Y5573" s="50">
        <v>45382</v>
      </c>
    </row>
    <row r="5574" s="5" customFormat="1" customHeight="1" spans="1:25">
      <c r="A5574" s="24" t="s">
        <v>444</v>
      </c>
      <c r="B5574" s="24" t="s">
        <v>6300</v>
      </c>
      <c r="C5574" s="24" t="s">
        <v>3237</v>
      </c>
      <c r="D5574" s="22" t="s">
        <v>6301</v>
      </c>
      <c r="E5574" s="23" t="s">
        <v>6936</v>
      </c>
      <c r="F5574" s="24" t="s">
        <v>6937</v>
      </c>
      <c r="G5574" s="24" t="s">
        <v>88</v>
      </c>
      <c r="H5574" s="25" t="s">
        <v>7021</v>
      </c>
      <c r="I5574" s="46" t="e">
        <f>VLOOKUP(H5574,'合同高级查询数据-4月返'!A:A,1,FALSE)</f>
        <v>#N/A</v>
      </c>
      <c r="J5574" s="47" t="s">
        <v>3488</v>
      </c>
      <c r="K5574" s="24" t="s">
        <v>514</v>
      </c>
      <c r="L5574" s="109"/>
      <c r="M5574" s="49" t="s">
        <v>6939</v>
      </c>
      <c r="N5574" s="50">
        <v>44767</v>
      </c>
      <c r="O5574" s="22" t="s">
        <v>503</v>
      </c>
      <c r="P5574" s="52">
        <v>5950</v>
      </c>
      <c r="Q5574" s="70">
        <v>1</v>
      </c>
      <c r="R5574" s="52">
        <f t="shared" si="171"/>
        <v>5950</v>
      </c>
      <c r="S5574" s="47">
        <v>202304</v>
      </c>
      <c r="T5574" s="123" t="s">
        <v>7105</v>
      </c>
      <c r="U5574" s="48"/>
      <c r="V5574" s="48"/>
      <c r="W5574" s="48"/>
      <c r="X5574" s="50">
        <v>43617</v>
      </c>
      <c r="Y5574" s="50">
        <v>45382</v>
      </c>
    </row>
    <row r="5575" s="5" customFormat="1" customHeight="1" spans="1:25">
      <c r="A5575" s="24" t="s">
        <v>444</v>
      </c>
      <c r="B5575" s="24" t="s">
        <v>6300</v>
      </c>
      <c r="C5575" s="24" t="s">
        <v>3237</v>
      </c>
      <c r="D5575" s="22" t="s">
        <v>6301</v>
      </c>
      <c r="E5575" s="23" t="s">
        <v>6936</v>
      </c>
      <c r="F5575" s="24" t="s">
        <v>6937</v>
      </c>
      <c r="G5575" s="24" t="s">
        <v>88</v>
      </c>
      <c r="H5575" s="25" t="s">
        <v>7021</v>
      </c>
      <c r="I5575" s="46" t="e">
        <f>VLOOKUP(H5575,'合同高级查询数据-4月返'!A:A,1,FALSE)</f>
        <v>#N/A</v>
      </c>
      <c r="J5575" s="47" t="s">
        <v>3488</v>
      </c>
      <c r="K5575" s="24" t="s">
        <v>514</v>
      </c>
      <c r="L5575" s="109"/>
      <c r="M5575" s="49" t="s">
        <v>6939</v>
      </c>
      <c r="N5575" s="50">
        <v>44809</v>
      </c>
      <c r="O5575" s="22" t="s">
        <v>525</v>
      </c>
      <c r="P5575" s="52">
        <v>5950</v>
      </c>
      <c r="Q5575" s="70">
        <v>1</v>
      </c>
      <c r="R5575" s="52">
        <f t="shared" si="171"/>
        <v>5950</v>
      </c>
      <c r="S5575" s="47">
        <v>202304</v>
      </c>
      <c r="T5575" s="123" t="s">
        <v>7080</v>
      </c>
      <c r="U5575" s="48"/>
      <c r="V5575" s="48"/>
      <c r="W5575" s="48"/>
      <c r="X5575" s="50">
        <v>43617</v>
      </c>
      <c r="Y5575" s="50">
        <v>45382</v>
      </c>
    </row>
    <row r="5576" s="5" customFormat="1" customHeight="1" spans="1:25">
      <c r="A5576" s="24" t="s">
        <v>444</v>
      </c>
      <c r="B5576" s="24" t="s">
        <v>6300</v>
      </c>
      <c r="C5576" s="24" t="s">
        <v>3237</v>
      </c>
      <c r="D5576" s="22" t="s">
        <v>6301</v>
      </c>
      <c r="E5576" s="23" t="s">
        <v>6936</v>
      </c>
      <c r="F5576" s="24" t="s">
        <v>6937</v>
      </c>
      <c r="G5576" s="24" t="s">
        <v>88</v>
      </c>
      <c r="H5576" s="25" t="s">
        <v>7021</v>
      </c>
      <c r="I5576" s="46" t="e">
        <f>VLOOKUP(H5576,'合同高级查询数据-4月返'!A:A,1,FALSE)</f>
        <v>#N/A</v>
      </c>
      <c r="J5576" s="47" t="s">
        <v>3488</v>
      </c>
      <c r="K5576" s="24" t="s">
        <v>514</v>
      </c>
      <c r="L5576" s="109"/>
      <c r="M5576" s="49" t="s">
        <v>6939</v>
      </c>
      <c r="N5576" s="50">
        <v>44861</v>
      </c>
      <c r="O5576" s="22" t="s">
        <v>503</v>
      </c>
      <c r="P5576" s="52">
        <v>5950</v>
      </c>
      <c r="Q5576" s="70">
        <v>-4</v>
      </c>
      <c r="R5576" s="52">
        <f t="shared" si="171"/>
        <v>-23800</v>
      </c>
      <c r="S5576" s="47">
        <v>202304</v>
      </c>
      <c r="T5576" s="123" t="s">
        <v>7092</v>
      </c>
      <c r="U5576" s="48"/>
      <c r="V5576" s="48"/>
      <c r="W5576" s="48"/>
      <c r="X5576" s="50">
        <v>43617</v>
      </c>
      <c r="Y5576" s="50">
        <v>45382</v>
      </c>
    </row>
    <row r="5577" s="5" customFormat="1" customHeight="1" spans="1:25">
      <c r="A5577" s="24" t="s">
        <v>444</v>
      </c>
      <c r="B5577" s="24" t="s">
        <v>6300</v>
      </c>
      <c r="C5577" s="24" t="s">
        <v>3237</v>
      </c>
      <c r="D5577" s="22" t="s">
        <v>6301</v>
      </c>
      <c r="E5577" s="23" t="s">
        <v>6936</v>
      </c>
      <c r="F5577" s="24" t="s">
        <v>6937</v>
      </c>
      <c r="G5577" s="24" t="s">
        <v>88</v>
      </c>
      <c r="H5577" s="25" t="s">
        <v>7021</v>
      </c>
      <c r="I5577" s="46" t="e">
        <f>VLOOKUP(H5577,'合同高级查询数据-4月返'!A:A,1,FALSE)</f>
        <v>#N/A</v>
      </c>
      <c r="J5577" s="47" t="s">
        <v>3488</v>
      </c>
      <c r="K5577" s="24" t="s">
        <v>514</v>
      </c>
      <c r="L5577" s="109"/>
      <c r="M5577" s="49" t="s">
        <v>6939</v>
      </c>
      <c r="N5577" s="50">
        <v>44937</v>
      </c>
      <c r="O5577" s="22" t="s">
        <v>503</v>
      </c>
      <c r="P5577" s="52">
        <v>5950</v>
      </c>
      <c r="Q5577" s="70">
        <v>-2</v>
      </c>
      <c r="R5577" s="52">
        <f t="shared" si="171"/>
        <v>-11900</v>
      </c>
      <c r="S5577" s="47">
        <v>202304</v>
      </c>
      <c r="T5577" s="123" t="s">
        <v>7106</v>
      </c>
      <c r="U5577" s="48"/>
      <c r="V5577" s="48"/>
      <c r="W5577" s="48"/>
      <c r="X5577" s="50">
        <v>43617</v>
      </c>
      <c r="Y5577" s="50">
        <v>45382</v>
      </c>
    </row>
    <row r="5578" s="5" customFormat="1" customHeight="1" spans="1:25">
      <c r="A5578" s="24" t="s">
        <v>444</v>
      </c>
      <c r="B5578" s="24" t="s">
        <v>6300</v>
      </c>
      <c r="C5578" s="24" t="s">
        <v>3237</v>
      </c>
      <c r="D5578" s="22" t="s">
        <v>6301</v>
      </c>
      <c r="E5578" s="23" t="s">
        <v>6936</v>
      </c>
      <c r="F5578" s="24" t="s">
        <v>6937</v>
      </c>
      <c r="G5578" s="24" t="s">
        <v>88</v>
      </c>
      <c r="H5578" s="25" t="s">
        <v>7021</v>
      </c>
      <c r="I5578" s="46" t="e">
        <f>VLOOKUP(H5578,'合同高级查询数据-4月返'!A:A,1,FALSE)</f>
        <v>#N/A</v>
      </c>
      <c r="J5578" s="47" t="s">
        <v>3488</v>
      </c>
      <c r="K5578" s="24" t="s">
        <v>514</v>
      </c>
      <c r="L5578" s="109"/>
      <c r="M5578" s="49" t="s">
        <v>6939</v>
      </c>
      <c r="N5578" s="50">
        <v>44942</v>
      </c>
      <c r="O5578" s="22" t="s">
        <v>503</v>
      </c>
      <c r="P5578" s="52">
        <v>5950</v>
      </c>
      <c r="Q5578" s="70">
        <v>2</v>
      </c>
      <c r="R5578" s="52">
        <f t="shared" si="171"/>
        <v>11900</v>
      </c>
      <c r="S5578" s="47">
        <v>202304</v>
      </c>
      <c r="T5578" s="123" t="s">
        <v>7107</v>
      </c>
      <c r="U5578" s="48"/>
      <c r="V5578" s="48"/>
      <c r="W5578" s="48"/>
      <c r="X5578" s="50">
        <v>43617</v>
      </c>
      <c r="Y5578" s="50">
        <v>45382</v>
      </c>
    </row>
    <row r="5579" s="5" customFormat="1" customHeight="1" spans="1:25">
      <c r="A5579" s="24" t="s">
        <v>444</v>
      </c>
      <c r="B5579" s="24" t="s">
        <v>6300</v>
      </c>
      <c r="C5579" s="24" t="s">
        <v>3237</v>
      </c>
      <c r="D5579" s="22" t="s">
        <v>6301</v>
      </c>
      <c r="E5579" s="23" t="s">
        <v>6936</v>
      </c>
      <c r="F5579" s="24" t="s">
        <v>6937</v>
      </c>
      <c r="G5579" s="24" t="s">
        <v>88</v>
      </c>
      <c r="H5579" s="25" t="s">
        <v>7021</v>
      </c>
      <c r="I5579" s="46" t="e">
        <f>VLOOKUP(H5579,'合同高级查询数据-4月返'!A:A,1,FALSE)</f>
        <v>#N/A</v>
      </c>
      <c r="J5579" s="47" t="s">
        <v>3488</v>
      </c>
      <c r="K5579" s="24" t="s">
        <v>514</v>
      </c>
      <c r="L5579" s="109"/>
      <c r="M5579" s="49" t="s">
        <v>6939</v>
      </c>
      <c r="N5579" s="50">
        <v>44958</v>
      </c>
      <c r="O5579" s="22" t="s">
        <v>503</v>
      </c>
      <c r="P5579" s="52">
        <v>5950</v>
      </c>
      <c r="Q5579" s="70">
        <v>2</v>
      </c>
      <c r="R5579" s="52">
        <f t="shared" si="171"/>
        <v>11900</v>
      </c>
      <c r="S5579" s="47">
        <v>202304</v>
      </c>
      <c r="T5579" s="123" t="s">
        <v>7106</v>
      </c>
      <c r="U5579" s="48"/>
      <c r="V5579" s="48"/>
      <c r="W5579" s="48"/>
      <c r="X5579" s="50">
        <v>43617</v>
      </c>
      <c r="Y5579" s="50">
        <v>45382</v>
      </c>
    </row>
    <row r="5580" s="5" customFormat="1" customHeight="1" spans="1:25">
      <c r="A5580" s="24" t="s">
        <v>444</v>
      </c>
      <c r="B5580" s="24" t="s">
        <v>6300</v>
      </c>
      <c r="C5580" s="24" t="s">
        <v>3237</v>
      </c>
      <c r="D5580" s="22" t="s">
        <v>6301</v>
      </c>
      <c r="E5580" s="23" t="s">
        <v>6936</v>
      </c>
      <c r="F5580" s="24" t="s">
        <v>6937</v>
      </c>
      <c r="G5580" s="24" t="s">
        <v>88</v>
      </c>
      <c r="H5580" s="25" t="s">
        <v>7021</v>
      </c>
      <c r="I5580" s="46" t="e">
        <f>VLOOKUP(H5580,'合同高级查询数据-4月返'!A:A,1,FALSE)</f>
        <v>#N/A</v>
      </c>
      <c r="J5580" s="47" t="s">
        <v>3488</v>
      </c>
      <c r="K5580" s="24" t="s">
        <v>514</v>
      </c>
      <c r="L5580" s="109"/>
      <c r="M5580" s="49" t="s">
        <v>6939</v>
      </c>
      <c r="N5580" s="50">
        <v>45005</v>
      </c>
      <c r="O5580" s="22" t="s">
        <v>503</v>
      </c>
      <c r="P5580" s="52">
        <v>5950</v>
      </c>
      <c r="Q5580" s="70">
        <v>5</v>
      </c>
      <c r="R5580" s="52">
        <f t="shared" si="171"/>
        <v>29750</v>
      </c>
      <c r="S5580" s="47">
        <v>202304</v>
      </c>
      <c r="T5580" s="123" t="s">
        <v>7108</v>
      </c>
      <c r="U5580" s="48"/>
      <c r="V5580" s="48"/>
      <c r="W5580" s="48"/>
      <c r="X5580" s="50">
        <v>43617</v>
      </c>
      <c r="Y5580" s="50">
        <v>45382</v>
      </c>
    </row>
    <row r="5581" s="5" customFormat="1" customHeight="1" spans="1:25">
      <c r="A5581" s="24" t="s">
        <v>444</v>
      </c>
      <c r="B5581" s="24" t="s">
        <v>6300</v>
      </c>
      <c r="C5581" s="24" t="s">
        <v>3237</v>
      </c>
      <c r="D5581" s="22" t="s">
        <v>6301</v>
      </c>
      <c r="E5581" s="23" t="s">
        <v>6936</v>
      </c>
      <c r="F5581" s="24" t="s">
        <v>6937</v>
      </c>
      <c r="G5581" s="24" t="s">
        <v>88</v>
      </c>
      <c r="H5581" s="25" t="s">
        <v>7021</v>
      </c>
      <c r="I5581" s="46" t="e">
        <f>VLOOKUP(H5581,'合同高级查询数据-4月返'!A:A,1,FALSE)</f>
        <v>#N/A</v>
      </c>
      <c r="J5581" s="47" t="s">
        <v>3488</v>
      </c>
      <c r="K5581" s="24" t="s">
        <v>514</v>
      </c>
      <c r="L5581" s="109"/>
      <c r="M5581" s="49" t="s">
        <v>6939</v>
      </c>
      <c r="N5581" s="50">
        <v>45040</v>
      </c>
      <c r="O5581" s="22" t="s">
        <v>503</v>
      </c>
      <c r="P5581" s="52">
        <v>5950</v>
      </c>
      <c r="Q5581" s="70">
        <v>4</v>
      </c>
      <c r="R5581" s="52">
        <f>ROUND(P5581*Q5581*7/30,2)</f>
        <v>5553.33</v>
      </c>
      <c r="S5581" s="47">
        <v>202304</v>
      </c>
      <c r="T5581" s="495" t="s">
        <v>7109</v>
      </c>
      <c r="U5581" s="48"/>
      <c r="V5581" s="48"/>
      <c r="W5581" s="48"/>
      <c r="X5581" s="50">
        <v>43617</v>
      </c>
      <c r="Y5581" s="50">
        <v>45382</v>
      </c>
    </row>
    <row r="5582" s="5" customFormat="1" customHeight="1" spans="1:25">
      <c r="A5582" s="24" t="s">
        <v>444</v>
      </c>
      <c r="B5582" s="24" t="s">
        <v>6300</v>
      </c>
      <c r="C5582" s="24" t="s">
        <v>3237</v>
      </c>
      <c r="D5582" s="22" t="s">
        <v>6301</v>
      </c>
      <c r="E5582" s="23" t="s">
        <v>6936</v>
      </c>
      <c r="F5582" s="24" t="s">
        <v>6937</v>
      </c>
      <c r="G5582" s="24" t="s">
        <v>88</v>
      </c>
      <c r="H5582" s="25" t="s">
        <v>7021</v>
      </c>
      <c r="I5582" s="46" t="e">
        <f>VLOOKUP(H5582,'合同高级查询数据-4月返'!A:A,1,FALSE)</f>
        <v>#N/A</v>
      </c>
      <c r="J5582" s="47" t="s">
        <v>3488</v>
      </c>
      <c r="K5582" s="24" t="s">
        <v>514</v>
      </c>
      <c r="L5582" s="109"/>
      <c r="M5582" s="49" t="s">
        <v>6939</v>
      </c>
      <c r="N5582" s="50">
        <v>45040</v>
      </c>
      <c r="O5582" s="22" t="s">
        <v>503</v>
      </c>
      <c r="P5582" s="52">
        <v>5950</v>
      </c>
      <c r="Q5582" s="70">
        <v>-1</v>
      </c>
      <c r="R5582" s="52">
        <f>ROUND(P5582*Q5582*6/30,2)</f>
        <v>-1190</v>
      </c>
      <c r="S5582" s="47">
        <v>202304</v>
      </c>
      <c r="T5582" s="496" t="s">
        <v>7110</v>
      </c>
      <c r="U5582" s="48"/>
      <c r="V5582" s="48"/>
      <c r="W5582" s="48"/>
      <c r="X5582" s="50">
        <v>43617</v>
      </c>
      <c r="Y5582" s="50">
        <v>45382</v>
      </c>
    </row>
    <row r="5583" s="5" customFormat="1" customHeight="1" spans="1:25">
      <c r="A5583" s="24" t="s">
        <v>444</v>
      </c>
      <c r="B5583" s="24" t="s">
        <v>6300</v>
      </c>
      <c r="C5583" s="24" t="s">
        <v>3237</v>
      </c>
      <c r="D5583" s="22" t="s">
        <v>6301</v>
      </c>
      <c r="E5583" s="23" t="s">
        <v>6936</v>
      </c>
      <c r="F5583" s="24" t="s">
        <v>6937</v>
      </c>
      <c r="G5583" s="24" t="s">
        <v>88</v>
      </c>
      <c r="H5583" s="25" t="s">
        <v>7111</v>
      </c>
      <c r="I5583" s="46" t="e">
        <f>VLOOKUP(H5583,'合同高级查询数据-4月返'!A:A,1,FALSE)</f>
        <v>#N/A</v>
      </c>
      <c r="J5583" s="47" t="s">
        <v>3488</v>
      </c>
      <c r="K5583" s="24" t="s">
        <v>7112</v>
      </c>
      <c r="L5583" s="109"/>
      <c r="M5583" s="49" t="s">
        <v>6939</v>
      </c>
      <c r="N5583" s="50">
        <v>43574</v>
      </c>
      <c r="O5583" s="22" t="s">
        <v>503</v>
      </c>
      <c r="P5583" s="52">
        <v>5800</v>
      </c>
      <c r="Q5583" s="70">
        <v>1</v>
      </c>
      <c r="R5583" s="52">
        <f t="shared" si="171"/>
        <v>5800</v>
      </c>
      <c r="S5583" s="47">
        <v>202304</v>
      </c>
      <c r="T5583" s="123" t="s">
        <v>7113</v>
      </c>
      <c r="U5583" s="48"/>
      <c r="V5583" s="48"/>
      <c r="W5583" s="48"/>
      <c r="X5583" s="50">
        <v>43525</v>
      </c>
      <c r="Y5583" s="50">
        <v>45716</v>
      </c>
    </row>
    <row r="5584" s="5" customFormat="1" customHeight="1" spans="1:25">
      <c r="A5584" s="24" t="s">
        <v>444</v>
      </c>
      <c r="B5584" s="24" t="s">
        <v>6300</v>
      </c>
      <c r="C5584" s="24" t="s">
        <v>3237</v>
      </c>
      <c r="D5584" s="22" t="s">
        <v>6301</v>
      </c>
      <c r="E5584" s="23" t="s">
        <v>6936</v>
      </c>
      <c r="F5584" s="24" t="s">
        <v>6937</v>
      </c>
      <c r="G5584" s="24" t="s">
        <v>88</v>
      </c>
      <c r="H5584" s="25" t="s">
        <v>7111</v>
      </c>
      <c r="I5584" s="46" t="e">
        <f>VLOOKUP(H5584,'合同高级查询数据-4月返'!A:A,1,FALSE)</f>
        <v>#N/A</v>
      </c>
      <c r="J5584" s="47" t="s">
        <v>3488</v>
      </c>
      <c r="K5584" s="24" t="s">
        <v>7112</v>
      </c>
      <c r="L5584" s="109"/>
      <c r="M5584" s="49" t="s">
        <v>6939</v>
      </c>
      <c r="N5584" s="50">
        <v>43606</v>
      </c>
      <c r="O5584" s="22" t="s">
        <v>503</v>
      </c>
      <c r="P5584" s="52">
        <v>5800</v>
      </c>
      <c r="Q5584" s="70">
        <v>2</v>
      </c>
      <c r="R5584" s="52">
        <f t="shared" si="171"/>
        <v>11600</v>
      </c>
      <c r="S5584" s="47">
        <v>202304</v>
      </c>
      <c r="T5584" s="123" t="s">
        <v>7114</v>
      </c>
      <c r="U5584" s="48"/>
      <c r="V5584" s="48"/>
      <c r="W5584" s="48"/>
      <c r="X5584" s="50">
        <v>43525</v>
      </c>
      <c r="Y5584" s="50">
        <v>45716</v>
      </c>
    </row>
    <row r="5585" s="5" customFormat="1" customHeight="1" spans="1:25">
      <c r="A5585" s="24" t="s">
        <v>444</v>
      </c>
      <c r="B5585" s="24" t="s">
        <v>6300</v>
      </c>
      <c r="C5585" s="24" t="s">
        <v>3237</v>
      </c>
      <c r="D5585" s="22" t="s">
        <v>6301</v>
      </c>
      <c r="E5585" s="23" t="s">
        <v>6936</v>
      </c>
      <c r="F5585" s="24" t="s">
        <v>6937</v>
      </c>
      <c r="G5585" s="24" t="s">
        <v>88</v>
      </c>
      <c r="H5585" s="25" t="s">
        <v>7111</v>
      </c>
      <c r="I5585" s="46" t="e">
        <f>VLOOKUP(H5585,'合同高级查询数据-4月返'!A:A,1,FALSE)</f>
        <v>#N/A</v>
      </c>
      <c r="J5585" s="47" t="s">
        <v>3488</v>
      </c>
      <c r="K5585" s="24" t="s">
        <v>7112</v>
      </c>
      <c r="L5585" s="109"/>
      <c r="M5585" s="49" t="s">
        <v>6939</v>
      </c>
      <c r="N5585" s="50">
        <v>43665</v>
      </c>
      <c r="O5585" s="22" t="s">
        <v>503</v>
      </c>
      <c r="P5585" s="52">
        <v>5800</v>
      </c>
      <c r="Q5585" s="70">
        <v>28</v>
      </c>
      <c r="R5585" s="52">
        <f t="shared" si="171"/>
        <v>162400</v>
      </c>
      <c r="S5585" s="47">
        <v>202304</v>
      </c>
      <c r="T5585" s="123" t="s">
        <v>7115</v>
      </c>
      <c r="U5585" s="48"/>
      <c r="V5585" s="48"/>
      <c r="W5585" s="48"/>
      <c r="X5585" s="50">
        <v>43525</v>
      </c>
      <c r="Y5585" s="50">
        <v>45716</v>
      </c>
    </row>
    <row r="5586" s="5" customFormat="1" customHeight="1" spans="1:25">
      <c r="A5586" s="24" t="s">
        <v>444</v>
      </c>
      <c r="B5586" s="24" t="s">
        <v>6300</v>
      </c>
      <c r="C5586" s="24" t="s">
        <v>3237</v>
      </c>
      <c r="D5586" s="22" t="s">
        <v>6301</v>
      </c>
      <c r="E5586" s="23" t="s">
        <v>6936</v>
      </c>
      <c r="F5586" s="24" t="s">
        <v>6937</v>
      </c>
      <c r="G5586" s="24" t="s">
        <v>88</v>
      </c>
      <c r="H5586" s="25" t="s">
        <v>7111</v>
      </c>
      <c r="I5586" s="46" t="e">
        <f>VLOOKUP(H5586,'合同高级查询数据-4月返'!A:A,1,FALSE)</f>
        <v>#N/A</v>
      </c>
      <c r="J5586" s="47" t="s">
        <v>3488</v>
      </c>
      <c r="K5586" s="24" t="s">
        <v>7112</v>
      </c>
      <c r="L5586" s="109"/>
      <c r="M5586" s="49" t="s">
        <v>6939</v>
      </c>
      <c r="N5586" s="50">
        <v>43684</v>
      </c>
      <c r="O5586" s="22" t="s">
        <v>503</v>
      </c>
      <c r="P5586" s="52">
        <v>5800</v>
      </c>
      <c r="Q5586" s="70">
        <v>1</v>
      </c>
      <c r="R5586" s="52">
        <f t="shared" si="171"/>
        <v>5800</v>
      </c>
      <c r="S5586" s="47">
        <v>202304</v>
      </c>
      <c r="T5586" s="123" t="s">
        <v>7116</v>
      </c>
      <c r="U5586" s="48"/>
      <c r="V5586" s="48"/>
      <c r="W5586" s="48"/>
      <c r="X5586" s="50">
        <v>43525</v>
      </c>
      <c r="Y5586" s="50">
        <v>45716</v>
      </c>
    </row>
    <row r="5587" s="5" customFormat="1" customHeight="1" spans="1:25">
      <c r="A5587" s="24" t="s">
        <v>444</v>
      </c>
      <c r="B5587" s="24" t="s">
        <v>6300</v>
      </c>
      <c r="C5587" s="24" t="s">
        <v>3237</v>
      </c>
      <c r="D5587" s="22" t="s">
        <v>6301</v>
      </c>
      <c r="E5587" s="23" t="s">
        <v>6936</v>
      </c>
      <c r="F5587" s="24" t="s">
        <v>6937</v>
      </c>
      <c r="G5587" s="24" t="s">
        <v>88</v>
      </c>
      <c r="H5587" s="25" t="s">
        <v>7111</v>
      </c>
      <c r="I5587" s="46" t="e">
        <f>VLOOKUP(H5587,'合同高级查询数据-4月返'!A:A,1,FALSE)</f>
        <v>#N/A</v>
      </c>
      <c r="J5587" s="47" t="s">
        <v>3488</v>
      </c>
      <c r="K5587" s="24" t="s">
        <v>7112</v>
      </c>
      <c r="L5587" s="109"/>
      <c r="M5587" s="49" t="s">
        <v>6939</v>
      </c>
      <c r="N5587" s="50">
        <v>43714</v>
      </c>
      <c r="O5587" s="22" t="s">
        <v>503</v>
      </c>
      <c r="P5587" s="52">
        <v>5800</v>
      </c>
      <c r="Q5587" s="70">
        <v>6</v>
      </c>
      <c r="R5587" s="52">
        <f t="shared" si="171"/>
        <v>34800</v>
      </c>
      <c r="S5587" s="47">
        <v>202304</v>
      </c>
      <c r="T5587" s="123" t="s">
        <v>7117</v>
      </c>
      <c r="U5587" s="48"/>
      <c r="V5587" s="48"/>
      <c r="W5587" s="48"/>
      <c r="X5587" s="50">
        <v>43525</v>
      </c>
      <c r="Y5587" s="50">
        <v>45716</v>
      </c>
    </row>
    <row r="5588" s="5" customFormat="1" customHeight="1" spans="1:25">
      <c r="A5588" s="24" t="s">
        <v>444</v>
      </c>
      <c r="B5588" s="24" t="s">
        <v>6300</v>
      </c>
      <c r="C5588" s="24" t="s">
        <v>3237</v>
      </c>
      <c r="D5588" s="22" t="s">
        <v>6301</v>
      </c>
      <c r="E5588" s="23" t="s">
        <v>6936</v>
      </c>
      <c r="F5588" s="24" t="s">
        <v>6937</v>
      </c>
      <c r="G5588" s="24" t="s">
        <v>88</v>
      </c>
      <c r="H5588" s="25" t="s">
        <v>7111</v>
      </c>
      <c r="I5588" s="46" t="e">
        <f>VLOOKUP(H5588,'合同高级查询数据-4月返'!A:A,1,FALSE)</f>
        <v>#N/A</v>
      </c>
      <c r="J5588" s="47" t="s">
        <v>3488</v>
      </c>
      <c r="K5588" s="24" t="s">
        <v>7112</v>
      </c>
      <c r="L5588" s="109"/>
      <c r="M5588" s="49" t="s">
        <v>6939</v>
      </c>
      <c r="N5588" s="50">
        <v>43720</v>
      </c>
      <c r="O5588" s="22" t="s">
        <v>503</v>
      </c>
      <c r="P5588" s="52">
        <v>5800</v>
      </c>
      <c r="Q5588" s="70">
        <v>32</v>
      </c>
      <c r="R5588" s="52">
        <f t="shared" si="171"/>
        <v>185600</v>
      </c>
      <c r="S5588" s="47">
        <v>202304</v>
      </c>
      <c r="T5588" s="123" t="s">
        <v>7118</v>
      </c>
      <c r="U5588" s="48"/>
      <c r="V5588" s="48"/>
      <c r="W5588" s="48"/>
      <c r="X5588" s="50">
        <v>43525</v>
      </c>
      <c r="Y5588" s="50">
        <v>45716</v>
      </c>
    </row>
    <row r="5589" s="5" customFormat="1" customHeight="1" spans="1:25">
      <c r="A5589" s="24" t="s">
        <v>444</v>
      </c>
      <c r="B5589" s="24" t="s">
        <v>6300</v>
      </c>
      <c r="C5589" s="24" t="s">
        <v>3237</v>
      </c>
      <c r="D5589" s="22" t="s">
        <v>6301</v>
      </c>
      <c r="E5589" s="23" t="s">
        <v>6936</v>
      </c>
      <c r="F5589" s="24" t="s">
        <v>6937</v>
      </c>
      <c r="G5589" s="24" t="s">
        <v>88</v>
      </c>
      <c r="H5589" s="25" t="s">
        <v>7111</v>
      </c>
      <c r="I5589" s="46" t="e">
        <f>VLOOKUP(H5589,'合同高级查询数据-4月返'!A:A,1,FALSE)</f>
        <v>#N/A</v>
      </c>
      <c r="J5589" s="47" t="s">
        <v>3488</v>
      </c>
      <c r="K5589" s="24" t="s">
        <v>7112</v>
      </c>
      <c r="L5589" s="109"/>
      <c r="M5589" s="49" t="s">
        <v>6939</v>
      </c>
      <c r="N5589" s="50">
        <v>43733</v>
      </c>
      <c r="O5589" s="22" t="s">
        <v>503</v>
      </c>
      <c r="P5589" s="52">
        <v>5800</v>
      </c>
      <c r="Q5589" s="70">
        <v>1</v>
      </c>
      <c r="R5589" s="52">
        <f t="shared" si="171"/>
        <v>5800</v>
      </c>
      <c r="S5589" s="47">
        <v>202304</v>
      </c>
      <c r="T5589" s="123" t="s">
        <v>7119</v>
      </c>
      <c r="U5589" s="48"/>
      <c r="V5589" s="48"/>
      <c r="W5589" s="48"/>
      <c r="X5589" s="50">
        <v>43525</v>
      </c>
      <c r="Y5589" s="50">
        <v>45716</v>
      </c>
    </row>
    <row r="5590" s="5" customFormat="1" customHeight="1" spans="1:25">
      <c r="A5590" s="24" t="s">
        <v>444</v>
      </c>
      <c r="B5590" s="24" t="s">
        <v>6300</v>
      </c>
      <c r="C5590" s="24" t="s">
        <v>3237</v>
      </c>
      <c r="D5590" s="22" t="s">
        <v>6301</v>
      </c>
      <c r="E5590" s="23" t="s">
        <v>6936</v>
      </c>
      <c r="F5590" s="24" t="s">
        <v>6937</v>
      </c>
      <c r="G5590" s="24" t="s">
        <v>88</v>
      </c>
      <c r="H5590" s="25" t="s">
        <v>7111</v>
      </c>
      <c r="I5590" s="46" t="e">
        <f>VLOOKUP(H5590,'合同高级查询数据-4月返'!A:A,1,FALSE)</f>
        <v>#N/A</v>
      </c>
      <c r="J5590" s="47" t="s">
        <v>3488</v>
      </c>
      <c r="K5590" s="24" t="s">
        <v>7112</v>
      </c>
      <c r="L5590" s="109"/>
      <c r="M5590" s="49" t="s">
        <v>6939</v>
      </c>
      <c r="N5590" s="50">
        <v>43930</v>
      </c>
      <c r="O5590" s="22" t="s">
        <v>503</v>
      </c>
      <c r="P5590" s="52">
        <v>5800</v>
      </c>
      <c r="Q5590" s="70">
        <v>4</v>
      </c>
      <c r="R5590" s="52">
        <f t="shared" si="171"/>
        <v>23200</v>
      </c>
      <c r="S5590" s="47">
        <v>202304</v>
      </c>
      <c r="T5590" s="123" t="s">
        <v>7120</v>
      </c>
      <c r="U5590" s="48"/>
      <c r="V5590" s="48"/>
      <c r="W5590" s="48"/>
      <c r="X5590" s="50">
        <v>43525</v>
      </c>
      <c r="Y5590" s="50">
        <v>45716</v>
      </c>
    </row>
    <row r="5591" s="5" customFormat="1" customHeight="1" spans="1:25">
      <c r="A5591" s="24" t="s">
        <v>444</v>
      </c>
      <c r="B5591" s="24" t="s">
        <v>6300</v>
      </c>
      <c r="C5591" s="24" t="s">
        <v>3237</v>
      </c>
      <c r="D5591" s="22" t="s">
        <v>6301</v>
      </c>
      <c r="E5591" s="23" t="s">
        <v>6936</v>
      </c>
      <c r="F5591" s="24" t="s">
        <v>6937</v>
      </c>
      <c r="G5591" s="24" t="s">
        <v>88</v>
      </c>
      <c r="H5591" s="25" t="s">
        <v>7111</v>
      </c>
      <c r="I5591" s="46" t="e">
        <f>VLOOKUP(H5591,'合同高级查询数据-4月返'!A:A,1,FALSE)</f>
        <v>#N/A</v>
      </c>
      <c r="J5591" s="47" t="s">
        <v>3488</v>
      </c>
      <c r="K5591" s="24" t="s">
        <v>7112</v>
      </c>
      <c r="L5591" s="109"/>
      <c r="M5591" s="49" t="s">
        <v>6939</v>
      </c>
      <c r="N5591" s="50">
        <v>43938</v>
      </c>
      <c r="O5591" s="22" t="s">
        <v>503</v>
      </c>
      <c r="P5591" s="52">
        <v>5800</v>
      </c>
      <c r="Q5591" s="70">
        <v>2</v>
      </c>
      <c r="R5591" s="52">
        <f t="shared" si="171"/>
        <v>11600</v>
      </c>
      <c r="S5591" s="47">
        <v>202304</v>
      </c>
      <c r="T5591" s="123" t="s">
        <v>7121</v>
      </c>
      <c r="U5591" s="48"/>
      <c r="V5591" s="48"/>
      <c r="W5591" s="48"/>
      <c r="X5591" s="50">
        <v>43525</v>
      </c>
      <c r="Y5591" s="50">
        <v>45716</v>
      </c>
    </row>
    <row r="5592" s="5" customFormat="1" customHeight="1" spans="1:25">
      <c r="A5592" s="24" t="s">
        <v>444</v>
      </c>
      <c r="B5592" s="24" t="s">
        <v>6300</v>
      </c>
      <c r="C5592" s="24" t="s">
        <v>3237</v>
      </c>
      <c r="D5592" s="22" t="s">
        <v>6301</v>
      </c>
      <c r="E5592" s="23" t="s">
        <v>6936</v>
      </c>
      <c r="F5592" s="24" t="s">
        <v>6937</v>
      </c>
      <c r="G5592" s="24" t="s">
        <v>88</v>
      </c>
      <c r="H5592" s="25" t="s">
        <v>7111</v>
      </c>
      <c r="I5592" s="46" t="e">
        <f>VLOOKUP(H5592,'合同高级查询数据-4月返'!A:A,1,FALSE)</f>
        <v>#N/A</v>
      </c>
      <c r="J5592" s="47" t="s">
        <v>3488</v>
      </c>
      <c r="K5592" s="24" t="s">
        <v>7112</v>
      </c>
      <c r="L5592" s="109"/>
      <c r="M5592" s="49" t="s">
        <v>6939</v>
      </c>
      <c r="N5592" s="50">
        <v>43938</v>
      </c>
      <c r="O5592" s="22" t="s">
        <v>503</v>
      </c>
      <c r="P5592" s="52">
        <v>5800</v>
      </c>
      <c r="Q5592" s="70">
        <v>-1</v>
      </c>
      <c r="R5592" s="52">
        <f t="shared" si="171"/>
        <v>-5800</v>
      </c>
      <c r="S5592" s="47">
        <v>202304</v>
      </c>
      <c r="T5592" s="123" t="s">
        <v>7122</v>
      </c>
      <c r="U5592" s="48"/>
      <c r="V5592" s="48"/>
      <c r="W5592" s="48"/>
      <c r="X5592" s="50">
        <v>43525</v>
      </c>
      <c r="Y5592" s="50">
        <v>45716</v>
      </c>
    </row>
    <row r="5593" s="5" customFormat="1" customHeight="1" spans="1:25">
      <c r="A5593" s="24" t="s">
        <v>444</v>
      </c>
      <c r="B5593" s="24" t="s">
        <v>6300</v>
      </c>
      <c r="C5593" s="24" t="s">
        <v>3237</v>
      </c>
      <c r="D5593" s="22" t="s">
        <v>6301</v>
      </c>
      <c r="E5593" s="23" t="s">
        <v>6936</v>
      </c>
      <c r="F5593" s="24" t="s">
        <v>6937</v>
      </c>
      <c r="G5593" s="24" t="s">
        <v>88</v>
      </c>
      <c r="H5593" s="25" t="s">
        <v>7111</v>
      </c>
      <c r="I5593" s="46" t="e">
        <f>VLOOKUP(H5593,'合同高级查询数据-4月返'!A:A,1,FALSE)</f>
        <v>#N/A</v>
      </c>
      <c r="J5593" s="47" t="s">
        <v>3488</v>
      </c>
      <c r="K5593" s="24" t="s">
        <v>7112</v>
      </c>
      <c r="L5593" s="109"/>
      <c r="M5593" s="49" t="s">
        <v>6939</v>
      </c>
      <c r="N5593" s="50">
        <v>43943</v>
      </c>
      <c r="O5593" s="22" t="s">
        <v>503</v>
      </c>
      <c r="P5593" s="52">
        <v>5800</v>
      </c>
      <c r="Q5593" s="70">
        <v>11</v>
      </c>
      <c r="R5593" s="52">
        <f t="shared" si="171"/>
        <v>63800</v>
      </c>
      <c r="S5593" s="47">
        <v>202304</v>
      </c>
      <c r="T5593" s="123" t="s">
        <v>7123</v>
      </c>
      <c r="U5593" s="48"/>
      <c r="V5593" s="48"/>
      <c r="W5593" s="48"/>
      <c r="X5593" s="50">
        <v>43525</v>
      </c>
      <c r="Y5593" s="50">
        <v>45716</v>
      </c>
    </row>
    <row r="5594" s="5" customFormat="1" customHeight="1" spans="1:25">
      <c r="A5594" s="24" t="s">
        <v>444</v>
      </c>
      <c r="B5594" s="24" t="s">
        <v>6300</v>
      </c>
      <c r="C5594" s="24" t="s">
        <v>3237</v>
      </c>
      <c r="D5594" s="22" t="s">
        <v>6301</v>
      </c>
      <c r="E5594" s="23" t="s">
        <v>6936</v>
      </c>
      <c r="F5594" s="24" t="s">
        <v>6937</v>
      </c>
      <c r="G5594" s="24" t="s">
        <v>88</v>
      </c>
      <c r="H5594" s="25" t="s">
        <v>7111</v>
      </c>
      <c r="I5594" s="46" t="e">
        <f>VLOOKUP(H5594,'合同高级查询数据-4月返'!A:A,1,FALSE)</f>
        <v>#N/A</v>
      </c>
      <c r="J5594" s="47" t="s">
        <v>3488</v>
      </c>
      <c r="K5594" s="24" t="s">
        <v>7112</v>
      </c>
      <c r="L5594" s="109"/>
      <c r="M5594" s="49" t="s">
        <v>6939</v>
      </c>
      <c r="N5594" s="50">
        <v>43985</v>
      </c>
      <c r="O5594" s="22" t="s">
        <v>503</v>
      </c>
      <c r="P5594" s="52">
        <v>5800</v>
      </c>
      <c r="Q5594" s="70">
        <v>29</v>
      </c>
      <c r="R5594" s="52">
        <f t="shared" si="171"/>
        <v>168200</v>
      </c>
      <c r="S5594" s="47">
        <v>202304</v>
      </c>
      <c r="T5594" s="123" t="s">
        <v>7124</v>
      </c>
      <c r="U5594" s="48"/>
      <c r="V5594" s="48"/>
      <c r="W5594" s="48"/>
      <c r="X5594" s="50">
        <v>43525</v>
      </c>
      <c r="Y5594" s="50">
        <v>45716</v>
      </c>
    </row>
    <row r="5595" s="5" customFormat="1" customHeight="1" spans="1:25">
      <c r="A5595" s="24" t="s">
        <v>444</v>
      </c>
      <c r="B5595" s="24" t="s">
        <v>6300</v>
      </c>
      <c r="C5595" s="24" t="s">
        <v>3237</v>
      </c>
      <c r="D5595" s="22" t="s">
        <v>6301</v>
      </c>
      <c r="E5595" s="23" t="s">
        <v>6936</v>
      </c>
      <c r="F5595" s="24" t="s">
        <v>6937</v>
      </c>
      <c r="G5595" s="24" t="s">
        <v>88</v>
      </c>
      <c r="H5595" s="25" t="s">
        <v>7111</v>
      </c>
      <c r="I5595" s="46" t="e">
        <f>VLOOKUP(H5595,'合同高级查询数据-4月返'!A:A,1,FALSE)</f>
        <v>#N/A</v>
      </c>
      <c r="J5595" s="47" t="s">
        <v>3488</v>
      </c>
      <c r="K5595" s="24" t="s">
        <v>7112</v>
      </c>
      <c r="L5595" s="109"/>
      <c r="M5595" s="49" t="s">
        <v>6939</v>
      </c>
      <c r="N5595" s="50">
        <v>43987</v>
      </c>
      <c r="O5595" s="22" t="s">
        <v>503</v>
      </c>
      <c r="P5595" s="52">
        <v>5800</v>
      </c>
      <c r="Q5595" s="70">
        <v>3</v>
      </c>
      <c r="R5595" s="52">
        <f t="shared" si="171"/>
        <v>17400</v>
      </c>
      <c r="S5595" s="47">
        <v>202304</v>
      </c>
      <c r="T5595" s="123" t="s">
        <v>7125</v>
      </c>
      <c r="U5595" s="48"/>
      <c r="V5595" s="48"/>
      <c r="W5595" s="48"/>
      <c r="X5595" s="50">
        <v>43525</v>
      </c>
      <c r="Y5595" s="50">
        <v>45716</v>
      </c>
    </row>
    <row r="5596" s="5" customFormat="1" customHeight="1" spans="1:25">
      <c r="A5596" s="24" t="s">
        <v>444</v>
      </c>
      <c r="B5596" s="24" t="s">
        <v>6300</v>
      </c>
      <c r="C5596" s="24" t="s">
        <v>3237</v>
      </c>
      <c r="D5596" s="22" t="s">
        <v>6301</v>
      </c>
      <c r="E5596" s="23" t="s">
        <v>6936</v>
      </c>
      <c r="F5596" s="24" t="s">
        <v>6937</v>
      </c>
      <c r="G5596" s="24" t="s">
        <v>88</v>
      </c>
      <c r="H5596" s="25" t="s">
        <v>7111</v>
      </c>
      <c r="I5596" s="46" t="e">
        <f>VLOOKUP(H5596,'合同高级查询数据-4月返'!A:A,1,FALSE)</f>
        <v>#N/A</v>
      </c>
      <c r="J5596" s="47" t="s">
        <v>3488</v>
      </c>
      <c r="K5596" s="24" t="s">
        <v>7112</v>
      </c>
      <c r="L5596" s="109"/>
      <c r="M5596" s="49" t="s">
        <v>6939</v>
      </c>
      <c r="N5596" s="50">
        <v>43991</v>
      </c>
      <c r="O5596" s="22" t="s">
        <v>503</v>
      </c>
      <c r="P5596" s="52">
        <v>5800</v>
      </c>
      <c r="Q5596" s="70">
        <v>25</v>
      </c>
      <c r="R5596" s="52">
        <f t="shared" ref="R5596:R5659" si="172">ROUND(P5596*Q5596,2)</f>
        <v>145000</v>
      </c>
      <c r="S5596" s="47">
        <v>202304</v>
      </c>
      <c r="T5596" s="123" t="s">
        <v>7126</v>
      </c>
      <c r="U5596" s="48"/>
      <c r="V5596" s="48"/>
      <c r="W5596" s="48"/>
      <c r="X5596" s="50">
        <v>43525</v>
      </c>
      <c r="Y5596" s="50">
        <v>45716</v>
      </c>
    </row>
    <row r="5597" s="5" customFormat="1" customHeight="1" spans="1:25">
      <c r="A5597" s="24" t="s">
        <v>444</v>
      </c>
      <c r="B5597" s="24" t="s">
        <v>6300</v>
      </c>
      <c r="C5597" s="24" t="s">
        <v>3237</v>
      </c>
      <c r="D5597" s="22" t="s">
        <v>6301</v>
      </c>
      <c r="E5597" s="23" t="s">
        <v>6936</v>
      </c>
      <c r="F5597" s="24" t="s">
        <v>6937</v>
      </c>
      <c r="G5597" s="24" t="s">
        <v>88</v>
      </c>
      <c r="H5597" s="25" t="s">
        <v>7111</v>
      </c>
      <c r="I5597" s="46" t="e">
        <f>VLOOKUP(H5597,'合同高级查询数据-4月返'!A:A,1,FALSE)</f>
        <v>#N/A</v>
      </c>
      <c r="J5597" s="47" t="s">
        <v>3488</v>
      </c>
      <c r="K5597" s="24" t="s">
        <v>7112</v>
      </c>
      <c r="L5597" s="109"/>
      <c r="M5597" s="49" t="s">
        <v>6939</v>
      </c>
      <c r="N5597" s="50">
        <v>43993</v>
      </c>
      <c r="O5597" s="22" t="s">
        <v>503</v>
      </c>
      <c r="P5597" s="52">
        <v>5800</v>
      </c>
      <c r="Q5597" s="70">
        <v>29</v>
      </c>
      <c r="R5597" s="52">
        <f t="shared" si="172"/>
        <v>168200</v>
      </c>
      <c r="S5597" s="47">
        <v>202304</v>
      </c>
      <c r="T5597" s="123" t="s">
        <v>7127</v>
      </c>
      <c r="U5597" s="48"/>
      <c r="V5597" s="48"/>
      <c r="W5597" s="48"/>
      <c r="X5597" s="50">
        <v>43525</v>
      </c>
      <c r="Y5597" s="50">
        <v>45716</v>
      </c>
    </row>
    <row r="5598" s="5" customFormat="1" customHeight="1" spans="1:25">
      <c r="A5598" s="24" t="s">
        <v>444</v>
      </c>
      <c r="B5598" s="24" t="s">
        <v>6300</v>
      </c>
      <c r="C5598" s="24" t="s">
        <v>3237</v>
      </c>
      <c r="D5598" s="22" t="s">
        <v>6301</v>
      </c>
      <c r="E5598" s="23" t="s">
        <v>6936</v>
      </c>
      <c r="F5598" s="24" t="s">
        <v>6937</v>
      </c>
      <c r="G5598" s="24" t="s">
        <v>88</v>
      </c>
      <c r="H5598" s="25" t="s">
        <v>7111</v>
      </c>
      <c r="I5598" s="46" t="e">
        <f>VLOOKUP(H5598,'合同高级查询数据-4月返'!A:A,1,FALSE)</f>
        <v>#N/A</v>
      </c>
      <c r="J5598" s="47" t="s">
        <v>3488</v>
      </c>
      <c r="K5598" s="24" t="s">
        <v>7112</v>
      </c>
      <c r="L5598" s="109"/>
      <c r="M5598" s="49" t="s">
        <v>6939</v>
      </c>
      <c r="N5598" s="50">
        <v>44004</v>
      </c>
      <c r="O5598" s="22" t="s">
        <v>503</v>
      </c>
      <c r="P5598" s="52">
        <v>5800</v>
      </c>
      <c r="Q5598" s="70">
        <v>30</v>
      </c>
      <c r="R5598" s="52">
        <f t="shared" si="172"/>
        <v>174000</v>
      </c>
      <c r="S5598" s="47">
        <v>202304</v>
      </c>
      <c r="T5598" s="123" t="s">
        <v>7128</v>
      </c>
      <c r="U5598" s="48"/>
      <c r="V5598" s="48"/>
      <c r="W5598" s="48"/>
      <c r="X5598" s="50">
        <v>43525</v>
      </c>
      <c r="Y5598" s="50">
        <v>45716</v>
      </c>
    </row>
    <row r="5599" s="5" customFormat="1" customHeight="1" spans="1:25">
      <c r="A5599" s="24" t="s">
        <v>444</v>
      </c>
      <c r="B5599" s="24" t="s">
        <v>6300</v>
      </c>
      <c r="C5599" s="24" t="s">
        <v>3237</v>
      </c>
      <c r="D5599" s="22" t="s">
        <v>6301</v>
      </c>
      <c r="E5599" s="23" t="s">
        <v>6936</v>
      </c>
      <c r="F5599" s="24" t="s">
        <v>6937</v>
      </c>
      <c r="G5599" s="24" t="s">
        <v>88</v>
      </c>
      <c r="H5599" s="25" t="s">
        <v>7111</v>
      </c>
      <c r="I5599" s="46" t="e">
        <f>VLOOKUP(H5599,'合同高级查询数据-4月返'!A:A,1,FALSE)</f>
        <v>#N/A</v>
      </c>
      <c r="J5599" s="47" t="s">
        <v>3488</v>
      </c>
      <c r="K5599" s="24" t="s">
        <v>7112</v>
      </c>
      <c r="L5599" s="109"/>
      <c r="M5599" s="49" t="s">
        <v>6939</v>
      </c>
      <c r="N5599" s="50">
        <v>43993</v>
      </c>
      <c r="O5599" s="22" t="s">
        <v>503</v>
      </c>
      <c r="P5599" s="52">
        <v>5800</v>
      </c>
      <c r="Q5599" s="70">
        <v>2</v>
      </c>
      <c r="R5599" s="52">
        <f t="shared" si="172"/>
        <v>11600</v>
      </c>
      <c r="S5599" s="47">
        <v>202304</v>
      </c>
      <c r="T5599" s="123" t="s">
        <v>7129</v>
      </c>
      <c r="U5599" s="48"/>
      <c r="V5599" s="48"/>
      <c r="W5599" s="48"/>
      <c r="X5599" s="50">
        <v>43525</v>
      </c>
      <c r="Y5599" s="50">
        <v>45716</v>
      </c>
    </row>
    <row r="5600" s="5" customFormat="1" customHeight="1" spans="1:25">
      <c r="A5600" s="24" t="s">
        <v>444</v>
      </c>
      <c r="B5600" s="24" t="s">
        <v>6300</v>
      </c>
      <c r="C5600" s="24" t="s">
        <v>3237</v>
      </c>
      <c r="D5600" s="22" t="s">
        <v>6301</v>
      </c>
      <c r="E5600" s="23" t="s">
        <v>6936</v>
      </c>
      <c r="F5600" s="24" t="s">
        <v>6937</v>
      </c>
      <c r="G5600" s="24" t="s">
        <v>88</v>
      </c>
      <c r="H5600" s="25" t="s">
        <v>7111</v>
      </c>
      <c r="I5600" s="46" t="e">
        <f>VLOOKUP(H5600,'合同高级查询数据-4月返'!A:A,1,FALSE)</f>
        <v>#N/A</v>
      </c>
      <c r="J5600" s="47" t="s">
        <v>3488</v>
      </c>
      <c r="K5600" s="24" t="s">
        <v>7112</v>
      </c>
      <c r="L5600" s="109"/>
      <c r="M5600" s="49" t="s">
        <v>6939</v>
      </c>
      <c r="N5600" s="50">
        <v>44014</v>
      </c>
      <c r="O5600" s="22" t="s">
        <v>503</v>
      </c>
      <c r="P5600" s="52">
        <v>5800</v>
      </c>
      <c r="Q5600" s="70">
        <v>3</v>
      </c>
      <c r="R5600" s="52">
        <f t="shared" si="172"/>
        <v>17400</v>
      </c>
      <c r="S5600" s="47">
        <v>202304</v>
      </c>
      <c r="T5600" s="123" t="s">
        <v>7130</v>
      </c>
      <c r="U5600" s="48"/>
      <c r="V5600" s="48"/>
      <c r="W5600" s="48"/>
      <c r="X5600" s="50">
        <v>43525</v>
      </c>
      <c r="Y5600" s="50">
        <v>45716</v>
      </c>
    </row>
    <row r="5601" s="5" customFormat="1" customHeight="1" spans="1:25">
      <c r="A5601" s="24" t="s">
        <v>444</v>
      </c>
      <c r="B5601" s="24" t="s">
        <v>6300</v>
      </c>
      <c r="C5601" s="24" t="s">
        <v>3237</v>
      </c>
      <c r="D5601" s="22" t="s">
        <v>6301</v>
      </c>
      <c r="E5601" s="23" t="s">
        <v>6936</v>
      </c>
      <c r="F5601" s="24" t="s">
        <v>6937</v>
      </c>
      <c r="G5601" s="24" t="s">
        <v>88</v>
      </c>
      <c r="H5601" s="25" t="s">
        <v>7111</v>
      </c>
      <c r="I5601" s="46" t="e">
        <f>VLOOKUP(H5601,'合同高级查询数据-4月返'!A:A,1,FALSE)</f>
        <v>#N/A</v>
      </c>
      <c r="J5601" s="47" t="s">
        <v>3488</v>
      </c>
      <c r="K5601" s="24" t="s">
        <v>7112</v>
      </c>
      <c r="L5601" s="109"/>
      <c r="M5601" s="49" t="s">
        <v>6939</v>
      </c>
      <c r="N5601" s="50">
        <v>44027</v>
      </c>
      <c r="O5601" s="22" t="s">
        <v>503</v>
      </c>
      <c r="P5601" s="52">
        <v>5800</v>
      </c>
      <c r="Q5601" s="70">
        <v>38</v>
      </c>
      <c r="R5601" s="52">
        <f t="shared" si="172"/>
        <v>220400</v>
      </c>
      <c r="S5601" s="47">
        <v>202304</v>
      </c>
      <c r="T5601" s="123" t="s">
        <v>7131</v>
      </c>
      <c r="U5601" s="48"/>
      <c r="V5601" s="48"/>
      <c r="W5601" s="48"/>
      <c r="X5601" s="50">
        <v>43525</v>
      </c>
      <c r="Y5601" s="50">
        <v>45716</v>
      </c>
    </row>
    <row r="5602" s="5" customFormat="1" customHeight="1" spans="1:25">
      <c r="A5602" s="24" t="s">
        <v>444</v>
      </c>
      <c r="B5602" s="24" t="s">
        <v>6300</v>
      </c>
      <c r="C5602" s="24" t="s">
        <v>3237</v>
      </c>
      <c r="D5602" s="22" t="s">
        <v>6301</v>
      </c>
      <c r="E5602" s="23" t="s">
        <v>6936</v>
      </c>
      <c r="F5602" s="24" t="s">
        <v>6937</v>
      </c>
      <c r="G5602" s="24" t="s">
        <v>88</v>
      </c>
      <c r="H5602" s="25" t="s">
        <v>7111</v>
      </c>
      <c r="I5602" s="46" t="e">
        <f>VLOOKUP(H5602,'合同高级查询数据-4月返'!A:A,1,FALSE)</f>
        <v>#N/A</v>
      </c>
      <c r="J5602" s="47" t="s">
        <v>3488</v>
      </c>
      <c r="K5602" s="24" t="s">
        <v>7112</v>
      </c>
      <c r="L5602" s="109"/>
      <c r="M5602" s="49" t="s">
        <v>6939</v>
      </c>
      <c r="N5602" s="50">
        <v>44029</v>
      </c>
      <c r="O5602" s="22" t="s">
        <v>503</v>
      </c>
      <c r="P5602" s="52">
        <v>5800</v>
      </c>
      <c r="Q5602" s="70">
        <v>8</v>
      </c>
      <c r="R5602" s="52">
        <f t="shared" si="172"/>
        <v>46400</v>
      </c>
      <c r="S5602" s="47">
        <v>202304</v>
      </c>
      <c r="T5602" s="123" t="s">
        <v>7132</v>
      </c>
      <c r="U5602" s="48"/>
      <c r="V5602" s="48"/>
      <c r="W5602" s="48"/>
      <c r="X5602" s="50">
        <v>43525</v>
      </c>
      <c r="Y5602" s="50">
        <v>45716</v>
      </c>
    </row>
    <row r="5603" s="5" customFormat="1" customHeight="1" spans="1:25">
      <c r="A5603" s="24" t="s">
        <v>444</v>
      </c>
      <c r="B5603" s="24" t="s">
        <v>6300</v>
      </c>
      <c r="C5603" s="24" t="s">
        <v>3237</v>
      </c>
      <c r="D5603" s="22" t="s">
        <v>6301</v>
      </c>
      <c r="E5603" s="23" t="s">
        <v>6936</v>
      </c>
      <c r="F5603" s="24" t="s">
        <v>6937</v>
      </c>
      <c r="G5603" s="24" t="s">
        <v>88</v>
      </c>
      <c r="H5603" s="25" t="s">
        <v>7111</v>
      </c>
      <c r="I5603" s="46" t="e">
        <f>VLOOKUP(H5603,'合同高级查询数据-4月返'!A:A,1,FALSE)</f>
        <v>#N/A</v>
      </c>
      <c r="J5603" s="47" t="s">
        <v>3488</v>
      </c>
      <c r="K5603" s="24" t="s">
        <v>7112</v>
      </c>
      <c r="L5603" s="109"/>
      <c r="M5603" s="49" t="s">
        <v>6939</v>
      </c>
      <c r="N5603" s="50">
        <v>44033</v>
      </c>
      <c r="O5603" s="22" t="s">
        <v>503</v>
      </c>
      <c r="P5603" s="52">
        <v>5800</v>
      </c>
      <c r="Q5603" s="70">
        <v>7</v>
      </c>
      <c r="R5603" s="52">
        <f t="shared" si="172"/>
        <v>40600</v>
      </c>
      <c r="S5603" s="47">
        <v>202304</v>
      </c>
      <c r="T5603" s="123" t="s">
        <v>7133</v>
      </c>
      <c r="U5603" s="48"/>
      <c r="V5603" s="48"/>
      <c r="W5603" s="48"/>
      <c r="X5603" s="50">
        <v>43525</v>
      </c>
      <c r="Y5603" s="50">
        <v>45716</v>
      </c>
    </row>
    <row r="5604" s="5" customFormat="1" customHeight="1" spans="1:25">
      <c r="A5604" s="24" t="s">
        <v>444</v>
      </c>
      <c r="B5604" s="24" t="s">
        <v>6300</v>
      </c>
      <c r="C5604" s="24" t="s">
        <v>3237</v>
      </c>
      <c r="D5604" s="22" t="s">
        <v>6301</v>
      </c>
      <c r="E5604" s="23" t="s">
        <v>6936</v>
      </c>
      <c r="F5604" s="24" t="s">
        <v>6937</v>
      </c>
      <c r="G5604" s="24" t="s">
        <v>88</v>
      </c>
      <c r="H5604" s="25" t="s">
        <v>7111</v>
      </c>
      <c r="I5604" s="46" t="e">
        <f>VLOOKUP(H5604,'合同高级查询数据-4月返'!A:A,1,FALSE)</f>
        <v>#N/A</v>
      </c>
      <c r="J5604" s="47" t="s">
        <v>3488</v>
      </c>
      <c r="K5604" s="24" t="s">
        <v>7112</v>
      </c>
      <c r="L5604" s="109"/>
      <c r="M5604" s="49" t="s">
        <v>6939</v>
      </c>
      <c r="N5604" s="50">
        <v>44034</v>
      </c>
      <c r="O5604" s="22" t="s">
        <v>503</v>
      </c>
      <c r="P5604" s="52">
        <v>5800</v>
      </c>
      <c r="Q5604" s="70">
        <v>2</v>
      </c>
      <c r="R5604" s="52">
        <f t="shared" si="172"/>
        <v>11600</v>
      </c>
      <c r="S5604" s="47">
        <v>202304</v>
      </c>
      <c r="T5604" s="123" t="s">
        <v>7134</v>
      </c>
      <c r="U5604" s="48"/>
      <c r="V5604" s="48"/>
      <c r="W5604" s="48"/>
      <c r="X5604" s="50">
        <v>43525</v>
      </c>
      <c r="Y5604" s="50">
        <v>45716</v>
      </c>
    </row>
    <row r="5605" s="5" customFormat="1" customHeight="1" spans="1:25">
      <c r="A5605" s="24" t="s">
        <v>444</v>
      </c>
      <c r="B5605" s="24" t="s">
        <v>6300</v>
      </c>
      <c r="C5605" s="24" t="s">
        <v>3237</v>
      </c>
      <c r="D5605" s="22" t="s">
        <v>6301</v>
      </c>
      <c r="E5605" s="23" t="s">
        <v>6936</v>
      </c>
      <c r="F5605" s="24" t="s">
        <v>6937</v>
      </c>
      <c r="G5605" s="24" t="s">
        <v>88</v>
      </c>
      <c r="H5605" s="25" t="s">
        <v>7111</v>
      </c>
      <c r="I5605" s="46" t="e">
        <f>VLOOKUP(H5605,'合同高级查询数据-4月返'!A:A,1,FALSE)</f>
        <v>#N/A</v>
      </c>
      <c r="J5605" s="47" t="s">
        <v>3488</v>
      </c>
      <c r="K5605" s="24" t="s">
        <v>7112</v>
      </c>
      <c r="L5605" s="109"/>
      <c r="M5605" s="49" t="s">
        <v>6939</v>
      </c>
      <c r="N5605" s="50">
        <v>44046</v>
      </c>
      <c r="O5605" s="22" t="s">
        <v>503</v>
      </c>
      <c r="P5605" s="52">
        <v>5800</v>
      </c>
      <c r="Q5605" s="70">
        <v>80</v>
      </c>
      <c r="R5605" s="52">
        <f t="shared" si="172"/>
        <v>464000</v>
      </c>
      <c r="S5605" s="47">
        <v>202304</v>
      </c>
      <c r="T5605" s="123" t="s">
        <v>7135</v>
      </c>
      <c r="U5605" s="48"/>
      <c r="V5605" s="48"/>
      <c r="W5605" s="48"/>
      <c r="X5605" s="50">
        <v>43525</v>
      </c>
      <c r="Y5605" s="50">
        <v>45716</v>
      </c>
    </row>
    <row r="5606" s="5" customFormat="1" customHeight="1" spans="1:25">
      <c r="A5606" s="24" t="s">
        <v>444</v>
      </c>
      <c r="B5606" s="24" t="s">
        <v>6300</v>
      </c>
      <c r="C5606" s="24" t="s">
        <v>3237</v>
      </c>
      <c r="D5606" s="22" t="s">
        <v>6301</v>
      </c>
      <c r="E5606" s="23" t="s">
        <v>6936</v>
      </c>
      <c r="F5606" s="24" t="s">
        <v>6937</v>
      </c>
      <c r="G5606" s="24" t="s">
        <v>88</v>
      </c>
      <c r="H5606" s="25" t="s">
        <v>7111</v>
      </c>
      <c r="I5606" s="46" t="e">
        <f>VLOOKUP(H5606,'合同高级查询数据-4月返'!A:A,1,FALSE)</f>
        <v>#N/A</v>
      </c>
      <c r="J5606" s="47" t="s">
        <v>3488</v>
      </c>
      <c r="K5606" s="24" t="s">
        <v>7112</v>
      </c>
      <c r="L5606" s="109"/>
      <c r="M5606" s="49" t="s">
        <v>6939</v>
      </c>
      <c r="N5606" s="50">
        <v>44056</v>
      </c>
      <c r="O5606" s="22" t="s">
        <v>503</v>
      </c>
      <c r="P5606" s="52">
        <v>5800</v>
      </c>
      <c r="Q5606" s="70">
        <v>12</v>
      </c>
      <c r="R5606" s="52">
        <f t="shared" si="172"/>
        <v>69600</v>
      </c>
      <c r="S5606" s="47">
        <v>202304</v>
      </c>
      <c r="T5606" s="123" t="s">
        <v>7136</v>
      </c>
      <c r="U5606" s="48"/>
      <c r="V5606" s="48"/>
      <c r="W5606" s="48"/>
      <c r="X5606" s="50">
        <v>43525</v>
      </c>
      <c r="Y5606" s="50">
        <v>45716</v>
      </c>
    </row>
    <row r="5607" s="5" customFormat="1" customHeight="1" spans="1:25">
      <c r="A5607" s="24" t="s">
        <v>444</v>
      </c>
      <c r="B5607" s="24" t="s">
        <v>6300</v>
      </c>
      <c r="C5607" s="24" t="s">
        <v>3237</v>
      </c>
      <c r="D5607" s="22" t="s">
        <v>6301</v>
      </c>
      <c r="E5607" s="23" t="s">
        <v>6936</v>
      </c>
      <c r="F5607" s="24" t="s">
        <v>6937</v>
      </c>
      <c r="G5607" s="24" t="s">
        <v>88</v>
      </c>
      <c r="H5607" s="25" t="s">
        <v>7111</v>
      </c>
      <c r="I5607" s="46" t="e">
        <f>VLOOKUP(H5607,'合同高级查询数据-4月返'!A:A,1,FALSE)</f>
        <v>#N/A</v>
      </c>
      <c r="J5607" s="47" t="s">
        <v>3488</v>
      </c>
      <c r="K5607" s="24" t="s">
        <v>7112</v>
      </c>
      <c r="L5607" s="109"/>
      <c r="M5607" s="49" t="s">
        <v>6939</v>
      </c>
      <c r="N5607" s="50">
        <v>44056</v>
      </c>
      <c r="O5607" s="22" t="s">
        <v>525</v>
      </c>
      <c r="P5607" s="52">
        <v>5950</v>
      </c>
      <c r="Q5607" s="70">
        <v>6</v>
      </c>
      <c r="R5607" s="52">
        <f t="shared" si="172"/>
        <v>35700</v>
      </c>
      <c r="S5607" s="47">
        <v>202304</v>
      </c>
      <c r="T5607" s="123" t="s">
        <v>7137</v>
      </c>
      <c r="U5607" s="48"/>
      <c r="V5607" s="48"/>
      <c r="W5607" s="48"/>
      <c r="X5607" s="50">
        <v>43525</v>
      </c>
      <c r="Y5607" s="50">
        <v>45716</v>
      </c>
    </row>
    <row r="5608" s="5" customFormat="1" customHeight="1" spans="1:25">
      <c r="A5608" s="24" t="s">
        <v>444</v>
      </c>
      <c r="B5608" s="24" t="s">
        <v>6300</v>
      </c>
      <c r="C5608" s="24" t="s">
        <v>3237</v>
      </c>
      <c r="D5608" s="22" t="s">
        <v>6301</v>
      </c>
      <c r="E5608" s="23" t="s">
        <v>6936</v>
      </c>
      <c r="F5608" s="24" t="s">
        <v>6937</v>
      </c>
      <c r="G5608" s="24" t="s">
        <v>88</v>
      </c>
      <c r="H5608" s="25" t="s">
        <v>7111</v>
      </c>
      <c r="I5608" s="46" t="e">
        <f>VLOOKUP(H5608,'合同高级查询数据-4月返'!A:A,1,FALSE)</f>
        <v>#N/A</v>
      </c>
      <c r="J5608" s="47" t="s">
        <v>3488</v>
      </c>
      <c r="K5608" s="24" t="s">
        <v>7112</v>
      </c>
      <c r="L5608" s="109"/>
      <c r="M5608" s="49" t="s">
        <v>6939</v>
      </c>
      <c r="N5608" s="50">
        <v>44056</v>
      </c>
      <c r="O5608" s="22" t="s">
        <v>507</v>
      </c>
      <c r="P5608" s="52">
        <v>8114</v>
      </c>
      <c r="Q5608" s="70">
        <v>4</v>
      </c>
      <c r="R5608" s="52">
        <f t="shared" si="172"/>
        <v>32456</v>
      </c>
      <c r="S5608" s="47">
        <v>202304</v>
      </c>
      <c r="T5608" s="123" t="s">
        <v>7138</v>
      </c>
      <c r="U5608" s="48"/>
      <c r="V5608" s="48"/>
      <c r="W5608" s="48"/>
      <c r="X5608" s="50">
        <v>43525</v>
      </c>
      <c r="Y5608" s="50">
        <v>45716</v>
      </c>
    </row>
    <row r="5609" s="5" customFormat="1" customHeight="1" spans="1:25">
      <c r="A5609" s="24" t="s">
        <v>444</v>
      </c>
      <c r="B5609" s="24" t="s">
        <v>6300</v>
      </c>
      <c r="C5609" s="24" t="s">
        <v>3237</v>
      </c>
      <c r="D5609" s="22" t="s">
        <v>6301</v>
      </c>
      <c r="E5609" s="23" t="s">
        <v>6936</v>
      </c>
      <c r="F5609" s="24" t="s">
        <v>6937</v>
      </c>
      <c r="G5609" s="24" t="s">
        <v>88</v>
      </c>
      <c r="H5609" s="25" t="s">
        <v>7111</v>
      </c>
      <c r="I5609" s="46" t="e">
        <f>VLOOKUP(H5609,'合同高级查询数据-4月返'!A:A,1,FALSE)</f>
        <v>#N/A</v>
      </c>
      <c r="J5609" s="47" t="s">
        <v>3488</v>
      </c>
      <c r="K5609" s="24" t="s">
        <v>7112</v>
      </c>
      <c r="L5609" s="109"/>
      <c r="M5609" s="49" t="s">
        <v>6939</v>
      </c>
      <c r="N5609" s="50">
        <v>44056</v>
      </c>
      <c r="O5609" s="22" t="s">
        <v>606</v>
      </c>
      <c r="P5609" s="52">
        <v>20284</v>
      </c>
      <c r="Q5609" s="70">
        <v>8</v>
      </c>
      <c r="R5609" s="52">
        <f t="shared" si="172"/>
        <v>162272</v>
      </c>
      <c r="S5609" s="47">
        <v>202304</v>
      </c>
      <c r="T5609" s="123" t="s">
        <v>7139</v>
      </c>
      <c r="U5609" s="48"/>
      <c r="V5609" s="48"/>
      <c r="W5609" s="48"/>
      <c r="X5609" s="50">
        <v>43525</v>
      </c>
      <c r="Y5609" s="50">
        <v>45716</v>
      </c>
    </row>
    <row r="5610" s="5" customFormat="1" customHeight="1" spans="1:25">
      <c r="A5610" s="24" t="s">
        <v>444</v>
      </c>
      <c r="B5610" s="24" t="s">
        <v>6300</v>
      </c>
      <c r="C5610" s="24" t="s">
        <v>3237</v>
      </c>
      <c r="D5610" s="22" t="s">
        <v>6301</v>
      </c>
      <c r="E5610" s="23" t="s">
        <v>6936</v>
      </c>
      <c r="F5610" s="24" t="s">
        <v>6937</v>
      </c>
      <c r="G5610" s="24" t="s">
        <v>88</v>
      </c>
      <c r="H5610" s="25" t="s">
        <v>7111</v>
      </c>
      <c r="I5610" s="46" t="e">
        <f>VLOOKUP(H5610,'合同高级查询数据-4月返'!A:A,1,FALSE)</f>
        <v>#N/A</v>
      </c>
      <c r="J5610" s="47" t="s">
        <v>3488</v>
      </c>
      <c r="K5610" s="24" t="s">
        <v>7112</v>
      </c>
      <c r="L5610" s="109"/>
      <c r="M5610" s="49" t="s">
        <v>6939</v>
      </c>
      <c r="N5610" s="50">
        <v>44060</v>
      </c>
      <c r="O5610" s="22" t="s">
        <v>503</v>
      </c>
      <c r="P5610" s="52">
        <v>5800</v>
      </c>
      <c r="Q5610" s="70">
        <v>22</v>
      </c>
      <c r="R5610" s="52">
        <f t="shared" si="172"/>
        <v>127600</v>
      </c>
      <c r="S5610" s="47">
        <v>202304</v>
      </c>
      <c r="T5610" s="123" t="s">
        <v>7140</v>
      </c>
      <c r="U5610" s="48"/>
      <c r="V5610" s="48"/>
      <c r="W5610" s="48"/>
      <c r="X5610" s="50">
        <v>43525</v>
      </c>
      <c r="Y5610" s="50">
        <v>45716</v>
      </c>
    </row>
    <row r="5611" s="5" customFormat="1" customHeight="1" spans="1:25">
      <c r="A5611" s="24" t="s">
        <v>444</v>
      </c>
      <c r="B5611" s="24" t="s">
        <v>6300</v>
      </c>
      <c r="C5611" s="24" t="s">
        <v>3237</v>
      </c>
      <c r="D5611" s="22" t="s">
        <v>6301</v>
      </c>
      <c r="E5611" s="23" t="s">
        <v>6936</v>
      </c>
      <c r="F5611" s="24" t="s">
        <v>6937</v>
      </c>
      <c r="G5611" s="24" t="s">
        <v>88</v>
      </c>
      <c r="H5611" s="25" t="s">
        <v>7111</v>
      </c>
      <c r="I5611" s="46" t="e">
        <f>VLOOKUP(H5611,'合同高级查询数据-4月返'!A:A,1,FALSE)</f>
        <v>#N/A</v>
      </c>
      <c r="J5611" s="47" t="s">
        <v>3488</v>
      </c>
      <c r="K5611" s="24" t="s">
        <v>7112</v>
      </c>
      <c r="L5611" s="109"/>
      <c r="M5611" s="49" t="s">
        <v>6939</v>
      </c>
      <c r="N5611" s="50">
        <v>44061</v>
      </c>
      <c r="O5611" s="22" t="s">
        <v>503</v>
      </c>
      <c r="P5611" s="52">
        <v>5800</v>
      </c>
      <c r="Q5611" s="70">
        <v>27</v>
      </c>
      <c r="R5611" s="52">
        <f t="shared" si="172"/>
        <v>156600</v>
      </c>
      <c r="S5611" s="47">
        <v>202304</v>
      </c>
      <c r="T5611" s="123" t="s">
        <v>7141</v>
      </c>
      <c r="U5611" s="48"/>
      <c r="V5611" s="48"/>
      <c r="W5611" s="48"/>
      <c r="X5611" s="50">
        <v>43525</v>
      </c>
      <c r="Y5611" s="50">
        <v>45716</v>
      </c>
    </row>
    <row r="5612" s="5" customFormat="1" customHeight="1" spans="1:25">
      <c r="A5612" s="24" t="s">
        <v>444</v>
      </c>
      <c r="B5612" s="24" t="s">
        <v>6300</v>
      </c>
      <c r="C5612" s="24" t="s">
        <v>3237</v>
      </c>
      <c r="D5612" s="22" t="s">
        <v>6301</v>
      </c>
      <c r="E5612" s="23" t="s">
        <v>6936</v>
      </c>
      <c r="F5612" s="24" t="s">
        <v>6937</v>
      </c>
      <c r="G5612" s="24" t="s">
        <v>88</v>
      </c>
      <c r="H5612" s="25" t="s">
        <v>7111</v>
      </c>
      <c r="I5612" s="46" t="e">
        <f>VLOOKUP(H5612,'合同高级查询数据-4月返'!A:A,1,FALSE)</f>
        <v>#N/A</v>
      </c>
      <c r="J5612" s="47" t="s">
        <v>3488</v>
      </c>
      <c r="K5612" s="24" t="s">
        <v>7112</v>
      </c>
      <c r="L5612" s="109"/>
      <c r="M5612" s="49" t="s">
        <v>6939</v>
      </c>
      <c r="N5612" s="50">
        <v>44062</v>
      </c>
      <c r="O5612" s="22" t="s">
        <v>503</v>
      </c>
      <c r="P5612" s="52">
        <v>5800</v>
      </c>
      <c r="Q5612" s="70">
        <v>22</v>
      </c>
      <c r="R5612" s="52">
        <f t="shared" si="172"/>
        <v>127600</v>
      </c>
      <c r="S5612" s="47">
        <v>202304</v>
      </c>
      <c r="T5612" s="123" t="s">
        <v>7142</v>
      </c>
      <c r="U5612" s="48"/>
      <c r="V5612" s="48"/>
      <c r="W5612" s="48"/>
      <c r="X5612" s="50">
        <v>43525</v>
      </c>
      <c r="Y5612" s="50">
        <v>45716</v>
      </c>
    </row>
    <row r="5613" s="5" customFormat="1" customHeight="1" spans="1:25">
      <c r="A5613" s="24" t="s">
        <v>444</v>
      </c>
      <c r="B5613" s="24" t="s">
        <v>6300</v>
      </c>
      <c r="C5613" s="24" t="s">
        <v>3237</v>
      </c>
      <c r="D5613" s="22" t="s">
        <v>6301</v>
      </c>
      <c r="E5613" s="23" t="s">
        <v>6936</v>
      </c>
      <c r="F5613" s="24" t="s">
        <v>6937</v>
      </c>
      <c r="G5613" s="24" t="s">
        <v>88</v>
      </c>
      <c r="H5613" s="25" t="s">
        <v>7111</v>
      </c>
      <c r="I5613" s="46" t="e">
        <f>VLOOKUP(H5613,'合同高级查询数据-4月返'!A:A,1,FALSE)</f>
        <v>#N/A</v>
      </c>
      <c r="J5613" s="47" t="s">
        <v>3488</v>
      </c>
      <c r="K5613" s="24" t="s">
        <v>7112</v>
      </c>
      <c r="L5613" s="109"/>
      <c r="M5613" s="49" t="s">
        <v>6939</v>
      </c>
      <c r="N5613" s="50">
        <v>44064</v>
      </c>
      <c r="O5613" s="22" t="s">
        <v>503</v>
      </c>
      <c r="P5613" s="52">
        <v>5800</v>
      </c>
      <c r="Q5613" s="70">
        <v>2</v>
      </c>
      <c r="R5613" s="52">
        <f t="shared" si="172"/>
        <v>11600</v>
      </c>
      <c r="S5613" s="47">
        <v>202304</v>
      </c>
      <c r="T5613" s="123" t="s">
        <v>7143</v>
      </c>
      <c r="U5613" s="48"/>
      <c r="V5613" s="48"/>
      <c r="W5613" s="48"/>
      <c r="X5613" s="50">
        <v>43525</v>
      </c>
      <c r="Y5613" s="50">
        <v>45716</v>
      </c>
    </row>
    <row r="5614" s="5" customFormat="1" customHeight="1" spans="1:25">
      <c r="A5614" s="24" t="s">
        <v>444</v>
      </c>
      <c r="B5614" s="24" t="s">
        <v>6300</v>
      </c>
      <c r="C5614" s="24" t="s">
        <v>3237</v>
      </c>
      <c r="D5614" s="22" t="s">
        <v>6301</v>
      </c>
      <c r="E5614" s="23" t="s">
        <v>6936</v>
      </c>
      <c r="F5614" s="24" t="s">
        <v>6937</v>
      </c>
      <c r="G5614" s="24" t="s">
        <v>88</v>
      </c>
      <c r="H5614" s="25" t="s">
        <v>7111</v>
      </c>
      <c r="I5614" s="46" t="e">
        <f>VLOOKUP(H5614,'合同高级查询数据-4月返'!A:A,1,FALSE)</f>
        <v>#N/A</v>
      </c>
      <c r="J5614" s="47" t="s">
        <v>3488</v>
      </c>
      <c r="K5614" s="24" t="s">
        <v>7112</v>
      </c>
      <c r="L5614" s="109"/>
      <c r="M5614" s="49" t="s">
        <v>6939</v>
      </c>
      <c r="N5614" s="50">
        <v>44068</v>
      </c>
      <c r="O5614" s="22" t="s">
        <v>503</v>
      </c>
      <c r="P5614" s="52">
        <v>5800</v>
      </c>
      <c r="Q5614" s="70">
        <v>18</v>
      </c>
      <c r="R5614" s="52">
        <f t="shared" si="172"/>
        <v>104400</v>
      </c>
      <c r="S5614" s="47">
        <v>202304</v>
      </c>
      <c r="T5614" s="123" t="s">
        <v>7144</v>
      </c>
      <c r="U5614" s="48"/>
      <c r="V5614" s="48"/>
      <c r="W5614" s="48"/>
      <c r="X5614" s="50">
        <v>43525</v>
      </c>
      <c r="Y5614" s="50">
        <v>45716</v>
      </c>
    </row>
    <row r="5615" s="5" customFormat="1" customHeight="1" spans="1:25">
      <c r="A5615" s="24" t="s">
        <v>444</v>
      </c>
      <c r="B5615" s="24" t="s">
        <v>6300</v>
      </c>
      <c r="C5615" s="24" t="s">
        <v>3237</v>
      </c>
      <c r="D5615" s="22" t="s">
        <v>6301</v>
      </c>
      <c r="E5615" s="23" t="s">
        <v>6936</v>
      </c>
      <c r="F5615" s="24" t="s">
        <v>6937</v>
      </c>
      <c r="G5615" s="24" t="s">
        <v>88</v>
      </c>
      <c r="H5615" s="25" t="s">
        <v>7111</v>
      </c>
      <c r="I5615" s="46" t="e">
        <f>VLOOKUP(H5615,'合同高级查询数据-4月返'!A:A,1,FALSE)</f>
        <v>#N/A</v>
      </c>
      <c r="J5615" s="47" t="s">
        <v>3488</v>
      </c>
      <c r="K5615" s="24" t="s">
        <v>7112</v>
      </c>
      <c r="L5615" s="109"/>
      <c r="M5615" s="49" t="s">
        <v>6939</v>
      </c>
      <c r="N5615" s="50">
        <v>44076</v>
      </c>
      <c r="O5615" s="22" t="s">
        <v>503</v>
      </c>
      <c r="P5615" s="52">
        <v>5800</v>
      </c>
      <c r="Q5615" s="70">
        <v>7</v>
      </c>
      <c r="R5615" s="52">
        <f t="shared" si="172"/>
        <v>40600</v>
      </c>
      <c r="S5615" s="47">
        <v>202304</v>
      </c>
      <c r="T5615" s="123" t="s">
        <v>7145</v>
      </c>
      <c r="U5615" s="48"/>
      <c r="V5615" s="48"/>
      <c r="W5615" s="48"/>
      <c r="X5615" s="50">
        <v>43525</v>
      </c>
      <c r="Y5615" s="50">
        <v>45716</v>
      </c>
    </row>
    <row r="5616" s="5" customFormat="1" customHeight="1" spans="1:25">
      <c r="A5616" s="24" t="s">
        <v>444</v>
      </c>
      <c r="B5616" s="24" t="s">
        <v>6300</v>
      </c>
      <c r="C5616" s="24" t="s">
        <v>3237</v>
      </c>
      <c r="D5616" s="22" t="s">
        <v>6301</v>
      </c>
      <c r="E5616" s="23" t="s">
        <v>6936</v>
      </c>
      <c r="F5616" s="24" t="s">
        <v>6937</v>
      </c>
      <c r="G5616" s="24" t="s">
        <v>88</v>
      </c>
      <c r="H5616" s="25" t="s">
        <v>7111</v>
      </c>
      <c r="I5616" s="46" t="e">
        <f>VLOOKUP(H5616,'合同高级查询数据-4月返'!A:A,1,FALSE)</f>
        <v>#N/A</v>
      </c>
      <c r="J5616" s="47" t="s">
        <v>3488</v>
      </c>
      <c r="K5616" s="24" t="s">
        <v>7112</v>
      </c>
      <c r="L5616" s="109"/>
      <c r="M5616" s="49" t="s">
        <v>6939</v>
      </c>
      <c r="N5616" s="50">
        <v>44078</v>
      </c>
      <c r="O5616" s="22" t="s">
        <v>503</v>
      </c>
      <c r="P5616" s="52">
        <v>5800</v>
      </c>
      <c r="Q5616" s="70">
        <v>63</v>
      </c>
      <c r="R5616" s="52">
        <f t="shared" si="172"/>
        <v>365400</v>
      </c>
      <c r="S5616" s="47">
        <v>202304</v>
      </c>
      <c r="T5616" s="123" t="s">
        <v>7146</v>
      </c>
      <c r="U5616" s="48"/>
      <c r="V5616" s="48"/>
      <c r="W5616" s="48"/>
      <c r="X5616" s="50">
        <v>43525</v>
      </c>
      <c r="Y5616" s="50">
        <v>45716</v>
      </c>
    </row>
    <row r="5617" s="5" customFormat="1" customHeight="1" spans="1:25">
      <c r="A5617" s="24" t="s">
        <v>444</v>
      </c>
      <c r="B5617" s="24" t="s">
        <v>6300</v>
      </c>
      <c r="C5617" s="24" t="s">
        <v>3237</v>
      </c>
      <c r="D5617" s="22" t="s">
        <v>6301</v>
      </c>
      <c r="E5617" s="23" t="s">
        <v>6936</v>
      </c>
      <c r="F5617" s="24" t="s">
        <v>6937</v>
      </c>
      <c r="G5617" s="24" t="s">
        <v>88</v>
      </c>
      <c r="H5617" s="25" t="s">
        <v>7111</v>
      </c>
      <c r="I5617" s="46" t="e">
        <f>VLOOKUP(H5617,'合同高级查询数据-4月返'!A:A,1,FALSE)</f>
        <v>#N/A</v>
      </c>
      <c r="J5617" s="47" t="s">
        <v>3488</v>
      </c>
      <c r="K5617" s="24" t="s">
        <v>7112</v>
      </c>
      <c r="L5617" s="109"/>
      <c r="M5617" s="49" t="s">
        <v>6939</v>
      </c>
      <c r="N5617" s="50">
        <v>44091</v>
      </c>
      <c r="O5617" s="22" t="s">
        <v>503</v>
      </c>
      <c r="P5617" s="52">
        <v>5800</v>
      </c>
      <c r="Q5617" s="70">
        <v>1</v>
      </c>
      <c r="R5617" s="52">
        <f t="shared" si="172"/>
        <v>5800</v>
      </c>
      <c r="S5617" s="47">
        <v>202304</v>
      </c>
      <c r="T5617" s="123" t="s">
        <v>7147</v>
      </c>
      <c r="U5617" s="48"/>
      <c r="V5617" s="48"/>
      <c r="W5617" s="48"/>
      <c r="X5617" s="50">
        <v>43525</v>
      </c>
      <c r="Y5617" s="50">
        <v>45716</v>
      </c>
    </row>
    <row r="5618" s="5" customFormat="1" customHeight="1" spans="1:25">
      <c r="A5618" s="24" t="s">
        <v>444</v>
      </c>
      <c r="B5618" s="24" t="s">
        <v>6300</v>
      </c>
      <c r="C5618" s="24" t="s">
        <v>3237</v>
      </c>
      <c r="D5618" s="22" t="s">
        <v>6301</v>
      </c>
      <c r="E5618" s="23" t="s">
        <v>6936</v>
      </c>
      <c r="F5618" s="24" t="s">
        <v>6937</v>
      </c>
      <c r="G5618" s="24" t="s">
        <v>88</v>
      </c>
      <c r="H5618" s="25" t="s">
        <v>7111</v>
      </c>
      <c r="I5618" s="46" t="e">
        <f>VLOOKUP(H5618,'合同高级查询数据-4月返'!A:A,1,FALSE)</f>
        <v>#N/A</v>
      </c>
      <c r="J5618" s="47" t="s">
        <v>3488</v>
      </c>
      <c r="K5618" s="24" t="s">
        <v>7112</v>
      </c>
      <c r="L5618" s="109"/>
      <c r="M5618" s="49" t="s">
        <v>6939</v>
      </c>
      <c r="N5618" s="50">
        <v>44104</v>
      </c>
      <c r="O5618" s="22" t="s">
        <v>503</v>
      </c>
      <c r="P5618" s="52">
        <v>5800</v>
      </c>
      <c r="Q5618" s="70">
        <v>9</v>
      </c>
      <c r="R5618" s="52">
        <f t="shared" si="172"/>
        <v>52200</v>
      </c>
      <c r="S5618" s="47">
        <v>202304</v>
      </c>
      <c r="T5618" s="123" t="s">
        <v>7148</v>
      </c>
      <c r="U5618" s="48"/>
      <c r="V5618" s="48"/>
      <c r="W5618" s="48"/>
      <c r="X5618" s="50">
        <v>43525</v>
      </c>
      <c r="Y5618" s="50">
        <v>45716</v>
      </c>
    </row>
    <row r="5619" s="5" customFormat="1" customHeight="1" spans="1:25">
      <c r="A5619" s="24" t="s">
        <v>444</v>
      </c>
      <c r="B5619" s="24" t="s">
        <v>6300</v>
      </c>
      <c r="C5619" s="24" t="s">
        <v>3237</v>
      </c>
      <c r="D5619" s="22" t="s">
        <v>6301</v>
      </c>
      <c r="E5619" s="23" t="s">
        <v>6936</v>
      </c>
      <c r="F5619" s="24" t="s">
        <v>6937</v>
      </c>
      <c r="G5619" s="24" t="s">
        <v>88</v>
      </c>
      <c r="H5619" s="25" t="s">
        <v>7111</v>
      </c>
      <c r="I5619" s="46" t="e">
        <f>VLOOKUP(H5619,'合同高级查询数据-4月返'!A:A,1,FALSE)</f>
        <v>#N/A</v>
      </c>
      <c r="J5619" s="47" t="s">
        <v>3488</v>
      </c>
      <c r="K5619" s="24" t="s">
        <v>7112</v>
      </c>
      <c r="L5619" s="109"/>
      <c r="M5619" s="49" t="s">
        <v>6939</v>
      </c>
      <c r="N5619" s="50">
        <v>44128</v>
      </c>
      <c r="O5619" s="22" t="s">
        <v>503</v>
      </c>
      <c r="P5619" s="52">
        <v>5800</v>
      </c>
      <c r="Q5619" s="70">
        <v>30</v>
      </c>
      <c r="R5619" s="52">
        <f t="shared" si="172"/>
        <v>174000</v>
      </c>
      <c r="S5619" s="47">
        <v>202304</v>
      </c>
      <c r="T5619" s="123" t="s">
        <v>7149</v>
      </c>
      <c r="U5619" s="48"/>
      <c r="V5619" s="48"/>
      <c r="W5619" s="48"/>
      <c r="X5619" s="50">
        <v>43525</v>
      </c>
      <c r="Y5619" s="50">
        <v>45716</v>
      </c>
    </row>
    <row r="5620" s="5" customFormat="1" customHeight="1" spans="1:25">
      <c r="A5620" s="24" t="s">
        <v>444</v>
      </c>
      <c r="B5620" s="24" t="s">
        <v>6300</v>
      </c>
      <c r="C5620" s="24" t="s">
        <v>3237</v>
      </c>
      <c r="D5620" s="22" t="s">
        <v>6301</v>
      </c>
      <c r="E5620" s="23" t="s">
        <v>6936</v>
      </c>
      <c r="F5620" s="24" t="s">
        <v>6937</v>
      </c>
      <c r="G5620" s="24" t="s">
        <v>88</v>
      </c>
      <c r="H5620" s="25" t="s">
        <v>7111</v>
      </c>
      <c r="I5620" s="46" t="e">
        <f>VLOOKUP(H5620,'合同高级查询数据-4月返'!A:A,1,FALSE)</f>
        <v>#N/A</v>
      </c>
      <c r="J5620" s="47" t="s">
        <v>3488</v>
      </c>
      <c r="K5620" s="24" t="s">
        <v>7112</v>
      </c>
      <c r="L5620" s="109"/>
      <c r="M5620" s="49" t="s">
        <v>6939</v>
      </c>
      <c r="N5620" s="50">
        <v>44175</v>
      </c>
      <c r="O5620" s="22" t="s">
        <v>503</v>
      </c>
      <c r="P5620" s="52">
        <v>5800</v>
      </c>
      <c r="Q5620" s="70">
        <v>2</v>
      </c>
      <c r="R5620" s="52">
        <f t="shared" si="172"/>
        <v>11600</v>
      </c>
      <c r="S5620" s="47">
        <v>202304</v>
      </c>
      <c r="T5620" s="123" t="s">
        <v>7150</v>
      </c>
      <c r="U5620" s="48"/>
      <c r="V5620" s="48"/>
      <c r="W5620" s="48"/>
      <c r="X5620" s="50">
        <v>43525</v>
      </c>
      <c r="Y5620" s="50">
        <v>45716</v>
      </c>
    </row>
    <row r="5621" s="5" customFormat="1" customHeight="1" spans="1:25">
      <c r="A5621" s="24" t="s">
        <v>444</v>
      </c>
      <c r="B5621" s="24" t="s">
        <v>6300</v>
      </c>
      <c r="C5621" s="24" t="s">
        <v>3237</v>
      </c>
      <c r="D5621" s="22" t="s">
        <v>6301</v>
      </c>
      <c r="E5621" s="23" t="s">
        <v>6936</v>
      </c>
      <c r="F5621" s="24" t="s">
        <v>6937</v>
      </c>
      <c r="G5621" s="24" t="s">
        <v>88</v>
      </c>
      <c r="H5621" s="25" t="s">
        <v>7111</v>
      </c>
      <c r="I5621" s="46" t="e">
        <f>VLOOKUP(H5621,'合同高级查询数据-4月返'!A:A,1,FALSE)</f>
        <v>#N/A</v>
      </c>
      <c r="J5621" s="47" t="s">
        <v>3488</v>
      </c>
      <c r="K5621" s="24" t="s">
        <v>7112</v>
      </c>
      <c r="L5621" s="109"/>
      <c r="M5621" s="49" t="s">
        <v>6939</v>
      </c>
      <c r="N5621" s="50">
        <v>44180</v>
      </c>
      <c r="O5621" s="22" t="s">
        <v>525</v>
      </c>
      <c r="P5621" s="52">
        <v>5950</v>
      </c>
      <c r="Q5621" s="70">
        <v>4</v>
      </c>
      <c r="R5621" s="52">
        <f t="shared" si="172"/>
        <v>23800</v>
      </c>
      <c r="S5621" s="47">
        <v>202304</v>
      </c>
      <c r="T5621" s="123" t="s">
        <v>7151</v>
      </c>
      <c r="U5621" s="48"/>
      <c r="V5621" s="48"/>
      <c r="W5621" s="48"/>
      <c r="X5621" s="50">
        <v>43525</v>
      </c>
      <c r="Y5621" s="50">
        <v>45716</v>
      </c>
    </row>
    <row r="5622" s="5" customFormat="1" customHeight="1" spans="1:25">
      <c r="A5622" s="24" t="s">
        <v>444</v>
      </c>
      <c r="B5622" s="24" t="s">
        <v>6300</v>
      </c>
      <c r="C5622" s="24" t="s">
        <v>3237</v>
      </c>
      <c r="D5622" s="22" t="s">
        <v>6301</v>
      </c>
      <c r="E5622" s="23" t="s">
        <v>6936</v>
      </c>
      <c r="F5622" s="24" t="s">
        <v>6937</v>
      </c>
      <c r="G5622" s="24" t="s">
        <v>88</v>
      </c>
      <c r="H5622" s="25" t="s">
        <v>7111</v>
      </c>
      <c r="I5622" s="46" t="e">
        <f>VLOOKUP(H5622,'合同高级查询数据-4月返'!A:A,1,FALSE)</f>
        <v>#N/A</v>
      </c>
      <c r="J5622" s="47" t="s">
        <v>3488</v>
      </c>
      <c r="K5622" s="24" t="s">
        <v>7112</v>
      </c>
      <c r="L5622" s="109"/>
      <c r="M5622" s="49" t="s">
        <v>6939</v>
      </c>
      <c r="N5622" s="50">
        <v>44188</v>
      </c>
      <c r="O5622" s="22" t="s">
        <v>503</v>
      </c>
      <c r="P5622" s="52">
        <v>5800</v>
      </c>
      <c r="Q5622" s="70">
        <v>18</v>
      </c>
      <c r="R5622" s="52">
        <f t="shared" si="172"/>
        <v>104400</v>
      </c>
      <c r="S5622" s="47">
        <v>202304</v>
      </c>
      <c r="T5622" s="123" t="s">
        <v>7152</v>
      </c>
      <c r="U5622" s="48"/>
      <c r="V5622" s="48"/>
      <c r="W5622" s="48"/>
      <c r="X5622" s="50">
        <v>43525</v>
      </c>
      <c r="Y5622" s="50">
        <v>45716</v>
      </c>
    </row>
    <row r="5623" s="5" customFormat="1" customHeight="1" spans="1:25">
      <c r="A5623" s="24" t="s">
        <v>444</v>
      </c>
      <c r="B5623" s="24" t="s">
        <v>6300</v>
      </c>
      <c r="C5623" s="24" t="s">
        <v>3237</v>
      </c>
      <c r="D5623" s="22" t="s">
        <v>6301</v>
      </c>
      <c r="E5623" s="23" t="s">
        <v>6936</v>
      </c>
      <c r="F5623" s="24" t="s">
        <v>6937</v>
      </c>
      <c r="G5623" s="24" t="s">
        <v>88</v>
      </c>
      <c r="H5623" s="25" t="s">
        <v>7111</v>
      </c>
      <c r="I5623" s="46" t="e">
        <f>VLOOKUP(H5623,'合同高级查询数据-4月返'!A:A,1,FALSE)</f>
        <v>#N/A</v>
      </c>
      <c r="J5623" s="47" t="s">
        <v>3488</v>
      </c>
      <c r="K5623" s="24" t="s">
        <v>7112</v>
      </c>
      <c r="L5623" s="109"/>
      <c r="M5623" s="49" t="s">
        <v>6939</v>
      </c>
      <c r="N5623" s="50">
        <v>44195</v>
      </c>
      <c r="O5623" s="22" t="s">
        <v>503</v>
      </c>
      <c r="P5623" s="52">
        <v>5800</v>
      </c>
      <c r="Q5623" s="70">
        <v>26</v>
      </c>
      <c r="R5623" s="52">
        <f t="shared" si="172"/>
        <v>150800</v>
      </c>
      <c r="S5623" s="47">
        <v>202304</v>
      </c>
      <c r="T5623" s="123" t="s">
        <v>7153</v>
      </c>
      <c r="U5623" s="48"/>
      <c r="V5623" s="48"/>
      <c r="W5623" s="48"/>
      <c r="X5623" s="50">
        <v>43525</v>
      </c>
      <c r="Y5623" s="50">
        <v>45716</v>
      </c>
    </row>
    <row r="5624" s="5" customFormat="1" customHeight="1" spans="1:25">
      <c r="A5624" s="24" t="s">
        <v>444</v>
      </c>
      <c r="B5624" s="24" t="s">
        <v>6300</v>
      </c>
      <c r="C5624" s="24" t="s">
        <v>3237</v>
      </c>
      <c r="D5624" s="22" t="s">
        <v>6301</v>
      </c>
      <c r="E5624" s="23" t="s">
        <v>6936</v>
      </c>
      <c r="F5624" s="24" t="s">
        <v>6937</v>
      </c>
      <c r="G5624" s="24" t="s">
        <v>88</v>
      </c>
      <c r="H5624" s="25" t="s">
        <v>7111</v>
      </c>
      <c r="I5624" s="46" t="e">
        <f>VLOOKUP(H5624,'合同高级查询数据-4月返'!A:A,1,FALSE)</f>
        <v>#N/A</v>
      </c>
      <c r="J5624" s="47" t="s">
        <v>3488</v>
      </c>
      <c r="K5624" s="24" t="s">
        <v>7112</v>
      </c>
      <c r="L5624" s="109"/>
      <c r="M5624" s="49" t="s">
        <v>6939</v>
      </c>
      <c r="N5624" s="50">
        <v>44200</v>
      </c>
      <c r="O5624" s="22" t="s">
        <v>503</v>
      </c>
      <c r="P5624" s="52">
        <v>5800</v>
      </c>
      <c r="Q5624" s="70">
        <v>8</v>
      </c>
      <c r="R5624" s="52">
        <f t="shared" si="172"/>
        <v>46400</v>
      </c>
      <c r="S5624" s="47">
        <v>202304</v>
      </c>
      <c r="T5624" s="123" t="s">
        <v>7154</v>
      </c>
      <c r="U5624" s="48"/>
      <c r="V5624" s="48"/>
      <c r="W5624" s="48"/>
      <c r="X5624" s="50">
        <v>43525</v>
      </c>
      <c r="Y5624" s="50">
        <v>45716</v>
      </c>
    </row>
    <row r="5625" s="5" customFormat="1" customHeight="1" spans="1:25">
      <c r="A5625" s="24" t="s">
        <v>444</v>
      </c>
      <c r="B5625" s="24" t="s">
        <v>6300</v>
      </c>
      <c r="C5625" s="24" t="s">
        <v>3237</v>
      </c>
      <c r="D5625" s="22" t="s">
        <v>6301</v>
      </c>
      <c r="E5625" s="23" t="s">
        <v>6936</v>
      </c>
      <c r="F5625" s="24" t="s">
        <v>6937</v>
      </c>
      <c r="G5625" s="24" t="s">
        <v>88</v>
      </c>
      <c r="H5625" s="25" t="s">
        <v>7111</v>
      </c>
      <c r="I5625" s="46" t="e">
        <f>VLOOKUP(H5625,'合同高级查询数据-4月返'!A:A,1,FALSE)</f>
        <v>#N/A</v>
      </c>
      <c r="J5625" s="47" t="s">
        <v>3488</v>
      </c>
      <c r="K5625" s="24" t="s">
        <v>7112</v>
      </c>
      <c r="L5625" s="109"/>
      <c r="M5625" s="49" t="s">
        <v>6939</v>
      </c>
      <c r="N5625" s="50">
        <v>44204</v>
      </c>
      <c r="O5625" s="22" t="s">
        <v>503</v>
      </c>
      <c r="P5625" s="52">
        <v>5800</v>
      </c>
      <c r="Q5625" s="70">
        <v>4</v>
      </c>
      <c r="R5625" s="52">
        <f t="shared" si="172"/>
        <v>23200</v>
      </c>
      <c r="S5625" s="47">
        <v>202304</v>
      </c>
      <c r="T5625" s="123" t="s">
        <v>7155</v>
      </c>
      <c r="U5625" s="48"/>
      <c r="V5625" s="48"/>
      <c r="W5625" s="48"/>
      <c r="X5625" s="50">
        <v>43525</v>
      </c>
      <c r="Y5625" s="50">
        <v>45716</v>
      </c>
    </row>
    <row r="5626" s="5" customFormat="1" customHeight="1" spans="1:25">
      <c r="A5626" s="24" t="s">
        <v>444</v>
      </c>
      <c r="B5626" s="24" t="s">
        <v>6300</v>
      </c>
      <c r="C5626" s="24" t="s">
        <v>3237</v>
      </c>
      <c r="D5626" s="22" t="s">
        <v>6301</v>
      </c>
      <c r="E5626" s="23" t="s">
        <v>6936</v>
      </c>
      <c r="F5626" s="24" t="s">
        <v>6937</v>
      </c>
      <c r="G5626" s="24" t="s">
        <v>88</v>
      </c>
      <c r="H5626" s="25" t="s">
        <v>7111</v>
      </c>
      <c r="I5626" s="46" t="e">
        <f>VLOOKUP(H5626,'合同高级查询数据-4月返'!A:A,1,FALSE)</f>
        <v>#N/A</v>
      </c>
      <c r="J5626" s="47" t="s">
        <v>3488</v>
      </c>
      <c r="K5626" s="24" t="s">
        <v>7112</v>
      </c>
      <c r="L5626" s="109"/>
      <c r="M5626" s="49" t="s">
        <v>6939</v>
      </c>
      <c r="N5626" s="50">
        <v>44211</v>
      </c>
      <c r="O5626" s="22" t="s">
        <v>503</v>
      </c>
      <c r="P5626" s="52">
        <v>5800</v>
      </c>
      <c r="Q5626" s="70">
        <v>2</v>
      </c>
      <c r="R5626" s="52">
        <f t="shared" si="172"/>
        <v>11600</v>
      </c>
      <c r="S5626" s="47">
        <v>202304</v>
      </c>
      <c r="T5626" s="123" t="s">
        <v>7156</v>
      </c>
      <c r="U5626" s="48"/>
      <c r="V5626" s="48"/>
      <c r="W5626" s="48"/>
      <c r="X5626" s="50">
        <v>43525</v>
      </c>
      <c r="Y5626" s="50">
        <v>45716</v>
      </c>
    </row>
    <row r="5627" s="5" customFormat="1" customHeight="1" spans="1:25">
      <c r="A5627" s="24" t="s">
        <v>444</v>
      </c>
      <c r="B5627" s="24" t="s">
        <v>6300</v>
      </c>
      <c r="C5627" s="24" t="s">
        <v>3237</v>
      </c>
      <c r="D5627" s="22" t="s">
        <v>6301</v>
      </c>
      <c r="E5627" s="23" t="s">
        <v>6936</v>
      </c>
      <c r="F5627" s="24" t="s">
        <v>6937</v>
      </c>
      <c r="G5627" s="24" t="s">
        <v>88</v>
      </c>
      <c r="H5627" s="25" t="s">
        <v>7111</v>
      </c>
      <c r="I5627" s="46" t="e">
        <f>VLOOKUP(H5627,'合同高级查询数据-4月返'!A:A,1,FALSE)</f>
        <v>#N/A</v>
      </c>
      <c r="J5627" s="47" t="s">
        <v>3488</v>
      </c>
      <c r="K5627" s="24" t="s">
        <v>7112</v>
      </c>
      <c r="L5627" s="109"/>
      <c r="M5627" s="49" t="s">
        <v>6939</v>
      </c>
      <c r="N5627" s="50">
        <v>44212</v>
      </c>
      <c r="O5627" s="22" t="s">
        <v>503</v>
      </c>
      <c r="P5627" s="52">
        <v>5800</v>
      </c>
      <c r="Q5627" s="70">
        <v>44</v>
      </c>
      <c r="R5627" s="52">
        <f t="shared" si="172"/>
        <v>255200</v>
      </c>
      <c r="S5627" s="47">
        <v>202304</v>
      </c>
      <c r="T5627" s="123" t="s">
        <v>7157</v>
      </c>
      <c r="U5627" s="48"/>
      <c r="V5627" s="48"/>
      <c r="W5627" s="48"/>
      <c r="X5627" s="50">
        <v>43525</v>
      </c>
      <c r="Y5627" s="50">
        <v>45716</v>
      </c>
    </row>
    <row r="5628" s="5" customFormat="1" customHeight="1" spans="1:25">
      <c r="A5628" s="24" t="s">
        <v>444</v>
      </c>
      <c r="B5628" s="24" t="s">
        <v>6300</v>
      </c>
      <c r="C5628" s="24" t="s">
        <v>3237</v>
      </c>
      <c r="D5628" s="22" t="s">
        <v>6301</v>
      </c>
      <c r="E5628" s="23" t="s">
        <v>6936</v>
      </c>
      <c r="F5628" s="24" t="s">
        <v>6937</v>
      </c>
      <c r="G5628" s="24" t="s">
        <v>88</v>
      </c>
      <c r="H5628" s="25" t="s">
        <v>7111</v>
      </c>
      <c r="I5628" s="46" t="e">
        <f>VLOOKUP(H5628,'合同高级查询数据-4月返'!A:A,1,FALSE)</f>
        <v>#N/A</v>
      </c>
      <c r="J5628" s="47" t="s">
        <v>3488</v>
      </c>
      <c r="K5628" s="24" t="s">
        <v>7112</v>
      </c>
      <c r="L5628" s="109"/>
      <c r="M5628" s="49" t="s">
        <v>6939</v>
      </c>
      <c r="N5628" s="50">
        <v>44214</v>
      </c>
      <c r="O5628" s="22" t="s">
        <v>503</v>
      </c>
      <c r="P5628" s="52">
        <v>5800</v>
      </c>
      <c r="Q5628" s="70">
        <v>10</v>
      </c>
      <c r="R5628" s="52">
        <f t="shared" si="172"/>
        <v>58000</v>
      </c>
      <c r="S5628" s="47">
        <v>202304</v>
      </c>
      <c r="T5628" s="123" t="s">
        <v>7158</v>
      </c>
      <c r="U5628" s="48"/>
      <c r="V5628" s="48"/>
      <c r="W5628" s="48"/>
      <c r="X5628" s="50">
        <v>43525</v>
      </c>
      <c r="Y5628" s="50">
        <v>45716</v>
      </c>
    </row>
    <row r="5629" s="5" customFormat="1" customHeight="1" spans="1:25">
      <c r="A5629" s="24" t="s">
        <v>444</v>
      </c>
      <c r="B5629" s="24" t="s">
        <v>6300</v>
      </c>
      <c r="C5629" s="24" t="s">
        <v>3237</v>
      </c>
      <c r="D5629" s="22" t="s">
        <v>6301</v>
      </c>
      <c r="E5629" s="23" t="s">
        <v>6936</v>
      </c>
      <c r="F5629" s="24" t="s">
        <v>6937</v>
      </c>
      <c r="G5629" s="24" t="s">
        <v>88</v>
      </c>
      <c r="H5629" s="25" t="s">
        <v>7111</v>
      </c>
      <c r="I5629" s="46" t="e">
        <f>VLOOKUP(H5629,'合同高级查询数据-4月返'!A:A,1,FALSE)</f>
        <v>#N/A</v>
      </c>
      <c r="J5629" s="47" t="s">
        <v>3488</v>
      </c>
      <c r="K5629" s="24" t="s">
        <v>7112</v>
      </c>
      <c r="L5629" s="109"/>
      <c r="M5629" s="49" t="s">
        <v>6939</v>
      </c>
      <c r="N5629" s="50">
        <v>44215</v>
      </c>
      <c r="O5629" s="22" t="s">
        <v>503</v>
      </c>
      <c r="P5629" s="52">
        <v>5800</v>
      </c>
      <c r="Q5629" s="70">
        <v>28</v>
      </c>
      <c r="R5629" s="52">
        <f t="shared" si="172"/>
        <v>162400</v>
      </c>
      <c r="S5629" s="47">
        <v>202304</v>
      </c>
      <c r="T5629" s="123" t="s">
        <v>7159</v>
      </c>
      <c r="U5629" s="48"/>
      <c r="V5629" s="48"/>
      <c r="W5629" s="48"/>
      <c r="X5629" s="50">
        <v>43525</v>
      </c>
      <c r="Y5629" s="50">
        <v>45716</v>
      </c>
    </row>
    <row r="5630" s="5" customFormat="1" customHeight="1" spans="1:25">
      <c r="A5630" s="24" t="s">
        <v>444</v>
      </c>
      <c r="B5630" s="24" t="s">
        <v>6300</v>
      </c>
      <c r="C5630" s="24" t="s">
        <v>3237</v>
      </c>
      <c r="D5630" s="22" t="s">
        <v>6301</v>
      </c>
      <c r="E5630" s="23" t="s">
        <v>6936</v>
      </c>
      <c r="F5630" s="24" t="s">
        <v>6937</v>
      </c>
      <c r="G5630" s="24" t="s">
        <v>88</v>
      </c>
      <c r="H5630" s="25" t="s">
        <v>7111</v>
      </c>
      <c r="I5630" s="46" t="e">
        <f>VLOOKUP(H5630,'合同高级查询数据-4月返'!A:A,1,FALSE)</f>
        <v>#N/A</v>
      </c>
      <c r="J5630" s="47" t="s">
        <v>3488</v>
      </c>
      <c r="K5630" s="24" t="s">
        <v>7112</v>
      </c>
      <c r="L5630" s="109"/>
      <c r="M5630" s="49" t="s">
        <v>6939</v>
      </c>
      <c r="N5630" s="50">
        <v>44218</v>
      </c>
      <c r="O5630" s="22" t="s">
        <v>503</v>
      </c>
      <c r="P5630" s="52">
        <v>5800</v>
      </c>
      <c r="Q5630" s="70">
        <v>70</v>
      </c>
      <c r="R5630" s="52">
        <f t="shared" si="172"/>
        <v>406000</v>
      </c>
      <c r="S5630" s="47">
        <v>202304</v>
      </c>
      <c r="T5630" s="123" t="s">
        <v>7160</v>
      </c>
      <c r="U5630" s="48"/>
      <c r="V5630" s="48"/>
      <c r="W5630" s="48"/>
      <c r="X5630" s="50">
        <v>43525</v>
      </c>
      <c r="Y5630" s="50">
        <v>45716</v>
      </c>
    </row>
    <row r="5631" s="5" customFormat="1" customHeight="1" spans="1:25">
      <c r="A5631" s="24" t="s">
        <v>444</v>
      </c>
      <c r="B5631" s="24" t="s">
        <v>6300</v>
      </c>
      <c r="C5631" s="24" t="s">
        <v>3237</v>
      </c>
      <c r="D5631" s="22" t="s">
        <v>6301</v>
      </c>
      <c r="E5631" s="23" t="s">
        <v>6936</v>
      </c>
      <c r="F5631" s="24" t="s">
        <v>6937</v>
      </c>
      <c r="G5631" s="24" t="s">
        <v>88</v>
      </c>
      <c r="H5631" s="25" t="s">
        <v>7111</v>
      </c>
      <c r="I5631" s="46" t="e">
        <f>VLOOKUP(H5631,'合同高级查询数据-4月返'!A:A,1,FALSE)</f>
        <v>#N/A</v>
      </c>
      <c r="J5631" s="47" t="s">
        <v>3488</v>
      </c>
      <c r="K5631" s="24" t="s">
        <v>7112</v>
      </c>
      <c r="L5631" s="109"/>
      <c r="M5631" s="49" t="s">
        <v>6939</v>
      </c>
      <c r="N5631" s="50">
        <v>44223</v>
      </c>
      <c r="O5631" s="22" t="s">
        <v>503</v>
      </c>
      <c r="P5631" s="52">
        <v>5800</v>
      </c>
      <c r="Q5631" s="70">
        <v>36</v>
      </c>
      <c r="R5631" s="52">
        <f t="shared" si="172"/>
        <v>208800</v>
      </c>
      <c r="S5631" s="47">
        <v>202304</v>
      </c>
      <c r="T5631" s="123" t="s">
        <v>7161</v>
      </c>
      <c r="U5631" s="48"/>
      <c r="V5631" s="48"/>
      <c r="W5631" s="48"/>
      <c r="X5631" s="50">
        <v>43525</v>
      </c>
      <c r="Y5631" s="50">
        <v>45716</v>
      </c>
    </row>
    <row r="5632" s="5" customFormat="1" customHeight="1" spans="1:25">
      <c r="A5632" s="24" t="s">
        <v>444</v>
      </c>
      <c r="B5632" s="24" t="s">
        <v>6300</v>
      </c>
      <c r="C5632" s="24" t="s">
        <v>3237</v>
      </c>
      <c r="D5632" s="22" t="s">
        <v>6301</v>
      </c>
      <c r="E5632" s="23" t="s">
        <v>6936</v>
      </c>
      <c r="F5632" s="24" t="s">
        <v>6937</v>
      </c>
      <c r="G5632" s="24" t="s">
        <v>88</v>
      </c>
      <c r="H5632" s="25" t="s">
        <v>7111</v>
      </c>
      <c r="I5632" s="46" t="e">
        <f>VLOOKUP(H5632,'合同高级查询数据-4月返'!A:A,1,FALSE)</f>
        <v>#N/A</v>
      </c>
      <c r="J5632" s="47" t="s">
        <v>3488</v>
      </c>
      <c r="K5632" s="24" t="s">
        <v>7112</v>
      </c>
      <c r="L5632" s="109"/>
      <c r="M5632" s="49" t="s">
        <v>6939</v>
      </c>
      <c r="N5632" s="50">
        <v>44228</v>
      </c>
      <c r="O5632" s="22" t="s">
        <v>503</v>
      </c>
      <c r="P5632" s="52">
        <v>5800</v>
      </c>
      <c r="Q5632" s="70">
        <v>42</v>
      </c>
      <c r="R5632" s="52">
        <f t="shared" si="172"/>
        <v>243600</v>
      </c>
      <c r="S5632" s="47">
        <v>202304</v>
      </c>
      <c r="T5632" s="123" t="s">
        <v>7162</v>
      </c>
      <c r="U5632" s="48"/>
      <c r="V5632" s="48"/>
      <c r="W5632" s="48"/>
      <c r="X5632" s="50">
        <v>43525</v>
      </c>
      <c r="Y5632" s="50">
        <v>45716</v>
      </c>
    </row>
    <row r="5633" s="5" customFormat="1" customHeight="1" spans="1:25">
      <c r="A5633" s="24" t="s">
        <v>444</v>
      </c>
      <c r="B5633" s="24" t="s">
        <v>6300</v>
      </c>
      <c r="C5633" s="24" t="s">
        <v>3237</v>
      </c>
      <c r="D5633" s="22" t="s">
        <v>6301</v>
      </c>
      <c r="E5633" s="23" t="s">
        <v>6936</v>
      </c>
      <c r="F5633" s="24" t="s">
        <v>6937</v>
      </c>
      <c r="G5633" s="24" t="s">
        <v>88</v>
      </c>
      <c r="H5633" s="25" t="s">
        <v>7111</v>
      </c>
      <c r="I5633" s="46" t="e">
        <f>VLOOKUP(H5633,'合同高级查询数据-4月返'!A:A,1,FALSE)</f>
        <v>#N/A</v>
      </c>
      <c r="J5633" s="47" t="s">
        <v>3488</v>
      </c>
      <c r="K5633" s="24" t="s">
        <v>7112</v>
      </c>
      <c r="L5633" s="109"/>
      <c r="M5633" s="49" t="s">
        <v>6939</v>
      </c>
      <c r="N5633" s="50">
        <v>44231</v>
      </c>
      <c r="O5633" s="22" t="s">
        <v>503</v>
      </c>
      <c r="P5633" s="52">
        <v>5800</v>
      </c>
      <c r="Q5633" s="70">
        <v>6</v>
      </c>
      <c r="R5633" s="52">
        <f t="shared" si="172"/>
        <v>34800</v>
      </c>
      <c r="S5633" s="47">
        <v>202304</v>
      </c>
      <c r="T5633" s="123" t="s">
        <v>7163</v>
      </c>
      <c r="U5633" s="48"/>
      <c r="V5633" s="48"/>
      <c r="W5633" s="48"/>
      <c r="X5633" s="50">
        <v>43525</v>
      </c>
      <c r="Y5633" s="50">
        <v>45716</v>
      </c>
    </row>
    <row r="5634" s="5" customFormat="1" customHeight="1" spans="1:25">
      <c r="A5634" s="24" t="s">
        <v>444</v>
      </c>
      <c r="B5634" s="24" t="s">
        <v>6300</v>
      </c>
      <c r="C5634" s="24" t="s">
        <v>3237</v>
      </c>
      <c r="D5634" s="22" t="s">
        <v>6301</v>
      </c>
      <c r="E5634" s="23" t="s">
        <v>6936</v>
      </c>
      <c r="F5634" s="24" t="s">
        <v>6937</v>
      </c>
      <c r="G5634" s="24" t="s">
        <v>88</v>
      </c>
      <c r="H5634" s="25" t="s">
        <v>7111</v>
      </c>
      <c r="I5634" s="46" t="e">
        <f>VLOOKUP(H5634,'合同高级查询数据-4月返'!A:A,1,FALSE)</f>
        <v>#N/A</v>
      </c>
      <c r="J5634" s="47" t="s">
        <v>3488</v>
      </c>
      <c r="K5634" s="24" t="s">
        <v>7112</v>
      </c>
      <c r="L5634" s="109"/>
      <c r="M5634" s="49" t="s">
        <v>6939</v>
      </c>
      <c r="N5634" s="50">
        <v>44232</v>
      </c>
      <c r="O5634" s="22" t="s">
        <v>503</v>
      </c>
      <c r="P5634" s="52">
        <v>5800</v>
      </c>
      <c r="Q5634" s="70">
        <v>14</v>
      </c>
      <c r="R5634" s="52">
        <f t="shared" si="172"/>
        <v>81200</v>
      </c>
      <c r="S5634" s="47">
        <v>202304</v>
      </c>
      <c r="T5634" s="123" t="s">
        <v>7164</v>
      </c>
      <c r="U5634" s="48"/>
      <c r="V5634" s="48"/>
      <c r="W5634" s="48"/>
      <c r="X5634" s="50">
        <v>43525</v>
      </c>
      <c r="Y5634" s="50">
        <v>45716</v>
      </c>
    </row>
    <row r="5635" s="5" customFormat="1" customHeight="1" spans="1:25">
      <c r="A5635" s="24" t="s">
        <v>444</v>
      </c>
      <c r="B5635" s="24" t="s">
        <v>6300</v>
      </c>
      <c r="C5635" s="24" t="s">
        <v>3237</v>
      </c>
      <c r="D5635" s="22" t="s">
        <v>6301</v>
      </c>
      <c r="E5635" s="23" t="s">
        <v>6936</v>
      </c>
      <c r="F5635" s="24" t="s">
        <v>6937</v>
      </c>
      <c r="G5635" s="24" t="s">
        <v>88</v>
      </c>
      <c r="H5635" s="25" t="s">
        <v>7111</v>
      </c>
      <c r="I5635" s="46" t="e">
        <f>VLOOKUP(H5635,'合同高级查询数据-4月返'!A:A,1,FALSE)</f>
        <v>#N/A</v>
      </c>
      <c r="J5635" s="47" t="s">
        <v>3488</v>
      </c>
      <c r="K5635" s="24" t="s">
        <v>7112</v>
      </c>
      <c r="L5635" s="109"/>
      <c r="M5635" s="49" t="s">
        <v>6939</v>
      </c>
      <c r="N5635" s="50">
        <v>44251</v>
      </c>
      <c r="O5635" s="22" t="s">
        <v>503</v>
      </c>
      <c r="P5635" s="52">
        <v>5800</v>
      </c>
      <c r="Q5635" s="70">
        <v>6</v>
      </c>
      <c r="R5635" s="52">
        <f t="shared" si="172"/>
        <v>34800</v>
      </c>
      <c r="S5635" s="47">
        <v>202304</v>
      </c>
      <c r="T5635" s="123" t="s">
        <v>7165</v>
      </c>
      <c r="U5635" s="48"/>
      <c r="V5635" s="48"/>
      <c r="W5635" s="48"/>
      <c r="X5635" s="50">
        <v>43525</v>
      </c>
      <c r="Y5635" s="50">
        <v>45716</v>
      </c>
    </row>
    <row r="5636" s="5" customFormat="1" customHeight="1" spans="1:25">
      <c r="A5636" s="24" t="s">
        <v>444</v>
      </c>
      <c r="B5636" s="24" t="s">
        <v>6300</v>
      </c>
      <c r="C5636" s="24" t="s">
        <v>3237</v>
      </c>
      <c r="D5636" s="22" t="s">
        <v>6301</v>
      </c>
      <c r="E5636" s="23" t="s">
        <v>6936</v>
      </c>
      <c r="F5636" s="24" t="s">
        <v>6937</v>
      </c>
      <c r="G5636" s="24" t="s">
        <v>88</v>
      </c>
      <c r="H5636" s="25" t="s">
        <v>7111</v>
      </c>
      <c r="I5636" s="46" t="e">
        <f>VLOOKUP(H5636,'合同高级查询数据-4月返'!A:A,1,FALSE)</f>
        <v>#N/A</v>
      </c>
      <c r="J5636" s="47" t="s">
        <v>3488</v>
      </c>
      <c r="K5636" s="24" t="s">
        <v>7112</v>
      </c>
      <c r="L5636" s="109"/>
      <c r="M5636" s="49" t="s">
        <v>6939</v>
      </c>
      <c r="N5636" s="50">
        <v>44259</v>
      </c>
      <c r="O5636" s="22" t="s">
        <v>503</v>
      </c>
      <c r="P5636" s="52">
        <v>5800</v>
      </c>
      <c r="Q5636" s="70">
        <v>54</v>
      </c>
      <c r="R5636" s="52">
        <f t="shared" si="172"/>
        <v>313200</v>
      </c>
      <c r="S5636" s="47">
        <v>202304</v>
      </c>
      <c r="T5636" s="123" t="s">
        <v>7166</v>
      </c>
      <c r="U5636" s="48"/>
      <c r="V5636" s="48"/>
      <c r="W5636" s="48"/>
      <c r="X5636" s="50">
        <v>43525</v>
      </c>
      <c r="Y5636" s="50">
        <v>45716</v>
      </c>
    </row>
    <row r="5637" s="5" customFormat="1" customHeight="1" spans="1:25">
      <c r="A5637" s="24" t="s">
        <v>444</v>
      </c>
      <c r="B5637" s="24" t="s">
        <v>6300</v>
      </c>
      <c r="C5637" s="24" t="s">
        <v>3237</v>
      </c>
      <c r="D5637" s="22" t="s">
        <v>6301</v>
      </c>
      <c r="E5637" s="23" t="s">
        <v>6936</v>
      </c>
      <c r="F5637" s="24" t="s">
        <v>6937</v>
      </c>
      <c r="G5637" s="24" t="s">
        <v>88</v>
      </c>
      <c r="H5637" s="25" t="s">
        <v>7111</v>
      </c>
      <c r="I5637" s="46" t="e">
        <f>VLOOKUP(H5637,'合同高级查询数据-4月返'!A:A,1,FALSE)</f>
        <v>#N/A</v>
      </c>
      <c r="J5637" s="47" t="s">
        <v>3488</v>
      </c>
      <c r="K5637" s="24" t="s">
        <v>7112</v>
      </c>
      <c r="L5637" s="109"/>
      <c r="M5637" s="49" t="s">
        <v>6939</v>
      </c>
      <c r="N5637" s="50">
        <v>44265</v>
      </c>
      <c r="O5637" s="22" t="s">
        <v>503</v>
      </c>
      <c r="P5637" s="52">
        <v>5800</v>
      </c>
      <c r="Q5637" s="70">
        <v>14</v>
      </c>
      <c r="R5637" s="52">
        <f t="shared" si="172"/>
        <v>81200</v>
      </c>
      <c r="S5637" s="47">
        <v>202304</v>
      </c>
      <c r="T5637" s="123" t="s">
        <v>7167</v>
      </c>
      <c r="U5637" s="48"/>
      <c r="V5637" s="48"/>
      <c r="W5637" s="48"/>
      <c r="X5637" s="50">
        <v>43525</v>
      </c>
      <c r="Y5637" s="50">
        <v>45716</v>
      </c>
    </row>
    <row r="5638" s="5" customFormat="1" customHeight="1" spans="1:25">
      <c r="A5638" s="24" t="s">
        <v>444</v>
      </c>
      <c r="B5638" s="24" t="s">
        <v>6300</v>
      </c>
      <c r="C5638" s="24" t="s">
        <v>3237</v>
      </c>
      <c r="D5638" s="22" t="s">
        <v>6301</v>
      </c>
      <c r="E5638" s="23" t="s">
        <v>6936</v>
      </c>
      <c r="F5638" s="24" t="s">
        <v>6937</v>
      </c>
      <c r="G5638" s="24" t="s">
        <v>88</v>
      </c>
      <c r="H5638" s="25" t="s">
        <v>7111</v>
      </c>
      <c r="I5638" s="46" t="e">
        <f>VLOOKUP(H5638,'合同高级查询数据-4月返'!A:A,1,FALSE)</f>
        <v>#N/A</v>
      </c>
      <c r="J5638" s="47" t="s">
        <v>3488</v>
      </c>
      <c r="K5638" s="24" t="s">
        <v>7112</v>
      </c>
      <c r="L5638" s="109"/>
      <c r="M5638" s="49" t="s">
        <v>6939</v>
      </c>
      <c r="N5638" s="50">
        <v>44271</v>
      </c>
      <c r="O5638" s="22" t="s">
        <v>503</v>
      </c>
      <c r="P5638" s="52">
        <v>5800</v>
      </c>
      <c r="Q5638" s="70">
        <v>4</v>
      </c>
      <c r="R5638" s="52">
        <f t="shared" si="172"/>
        <v>23200</v>
      </c>
      <c r="S5638" s="47">
        <v>202304</v>
      </c>
      <c r="T5638" s="123" t="s">
        <v>7168</v>
      </c>
      <c r="U5638" s="48"/>
      <c r="V5638" s="48"/>
      <c r="W5638" s="48"/>
      <c r="X5638" s="50">
        <v>43525</v>
      </c>
      <c r="Y5638" s="50">
        <v>45716</v>
      </c>
    </row>
    <row r="5639" s="5" customFormat="1" customHeight="1" spans="1:25">
      <c r="A5639" s="24" t="s">
        <v>444</v>
      </c>
      <c r="B5639" s="24" t="s">
        <v>6300</v>
      </c>
      <c r="C5639" s="24" t="s">
        <v>3237</v>
      </c>
      <c r="D5639" s="22" t="s">
        <v>6301</v>
      </c>
      <c r="E5639" s="23" t="s">
        <v>6936</v>
      </c>
      <c r="F5639" s="24" t="s">
        <v>6937</v>
      </c>
      <c r="G5639" s="24" t="s">
        <v>88</v>
      </c>
      <c r="H5639" s="25" t="s">
        <v>7111</v>
      </c>
      <c r="I5639" s="46" t="e">
        <f>VLOOKUP(H5639,'合同高级查询数据-4月返'!A:A,1,FALSE)</f>
        <v>#N/A</v>
      </c>
      <c r="J5639" s="47" t="s">
        <v>3488</v>
      </c>
      <c r="K5639" s="24" t="s">
        <v>7112</v>
      </c>
      <c r="L5639" s="109"/>
      <c r="M5639" s="49" t="s">
        <v>6939</v>
      </c>
      <c r="N5639" s="50">
        <v>44278</v>
      </c>
      <c r="O5639" s="22" t="s">
        <v>503</v>
      </c>
      <c r="P5639" s="52">
        <v>5800</v>
      </c>
      <c r="Q5639" s="70">
        <v>3</v>
      </c>
      <c r="R5639" s="52">
        <f t="shared" si="172"/>
        <v>17400</v>
      </c>
      <c r="S5639" s="47">
        <v>202304</v>
      </c>
      <c r="T5639" s="123" t="s">
        <v>7169</v>
      </c>
      <c r="U5639" s="48"/>
      <c r="V5639" s="48"/>
      <c r="W5639" s="48"/>
      <c r="X5639" s="50">
        <v>43525</v>
      </c>
      <c r="Y5639" s="50">
        <v>45716</v>
      </c>
    </row>
    <row r="5640" s="5" customFormat="1" customHeight="1" spans="1:25">
      <c r="A5640" s="24" t="s">
        <v>444</v>
      </c>
      <c r="B5640" s="24" t="s">
        <v>6300</v>
      </c>
      <c r="C5640" s="24" t="s">
        <v>3237</v>
      </c>
      <c r="D5640" s="22" t="s">
        <v>6301</v>
      </c>
      <c r="E5640" s="23" t="s">
        <v>6936</v>
      </c>
      <c r="F5640" s="24" t="s">
        <v>6937</v>
      </c>
      <c r="G5640" s="24" t="s">
        <v>88</v>
      </c>
      <c r="H5640" s="25" t="s">
        <v>7111</v>
      </c>
      <c r="I5640" s="46" t="e">
        <f>VLOOKUP(H5640,'合同高级查询数据-4月返'!A:A,1,FALSE)</f>
        <v>#N/A</v>
      </c>
      <c r="J5640" s="47" t="s">
        <v>3488</v>
      </c>
      <c r="K5640" s="24" t="s">
        <v>7112</v>
      </c>
      <c r="L5640" s="109"/>
      <c r="M5640" s="49" t="s">
        <v>6939</v>
      </c>
      <c r="N5640" s="50">
        <v>44281</v>
      </c>
      <c r="O5640" s="22" t="s">
        <v>503</v>
      </c>
      <c r="P5640" s="52">
        <v>5800</v>
      </c>
      <c r="Q5640" s="70">
        <v>45</v>
      </c>
      <c r="R5640" s="52">
        <f t="shared" si="172"/>
        <v>261000</v>
      </c>
      <c r="S5640" s="47">
        <v>202304</v>
      </c>
      <c r="T5640" s="123" t="s">
        <v>7170</v>
      </c>
      <c r="U5640" s="48"/>
      <c r="V5640" s="48"/>
      <c r="W5640" s="48"/>
      <c r="X5640" s="50">
        <v>43525</v>
      </c>
      <c r="Y5640" s="50">
        <v>45716</v>
      </c>
    </row>
    <row r="5641" s="5" customFormat="1" customHeight="1" spans="1:25">
      <c r="A5641" s="24" t="s">
        <v>444</v>
      </c>
      <c r="B5641" s="24" t="s">
        <v>6300</v>
      </c>
      <c r="C5641" s="24" t="s">
        <v>3237</v>
      </c>
      <c r="D5641" s="22" t="s">
        <v>6301</v>
      </c>
      <c r="E5641" s="23" t="s">
        <v>6936</v>
      </c>
      <c r="F5641" s="24" t="s">
        <v>6937</v>
      </c>
      <c r="G5641" s="24" t="s">
        <v>88</v>
      </c>
      <c r="H5641" s="25" t="s">
        <v>7111</v>
      </c>
      <c r="I5641" s="46" t="e">
        <f>VLOOKUP(H5641,'合同高级查询数据-4月返'!A:A,1,FALSE)</f>
        <v>#N/A</v>
      </c>
      <c r="J5641" s="47" t="s">
        <v>3488</v>
      </c>
      <c r="K5641" s="24" t="s">
        <v>7112</v>
      </c>
      <c r="L5641" s="109"/>
      <c r="M5641" s="49" t="s">
        <v>6939</v>
      </c>
      <c r="N5641" s="50">
        <v>44288</v>
      </c>
      <c r="O5641" s="22" t="s">
        <v>503</v>
      </c>
      <c r="P5641" s="52">
        <v>5800</v>
      </c>
      <c r="Q5641" s="70">
        <v>38</v>
      </c>
      <c r="R5641" s="52">
        <f t="shared" si="172"/>
        <v>220400</v>
      </c>
      <c r="S5641" s="47">
        <v>202304</v>
      </c>
      <c r="T5641" s="123" t="s">
        <v>7171</v>
      </c>
      <c r="U5641" s="48"/>
      <c r="V5641" s="48"/>
      <c r="W5641" s="48"/>
      <c r="X5641" s="50">
        <v>43525</v>
      </c>
      <c r="Y5641" s="50">
        <v>45716</v>
      </c>
    </row>
    <row r="5642" s="5" customFormat="1" customHeight="1" spans="1:25">
      <c r="A5642" s="24" t="s">
        <v>444</v>
      </c>
      <c r="B5642" s="24" t="s">
        <v>6300</v>
      </c>
      <c r="C5642" s="24" t="s">
        <v>3237</v>
      </c>
      <c r="D5642" s="22" t="s">
        <v>6301</v>
      </c>
      <c r="E5642" s="23" t="s">
        <v>6936</v>
      </c>
      <c r="F5642" s="24" t="s">
        <v>6937</v>
      </c>
      <c r="G5642" s="24" t="s">
        <v>88</v>
      </c>
      <c r="H5642" s="25" t="s">
        <v>7111</v>
      </c>
      <c r="I5642" s="46" t="e">
        <f>VLOOKUP(H5642,'合同高级查询数据-4月返'!A:A,1,FALSE)</f>
        <v>#N/A</v>
      </c>
      <c r="J5642" s="47" t="s">
        <v>3488</v>
      </c>
      <c r="K5642" s="24" t="s">
        <v>7112</v>
      </c>
      <c r="L5642" s="109"/>
      <c r="M5642" s="49" t="s">
        <v>6939</v>
      </c>
      <c r="N5642" s="50">
        <v>44292</v>
      </c>
      <c r="O5642" s="22" t="s">
        <v>503</v>
      </c>
      <c r="P5642" s="52">
        <v>5800</v>
      </c>
      <c r="Q5642" s="70">
        <v>8</v>
      </c>
      <c r="R5642" s="52">
        <f t="shared" si="172"/>
        <v>46400</v>
      </c>
      <c r="S5642" s="47">
        <v>202304</v>
      </c>
      <c r="T5642" s="123" t="s">
        <v>7172</v>
      </c>
      <c r="U5642" s="48"/>
      <c r="V5642" s="48"/>
      <c r="W5642" s="48"/>
      <c r="X5642" s="50">
        <v>43525</v>
      </c>
      <c r="Y5642" s="50">
        <v>45716</v>
      </c>
    </row>
    <row r="5643" s="5" customFormat="1" customHeight="1" spans="1:25">
      <c r="A5643" s="24" t="s">
        <v>444</v>
      </c>
      <c r="B5643" s="24" t="s">
        <v>6300</v>
      </c>
      <c r="C5643" s="24" t="s">
        <v>3237</v>
      </c>
      <c r="D5643" s="22" t="s">
        <v>6301</v>
      </c>
      <c r="E5643" s="23" t="s">
        <v>6936</v>
      </c>
      <c r="F5643" s="24" t="s">
        <v>6937</v>
      </c>
      <c r="G5643" s="24" t="s">
        <v>88</v>
      </c>
      <c r="H5643" s="25" t="s">
        <v>7111</v>
      </c>
      <c r="I5643" s="46" t="e">
        <f>VLOOKUP(H5643,'合同高级查询数据-4月返'!A:A,1,FALSE)</f>
        <v>#N/A</v>
      </c>
      <c r="J5643" s="47" t="s">
        <v>3488</v>
      </c>
      <c r="K5643" s="24" t="s">
        <v>7112</v>
      </c>
      <c r="L5643" s="109"/>
      <c r="M5643" s="49" t="s">
        <v>6939</v>
      </c>
      <c r="N5643" s="50">
        <v>44294</v>
      </c>
      <c r="O5643" s="22" t="s">
        <v>503</v>
      </c>
      <c r="P5643" s="52">
        <v>5800</v>
      </c>
      <c r="Q5643" s="70">
        <v>10</v>
      </c>
      <c r="R5643" s="52">
        <f t="shared" si="172"/>
        <v>58000</v>
      </c>
      <c r="S5643" s="47">
        <v>202304</v>
      </c>
      <c r="T5643" s="123" t="s">
        <v>7173</v>
      </c>
      <c r="U5643" s="48"/>
      <c r="V5643" s="48"/>
      <c r="W5643" s="48"/>
      <c r="X5643" s="50">
        <v>43525</v>
      </c>
      <c r="Y5643" s="50">
        <v>45716</v>
      </c>
    </row>
    <row r="5644" s="5" customFormat="1" customHeight="1" spans="1:25">
      <c r="A5644" s="24" t="s">
        <v>444</v>
      </c>
      <c r="B5644" s="24" t="s">
        <v>6300</v>
      </c>
      <c r="C5644" s="24" t="s">
        <v>3237</v>
      </c>
      <c r="D5644" s="22" t="s">
        <v>6301</v>
      </c>
      <c r="E5644" s="23" t="s">
        <v>6936</v>
      </c>
      <c r="F5644" s="24" t="s">
        <v>6937</v>
      </c>
      <c r="G5644" s="24" t="s">
        <v>88</v>
      </c>
      <c r="H5644" s="25" t="s">
        <v>7111</v>
      </c>
      <c r="I5644" s="46" t="e">
        <f>VLOOKUP(H5644,'合同高级查询数据-4月返'!A:A,1,FALSE)</f>
        <v>#N/A</v>
      </c>
      <c r="J5644" s="47" t="s">
        <v>3488</v>
      </c>
      <c r="K5644" s="24" t="s">
        <v>7112</v>
      </c>
      <c r="L5644" s="109"/>
      <c r="M5644" s="49" t="s">
        <v>6939</v>
      </c>
      <c r="N5644" s="50">
        <v>44295</v>
      </c>
      <c r="O5644" s="22" t="s">
        <v>503</v>
      </c>
      <c r="P5644" s="52">
        <v>5800</v>
      </c>
      <c r="Q5644" s="70">
        <v>15</v>
      </c>
      <c r="R5644" s="52">
        <f t="shared" si="172"/>
        <v>87000</v>
      </c>
      <c r="S5644" s="47">
        <v>202304</v>
      </c>
      <c r="T5644" s="123" t="s">
        <v>7174</v>
      </c>
      <c r="U5644" s="48"/>
      <c r="V5644" s="48"/>
      <c r="W5644" s="48"/>
      <c r="X5644" s="50">
        <v>43525</v>
      </c>
      <c r="Y5644" s="50">
        <v>45716</v>
      </c>
    </row>
    <row r="5645" s="5" customFormat="1" customHeight="1" spans="1:25">
      <c r="A5645" s="24" t="s">
        <v>444</v>
      </c>
      <c r="B5645" s="24" t="s">
        <v>6300</v>
      </c>
      <c r="C5645" s="24" t="s">
        <v>3237</v>
      </c>
      <c r="D5645" s="22" t="s">
        <v>6301</v>
      </c>
      <c r="E5645" s="23" t="s">
        <v>6936</v>
      </c>
      <c r="F5645" s="24" t="s">
        <v>6937</v>
      </c>
      <c r="G5645" s="24" t="s">
        <v>88</v>
      </c>
      <c r="H5645" s="25" t="s">
        <v>7111</v>
      </c>
      <c r="I5645" s="46" t="e">
        <f>VLOOKUP(H5645,'合同高级查询数据-4月返'!A:A,1,FALSE)</f>
        <v>#N/A</v>
      </c>
      <c r="J5645" s="47" t="s">
        <v>3488</v>
      </c>
      <c r="K5645" s="24" t="s">
        <v>7112</v>
      </c>
      <c r="L5645" s="109"/>
      <c r="M5645" s="49" t="s">
        <v>6939</v>
      </c>
      <c r="N5645" s="50">
        <v>44298</v>
      </c>
      <c r="O5645" s="22" t="s">
        <v>503</v>
      </c>
      <c r="P5645" s="52">
        <v>5800</v>
      </c>
      <c r="Q5645" s="70">
        <v>3</v>
      </c>
      <c r="R5645" s="52">
        <f t="shared" si="172"/>
        <v>17400</v>
      </c>
      <c r="S5645" s="47">
        <v>202304</v>
      </c>
      <c r="T5645" s="123" t="s">
        <v>7175</v>
      </c>
      <c r="U5645" s="48"/>
      <c r="V5645" s="48"/>
      <c r="W5645" s="48"/>
      <c r="X5645" s="50">
        <v>43525</v>
      </c>
      <c r="Y5645" s="50">
        <v>45716</v>
      </c>
    </row>
    <row r="5646" s="5" customFormat="1" customHeight="1" spans="1:25">
      <c r="A5646" s="24" t="s">
        <v>444</v>
      </c>
      <c r="B5646" s="24" t="s">
        <v>6300</v>
      </c>
      <c r="C5646" s="24" t="s">
        <v>3237</v>
      </c>
      <c r="D5646" s="22" t="s">
        <v>6301</v>
      </c>
      <c r="E5646" s="23" t="s">
        <v>6936</v>
      </c>
      <c r="F5646" s="24" t="s">
        <v>6937</v>
      </c>
      <c r="G5646" s="24" t="s">
        <v>88</v>
      </c>
      <c r="H5646" s="25" t="s">
        <v>7111</v>
      </c>
      <c r="I5646" s="46" t="e">
        <f>VLOOKUP(H5646,'合同高级查询数据-4月返'!A:A,1,FALSE)</f>
        <v>#N/A</v>
      </c>
      <c r="J5646" s="47" t="s">
        <v>3488</v>
      </c>
      <c r="K5646" s="24" t="s">
        <v>7112</v>
      </c>
      <c r="L5646" s="109"/>
      <c r="M5646" s="49" t="s">
        <v>6939</v>
      </c>
      <c r="N5646" s="50">
        <v>44299</v>
      </c>
      <c r="O5646" s="22" t="s">
        <v>503</v>
      </c>
      <c r="P5646" s="52">
        <v>5800</v>
      </c>
      <c r="Q5646" s="70">
        <v>8</v>
      </c>
      <c r="R5646" s="52">
        <f t="shared" si="172"/>
        <v>46400</v>
      </c>
      <c r="S5646" s="47">
        <v>202304</v>
      </c>
      <c r="T5646" s="123" t="s">
        <v>7176</v>
      </c>
      <c r="U5646" s="48"/>
      <c r="V5646" s="48"/>
      <c r="W5646" s="48"/>
      <c r="X5646" s="50">
        <v>43525</v>
      </c>
      <c r="Y5646" s="50">
        <v>45716</v>
      </c>
    </row>
    <row r="5647" s="5" customFormat="1" customHeight="1" spans="1:25">
      <c r="A5647" s="24" t="s">
        <v>444</v>
      </c>
      <c r="B5647" s="24" t="s">
        <v>6300</v>
      </c>
      <c r="C5647" s="24" t="s">
        <v>3237</v>
      </c>
      <c r="D5647" s="22" t="s">
        <v>6301</v>
      </c>
      <c r="E5647" s="23" t="s">
        <v>6936</v>
      </c>
      <c r="F5647" s="24" t="s">
        <v>6937</v>
      </c>
      <c r="G5647" s="24" t="s">
        <v>88</v>
      </c>
      <c r="H5647" s="25" t="s">
        <v>7111</v>
      </c>
      <c r="I5647" s="46" t="e">
        <f>VLOOKUP(H5647,'合同高级查询数据-4月返'!A:A,1,FALSE)</f>
        <v>#N/A</v>
      </c>
      <c r="J5647" s="47" t="s">
        <v>3488</v>
      </c>
      <c r="K5647" s="24" t="s">
        <v>7112</v>
      </c>
      <c r="L5647" s="109"/>
      <c r="M5647" s="49" t="s">
        <v>6939</v>
      </c>
      <c r="N5647" s="50">
        <v>44308</v>
      </c>
      <c r="O5647" s="22" t="s">
        <v>503</v>
      </c>
      <c r="P5647" s="52">
        <v>5800</v>
      </c>
      <c r="Q5647" s="70">
        <v>8</v>
      </c>
      <c r="R5647" s="52">
        <f t="shared" si="172"/>
        <v>46400</v>
      </c>
      <c r="S5647" s="47">
        <v>202304</v>
      </c>
      <c r="T5647" s="123" t="s">
        <v>7177</v>
      </c>
      <c r="U5647" s="48"/>
      <c r="V5647" s="48"/>
      <c r="W5647" s="48"/>
      <c r="X5647" s="50">
        <v>43525</v>
      </c>
      <c r="Y5647" s="50">
        <v>45716</v>
      </c>
    </row>
    <row r="5648" s="5" customFormat="1" customHeight="1" spans="1:25">
      <c r="A5648" s="24" t="s">
        <v>444</v>
      </c>
      <c r="B5648" s="24" t="s">
        <v>6300</v>
      </c>
      <c r="C5648" s="24" t="s">
        <v>3237</v>
      </c>
      <c r="D5648" s="22" t="s">
        <v>6301</v>
      </c>
      <c r="E5648" s="23" t="s">
        <v>6936</v>
      </c>
      <c r="F5648" s="24" t="s">
        <v>6937</v>
      </c>
      <c r="G5648" s="24" t="s">
        <v>88</v>
      </c>
      <c r="H5648" s="25" t="s">
        <v>7111</v>
      </c>
      <c r="I5648" s="46" t="e">
        <f>VLOOKUP(H5648,'合同高级查询数据-4月返'!A:A,1,FALSE)</f>
        <v>#N/A</v>
      </c>
      <c r="J5648" s="47" t="s">
        <v>3488</v>
      </c>
      <c r="K5648" s="24" t="s">
        <v>7112</v>
      </c>
      <c r="L5648" s="109"/>
      <c r="M5648" s="49" t="s">
        <v>6939</v>
      </c>
      <c r="N5648" s="50">
        <v>44309</v>
      </c>
      <c r="O5648" s="22" t="s">
        <v>503</v>
      </c>
      <c r="P5648" s="52">
        <v>5800</v>
      </c>
      <c r="Q5648" s="70">
        <v>3</v>
      </c>
      <c r="R5648" s="52">
        <f t="shared" si="172"/>
        <v>17400</v>
      </c>
      <c r="S5648" s="47">
        <v>202304</v>
      </c>
      <c r="T5648" s="123" t="s">
        <v>7178</v>
      </c>
      <c r="U5648" s="48"/>
      <c r="V5648" s="48"/>
      <c r="W5648" s="48"/>
      <c r="X5648" s="50">
        <v>43525</v>
      </c>
      <c r="Y5648" s="50">
        <v>45716</v>
      </c>
    </row>
    <row r="5649" s="5" customFormat="1" customHeight="1" spans="1:25">
      <c r="A5649" s="24" t="s">
        <v>444</v>
      </c>
      <c r="B5649" s="24" t="s">
        <v>6300</v>
      </c>
      <c r="C5649" s="24" t="s">
        <v>3237</v>
      </c>
      <c r="D5649" s="22" t="s">
        <v>6301</v>
      </c>
      <c r="E5649" s="23" t="s">
        <v>6936</v>
      </c>
      <c r="F5649" s="24" t="s">
        <v>6937</v>
      </c>
      <c r="G5649" s="24" t="s">
        <v>88</v>
      </c>
      <c r="H5649" s="25" t="s">
        <v>7111</v>
      </c>
      <c r="I5649" s="46" t="e">
        <f>VLOOKUP(H5649,'合同高级查询数据-4月返'!A:A,1,FALSE)</f>
        <v>#N/A</v>
      </c>
      <c r="J5649" s="47" t="s">
        <v>3488</v>
      </c>
      <c r="K5649" s="24" t="s">
        <v>7112</v>
      </c>
      <c r="L5649" s="109"/>
      <c r="M5649" s="49" t="s">
        <v>6939</v>
      </c>
      <c r="N5649" s="50">
        <v>44313</v>
      </c>
      <c r="O5649" s="22" t="s">
        <v>503</v>
      </c>
      <c r="P5649" s="52">
        <v>5800</v>
      </c>
      <c r="Q5649" s="70">
        <v>5</v>
      </c>
      <c r="R5649" s="52">
        <f t="shared" si="172"/>
        <v>29000</v>
      </c>
      <c r="S5649" s="47">
        <v>202304</v>
      </c>
      <c r="T5649" s="123" t="s">
        <v>7179</v>
      </c>
      <c r="U5649" s="48"/>
      <c r="V5649" s="48"/>
      <c r="W5649" s="48"/>
      <c r="X5649" s="50">
        <v>43525</v>
      </c>
      <c r="Y5649" s="50">
        <v>45716</v>
      </c>
    </row>
    <row r="5650" s="5" customFormat="1" customHeight="1" spans="1:25">
      <c r="A5650" s="24" t="s">
        <v>444</v>
      </c>
      <c r="B5650" s="24" t="s">
        <v>6300</v>
      </c>
      <c r="C5650" s="24" t="s">
        <v>3237</v>
      </c>
      <c r="D5650" s="22" t="s">
        <v>6301</v>
      </c>
      <c r="E5650" s="23" t="s">
        <v>6936</v>
      </c>
      <c r="F5650" s="24" t="s">
        <v>6937</v>
      </c>
      <c r="G5650" s="24" t="s">
        <v>88</v>
      </c>
      <c r="H5650" s="25" t="s">
        <v>7111</v>
      </c>
      <c r="I5650" s="46" t="e">
        <f>VLOOKUP(H5650,'合同高级查询数据-4月返'!A:A,1,FALSE)</f>
        <v>#N/A</v>
      </c>
      <c r="J5650" s="47" t="s">
        <v>3488</v>
      </c>
      <c r="K5650" s="24" t="s">
        <v>7112</v>
      </c>
      <c r="L5650" s="109"/>
      <c r="M5650" s="49" t="s">
        <v>6939</v>
      </c>
      <c r="N5650" s="50">
        <v>44315</v>
      </c>
      <c r="O5650" s="22" t="s">
        <v>503</v>
      </c>
      <c r="P5650" s="52">
        <v>5800</v>
      </c>
      <c r="Q5650" s="70">
        <v>10</v>
      </c>
      <c r="R5650" s="52">
        <f t="shared" si="172"/>
        <v>58000</v>
      </c>
      <c r="S5650" s="47">
        <v>202304</v>
      </c>
      <c r="T5650" s="123" t="s">
        <v>7180</v>
      </c>
      <c r="U5650" s="48"/>
      <c r="V5650" s="48"/>
      <c r="W5650" s="48"/>
      <c r="X5650" s="50">
        <v>43525</v>
      </c>
      <c r="Y5650" s="50">
        <v>45716</v>
      </c>
    </row>
    <row r="5651" s="5" customFormat="1" customHeight="1" spans="1:25">
      <c r="A5651" s="24" t="s">
        <v>444</v>
      </c>
      <c r="B5651" s="24" t="s">
        <v>6300</v>
      </c>
      <c r="C5651" s="24" t="s">
        <v>3237</v>
      </c>
      <c r="D5651" s="22" t="s">
        <v>6301</v>
      </c>
      <c r="E5651" s="23" t="s">
        <v>6936</v>
      </c>
      <c r="F5651" s="24" t="s">
        <v>6937</v>
      </c>
      <c r="G5651" s="24" t="s">
        <v>88</v>
      </c>
      <c r="H5651" s="25" t="s">
        <v>7111</v>
      </c>
      <c r="I5651" s="46" t="e">
        <f>VLOOKUP(H5651,'合同高级查询数据-4月返'!A:A,1,FALSE)</f>
        <v>#N/A</v>
      </c>
      <c r="J5651" s="47" t="s">
        <v>3488</v>
      </c>
      <c r="K5651" s="24" t="s">
        <v>7112</v>
      </c>
      <c r="L5651" s="109"/>
      <c r="M5651" s="49" t="s">
        <v>6939</v>
      </c>
      <c r="N5651" s="50">
        <v>44330</v>
      </c>
      <c r="O5651" s="22" t="s">
        <v>503</v>
      </c>
      <c r="P5651" s="52">
        <v>5800</v>
      </c>
      <c r="Q5651" s="70">
        <v>6</v>
      </c>
      <c r="R5651" s="52">
        <f t="shared" si="172"/>
        <v>34800</v>
      </c>
      <c r="S5651" s="47">
        <v>202304</v>
      </c>
      <c r="T5651" s="123" t="s">
        <v>7181</v>
      </c>
      <c r="U5651" s="48"/>
      <c r="V5651" s="48"/>
      <c r="W5651" s="48"/>
      <c r="X5651" s="50">
        <v>43525</v>
      </c>
      <c r="Y5651" s="50">
        <v>45716</v>
      </c>
    </row>
    <row r="5652" s="5" customFormat="1" customHeight="1" spans="1:25">
      <c r="A5652" s="24" t="s">
        <v>444</v>
      </c>
      <c r="B5652" s="24" t="s">
        <v>6300</v>
      </c>
      <c r="C5652" s="24" t="s">
        <v>3237</v>
      </c>
      <c r="D5652" s="22" t="s">
        <v>6301</v>
      </c>
      <c r="E5652" s="23" t="s">
        <v>6936</v>
      </c>
      <c r="F5652" s="24" t="s">
        <v>6937</v>
      </c>
      <c r="G5652" s="24" t="s">
        <v>88</v>
      </c>
      <c r="H5652" s="25" t="s">
        <v>7111</v>
      </c>
      <c r="I5652" s="46" t="e">
        <f>VLOOKUP(H5652,'合同高级查询数据-4月返'!A:A,1,FALSE)</f>
        <v>#N/A</v>
      </c>
      <c r="J5652" s="47" t="s">
        <v>3488</v>
      </c>
      <c r="K5652" s="24" t="s">
        <v>7112</v>
      </c>
      <c r="L5652" s="109"/>
      <c r="M5652" s="49" t="s">
        <v>6939</v>
      </c>
      <c r="N5652" s="50">
        <v>44342</v>
      </c>
      <c r="O5652" s="22" t="s">
        <v>503</v>
      </c>
      <c r="P5652" s="52">
        <v>5800</v>
      </c>
      <c r="Q5652" s="70">
        <v>8</v>
      </c>
      <c r="R5652" s="52">
        <f t="shared" si="172"/>
        <v>46400</v>
      </c>
      <c r="S5652" s="47">
        <v>202304</v>
      </c>
      <c r="T5652" s="123" t="s">
        <v>7182</v>
      </c>
      <c r="U5652" s="48"/>
      <c r="V5652" s="48"/>
      <c r="W5652" s="48"/>
      <c r="X5652" s="50">
        <v>43525</v>
      </c>
      <c r="Y5652" s="50">
        <v>45716</v>
      </c>
    </row>
    <row r="5653" s="5" customFormat="1" customHeight="1" spans="1:25">
      <c r="A5653" s="24" t="s">
        <v>444</v>
      </c>
      <c r="B5653" s="24" t="s">
        <v>6300</v>
      </c>
      <c r="C5653" s="24" t="s">
        <v>3237</v>
      </c>
      <c r="D5653" s="22" t="s">
        <v>6301</v>
      </c>
      <c r="E5653" s="23" t="s">
        <v>6936</v>
      </c>
      <c r="F5653" s="24" t="s">
        <v>6937</v>
      </c>
      <c r="G5653" s="24" t="s">
        <v>88</v>
      </c>
      <c r="H5653" s="25" t="s">
        <v>7111</v>
      </c>
      <c r="I5653" s="46" t="e">
        <f>VLOOKUP(H5653,'合同高级查询数据-4月返'!A:A,1,FALSE)</f>
        <v>#N/A</v>
      </c>
      <c r="J5653" s="47" t="s">
        <v>3488</v>
      </c>
      <c r="K5653" s="24" t="s">
        <v>7112</v>
      </c>
      <c r="L5653" s="109"/>
      <c r="M5653" s="49" t="s">
        <v>7052</v>
      </c>
      <c r="N5653" s="50">
        <v>44349</v>
      </c>
      <c r="O5653" s="22" t="s">
        <v>503</v>
      </c>
      <c r="P5653" s="52">
        <v>5800</v>
      </c>
      <c r="Q5653" s="70">
        <v>10</v>
      </c>
      <c r="R5653" s="52">
        <f t="shared" si="172"/>
        <v>58000</v>
      </c>
      <c r="S5653" s="47">
        <v>202304</v>
      </c>
      <c r="T5653" s="123" t="s">
        <v>7183</v>
      </c>
      <c r="U5653" s="48"/>
      <c r="V5653" s="48"/>
      <c r="W5653" s="48"/>
      <c r="X5653" s="50">
        <v>43525</v>
      </c>
      <c r="Y5653" s="50">
        <v>45716</v>
      </c>
    </row>
    <row r="5654" s="5" customFormat="1" customHeight="1" spans="1:25">
      <c r="A5654" s="24" t="s">
        <v>444</v>
      </c>
      <c r="B5654" s="24" t="s">
        <v>6300</v>
      </c>
      <c r="C5654" s="24" t="s">
        <v>3237</v>
      </c>
      <c r="D5654" s="22" t="s">
        <v>6301</v>
      </c>
      <c r="E5654" s="23" t="s">
        <v>6936</v>
      </c>
      <c r="F5654" s="24" t="s">
        <v>6937</v>
      </c>
      <c r="G5654" s="24" t="s">
        <v>88</v>
      </c>
      <c r="H5654" s="25" t="s">
        <v>7111</v>
      </c>
      <c r="I5654" s="46" t="e">
        <f>VLOOKUP(H5654,'合同高级查询数据-4月返'!A:A,1,FALSE)</f>
        <v>#N/A</v>
      </c>
      <c r="J5654" s="47" t="s">
        <v>3488</v>
      </c>
      <c r="K5654" s="24" t="s">
        <v>7112</v>
      </c>
      <c r="L5654" s="109"/>
      <c r="M5654" s="49" t="s">
        <v>6939</v>
      </c>
      <c r="N5654" s="50">
        <v>44358</v>
      </c>
      <c r="O5654" s="22" t="s">
        <v>503</v>
      </c>
      <c r="P5654" s="52">
        <v>5800</v>
      </c>
      <c r="Q5654" s="70">
        <v>2</v>
      </c>
      <c r="R5654" s="52">
        <f t="shared" si="172"/>
        <v>11600</v>
      </c>
      <c r="S5654" s="47">
        <v>202304</v>
      </c>
      <c r="T5654" s="123" t="s">
        <v>7184</v>
      </c>
      <c r="U5654" s="48"/>
      <c r="V5654" s="48"/>
      <c r="W5654" s="48"/>
      <c r="X5654" s="50">
        <v>43525</v>
      </c>
      <c r="Y5654" s="50">
        <v>45716</v>
      </c>
    </row>
    <row r="5655" s="5" customFormat="1" customHeight="1" spans="1:25">
      <c r="A5655" s="24" t="s">
        <v>444</v>
      </c>
      <c r="B5655" s="24" t="s">
        <v>6300</v>
      </c>
      <c r="C5655" s="24" t="s">
        <v>3237</v>
      </c>
      <c r="D5655" s="22" t="s">
        <v>6301</v>
      </c>
      <c r="E5655" s="23" t="s">
        <v>6936</v>
      </c>
      <c r="F5655" s="24" t="s">
        <v>6937</v>
      </c>
      <c r="G5655" s="24" t="s">
        <v>88</v>
      </c>
      <c r="H5655" s="25" t="s">
        <v>7111</v>
      </c>
      <c r="I5655" s="46" t="e">
        <f>VLOOKUP(H5655,'合同高级查询数据-4月返'!A:A,1,FALSE)</f>
        <v>#N/A</v>
      </c>
      <c r="J5655" s="47" t="s">
        <v>3488</v>
      </c>
      <c r="K5655" s="24" t="s">
        <v>7112</v>
      </c>
      <c r="L5655" s="109"/>
      <c r="M5655" s="49" t="s">
        <v>6939</v>
      </c>
      <c r="N5655" s="50">
        <v>44363</v>
      </c>
      <c r="O5655" s="22" t="s">
        <v>503</v>
      </c>
      <c r="P5655" s="52">
        <v>5800</v>
      </c>
      <c r="Q5655" s="70">
        <v>1</v>
      </c>
      <c r="R5655" s="52">
        <f t="shared" si="172"/>
        <v>5800</v>
      </c>
      <c r="S5655" s="47">
        <v>202304</v>
      </c>
      <c r="T5655" s="123" t="s">
        <v>7185</v>
      </c>
      <c r="U5655" s="48"/>
      <c r="V5655" s="48"/>
      <c r="W5655" s="48"/>
      <c r="X5655" s="50">
        <v>43525</v>
      </c>
      <c r="Y5655" s="50">
        <v>45716</v>
      </c>
    </row>
    <row r="5656" s="5" customFormat="1" customHeight="1" spans="1:25">
      <c r="A5656" s="24" t="s">
        <v>444</v>
      </c>
      <c r="B5656" s="24" t="s">
        <v>6300</v>
      </c>
      <c r="C5656" s="24" t="s">
        <v>3237</v>
      </c>
      <c r="D5656" s="22" t="s">
        <v>6301</v>
      </c>
      <c r="E5656" s="23" t="s">
        <v>6936</v>
      </c>
      <c r="F5656" s="24" t="s">
        <v>6937</v>
      </c>
      <c r="G5656" s="24" t="s">
        <v>88</v>
      </c>
      <c r="H5656" s="25" t="s">
        <v>7111</v>
      </c>
      <c r="I5656" s="46" t="e">
        <f>VLOOKUP(H5656,'合同高级查询数据-4月返'!A:A,1,FALSE)</f>
        <v>#N/A</v>
      </c>
      <c r="J5656" s="47" t="s">
        <v>3488</v>
      </c>
      <c r="K5656" s="24" t="s">
        <v>7112</v>
      </c>
      <c r="L5656" s="109"/>
      <c r="M5656" s="49" t="s">
        <v>6939</v>
      </c>
      <c r="N5656" s="50">
        <v>44368</v>
      </c>
      <c r="O5656" s="22" t="s">
        <v>503</v>
      </c>
      <c r="P5656" s="52">
        <v>5800</v>
      </c>
      <c r="Q5656" s="70">
        <v>4</v>
      </c>
      <c r="R5656" s="52">
        <f t="shared" si="172"/>
        <v>23200</v>
      </c>
      <c r="S5656" s="47">
        <v>202304</v>
      </c>
      <c r="T5656" s="123" t="s">
        <v>7186</v>
      </c>
      <c r="U5656" s="48"/>
      <c r="V5656" s="48"/>
      <c r="W5656" s="48"/>
      <c r="X5656" s="50">
        <v>43525</v>
      </c>
      <c r="Y5656" s="50">
        <v>45716</v>
      </c>
    </row>
    <row r="5657" s="5" customFormat="1" customHeight="1" spans="1:25">
      <c r="A5657" s="24" t="s">
        <v>444</v>
      </c>
      <c r="B5657" s="24" t="s">
        <v>6300</v>
      </c>
      <c r="C5657" s="24" t="s">
        <v>3237</v>
      </c>
      <c r="D5657" s="22" t="s">
        <v>6301</v>
      </c>
      <c r="E5657" s="23" t="s">
        <v>6936</v>
      </c>
      <c r="F5657" s="24" t="s">
        <v>6937</v>
      </c>
      <c r="G5657" s="24" t="s">
        <v>88</v>
      </c>
      <c r="H5657" s="25" t="s">
        <v>7111</v>
      </c>
      <c r="I5657" s="46" t="e">
        <f>VLOOKUP(H5657,'合同高级查询数据-4月返'!A:A,1,FALSE)</f>
        <v>#N/A</v>
      </c>
      <c r="J5657" s="47" t="s">
        <v>3488</v>
      </c>
      <c r="K5657" s="24" t="s">
        <v>7112</v>
      </c>
      <c r="L5657" s="48"/>
      <c r="M5657" s="49" t="s">
        <v>6939</v>
      </c>
      <c r="N5657" s="50">
        <v>44382</v>
      </c>
      <c r="O5657" s="22" t="s">
        <v>503</v>
      </c>
      <c r="P5657" s="52">
        <v>5800</v>
      </c>
      <c r="Q5657" s="70">
        <v>70</v>
      </c>
      <c r="R5657" s="52">
        <f t="shared" si="172"/>
        <v>406000</v>
      </c>
      <c r="S5657" s="47">
        <v>202304</v>
      </c>
      <c r="T5657" s="123" t="s">
        <v>7187</v>
      </c>
      <c r="U5657" s="48"/>
      <c r="V5657" s="48"/>
      <c r="W5657" s="48"/>
      <c r="X5657" s="50">
        <v>43525</v>
      </c>
      <c r="Y5657" s="50">
        <v>45716</v>
      </c>
    </row>
    <row r="5658" s="5" customFormat="1" customHeight="1" spans="1:25">
      <c r="A5658" s="24" t="s">
        <v>444</v>
      </c>
      <c r="B5658" s="24" t="s">
        <v>6300</v>
      </c>
      <c r="C5658" s="24" t="s">
        <v>3237</v>
      </c>
      <c r="D5658" s="22" t="s">
        <v>6301</v>
      </c>
      <c r="E5658" s="23" t="s">
        <v>6936</v>
      </c>
      <c r="F5658" s="24" t="s">
        <v>6937</v>
      </c>
      <c r="G5658" s="24" t="s">
        <v>88</v>
      </c>
      <c r="H5658" s="25" t="s">
        <v>7111</v>
      </c>
      <c r="I5658" s="46" t="e">
        <f>VLOOKUP(H5658,'合同高级查询数据-4月返'!A:A,1,FALSE)</f>
        <v>#N/A</v>
      </c>
      <c r="J5658" s="47" t="s">
        <v>3488</v>
      </c>
      <c r="K5658" s="24" t="s">
        <v>7112</v>
      </c>
      <c r="L5658" s="48"/>
      <c r="M5658" s="49" t="s">
        <v>6939</v>
      </c>
      <c r="N5658" s="50">
        <v>44386</v>
      </c>
      <c r="O5658" s="22" t="s">
        <v>503</v>
      </c>
      <c r="P5658" s="52">
        <v>5800</v>
      </c>
      <c r="Q5658" s="70">
        <v>15</v>
      </c>
      <c r="R5658" s="52">
        <f t="shared" si="172"/>
        <v>87000</v>
      </c>
      <c r="S5658" s="47">
        <v>202304</v>
      </c>
      <c r="T5658" s="123" t="s">
        <v>7188</v>
      </c>
      <c r="U5658" s="48"/>
      <c r="V5658" s="48"/>
      <c r="W5658" s="48"/>
      <c r="X5658" s="50">
        <v>43525</v>
      </c>
      <c r="Y5658" s="50">
        <v>45716</v>
      </c>
    </row>
    <row r="5659" s="5" customFormat="1" customHeight="1" spans="1:25">
      <c r="A5659" s="24" t="s">
        <v>444</v>
      </c>
      <c r="B5659" s="24" t="s">
        <v>6300</v>
      </c>
      <c r="C5659" s="24" t="s">
        <v>3237</v>
      </c>
      <c r="D5659" s="22" t="s">
        <v>6301</v>
      </c>
      <c r="E5659" s="23" t="s">
        <v>6936</v>
      </c>
      <c r="F5659" s="24" t="s">
        <v>6937</v>
      </c>
      <c r="G5659" s="24" t="s">
        <v>88</v>
      </c>
      <c r="H5659" s="25" t="s">
        <v>7111</v>
      </c>
      <c r="I5659" s="46" t="e">
        <f>VLOOKUP(H5659,'合同高级查询数据-4月返'!A:A,1,FALSE)</f>
        <v>#N/A</v>
      </c>
      <c r="J5659" s="47" t="s">
        <v>3488</v>
      </c>
      <c r="K5659" s="24" t="s">
        <v>7112</v>
      </c>
      <c r="L5659" s="109"/>
      <c r="M5659" s="49" t="s">
        <v>6939</v>
      </c>
      <c r="N5659" s="50">
        <v>44396</v>
      </c>
      <c r="O5659" s="22" t="s">
        <v>503</v>
      </c>
      <c r="P5659" s="52">
        <v>5800</v>
      </c>
      <c r="Q5659" s="70">
        <v>4</v>
      </c>
      <c r="R5659" s="52">
        <f t="shared" si="172"/>
        <v>23200</v>
      </c>
      <c r="S5659" s="47">
        <v>202304</v>
      </c>
      <c r="T5659" s="123" t="s">
        <v>7189</v>
      </c>
      <c r="U5659" s="48"/>
      <c r="V5659" s="48"/>
      <c r="W5659" s="48"/>
      <c r="X5659" s="50">
        <v>43525</v>
      </c>
      <c r="Y5659" s="50">
        <v>45716</v>
      </c>
    </row>
    <row r="5660" s="5" customFormat="1" customHeight="1" spans="1:25">
      <c r="A5660" s="24" t="s">
        <v>444</v>
      </c>
      <c r="B5660" s="24" t="s">
        <v>6300</v>
      </c>
      <c r="C5660" s="24" t="s">
        <v>3237</v>
      </c>
      <c r="D5660" s="22" t="s">
        <v>6301</v>
      </c>
      <c r="E5660" s="23" t="s">
        <v>6936</v>
      </c>
      <c r="F5660" s="24" t="s">
        <v>6937</v>
      </c>
      <c r="G5660" s="24" t="s">
        <v>88</v>
      </c>
      <c r="H5660" s="25" t="s">
        <v>7111</v>
      </c>
      <c r="I5660" s="46" t="e">
        <f>VLOOKUP(H5660,'合同高级查询数据-4月返'!A:A,1,FALSE)</f>
        <v>#N/A</v>
      </c>
      <c r="J5660" s="47" t="s">
        <v>3488</v>
      </c>
      <c r="K5660" s="24" t="s">
        <v>7112</v>
      </c>
      <c r="L5660" s="109"/>
      <c r="M5660" s="49" t="s">
        <v>6939</v>
      </c>
      <c r="N5660" s="50">
        <v>44407</v>
      </c>
      <c r="O5660" s="22" t="s">
        <v>503</v>
      </c>
      <c r="P5660" s="52">
        <v>5800</v>
      </c>
      <c r="Q5660" s="70">
        <v>8</v>
      </c>
      <c r="R5660" s="52">
        <f t="shared" ref="R5660:R5691" si="173">ROUND(P5660*Q5660,2)</f>
        <v>46400</v>
      </c>
      <c r="S5660" s="47">
        <v>202304</v>
      </c>
      <c r="T5660" s="123" t="s">
        <v>7190</v>
      </c>
      <c r="U5660" s="48"/>
      <c r="V5660" s="48"/>
      <c r="W5660" s="48"/>
      <c r="X5660" s="50">
        <v>43525</v>
      </c>
      <c r="Y5660" s="50">
        <v>45716</v>
      </c>
    </row>
    <row r="5661" s="5" customFormat="1" customHeight="1" spans="1:25">
      <c r="A5661" s="24" t="s">
        <v>444</v>
      </c>
      <c r="B5661" s="24" t="s">
        <v>6300</v>
      </c>
      <c r="C5661" s="24" t="s">
        <v>3237</v>
      </c>
      <c r="D5661" s="22" t="s">
        <v>6301</v>
      </c>
      <c r="E5661" s="23" t="s">
        <v>6936</v>
      </c>
      <c r="F5661" s="24" t="s">
        <v>6937</v>
      </c>
      <c r="G5661" s="24" t="s">
        <v>88</v>
      </c>
      <c r="H5661" s="25" t="s">
        <v>7111</v>
      </c>
      <c r="I5661" s="46" t="e">
        <f>VLOOKUP(H5661,'合同高级查询数据-4月返'!A:A,1,FALSE)</f>
        <v>#N/A</v>
      </c>
      <c r="J5661" s="47" t="s">
        <v>3488</v>
      </c>
      <c r="K5661" s="24" t="s">
        <v>7112</v>
      </c>
      <c r="L5661" s="109"/>
      <c r="M5661" s="49" t="s">
        <v>6939</v>
      </c>
      <c r="N5661" s="50">
        <v>44419</v>
      </c>
      <c r="O5661" s="22" t="s">
        <v>503</v>
      </c>
      <c r="P5661" s="52">
        <v>5800</v>
      </c>
      <c r="Q5661" s="70">
        <v>3</v>
      </c>
      <c r="R5661" s="52">
        <f t="shared" si="173"/>
        <v>17400</v>
      </c>
      <c r="S5661" s="47">
        <v>202304</v>
      </c>
      <c r="T5661" s="123" t="s">
        <v>7191</v>
      </c>
      <c r="U5661" s="48"/>
      <c r="V5661" s="48"/>
      <c r="W5661" s="48"/>
      <c r="X5661" s="50">
        <v>43525</v>
      </c>
      <c r="Y5661" s="50">
        <v>45716</v>
      </c>
    </row>
    <row r="5662" s="5" customFormat="1" customHeight="1" spans="1:25">
      <c r="A5662" s="24" t="s">
        <v>444</v>
      </c>
      <c r="B5662" s="24" t="s">
        <v>6300</v>
      </c>
      <c r="C5662" s="24" t="s">
        <v>3237</v>
      </c>
      <c r="D5662" s="22" t="s">
        <v>6301</v>
      </c>
      <c r="E5662" s="23" t="s">
        <v>6936</v>
      </c>
      <c r="F5662" s="24" t="s">
        <v>6937</v>
      </c>
      <c r="G5662" s="24" t="s">
        <v>88</v>
      </c>
      <c r="H5662" s="25" t="s">
        <v>7111</v>
      </c>
      <c r="I5662" s="46" t="e">
        <f>VLOOKUP(H5662,'合同高级查询数据-4月返'!A:A,1,FALSE)</f>
        <v>#N/A</v>
      </c>
      <c r="J5662" s="47" t="s">
        <v>3488</v>
      </c>
      <c r="K5662" s="24" t="s">
        <v>7112</v>
      </c>
      <c r="L5662" s="109"/>
      <c r="M5662" s="49" t="s">
        <v>6939</v>
      </c>
      <c r="N5662" s="50">
        <v>44421</v>
      </c>
      <c r="O5662" s="22" t="s">
        <v>503</v>
      </c>
      <c r="P5662" s="52">
        <v>5800</v>
      </c>
      <c r="Q5662" s="70">
        <v>3</v>
      </c>
      <c r="R5662" s="52">
        <f t="shared" si="173"/>
        <v>17400</v>
      </c>
      <c r="S5662" s="47">
        <v>202304</v>
      </c>
      <c r="T5662" s="123" t="s">
        <v>7192</v>
      </c>
      <c r="U5662" s="48"/>
      <c r="V5662" s="48"/>
      <c r="W5662" s="48"/>
      <c r="X5662" s="50">
        <v>43525</v>
      </c>
      <c r="Y5662" s="50">
        <v>45716</v>
      </c>
    </row>
    <row r="5663" s="5" customFormat="1" customHeight="1" spans="1:25">
      <c r="A5663" s="24" t="s">
        <v>444</v>
      </c>
      <c r="B5663" s="24" t="s">
        <v>6300</v>
      </c>
      <c r="C5663" s="24" t="s">
        <v>3237</v>
      </c>
      <c r="D5663" s="22" t="s">
        <v>6301</v>
      </c>
      <c r="E5663" s="23" t="s">
        <v>6936</v>
      </c>
      <c r="F5663" s="24" t="s">
        <v>6937</v>
      </c>
      <c r="G5663" s="24" t="s">
        <v>88</v>
      </c>
      <c r="H5663" s="25" t="s">
        <v>7111</v>
      </c>
      <c r="I5663" s="46" t="e">
        <f>VLOOKUP(H5663,'合同高级查询数据-4月返'!A:A,1,FALSE)</f>
        <v>#N/A</v>
      </c>
      <c r="J5663" s="47" t="s">
        <v>3488</v>
      </c>
      <c r="K5663" s="24" t="s">
        <v>7112</v>
      </c>
      <c r="L5663" s="109"/>
      <c r="M5663" s="49" t="s">
        <v>6939</v>
      </c>
      <c r="N5663" s="50">
        <v>44422</v>
      </c>
      <c r="O5663" s="22" t="s">
        <v>503</v>
      </c>
      <c r="P5663" s="52">
        <v>5800</v>
      </c>
      <c r="Q5663" s="70">
        <v>48</v>
      </c>
      <c r="R5663" s="52">
        <f t="shared" si="173"/>
        <v>278400</v>
      </c>
      <c r="S5663" s="47">
        <v>202304</v>
      </c>
      <c r="T5663" s="123" t="s">
        <v>7193</v>
      </c>
      <c r="U5663" s="48"/>
      <c r="V5663" s="48"/>
      <c r="W5663" s="48"/>
      <c r="X5663" s="50">
        <v>43525</v>
      </c>
      <c r="Y5663" s="50">
        <v>45716</v>
      </c>
    </row>
    <row r="5664" s="5" customFormat="1" customHeight="1" spans="1:25">
      <c r="A5664" s="24" t="s">
        <v>444</v>
      </c>
      <c r="B5664" s="24" t="s">
        <v>6300</v>
      </c>
      <c r="C5664" s="24" t="s">
        <v>3237</v>
      </c>
      <c r="D5664" s="22" t="s">
        <v>6301</v>
      </c>
      <c r="E5664" s="23" t="s">
        <v>6936</v>
      </c>
      <c r="F5664" s="24" t="s">
        <v>6937</v>
      </c>
      <c r="G5664" s="24" t="s">
        <v>88</v>
      </c>
      <c r="H5664" s="25" t="s">
        <v>7111</v>
      </c>
      <c r="I5664" s="46" t="e">
        <f>VLOOKUP(H5664,'合同高级查询数据-4月返'!A:A,1,FALSE)</f>
        <v>#N/A</v>
      </c>
      <c r="J5664" s="47" t="s">
        <v>3488</v>
      </c>
      <c r="K5664" s="24" t="s">
        <v>7112</v>
      </c>
      <c r="L5664" s="109"/>
      <c r="M5664" s="49" t="s">
        <v>6939</v>
      </c>
      <c r="N5664" s="50">
        <v>44439</v>
      </c>
      <c r="O5664" s="22" t="s">
        <v>503</v>
      </c>
      <c r="P5664" s="52">
        <v>5800</v>
      </c>
      <c r="Q5664" s="70">
        <v>10</v>
      </c>
      <c r="R5664" s="52">
        <f t="shared" si="173"/>
        <v>58000</v>
      </c>
      <c r="S5664" s="47">
        <v>202304</v>
      </c>
      <c r="T5664" s="123" t="s">
        <v>7194</v>
      </c>
      <c r="U5664" s="48"/>
      <c r="V5664" s="48"/>
      <c r="W5664" s="48"/>
      <c r="X5664" s="50">
        <v>43525</v>
      </c>
      <c r="Y5664" s="50">
        <v>45716</v>
      </c>
    </row>
    <row r="5665" s="5" customFormat="1" customHeight="1" spans="1:25">
      <c r="A5665" s="24" t="s">
        <v>444</v>
      </c>
      <c r="B5665" s="24" t="s">
        <v>6300</v>
      </c>
      <c r="C5665" s="24" t="s">
        <v>3237</v>
      </c>
      <c r="D5665" s="22" t="s">
        <v>6301</v>
      </c>
      <c r="E5665" s="23" t="s">
        <v>6936</v>
      </c>
      <c r="F5665" s="24" t="s">
        <v>6937</v>
      </c>
      <c r="G5665" s="24" t="s">
        <v>88</v>
      </c>
      <c r="H5665" s="25" t="s">
        <v>7111</v>
      </c>
      <c r="I5665" s="46" t="e">
        <f>VLOOKUP(H5665,'合同高级查询数据-4月返'!A:A,1,FALSE)</f>
        <v>#N/A</v>
      </c>
      <c r="J5665" s="47" t="s">
        <v>3488</v>
      </c>
      <c r="K5665" s="24" t="s">
        <v>7112</v>
      </c>
      <c r="L5665" s="109"/>
      <c r="M5665" s="49" t="s">
        <v>6939</v>
      </c>
      <c r="N5665" s="50">
        <v>44552</v>
      </c>
      <c r="O5665" s="22" t="s">
        <v>503</v>
      </c>
      <c r="P5665" s="52">
        <v>5800</v>
      </c>
      <c r="Q5665" s="70">
        <v>4</v>
      </c>
      <c r="R5665" s="52">
        <f t="shared" si="173"/>
        <v>23200</v>
      </c>
      <c r="S5665" s="47">
        <v>202304</v>
      </c>
      <c r="T5665" s="123" t="s">
        <v>7195</v>
      </c>
      <c r="U5665" s="48"/>
      <c r="V5665" s="48"/>
      <c r="W5665" s="48"/>
      <c r="X5665" s="50">
        <v>43525</v>
      </c>
      <c r="Y5665" s="50">
        <v>45716</v>
      </c>
    </row>
    <row r="5666" s="5" customFormat="1" customHeight="1" spans="1:25">
      <c r="A5666" s="24" t="s">
        <v>444</v>
      </c>
      <c r="B5666" s="24" t="s">
        <v>6300</v>
      </c>
      <c r="C5666" s="24" t="s">
        <v>3237</v>
      </c>
      <c r="D5666" s="22" t="s">
        <v>6301</v>
      </c>
      <c r="E5666" s="23" t="s">
        <v>6936</v>
      </c>
      <c r="F5666" s="24" t="s">
        <v>6937</v>
      </c>
      <c r="G5666" s="24" t="s">
        <v>88</v>
      </c>
      <c r="H5666" s="25" t="s">
        <v>7111</v>
      </c>
      <c r="I5666" s="46" t="e">
        <f>VLOOKUP(H5666,'合同高级查询数据-4月返'!A:A,1,FALSE)</f>
        <v>#N/A</v>
      </c>
      <c r="J5666" s="47" t="s">
        <v>3488</v>
      </c>
      <c r="K5666" s="24" t="s">
        <v>7112</v>
      </c>
      <c r="L5666" s="109"/>
      <c r="M5666" s="49" t="s">
        <v>6939</v>
      </c>
      <c r="N5666" s="50">
        <v>44560</v>
      </c>
      <c r="O5666" s="22" t="s">
        <v>503</v>
      </c>
      <c r="P5666" s="52">
        <v>5800</v>
      </c>
      <c r="Q5666" s="70">
        <v>27</v>
      </c>
      <c r="R5666" s="52">
        <f t="shared" si="173"/>
        <v>156600</v>
      </c>
      <c r="S5666" s="47">
        <v>202304</v>
      </c>
      <c r="T5666" s="123" t="s">
        <v>7196</v>
      </c>
      <c r="U5666" s="48"/>
      <c r="V5666" s="48"/>
      <c r="W5666" s="48"/>
      <c r="X5666" s="50">
        <v>43525</v>
      </c>
      <c r="Y5666" s="50">
        <v>45716</v>
      </c>
    </row>
    <row r="5667" s="5" customFormat="1" customHeight="1" spans="1:25">
      <c r="A5667" s="24" t="s">
        <v>444</v>
      </c>
      <c r="B5667" s="24" t="s">
        <v>6300</v>
      </c>
      <c r="C5667" s="24" t="s">
        <v>3237</v>
      </c>
      <c r="D5667" s="22" t="s">
        <v>6301</v>
      </c>
      <c r="E5667" s="23" t="s">
        <v>6936</v>
      </c>
      <c r="F5667" s="24" t="s">
        <v>6937</v>
      </c>
      <c r="G5667" s="24" t="s">
        <v>88</v>
      </c>
      <c r="H5667" s="25" t="s">
        <v>7111</v>
      </c>
      <c r="I5667" s="46" t="e">
        <f>VLOOKUP(H5667,'合同高级查询数据-4月返'!A:A,1,FALSE)</f>
        <v>#N/A</v>
      </c>
      <c r="J5667" s="47" t="s">
        <v>3488</v>
      </c>
      <c r="K5667" s="24" t="s">
        <v>7112</v>
      </c>
      <c r="L5667" s="109"/>
      <c r="M5667" s="49" t="s">
        <v>6939</v>
      </c>
      <c r="N5667" s="50">
        <v>44620</v>
      </c>
      <c r="O5667" s="22" t="s">
        <v>503</v>
      </c>
      <c r="P5667" s="52">
        <v>5800</v>
      </c>
      <c r="Q5667" s="70">
        <v>4</v>
      </c>
      <c r="R5667" s="52">
        <f t="shared" si="173"/>
        <v>23200</v>
      </c>
      <c r="S5667" s="47">
        <v>202304</v>
      </c>
      <c r="T5667" s="123" t="s">
        <v>7197</v>
      </c>
      <c r="U5667" s="48"/>
      <c r="V5667" s="48"/>
      <c r="W5667" s="48"/>
      <c r="X5667" s="50">
        <v>43525</v>
      </c>
      <c r="Y5667" s="50">
        <v>45716</v>
      </c>
    </row>
    <row r="5668" s="5" customFormat="1" customHeight="1" spans="1:25">
      <c r="A5668" s="24" t="s">
        <v>444</v>
      </c>
      <c r="B5668" s="24" t="s">
        <v>6300</v>
      </c>
      <c r="C5668" s="24" t="s">
        <v>3237</v>
      </c>
      <c r="D5668" s="22" t="s">
        <v>6301</v>
      </c>
      <c r="E5668" s="23" t="s">
        <v>6936</v>
      </c>
      <c r="F5668" s="24" t="s">
        <v>6937</v>
      </c>
      <c r="G5668" s="24" t="s">
        <v>88</v>
      </c>
      <c r="H5668" s="25" t="s">
        <v>7111</v>
      </c>
      <c r="I5668" s="46" t="e">
        <f>VLOOKUP(H5668,'合同高级查询数据-4月返'!A:A,1,FALSE)</f>
        <v>#N/A</v>
      </c>
      <c r="J5668" s="47" t="s">
        <v>3488</v>
      </c>
      <c r="K5668" s="24" t="s">
        <v>7112</v>
      </c>
      <c r="L5668" s="109"/>
      <c r="M5668" s="49" t="s">
        <v>6939</v>
      </c>
      <c r="N5668" s="50">
        <v>44621</v>
      </c>
      <c r="O5668" s="22" t="s">
        <v>503</v>
      </c>
      <c r="P5668" s="52">
        <v>5800</v>
      </c>
      <c r="Q5668" s="70">
        <v>1</v>
      </c>
      <c r="R5668" s="52">
        <f t="shared" si="173"/>
        <v>5800</v>
      </c>
      <c r="S5668" s="47">
        <v>202304</v>
      </c>
      <c r="T5668" s="123" t="s">
        <v>7198</v>
      </c>
      <c r="U5668" s="48"/>
      <c r="V5668" s="48"/>
      <c r="W5668" s="48"/>
      <c r="X5668" s="50">
        <v>43525</v>
      </c>
      <c r="Y5668" s="50">
        <v>45716</v>
      </c>
    </row>
    <row r="5669" s="5" customFormat="1" customHeight="1" spans="1:25">
      <c r="A5669" s="24" t="s">
        <v>444</v>
      </c>
      <c r="B5669" s="24" t="s">
        <v>6300</v>
      </c>
      <c r="C5669" s="24" t="s">
        <v>3237</v>
      </c>
      <c r="D5669" s="22" t="s">
        <v>6301</v>
      </c>
      <c r="E5669" s="23" t="s">
        <v>6936</v>
      </c>
      <c r="F5669" s="24" t="s">
        <v>6937</v>
      </c>
      <c r="G5669" s="24" t="s">
        <v>88</v>
      </c>
      <c r="H5669" s="25" t="s">
        <v>7111</v>
      </c>
      <c r="I5669" s="46" t="e">
        <f>VLOOKUP(H5669,'合同高级查询数据-4月返'!A:A,1,FALSE)</f>
        <v>#N/A</v>
      </c>
      <c r="J5669" s="47" t="s">
        <v>3488</v>
      </c>
      <c r="K5669" s="24" t="s">
        <v>7112</v>
      </c>
      <c r="L5669" s="109"/>
      <c r="M5669" s="49" t="s">
        <v>6939</v>
      </c>
      <c r="N5669" s="50">
        <v>44650</v>
      </c>
      <c r="O5669" s="22" t="s">
        <v>503</v>
      </c>
      <c r="P5669" s="52">
        <v>5800</v>
      </c>
      <c r="Q5669" s="70">
        <v>-3</v>
      </c>
      <c r="R5669" s="52">
        <f t="shared" si="173"/>
        <v>-17400</v>
      </c>
      <c r="S5669" s="47">
        <v>202304</v>
      </c>
      <c r="T5669" s="123" t="s">
        <v>7199</v>
      </c>
      <c r="U5669" s="48"/>
      <c r="V5669" s="48"/>
      <c r="W5669" s="48"/>
      <c r="X5669" s="50">
        <v>43525</v>
      </c>
      <c r="Y5669" s="50">
        <v>45716</v>
      </c>
    </row>
    <row r="5670" s="5" customFormat="1" customHeight="1" spans="1:25">
      <c r="A5670" s="24" t="s">
        <v>444</v>
      </c>
      <c r="B5670" s="24" t="s">
        <v>6300</v>
      </c>
      <c r="C5670" s="24" t="s">
        <v>3237</v>
      </c>
      <c r="D5670" s="22" t="s">
        <v>6301</v>
      </c>
      <c r="E5670" s="23" t="s">
        <v>6936</v>
      </c>
      <c r="F5670" s="24" t="s">
        <v>6937</v>
      </c>
      <c r="G5670" s="24" t="s">
        <v>88</v>
      </c>
      <c r="H5670" s="25" t="s">
        <v>7111</v>
      </c>
      <c r="I5670" s="46" t="e">
        <f>VLOOKUP(H5670,'合同高级查询数据-4月返'!A:A,1,FALSE)</f>
        <v>#N/A</v>
      </c>
      <c r="J5670" s="47" t="s">
        <v>3488</v>
      </c>
      <c r="K5670" s="24" t="s">
        <v>7112</v>
      </c>
      <c r="L5670" s="109"/>
      <c r="M5670" s="49" t="s">
        <v>6939</v>
      </c>
      <c r="N5670" s="50">
        <v>44725</v>
      </c>
      <c r="O5670" s="22" t="s">
        <v>606</v>
      </c>
      <c r="P5670" s="52">
        <v>20284</v>
      </c>
      <c r="Q5670" s="70">
        <v>2</v>
      </c>
      <c r="R5670" s="52">
        <f t="shared" si="173"/>
        <v>40568</v>
      </c>
      <c r="S5670" s="47">
        <v>202304</v>
      </c>
      <c r="T5670" s="123" t="s">
        <v>7200</v>
      </c>
      <c r="U5670" s="48"/>
      <c r="V5670" s="48"/>
      <c r="W5670" s="48"/>
      <c r="X5670" s="50">
        <v>43525</v>
      </c>
      <c r="Y5670" s="50">
        <v>45716</v>
      </c>
    </row>
    <row r="5671" s="5" customFormat="1" customHeight="1" spans="1:25">
      <c r="A5671" s="24" t="s">
        <v>444</v>
      </c>
      <c r="B5671" s="24" t="s">
        <v>6300</v>
      </c>
      <c r="C5671" s="24" t="s">
        <v>3237</v>
      </c>
      <c r="D5671" s="22" t="s">
        <v>6301</v>
      </c>
      <c r="E5671" s="23" t="s">
        <v>6936</v>
      </c>
      <c r="F5671" s="24" t="s">
        <v>6937</v>
      </c>
      <c r="G5671" s="24" t="s">
        <v>88</v>
      </c>
      <c r="H5671" s="25" t="s">
        <v>7111</v>
      </c>
      <c r="I5671" s="46" t="e">
        <f>VLOOKUP(H5671,'合同高级查询数据-4月返'!A:A,1,FALSE)</f>
        <v>#N/A</v>
      </c>
      <c r="J5671" s="47" t="s">
        <v>3488</v>
      </c>
      <c r="K5671" s="24" t="s">
        <v>7112</v>
      </c>
      <c r="L5671" s="109"/>
      <c r="M5671" s="49" t="s">
        <v>6939</v>
      </c>
      <c r="N5671" s="50">
        <v>44734</v>
      </c>
      <c r="O5671" s="22" t="s">
        <v>503</v>
      </c>
      <c r="P5671" s="52">
        <v>5800</v>
      </c>
      <c r="Q5671" s="70">
        <v>5</v>
      </c>
      <c r="R5671" s="52">
        <f t="shared" si="173"/>
        <v>29000</v>
      </c>
      <c r="S5671" s="47">
        <v>202304</v>
      </c>
      <c r="T5671" s="123" t="s">
        <v>7201</v>
      </c>
      <c r="U5671" s="48"/>
      <c r="V5671" s="48"/>
      <c r="W5671" s="48"/>
      <c r="X5671" s="50">
        <v>43525</v>
      </c>
      <c r="Y5671" s="50">
        <v>45716</v>
      </c>
    </row>
    <row r="5672" s="5" customFormat="1" customHeight="1" spans="1:25">
      <c r="A5672" s="24" t="s">
        <v>444</v>
      </c>
      <c r="B5672" s="24" t="s">
        <v>6300</v>
      </c>
      <c r="C5672" s="24" t="s">
        <v>3237</v>
      </c>
      <c r="D5672" s="22" t="s">
        <v>6301</v>
      </c>
      <c r="E5672" s="23" t="s">
        <v>6936</v>
      </c>
      <c r="F5672" s="24" t="s">
        <v>6937</v>
      </c>
      <c r="G5672" s="24" t="s">
        <v>88</v>
      </c>
      <c r="H5672" s="25" t="s">
        <v>7111</v>
      </c>
      <c r="I5672" s="46" t="e">
        <f>VLOOKUP(H5672,'合同高级查询数据-4月返'!A:A,1,FALSE)</f>
        <v>#N/A</v>
      </c>
      <c r="J5672" s="47" t="s">
        <v>3488</v>
      </c>
      <c r="K5672" s="24" t="s">
        <v>7112</v>
      </c>
      <c r="L5672" s="109"/>
      <c r="M5672" s="49" t="s">
        <v>6939</v>
      </c>
      <c r="N5672" s="50">
        <v>44748</v>
      </c>
      <c r="O5672" s="22" t="s">
        <v>503</v>
      </c>
      <c r="P5672" s="52">
        <v>5800</v>
      </c>
      <c r="Q5672" s="70">
        <v>4</v>
      </c>
      <c r="R5672" s="52">
        <f t="shared" si="173"/>
        <v>23200</v>
      </c>
      <c r="S5672" s="47">
        <v>202304</v>
      </c>
      <c r="T5672" s="123" t="s">
        <v>7202</v>
      </c>
      <c r="U5672" s="48"/>
      <c r="V5672" s="48"/>
      <c r="W5672" s="48"/>
      <c r="X5672" s="50">
        <v>43525</v>
      </c>
      <c r="Y5672" s="50">
        <v>45716</v>
      </c>
    </row>
    <row r="5673" s="5" customFormat="1" customHeight="1" spans="1:25">
      <c r="A5673" s="24" t="s">
        <v>444</v>
      </c>
      <c r="B5673" s="24" t="s">
        <v>6300</v>
      </c>
      <c r="C5673" s="24" t="s">
        <v>3237</v>
      </c>
      <c r="D5673" s="22" t="s">
        <v>6301</v>
      </c>
      <c r="E5673" s="23" t="s">
        <v>6936</v>
      </c>
      <c r="F5673" s="24" t="s">
        <v>6937</v>
      </c>
      <c r="G5673" s="24" t="s">
        <v>88</v>
      </c>
      <c r="H5673" s="25" t="s">
        <v>7111</v>
      </c>
      <c r="I5673" s="46" t="e">
        <f>VLOOKUP(H5673,'合同高级查询数据-4月返'!A:A,1,FALSE)</f>
        <v>#N/A</v>
      </c>
      <c r="J5673" s="47" t="s">
        <v>3488</v>
      </c>
      <c r="K5673" s="24" t="s">
        <v>7112</v>
      </c>
      <c r="L5673" s="109"/>
      <c r="M5673" s="49" t="s">
        <v>6939</v>
      </c>
      <c r="N5673" s="50">
        <v>44755</v>
      </c>
      <c r="O5673" s="22" t="s">
        <v>503</v>
      </c>
      <c r="P5673" s="52">
        <v>5800</v>
      </c>
      <c r="Q5673" s="70">
        <v>1</v>
      </c>
      <c r="R5673" s="52">
        <f t="shared" si="173"/>
        <v>5800</v>
      </c>
      <c r="S5673" s="47">
        <v>202304</v>
      </c>
      <c r="T5673" s="97" t="s">
        <v>7203</v>
      </c>
      <c r="U5673" s="48"/>
      <c r="V5673" s="48"/>
      <c r="W5673" s="48"/>
      <c r="X5673" s="50">
        <v>43525</v>
      </c>
      <c r="Y5673" s="50">
        <v>45716</v>
      </c>
    </row>
    <row r="5674" s="5" customFormat="1" customHeight="1" spans="1:25">
      <c r="A5674" s="24" t="s">
        <v>444</v>
      </c>
      <c r="B5674" s="24" t="s">
        <v>6300</v>
      </c>
      <c r="C5674" s="24" t="s">
        <v>3237</v>
      </c>
      <c r="D5674" s="22" t="s">
        <v>6301</v>
      </c>
      <c r="E5674" s="23" t="s">
        <v>6936</v>
      </c>
      <c r="F5674" s="24" t="s">
        <v>6937</v>
      </c>
      <c r="G5674" s="24" t="s">
        <v>88</v>
      </c>
      <c r="H5674" s="25" t="s">
        <v>7111</v>
      </c>
      <c r="I5674" s="46" t="e">
        <f>VLOOKUP(H5674,'合同高级查询数据-4月返'!A:A,1,FALSE)</f>
        <v>#N/A</v>
      </c>
      <c r="J5674" s="47" t="s">
        <v>3488</v>
      </c>
      <c r="K5674" s="24" t="s">
        <v>7112</v>
      </c>
      <c r="L5674" s="109"/>
      <c r="M5674" s="49" t="s">
        <v>7052</v>
      </c>
      <c r="N5674" s="50">
        <v>44776</v>
      </c>
      <c r="O5674" s="22" t="s">
        <v>503</v>
      </c>
      <c r="P5674" s="52">
        <v>5800</v>
      </c>
      <c r="Q5674" s="70">
        <v>1</v>
      </c>
      <c r="R5674" s="52">
        <f t="shared" si="173"/>
        <v>5800</v>
      </c>
      <c r="S5674" s="47">
        <v>202304</v>
      </c>
      <c r="T5674" s="97" t="s">
        <v>7204</v>
      </c>
      <c r="U5674" s="48"/>
      <c r="V5674" s="48"/>
      <c r="W5674" s="48"/>
      <c r="X5674" s="50">
        <v>43525</v>
      </c>
      <c r="Y5674" s="50">
        <v>45716</v>
      </c>
    </row>
    <row r="5675" s="5" customFormat="1" customHeight="1" spans="1:25">
      <c r="A5675" s="24" t="s">
        <v>444</v>
      </c>
      <c r="B5675" s="24" t="s">
        <v>6300</v>
      </c>
      <c r="C5675" s="24" t="s">
        <v>3237</v>
      </c>
      <c r="D5675" s="22" t="s">
        <v>6301</v>
      </c>
      <c r="E5675" s="23" t="s">
        <v>6936</v>
      </c>
      <c r="F5675" s="24" t="s">
        <v>6937</v>
      </c>
      <c r="G5675" s="24" t="s">
        <v>88</v>
      </c>
      <c r="H5675" s="25" t="s">
        <v>7111</v>
      </c>
      <c r="I5675" s="46" t="e">
        <f>VLOOKUP(H5675,'合同高级查询数据-4月返'!A:A,1,FALSE)</f>
        <v>#N/A</v>
      </c>
      <c r="J5675" s="47" t="s">
        <v>3488</v>
      </c>
      <c r="K5675" s="24" t="s">
        <v>7112</v>
      </c>
      <c r="L5675" s="109"/>
      <c r="M5675" s="49" t="s">
        <v>6939</v>
      </c>
      <c r="N5675" s="50">
        <v>44806</v>
      </c>
      <c r="O5675" s="22" t="s">
        <v>503</v>
      </c>
      <c r="P5675" s="52">
        <v>5800</v>
      </c>
      <c r="Q5675" s="70">
        <v>3</v>
      </c>
      <c r="R5675" s="52">
        <f t="shared" si="173"/>
        <v>17400</v>
      </c>
      <c r="S5675" s="47">
        <v>202304</v>
      </c>
      <c r="T5675" s="97" t="s">
        <v>7205</v>
      </c>
      <c r="U5675" s="48"/>
      <c r="V5675" s="48"/>
      <c r="W5675" s="48"/>
      <c r="X5675" s="50">
        <v>43525</v>
      </c>
      <c r="Y5675" s="50">
        <v>45716</v>
      </c>
    </row>
    <row r="5676" s="5" customFormat="1" customHeight="1" spans="1:25">
      <c r="A5676" s="24" t="s">
        <v>444</v>
      </c>
      <c r="B5676" s="24" t="s">
        <v>6300</v>
      </c>
      <c r="C5676" s="24" t="s">
        <v>3237</v>
      </c>
      <c r="D5676" s="22" t="s">
        <v>6301</v>
      </c>
      <c r="E5676" s="23" t="s">
        <v>6936</v>
      </c>
      <c r="F5676" s="24" t="s">
        <v>6937</v>
      </c>
      <c r="G5676" s="24" t="s">
        <v>88</v>
      </c>
      <c r="H5676" s="25" t="s">
        <v>7111</v>
      </c>
      <c r="I5676" s="46" t="e">
        <f>VLOOKUP(H5676,'合同高级查询数据-4月返'!A:A,1,FALSE)</f>
        <v>#N/A</v>
      </c>
      <c r="J5676" s="47" t="s">
        <v>3488</v>
      </c>
      <c r="K5676" s="24" t="s">
        <v>7112</v>
      </c>
      <c r="L5676" s="109"/>
      <c r="M5676" s="49" t="s">
        <v>6939</v>
      </c>
      <c r="N5676" s="50">
        <v>44810</v>
      </c>
      <c r="O5676" s="22" t="s">
        <v>503</v>
      </c>
      <c r="P5676" s="52">
        <v>5800</v>
      </c>
      <c r="Q5676" s="70">
        <v>4</v>
      </c>
      <c r="R5676" s="52">
        <f t="shared" si="173"/>
        <v>23200</v>
      </c>
      <c r="S5676" s="47">
        <v>202304</v>
      </c>
      <c r="T5676" s="97" t="s">
        <v>7206</v>
      </c>
      <c r="U5676" s="48"/>
      <c r="V5676" s="48"/>
      <c r="W5676" s="48"/>
      <c r="X5676" s="50">
        <v>43525</v>
      </c>
      <c r="Y5676" s="50">
        <v>45716</v>
      </c>
    </row>
    <row r="5677" s="5" customFormat="1" customHeight="1" spans="1:25">
      <c r="A5677" s="24" t="s">
        <v>444</v>
      </c>
      <c r="B5677" s="24" t="s">
        <v>6300</v>
      </c>
      <c r="C5677" s="24" t="s">
        <v>3237</v>
      </c>
      <c r="D5677" s="22" t="s">
        <v>6301</v>
      </c>
      <c r="E5677" s="23" t="s">
        <v>6936</v>
      </c>
      <c r="F5677" s="24" t="s">
        <v>6937</v>
      </c>
      <c r="G5677" s="24" t="s">
        <v>88</v>
      </c>
      <c r="H5677" s="25" t="s">
        <v>7111</v>
      </c>
      <c r="I5677" s="46" t="e">
        <f>VLOOKUP(H5677,'合同高级查询数据-4月返'!A:A,1,FALSE)</f>
        <v>#N/A</v>
      </c>
      <c r="J5677" s="47" t="s">
        <v>3488</v>
      </c>
      <c r="K5677" s="24" t="s">
        <v>7112</v>
      </c>
      <c r="L5677" s="109"/>
      <c r="M5677" s="49" t="s">
        <v>6939</v>
      </c>
      <c r="N5677" s="50">
        <v>44831</v>
      </c>
      <c r="O5677" s="22" t="s">
        <v>503</v>
      </c>
      <c r="P5677" s="52">
        <v>5800</v>
      </c>
      <c r="Q5677" s="70">
        <v>16</v>
      </c>
      <c r="R5677" s="52">
        <f t="shared" si="173"/>
        <v>92800</v>
      </c>
      <c r="S5677" s="47">
        <v>202304</v>
      </c>
      <c r="T5677" s="97" t="s">
        <v>7207</v>
      </c>
      <c r="U5677" s="48"/>
      <c r="V5677" s="48"/>
      <c r="W5677" s="48"/>
      <c r="X5677" s="50">
        <v>43525</v>
      </c>
      <c r="Y5677" s="50">
        <v>45716</v>
      </c>
    </row>
    <row r="5678" s="5" customFormat="1" customHeight="1" spans="1:25">
      <c r="A5678" s="24" t="s">
        <v>444</v>
      </c>
      <c r="B5678" s="24" t="s">
        <v>6300</v>
      </c>
      <c r="C5678" s="24" t="s">
        <v>3237</v>
      </c>
      <c r="D5678" s="22" t="s">
        <v>6301</v>
      </c>
      <c r="E5678" s="23" t="s">
        <v>6936</v>
      </c>
      <c r="F5678" s="24" t="s">
        <v>6937</v>
      </c>
      <c r="G5678" s="24" t="s">
        <v>88</v>
      </c>
      <c r="H5678" s="25" t="s">
        <v>7111</v>
      </c>
      <c r="I5678" s="46" t="e">
        <f>VLOOKUP(H5678,'合同高级查询数据-4月返'!A:A,1,FALSE)</f>
        <v>#N/A</v>
      </c>
      <c r="J5678" s="47" t="s">
        <v>3488</v>
      </c>
      <c r="K5678" s="24" t="s">
        <v>7112</v>
      </c>
      <c r="L5678" s="109"/>
      <c r="M5678" s="49" t="s">
        <v>6939</v>
      </c>
      <c r="N5678" s="50">
        <v>44865</v>
      </c>
      <c r="O5678" s="22" t="s">
        <v>503</v>
      </c>
      <c r="P5678" s="52">
        <v>5800</v>
      </c>
      <c r="Q5678" s="70">
        <v>15</v>
      </c>
      <c r="R5678" s="52">
        <f t="shared" si="173"/>
        <v>87000</v>
      </c>
      <c r="S5678" s="47">
        <v>202304</v>
      </c>
      <c r="T5678" s="97" t="s">
        <v>7208</v>
      </c>
      <c r="U5678" s="48"/>
      <c r="V5678" s="48"/>
      <c r="W5678" s="48"/>
      <c r="X5678" s="50">
        <v>43525</v>
      </c>
      <c r="Y5678" s="50">
        <v>45716</v>
      </c>
    </row>
    <row r="5679" s="5" customFormat="1" customHeight="1" spans="1:25">
      <c r="A5679" s="24" t="s">
        <v>444</v>
      </c>
      <c r="B5679" s="24" t="s">
        <v>6300</v>
      </c>
      <c r="C5679" s="24" t="s">
        <v>3237</v>
      </c>
      <c r="D5679" s="22" t="s">
        <v>6301</v>
      </c>
      <c r="E5679" s="23" t="s">
        <v>6936</v>
      </c>
      <c r="F5679" s="24" t="s">
        <v>6937</v>
      </c>
      <c r="G5679" s="24" t="s">
        <v>88</v>
      </c>
      <c r="H5679" s="25" t="s">
        <v>7111</v>
      </c>
      <c r="I5679" s="46" t="e">
        <f>VLOOKUP(H5679,'合同高级查询数据-4月返'!A:A,1,FALSE)</f>
        <v>#N/A</v>
      </c>
      <c r="J5679" s="47" t="s">
        <v>3488</v>
      </c>
      <c r="K5679" s="24" t="s">
        <v>7112</v>
      </c>
      <c r="L5679" s="109"/>
      <c r="M5679" s="49" t="s">
        <v>6939</v>
      </c>
      <c r="N5679" s="50">
        <v>44873</v>
      </c>
      <c r="O5679" s="22" t="s">
        <v>503</v>
      </c>
      <c r="P5679" s="52">
        <v>5800</v>
      </c>
      <c r="Q5679" s="70">
        <v>4</v>
      </c>
      <c r="R5679" s="52">
        <f t="shared" si="173"/>
        <v>23200</v>
      </c>
      <c r="S5679" s="47">
        <v>202304</v>
      </c>
      <c r="T5679" s="97" t="s">
        <v>7209</v>
      </c>
      <c r="U5679" s="48"/>
      <c r="V5679" s="48"/>
      <c r="W5679" s="48"/>
      <c r="X5679" s="50">
        <v>43525</v>
      </c>
      <c r="Y5679" s="50">
        <v>45716</v>
      </c>
    </row>
    <row r="5680" s="5" customFormat="1" customHeight="1" spans="1:25">
      <c r="A5680" s="24" t="s">
        <v>444</v>
      </c>
      <c r="B5680" s="24" t="s">
        <v>6300</v>
      </c>
      <c r="C5680" s="24" t="s">
        <v>3237</v>
      </c>
      <c r="D5680" s="22" t="s">
        <v>6301</v>
      </c>
      <c r="E5680" s="23" t="s">
        <v>6936</v>
      </c>
      <c r="F5680" s="24" t="s">
        <v>6937</v>
      </c>
      <c r="G5680" s="24" t="s">
        <v>88</v>
      </c>
      <c r="H5680" s="25" t="s">
        <v>7111</v>
      </c>
      <c r="I5680" s="46" t="e">
        <f>VLOOKUP(H5680,'合同高级查询数据-4月返'!A:A,1,FALSE)</f>
        <v>#N/A</v>
      </c>
      <c r="J5680" s="47" t="s">
        <v>3488</v>
      </c>
      <c r="K5680" s="24" t="s">
        <v>7112</v>
      </c>
      <c r="L5680" s="109"/>
      <c r="M5680" s="49" t="s">
        <v>6939</v>
      </c>
      <c r="N5680" s="50">
        <v>44895</v>
      </c>
      <c r="O5680" s="22" t="s">
        <v>606</v>
      </c>
      <c r="P5680" s="52">
        <v>20284</v>
      </c>
      <c r="Q5680" s="70">
        <v>2</v>
      </c>
      <c r="R5680" s="52">
        <f t="shared" si="173"/>
        <v>40568</v>
      </c>
      <c r="S5680" s="47">
        <v>202304</v>
      </c>
      <c r="T5680" s="97" t="s">
        <v>7210</v>
      </c>
      <c r="U5680" s="48"/>
      <c r="V5680" s="48"/>
      <c r="W5680" s="48"/>
      <c r="X5680" s="50">
        <v>43525</v>
      </c>
      <c r="Y5680" s="50">
        <v>45716</v>
      </c>
    </row>
    <row r="5681" s="5" customFormat="1" customHeight="1" spans="1:25">
      <c r="A5681" s="24" t="s">
        <v>444</v>
      </c>
      <c r="B5681" s="24" t="s">
        <v>6300</v>
      </c>
      <c r="C5681" s="24" t="s">
        <v>3237</v>
      </c>
      <c r="D5681" s="22" t="s">
        <v>6301</v>
      </c>
      <c r="E5681" s="23" t="s">
        <v>6936</v>
      </c>
      <c r="F5681" s="24" t="s">
        <v>6937</v>
      </c>
      <c r="G5681" s="24" t="s">
        <v>78</v>
      </c>
      <c r="H5681" s="25" t="s">
        <v>7111</v>
      </c>
      <c r="I5681" s="46" t="e">
        <f>VLOOKUP(H5681,'合同高级查询数据-4月返'!A:A,1,FALSE)</f>
        <v>#N/A</v>
      </c>
      <c r="J5681" s="47" t="s">
        <v>530</v>
      </c>
      <c r="K5681" s="24" t="s">
        <v>7211</v>
      </c>
      <c r="L5681" s="109"/>
      <c r="M5681" s="49" t="s">
        <v>6939</v>
      </c>
      <c r="N5681" s="50"/>
      <c r="O5681" s="48">
        <v>0</v>
      </c>
      <c r="P5681" s="52">
        <v>3412</v>
      </c>
      <c r="Q5681" s="70">
        <v>0</v>
      </c>
      <c r="R5681" s="52">
        <f t="shared" si="173"/>
        <v>0</v>
      </c>
      <c r="S5681" s="47">
        <v>202304</v>
      </c>
      <c r="T5681" s="123" t="s">
        <v>7212</v>
      </c>
      <c r="U5681" s="48"/>
      <c r="V5681" s="48"/>
      <c r="W5681" s="48"/>
      <c r="X5681" s="50">
        <v>43525</v>
      </c>
      <c r="Y5681" s="50">
        <v>45716</v>
      </c>
    </row>
    <row r="5682" s="5" customFormat="1" customHeight="1" spans="1:25">
      <c r="A5682" s="24" t="s">
        <v>444</v>
      </c>
      <c r="B5682" s="24" t="s">
        <v>6300</v>
      </c>
      <c r="C5682" s="24" t="s">
        <v>3237</v>
      </c>
      <c r="D5682" s="22" t="s">
        <v>6301</v>
      </c>
      <c r="E5682" s="23" t="s">
        <v>6936</v>
      </c>
      <c r="F5682" s="24" t="s">
        <v>6937</v>
      </c>
      <c r="G5682" s="24" t="s">
        <v>67</v>
      </c>
      <c r="H5682" s="25" t="s">
        <v>7213</v>
      </c>
      <c r="I5682" s="46" t="e">
        <f>VLOOKUP(H5682,'合同高级查询数据-4月返'!A:A,1,FALSE)</f>
        <v>#N/A</v>
      </c>
      <c r="J5682" s="47" t="s">
        <v>67</v>
      </c>
      <c r="K5682" s="24" t="s">
        <v>514</v>
      </c>
      <c r="L5682" s="109"/>
      <c r="M5682" s="475"/>
      <c r="N5682" s="50">
        <v>43234</v>
      </c>
      <c r="O5682" s="22" t="s">
        <v>71</v>
      </c>
      <c r="P5682" s="52">
        <v>400</v>
      </c>
      <c r="Q5682" s="70">
        <v>400</v>
      </c>
      <c r="R5682" s="52">
        <f t="shared" si="173"/>
        <v>160000</v>
      </c>
      <c r="S5682" s="47">
        <v>202304</v>
      </c>
      <c r="T5682" s="123" t="s">
        <v>7214</v>
      </c>
      <c r="U5682" s="48"/>
      <c r="V5682" s="48"/>
      <c r="W5682" s="48"/>
      <c r="X5682" s="50">
        <v>43190</v>
      </c>
      <c r="Y5682" s="50">
        <v>45382</v>
      </c>
    </row>
    <row r="5683" s="5" customFormat="1" customHeight="1" spans="1:25">
      <c r="A5683" s="24" t="s">
        <v>444</v>
      </c>
      <c r="B5683" s="24" t="s">
        <v>6300</v>
      </c>
      <c r="C5683" s="24" t="s">
        <v>3237</v>
      </c>
      <c r="D5683" s="22" t="s">
        <v>6301</v>
      </c>
      <c r="E5683" s="23" t="s">
        <v>6936</v>
      </c>
      <c r="F5683" s="24" t="s">
        <v>6937</v>
      </c>
      <c r="G5683" s="24" t="s">
        <v>67</v>
      </c>
      <c r="H5683" s="25" t="s">
        <v>7213</v>
      </c>
      <c r="I5683" s="46" t="e">
        <f>VLOOKUP(H5683,'合同高级查询数据-4月返'!A:A,1,FALSE)</f>
        <v>#N/A</v>
      </c>
      <c r="J5683" s="47" t="s">
        <v>67</v>
      </c>
      <c r="K5683" s="24" t="s">
        <v>514</v>
      </c>
      <c r="L5683" s="109"/>
      <c r="M5683" s="475"/>
      <c r="N5683" s="50">
        <v>43484</v>
      </c>
      <c r="O5683" s="22" t="s">
        <v>71</v>
      </c>
      <c r="P5683" s="52">
        <v>232</v>
      </c>
      <c r="Q5683" s="70">
        <v>400</v>
      </c>
      <c r="R5683" s="52">
        <f t="shared" si="173"/>
        <v>92800</v>
      </c>
      <c r="S5683" s="47">
        <v>202304</v>
      </c>
      <c r="T5683" s="123" t="s">
        <v>7215</v>
      </c>
      <c r="U5683" s="48"/>
      <c r="V5683" s="48"/>
      <c r="W5683" s="48"/>
      <c r="X5683" s="50">
        <v>43190</v>
      </c>
      <c r="Y5683" s="50">
        <v>45382</v>
      </c>
    </row>
    <row r="5684" s="3" customFormat="1" customHeight="1" spans="1:25">
      <c r="A5684" s="11" t="s">
        <v>444</v>
      </c>
      <c r="B5684" s="11" t="s">
        <v>6300</v>
      </c>
      <c r="C5684" s="11" t="s">
        <v>3237</v>
      </c>
      <c r="D5684" s="35" t="s">
        <v>6301</v>
      </c>
      <c r="E5684" s="13" t="s">
        <v>6936</v>
      </c>
      <c r="F5684" s="11" t="s">
        <v>6937</v>
      </c>
      <c r="G5684" s="11" t="s">
        <v>67</v>
      </c>
      <c r="H5684" s="110" t="s">
        <v>7216</v>
      </c>
      <c r="I5684" s="30" t="e">
        <f>VLOOKUP(H5684,'合同高级查询数据-4月返'!A:A,1,FALSE)</f>
        <v>#N/A</v>
      </c>
      <c r="J5684" s="31" t="s">
        <v>67</v>
      </c>
      <c r="K5684" s="11" t="s">
        <v>7217</v>
      </c>
      <c r="L5684" s="32"/>
      <c r="M5684" s="470"/>
      <c r="N5684" s="34">
        <v>42278</v>
      </c>
      <c r="O5684" s="35" t="s">
        <v>71</v>
      </c>
      <c r="P5684" s="465">
        <v>0</v>
      </c>
      <c r="Q5684" s="459">
        <v>1</v>
      </c>
      <c r="R5684" s="465">
        <f t="shared" si="173"/>
        <v>0</v>
      </c>
      <c r="S5684" s="31">
        <v>202304</v>
      </c>
      <c r="T5684" s="60" t="s">
        <v>7218</v>
      </c>
      <c r="U5684" s="411"/>
      <c r="V5684" s="411"/>
      <c r="W5684" s="411"/>
      <c r="X5684" s="34"/>
      <c r="Y5684" s="34"/>
    </row>
    <row r="5685" s="5" customFormat="1" customHeight="1" spans="1:25">
      <c r="A5685" s="24" t="s">
        <v>444</v>
      </c>
      <c r="B5685" s="24" t="s">
        <v>6300</v>
      </c>
      <c r="C5685" s="24" t="s">
        <v>3237</v>
      </c>
      <c r="D5685" s="22" t="s">
        <v>6301</v>
      </c>
      <c r="E5685" s="23" t="s">
        <v>6936</v>
      </c>
      <c r="F5685" s="24" t="s">
        <v>6937</v>
      </c>
      <c r="G5685" s="24" t="s">
        <v>67</v>
      </c>
      <c r="H5685" s="25" t="s">
        <v>7219</v>
      </c>
      <c r="I5685" s="46" t="e">
        <f>VLOOKUP(H5685,'合同高级查询数据-4月返'!A:A,1,FALSE)</f>
        <v>#N/A</v>
      </c>
      <c r="J5685" s="47" t="s">
        <v>67</v>
      </c>
      <c r="K5685" s="24" t="s">
        <v>7220</v>
      </c>
      <c r="L5685" s="109"/>
      <c r="M5685" s="475"/>
      <c r="N5685" s="50">
        <v>43651</v>
      </c>
      <c r="O5685" s="22" t="s">
        <v>71</v>
      </c>
      <c r="P5685" s="52">
        <v>400</v>
      </c>
      <c r="Q5685" s="70">
        <v>59</v>
      </c>
      <c r="R5685" s="52">
        <f t="shared" si="173"/>
        <v>23600</v>
      </c>
      <c r="S5685" s="47">
        <v>202304</v>
      </c>
      <c r="T5685" s="123"/>
      <c r="U5685" s="48"/>
      <c r="V5685" s="48"/>
      <c r="W5685" s="48"/>
      <c r="X5685" s="50">
        <v>43466</v>
      </c>
      <c r="Y5685" s="50">
        <v>45382</v>
      </c>
    </row>
    <row r="5686" s="5" customFormat="1" customHeight="1" spans="1:25">
      <c r="A5686" s="24" t="s">
        <v>444</v>
      </c>
      <c r="B5686" s="24" t="s">
        <v>6300</v>
      </c>
      <c r="C5686" s="24" t="s">
        <v>3237</v>
      </c>
      <c r="D5686" s="22" t="s">
        <v>6301</v>
      </c>
      <c r="E5686" s="23" t="s">
        <v>6936</v>
      </c>
      <c r="F5686" s="24" t="s">
        <v>6937</v>
      </c>
      <c r="G5686" s="24" t="s">
        <v>67</v>
      </c>
      <c r="H5686" s="25" t="s">
        <v>7219</v>
      </c>
      <c r="I5686" s="46" t="e">
        <f>VLOOKUP(H5686,'合同高级查询数据-4月返'!A:A,1,FALSE)</f>
        <v>#N/A</v>
      </c>
      <c r="J5686" s="47" t="s">
        <v>67</v>
      </c>
      <c r="K5686" s="24" t="s">
        <v>7220</v>
      </c>
      <c r="L5686" s="109"/>
      <c r="M5686" s="475"/>
      <c r="N5686" s="50">
        <v>43651</v>
      </c>
      <c r="O5686" s="22" t="s">
        <v>71</v>
      </c>
      <c r="P5686" s="52">
        <v>400</v>
      </c>
      <c r="Q5686" s="70">
        <v>44</v>
      </c>
      <c r="R5686" s="52">
        <f t="shared" si="173"/>
        <v>17600</v>
      </c>
      <c r="S5686" s="47">
        <v>202304</v>
      </c>
      <c r="T5686" s="123"/>
      <c r="U5686" s="48"/>
      <c r="V5686" s="48"/>
      <c r="W5686" s="48"/>
      <c r="X5686" s="50">
        <v>43466</v>
      </c>
      <c r="Y5686" s="50">
        <v>45382</v>
      </c>
    </row>
    <row r="5687" s="5" customFormat="1" customHeight="1" spans="1:25">
      <c r="A5687" s="24" t="s">
        <v>444</v>
      </c>
      <c r="B5687" s="24" t="s">
        <v>6300</v>
      </c>
      <c r="C5687" s="24" t="s">
        <v>3237</v>
      </c>
      <c r="D5687" s="22" t="s">
        <v>6301</v>
      </c>
      <c r="E5687" s="23" t="s">
        <v>6936</v>
      </c>
      <c r="F5687" s="24" t="s">
        <v>6937</v>
      </c>
      <c r="G5687" s="47" t="s">
        <v>346</v>
      </c>
      <c r="H5687" s="25" t="s">
        <v>7221</v>
      </c>
      <c r="I5687" s="46" t="e">
        <f>VLOOKUP(H5687,'合同高级查询数据-4月返'!A:A,1,FALSE)</f>
        <v>#N/A</v>
      </c>
      <c r="J5687" s="47" t="s">
        <v>346</v>
      </c>
      <c r="K5687" s="22" t="s">
        <v>7222</v>
      </c>
      <c r="L5687" s="109"/>
      <c r="M5687" s="475"/>
      <c r="N5687" s="50">
        <v>43965</v>
      </c>
      <c r="O5687" s="22" t="s">
        <v>486</v>
      </c>
      <c r="P5687" s="52">
        <v>4500</v>
      </c>
      <c r="Q5687" s="70">
        <v>1</v>
      </c>
      <c r="R5687" s="52">
        <f t="shared" si="173"/>
        <v>4500</v>
      </c>
      <c r="S5687" s="47">
        <v>202304</v>
      </c>
      <c r="T5687" s="123" t="s">
        <v>7222</v>
      </c>
      <c r="U5687" s="48"/>
      <c r="V5687" s="48"/>
      <c r="W5687" s="48"/>
      <c r="X5687" s="50">
        <v>43964</v>
      </c>
      <c r="Y5687" s="50">
        <v>45058</v>
      </c>
    </row>
    <row r="5688" s="5" customFormat="1" customHeight="1" spans="1:25">
      <c r="A5688" s="24" t="s">
        <v>444</v>
      </c>
      <c r="B5688" s="24" t="s">
        <v>6300</v>
      </c>
      <c r="C5688" s="24" t="s">
        <v>3237</v>
      </c>
      <c r="D5688" s="22" t="s">
        <v>6301</v>
      </c>
      <c r="E5688" s="23" t="s">
        <v>6936</v>
      </c>
      <c r="F5688" s="24" t="s">
        <v>6937</v>
      </c>
      <c r="G5688" s="47" t="s">
        <v>346</v>
      </c>
      <c r="H5688" s="25" t="s">
        <v>7221</v>
      </c>
      <c r="I5688" s="46" t="e">
        <f>VLOOKUP(H5688,'合同高级查询数据-4月返'!A:A,1,FALSE)</f>
        <v>#N/A</v>
      </c>
      <c r="J5688" s="47" t="s">
        <v>346</v>
      </c>
      <c r="K5688" s="22" t="s">
        <v>7223</v>
      </c>
      <c r="L5688" s="109"/>
      <c r="M5688" s="475"/>
      <c r="N5688" s="50">
        <v>43965</v>
      </c>
      <c r="O5688" s="22" t="s">
        <v>486</v>
      </c>
      <c r="P5688" s="52">
        <v>4500</v>
      </c>
      <c r="Q5688" s="70">
        <v>1</v>
      </c>
      <c r="R5688" s="52">
        <f t="shared" si="173"/>
        <v>4500</v>
      </c>
      <c r="S5688" s="47">
        <v>202304</v>
      </c>
      <c r="T5688" s="123" t="s">
        <v>7223</v>
      </c>
      <c r="U5688" s="48"/>
      <c r="V5688" s="48"/>
      <c r="W5688" s="48"/>
      <c r="X5688" s="50">
        <v>43964</v>
      </c>
      <c r="Y5688" s="50">
        <v>45058</v>
      </c>
    </row>
    <row r="5689" s="3" customFormat="1" customHeight="1" spans="1:25">
      <c r="A5689" s="11" t="s">
        <v>444</v>
      </c>
      <c r="B5689" s="11" t="s">
        <v>6300</v>
      </c>
      <c r="C5689" s="11" t="s">
        <v>3237</v>
      </c>
      <c r="D5689" s="35" t="s">
        <v>6301</v>
      </c>
      <c r="E5689" s="13" t="s">
        <v>6936</v>
      </c>
      <c r="F5689" s="11" t="s">
        <v>6937</v>
      </c>
      <c r="G5689" s="31" t="s">
        <v>31</v>
      </c>
      <c r="H5689" s="110" t="s">
        <v>7224</v>
      </c>
      <c r="I5689" s="30" t="e">
        <f>VLOOKUP(H5689,'合同高级查询数据-4月返'!A:A,1,FALSE)</f>
        <v>#N/A</v>
      </c>
      <c r="J5689" s="31" t="s">
        <v>497</v>
      </c>
      <c r="K5689" s="35" t="s">
        <v>6704</v>
      </c>
      <c r="L5689" s="32" t="s">
        <v>7225</v>
      </c>
      <c r="M5689" s="470" t="s">
        <v>6939</v>
      </c>
      <c r="N5689" s="34">
        <v>44959</v>
      </c>
      <c r="O5689" s="35" t="s">
        <v>37</v>
      </c>
      <c r="P5689" s="465">
        <v>0</v>
      </c>
      <c r="Q5689" s="459">
        <v>512</v>
      </c>
      <c r="R5689" s="465">
        <f t="shared" si="173"/>
        <v>0</v>
      </c>
      <c r="S5689" s="31">
        <v>202304</v>
      </c>
      <c r="T5689" s="60" t="s">
        <v>7226</v>
      </c>
      <c r="U5689" s="411"/>
      <c r="V5689" s="411"/>
      <c r="W5689" s="411"/>
      <c r="X5689" s="34"/>
      <c r="Y5689" s="34"/>
    </row>
    <row r="5690" s="3" customFormat="1" customHeight="1" spans="1:25">
      <c r="A5690" s="11" t="s">
        <v>444</v>
      </c>
      <c r="B5690" s="11" t="s">
        <v>6300</v>
      </c>
      <c r="C5690" s="11" t="s">
        <v>3237</v>
      </c>
      <c r="D5690" s="35" t="s">
        <v>6301</v>
      </c>
      <c r="E5690" s="13" t="s">
        <v>6936</v>
      </c>
      <c r="F5690" s="11" t="s">
        <v>6937</v>
      </c>
      <c r="G5690" s="31" t="s">
        <v>31</v>
      </c>
      <c r="H5690" s="110" t="s">
        <v>7224</v>
      </c>
      <c r="I5690" s="30" t="e">
        <f>VLOOKUP(H5690,'合同高级查询数据-4月返'!A:A,1,FALSE)</f>
        <v>#N/A</v>
      </c>
      <c r="J5690" s="31" t="s">
        <v>497</v>
      </c>
      <c r="K5690" s="35" t="s">
        <v>6704</v>
      </c>
      <c r="L5690" s="32" t="s">
        <v>7225</v>
      </c>
      <c r="M5690" s="470" t="s">
        <v>6939</v>
      </c>
      <c r="N5690" s="34">
        <v>44959</v>
      </c>
      <c r="O5690" s="35" t="s">
        <v>37</v>
      </c>
      <c r="P5690" s="465">
        <v>0</v>
      </c>
      <c r="Q5690" s="459">
        <v>8</v>
      </c>
      <c r="R5690" s="465">
        <f t="shared" si="173"/>
        <v>0</v>
      </c>
      <c r="S5690" s="31">
        <v>202304</v>
      </c>
      <c r="T5690" s="60" t="s">
        <v>7227</v>
      </c>
      <c r="U5690" s="411"/>
      <c r="V5690" s="411"/>
      <c r="W5690" s="411"/>
      <c r="X5690" s="34"/>
      <c r="Y5690" s="34"/>
    </row>
    <row r="5691" s="3" customFormat="1" customHeight="1" spans="1:25">
      <c r="A5691" s="11" t="s">
        <v>444</v>
      </c>
      <c r="B5691" s="11" t="s">
        <v>6300</v>
      </c>
      <c r="C5691" s="11" t="s">
        <v>3237</v>
      </c>
      <c r="D5691" s="35" t="s">
        <v>6301</v>
      </c>
      <c r="E5691" s="13" t="s">
        <v>6936</v>
      </c>
      <c r="F5691" s="11" t="s">
        <v>6937</v>
      </c>
      <c r="G5691" s="31" t="s">
        <v>31</v>
      </c>
      <c r="H5691" s="110" t="s">
        <v>7224</v>
      </c>
      <c r="I5691" s="30" t="e">
        <f>VLOOKUP(H5691,'合同高级查询数据-4月返'!A:A,1,FALSE)</f>
        <v>#N/A</v>
      </c>
      <c r="J5691" s="31" t="s">
        <v>497</v>
      </c>
      <c r="K5691" s="35" t="s">
        <v>6704</v>
      </c>
      <c r="L5691" s="32" t="s">
        <v>7225</v>
      </c>
      <c r="M5691" s="470" t="s">
        <v>6939</v>
      </c>
      <c r="N5691" s="34">
        <v>44959</v>
      </c>
      <c r="O5691" s="35" t="s">
        <v>179</v>
      </c>
      <c r="P5691" s="465">
        <v>0</v>
      </c>
      <c r="Q5691" s="459">
        <v>2</v>
      </c>
      <c r="R5691" s="465">
        <f t="shared" si="173"/>
        <v>0</v>
      </c>
      <c r="S5691" s="31">
        <v>202304</v>
      </c>
      <c r="T5691" s="60" t="s">
        <v>7228</v>
      </c>
      <c r="U5691" s="411"/>
      <c r="V5691" s="411"/>
      <c r="W5691" s="411"/>
      <c r="X5691" s="34"/>
      <c r="Y5691" s="34"/>
    </row>
    <row r="5692" s="3" customFormat="1" customHeight="1" spans="1:25">
      <c r="A5692" s="11" t="s">
        <v>444</v>
      </c>
      <c r="B5692" s="11" t="s">
        <v>6300</v>
      </c>
      <c r="C5692" s="11" t="s">
        <v>3237</v>
      </c>
      <c r="D5692" s="35" t="s">
        <v>6301</v>
      </c>
      <c r="E5692" s="13" t="s">
        <v>6936</v>
      </c>
      <c r="F5692" s="11" t="s">
        <v>6937</v>
      </c>
      <c r="G5692" s="31" t="s">
        <v>31</v>
      </c>
      <c r="H5692" s="110" t="s">
        <v>7229</v>
      </c>
      <c r="I5692" s="30" t="e">
        <f>VLOOKUP(H5692,'合同高级查询数据-4月返'!A:A,1,FALSE)</f>
        <v>#N/A</v>
      </c>
      <c r="J5692" s="31" t="s">
        <v>497</v>
      </c>
      <c r="K5692" s="35" t="s">
        <v>6704</v>
      </c>
      <c r="L5692" s="32" t="s">
        <v>7225</v>
      </c>
      <c r="M5692" s="470" t="s">
        <v>6939</v>
      </c>
      <c r="N5692" s="34">
        <v>45023</v>
      </c>
      <c r="O5692" s="35" t="s">
        <v>37</v>
      </c>
      <c r="P5692" s="488">
        <v>50</v>
      </c>
      <c r="Q5692" s="459">
        <v>512</v>
      </c>
      <c r="R5692" s="465">
        <f>ROUND(P5692*Q5692*24/30,2)</f>
        <v>20480</v>
      </c>
      <c r="S5692" s="31">
        <v>202304</v>
      </c>
      <c r="T5692" s="60" t="s">
        <v>7230</v>
      </c>
      <c r="U5692" s="411"/>
      <c r="V5692" s="411"/>
      <c r="W5692" s="411"/>
      <c r="X5692" s="34"/>
      <c r="Y5692" s="34"/>
    </row>
    <row r="5693" s="5" customFormat="1" customHeight="1" spans="1:25">
      <c r="A5693" s="24" t="s">
        <v>444</v>
      </c>
      <c r="B5693" s="24" t="s">
        <v>6300</v>
      </c>
      <c r="C5693" s="24" t="s">
        <v>3237</v>
      </c>
      <c r="D5693" s="22" t="s">
        <v>6301</v>
      </c>
      <c r="E5693" s="23" t="s">
        <v>6936</v>
      </c>
      <c r="F5693" s="24" t="s">
        <v>6937</v>
      </c>
      <c r="G5693" s="24" t="s">
        <v>88</v>
      </c>
      <c r="H5693" s="25" t="s">
        <v>6979</v>
      </c>
      <c r="I5693" s="46" t="str">
        <f>VLOOKUP(H5693,'合同高级查询数据-4月返'!A:A,1,FALSE)</f>
        <v>182315IDC00162</v>
      </c>
      <c r="J5693" s="47" t="s">
        <v>3488</v>
      </c>
      <c r="K5693" s="24" t="s">
        <v>6980</v>
      </c>
      <c r="L5693" s="109"/>
      <c r="M5693" s="49" t="s">
        <v>6961</v>
      </c>
      <c r="N5693" s="50">
        <v>42206</v>
      </c>
      <c r="O5693" s="22" t="s">
        <v>6983</v>
      </c>
      <c r="P5693" s="52">
        <v>15000</v>
      </c>
      <c r="Q5693" s="70">
        <v>16</v>
      </c>
      <c r="R5693" s="52">
        <f t="shared" ref="R5693:R5700" si="174">ROUND((P5693*Q5693)-(14947*Q5693),2)</f>
        <v>848</v>
      </c>
      <c r="S5693" s="47">
        <v>202303</v>
      </c>
      <c r="T5693" s="123" t="s">
        <v>7231</v>
      </c>
      <c r="U5693" s="48"/>
      <c r="V5693" s="48"/>
      <c r="W5693" s="48"/>
      <c r="X5693" s="50"/>
      <c r="Y5693" s="50"/>
    </row>
    <row r="5694" s="5" customFormat="1" customHeight="1" spans="1:25">
      <c r="A5694" s="24" t="s">
        <v>444</v>
      </c>
      <c r="B5694" s="24" t="s">
        <v>6300</v>
      </c>
      <c r="C5694" s="24" t="s">
        <v>3237</v>
      </c>
      <c r="D5694" s="22" t="s">
        <v>6301</v>
      </c>
      <c r="E5694" s="23" t="s">
        <v>6936</v>
      </c>
      <c r="F5694" s="24" t="s">
        <v>6937</v>
      </c>
      <c r="G5694" s="24" t="s">
        <v>88</v>
      </c>
      <c r="H5694" s="25" t="s">
        <v>6979</v>
      </c>
      <c r="I5694" s="46" t="str">
        <f>VLOOKUP(H5694,'合同高级查询数据-4月返'!A:A,1,FALSE)</f>
        <v>182315IDC00162</v>
      </c>
      <c r="J5694" s="47" t="s">
        <v>3488</v>
      </c>
      <c r="K5694" s="24" t="s">
        <v>6980</v>
      </c>
      <c r="L5694" s="109"/>
      <c r="M5694" s="49" t="s">
        <v>6961</v>
      </c>
      <c r="N5694" s="50">
        <v>42206</v>
      </c>
      <c r="O5694" s="22" t="s">
        <v>6983</v>
      </c>
      <c r="P5694" s="52">
        <v>15000</v>
      </c>
      <c r="Q5694" s="70">
        <v>2</v>
      </c>
      <c r="R5694" s="52">
        <f t="shared" si="174"/>
        <v>106</v>
      </c>
      <c r="S5694" s="47">
        <v>202303</v>
      </c>
      <c r="T5694" s="123" t="s">
        <v>7231</v>
      </c>
      <c r="U5694" s="48"/>
      <c r="V5694" s="48"/>
      <c r="W5694" s="48"/>
      <c r="X5694" s="50"/>
      <c r="Y5694" s="50"/>
    </row>
    <row r="5695" s="5" customFormat="1" customHeight="1" spans="1:25">
      <c r="A5695" s="24" t="s">
        <v>444</v>
      </c>
      <c r="B5695" s="24" t="s">
        <v>6300</v>
      </c>
      <c r="C5695" s="24" t="s">
        <v>3237</v>
      </c>
      <c r="D5695" s="22" t="s">
        <v>6301</v>
      </c>
      <c r="E5695" s="23" t="s">
        <v>6936</v>
      </c>
      <c r="F5695" s="24" t="s">
        <v>6937</v>
      </c>
      <c r="G5695" s="24" t="s">
        <v>88</v>
      </c>
      <c r="H5695" s="25" t="s">
        <v>6979</v>
      </c>
      <c r="I5695" s="46" t="str">
        <f>VLOOKUP(H5695,'合同高级查询数据-4月返'!A:A,1,FALSE)</f>
        <v>182315IDC00162</v>
      </c>
      <c r="J5695" s="47" t="s">
        <v>3488</v>
      </c>
      <c r="K5695" s="24" t="s">
        <v>6980</v>
      </c>
      <c r="L5695" s="109"/>
      <c r="M5695" s="49" t="s">
        <v>6961</v>
      </c>
      <c r="N5695" s="50">
        <v>44280</v>
      </c>
      <c r="O5695" s="22" t="s">
        <v>6983</v>
      </c>
      <c r="P5695" s="52">
        <v>15000</v>
      </c>
      <c r="Q5695" s="70">
        <v>-1</v>
      </c>
      <c r="R5695" s="52">
        <f t="shared" si="174"/>
        <v>-53</v>
      </c>
      <c r="S5695" s="47">
        <v>202303</v>
      </c>
      <c r="T5695" s="123" t="s">
        <v>7231</v>
      </c>
      <c r="U5695" s="48"/>
      <c r="V5695" s="48"/>
      <c r="W5695" s="48"/>
      <c r="X5695" s="50"/>
      <c r="Y5695" s="50"/>
    </row>
    <row r="5696" s="5" customFormat="1" customHeight="1" spans="1:25">
      <c r="A5696" s="24" t="s">
        <v>444</v>
      </c>
      <c r="B5696" s="24" t="s">
        <v>6300</v>
      </c>
      <c r="C5696" s="24" t="s">
        <v>3237</v>
      </c>
      <c r="D5696" s="22" t="s">
        <v>6301</v>
      </c>
      <c r="E5696" s="23" t="s">
        <v>6936</v>
      </c>
      <c r="F5696" s="24" t="s">
        <v>6937</v>
      </c>
      <c r="G5696" s="24" t="s">
        <v>88</v>
      </c>
      <c r="H5696" s="25" t="s">
        <v>6979</v>
      </c>
      <c r="I5696" s="46" t="str">
        <f>VLOOKUP(H5696,'合同高级查询数据-4月返'!A:A,1,FALSE)</f>
        <v>182315IDC00162</v>
      </c>
      <c r="J5696" s="47" t="s">
        <v>3488</v>
      </c>
      <c r="K5696" s="24" t="s">
        <v>6980</v>
      </c>
      <c r="L5696" s="109"/>
      <c r="M5696" s="49" t="s">
        <v>6961</v>
      </c>
      <c r="N5696" s="50">
        <v>44285</v>
      </c>
      <c r="O5696" s="22" t="s">
        <v>6983</v>
      </c>
      <c r="P5696" s="52">
        <v>15000</v>
      </c>
      <c r="Q5696" s="70">
        <v>-1</v>
      </c>
      <c r="R5696" s="52">
        <f t="shared" si="174"/>
        <v>-53</v>
      </c>
      <c r="S5696" s="47">
        <v>202303</v>
      </c>
      <c r="T5696" s="123" t="s">
        <v>7231</v>
      </c>
      <c r="U5696" s="48"/>
      <c r="V5696" s="48"/>
      <c r="W5696" s="48"/>
      <c r="X5696" s="50"/>
      <c r="Y5696" s="50"/>
    </row>
    <row r="5697" s="5" customFormat="1" customHeight="1" spans="1:25">
      <c r="A5697" s="24" t="s">
        <v>444</v>
      </c>
      <c r="B5697" s="24" t="s">
        <v>6300</v>
      </c>
      <c r="C5697" s="24" t="s">
        <v>3237</v>
      </c>
      <c r="D5697" s="22" t="s">
        <v>6301</v>
      </c>
      <c r="E5697" s="23" t="s">
        <v>6936</v>
      </c>
      <c r="F5697" s="24" t="s">
        <v>6937</v>
      </c>
      <c r="G5697" s="24" t="s">
        <v>88</v>
      </c>
      <c r="H5697" s="25" t="s">
        <v>6979</v>
      </c>
      <c r="I5697" s="46" t="str">
        <f>VLOOKUP(H5697,'合同高级查询数据-4月返'!A:A,1,FALSE)</f>
        <v>182315IDC00162</v>
      </c>
      <c r="J5697" s="47" t="s">
        <v>3488</v>
      </c>
      <c r="K5697" s="24" t="s">
        <v>6980</v>
      </c>
      <c r="L5697" s="109"/>
      <c r="M5697" s="49" t="s">
        <v>6961</v>
      </c>
      <c r="N5697" s="50">
        <v>42206</v>
      </c>
      <c r="O5697" s="22" t="s">
        <v>6983</v>
      </c>
      <c r="P5697" s="52">
        <v>15000</v>
      </c>
      <c r="Q5697" s="70">
        <v>16</v>
      </c>
      <c r="R5697" s="52">
        <f t="shared" si="174"/>
        <v>848</v>
      </c>
      <c r="S5697" s="47">
        <v>202302</v>
      </c>
      <c r="T5697" s="123" t="s">
        <v>7232</v>
      </c>
      <c r="U5697" s="48"/>
      <c r="V5697" s="48"/>
      <c r="W5697" s="48"/>
      <c r="X5697" s="50"/>
      <c r="Y5697" s="50"/>
    </row>
    <row r="5698" s="5" customFormat="1" customHeight="1" spans="1:25">
      <c r="A5698" s="24" t="s">
        <v>444</v>
      </c>
      <c r="B5698" s="24" t="s">
        <v>6300</v>
      </c>
      <c r="C5698" s="24" t="s">
        <v>3237</v>
      </c>
      <c r="D5698" s="22" t="s">
        <v>6301</v>
      </c>
      <c r="E5698" s="23" t="s">
        <v>6936</v>
      </c>
      <c r="F5698" s="24" t="s">
        <v>6937</v>
      </c>
      <c r="G5698" s="24" t="s">
        <v>88</v>
      </c>
      <c r="H5698" s="25" t="s">
        <v>6979</v>
      </c>
      <c r="I5698" s="46" t="str">
        <f>VLOOKUP(H5698,'合同高级查询数据-4月返'!A:A,1,FALSE)</f>
        <v>182315IDC00162</v>
      </c>
      <c r="J5698" s="47" t="s">
        <v>3488</v>
      </c>
      <c r="K5698" s="24" t="s">
        <v>6980</v>
      </c>
      <c r="L5698" s="109"/>
      <c r="M5698" s="49" t="s">
        <v>6961</v>
      </c>
      <c r="N5698" s="50">
        <v>42206</v>
      </c>
      <c r="O5698" s="22" t="s">
        <v>6983</v>
      </c>
      <c r="P5698" s="52">
        <v>15000</v>
      </c>
      <c r="Q5698" s="70">
        <v>2</v>
      </c>
      <c r="R5698" s="52">
        <f t="shared" si="174"/>
        <v>106</v>
      </c>
      <c r="S5698" s="47">
        <v>202302</v>
      </c>
      <c r="T5698" s="123" t="s">
        <v>7232</v>
      </c>
      <c r="U5698" s="48"/>
      <c r="V5698" s="48"/>
      <c r="W5698" s="48"/>
      <c r="X5698" s="50"/>
      <c r="Y5698" s="50"/>
    </row>
    <row r="5699" s="5" customFormat="1" customHeight="1" spans="1:25">
      <c r="A5699" s="24" t="s">
        <v>444</v>
      </c>
      <c r="B5699" s="24" t="s">
        <v>6300</v>
      </c>
      <c r="C5699" s="24" t="s">
        <v>3237</v>
      </c>
      <c r="D5699" s="22" t="s">
        <v>6301</v>
      </c>
      <c r="E5699" s="23" t="s">
        <v>6936</v>
      </c>
      <c r="F5699" s="24" t="s">
        <v>6937</v>
      </c>
      <c r="G5699" s="24" t="s">
        <v>88</v>
      </c>
      <c r="H5699" s="25" t="s">
        <v>6979</v>
      </c>
      <c r="I5699" s="46" t="str">
        <f>VLOOKUP(H5699,'合同高级查询数据-4月返'!A:A,1,FALSE)</f>
        <v>182315IDC00162</v>
      </c>
      <c r="J5699" s="47" t="s">
        <v>3488</v>
      </c>
      <c r="K5699" s="24" t="s">
        <v>6980</v>
      </c>
      <c r="L5699" s="109"/>
      <c r="M5699" s="49" t="s">
        <v>6961</v>
      </c>
      <c r="N5699" s="50">
        <v>44280</v>
      </c>
      <c r="O5699" s="22" t="s">
        <v>6983</v>
      </c>
      <c r="P5699" s="52">
        <v>15000</v>
      </c>
      <c r="Q5699" s="70">
        <v>-1</v>
      </c>
      <c r="R5699" s="52">
        <f t="shared" si="174"/>
        <v>-53</v>
      </c>
      <c r="S5699" s="47">
        <v>202302</v>
      </c>
      <c r="T5699" s="123" t="s">
        <v>7232</v>
      </c>
      <c r="U5699" s="48"/>
      <c r="V5699" s="48"/>
      <c r="W5699" s="48"/>
      <c r="X5699" s="50"/>
      <c r="Y5699" s="50"/>
    </row>
    <row r="5700" s="5" customFormat="1" customHeight="1" spans="1:25">
      <c r="A5700" s="24" t="s">
        <v>444</v>
      </c>
      <c r="B5700" s="24" t="s">
        <v>6300</v>
      </c>
      <c r="C5700" s="24" t="s">
        <v>3237</v>
      </c>
      <c r="D5700" s="22" t="s">
        <v>6301</v>
      </c>
      <c r="E5700" s="23" t="s">
        <v>6936</v>
      </c>
      <c r="F5700" s="24" t="s">
        <v>6937</v>
      </c>
      <c r="G5700" s="24" t="s">
        <v>88</v>
      </c>
      <c r="H5700" s="25" t="s">
        <v>6979</v>
      </c>
      <c r="I5700" s="46" t="str">
        <f>VLOOKUP(H5700,'合同高级查询数据-4月返'!A:A,1,FALSE)</f>
        <v>182315IDC00162</v>
      </c>
      <c r="J5700" s="47" t="s">
        <v>3488</v>
      </c>
      <c r="K5700" s="24" t="s">
        <v>6980</v>
      </c>
      <c r="L5700" s="109"/>
      <c r="M5700" s="49" t="s">
        <v>6961</v>
      </c>
      <c r="N5700" s="50">
        <v>44285</v>
      </c>
      <c r="O5700" s="22" t="s">
        <v>6983</v>
      </c>
      <c r="P5700" s="52">
        <v>15000</v>
      </c>
      <c r="Q5700" s="70">
        <v>-1</v>
      </c>
      <c r="R5700" s="52">
        <f t="shared" si="174"/>
        <v>-53</v>
      </c>
      <c r="S5700" s="47">
        <v>202302</v>
      </c>
      <c r="T5700" s="123" t="s">
        <v>7232</v>
      </c>
      <c r="U5700" s="48"/>
      <c r="V5700" s="48"/>
      <c r="W5700" s="48"/>
      <c r="X5700" s="50"/>
      <c r="Y5700" s="50"/>
    </row>
    <row r="5701" s="5" customFormat="1" customHeight="1" spans="1:25">
      <c r="A5701" s="24" t="s">
        <v>444</v>
      </c>
      <c r="B5701" s="24" t="s">
        <v>6300</v>
      </c>
      <c r="C5701" s="24" t="s">
        <v>120</v>
      </c>
      <c r="D5701" s="22" t="s">
        <v>6301</v>
      </c>
      <c r="E5701" s="23" t="s">
        <v>7233</v>
      </c>
      <c r="F5701" s="24" t="s">
        <v>7234</v>
      </c>
      <c r="G5701" s="24" t="s">
        <v>31</v>
      </c>
      <c r="H5701" s="25" t="s">
        <v>7235</v>
      </c>
      <c r="I5701" s="46" t="e">
        <f>VLOOKUP(H5701,'合同高级查询数据-4月返'!A:A,1,FALSE)</f>
        <v>#N/A</v>
      </c>
      <c r="J5701" s="47" t="s">
        <v>4997</v>
      </c>
      <c r="K5701" s="24" t="s">
        <v>121</v>
      </c>
      <c r="L5701" s="109" t="s">
        <v>7236</v>
      </c>
      <c r="M5701" s="475" t="s">
        <v>7237</v>
      </c>
      <c r="N5701" s="73"/>
      <c r="O5701" s="24" t="s">
        <v>37</v>
      </c>
      <c r="P5701" s="52">
        <v>0</v>
      </c>
      <c r="Q5701" s="70">
        <v>288</v>
      </c>
      <c r="R5701" s="52">
        <f t="shared" ref="R5701:R5719" si="175">ROUND(P5701*Q5701,2)</f>
        <v>0</v>
      </c>
      <c r="S5701" s="47">
        <v>202304</v>
      </c>
      <c r="T5701" s="123" t="s">
        <v>7238</v>
      </c>
      <c r="U5701" s="48"/>
      <c r="V5701" s="48"/>
      <c r="W5701" s="48"/>
      <c r="X5701" s="50">
        <v>44927</v>
      </c>
      <c r="Y5701" s="50">
        <v>45107</v>
      </c>
    </row>
    <row r="5702" s="5" customFormat="1" customHeight="1" spans="1:25">
      <c r="A5702" s="24" t="s">
        <v>444</v>
      </c>
      <c r="B5702" s="24" t="s">
        <v>6300</v>
      </c>
      <c r="C5702" s="24" t="s">
        <v>120</v>
      </c>
      <c r="D5702" s="22" t="s">
        <v>6301</v>
      </c>
      <c r="E5702" s="23" t="s">
        <v>7233</v>
      </c>
      <c r="F5702" s="24" t="s">
        <v>7234</v>
      </c>
      <c r="G5702" s="24" t="s">
        <v>31</v>
      </c>
      <c r="H5702" s="25" t="s">
        <v>7235</v>
      </c>
      <c r="I5702" s="46" t="e">
        <f>VLOOKUP(H5702,'合同高级查询数据-4月返'!A:A,1,FALSE)</f>
        <v>#N/A</v>
      </c>
      <c r="J5702" s="47" t="s">
        <v>4997</v>
      </c>
      <c r="K5702" s="24" t="s">
        <v>7239</v>
      </c>
      <c r="L5702" s="109"/>
      <c r="M5702" s="475" t="s">
        <v>7240</v>
      </c>
      <c r="N5702" s="50">
        <v>43525</v>
      </c>
      <c r="O5702" s="24" t="s">
        <v>37</v>
      </c>
      <c r="P5702" s="52">
        <v>0</v>
      </c>
      <c r="Q5702" s="70">
        <v>544</v>
      </c>
      <c r="R5702" s="52">
        <f t="shared" si="175"/>
        <v>0</v>
      </c>
      <c r="S5702" s="47">
        <v>202304</v>
      </c>
      <c r="T5702" s="123" t="s">
        <v>7241</v>
      </c>
      <c r="U5702" s="48"/>
      <c r="V5702" s="48"/>
      <c r="W5702" s="48"/>
      <c r="X5702" s="50">
        <v>44927</v>
      </c>
      <c r="Y5702" s="50">
        <v>45107</v>
      </c>
    </row>
    <row r="5703" s="5" customFormat="1" customHeight="1" spans="1:25">
      <c r="A5703" s="24" t="s">
        <v>444</v>
      </c>
      <c r="B5703" s="24" t="s">
        <v>6300</v>
      </c>
      <c r="C5703" s="24" t="s">
        <v>120</v>
      </c>
      <c r="D5703" s="22" t="s">
        <v>6301</v>
      </c>
      <c r="E5703" s="23" t="s">
        <v>7233</v>
      </c>
      <c r="F5703" s="24" t="s">
        <v>7234</v>
      </c>
      <c r="G5703" s="24" t="s">
        <v>31</v>
      </c>
      <c r="H5703" s="25" t="s">
        <v>7235</v>
      </c>
      <c r="I5703" s="46" t="e">
        <f>VLOOKUP(H5703,'合同高级查询数据-4月返'!A:A,1,FALSE)</f>
        <v>#N/A</v>
      </c>
      <c r="J5703" s="47" t="s">
        <v>4997</v>
      </c>
      <c r="K5703" s="24" t="s">
        <v>7239</v>
      </c>
      <c r="L5703" s="109" t="s">
        <v>7242</v>
      </c>
      <c r="M5703" s="475" t="s">
        <v>7240</v>
      </c>
      <c r="N5703" s="73"/>
      <c r="O5703" s="24" t="s">
        <v>37</v>
      </c>
      <c r="P5703" s="52">
        <v>0</v>
      </c>
      <c r="Q5703" s="70">
        <v>256</v>
      </c>
      <c r="R5703" s="52">
        <f t="shared" si="175"/>
        <v>0</v>
      </c>
      <c r="S5703" s="47">
        <v>202304</v>
      </c>
      <c r="T5703" s="123" t="s">
        <v>7243</v>
      </c>
      <c r="U5703" s="48"/>
      <c r="V5703" s="48"/>
      <c r="W5703" s="48"/>
      <c r="X5703" s="50">
        <v>44927</v>
      </c>
      <c r="Y5703" s="50">
        <v>45107</v>
      </c>
    </row>
    <row r="5704" s="5" customFormat="1" customHeight="1" spans="1:25">
      <c r="A5704" s="24" t="s">
        <v>444</v>
      </c>
      <c r="B5704" s="24" t="s">
        <v>6300</v>
      </c>
      <c r="C5704" s="24" t="s">
        <v>120</v>
      </c>
      <c r="D5704" s="22" t="s">
        <v>6301</v>
      </c>
      <c r="E5704" s="23" t="s">
        <v>7233</v>
      </c>
      <c r="F5704" s="24" t="s">
        <v>7234</v>
      </c>
      <c r="G5704" s="24" t="s">
        <v>31</v>
      </c>
      <c r="H5704" s="25" t="s">
        <v>7235</v>
      </c>
      <c r="I5704" s="46" t="e">
        <f>VLOOKUP(H5704,'合同高级查询数据-4月返'!A:A,1,FALSE)</f>
        <v>#N/A</v>
      </c>
      <c r="J5704" s="47" t="s">
        <v>4997</v>
      </c>
      <c r="K5704" s="24" t="s">
        <v>7239</v>
      </c>
      <c r="L5704" s="109" t="s">
        <v>7242</v>
      </c>
      <c r="M5704" s="475" t="s">
        <v>7240</v>
      </c>
      <c r="N5704" s="73">
        <v>44274</v>
      </c>
      <c r="O5704" s="24" t="s">
        <v>37</v>
      </c>
      <c r="P5704" s="52">
        <v>0</v>
      </c>
      <c r="Q5704" s="70">
        <v>128</v>
      </c>
      <c r="R5704" s="52">
        <f t="shared" si="175"/>
        <v>0</v>
      </c>
      <c r="S5704" s="47">
        <v>202304</v>
      </c>
      <c r="T5704" s="123" t="s">
        <v>7244</v>
      </c>
      <c r="U5704" s="48"/>
      <c r="V5704" s="48"/>
      <c r="W5704" s="48"/>
      <c r="X5704" s="50">
        <v>44927</v>
      </c>
      <c r="Y5704" s="50">
        <v>45107</v>
      </c>
    </row>
    <row r="5705" s="5" customFormat="1" customHeight="1" spans="1:25">
      <c r="A5705" s="24" t="s">
        <v>444</v>
      </c>
      <c r="B5705" s="24" t="s">
        <v>6300</v>
      </c>
      <c r="C5705" s="24" t="s">
        <v>120</v>
      </c>
      <c r="D5705" s="22" t="s">
        <v>6301</v>
      </c>
      <c r="E5705" s="23" t="s">
        <v>7233</v>
      </c>
      <c r="F5705" s="24" t="s">
        <v>7234</v>
      </c>
      <c r="G5705" s="24" t="s">
        <v>31</v>
      </c>
      <c r="H5705" s="25" t="s">
        <v>7235</v>
      </c>
      <c r="I5705" s="46" t="e">
        <f>VLOOKUP(H5705,'合同高级查询数据-4月返'!A:A,1,FALSE)</f>
        <v>#N/A</v>
      </c>
      <c r="J5705" s="47" t="s">
        <v>4997</v>
      </c>
      <c r="K5705" s="24" t="s">
        <v>7239</v>
      </c>
      <c r="L5705" s="109" t="s">
        <v>7242</v>
      </c>
      <c r="M5705" s="475" t="s">
        <v>7240</v>
      </c>
      <c r="N5705" s="73">
        <v>44785</v>
      </c>
      <c r="O5705" s="24" t="s">
        <v>37</v>
      </c>
      <c r="P5705" s="52">
        <v>0</v>
      </c>
      <c r="Q5705" s="70">
        <v>-176</v>
      </c>
      <c r="R5705" s="52">
        <f t="shared" si="175"/>
        <v>0</v>
      </c>
      <c r="S5705" s="47">
        <v>202304</v>
      </c>
      <c r="T5705" s="123" t="s">
        <v>7245</v>
      </c>
      <c r="U5705" s="48"/>
      <c r="V5705" s="48"/>
      <c r="W5705" s="48"/>
      <c r="X5705" s="50">
        <v>44927</v>
      </c>
      <c r="Y5705" s="50">
        <v>45107</v>
      </c>
    </row>
    <row r="5706" s="5" customFormat="1" customHeight="1" spans="1:25">
      <c r="A5706" s="24" t="s">
        <v>444</v>
      </c>
      <c r="B5706" s="24" t="s">
        <v>6300</v>
      </c>
      <c r="C5706" s="24" t="s">
        <v>120</v>
      </c>
      <c r="D5706" s="22" t="s">
        <v>6301</v>
      </c>
      <c r="E5706" s="23" t="s">
        <v>7233</v>
      </c>
      <c r="F5706" s="24" t="s">
        <v>7234</v>
      </c>
      <c r="G5706" s="24" t="s">
        <v>31</v>
      </c>
      <c r="H5706" s="25" t="s">
        <v>7235</v>
      </c>
      <c r="I5706" s="46" t="e">
        <f>VLOOKUP(H5706,'合同高级查询数据-4月返'!A:A,1,FALSE)</f>
        <v>#N/A</v>
      </c>
      <c r="J5706" s="47" t="s">
        <v>4997</v>
      </c>
      <c r="K5706" s="24" t="s">
        <v>7239</v>
      </c>
      <c r="L5706" s="109" t="s">
        <v>7242</v>
      </c>
      <c r="M5706" s="475" t="s">
        <v>7240</v>
      </c>
      <c r="N5706" s="73">
        <v>44785</v>
      </c>
      <c r="O5706" s="24" t="s">
        <v>37</v>
      </c>
      <c r="P5706" s="52">
        <v>0</v>
      </c>
      <c r="Q5706" s="70">
        <v>-208</v>
      </c>
      <c r="R5706" s="52">
        <f t="shared" si="175"/>
        <v>0</v>
      </c>
      <c r="S5706" s="47">
        <v>202304</v>
      </c>
      <c r="T5706" s="123" t="s">
        <v>7246</v>
      </c>
      <c r="U5706" s="48"/>
      <c r="V5706" s="48"/>
      <c r="W5706" s="48"/>
      <c r="X5706" s="50">
        <v>44927</v>
      </c>
      <c r="Y5706" s="50">
        <v>45107</v>
      </c>
    </row>
    <row r="5707" s="5" customFormat="1" customHeight="1" spans="1:25">
      <c r="A5707" s="24" t="s">
        <v>444</v>
      </c>
      <c r="B5707" s="24" t="s">
        <v>6300</v>
      </c>
      <c r="C5707" s="24" t="s">
        <v>120</v>
      </c>
      <c r="D5707" s="22" t="s">
        <v>6301</v>
      </c>
      <c r="E5707" s="23" t="s">
        <v>7233</v>
      </c>
      <c r="F5707" s="24" t="s">
        <v>7234</v>
      </c>
      <c r="G5707" s="24" t="s">
        <v>31</v>
      </c>
      <c r="H5707" s="25" t="s">
        <v>7235</v>
      </c>
      <c r="I5707" s="46" t="e">
        <f>VLOOKUP(H5707,'合同高级查询数据-4月返'!A:A,1,FALSE)</f>
        <v>#N/A</v>
      </c>
      <c r="J5707" s="47" t="s">
        <v>4997</v>
      </c>
      <c r="K5707" s="24" t="s">
        <v>7247</v>
      </c>
      <c r="L5707" s="109" t="s">
        <v>7248</v>
      </c>
      <c r="M5707" s="475" t="s">
        <v>7237</v>
      </c>
      <c r="N5707" s="73"/>
      <c r="O5707" s="24" t="s">
        <v>37</v>
      </c>
      <c r="P5707" s="52">
        <v>0</v>
      </c>
      <c r="Q5707" s="70">
        <v>128</v>
      </c>
      <c r="R5707" s="52">
        <f t="shared" si="175"/>
        <v>0</v>
      </c>
      <c r="S5707" s="47">
        <v>202304</v>
      </c>
      <c r="T5707" s="123" t="s">
        <v>6308</v>
      </c>
      <c r="U5707" s="48"/>
      <c r="V5707" s="48"/>
      <c r="W5707" s="48"/>
      <c r="X5707" s="50">
        <v>44927</v>
      </c>
      <c r="Y5707" s="50">
        <v>45107</v>
      </c>
    </row>
    <row r="5708" s="5" customFormat="1" customHeight="1" spans="1:25">
      <c r="A5708" s="24" t="s">
        <v>444</v>
      </c>
      <c r="B5708" s="24" t="s">
        <v>6300</v>
      </c>
      <c r="C5708" s="24" t="s">
        <v>120</v>
      </c>
      <c r="D5708" s="22" t="s">
        <v>6301</v>
      </c>
      <c r="E5708" s="23" t="s">
        <v>7233</v>
      </c>
      <c r="F5708" s="24" t="s">
        <v>7234</v>
      </c>
      <c r="G5708" s="24" t="s">
        <v>31</v>
      </c>
      <c r="H5708" s="25" t="s">
        <v>7235</v>
      </c>
      <c r="I5708" s="46" t="e">
        <f>VLOOKUP(H5708,'合同高级查询数据-4月返'!A:A,1,FALSE)</f>
        <v>#N/A</v>
      </c>
      <c r="J5708" s="47" t="s">
        <v>4997</v>
      </c>
      <c r="K5708" s="24" t="s">
        <v>7249</v>
      </c>
      <c r="L5708" s="109"/>
      <c r="M5708" s="475" t="s">
        <v>7237</v>
      </c>
      <c r="N5708" s="73">
        <v>43617</v>
      </c>
      <c r="O5708" s="24" t="s">
        <v>37</v>
      </c>
      <c r="P5708" s="52">
        <v>0</v>
      </c>
      <c r="Q5708" s="70">
        <v>288</v>
      </c>
      <c r="R5708" s="52">
        <f t="shared" si="175"/>
        <v>0</v>
      </c>
      <c r="S5708" s="47">
        <v>202304</v>
      </c>
      <c r="T5708" s="123" t="s">
        <v>6019</v>
      </c>
      <c r="U5708" s="48"/>
      <c r="V5708" s="48"/>
      <c r="W5708" s="48"/>
      <c r="X5708" s="50">
        <v>44927</v>
      </c>
      <c r="Y5708" s="50">
        <v>45107</v>
      </c>
    </row>
    <row r="5709" s="5" customFormat="1" customHeight="1" spans="1:25">
      <c r="A5709" s="24" t="s">
        <v>444</v>
      </c>
      <c r="B5709" s="24" t="s">
        <v>6300</v>
      </c>
      <c r="C5709" s="24" t="s">
        <v>120</v>
      </c>
      <c r="D5709" s="22" t="s">
        <v>6301</v>
      </c>
      <c r="E5709" s="23" t="s">
        <v>7233</v>
      </c>
      <c r="F5709" s="24" t="s">
        <v>7234</v>
      </c>
      <c r="G5709" s="24" t="s">
        <v>31</v>
      </c>
      <c r="H5709" s="25" t="s">
        <v>7235</v>
      </c>
      <c r="I5709" s="46" t="e">
        <f>VLOOKUP(H5709,'合同高级查询数据-4月返'!A:A,1,FALSE)</f>
        <v>#N/A</v>
      </c>
      <c r="J5709" s="47" t="s">
        <v>4997</v>
      </c>
      <c r="K5709" s="24" t="s">
        <v>7249</v>
      </c>
      <c r="L5709" s="109" t="s">
        <v>7250</v>
      </c>
      <c r="M5709" s="49" t="s">
        <v>7237</v>
      </c>
      <c r="N5709" s="73"/>
      <c r="O5709" s="24" t="s">
        <v>179</v>
      </c>
      <c r="P5709" s="52">
        <v>0</v>
      </c>
      <c r="Q5709" s="70">
        <v>1</v>
      </c>
      <c r="R5709" s="52">
        <f t="shared" si="175"/>
        <v>0</v>
      </c>
      <c r="S5709" s="47">
        <v>202304</v>
      </c>
      <c r="T5709" s="123" t="s">
        <v>6520</v>
      </c>
      <c r="U5709" s="48"/>
      <c r="V5709" s="48"/>
      <c r="W5709" s="48"/>
      <c r="X5709" s="50">
        <v>44927</v>
      </c>
      <c r="Y5709" s="50">
        <v>45107</v>
      </c>
    </row>
    <row r="5710" s="5" customFormat="1" customHeight="1" spans="1:25">
      <c r="A5710" s="24" t="s">
        <v>444</v>
      </c>
      <c r="B5710" s="24" t="s">
        <v>6300</v>
      </c>
      <c r="C5710" s="24" t="s">
        <v>120</v>
      </c>
      <c r="D5710" s="22" t="s">
        <v>6301</v>
      </c>
      <c r="E5710" s="23" t="s">
        <v>7233</v>
      </c>
      <c r="F5710" s="24" t="s">
        <v>7234</v>
      </c>
      <c r="G5710" s="24" t="s">
        <v>31</v>
      </c>
      <c r="H5710" s="25" t="s">
        <v>7235</v>
      </c>
      <c r="I5710" s="46" t="e">
        <f>VLOOKUP(H5710,'合同高级查询数据-4月返'!A:A,1,FALSE)</f>
        <v>#N/A</v>
      </c>
      <c r="J5710" s="47" t="s">
        <v>4997</v>
      </c>
      <c r="K5710" s="24" t="s">
        <v>121</v>
      </c>
      <c r="L5710" s="109" t="s">
        <v>7236</v>
      </c>
      <c r="M5710" s="49" t="s">
        <v>7237</v>
      </c>
      <c r="N5710" s="73"/>
      <c r="O5710" s="24" t="s">
        <v>179</v>
      </c>
      <c r="P5710" s="52">
        <v>0</v>
      </c>
      <c r="Q5710" s="70">
        <v>1</v>
      </c>
      <c r="R5710" s="52">
        <f t="shared" si="175"/>
        <v>0</v>
      </c>
      <c r="S5710" s="47">
        <v>202304</v>
      </c>
      <c r="T5710" s="123" t="s">
        <v>6520</v>
      </c>
      <c r="U5710" s="48"/>
      <c r="V5710" s="48"/>
      <c r="W5710" s="48"/>
      <c r="X5710" s="50">
        <v>44927</v>
      </c>
      <c r="Y5710" s="50">
        <v>45107</v>
      </c>
    </row>
    <row r="5711" s="5" customFormat="1" customHeight="1" spans="1:25">
      <c r="A5711" s="24" t="s">
        <v>444</v>
      </c>
      <c r="B5711" s="24" t="s">
        <v>6300</v>
      </c>
      <c r="C5711" s="24" t="s">
        <v>120</v>
      </c>
      <c r="D5711" s="22" t="s">
        <v>6301</v>
      </c>
      <c r="E5711" s="23" t="s">
        <v>7233</v>
      </c>
      <c r="F5711" s="24" t="s">
        <v>7234</v>
      </c>
      <c r="G5711" s="24" t="s">
        <v>31</v>
      </c>
      <c r="H5711" s="25" t="s">
        <v>7235</v>
      </c>
      <c r="I5711" s="46" t="e">
        <f>VLOOKUP(H5711,'合同高级查询数据-4月返'!A:A,1,FALSE)</f>
        <v>#N/A</v>
      </c>
      <c r="J5711" s="47" t="s">
        <v>4997</v>
      </c>
      <c r="K5711" s="24" t="s">
        <v>7239</v>
      </c>
      <c r="L5711" s="109" t="s">
        <v>7251</v>
      </c>
      <c r="M5711" s="475" t="s">
        <v>7240</v>
      </c>
      <c r="N5711" s="73"/>
      <c r="O5711" s="24" t="s">
        <v>179</v>
      </c>
      <c r="P5711" s="52">
        <v>0</v>
      </c>
      <c r="Q5711" s="70">
        <v>1</v>
      </c>
      <c r="R5711" s="52">
        <f t="shared" si="175"/>
        <v>0</v>
      </c>
      <c r="S5711" s="47">
        <v>202304</v>
      </c>
      <c r="T5711" s="123" t="s">
        <v>6520</v>
      </c>
      <c r="U5711" s="48"/>
      <c r="V5711" s="48"/>
      <c r="W5711" s="48"/>
      <c r="X5711" s="50">
        <v>44927</v>
      </c>
      <c r="Y5711" s="50">
        <v>45107</v>
      </c>
    </row>
    <row r="5712" s="5" customFormat="1" customHeight="1" spans="1:25">
      <c r="A5712" s="24" t="s">
        <v>444</v>
      </c>
      <c r="B5712" s="24" t="s">
        <v>6300</v>
      </c>
      <c r="C5712" s="24" t="s">
        <v>120</v>
      </c>
      <c r="D5712" s="22" t="s">
        <v>6301</v>
      </c>
      <c r="E5712" s="23" t="s">
        <v>7233</v>
      </c>
      <c r="F5712" s="24" t="s">
        <v>7234</v>
      </c>
      <c r="G5712" s="24" t="s">
        <v>31</v>
      </c>
      <c r="H5712" s="25" t="s">
        <v>7235</v>
      </c>
      <c r="I5712" s="46" t="e">
        <f>VLOOKUP(H5712,'合同高级查询数据-4月返'!A:A,1,FALSE)</f>
        <v>#N/A</v>
      </c>
      <c r="J5712" s="47" t="s">
        <v>4997</v>
      </c>
      <c r="K5712" s="24" t="s">
        <v>7239</v>
      </c>
      <c r="L5712" s="109" t="s">
        <v>7251</v>
      </c>
      <c r="M5712" s="475" t="s">
        <v>7240</v>
      </c>
      <c r="N5712" s="73"/>
      <c r="O5712" s="24" t="s">
        <v>179</v>
      </c>
      <c r="P5712" s="52">
        <v>0</v>
      </c>
      <c r="Q5712" s="70">
        <v>1</v>
      </c>
      <c r="R5712" s="52">
        <f t="shared" si="175"/>
        <v>0</v>
      </c>
      <c r="S5712" s="47">
        <v>202304</v>
      </c>
      <c r="T5712" s="123" t="s">
        <v>6520</v>
      </c>
      <c r="U5712" s="48"/>
      <c r="V5712" s="48"/>
      <c r="W5712" s="48"/>
      <c r="X5712" s="50">
        <v>44927</v>
      </c>
      <c r="Y5712" s="50">
        <v>45107</v>
      </c>
    </row>
    <row r="5713" s="5" customFormat="1" customHeight="1" spans="1:25">
      <c r="A5713" s="24" t="s">
        <v>444</v>
      </c>
      <c r="B5713" s="24" t="s">
        <v>6300</v>
      </c>
      <c r="C5713" s="24" t="s">
        <v>120</v>
      </c>
      <c r="D5713" s="22" t="s">
        <v>6301</v>
      </c>
      <c r="E5713" s="23" t="s">
        <v>7233</v>
      </c>
      <c r="F5713" s="24" t="s">
        <v>7234</v>
      </c>
      <c r="G5713" s="24" t="s">
        <v>88</v>
      </c>
      <c r="H5713" s="25" t="s">
        <v>7235</v>
      </c>
      <c r="I5713" s="46" t="e">
        <f>VLOOKUP(H5713,'合同高级查询数据-4月返'!A:A,1,FALSE)</f>
        <v>#N/A</v>
      </c>
      <c r="J5713" s="47" t="s">
        <v>162</v>
      </c>
      <c r="K5713" s="24" t="s">
        <v>121</v>
      </c>
      <c r="L5713" s="109"/>
      <c r="M5713" s="49" t="s">
        <v>7237</v>
      </c>
      <c r="N5713" s="50"/>
      <c r="O5713" s="22" t="s">
        <v>163</v>
      </c>
      <c r="P5713" s="52">
        <v>5000</v>
      </c>
      <c r="Q5713" s="70">
        <v>9</v>
      </c>
      <c r="R5713" s="52">
        <f t="shared" si="175"/>
        <v>45000</v>
      </c>
      <c r="S5713" s="47">
        <v>202304</v>
      </c>
      <c r="T5713" s="71" t="s">
        <v>7252</v>
      </c>
      <c r="U5713" s="48"/>
      <c r="V5713" s="48"/>
      <c r="W5713" s="48"/>
      <c r="X5713" s="50">
        <v>44927</v>
      </c>
      <c r="Y5713" s="50">
        <v>45107</v>
      </c>
    </row>
    <row r="5714" s="5" customFormat="1" customHeight="1" spans="1:25">
      <c r="A5714" s="24" t="s">
        <v>444</v>
      </c>
      <c r="B5714" s="24" t="s">
        <v>6300</v>
      </c>
      <c r="C5714" s="24" t="s">
        <v>120</v>
      </c>
      <c r="D5714" s="22" t="s">
        <v>6301</v>
      </c>
      <c r="E5714" s="23" t="s">
        <v>7233</v>
      </c>
      <c r="F5714" s="24" t="s">
        <v>7234</v>
      </c>
      <c r="G5714" s="24" t="s">
        <v>88</v>
      </c>
      <c r="H5714" s="25" t="s">
        <v>7235</v>
      </c>
      <c r="I5714" s="46" t="e">
        <f>VLOOKUP(H5714,'合同高级查询数据-4月返'!A:A,1,FALSE)</f>
        <v>#N/A</v>
      </c>
      <c r="J5714" s="47" t="s">
        <v>162</v>
      </c>
      <c r="K5714" s="24" t="s">
        <v>121</v>
      </c>
      <c r="L5714" s="109"/>
      <c r="M5714" s="49" t="s">
        <v>7237</v>
      </c>
      <c r="N5714" s="50">
        <v>43405</v>
      </c>
      <c r="O5714" s="22" t="s">
        <v>163</v>
      </c>
      <c r="P5714" s="52">
        <v>5000</v>
      </c>
      <c r="Q5714" s="70">
        <v>1</v>
      </c>
      <c r="R5714" s="52">
        <f t="shared" si="175"/>
        <v>5000</v>
      </c>
      <c r="S5714" s="47">
        <v>202304</v>
      </c>
      <c r="T5714" s="123" t="s">
        <v>7253</v>
      </c>
      <c r="U5714" s="48"/>
      <c r="V5714" s="48"/>
      <c r="W5714" s="48"/>
      <c r="X5714" s="50">
        <v>44927</v>
      </c>
      <c r="Y5714" s="50">
        <v>45107</v>
      </c>
    </row>
    <row r="5715" s="5" customFormat="1" customHeight="1" spans="1:25">
      <c r="A5715" s="24" t="s">
        <v>444</v>
      </c>
      <c r="B5715" s="24" t="s">
        <v>6300</v>
      </c>
      <c r="C5715" s="24" t="s">
        <v>120</v>
      </c>
      <c r="D5715" s="22" t="s">
        <v>6301</v>
      </c>
      <c r="E5715" s="23" t="s">
        <v>7233</v>
      </c>
      <c r="F5715" s="24" t="s">
        <v>7234</v>
      </c>
      <c r="G5715" s="24" t="s">
        <v>88</v>
      </c>
      <c r="H5715" s="25" t="s">
        <v>7235</v>
      </c>
      <c r="I5715" s="46" t="e">
        <f>VLOOKUP(H5715,'合同高级查询数据-4月返'!A:A,1,FALSE)</f>
        <v>#N/A</v>
      </c>
      <c r="J5715" s="47" t="s">
        <v>162</v>
      </c>
      <c r="K5715" s="24" t="s">
        <v>121</v>
      </c>
      <c r="L5715" s="109"/>
      <c r="M5715" s="49" t="s">
        <v>7237</v>
      </c>
      <c r="N5715" s="50">
        <v>43525</v>
      </c>
      <c r="O5715" s="22" t="s">
        <v>163</v>
      </c>
      <c r="P5715" s="52">
        <v>5000</v>
      </c>
      <c r="Q5715" s="70">
        <v>1</v>
      </c>
      <c r="R5715" s="52">
        <f t="shared" si="175"/>
        <v>5000</v>
      </c>
      <c r="S5715" s="47">
        <v>202304</v>
      </c>
      <c r="T5715" s="123" t="s">
        <v>7254</v>
      </c>
      <c r="U5715" s="48"/>
      <c r="V5715" s="48"/>
      <c r="W5715" s="48"/>
      <c r="X5715" s="50">
        <v>44927</v>
      </c>
      <c r="Y5715" s="50">
        <v>45107</v>
      </c>
    </row>
    <row r="5716" s="5" customFormat="1" customHeight="1" spans="1:25">
      <c r="A5716" s="24" t="s">
        <v>444</v>
      </c>
      <c r="B5716" s="24" t="s">
        <v>6300</v>
      </c>
      <c r="C5716" s="24" t="s">
        <v>120</v>
      </c>
      <c r="D5716" s="22" t="s">
        <v>6301</v>
      </c>
      <c r="E5716" s="23" t="s">
        <v>7233</v>
      </c>
      <c r="F5716" s="24" t="s">
        <v>7234</v>
      </c>
      <c r="G5716" s="24" t="s">
        <v>88</v>
      </c>
      <c r="H5716" s="25" t="s">
        <v>7235</v>
      </c>
      <c r="I5716" s="46" t="e">
        <f>VLOOKUP(H5716,'合同高级查询数据-4月返'!A:A,1,FALSE)</f>
        <v>#N/A</v>
      </c>
      <c r="J5716" s="47" t="s">
        <v>162</v>
      </c>
      <c r="K5716" s="24" t="s">
        <v>7249</v>
      </c>
      <c r="L5716" s="109" t="s">
        <v>7250</v>
      </c>
      <c r="M5716" s="49" t="s">
        <v>7237</v>
      </c>
      <c r="N5716" s="73">
        <v>43617</v>
      </c>
      <c r="O5716" s="22" t="s">
        <v>163</v>
      </c>
      <c r="P5716" s="52">
        <v>5000</v>
      </c>
      <c r="Q5716" s="70">
        <v>5</v>
      </c>
      <c r="R5716" s="52">
        <f t="shared" si="175"/>
        <v>25000</v>
      </c>
      <c r="S5716" s="47">
        <v>202304</v>
      </c>
      <c r="T5716" s="123" t="s">
        <v>7255</v>
      </c>
      <c r="U5716" s="48"/>
      <c r="V5716" s="48"/>
      <c r="W5716" s="48"/>
      <c r="X5716" s="50">
        <v>44927</v>
      </c>
      <c r="Y5716" s="50">
        <v>45107</v>
      </c>
    </row>
    <row r="5717" s="5" customFormat="1" customHeight="1" spans="1:25">
      <c r="A5717" s="24" t="s">
        <v>444</v>
      </c>
      <c r="B5717" s="24" t="s">
        <v>6300</v>
      </c>
      <c r="C5717" s="24" t="s">
        <v>120</v>
      </c>
      <c r="D5717" s="22" t="s">
        <v>6301</v>
      </c>
      <c r="E5717" s="23" t="s">
        <v>7233</v>
      </c>
      <c r="F5717" s="24" t="s">
        <v>7234</v>
      </c>
      <c r="G5717" s="24" t="s">
        <v>88</v>
      </c>
      <c r="H5717" s="25" t="s">
        <v>7235</v>
      </c>
      <c r="I5717" s="46" t="e">
        <f>VLOOKUP(H5717,'合同高级查询数据-4月返'!A:A,1,FALSE)</f>
        <v>#N/A</v>
      </c>
      <c r="J5717" s="47" t="s">
        <v>162</v>
      </c>
      <c r="K5717" s="24" t="s">
        <v>7239</v>
      </c>
      <c r="L5717" s="109" t="s">
        <v>7251</v>
      </c>
      <c r="M5717" s="49" t="s">
        <v>7240</v>
      </c>
      <c r="N5717" s="73">
        <v>43525</v>
      </c>
      <c r="O5717" s="22" t="s">
        <v>163</v>
      </c>
      <c r="P5717" s="52">
        <v>5000</v>
      </c>
      <c r="Q5717" s="70">
        <v>9</v>
      </c>
      <c r="R5717" s="52">
        <f t="shared" si="175"/>
        <v>45000</v>
      </c>
      <c r="S5717" s="47">
        <v>202304</v>
      </c>
      <c r="T5717" s="123" t="s">
        <v>7256</v>
      </c>
      <c r="U5717" s="48"/>
      <c r="V5717" s="48"/>
      <c r="W5717" s="48"/>
      <c r="X5717" s="50">
        <v>44927</v>
      </c>
      <c r="Y5717" s="50">
        <v>45107</v>
      </c>
    </row>
    <row r="5718" s="5" customFormat="1" customHeight="1" spans="1:25">
      <c r="A5718" s="24" t="s">
        <v>444</v>
      </c>
      <c r="B5718" s="24" t="s">
        <v>6300</v>
      </c>
      <c r="C5718" s="24" t="s">
        <v>120</v>
      </c>
      <c r="D5718" s="22" t="s">
        <v>6301</v>
      </c>
      <c r="E5718" s="23" t="s">
        <v>7233</v>
      </c>
      <c r="F5718" s="24" t="s">
        <v>7234</v>
      </c>
      <c r="G5718" s="24" t="s">
        <v>88</v>
      </c>
      <c r="H5718" s="25" t="s">
        <v>7235</v>
      </c>
      <c r="I5718" s="46" t="e">
        <f>VLOOKUP(H5718,'合同高级查询数据-4月返'!A:A,1,FALSE)</f>
        <v>#N/A</v>
      </c>
      <c r="J5718" s="47" t="s">
        <v>162</v>
      </c>
      <c r="K5718" s="24" t="s">
        <v>7239</v>
      </c>
      <c r="L5718" s="109" t="s">
        <v>7251</v>
      </c>
      <c r="M5718" s="49" t="s">
        <v>7240</v>
      </c>
      <c r="N5718" s="73">
        <v>43769</v>
      </c>
      <c r="O5718" s="22" t="s">
        <v>163</v>
      </c>
      <c r="P5718" s="52">
        <v>5000</v>
      </c>
      <c r="Q5718" s="70">
        <v>3</v>
      </c>
      <c r="R5718" s="52">
        <f t="shared" si="175"/>
        <v>15000</v>
      </c>
      <c r="S5718" s="47">
        <v>202304</v>
      </c>
      <c r="T5718" s="123" t="s">
        <v>7257</v>
      </c>
      <c r="U5718" s="48"/>
      <c r="V5718" s="48"/>
      <c r="W5718" s="48"/>
      <c r="X5718" s="50">
        <v>44927</v>
      </c>
      <c r="Y5718" s="50">
        <v>45107</v>
      </c>
    </row>
    <row r="5719" s="5" customFormat="1" customHeight="1" spans="1:25">
      <c r="A5719" s="24" t="s">
        <v>444</v>
      </c>
      <c r="B5719" s="24" t="s">
        <v>6300</v>
      </c>
      <c r="C5719" s="24" t="s">
        <v>120</v>
      </c>
      <c r="D5719" s="22" t="s">
        <v>6301</v>
      </c>
      <c r="E5719" s="23" t="s">
        <v>7233</v>
      </c>
      <c r="F5719" s="24" t="s">
        <v>7234</v>
      </c>
      <c r="G5719" s="24" t="s">
        <v>88</v>
      </c>
      <c r="H5719" s="25" t="s">
        <v>7235</v>
      </c>
      <c r="I5719" s="46" t="e">
        <f>VLOOKUP(H5719,'合同高级查询数据-4月返'!A:A,1,FALSE)</f>
        <v>#N/A</v>
      </c>
      <c r="J5719" s="47" t="s">
        <v>162</v>
      </c>
      <c r="K5719" s="24" t="s">
        <v>7239</v>
      </c>
      <c r="L5719" s="109" t="s">
        <v>7251</v>
      </c>
      <c r="M5719" s="49" t="s">
        <v>7240</v>
      </c>
      <c r="N5719" s="73">
        <v>44785</v>
      </c>
      <c r="O5719" s="22" t="s">
        <v>163</v>
      </c>
      <c r="P5719" s="52">
        <v>5000</v>
      </c>
      <c r="Q5719" s="70">
        <v>-7</v>
      </c>
      <c r="R5719" s="52">
        <f t="shared" si="175"/>
        <v>-35000</v>
      </c>
      <c r="S5719" s="47">
        <v>202304</v>
      </c>
      <c r="T5719" s="123" t="s">
        <v>7258</v>
      </c>
      <c r="U5719" s="48"/>
      <c r="V5719" s="48"/>
      <c r="W5719" s="48"/>
      <c r="X5719" s="50">
        <v>44927</v>
      </c>
      <c r="Y5719" s="50">
        <v>45107</v>
      </c>
    </row>
    <row r="5720" s="5" customFormat="1" customHeight="1" spans="1:25">
      <c r="A5720" s="24" t="s">
        <v>444</v>
      </c>
      <c r="B5720" s="24" t="s">
        <v>6300</v>
      </c>
      <c r="C5720" s="24" t="s">
        <v>120</v>
      </c>
      <c r="D5720" s="22" t="s">
        <v>6301</v>
      </c>
      <c r="E5720" s="23" t="s">
        <v>7233</v>
      </c>
      <c r="F5720" s="24" t="s">
        <v>7234</v>
      </c>
      <c r="G5720" s="24" t="s">
        <v>88</v>
      </c>
      <c r="H5720" s="25" t="s">
        <v>7235</v>
      </c>
      <c r="I5720" s="46" t="e">
        <f>VLOOKUP(H5720,'合同高级查询数据-4月返'!A:A,1,FALSE)</f>
        <v>#N/A</v>
      </c>
      <c r="J5720" s="47" t="s">
        <v>162</v>
      </c>
      <c r="K5720" s="24" t="s">
        <v>7249</v>
      </c>
      <c r="L5720" s="109" t="s">
        <v>7250</v>
      </c>
      <c r="M5720" s="49" t="s">
        <v>7237</v>
      </c>
      <c r="N5720" s="73">
        <v>45020</v>
      </c>
      <c r="O5720" s="22" t="s">
        <v>163</v>
      </c>
      <c r="P5720" s="52">
        <v>5000</v>
      </c>
      <c r="Q5720" s="70">
        <v>-2</v>
      </c>
      <c r="R5720" s="52">
        <f>ROUND(P5720*Q5720*26/30,2)</f>
        <v>-8666.67</v>
      </c>
      <c r="S5720" s="47">
        <v>202304</v>
      </c>
      <c r="T5720" s="496" t="s">
        <v>7259</v>
      </c>
      <c r="U5720" s="48"/>
      <c r="V5720" s="48"/>
      <c r="W5720" s="48"/>
      <c r="X5720" s="50">
        <v>44927</v>
      </c>
      <c r="Y5720" s="471">
        <v>45107</v>
      </c>
    </row>
    <row r="5721" s="5" customFormat="1" customHeight="1" spans="1:25">
      <c r="A5721" s="24" t="s">
        <v>444</v>
      </c>
      <c r="B5721" s="24" t="s">
        <v>6300</v>
      </c>
      <c r="C5721" s="24" t="s">
        <v>120</v>
      </c>
      <c r="D5721" s="22" t="s">
        <v>6301</v>
      </c>
      <c r="E5721" s="23" t="s">
        <v>7233</v>
      </c>
      <c r="F5721" s="24" t="s">
        <v>7234</v>
      </c>
      <c r="G5721" s="24" t="s">
        <v>88</v>
      </c>
      <c r="H5721" s="25" t="s">
        <v>7235</v>
      </c>
      <c r="I5721" s="46" t="e">
        <f>VLOOKUP(H5721,'合同高级查询数据-4月返'!A:A,1,FALSE)</f>
        <v>#N/A</v>
      </c>
      <c r="J5721" s="47" t="s">
        <v>162</v>
      </c>
      <c r="K5721" s="24" t="s">
        <v>7249</v>
      </c>
      <c r="L5721" s="109" t="s">
        <v>7236</v>
      </c>
      <c r="M5721" s="49" t="s">
        <v>7237</v>
      </c>
      <c r="N5721" s="73">
        <v>45020</v>
      </c>
      <c r="O5721" s="22" t="s">
        <v>163</v>
      </c>
      <c r="P5721" s="52">
        <v>5000</v>
      </c>
      <c r="Q5721" s="70">
        <v>-3</v>
      </c>
      <c r="R5721" s="52">
        <f>ROUND(P5721*Q5721*26/30,2)</f>
        <v>-13000</v>
      </c>
      <c r="S5721" s="47">
        <v>202304</v>
      </c>
      <c r="T5721" s="496" t="s">
        <v>7260</v>
      </c>
      <c r="U5721" s="48"/>
      <c r="V5721" s="48"/>
      <c r="W5721" s="48"/>
      <c r="X5721" s="50">
        <v>44927</v>
      </c>
      <c r="Y5721" s="471">
        <v>45107</v>
      </c>
    </row>
    <row r="5722" s="5" customFormat="1" customHeight="1" spans="1:25">
      <c r="A5722" s="24" t="s">
        <v>444</v>
      </c>
      <c r="B5722" s="24" t="s">
        <v>6300</v>
      </c>
      <c r="C5722" s="24" t="s">
        <v>120</v>
      </c>
      <c r="D5722" s="22" t="s">
        <v>6301</v>
      </c>
      <c r="E5722" s="23" t="s">
        <v>7233</v>
      </c>
      <c r="F5722" s="24" t="s">
        <v>7261</v>
      </c>
      <c r="G5722" s="24" t="s">
        <v>31</v>
      </c>
      <c r="H5722" s="25" t="s">
        <v>7235</v>
      </c>
      <c r="I5722" s="46" t="e">
        <f>VLOOKUP(H5722,'合同高级查询数据-4月返'!A:A,1,FALSE)</f>
        <v>#N/A</v>
      </c>
      <c r="J5722" s="47" t="s">
        <v>33</v>
      </c>
      <c r="K5722" s="24" t="s">
        <v>6322</v>
      </c>
      <c r="L5722" s="109" t="s">
        <v>7261</v>
      </c>
      <c r="M5722" s="49" t="s">
        <v>7262</v>
      </c>
      <c r="N5722" s="229">
        <v>43678</v>
      </c>
      <c r="O5722" s="24" t="s">
        <v>37</v>
      </c>
      <c r="P5722" s="52">
        <v>0</v>
      </c>
      <c r="Q5722" s="70">
        <v>288</v>
      </c>
      <c r="R5722" s="52">
        <f t="shared" ref="R5722:R5779" si="176">ROUND(P5722*Q5722,2)</f>
        <v>0</v>
      </c>
      <c r="S5722" s="47">
        <v>202304</v>
      </c>
      <c r="T5722" s="123" t="s">
        <v>7263</v>
      </c>
      <c r="U5722" s="48"/>
      <c r="V5722" s="48"/>
      <c r="W5722" s="48"/>
      <c r="X5722" s="50">
        <v>44927</v>
      </c>
      <c r="Y5722" s="50">
        <v>45107</v>
      </c>
    </row>
    <row r="5723" s="5" customFormat="1" customHeight="1" spans="1:25">
      <c r="A5723" s="24" t="s">
        <v>444</v>
      </c>
      <c r="B5723" s="24" t="s">
        <v>6300</v>
      </c>
      <c r="C5723" s="24" t="s">
        <v>120</v>
      </c>
      <c r="D5723" s="22" t="s">
        <v>6301</v>
      </c>
      <c r="E5723" s="23" t="s">
        <v>7233</v>
      </c>
      <c r="F5723" s="24" t="s">
        <v>7261</v>
      </c>
      <c r="G5723" s="24" t="s">
        <v>31</v>
      </c>
      <c r="H5723" s="25" t="s">
        <v>7235</v>
      </c>
      <c r="I5723" s="46" t="e">
        <f>VLOOKUP(H5723,'合同高级查询数据-4月返'!A:A,1,FALSE)</f>
        <v>#N/A</v>
      </c>
      <c r="J5723" s="47" t="s">
        <v>33</v>
      </c>
      <c r="K5723" s="24" t="s">
        <v>6322</v>
      </c>
      <c r="L5723" s="109" t="s">
        <v>7261</v>
      </c>
      <c r="M5723" s="49" t="s">
        <v>7262</v>
      </c>
      <c r="N5723" s="229">
        <v>44773</v>
      </c>
      <c r="O5723" s="24" t="s">
        <v>37</v>
      </c>
      <c r="P5723" s="52">
        <v>0</v>
      </c>
      <c r="Q5723" s="70">
        <v>-288</v>
      </c>
      <c r="R5723" s="52">
        <f t="shared" si="176"/>
        <v>0</v>
      </c>
      <c r="S5723" s="47">
        <v>202304</v>
      </c>
      <c r="T5723" s="123" t="s">
        <v>7264</v>
      </c>
      <c r="U5723" s="48"/>
      <c r="V5723" s="48"/>
      <c r="W5723" s="48"/>
      <c r="X5723" s="50">
        <v>44927</v>
      </c>
      <c r="Y5723" s="50">
        <v>45107</v>
      </c>
    </row>
    <row r="5724" s="5" customFormat="1" customHeight="1" spans="1:25">
      <c r="A5724" s="24" t="s">
        <v>444</v>
      </c>
      <c r="B5724" s="24" t="s">
        <v>6300</v>
      </c>
      <c r="C5724" s="24" t="s">
        <v>120</v>
      </c>
      <c r="D5724" s="22" t="s">
        <v>6301</v>
      </c>
      <c r="E5724" s="23" t="s">
        <v>7233</v>
      </c>
      <c r="F5724" s="24" t="s">
        <v>7261</v>
      </c>
      <c r="G5724" s="24" t="s">
        <v>31</v>
      </c>
      <c r="H5724" s="25" t="s">
        <v>7235</v>
      </c>
      <c r="I5724" s="46" t="e">
        <f>VLOOKUP(H5724,'合同高级查询数据-4月返'!A:A,1,FALSE)</f>
        <v>#N/A</v>
      </c>
      <c r="J5724" s="47" t="s">
        <v>33</v>
      </c>
      <c r="K5724" s="24" t="s">
        <v>6322</v>
      </c>
      <c r="L5724" s="109" t="s">
        <v>7261</v>
      </c>
      <c r="M5724" s="49" t="s">
        <v>7262</v>
      </c>
      <c r="N5724" s="229" t="s">
        <v>1329</v>
      </c>
      <c r="O5724" s="24" t="s">
        <v>179</v>
      </c>
      <c r="P5724" s="52">
        <v>0</v>
      </c>
      <c r="Q5724" s="70">
        <v>1</v>
      </c>
      <c r="R5724" s="52">
        <f t="shared" si="176"/>
        <v>0</v>
      </c>
      <c r="S5724" s="47">
        <v>202304</v>
      </c>
      <c r="T5724" s="123" t="s">
        <v>7265</v>
      </c>
      <c r="U5724" s="48"/>
      <c r="V5724" s="48"/>
      <c r="W5724" s="48"/>
      <c r="X5724" s="50">
        <v>44927</v>
      </c>
      <c r="Y5724" s="50">
        <v>45107</v>
      </c>
    </row>
    <row r="5725" s="5" customFormat="1" customHeight="1" spans="1:25">
      <c r="A5725" s="24" t="s">
        <v>444</v>
      </c>
      <c r="B5725" s="24" t="s">
        <v>6300</v>
      </c>
      <c r="C5725" s="24" t="s">
        <v>120</v>
      </c>
      <c r="D5725" s="22" t="s">
        <v>6301</v>
      </c>
      <c r="E5725" s="23" t="s">
        <v>7233</v>
      </c>
      <c r="F5725" s="24" t="s">
        <v>7261</v>
      </c>
      <c r="G5725" s="24" t="s">
        <v>31</v>
      </c>
      <c r="H5725" s="25" t="s">
        <v>7235</v>
      </c>
      <c r="I5725" s="46" t="e">
        <f>VLOOKUP(H5725,'合同高级查询数据-4月返'!A:A,1,FALSE)</f>
        <v>#N/A</v>
      </c>
      <c r="J5725" s="47" t="s">
        <v>33</v>
      </c>
      <c r="K5725" s="24" t="s">
        <v>6322</v>
      </c>
      <c r="L5725" s="109" t="s">
        <v>7261</v>
      </c>
      <c r="M5725" s="49" t="s">
        <v>7262</v>
      </c>
      <c r="N5725" s="229">
        <v>44773</v>
      </c>
      <c r="O5725" s="24" t="s">
        <v>179</v>
      </c>
      <c r="P5725" s="52">
        <v>0</v>
      </c>
      <c r="Q5725" s="70">
        <v>-1</v>
      </c>
      <c r="R5725" s="52">
        <f t="shared" si="176"/>
        <v>0</v>
      </c>
      <c r="S5725" s="47">
        <v>202304</v>
      </c>
      <c r="T5725" s="123" t="s">
        <v>7266</v>
      </c>
      <c r="U5725" s="48"/>
      <c r="V5725" s="48"/>
      <c r="W5725" s="48"/>
      <c r="X5725" s="50">
        <v>44927</v>
      </c>
      <c r="Y5725" s="50">
        <v>45107</v>
      </c>
    </row>
    <row r="5726" s="5" customFormat="1" customHeight="1" spans="1:25">
      <c r="A5726" s="24" t="s">
        <v>444</v>
      </c>
      <c r="B5726" s="24" t="s">
        <v>6300</v>
      </c>
      <c r="C5726" s="24" t="s">
        <v>120</v>
      </c>
      <c r="D5726" s="22" t="s">
        <v>6301</v>
      </c>
      <c r="E5726" s="23" t="s">
        <v>7233</v>
      </c>
      <c r="F5726" s="24" t="s">
        <v>7261</v>
      </c>
      <c r="G5726" s="24" t="s">
        <v>88</v>
      </c>
      <c r="H5726" s="25" t="s">
        <v>7235</v>
      </c>
      <c r="I5726" s="46" t="e">
        <f>VLOOKUP(H5726,'合同高级查询数据-4月返'!A:A,1,FALSE)</f>
        <v>#N/A</v>
      </c>
      <c r="J5726" s="47" t="s">
        <v>162</v>
      </c>
      <c r="K5726" s="24" t="s">
        <v>6322</v>
      </c>
      <c r="L5726" s="109" t="s">
        <v>7261</v>
      </c>
      <c r="M5726" s="49" t="s">
        <v>7262</v>
      </c>
      <c r="N5726" s="229">
        <v>43678</v>
      </c>
      <c r="O5726" s="24" t="s">
        <v>92</v>
      </c>
      <c r="P5726" s="52">
        <v>3500</v>
      </c>
      <c r="Q5726" s="70">
        <v>6</v>
      </c>
      <c r="R5726" s="52">
        <f t="shared" si="176"/>
        <v>21000</v>
      </c>
      <c r="S5726" s="47">
        <v>202304</v>
      </c>
      <c r="T5726" s="123" t="s">
        <v>7267</v>
      </c>
      <c r="U5726" s="48"/>
      <c r="V5726" s="48"/>
      <c r="W5726" s="48"/>
      <c r="X5726" s="50">
        <v>44927</v>
      </c>
      <c r="Y5726" s="50">
        <v>45107</v>
      </c>
    </row>
    <row r="5727" s="5" customFormat="1" customHeight="1" spans="1:25">
      <c r="A5727" s="24" t="s">
        <v>444</v>
      </c>
      <c r="B5727" s="24" t="s">
        <v>6300</v>
      </c>
      <c r="C5727" s="24" t="s">
        <v>120</v>
      </c>
      <c r="D5727" s="22" t="s">
        <v>6301</v>
      </c>
      <c r="E5727" s="23" t="s">
        <v>7233</v>
      </c>
      <c r="F5727" s="24" t="s">
        <v>7261</v>
      </c>
      <c r="G5727" s="24" t="s">
        <v>88</v>
      </c>
      <c r="H5727" s="25" t="s">
        <v>7235</v>
      </c>
      <c r="I5727" s="46" t="e">
        <f>VLOOKUP(H5727,'合同高级查询数据-4月返'!A:A,1,FALSE)</f>
        <v>#N/A</v>
      </c>
      <c r="J5727" s="47" t="s">
        <v>162</v>
      </c>
      <c r="K5727" s="24" t="s">
        <v>6322</v>
      </c>
      <c r="L5727" s="109" t="s">
        <v>7261</v>
      </c>
      <c r="M5727" s="49" t="s">
        <v>7262</v>
      </c>
      <c r="N5727" s="229">
        <v>44773</v>
      </c>
      <c r="O5727" s="24" t="s">
        <v>92</v>
      </c>
      <c r="P5727" s="52">
        <v>3500</v>
      </c>
      <c r="Q5727" s="70">
        <v>-6</v>
      </c>
      <c r="R5727" s="52">
        <f t="shared" si="176"/>
        <v>-21000</v>
      </c>
      <c r="S5727" s="47">
        <v>202304</v>
      </c>
      <c r="T5727" s="123" t="s">
        <v>7268</v>
      </c>
      <c r="U5727" s="48"/>
      <c r="V5727" s="48"/>
      <c r="W5727" s="48"/>
      <c r="X5727" s="50">
        <v>44927</v>
      </c>
      <c r="Y5727" s="50">
        <v>45107</v>
      </c>
    </row>
    <row r="5728" s="5" customFormat="1" customHeight="1" spans="1:25">
      <c r="A5728" s="24" t="s">
        <v>444</v>
      </c>
      <c r="B5728" s="24" t="s">
        <v>6300</v>
      </c>
      <c r="C5728" s="24" t="s">
        <v>120</v>
      </c>
      <c r="D5728" s="22" t="s">
        <v>6301</v>
      </c>
      <c r="E5728" s="23" t="s">
        <v>7233</v>
      </c>
      <c r="F5728" s="24" t="s">
        <v>7234</v>
      </c>
      <c r="G5728" s="24" t="s">
        <v>31</v>
      </c>
      <c r="H5728" s="25" t="s">
        <v>7235</v>
      </c>
      <c r="I5728" s="46" t="e">
        <f>VLOOKUP(H5728,'合同高级查询数据-4月返'!A:A,1,FALSE)</f>
        <v>#N/A</v>
      </c>
      <c r="J5728" s="47" t="s">
        <v>33</v>
      </c>
      <c r="K5728" s="24" t="s">
        <v>121</v>
      </c>
      <c r="L5728" s="109" t="s">
        <v>7269</v>
      </c>
      <c r="M5728" s="49" t="s">
        <v>6337</v>
      </c>
      <c r="N5728" s="229">
        <v>44805</v>
      </c>
      <c r="O5728" s="24" t="s">
        <v>37</v>
      </c>
      <c r="P5728" s="52">
        <v>0</v>
      </c>
      <c r="Q5728" s="70">
        <v>288</v>
      </c>
      <c r="R5728" s="52">
        <f t="shared" si="176"/>
        <v>0</v>
      </c>
      <c r="S5728" s="47">
        <v>202304</v>
      </c>
      <c r="T5728" s="123" t="s">
        <v>7270</v>
      </c>
      <c r="U5728" s="48"/>
      <c r="V5728" s="48"/>
      <c r="W5728" s="48"/>
      <c r="X5728" s="50">
        <v>44927</v>
      </c>
      <c r="Y5728" s="50">
        <v>45107</v>
      </c>
    </row>
    <row r="5729" s="5" customFormat="1" customHeight="1" spans="1:25">
      <c r="A5729" s="24" t="s">
        <v>444</v>
      </c>
      <c r="B5729" s="24" t="s">
        <v>6300</v>
      </c>
      <c r="C5729" s="24" t="s">
        <v>120</v>
      </c>
      <c r="D5729" s="22" t="s">
        <v>6301</v>
      </c>
      <c r="E5729" s="23" t="s">
        <v>7233</v>
      </c>
      <c r="F5729" s="24" t="s">
        <v>7234</v>
      </c>
      <c r="G5729" s="24" t="s">
        <v>88</v>
      </c>
      <c r="H5729" s="25" t="s">
        <v>7235</v>
      </c>
      <c r="I5729" s="46" t="e">
        <f>VLOOKUP(H5729,'合同高级查询数据-4月返'!A:A,1,FALSE)</f>
        <v>#N/A</v>
      </c>
      <c r="J5729" s="47" t="s">
        <v>162</v>
      </c>
      <c r="K5729" s="24" t="s">
        <v>121</v>
      </c>
      <c r="L5729" s="109" t="s">
        <v>7269</v>
      </c>
      <c r="M5729" s="49" t="s">
        <v>6337</v>
      </c>
      <c r="N5729" s="229">
        <v>44805</v>
      </c>
      <c r="O5729" s="24" t="s">
        <v>163</v>
      </c>
      <c r="P5729" s="52">
        <v>5000</v>
      </c>
      <c r="Q5729" s="70">
        <v>2</v>
      </c>
      <c r="R5729" s="52">
        <f t="shared" si="176"/>
        <v>10000</v>
      </c>
      <c r="S5729" s="47">
        <v>202304</v>
      </c>
      <c r="T5729" s="123" t="s">
        <v>7271</v>
      </c>
      <c r="U5729" s="48"/>
      <c r="V5729" s="48"/>
      <c r="W5729" s="48"/>
      <c r="X5729" s="50">
        <v>44927</v>
      </c>
      <c r="Y5729" s="50">
        <v>45107</v>
      </c>
    </row>
    <row r="5730" s="5" customFormat="1" customHeight="1" spans="1:25">
      <c r="A5730" s="24" t="s">
        <v>444</v>
      </c>
      <c r="B5730" s="24" t="s">
        <v>6300</v>
      </c>
      <c r="C5730" s="24" t="s">
        <v>120</v>
      </c>
      <c r="D5730" s="22" t="s">
        <v>6301</v>
      </c>
      <c r="E5730" s="23" t="s">
        <v>7233</v>
      </c>
      <c r="F5730" s="24" t="s">
        <v>7234</v>
      </c>
      <c r="G5730" s="24" t="s">
        <v>88</v>
      </c>
      <c r="H5730" s="25" t="s">
        <v>7235</v>
      </c>
      <c r="I5730" s="46" t="e">
        <f>VLOOKUP(H5730,'合同高级查询数据-4月返'!A:A,1,FALSE)</f>
        <v>#N/A</v>
      </c>
      <c r="J5730" s="47" t="s">
        <v>162</v>
      </c>
      <c r="K5730" s="24" t="s">
        <v>121</v>
      </c>
      <c r="L5730" s="109" t="s">
        <v>7269</v>
      </c>
      <c r="M5730" s="49" t="s">
        <v>6337</v>
      </c>
      <c r="N5730" s="229">
        <v>44835</v>
      </c>
      <c r="O5730" s="24" t="s">
        <v>163</v>
      </c>
      <c r="P5730" s="52">
        <v>5000</v>
      </c>
      <c r="Q5730" s="70">
        <v>2</v>
      </c>
      <c r="R5730" s="52">
        <f t="shared" si="176"/>
        <v>10000</v>
      </c>
      <c r="S5730" s="47">
        <v>202304</v>
      </c>
      <c r="T5730" s="123" t="s">
        <v>7272</v>
      </c>
      <c r="U5730" s="48"/>
      <c r="V5730" s="48"/>
      <c r="W5730" s="48"/>
      <c r="X5730" s="50">
        <v>44927</v>
      </c>
      <c r="Y5730" s="50">
        <v>45107</v>
      </c>
    </row>
    <row r="5731" s="5" customFormat="1" customHeight="1" spans="1:25">
      <c r="A5731" s="24" t="s">
        <v>444</v>
      </c>
      <c r="B5731" s="24" t="s">
        <v>6300</v>
      </c>
      <c r="C5731" s="24" t="s">
        <v>136</v>
      </c>
      <c r="D5731" s="22" t="s">
        <v>6301</v>
      </c>
      <c r="E5731" s="23" t="s">
        <v>7273</v>
      </c>
      <c r="F5731" s="24" t="s">
        <v>7274</v>
      </c>
      <c r="G5731" s="24" t="s">
        <v>31</v>
      </c>
      <c r="H5731" s="25" t="s">
        <v>7275</v>
      </c>
      <c r="I5731" s="46" t="str">
        <f>VLOOKUP(H5731,'合同高级查询数据-4月返'!A:A,1,FALSE)</f>
        <v>182315IDC00084</v>
      </c>
      <c r="J5731" s="47" t="s">
        <v>33</v>
      </c>
      <c r="K5731" s="24" t="s">
        <v>136</v>
      </c>
      <c r="L5731" s="109" t="s">
        <v>7274</v>
      </c>
      <c r="M5731" s="49" t="s">
        <v>7276</v>
      </c>
      <c r="N5731" s="73" t="s">
        <v>1329</v>
      </c>
      <c r="O5731" s="24" t="s">
        <v>37</v>
      </c>
      <c r="P5731" s="52">
        <v>0</v>
      </c>
      <c r="Q5731" s="70">
        <v>544</v>
      </c>
      <c r="R5731" s="52">
        <f t="shared" si="176"/>
        <v>0</v>
      </c>
      <c r="S5731" s="47">
        <v>202304</v>
      </c>
      <c r="T5731" s="123" t="s">
        <v>7277</v>
      </c>
      <c r="U5731" s="48"/>
      <c r="V5731" s="48"/>
      <c r="W5731" s="48"/>
      <c r="X5731" s="50">
        <v>44927</v>
      </c>
      <c r="Y5731" s="50">
        <v>45107</v>
      </c>
    </row>
    <row r="5732" s="5" customFormat="1" customHeight="1" spans="1:25">
      <c r="A5732" s="24" t="s">
        <v>444</v>
      </c>
      <c r="B5732" s="24" t="s">
        <v>6300</v>
      </c>
      <c r="C5732" s="24" t="s">
        <v>136</v>
      </c>
      <c r="D5732" s="22" t="s">
        <v>6301</v>
      </c>
      <c r="E5732" s="23" t="s">
        <v>7273</v>
      </c>
      <c r="F5732" s="24" t="s">
        <v>7274</v>
      </c>
      <c r="G5732" s="24" t="s">
        <v>31</v>
      </c>
      <c r="H5732" s="25" t="s">
        <v>7275</v>
      </c>
      <c r="I5732" s="46" t="str">
        <f>VLOOKUP(H5732,'合同高级查询数据-4月返'!A:A,1,FALSE)</f>
        <v>182315IDC00084</v>
      </c>
      <c r="J5732" s="47" t="s">
        <v>33</v>
      </c>
      <c r="K5732" s="24" t="s">
        <v>136</v>
      </c>
      <c r="L5732" s="109" t="s">
        <v>7278</v>
      </c>
      <c r="M5732" s="49" t="s">
        <v>7276</v>
      </c>
      <c r="N5732" s="73" t="s">
        <v>1329</v>
      </c>
      <c r="O5732" s="24" t="s">
        <v>37</v>
      </c>
      <c r="P5732" s="52">
        <v>0</v>
      </c>
      <c r="Q5732" s="70">
        <v>288</v>
      </c>
      <c r="R5732" s="52">
        <f t="shared" si="176"/>
        <v>0</v>
      </c>
      <c r="S5732" s="47">
        <v>202304</v>
      </c>
      <c r="T5732" s="123" t="s">
        <v>7279</v>
      </c>
      <c r="U5732" s="48"/>
      <c r="V5732" s="48"/>
      <c r="W5732" s="48"/>
      <c r="X5732" s="50">
        <v>44927</v>
      </c>
      <c r="Y5732" s="50">
        <v>45107</v>
      </c>
    </row>
    <row r="5733" s="5" customFormat="1" customHeight="1" spans="1:25">
      <c r="A5733" s="24" t="s">
        <v>444</v>
      </c>
      <c r="B5733" s="24" t="s">
        <v>6300</v>
      </c>
      <c r="C5733" s="24" t="s">
        <v>136</v>
      </c>
      <c r="D5733" s="22" t="s">
        <v>6301</v>
      </c>
      <c r="E5733" s="23" t="s">
        <v>7273</v>
      </c>
      <c r="F5733" s="24" t="s">
        <v>7274</v>
      </c>
      <c r="G5733" s="24" t="s">
        <v>31</v>
      </c>
      <c r="H5733" s="25" t="s">
        <v>7275</v>
      </c>
      <c r="I5733" s="46" t="str">
        <f>VLOOKUP(H5733,'合同高级查询数据-4月返'!A:A,1,FALSE)</f>
        <v>182315IDC00084</v>
      </c>
      <c r="J5733" s="47" t="s">
        <v>33</v>
      </c>
      <c r="K5733" s="24" t="s">
        <v>136</v>
      </c>
      <c r="L5733" s="109" t="s">
        <v>7280</v>
      </c>
      <c r="M5733" s="49" t="s">
        <v>7281</v>
      </c>
      <c r="N5733" s="73" t="s">
        <v>1329</v>
      </c>
      <c r="O5733" s="24" t="s">
        <v>37</v>
      </c>
      <c r="P5733" s="52">
        <v>0</v>
      </c>
      <c r="Q5733" s="70">
        <v>288</v>
      </c>
      <c r="R5733" s="52">
        <f t="shared" si="176"/>
        <v>0</v>
      </c>
      <c r="S5733" s="47">
        <v>202304</v>
      </c>
      <c r="T5733" s="123" t="s">
        <v>7279</v>
      </c>
      <c r="U5733" s="48"/>
      <c r="V5733" s="48"/>
      <c r="W5733" s="48"/>
      <c r="X5733" s="50">
        <v>44927</v>
      </c>
      <c r="Y5733" s="50">
        <v>45107</v>
      </c>
    </row>
    <row r="5734" s="5" customFormat="1" customHeight="1" spans="1:25">
      <c r="A5734" s="497" t="s">
        <v>444</v>
      </c>
      <c r="B5734" s="497" t="s">
        <v>6300</v>
      </c>
      <c r="C5734" s="497" t="s">
        <v>136</v>
      </c>
      <c r="D5734" s="22" t="s">
        <v>6301</v>
      </c>
      <c r="E5734" s="498" t="s">
        <v>7273</v>
      </c>
      <c r="F5734" s="497" t="s">
        <v>7274</v>
      </c>
      <c r="G5734" s="497" t="s">
        <v>31</v>
      </c>
      <c r="H5734" s="25" t="s">
        <v>7275</v>
      </c>
      <c r="I5734" s="46" t="str">
        <f>VLOOKUP(H5734,'合同高级查询数据-4月返'!A:A,1,FALSE)</f>
        <v>182315IDC00084</v>
      </c>
      <c r="J5734" s="47" t="s">
        <v>33</v>
      </c>
      <c r="K5734" s="497" t="s">
        <v>136</v>
      </c>
      <c r="L5734" s="499" t="s">
        <v>7274</v>
      </c>
      <c r="M5734" s="49" t="s">
        <v>7276</v>
      </c>
      <c r="N5734" s="73">
        <v>44271</v>
      </c>
      <c r="O5734" s="107" t="s">
        <v>37</v>
      </c>
      <c r="P5734" s="52">
        <v>0</v>
      </c>
      <c r="Q5734" s="52">
        <v>32</v>
      </c>
      <c r="R5734" s="52">
        <f t="shared" si="176"/>
        <v>0</v>
      </c>
      <c r="S5734" s="47">
        <v>202304</v>
      </c>
      <c r="T5734" s="123" t="s">
        <v>7282</v>
      </c>
      <c r="U5734" s="48"/>
      <c r="V5734" s="48"/>
      <c r="W5734" s="48"/>
      <c r="X5734" s="50">
        <v>44927</v>
      </c>
      <c r="Y5734" s="50">
        <v>45107</v>
      </c>
    </row>
    <row r="5735" s="5" customFormat="1" customHeight="1" spans="1:25">
      <c r="A5735" s="497" t="s">
        <v>444</v>
      </c>
      <c r="B5735" s="497" t="s">
        <v>6300</v>
      </c>
      <c r="C5735" s="497" t="s">
        <v>136</v>
      </c>
      <c r="D5735" s="22" t="s">
        <v>6301</v>
      </c>
      <c r="E5735" s="498" t="s">
        <v>7273</v>
      </c>
      <c r="F5735" s="497" t="s">
        <v>7274</v>
      </c>
      <c r="G5735" s="497" t="s">
        <v>31</v>
      </c>
      <c r="H5735" s="25" t="s">
        <v>7275</v>
      </c>
      <c r="I5735" s="46" t="str">
        <f>VLOOKUP(H5735,'合同高级查询数据-4月返'!A:A,1,FALSE)</f>
        <v>182315IDC00084</v>
      </c>
      <c r="J5735" s="47" t="s">
        <v>33</v>
      </c>
      <c r="K5735" s="497" t="s">
        <v>136</v>
      </c>
      <c r="L5735" s="499" t="s">
        <v>7283</v>
      </c>
      <c r="M5735" s="49" t="s">
        <v>7276</v>
      </c>
      <c r="N5735" s="73">
        <v>44013</v>
      </c>
      <c r="O5735" s="107" t="s">
        <v>37</v>
      </c>
      <c r="P5735" s="52">
        <v>0</v>
      </c>
      <c r="Q5735" s="70">
        <v>288</v>
      </c>
      <c r="R5735" s="52">
        <f t="shared" si="176"/>
        <v>0</v>
      </c>
      <c r="S5735" s="47">
        <v>202304</v>
      </c>
      <c r="T5735" s="123" t="s">
        <v>7284</v>
      </c>
      <c r="U5735" s="48"/>
      <c r="V5735" s="48"/>
      <c r="W5735" s="48"/>
      <c r="X5735" s="50">
        <v>44927</v>
      </c>
      <c r="Y5735" s="50">
        <v>45107</v>
      </c>
    </row>
    <row r="5736" s="5" customFormat="1" customHeight="1" spans="1:25">
      <c r="A5736" s="497" t="s">
        <v>444</v>
      </c>
      <c r="B5736" s="497" t="s">
        <v>6300</v>
      </c>
      <c r="C5736" s="497" t="s">
        <v>136</v>
      </c>
      <c r="D5736" s="22" t="s">
        <v>6301</v>
      </c>
      <c r="E5736" s="498" t="s">
        <v>7273</v>
      </c>
      <c r="F5736" s="497" t="s">
        <v>7274</v>
      </c>
      <c r="G5736" s="497" t="s">
        <v>31</v>
      </c>
      <c r="H5736" s="25" t="s">
        <v>7275</v>
      </c>
      <c r="I5736" s="46" t="str">
        <f>VLOOKUP(H5736,'合同高级查询数据-4月返'!A:A,1,FALSE)</f>
        <v>182315IDC00084</v>
      </c>
      <c r="J5736" s="47" t="s">
        <v>1273</v>
      </c>
      <c r="K5736" s="497" t="s">
        <v>136</v>
      </c>
      <c r="L5736" s="499" t="s">
        <v>7285</v>
      </c>
      <c r="M5736" s="49" t="s">
        <v>7286</v>
      </c>
      <c r="N5736" s="73">
        <v>44044</v>
      </c>
      <c r="O5736" s="107" t="s">
        <v>37</v>
      </c>
      <c r="P5736" s="52">
        <v>0</v>
      </c>
      <c r="Q5736" s="70">
        <v>576</v>
      </c>
      <c r="R5736" s="52">
        <f t="shared" si="176"/>
        <v>0</v>
      </c>
      <c r="S5736" s="47">
        <v>202304</v>
      </c>
      <c r="T5736" s="123" t="s">
        <v>7287</v>
      </c>
      <c r="U5736" s="48"/>
      <c r="V5736" s="48"/>
      <c r="W5736" s="48"/>
      <c r="X5736" s="50">
        <v>44927</v>
      </c>
      <c r="Y5736" s="50">
        <v>45107</v>
      </c>
    </row>
    <row r="5737" s="5" customFormat="1" customHeight="1" spans="1:25">
      <c r="A5737" s="497" t="s">
        <v>444</v>
      </c>
      <c r="B5737" s="497" t="s">
        <v>6300</v>
      </c>
      <c r="C5737" s="497" t="s">
        <v>136</v>
      </c>
      <c r="D5737" s="22" t="s">
        <v>6301</v>
      </c>
      <c r="E5737" s="498" t="s">
        <v>7273</v>
      </c>
      <c r="F5737" s="497" t="s">
        <v>7274</v>
      </c>
      <c r="G5737" s="497" t="s">
        <v>31</v>
      </c>
      <c r="H5737" s="25" t="s">
        <v>7275</v>
      </c>
      <c r="I5737" s="46" t="str">
        <f>VLOOKUP(H5737,'合同高级查询数据-4月返'!A:A,1,FALSE)</f>
        <v>182315IDC00084</v>
      </c>
      <c r="J5737" s="47" t="s">
        <v>33</v>
      </c>
      <c r="K5737" s="497" t="s">
        <v>136</v>
      </c>
      <c r="L5737" s="499" t="s">
        <v>7283</v>
      </c>
      <c r="M5737" s="49" t="s">
        <v>7276</v>
      </c>
      <c r="N5737" s="73">
        <v>44333</v>
      </c>
      <c r="O5737" s="239" t="s">
        <v>37</v>
      </c>
      <c r="P5737" s="52">
        <v>0</v>
      </c>
      <c r="Q5737" s="52">
        <v>128</v>
      </c>
      <c r="R5737" s="52">
        <f t="shared" si="176"/>
        <v>0</v>
      </c>
      <c r="S5737" s="47">
        <v>202304</v>
      </c>
      <c r="T5737" s="123" t="s">
        <v>7288</v>
      </c>
      <c r="U5737" s="48"/>
      <c r="V5737" s="48"/>
      <c r="W5737" s="48"/>
      <c r="X5737" s="50">
        <v>44927</v>
      </c>
      <c r="Y5737" s="50">
        <v>45107</v>
      </c>
    </row>
    <row r="5738" s="5" customFormat="1" customHeight="1" spans="1:25">
      <c r="A5738" s="497" t="s">
        <v>444</v>
      </c>
      <c r="B5738" s="497" t="s">
        <v>6300</v>
      </c>
      <c r="C5738" s="497" t="s">
        <v>136</v>
      </c>
      <c r="D5738" s="22" t="s">
        <v>6301</v>
      </c>
      <c r="E5738" s="498" t="s">
        <v>7273</v>
      </c>
      <c r="F5738" s="497" t="s">
        <v>7274</v>
      </c>
      <c r="G5738" s="497" t="s">
        <v>31</v>
      </c>
      <c r="H5738" s="25" t="s">
        <v>7275</v>
      </c>
      <c r="I5738" s="46" t="str">
        <f>VLOOKUP(H5738,'合同高级查询数据-4月返'!A:A,1,FALSE)</f>
        <v>182315IDC00084</v>
      </c>
      <c r="J5738" s="47" t="s">
        <v>33</v>
      </c>
      <c r="K5738" s="497" t="s">
        <v>136</v>
      </c>
      <c r="L5738" s="499" t="s">
        <v>7283</v>
      </c>
      <c r="M5738" s="49" t="s">
        <v>7276</v>
      </c>
      <c r="N5738" s="73">
        <v>44414</v>
      </c>
      <c r="O5738" s="239" t="s">
        <v>37</v>
      </c>
      <c r="P5738" s="52">
        <v>0</v>
      </c>
      <c r="Q5738" s="52">
        <v>128</v>
      </c>
      <c r="R5738" s="52">
        <f t="shared" si="176"/>
        <v>0</v>
      </c>
      <c r="S5738" s="47">
        <v>202304</v>
      </c>
      <c r="T5738" s="123" t="s">
        <v>7289</v>
      </c>
      <c r="U5738" s="48"/>
      <c r="V5738" s="48"/>
      <c r="W5738" s="48"/>
      <c r="X5738" s="50">
        <v>44927</v>
      </c>
      <c r="Y5738" s="50">
        <v>45107</v>
      </c>
    </row>
    <row r="5739" s="5" customFormat="1" customHeight="1" spans="1:25">
      <c r="A5739" s="497" t="s">
        <v>444</v>
      </c>
      <c r="B5739" s="497" t="s">
        <v>6300</v>
      </c>
      <c r="C5739" s="497" t="s">
        <v>136</v>
      </c>
      <c r="D5739" s="22" t="s">
        <v>6301</v>
      </c>
      <c r="E5739" s="498" t="s">
        <v>7273</v>
      </c>
      <c r="F5739" s="497" t="s">
        <v>7274</v>
      </c>
      <c r="G5739" s="497" t="s">
        <v>31</v>
      </c>
      <c r="H5739" s="25" t="s">
        <v>7275</v>
      </c>
      <c r="I5739" s="46" t="str">
        <f>VLOOKUP(H5739,'合同高级查询数据-4月返'!A:A,1,FALSE)</f>
        <v>182315IDC00084</v>
      </c>
      <c r="J5739" s="47" t="s">
        <v>33</v>
      </c>
      <c r="K5739" s="497" t="s">
        <v>136</v>
      </c>
      <c r="L5739" s="499" t="s">
        <v>7274</v>
      </c>
      <c r="M5739" s="49" t="s">
        <v>7276</v>
      </c>
      <c r="N5739" s="73">
        <v>44773</v>
      </c>
      <c r="O5739" s="239" t="s">
        <v>37</v>
      </c>
      <c r="P5739" s="52">
        <v>0</v>
      </c>
      <c r="Q5739" s="52">
        <v>-544</v>
      </c>
      <c r="R5739" s="52">
        <f t="shared" si="176"/>
        <v>0</v>
      </c>
      <c r="S5739" s="47">
        <v>202304</v>
      </c>
      <c r="T5739" s="123" t="s">
        <v>7290</v>
      </c>
      <c r="U5739" s="48"/>
      <c r="V5739" s="48"/>
      <c r="W5739" s="48"/>
      <c r="X5739" s="50">
        <v>44927</v>
      </c>
      <c r="Y5739" s="50">
        <v>45107</v>
      </c>
    </row>
    <row r="5740" s="5" customFormat="1" customHeight="1" spans="1:25">
      <c r="A5740" s="497" t="s">
        <v>444</v>
      </c>
      <c r="B5740" s="497" t="s">
        <v>6300</v>
      </c>
      <c r="C5740" s="497" t="s">
        <v>136</v>
      </c>
      <c r="D5740" s="22" t="s">
        <v>6301</v>
      </c>
      <c r="E5740" s="498" t="s">
        <v>7273</v>
      </c>
      <c r="F5740" s="497" t="s">
        <v>7274</v>
      </c>
      <c r="G5740" s="497" t="s">
        <v>31</v>
      </c>
      <c r="H5740" s="25" t="s">
        <v>7275</v>
      </c>
      <c r="I5740" s="46" t="str">
        <f>VLOOKUP(H5740,'合同高级查询数据-4月返'!A:A,1,FALSE)</f>
        <v>182315IDC00084</v>
      </c>
      <c r="J5740" s="47" t="s">
        <v>33</v>
      </c>
      <c r="K5740" s="497" t="s">
        <v>136</v>
      </c>
      <c r="L5740" s="499" t="s">
        <v>7274</v>
      </c>
      <c r="M5740" s="49" t="s">
        <v>7276</v>
      </c>
      <c r="N5740" s="73">
        <v>44773</v>
      </c>
      <c r="O5740" s="239" t="s">
        <v>37</v>
      </c>
      <c r="P5740" s="52">
        <v>0</v>
      </c>
      <c r="Q5740" s="52">
        <v>-32</v>
      </c>
      <c r="R5740" s="52">
        <f t="shared" si="176"/>
        <v>0</v>
      </c>
      <c r="S5740" s="47">
        <v>202304</v>
      </c>
      <c r="T5740" s="123" t="s">
        <v>7291</v>
      </c>
      <c r="U5740" s="48"/>
      <c r="V5740" s="48"/>
      <c r="W5740" s="48"/>
      <c r="X5740" s="50">
        <v>44927</v>
      </c>
      <c r="Y5740" s="50">
        <v>45107</v>
      </c>
    </row>
    <row r="5741" s="5" customFormat="1" customHeight="1" spans="1:25">
      <c r="A5741" s="497" t="s">
        <v>444</v>
      </c>
      <c r="B5741" s="497" t="s">
        <v>6300</v>
      </c>
      <c r="C5741" s="497" t="s">
        <v>136</v>
      </c>
      <c r="D5741" s="22" t="s">
        <v>6301</v>
      </c>
      <c r="E5741" s="498" t="s">
        <v>7273</v>
      </c>
      <c r="F5741" s="497" t="s">
        <v>7274</v>
      </c>
      <c r="G5741" s="497" t="s">
        <v>31</v>
      </c>
      <c r="H5741" s="25" t="s">
        <v>7275</v>
      </c>
      <c r="I5741" s="46" t="str">
        <f>VLOOKUP(H5741,'合同高级查询数据-4月返'!A:A,1,FALSE)</f>
        <v>182315IDC00084</v>
      </c>
      <c r="J5741" s="47" t="s">
        <v>33</v>
      </c>
      <c r="K5741" s="497" t="s">
        <v>136</v>
      </c>
      <c r="L5741" s="499" t="s">
        <v>7283</v>
      </c>
      <c r="M5741" s="49" t="s">
        <v>7276</v>
      </c>
      <c r="N5741" s="73">
        <v>44810</v>
      </c>
      <c r="O5741" s="239" t="s">
        <v>37</v>
      </c>
      <c r="P5741" s="52">
        <v>0</v>
      </c>
      <c r="Q5741" s="52">
        <v>32</v>
      </c>
      <c r="R5741" s="52">
        <f t="shared" si="176"/>
        <v>0</v>
      </c>
      <c r="S5741" s="47">
        <v>202304</v>
      </c>
      <c r="T5741" s="123" t="s">
        <v>7292</v>
      </c>
      <c r="U5741" s="48"/>
      <c r="V5741" s="48"/>
      <c r="W5741" s="48"/>
      <c r="X5741" s="50">
        <v>44927</v>
      </c>
      <c r="Y5741" s="50">
        <v>45107</v>
      </c>
    </row>
    <row r="5742" s="5" customFormat="1" customHeight="1" spans="1:25">
      <c r="A5742" s="497" t="s">
        <v>444</v>
      </c>
      <c r="B5742" s="497" t="s">
        <v>6300</v>
      </c>
      <c r="C5742" s="497" t="s">
        <v>136</v>
      </c>
      <c r="D5742" s="22" t="s">
        <v>6301</v>
      </c>
      <c r="E5742" s="498" t="s">
        <v>7273</v>
      </c>
      <c r="F5742" s="497" t="s">
        <v>7274</v>
      </c>
      <c r="G5742" s="497" t="s">
        <v>31</v>
      </c>
      <c r="H5742" s="25" t="s">
        <v>7275</v>
      </c>
      <c r="I5742" s="46" t="str">
        <f>VLOOKUP(H5742,'合同高级查询数据-4月返'!A:A,1,FALSE)</f>
        <v>182315IDC00084</v>
      </c>
      <c r="J5742" s="47" t="s">
        <v>33</v>
      </c>
      <c r="K5742" s="497" t="s">
        <v>136</v>
      </c>
      <c r="L5742" s="499" t="s">
        <v>7274</v>
      </c>
      <c r="M5742" s="49" t="s">
        <v>7276</v>
      </c>
      <c r="N5742" s="73"/>
      <c r="O5742" s="24" t="s">
        <v>179</v>
      </c>
      <c r="P5742" s="52">
        <v>0</v>
      </c>
      <c r="Q5742" s="52">
        <v>1</v>
      </c>
      <c r="R5742" s="52">
        <f t="shared" si="176"/>
        <v>0</v>
      </c>
      <c r="S5742" s="47">
        <v>202304</v>
      </c>
      <c r="T5742" s="123" t="s">
        <v>6520</v>
      </c>
      <c r="U5742" s="48"/>
      <c r="V5742" s="48"/>
      <c r="W5742" s="48"/>
      <c r="X5742" s="50">
        <v>44927</v>
      </c>
      <c r="Y5742" s="50">
        <v>45107</v>
      </c>
    </row>
    <row r="5743" s="5" customFormat="1" customHeight="1" spans="1:25">
      <c r="A5743" s="497" t="s">
        <v>444</v>
      </c>
      <c r="B5743" s="497" t="s">
        <v>6300</v>
      </c>
      <c r="C5743" s="497" t="s">
        <v>136</v>
      </c>
      <c r="D5743" s="22" t="s">
        <v>6301</v>
      </c>
      <c r="E5743" s="498" t="s">
        <v>7273</v>
      </c>
      <c r="F5743" s="497" t="s">
        <v>7274</v>
      </c>
      <c r="G5743" s="497" t="s">
        <v>31</v>
      </c>
      <c r="H5743" s="25" t="s">
        <v>7275</v>
      </c>
      <c r="I5743" s="46" t="str">
        <f>VLOOKUP(H5743,'合同高级查询数据-4月返'!A:A,1,FALSE)</f>
        <v>182315IDC00084</v>
      </c>
      <c r="J5743" s="47" t="s">
        <v>33</v>
      </c>
      <c r="K5743" s="497" t="s">
        <v>136</v>
      </c>
      <c r="L5743" s="109" t="s">
        <v>7278</v>
      </c>
      <c r="M5743" s="49" t="s">
        <v>7276</v>
      </c>
      <c r="N5743" s="73"/>
      <c r="O5743" s="24" t="s">
        <v>179</v>
      </c>
      <c r="P5743" s="52">
        <v>0</v>
      </c>
      <c r="Q5743" s="52">
        <v>1</v>
      </c>
      <c r="R5743" s="52">
        <f t="shared" si="176"/>
        <v>0</v>
      </c>
      <c r="S5743" s="47">
        <v>202304</v>
      </c>
      <c r="T5743" s="123" t="s">
        <v>6520</v>
      </c>
      <c r="U5743" s="48"/>
      <c r="V5743" s="48"/>
      <c r="W5743" s="48"/>
      <c r="X5743" s="50">
        <v>44927</v>
      </c>
      <c r="Y5743" s="50">
        <v>45107</v>
      </c>
    </row>
    <row r="5744" s="5" customFormat="1" customHeight="1" spans="1:25">
      <c r="A5744" s="497" t="s">
        <v>444</v>
      </c>
      <c r="B5744" s="497" t="s">
        <v>6300</v>
      </c>
      <c r="C5744" s="497" t="s">
        <v>136</v>
      </c>
      <c r="D5744" s="22" t="s">
        <v>6301</v>
      </c>
      <c r="E5744" s="498" t="s">
        <v>7273</v>
      </c>
      <c r="F5744" s="497" t="s">
        <v>7274</v>
      </c>
      <c r="G5744" s="497" t="s">
        <v>31</v>
      </c>
      <c r="H5744" s="25" t="s">
        <v>7275</v>
      </c>
      <c r="I5744" s="46" t="str">
        <f>VLOOKUP(H5744,'合同高级查询数据-4月返'!A:A,1,FALSE)</f>
        <v>182315IDC00084</v>
      </c>
      <c r="J5744" s="47" t="s">
        <v>33</v>
      </c>
      <c r="K5744" s="497" t="s">
        <v>136</v>
      </c>
      <c r="L5744" s="499" t="s">
        <v>7283</v>
      </c>
      <c r="M5744" s="49" t="s">
        <v>7276</v>
      </c>
      <c r="N5744" s="73"/>
      <c r="O5744" s="24" t="s">
        <v>179</v>
      </c>
      <c r="P5744" s="52">
        <v>0</v>
      </c>
      <c r="Q5744" s="52">
        <v>1</v>
      </c>
      <c r="R5744" s="52">
        <f t="shared" si="176"/>
        <v>0</v>
      </c>
      <c r="S5744" s="47">
        <v>202304</v>
      </c>
      <c r="T5744" s="123" t="s">
        <v>6520</v>
      </c>
      <c r="U5744" s="48"/>
      <c r="V5744" s="48"/>
      <c r="W5744" s="48"/>
      <c r="X5744" s="50">
        <v>44927</v>
      </c>
      <c r="Y5744" s="50">
        <v>45107</v>
      </c>
    </row>
    <row r="5745" s="5" customFormat="1" customHeight="1" spans="1:25">
      <c r="A5745" s="497" t="s">
        <v>444</v>
      </c>
      <c r="B5745" s="497" t="s">
        <v>6300</v>
      </c>
      <c r="C5745" s="497" t="s">
        <v>136</v>
      </c>
      <c r="D5745" s="22" t="s">
        <v>6301</v>
      </c>
      <c r="E5745" s="498" t="s">
        <v>7273</v>
      </c>
      <c r="F5745" s="497" t="s">
        <v>7274</v>
      </c>
      <c r="G5745" s="497" t="s">
        <v>31</v>
      </c>
      <c r="H5745" s="25" t="s">
        <v>7275</v>
      </c>
      <c r="I5745" s="46" t="str">
        <f>VLOOKUP(H5745,'合同高级查询数据-4月返'!A:A,1,FALSE)</f>
        <v>182315IDC00084</v>
      </c>
      <c r="J5745" s="47" t="s">
        <v>33</v>
      </c>
      <c r="K5745" s="497" t="s">
        <v>136</v>
      </c>
      <c r="L5745" s="109" t="s">
        <v>7280</v>
      </c>
      <c r="M5745" s="49" t="s">
        <v>7281</v>
      </c>
      <c r="N5745" s="73"/>
      <c r="O5745" s="24" t="s">
        <v>179</v>
      </c>
      <c r="P5745" s="52">
        <v>0</v>
      </c>
      <c r="Q5745" s="52">
        <v>1</v>
      </c>
      <c r="R5745" s="52">
        <f t="shared" si="176"/>
        <v>0</v>
      </c>
      <c r="S5745" s="47">
        <v>202304</v>
      </c>
      <c r="T5745" s="123" t="s">
        <v>6520</v>
      </c>
      <c r="U5745" s="48"/>
      <c r="V5745" s="48"/>
      <c r="W5745" s="48"/>
      <c r="X5745" s="50">
        <v>44927</v>
      </c>
      <c r="Y5745" s="50">
        <v>45107</v>
      </c>
    </row>
    <row r="5746" s="5" customFormat="1" customHeight="1" spans="1:25">
      <c r="A5746" s="24" t="s">
        <v>444</v>
      </c>
      <c r="B5746" s="24" t="s">
        <v>6300</v>
      </c>
      <c r="C5746" s="24" t="s">
        <v>136</v>
      </c>
      <c r="D5746" s="22" t="s">
        <v>6301</v>
      </c>
      <c r="E5746" s="23" t="s">
        <v>7273</v>
      </c>
      <c r="F5746" s="24" t="s">
        <v>7274</v>
      </c>
      <c r="G5746" s="24" t="s">
        <v>88</v>
      </c>
      <c r="H5746" s="25" t="s">
        <v>7275</v>
      </c>
      <c r="I5746" s="46" t="str">
        <f>VLOOKUP(H5746,'合同高级查询数据-4月返'!A:A,1,FALSE)</f>
        <v>182315IDC00084</v>
      </c>
      <c r="J5746" s="47" t="s">
        <v>162</v>
      </c>
      <c r="K5746" s="24" t="s">
        <v>136</v>
      </c>
      <c r="L5746" s="109"/>
      <c r="M5746" s="49" t="s">
        <v>7276</v>
      </c>
      <c r="N5746" s="73">
        <v>42309</v>
      </c>
      <c r="O5746" s="107" t="s">
        <v>163</v>
      </c>
      <c r="P5746" s="52">
        <v>5000</v>
      </c>
      <c r="Q5746" s="70">
        <v>11</v>
      </c>
      <c r="R5746" s="52">
        <f t="shared" si="176"/>
        <v>55000</v>
      </c>
      <c r="S5746" s="47">
        <v>202304</v>
      </c>
      <c r="T5746" s="123" t="s">
        <v>7293</v>
      </c>
      <c r="U5746" s="48"/>
      <c r="V5746" s="48"/>
      <c r="W5746" s="48"/>
      <c r="X5746" s="50">
        <v>44927</v>
      </c>
      <c r="Y5746" s="50">
        <v>45107</v>
      </c>
    </row>
    <row r="5747" s="5" customFormat="1" customHeight="1" spans="1:25">
      <c r="A5747" s="24" t="s">
        <v>444</v>
      </c>
      <c r="B5747" s="24" t="s">
        <v>6300</v>
      </c>
      <c r="C5747" s="24" t="s">
        <v>136</v>
      </c>
      <c r="D5747" s="22" t="s">
        <v>6301</v>
      </c>
      <c r="E5747" s="23" t="s">
        <v>7273</v>
      </c>
      <c r="F5747" s="24" t="s">
        <v>7274</v>
      </c>
      <c r="G5747" s="24" t="s">
        <v>88</v>
      </c>
      <c r="H5747" s="25" t="s">
        <v>7275</v>
      </c>
      <c r="I5747" s="46" t="str">
        <f>VLOOKUP(H5747,'合同高级查询数据-4月返'!A:A,1,FALSE)</f>
        <v>182315IDC00084</v>
      </c>
      <c r="J5747" s="47" t="s">
        <v>162</v>
      </c>
      <c r="K5747" s="24" t="s">
        <v>136</v>
      </c>
      <c r="L5747" s="109"/>
      <c r="M5747" s="49" t="s">
        <v>7294</v>
      </c>
      <c r="N5747" s="73">
        <v>43497</v>
      </c>
      <c r="O5747" s="107" t="s">
        <v>163</v>
      </c>
      <c r="P5747" s="52">
        <v>5000</v>
      </c>
      <c r="Q5747" s="70">
        <v>10</v>
      </c>
      <c r="R5747" s="52">
        <f t="shared" si="176"/>
        <v>50000</v>
      </c>
      <c r="S5747" s="47">
        <v>202304</v>
      </c>
      <c r="T5747" s="123" t="s">
        <v>7295</v>
      </c>
      <c r="U5747" s="48"/>
      <c r="V5747" s="48"/>
      <c r="W5747" s="48"/>
      <c r="X5747" s="50">
        <v>44927</v>
      </c>
      <c r="Y5747" s="50">
        <v>45107</v>
      </c>
    </row>
    <row r="5748" s="5" customFormat="1" customHeight="1" spans="1:25">
      <c r="A5748" s="24" t="s">
        <v>444</v>
      </c>
      <c r="B5748" s="24" t="s">
        <v>6300</v>
      </c>
      <c r="C5748" s="24" t="s">
        <v>136</v>
      </c>
      <c r="D5748" s="22" t="s">
        <v>6301</v>
      </c>
      <c r="E5748" s="23" t="s">
        <v>7273</v>
      </c>
      <c r="F5748" s="24" t="s">
        <v>7274</v>
      </c>
      <c r="G5748" s="24" t="s">
        <v>88</v>
      </c>
      <c r="H5748" s="25" t="s">
        <v>7275</v>
      </c>
      <c r="I5748" s="46" t="str">
        <f>VLOOKUP(H5748,'合同高级查询数据-4月返'!A:A,1,FALSE)</f>
        <v>182315IDC00084</v>
      </c>
      <c r="J5748" s="47" t="s">
        <v>162</v>
      </c>
      <c r="K5748" s="24" t="s">
        <v>136</v>
      </c>
      <c r="L5748" s="109"/>
      <c r="M5748" s="49" t="s">
        <v>7294</v>
      </c>
      <c r="N5748" s="73">
        <v>43497</v>
      </c>
      <c r="O5748" s="107" t="s">
        <v>163</v>
      </c>
      <c r="P5748" s="52">
        <v>5000</v>
      </c>
      <c r="Q5748" s="70">
        <v>2</v>
      </c>
      <c r="R5748" s="52">
        <f t="shared" si="176"/>
        <v>10000</v>
      </c>
      <c r="S5748" s="47">
        <v>202304</v>
      </c>
      <c r="T5748" s="123" t="s">
        <v>7295</v>
      </c>
      <c r="U5748" s="48"/>
      <c r="V5748" s="48"/>
      <c r="W5748" s="48"/>
      <c r="X5748" s="50">
        <v>44927</v>
      </c>
      <c r="Y5748" s="50">
        <v>45107</v>
      </c>
    </row>
    <row r="5749" s="5" customFormat="1" customHeight="1" spans="1:25">
      <c r="A5749" s="497" t="s">
        <v>444</v>
      </c>
      <c r="B5749" s="497" t="s">
        <v>6300</v>
      </c>
      <c r="C5749" s="497" t="s">
        <v>136</v>
      </c>
      <c r="D5749" s="22" t="s">
        <v>6301</v>
      </c>
      <c r="E5749" s="498" t="s">
        <v>7273</v>
      </c>
      <c r="F5749" s="497" t="s">
        <v>7274</v>
      </c>
      <c r="G5749" s="497" t="s">
        <v>88</v>
      </c>
      <c r="H5749" s="25" t="s">
        <v>7275</v>
      </c>
      <c r="I5749" s="46" t="str">
        <f>VLOOKUP(H5749,'合同高级查询数据-4月返'!A:A,1,FALSE)</f>
        <v>182315IDC00084</v>
      </c>
      <c r="J5749" s="47" t="s">
        <v>162</v>
      </c>
      <c r="K5749" s="497" t="s">
        <v>136</v>
      </c>
      <c r="L5749" s="499" t="s">
        <v>7283</v>
      </c>
      <c r="M5749" s="49" t="s">
        <v>7276</v>
      </c>
      <c r="N5749" s="73">
        <v>44013</v>
      </c>
      <c r="O5749" s="107" t="s">
        <v>163</v>
      </c>
      <c r="P5749" s="52">
        <v>5000</v>
      </c>
      <c r="Q5749" s="70">
        <v>8</v>
      </c>
      <c r="R5749" s="52">
        <f t="shared" si="176"/>
        <v>40000</v>
      </c>
      <c r="S5749" s="47">
        <v>202304</v>
      </c>
      <c r="T5749" s="123" t="s">
        <v>7296</v>
      </c>
      <c r="U5749" s="48"/>
      <c r="V5749" s="48"/>
      <c r="W5749" s="48"/>
      <c r="X5749" s="50">
        <v>44927</v>
      </c>
      <c r="Y5749" s="50">
        <v>45107</v>
      </c>
    </row>
    <row r="5750" s="5" customFormat="1" customHeight="1" spans="1:25">
      <c r="A5750" s="497" t="s">
        <v>444</v>
      </c>
      <c r="B5750" s="497" t="s">
        <v>6300</v>
      </c>
      <c r="C5750" s="497" t="s">
        <v>136</v>
      </c>
      <c r="D5750" s="22" t="s">
        <v>6301</v>
      </c>
      <c r="E5750" s="498" t="s">
        <v>7273</v>
      </c>
      <c r="F5750" s="497" t="s">
        <v>7274</v>
      </c>
      <c r="G5750" s="497" t="s">
        <v>88</v>
      </c>
      <c r="H5750" s="25" t="s">
        <v>7275</v>
      </c>
      <c r="I5750" s="46" t="str">
        <f>VLOOKUP(H5750,'合同高级查询数据-4月返'!A:A,1,FALSE)</f>
        <v>182315IDC00084</v>
      </c>
      <c r="J5750" s="47" t="s">
        <v>1287</v>
      </c>
      <c r="K5750" s="497" t="s">
        <v>136</v>
      </c>
      <c r="L5750" s="499" t="s">
        <v>7285</v>
      </c>
      <c r="M5750" s="49" t="s">
        <v>7286</v>
      </c>
      <c r="N5750" s="73">
        <v>44044</v>
      </c>
      <c r="O5750" s="107" t="s">
        <v>163</v>
      </c>
      <c r="P5750" s="52">
        <v>5000</v>
      </c>
      <c r="Q5750" s="52">
        <v>3</v>
      </c>
      <c r="R5750" s="52">
        <f t="shared" si="176"/>
        <v>15000</v>
      </c>
      <c r="S5750" s="47">
        <v>202304</v>
      </c>
      <c r="T5750" s="123" t="s">
        <v>7297</v>
      </c>
      <c r="U5750" s="48"/>
      <c r="V5750" s="48"/>
      <c r="W5750" s="48"/>
      <c r="X5750" s="50">
        <v>44927</v>
      </c>
      <c r="Y5750" s="50">
        <v>45107</v>
      </c>
    </row>
    <row r="5751" s="5" customFormat="1" customHeight="1" spans="1:25">
      <c r="A5751" s="497" t="s">
        <v>444</v>
      </c>
      <c r="B5751" s="497" t="s">
        <v>6300</v>
      </c>
      <c r="C5751" s="497" t="s">
        <v>136</v>
      </c>
      <c r="D5751" s="22" t="s">
        <v>6301</v>
      </c>
      <c r="E5751" s="498" t="s">
        <v>7273</v>
      </c>
      <c r="F5751" s="497" t="s">
        <v>7274</v>
      </c>
      <c r="G5751" s="497" t="s">
        <v>88</v>
      </c>
      <c r="H5751" s="25" t="s">
        <v>7275</v>
      </c>
      <c r="I5751" s="46" t="str">
        <f>VLOOKUP(H5751,'合同高级查询数据-4月返'!A:A,1,FALSE)</f>
        <v>182315IDC00084</v>
      </c>
      <c r="J5751" s="47" t="s">
        <v>162</v>
      </c>
      <c r="K5751" s="497" t="s">
        <v>136</v>
      </c>
      <c r="L5751" s="499" t="s">
        <v>7283</v>
      </c>
      <c r="M5751" s="49" t="s">
        <v>7276</v>
      </c>
      <c r="N5751" s="73">
        <v>44333</v>
      </c>
      <c r="O5751" s="107" t="s">
        <v>163</v>
      </c>
      <c r="P5751" s="52">
        <v>5000</v>
      </c>
      <c r="Q5751" s="52">
        <v>3</v>
      </c>
      <c r="R5751" s="52">
        <f t="shared" si="176"/>
        <v>15000</v>
      </c>
      <c r="S5751" s="47">
        <v>202304</v>
      </c>
      <c r="T5751" s="123" t="s">
        <v>7298</v>
      </c>
      <c r="U5751" s="48"/>
      <c r="V5751" s="48"/>
      <c r="W5751" s="48"/>
      <c r="X5751" s="50">
        <v>44927</v>
      </c>
      <c r="Y5751" s="50">
        <v>45107</v>
      </c>
    </row>
    <row r="5752" s="5" customFormat="1" customHeight="1" spans="1:25">
      <c r="A5752" s="497" t="s">
        <v>444</v>
      </c>
      <c r="B5752" s="497" t="s">
        <v>6300</v>
      </c>
      <c r="C5752" s="497" t="s">
        <v>136</v>
      </c>
      <c r="D5752" s="22" t="s">
        <v>6301</v>
      </c>
      <c r="E5752" s="498" t="s">
        <v>7273</v>
      </c>
      <c r="F5752" s="497" t="s">
        <v>7274</v>
      </c>
      <c r="G5752" s="497" t="s">
        <v>88</v>
      </c>
      <c r="H5752" s="25" t="s">
        <v>7275</v>
      </c>
      <c r="I5752" s="46" t="str">
        <f>VLOOKUP(H5752,'合同高级查询数据-4月返'!A:A,1,FALSE)</f>
        <v>182315IDC00084</v>
      </c>
      <c r="J5752" s="47" t="s">
        <v>162</v>
      </c>
      <c r="K5752" s="497" t="s">
        <v>136</v>
      </c>
      <c r="L5752" s="499" t="s">
        <v>7283</v>
      </c>
      <c r="M5752" s="49" t="s">
        <v>7276</v>
      </c>
      <c r="N5752" s="73">
        <v>44420</v>
      </c>
      <c r="O5752" s="107" t="s">
        <v>163</v>
      </c>
      <c r="P5752" s="52">
        <v>5000</v>
      </c>
      <c r="Q5752" s="52">
        <v>-2</v>
      </c>
      <c r="R5752" s="52">
        <f t="shared" si="176"/>
        <v>-10000</v>
      </c>
      <c r="S5752" s="47">
        <v>202304</v>
      </c>
      <c r="T5752" s="123" t="s">
        <v>7299</v>
      </c>
      <c r="U5752" s="48"/>
      <c r="V5752" s="48"/>
      <c r="W5752" s="48"/>
      <c r="X5752" s="50">
        <v>44927</v>
      </c>
      <c r="Y5752" s="50">
        <v>45107</v>
      </c>
    </row>
    <row r="5753" s="5" customFormat="1" customHeight="1" spans="1:25">
      <c r="A5753" s="24" t="s">
        <v>444</v>
      </c>
      <c r="B5753" s="24" t="s">
        <v>6300</v>
      </c>
      <c r="C5753" s="24" t="s">
        <v>136</v>
      </c>
      <c r="D5753" s="22" t="s">
        <v>6301</v>
      </c>
      <c r="E5753" s="23" t="s">
        <v>7273</v>
      </c>
      <c r="F5753" s="24" t="s">
        <v>7274</v>
      </c>
      <c r="G5753" s="24" t="s">
        <v>88</v>
      </c>
      <c r="H5753" s="25" t="s">
        <v>7275</v>
      </c>
      <c r="I5753" s="46" t="str">
        <f>VLOOKUP(H5753,'合同高级查询数据-4月返'!A:A,1,FALSE)</f>
        <v>182315IDC00084</v>
      </c>
      <c r="J5753" s="47" t="s">
        <v>162</v>
      </c>
      <c r="K5753" s="24" t="s">
        <v>136</v>
      </c>
      <c r="L5753" s="499" t="s">
        <v>7274</v>
      </c>
      <c r="M5753" s="49" t="s">
        <v>7276</v>
      </c>
      <c r="N5753" s="73">
        <v>44773</v>
      </c>
      <c r="O5753" s="107" t="s">
        <v>163</v>
      </c>
      <c r="P5753" s="52">
        <v>5000</v>
      </c>
      <c r="Q5753" s="52">
        <v>-11</v>
      </c>
      <c r="R5753" s="52">
        <f t="shared" si="176"/>
        <v>-55000</v>
      </c>
      <c r="S5753" s="47">
        <v>202304</v>
      </c>
      <c r="T5753" s="123" t="s">
        <v>7300</v>
      </c>
      <c r="U5753" s="48"/>
      <c r="V5753" s="48"/>
      <c r="W5753" s="48"/>
      <c r="X5753" s="50">
        <v>44927</v>
      </c>
      <c r="Y5753" s="50">
        <v>45107</v>
      </c>
    </row>
    <row r="5754" s="5" customFormat="1" customHeight="1" spans="1:25">
      <c r="A5754" s="497" t="s">
        <v>444</v>
      </c>
      <c r="B5754" s="497" t="s">
        <v>6300</v>
      </c>
      <c r="C5754" s="497" t="s">
        <v>136</v>
      </c>
      <c r="D5754" s="22" t="s">
        <v>6301</v>
      </c>
      <c r="E5754" s="498" t="s">
        <v>7273</v>
      </c>
      <c r="F5754" s="497" t="s">
        <v>7274</v>
      </c>
      <c r="G5754" s="497" t="s">
        <v>88</v>
      </c>
      <c r="H5754" s="25" t="s">
        <v>7275</v>
      </c>
      <c r="I5754" s="46" t="str">
        <f>VLOOKUP(H5754,'合同高级查询数据-4月返'!A:A,1,FALSE)</f>
        <v>182315IDC00084</v>
      </c>
      <c r="J5754" s="47" t="s">
        <v>162</v>
      </c>
      <c r="K5754" s="497" t="s">
        <v>136</v>
      </c>
      <c r="L5754" s="499" t="s">
        <v>7283</v>
      </c>
      <c r="M5754" s="49" t="s">
        <v>7276</v>
      </c>
      <c r="N5754" s="73">
        <v>44773</v>
      </c>
      <c r="O5754" s="107" t="s">
        <v>163</v>
      </c>
      <c r="P5754" s="52">
        <v>5000</v>
      </c>
      <c r="Q5754" s="52">
        <v>-1</v>
      </c>
      <c r="R5754" s="52">
        <f t="shared" si="176"/>
        <v>-5000</v>
      </c>
      <c r="S5754" s="47">
        <v>202304</v>
      </c>
      <c r="T5754" s="123" t="s">
        <v>7301</v>
      </c>
      <c r="U5754" s="48"/>
      <c r="V5754" s="48"/>
      <c r="W5754" s="48"/>
      <c r="X5754" s="50">
        <v>44927</v>
      </c>
      <c r="Y5754" s="50">
        <v>45107</v>
      </c>
    </row>
    <row r="5755" s="5" customFormat="1" customHeight="1" spans="1:25">
      <c r="A5755" s="24" t="s">
        <v>444</v>
      </c>
      <c r="B5755" s="24" t="s">
        <v>6300</v>
      </c>
      <c r="C5755" s="24" t="s">
        <v>512</v>
      </c>
      <c r="D5755" s="22" t="s">
        <v>6301</v>
      </c>
      <c r="E5755" s="23" t="s">
        <v>7302</v>
      </c>
      <c r="F5755" s="24" t="s">
        <v>7303</v>
      </c>
      <c r="G5755" s="24" t="s">
        <v>31</v>
      </c>
      <c r="H5755" s="25" t="s">
        <v>7304</v>
      </c>
      <c r="I5755" s="46" t="str">
        <f>VLOOKUP(H5755,'合同高级查询数据-4月返'!A:A,1,FALSE)</f>
        <v>182315IDC00128</v>
      </c>
      <c r="J5755" s="47" t="s">
        <v>33</v>
      </c>
      <c r="K5755" s="24" t="s">
        <v>516</v>
      </c>
      <c r="L5755" s="109" t="s">
        <v>7305</v>
      </c>
      <c r="M5755" s="49" t="s">
        <v>7306</v>
      </c>
      <c r="N5755" s="73">
        <v>43787</v>
      </c>
      <c r="O5755" s="107" t="s">
        <v>37</v>
      </c>
      <c r="P5755" s="52">
        <v>0</v>
      </c>
      <c r="Q5755" s="70">
        <v>384</v>
      </c>
      <c r="R5755" s="52">
        <f t="shared" si="176"/>
        <v>0</v>
      </c>
      <c r="S5755" s="47">
        <v>202304</v>
      </c>
      <c r="T5755" s="123" t="s">
        <v>7307</v>
      </c>
      <c r="U5755" s="48"/>
      <c r="V5755" s="48"/>
      <c r="W5755" s="48"/>
      <c r="X5755" s="50">
        <v>44927</v>
      </c>
      <c r="Y5755" s="471">
        <v>45107</v>
      </c>
    </row>
    <row r="5756" s="5" customFormat="1" customHeight="1" spans="1:25">
      <c r="A5756" s="24" t="s">
        <v>444</v>
      </c>
      <c r="B5756" s="24" t="s">
        <v>6300</v>
      </c>
      <c r="C5756" s="24" t="s">
        <v>512</v>
      </c>
      <c r="D5756" s="22" t="s">
        <v>6301</v>
      </c>
      <c r="E5756" s="23" t="s">
        <v>7302</v>
      </c>
      <c r="F5756" s="24" t="s">
        <v>7303</v>
      </c>
      <c r="G5756" s="24" t="s">
        <v>31</v>
      </c>
      <c r="H5756" s="25" t="s">
        <v>7304</v>
      </c>
      <c r="I5756" s="46" t="str">
        <f>VLOOKUP(H5756,'合同高级查询数据-4月返'!A:A,1,FALSE)</f>
        <v>182315IDC00128</v>
      </c>
      <c r="J5756" s="47" t="s">
        <v>33</v>
      </c>
      <c r="K5756" s="24" t="s">
        <v>516</v>
      </c>
      <c r="L5756" s="109" t="s">
        <v>7308</v>
      </c>
      <c r="M5756" s="49" t="s">
        <v>7309</v>
      </c>
      <c r="N5756" s="73" t="s">
        <v>1329</v>
      </c>
      <c r="O5756" s="107" t="s">
        <v>37</v>
      </c>
      <c r="P5756" s="52">
        <v>0</v>
      </c>
      <c r="Q5756" s="70">
        <v>288</v>
      </c>
      <c r="R5756" s="52">
        <f t="shared" si="176"/>
        <v>0</v>
      </c>
      <c r="S5756" s="47">
        <v>202304</v>
      </c>
      <c r="T5756" s="123" t="s">
        <v>7310</v>
      </c>
      <c r="U5756" s="48"/>
      <c r="V5756" s="48"/>
      <c r="W5756" s="48"/>
      <c r="X5756" s="50">
        <v>44927</v>
      </c>
      <c r="Y5756" s="471">
        <v>45107</v>
      </c>
    </row>
    <row r="5757" s="5" customFormat="1" customHeight="1" spans="1:25">
      <c r="A5757" s="24" t="s">
        <v>444</v>
      </c>
      <c r="B5757" s="24" t="s">
        <v>6300</v>
      </c>
      <c r="C5757" s="24" t="s">
        <v>512</v>
      </c>
      <c r="D5757" s="22" t="s">
        <v>6301</v>
      </c>
      <c r="E5757" s="23" t="s">
        <v>7302</v>
      </c>
      <c r="F5757" s="24" t="s">
        <v>7303</v>
      </c>
      <c r="G5757" s="24" t="s">
        <v>31</v>
      </c>
      <c r="H5757" s="25" t="s">
        <v>7304</v>
      </c>
      <c r="I5757" s="46" t="str">
        <f>VLOOKUP(H5757,'合同高级查询数据-4月返'!A:A,1,FALSE)</f>
        <v>182315IDC00128</v>
      </c>
      <c r="J5757" s="47" t="s">
        <v>33</v>
      </c>
      <c r="K5757" s="24" t="s">
        <v>516</v>
      </c>
      <c r="L5757" s="109" t="s">
        <v>7311</v>
      </c>
      <c r="M5757" s="49" t="s">
        <v>7306</v>
      </c>
      <c r="N5757" s="73" t="s">
        <v>1329</v>
      </c>
      <c r="O5757" s="107" t="s">
        <v>37</v>
      </c>
      <c r="P5757" s="52">
        <v>0</v>
      </c>
      <c r="Q5757" s="70">
        <v>288</v>
      </c>
      <c r="R5757" s="52">
        <f t="shared" si="176"/>
        <v>0</v>
      </c>
      <c r="S5757" s="47">
        <v>202304</v>
      </c>
      <c r="T5757" s="123" t="s">
        <v>7310</v>
      </c>
      <c r="U5757" s="48"/>
      <c r="V5757" s="48"/>
      <c r="W5757" s="48"/>
      <c r="X5757" s="50">
        <v>44927</v>
      </c>
      <c r="Y5757" s="471">
        <v>45107</v>
      </c>
    </row>
    <row r="5758" s="5" customFormat="1" customHeight="1" spans="1:25">
      <c r="A5758" s="24" t="s">
        <v>444</v>
      </c>
      <c r="B5758" s="24" t="s">
        <v>6300</v>
      </c>
      <c r="C5758" s="24" t="s">
        <v>512</v>
      </c>
      <c r="D5758" s="22" t="s">
        <v>6301</v>
      </c>
      <c r="E5758" s="23" t="s">
        <v>7302</v>
      </c>
      <c r="F5758" s="24" t="s">
        <v>7303</v>
      </c>
      <c r="G5758" s="24" t="s">
        <v>31</v>
      </c>
      <c r="H5758" s="25" t="s">
        <v>7304</v>
      </c>
      <c r="I5758" s="46" t="str">
        <f>VLOOKUP(H5758,'合同高级查询数据-4月返'!A:A,1,FALSE)</f>
        <v>182315IDC00128</v>
      </c>
      <c r="J5758" s="47" t="s">
        <v>33</v>
      </c>
      <c r="K5758" s="24" t="s">
        <v>516</v>
      </c>
      <c r="L5758" s="109" t="s">
        <v>7305</v>
      </c>
      <c r="M5758" s="49" t="s">
        <v>7306</v>
      </c>
      <c r="N5758" s="73" t="s">
        <v>1329</v>
      </c>
      <c r="O5758" s="107" t="s">
        <v>37</v>
      </c>
      <c r="P5758" s="52">
        <v>0</v>
      </c>
      <c r="Q5758" s="70">
        <v>288</v>
      </c>
      <c r="R5758" s="52">
        <f t="shared" si="176"/>
        <v>0</v>
      </c>
      <c r="S5758" s="47">
        <v>202304</v>
      </c>
      <c r="T5758" s="123" t="s">
        <v>7310</v>
      </c>
      <c r="U5758" s="48"/>
      <c r="V5758" s="48"/>
      <c r="W5758" s="48"/>
      <c r="X5758" s="50">
        <v>44927</v>
      </c>
      <c r="Y5758" s="471">
        <v>45107</v>
      </c>
    </row>
    <row r="5759" s="5" customFormat="1" customHeight="1" spans="1:25">
      <c r="A5759" s="24" t="s">
        <v>444</v>
      </c>
      <c r="B5759" s="24" t="s">
        <v>6300</v>
      </c>
      <c r="C5759" s="24" t="s">
        <v>512</v>
      </c>
      <c r="D5759" s="22" t="s">
        <v>6301</v>
      </c>
      <c r="E5759" s="23" t="s">
        <v>7302</v>
      </c>
      <c r="F5759" s="24" t="s">
        <v>7303</v>
      </c>
      <c r="G5759" s="24" t="s">
        <v>31</v>
      </c>
      <c r="H5759" s="25" t="s">
        <v>7304</v>
      </c>
      <c r="I5759" s="46" t="str">
        <f>VLOOKUP(H5759,'合同高级查询数据-4月返'!A:A,1,FALSE)</f>
        <v>182315IDC00128</v>
      </c>
      <c r="J5759" s="47" t="s">
        <v>33</v>
      </c>
      <c r="K5759" s="24" t="s">
        <v>516</v>
      </c>
      <c r="L5759" s="109" t="s">
        <v>7312</v>
      </c>
      <c r="M5759" s="22" t="s">
        <v>7313</v>
      </c>
      <c r="N5759" s="73">
        <v>43525</v>
      </c>
      <c r="O5759" s="107" t="s">
        <v>37</v>
      </c>
      <c r="P5759" s="52">
        <v>0</v>
      </c>
      <c r="Q5759" s="70">
        <v>288</v>
      </c>
      <c r="R5759" s="52">
        <f t="shared" si="176"/>
        <v>0</v>
      </c>
      <c r="S5759" s="47">
        <v>202304</v>
      </c>
      <c r="T5759" s="123" t="s">
        <v>7314</v>
      </c>
      <c r="U5759" s="48"/>
      <c r="V5759" s="48"/>
      <c r="W5759" s="48"/>
      <c r="X5759" s="50">
        <v>44927</v>
      </c>
      <c r="Y5759" s="471">
        <v>45107</v>
      </c>
    </row>
    <row r="5760" s="5" customFormat="1" customHeight="1" spans="1:25">
      <c r="A5760" s="24" t="s">
        <v>444</v>
      </c>
      <c r="B5760" s="24" t="s">
        <v>6300</v>
      </c>
      <c r="C5760" s="24" t="s">
        <v>512</v>
      </c>
      <c r="D5760" s="22" t="s">
        <v>6301</v>
      </c>
      <c r="E5760" s="23" t="s">
        <v>7302</v>
      </c>
      <c r="F5760" s="24" t="s">
        <v>7303</v>
      </c>
      <c r="G5760" s="24" t="s">
        <v>31</v>
      </c>
      <c r="H5760" s="25" t="s">
        <v>7304</v>
      </c>
      <c r="I5760" s="46" t="str">
        <f>VLOOKUP(H5760,'合同高级查询数据-4月返'!A:A,1,FALSE)</f>
        <v>182315IDC00128</v>
      </c>
      <c r="J5760" s="47" t="s">
        <v>33</v>
      </c>
      <c r="K5760" s="24" t="s">
        <v>516</v>
      </c>
      <c r="L5760" s="109" t="s">
        <v>7305</v>
      </c>
      <c r="M5760" s="49" t="s">
        <v>7306</v>
      </c>
      <c r="N5760" s="73">
        <v>44574</v>
      </c>
      <c r="O5760" s="107" t="s">
        <v>37</v>
      </c>
      <c r="P5760" s="52">
        <v>0</v>
      </c>
      <c r="Q5760" s="70">
        <v>128</v>
      </c>
      <c r="R5760" s="52">
        <f t="shared" si="176"/>
        <v>0</v>
      </c>
      <c r="S5760" s="47">
        <v>202304</v>
      </c>
      <c r="T5760" s="123" t="s">
        <v>7315</v>
      </c>
      <c r="U5760" s="48"/>
      <c r="V5760" s="48"/>
      <c r="W5760" s="48"/>
      <c r="X5760" s="50">
        <v>44927</v>
      </c>
      <c r="Y5760" s="471">
        <v>45107</v>
      </c>
    </row>
    <row r="5761" s="5" customFormat="1" customHeight="1" spans="1:25">
      <c r="A5761" s="24" t="s">
        <v>444</v>
      </c>
      <c r="B5761" s="24" t="s">
        <v>6300</v>
      </c>
      <c r="C5761" s="24" t="s">
        <v>512</v>
      </c>
      <c r="D5761" s="22" t="s">
        <v>6301</v>
      </c>
      <c r="E5761" s="23" t="s">
        <v>7302</v>
      </c>
      <c r="F5761" s="24" t="s">
        <v>7303</v>
      </c>
      <c r="G5761" s="24" t="s">
        <v>31</v>
      </c>
      <c r="H5761" s="25" t="s">
        <v>7304</v>
      </c>
      <c r="I5761" s="46" t="str">
        <f>VLOOKUP(H5761,'合同高级查询数据-4月返'!A:A,1,FALSE)</f>
        <v>182315IDC00128</v>
      </c>
      <c r="J5761" s="47" t="s">
        <v>33</v>
      </c>
      <c r="K5761" s="24" t="s">
        <v>516</v>
      </c>
      <c r="L5761" s="109" t="s">
        <v>7308</v>
      </c>
      <c r="M5761" s="49" t="s">
        <v>7309</v>
      </c>
      <c r="N5761" s="73">
        <v>44712</v>
      </c>
      <c r="O5761" s="107" t="s">
        <v>37</v>
      </c>
      <c r="P5761" s="52">
        <v>0</v>
      </c>
      <c r="Q5761" s="70">
        <v>-288</v>
      </c>
      <c r="R5761" s="52">
        <f t="shared" si="176"/>
        <v>0</v>
      </c>
      <c r="S5761" s="47">
        <v>202304</v>
      </c>
      <c r="T5761" s="123" t="s">
        <v>7316</v>
      </c>
      <c r="U5761" s="48"/>
      <c r="V5761" s="48"/>
      <c r="W5761" s="48"/>
      <c r="X5761" s="50">
        <v>44927</v>
      </c>
      <c r="Y5761" s="471">
        <v>45107</v>
      </c>
    </row>
    <row r="5762" s="5" customFormat="1" customHeight="1" spans="1:25">
      <c r="A5762" s="24" t="s">
        <v>444</v>
      </c>
      <c r="B5762" s="24" t="s">
        <v>6300</v>
      </c>
      <c r="C5762" s="24" t="s">
        <v>512</v>
      </c>
      <c r="D5762" s="22" t="s">
        <v>6301</v>
      </c>
      <c r="E5762" s="23" t="s">
        <v>7302</v>
      </c>
      <c r="F5762" s="24" t="s">
        <v>7303</v>
      </c>
      <c r="G5762" s="24" t="s">
        <v>31</v>
      </c>
      <c r="H5762" s="25" t="s">
        <v>7304</v>
      </c>
      <c r="I5762" s="46" t="str">
        <f>VLOOKUP(H5762,'合同高级查询数据-4月返'!A:A,1,FALSE)</f>
        <v>182315IDC00128</v>
      </c>
      <c r="J5762" s="47" t="s">
        <v>33</v>
      </c>
      <c r="K5762" s="24" t="s">
        <v>516</v>
      </c>
      <c r="L5762" s="109" t="s">
        <v>7308</v>
      </c>
      <c r="M5762" s="49" t="s">
        <v>7309</v>
      </c>
      <c r="N5762" s="73"/>
      <c r="O5762" s="107" t="s">
        <v>179</v>
      </c>
      <c r="P5762" s="52">
        <v>0</v>
      </c>
      <c r="Q5762" s="70">
        <v>1</v>
      </c>
      <c r="R5762" s="52">
        <f t="shared" si="176"/>
        <v>0</v>
      </c>
      <c r="S5762" s="47">
        <v>202304</v>
      </c>
      <c r="T5762" s="123" t="s">
        <v>6520</v>
      </c>
      <c r="U5762" s="48"/>
      <c r="V5762" s="48"/>
      <c r="W5762" s="48"/>
      <c r="X5762" s="50">
        <v>44927</v>
      </c>
      <c r="Y5762" s="471">
        <v>45107</v>
      </c>
    </row>
    <row r="5763" s="5" customFormat="1" customHeight="1" spans="1:25">
      <c r="A5763" s="24" t="s">
        <v>444</v>
      </c>
      <c r="B5763" s="24" t="s">
        <v>6300</v>
      </c>
      <c r="C5763" s="24" t="s">
        <v>512</v>
      </c>
      <c r="D5763" s="22" t="s">
        <v>6301</v>
      </c>
      <c r="E5763" s="23" t="s">
        <v>7302</v>
      </c>
      <c r="F5763" s="24" t="s">
        <v>7303</v>
      </c>
      <c r="G5763" s="24" t="s">
        <v>31</v>
      </c>
      <c r="H5763" s="25" t="s">
        <v>7304</v>
      </c>
      <c r="I5763" s="46" t="str">
        <f>VLOOKUP(H5763,'合同高级查询数据-4月返'!A:A,1,FALSE)</f>
        <v>182315IDC00128</v>
      </c>
      <c r="J5763" s="47" t="s">
        <v>33</v>
      </c>
      <c r="K5763" s="24" t="s">
        <v>516</v>
      </c>
      <c r="L5763" s="109" t="s">
        <v>7308</v>
      </c>
      <c r="M5763" s="22" t="s">
        <v>7309</v>
      </c>
      <c r="N5763" s="73">
        <v>44712</v>
      </c>
      <c r="O5763" s="107" t="s">
        <v>179</v>
      </c>
      <c r="P5763" s="52">
        <v>0</v>
      </c>
      <c r="Q5763" s="70">
        <v>-1</v>
      </c>
      <c r="R5763" s="52">
        <f t="shared" si="176"/>
        <v>0</v>
      </c>
      <c r="S5763" s="47">
        <v>202304</v>
      </c>
      <c r="T5763" s="123" t="s">
        <v>7317</v>
      </c>
      <c r="U5763" s="48"/>
      <c r="V5763" s="48"/>
      <c r="W5763" s="48"/>
      <c r="X5763" s="50">
        <v>44927</v>
      </c>
      <c r="Y5763" s="471">
        <v>45107</v>
      </c>
    </row>
    <row r="5764" s="5" customFormat="1" customHeight="1" spans="1:25">
      <c r="A5764" s="24" t="s">
        <v>444</v>
      </c>
      <c r="B5764" s="24" t="s">
        <v>6300</v>
      </c>
      <c r="C5764" s="24" t="s">
        <v>512</v>
      </c>
      <c r="D5764" s="22" t="s">
        <v>6301</v>
      </c>
      <c r="E5764" s="23" t="s">
        <v>7302</v>
      </c>
      <c r="F5764" s="24" t="s">
        <v>7303</v>
      </c>
      <c r="G5764" s="24" t="s">
        <v>31</v>
      </c>
      <c r="H5764" s="25" t="s">
        <v>7304</v>
      </c>
      <c r="I5764" s="46" t="str">
        <f>VLOOKUP(H5764,'合同高级查询数据-4月返'!A:A,1,FALSE)</f>
        <v>182315IDC00128</v>
      </c>
      <c r="J5764" s="47" t="s">
        <v>33</v>
      </c>
      <c r="K5764" s="24" t="s">
        <v>516</v>
      </c>
      <c r="L5764" s="109" t="s">
        <v>7311</v>
      </c>
      <c r="M5764" s="49" t="s">
        <v>7306</v>
      </c>
      <c r="N5764" s="73"/>
      <c r="O5764" s="107" t="s">
        <v>179</v>
      </c>
      <c r="P5764" s="52">
        <v>0</v>
      </c>
      <c r="Q5764" s="70">
        <v>1</v>
      </c>
      <c r="R5764" s="52">
        <f t="shared" si="176"/>
        <v>0</v>
      </c>
      <c r="S5764" s="47">
        <v>202304</v>
      </c>
      <c r="T5764" s="123" t="s">
        <v>6520</v>
      </c>
      <c r="U5764" s="48"/>
      <c r="V5764" s="48"/>
      <c r="W5764" s="48"/>
      <c r="X5764" s="50">
        <v>44927</v>
      </c>
      <c r="Y5764" s="471">
        <v>45107</v>
      </c>
    </row>
    <row r="5765" s="5" customFormat="1" customHeight="1" spans="1:25">
      <c r="A5765" s="24" t="s">
        <v>444</v>
      </c>
      <c r="B5765" s="24" t="s">
        <v>6300</v>
      </c>
      <c r="C5765" s="24" t="s">
        <v>512</v>
      </c>
      <c r="D5765" s="22" t="s">
        <v>6301</v>
      </c>
      <c r="E5765" s="23" t="s">
        <v>7302</v>
      </c>
      <c r="F5765" s="24" t="s">
        <v>7303</v>
      </c>
      <c r="G5765" s="24" t="s">
        <v>31</v>
      </c>
      <c r="H5765" s="25" t="s">
        <v>7304</v>
      </c>
      <c r="I5765" s="46" t="str">
        <f>VLOOKUP(H5765,'合同高级查询数据-4月返'!A:A,1,FALSE)</f>
        <v>182315IDC00128</v>
      </c>
      <c r="J5765" s="47" t="s">
        <v>33</v>
      </c>
      <c r="K5765" s="24" t="s">
        <v>516</v>
      </c>
      <c r="L5765" s="109" t="s">
        <v>7305</v>
      </c>
      <c r="M5765" s="49" t="s">
        <v>7306</v>
      </c>
      <c r="N5765" s="73"/>
      <c r="O5765" s="107" t="s">
        <v>179</v>
      </c>
      <c r="P5765" s="52">
        <v>0</v>
      </c>
      <c r="Q5765" s="70">
        <v>2</v>
      </c>
      <c r="R5765" s="52">
        <f t="shared" si="176"/>
        <v>0</v>
      </c>
      <c r="S5765" s="47">
        <v>202304</v>
      </c>
      <c r="T5765" s="123" t="s">
        <v>7318</v>
      </c>
      <c r="U5765" s="48"/>
      <c r="V5765" s="48"/>
      <c r="W5765" s="48"/>
      <c r="X5765" s="50">
        <v>44927</v>
      </c>
      <c r="Y5765" s="471">
        <v>45107</v>
      </c>
    </row>
    <row r="5766" s="5" customFormat="1" customHeight="1" spans="1:25">
      <c r="A5766" s="24" t="s">
        <v>444</v>
      </c>
      <c r="B5766" s="24" t="s">
        <v>6300</v>
      </c>
      <c r="C5766" s="24" t="s">
        <v>512</v>
      </c>
      <c r="D5766" s="22" t="s">
        <v>6301</v>
      </c>
      <c r="E5766" s="23" t="s">
        <v>7302</v>
      </c>
      <c r="F5766" s="24" t="s">
        <v>7303</v>
      </c>
      <c r="G5766" s="24" t="s">
        <v>31</v>
      </c>
      <c r="H5766" s="25" t="s">
        <v>7304</v>
      </c>
      <c r="I5766" s="46" t="str">
        <f>VLOOKUP(H5766,'合同高级查询数据-4月返'!A:A,1,FALSE)</f>
        <v>182315IDC00128</v>
      </c>
      <c r="J5766" s="47" t="s">
        <v>33</v>
      </c>
      <c r="K5766" s="24" t="s">
        <v>516</v>
      </c>
      <c r="L5766" s="109" t="s">
        <v>7312</v>
      </c>
      <c r="M5766" s="49" t="s">
        <v>7313</v>
      </c>
      <c r="N5766" s="73"/>
      <c r="O5766" s="107" t="s">
        <v>179</v>
      </c>
      <c r="P5766" s="52">
        <v>0</v>
      </c>
      <c r="Q5766" s="70">
        <v>1</v>
      </c>
      <c r="R5766" s="52">
        <f t="shared" si="176"/>
        <v>0</v>
      </c>
      <c r="S5766" s="47">
        <v>202304</v>
      </c>
      <c r="T5766" s="123" t="s">
        <v>6520</v>
      </c>
      <c r="U5766" s="48"/>
      <c r="V5766" s="48"/>
      <c r="W5766" s="48"/>
      <c r="X5766" s="50">
        <v>44927</v>
      </c>
      <c r="Y5766" s="471">
        <v>45107</v>
      </c>
    </row>
    <row r="5767" s="5" customFormat="1" customHeight="1" spans="1:25">
      <c r="A5767" s="24" t="s">
        <v>444</v>
      </c>
      <c r="B5767" s="24" t="s">
        <v>6300</v>
      </c>
      <c r="C5767" s="24" t="s">
        <v>512</v>
      </c>
      <c r="D5767" s="22" t="s">
        <v>6301</v>
      </c>
      <c r="E5767" s="23" t="s">
        <v>7302</v>
      </c>
      <c r="F5767" s="24" t="s">
        <v>7303</v>
      </c>
      <c r="G5767" s="24" t="s">
        <v>88</v>
      </c>
      <c r="H5767" s="25" t="s">
        <v>7304</v>
      </c>
      <c r="I5767" s="46" t="str">
        <f>VLOOKUP(H5767,'合同高级查询数据-4月返'!A:A,1,FALSE)</f>
        <v>182315IDC00128</v>
      </c>
      <c r="J5767" s="47" t="s">
        <v>162</v>
      </c>
      <c r="K5767" s="24" t="s">
        <v>516</v>
      </c>
      <c r="L5767" s="109"/>
      <c r="M5767" s="49" t="s">
        <v>7319</v>
      </c>
      <c r="N5767" s="73">
        <v>43497</v>
      </c>
      <c r="O5767" s="107" t="s">
        <v>92</v>
      </c>
      <c r="P5767" s="52">
        <v>3750</v>
      </c>
      <c r="Q5767" s="70">
        <v>15</v>
      </c>
      <c r="R5767" s="52">
        <f t="shared" si="176"/>
        <v>56250</v>
      </c>
      <c r="S5767" s="47">
        <v>202304</v>
      </c>
      <c r="T5767" s="123" t="s">
        <v>7320</v>
      </c>
      <c r="U5767" s="48"/>
      <c r="V5767" s="48"/>
      <c r="W5767" s="48"/>
      <c r="X5767" s="50">
        <v>44927</v>
      </c>
      <c r="Y5767" s="471">
        <v>45107</v>
      </c>
    </row>
    <row r="5768" s="5" customFormat="1" customHeight="1" spans="1:25">
      <c r="A5768" s="24" t="s">
        <v>444</v>
      </c>
      <c r="B5768" s="24" t="s">
        <v>6300</v>
      </c>
      <c r="C5768" s="24" t="s">
        <v>512</v>
      </c>
      <c r="D5768" s="22" t="s">
        <v>6301</v>
      </c>
      <c r="E5768" s="23" t="s">
        <v>7302</v>
      </c>
      <c r="F5768" s="24" t="s">
        <v>7303</v>
      </c>
      <c r="G5768" s="24" t="s">
        <v>88</v>
      </c>
      <c r="H5768" s="25" t="s">
        <v>7304</v>
      </c>
      <c r="I5768" s="46" t="str">
        <f>VLOOKUP(H5768,'合同高级查询数据-4月返'!A:A,1,FALSE)</f>
        <v>182315IDC00128</v>
      </c>
      <c r="J5768" s="47" t="s">
        <v>162</v>
      </c>
      <c r="K5768" s="24" t="s">
        <v>516</v>
      </c>
      <c r="L5768" s="109"/>
      <c r="M5768" s="49" t="s">
        <v>7313</v>
      </c>
      <c r="N5768" s="73">
        <v>43525</v>
      </c>
      <c r="O5768" s="24" t="s">
        <v>92</v>
      </c>
      <c r="P5768" s="52">
        <v>3750</v>
      </c>
      <c r="Q5768" s="52">
        <v>5</v>
      </c>
      <c r="R5768" s="52">
        <f t="shared" si="176"/>
        <v>18750</v>
      </c>
      <c r="S5768" s="47">
        <v>202304</v>
      </c>
      <c r="T5768" s="123"/>
      <c r="U5768" s="48"/>
      <c r="V5768" s="48"/>
      <c r="W5768" s="48"/>
      <c r="X5768" s="50">
        <v>44927</v>
      </c>
      <c r="Y5768" s="471">
        <v>45107</v>
      </c>
    </row>
    <row r="5769" s="5" customFormat="1" customHeight="1" spans="1:25">
      <c r="A5769" s="24" t="s">
        <v>444</v>
      </c>
      <c r="B5769" s="24" t="s">
        <v>6300</v>
      </c>
      <c r="C5769" s="24" t="s">
        <v>512</v>
      </c>
      <c r="D5769" s="22" t="s">
        <v>6301</v>
      </c>
      <c r="E5769" s="23" t="s">
        <v>7302</v>
      </c>
      <c r="F5769" s="24" t="s">
        <v>7303</v>
      </c>
      <c r="G5769" s="24" t="s">
        <v>88</v>
      </c>
      <c r="H5769" s="25" t="s">
        <v>7304</v>
      </c>
      <c r="I5769" s="46" t="str">
        <f>VLOOKUP(H5769,'合同高级查询数据-4月返'!A:A,1,FALSE)</f>
        <v>182315IDC00128</v>
      </c>
      <c r="J5769" s="47" t="s">
        <v>162</v>
      </c>
      <c r="K5769" s="24" t="s">
        <v>516</v>
      </c>
      <c r="L5769" s="109" t="s">
        <v>7305</v>
      </c>
      <c r="M5769" s="49" t="s">
        <v>7306</v>
      </c>
      <c r="N5769" s="73">
        <v>43787</v>
      </c>
      <c r="O5769" s="24" t="s">
        <v>92</v>
      </c>
      <c r="P5769" s="52">
        <v>3750</v>
      </c>
      <c r="Q5769" s="52">
        <v>4</v>
      </c>
      <c r="R5769" s="52">
        <f t="shared" si="176"/>
        <v>15000</v>
      </c>
      <c r="S5769" s="47">
        <v>202304</v>
      </c>
      <c r="T5769" s="123" t="s">
        <v>7321</v>
      </c>
      <c r="U5769" s="48"/>
      <c r="V5769" s="48"/>
      <c r="W5769" s="48"/>
      <c r="X5769" s="50">
        <v>44927</v>
      </c>
      <c r="Y5769" s="471">
        <v>45107</v>
      </c>
    </row>
    <row r="5770" s="5" customFormat="1" customHeight="1" spans="1:25">
      <c r="A5770" s="24" t="s">
        <v>444</v>
      </c>
      <c r="B5770" s="24" t="s">
        <v>6300</v>
      </c>
      <c r="C5770" s="24" t="s">
        <v>512</v>
      </c>
      <c r="D5770" s="22" t="s">
        <v>6301</v>
      </c>
      <c r="E5770" s="23" t="s">
        <v>7302</v>
      </c>
      <c r="F5770" s="24" t="s">
        <v>7303</v>
      </c>
      <c r="G5770" s="24" t="s">
        <v>88</v>
      </c>
      <c r="H5770" s="25" t="s">
        <v>7304</v>
      </c>
      <c r="I5770" s="46" t="str">
        <f>VLOOKUP(H5770,'合同高级查询数据-4月返'!A:A,1,FALSE)</f>
        <v>182315IDC00128</v>
      </c>
      <c r="J5770" s="47" t="s">
        <v>162</v>
      </c>
      <c r="K5770" s="24" t="s">
        <v>516</v>
      </c>
      <c r="L5770" s="109" t="s">
        <v>7322</v>
      </c>
      <c r="M5770" s="49" t="s">
        <v>7306</v>
      </c>
      <c r="N5770" s="73">
        <v>44013</v>
      </c>
      <c r="O5770" s="24" t="s">
        <v>92</v>
      </c>
      <c r="P5770" s="52">
        <v>3750</v>
      </c>
      <c r="Q5770" s="52">
        <v>-5</v>
      </c>
      <c r="R5770" s="52">
        <f t="shared" si="176"/>
        <v>-18750</v>
      </c>
      <c r="S5770" s="47">
        <v>202304</v>
      </c>
      <c r="T5770" s="123" t="s">
        <v>7323</v>
      </c>
      <c r="U5770" s="48"/>
      <c r="V5770" s="48"/>
      <c r="W5770" s="48"/>
      <c r="X5770" s="50">
        <v>44927</v>
      </c>
      <c r="Y5770" s="471">
        <v>45107</v>
      </c>
    </row>
    <row r="5771" s="5" customFormat="1" customHeight="1" spans="1:25">
      <c r="A5771" s="24" t="s">
        <v>444</v>
      </c>
      <c r="B5771" s="24" t="s">
        <v>6300</v>
      </c>
      <c r="C5771" s="24" t="s">
        <v>512</v>
      </c>
      <c r="D5771" s="22" t="s">
        <v>6301</v>
      </c>
      <c r="E5771" s="23" t="s">
        <v>7302</v>
      </c>
      <c r="F5771" s="24" t="s">
        <v>7303</v>
      </c>
      <c r="G5771" s="24" t="s">
        <v>88</v>
      </c>
      <c r="H5771" s="25" t="s">
        <v>7304</v>
      </c>
      <c r="I5771" s="46" t="str">
        <f>VLOOKUP(H5771,'合同高级查询数据-4月返'!A:A,1,FALSE)</f>
        <v>182315IDC00128</v>
      </c>
      <c r="J5771" s="47" t="s">
        <v>162</v>
      </c>
      <c r="K5771" s="24" t="s">
        <v>516</v>
      </c>
      <c r="L5771" s="109" t="s">
        <v>7322</v>
      </c>
      <c r="M5771" s="22" t="s">
        <v>7306</v>
      </c>
      <c r="N5771" s="73">
        <v>44013</v>
      </c>
      <c r="O5771" s="24" t="s">
        <v>92</v>
      </c>
      <c r="P5771" s="52">
        <v>3750</v>
      </c>
      <c r="Q5771" s="52">
        <v>6</v>
      </c>
      <c r="R5771" s="52">
        <f t="shared" si="176"/>
        <v>22500</v>
      </c>
      <c r="S5771" s="47">
        <v>202304</v>
      </c>
      <c r="T5771" s="123" t="s">
        <v>7324</v>
      </c>
      <c r="U5771" s="48"/>
      <c r="V5771" s="48"/>
      <c r="W5771" s="48"/>
      <c r="X5771" s="50">
        <v>44927</v>
      </c>
      <c r="Y5771" s="471">
        <v>45107</v>
      </c>
    </row>
    <row r="5772" s="5" customFormat="1" customHeight="1" spans="1:25">
      <c r="A5772" s="24" t="s">
        <v>444</v>
      </c>
      <c r="B5772" s="24" t="s">
        <v>6300</v>
      </c>
      <c r="C5772" s="24" t="s">
        <v>512</v>
      </c>
      <c r="D5772" s="22" t="s">
        <v>6301</v>
      </c>
      <c r="E5772" s="23" t="s">
        <v>7302</v>
      </c>
      <c r="F5772" s="24" t="s">
        <v>7303</v>
      </c>
      <c r="G5772" s="24" t="s">
        <v>88</v>
      </c>
      <c r="H5772" s="25" t="s">
        <v>7304</v>
      </c>
      <c r="I5772" s="46" t="str">
        <f>VLOOKUP(H5772,'合同高级查询数据-4月返'!A:A,1,FALSE)</f>
        <v>182315IDC00128</v>
      </c>
      <c r="J5772" s="47" t="s">
        <v>162</v>
      </c>
      <c r="K5772" s="24" t="s">
        <v>516</v>
      </c>
      <c r="L5772" s="109" t="s">
        <v>7305</v>
      </c>
      <c r="M5772" s="49" t="s">
        <v>7306</v>
      </c>
      <c r="N5772" s="73">
        <v>44574</v>
      </c>
      <c r="O5772" s="24" t="s">
        <v>92</v>
      </c>
      <c r="P5772" s="52">
        <v>3750</v>
      </c>
      <c r="Q5772" s="52">
        <v>1</v>
      </c>
      <c r="R5772" s="52">
        <f t="shared" si="176"/>
        <v>3750</v>
      </c>
      <c r="S5772" s="47">
        <v>202304</v>
      </c>
      <c r="T5772" s="123" t="s">
        <v>7325</v>
      </c>
      <c r="U5772" s="48"/>
      <c r="V5772" s="48"/>
      <c r="W5772" s="48"/>
      <c r="X5772" s="50">
        <v>44927</v>
      </c>
      <c r="Y5772" s="471">
        <v>45107</v>
      </c>
    </row>
    <row r="5773" s="5" customFormat="1" customHeight="1" spans="1:25">
      <c r="A5773" s="24" t="s">
        <v>444</v>
      </c>
      <c r="B5773" s="24" t="s">
        <v>6300</v>
      </c>
      <c r="C5773" s="24" t="s">
        <v>512</v>
      </c>
      <c r="D5773" s="22" t="s">
        <v>6301</v>
      </c>
      <c r="E5773" s="23" t="s">
        <v>7302</v>
      </c>
      <c r="F5773" s="24" t="s">
        <v>7303</v>
      </c>
      <c r="G5773" s="24" t="s">
        <v>88</v>
      </c>
      <c r="H5773" s="25" t="s">
        <v>7304</v>
      </c>
      <c r="I5773" s="46" t="str">
        <f>VLOOKUP(H5773,'合同高级查询数据-4月返'!A:A,1,FALSE)</f>
        <v>182315IDC00128</v>
      </c>
      <c r="J5773" s="47" t="s">
        <v>162</v>
      </c>
      <c r="K5773" s="24" t="s">
        <v>516</v>
      </c>
      <c r="L5773" s="109" t="s">
        <v>7308</v>
      </c>
      <c r="M5773" s="22" t="s">
        <v>7309</v>
      </c>
      <c r="N5773" s="73">
        <v>44712</v>
      </c>
      <c r="O5773" s="24" t="s">
        <v>92</v>
      </c>
      <c r="P5773" s="52">
        <v>3750</v>
      </c>
      <c r="Q5773" s="52">
        <v>-4</v>
      </c>
      <c r="R5773" s="52">
        <f t="shared" si="176"/>
        <v>-15000</v>
      </c>
      <c r="S5773" s="47">
        <v>202304</v>
      </c>
      <c r="T5773" s="123" t="s">
        <v>7326</v>
      </c>
      <c r="U5773" s="48"/>
      <c r="V5773" s="48"/>
      <c r="W5773" s="48"/>
      <c r="X5773" s="50">
        <v>44927</v>
      </c>
      <c r="Y5773" s="471">
        <v>45107</v>
      </c>
    </row>
    <row r="5774" s="5" customFormat="1" customHeight="1" spans="1:25">
      <c r="A5774" s="24" t="s">
        <v>444</v>
      </c>
      <c r="B5774" s="24" t="s">
        <v>6300</v>
      </c>
      <c r="C5774" s="24" t="s">
        <v>512</v>
      </c>
      <c r="D5774" s="22" t="s">
        <v>6301</v>
      </c>
      <c r="E5774" s="23" t="s">
        <v>7302</v>
      </c>
      <c r="F5774" s="24" t="s">
        <v>7303</v>
      </c>
      <c r="G5774" s="24" t="s">
        <v>88</v>
      </c>
      <c r="H5774" s="25" t="s">
        <v>7304</v>
      </c>
      <c r="I5774" s="46" t="str">
        <f>VLOOKUP(H5774,'合同高级查询数据-4月返'!A:A,1,FALSE)</f>
        <v>182315IDC00128</v>
      </c>
      <c r="J5774" s="47" t="s">
        <v>162</v>
      </c>
      <c r="K5774" s="24" t="s">
        <v>516</v>
      </c>
      <c r="L5774" s="109" t="s">
        <v>7322</v>
      </c>
      <c r="M5774" s="22" t="s">
        <v>7306</v>
      </c>
      <c r="N5774" s="73">
        <v>44734</v>
      </c>
      <c r="O5774" s="24" t="s">
        <v>92</v>
      </c>
      <c r="P5774" s="52">
        <v>3750</v>
      </c>
      <c r="Q5774" s="52">
        <v>-3</v>
      </c>
      <c r="R5774" s="52">
        <f t="shared" si="176"/>
        <v>-11250</v>
      </c>
      <c r="S5774" s="47">
        <v>202304</v>
      </c>
      <c r="T5774" s="123" t="s">
        <v>7327</v>
      </c>
      <c r="U5774" s="48"/>
      <c r="V5774" s="48"/>
      <c r="W5774" s="48"/>
      <c r="X5774" s="50">
        <v>44927</v>
      </c>
      <c r="Y5774" s="471">
        <v>45107</v>
      </c>
    </row>
    <row r="5775" s="5" customFormat="1" customHeight="1" spans="1:25">
      <c r="A5775" s="24" t="s">
        <v>444</v>
      </c>
      <c r="B5775" s="24" t="s">
        <v>6300</v>
      </c>
      <c r="C5775" s="24" t="s">
        <v>512</v>
      </c>
      <c r="D5775" s="22" t="s">
        <v>6301</v>
      </c>
      <c r="E5775" s="23" t="s">
        <v>7302</v>
      </c>
      <c r="F5775" s="24" t="s">
        <v>7303</v>
      </c>
      <c r="G5775" s="24" t="s">
        <v>88</v>
      </c>
      <c r="H5775" s="25" t="s">
        <v>7304</v>
      </c>
      <c r="I5775" s="46" t="str">
        <f>VLOOKUP(H5775,'合同高级查询数据-4月返'!A:A,1,FALSE)</f>
        <v>182315IDC00128</v>
      </c>
      <c r="J5775" s="47" t="s">
        <v>162</v>
      </c>
      <c r="K5775" s="24" t="s">
        <v>516</v>
      </c>
      <c r="L5775" s="109" t="s">
        <v>7305</v>
      </c>
      <c r="M5775" s="49" t="s">
        <v>7306</v>
      </c>
      <c r="N5775" s="73">
        <v>44782</v>
      </c>
      <c r="O5775" s="24" t="s">
        <v>92</v>
      </c>
      <c r="P5775" s="52">
        <v>3750</v>
      </c>
      <c r="Q5775" s="52">
        <v>-3</v>
      </c>
      <c r="R5775" s="52">
        <f t="shared" si="176"/>
        <v>-11250</v>
      </c>
      <c r="S5775" s="47">
        <v>202304</v>
      </c>
      <c r="T5775" s="123" t="s">
        <v>7328</v>
      </c>
      <c r="U5775" s="48"/>
      <c r="V5775" s="48"/>
      <c r="W5775" s="48"/>
      <c r="X5775" s="50">
        <v>44927</v>
      </c>
      <c r="Y5775" s="471">
        <v>45107</v>
      </c>
    </row>
    <row r="5776" s="5" customFormat="1" customHeight="1" spans="1:25">
      <c r="A5776" s="24" t="s">
        <v>444</v>
      </c>
      <c r="B5776" s="24" t="s">
        <v>6300</v>
      </c>
      <c r="C5776" s="24" t="s">
        <v>512</v>
      </c>
      <c r="D5776" s="22" t="s">
        <v>6301</v>
      </c>
      <c r="E5776" s="23" t="s">
        <v>7302</v>
      </c>
      <c r="F5776" s="24" t="s">
        <v>7303</v>
      </c>
      <c r="G5776" s="24" t="s">
        <v>31</v>
      </c>
      <c r="H5776" s="25" t="s">
        <v>7304</v>
      </c>
      <c r="I5776" s="46" t="str">
        <f>VLOOKUP(H5776,'合同高级查询数据-4月返'!A:A,1,FALSE)</f>
        <v>182315IDC00128</v>
      </c>
      <c r="J5776" s="47" t="s">
        <v>33</v>
      </c>
      <c r="K5776" s="24" t="s">
        <v>516</v>
      </c>
      <c r="L5776" s="109" t="s">
        <v>7329</v>
      </c>
      <c r="M5776" s="49" t="s">
        <v>7330</v>
      </c>
      <c r="N5776" s="73">
        <v>44917</v>
      </c>
      <c r="O5776" s="24" t="s">
        <v>37</v>
      </c>
      <c r="P5776" s="52">
        <v>0</v>
      </c>
      <c r="Q5776" s="52">
        <v>80</v>
      </c>
      <c r="R5776" s="52">
        <f t="shared" si="176"/>
        <v>0</v>
      </c>
      <c r="S5776" s="47">
        <v>202304</v>
      </c>
      <c r="T5776" s="123" t="s">
        <v>7331</v>
      </c>
      <c r="U5776" s="48"/>
      <c r="V5776" s="48"/>
      <c r="W5776" s="48"/>
      <c r="X5776" s="50">
        <v>44927</v>
      </c>
      <c r="Y5776" s="471">
        <v>45107</v>
      </c>
    </row>
    <row r="5777" s="5" customFormat="1" customHeight="1" spans="1:25">
      <c r="A5777" s="24" t="s">
        <v>444</v>
      </c>
      <c r="B5777" s="24" t="s">
        <v>6300</v>
      </c>
      <c r="C5777" s="24" t="s">
        <v>512</v>
      </c>
      <c r="D5777" s="22" t="s">
        <v>6301</v>
      </c>
      <c r="E5777" s="23" t="s">
        <v>7302</v>
      </c>
      <c r="F5777" s="24" t="s">
        <v>7303</v>
      </c>
      <c r="G5777" s="24" t="s">
        <v>31</v>
      </c>
      <c r="H5777" s="25" t="s">
        <v>7304</v>
      </c>
      <c r="I5777" s="46" t="str">
        <f>VLOOKUP(H5777,'合同高级查询数据-4月返'!A:A,1,FALSE)</f>
        <v>182315IDC00128</v>
      </c>
      <c r="J5777" s="47" t="s">
        <v>33</v>
      </c>
      <c r="K5777" s="24" t="s">
        <v>516</v>
      </c>
      <c r="L5777" s="109" t="s">
        <v>7329</v>
      </c>
      <c r="M5777" s="49" t="s">
        <v>7330</v>
      </c>
      <c r="N5777" s="73">
        <v>44939</v>
      </c>
      <c r="O5777" s="24" t="s">
        <v>37</v>
      </c>
      <c r="P5777" s="52">
        <v>0</v>
      </c>
      <c r="Q5777" s="52">
        <v>48</v>
      </c>
      <c r="R5777" s="52">
        <f t="shared" si="176"/>
        <v>0</v>
      </c>
      <c r="S5777" s="47">
        <v>202304</v>
      </c>
      <c r="T5777" s="123" t="s">
        <v>7332</v>
      </c>
      <c r="U5777" s="48"/>
      <c r="V5777" s="48"/>
      <c r="W5777" s="48"/>
      <c r="X5777" s="50">
        <v>44927</v>
      </c>
      <c r="Y5777" s="471">
        <v>45107</v>
      </c>
    </row>
    <row r="5778" s="5" customFormat="1" customHeight="1" spans="1:25">
      <c r="A5778" s="24" t="s">
        <v>444</v>
      </c>
      <c r="B5778" s="24" t="s">
        <v>6300</v>
      </c>
      <c r="C5778" s="24" t="s">
        <v>512</v>
      </c>
      <c r="D5778" s="22" t="s">
        <v>6301</v>
      </c>
      <c r="E5778" s="23" t="s">
        <v>7302</v>
      </c>
      <c r="F5778" s="24" t="s">
        <v>7303</v>
      </c>
      <c r="G5778" s="24" t="s">
        <v>88</v>
      </c>
      <c r="H5778" s="25" t="s">
        <v>7304</v>
      </c>
      <c r="I5778" s="46" t="str">
        <f>VLOOKUP(H5778,'合同高级查询数据-4月返'!A:A,1,FALSE)</f>
        <v>182315IDC00128</v>
      </c>
      <c r="J5778" s="47" t="s">
        <v>162</v>
      </c>
      <c r="K5778" s="24" t="s">
        <v>516</v>
      </c>
      <c r="L5778" s="109" t="s">
        <v>7329</v>
      </c>
      <c r="M5778" s="49" t="s">
        <v>7330</v>
      </c>
      <c r="N5778" s="73">
        <v>44917</v>
      </c>
      <c r="O5778" s="24" t="s">
        <v>92</v>
      </c>
      <c r="P5778" s="52">
        <v>3750</v>
      </c>
      <c r="Q5778" s="52">
        <v>1</v>
      </c>
      <c r="R5778" s="52">
        <f t="shared" si="176"/>
        <v>3750</v>
      </c>
      <c r="S5778" s="47">
        <v>202304</v>
      </c>
      <c r="T5778" s="123" t="s">
        <v>7333</v>
      </c>
      <c r="U5778" s="48"/>
      <c r="V5778" s="48"/>
      <c r="W5778" s="48"/>
      <c r="X5778" s="50">
        <v>44927</v>
      </c>
      <c r="Y5778" s="471">
        <v>45107</v>
      </c>
    </row>
    <row r="5779" s="3" customFormat="1" customHeight="1" spans="1:25">
      <c r="A5779" s="11" t="s">
        <v>444</v>
      </c>
      <c r="B5779" s="11" t="s">
        <v>6300</v>
      </c>
      <c r="C5779" s="11" t="s">
        <v>512</v>
      </c>
      <c r="D5779" s="35" t="s">
        <v>6301</v>
      </c>
      <c r="E5779" s="13" t="s">
        <v>7302</v>
      </c>
      <c r="F5779" s="11" t="s">
        <v>7303</v>
      </c>
      <c r="G5779" s="11" t="s">
        <v>31</v>
      </c>
      <c r="H5779" s="110" t="s">
        <v>7334</v>
      </c>
      <c r="I5779" s="30" t="e">
        <f>VLOOKUP(H5779,'合同高级查询数据-4月返'!A:A,1,FALSE)</f>
        <v>#N/A</v>
      </c>
      <c r="J5779" s="31" t="s">
        <v>33</v>
      </c>
      <c r="K5779" s="11" t="s">
        <v>516</v>
      </c>
      <c r="L5779" s="32" t="s">
        <v>7335</v>
      </c>
      <c r="M5779" s="113" t="s">
        <v>6562</v>
      </c>
      <c r="N5779" s="146">
        <v>45022</v>
      </c>
      <c r="O5779" s="11" t="s">
        <v>37</v>
      </c>
      <c r="P5779" s="465">
        <v>0</v>
      </c>
      <c r="Q5779" s="465">
        <v>256</v>
      </c>
      <c r="R5779" s="465">
        <f t="shared" si="176"/>
        <v>0</v>
      </c>
      <c r="S5779" s="31">
        <v>202304</v>
      </c>
      <c r="T5779" s="60" t="s">
        <v>7336</v>
      </c>
      <c r="U5779" s="411"/>
      <c r="V5779" s="411"/>
      <c r="W5779" s="411"/>
      <c r="X5779" s="34"/>
      <c r="Y5779" s="34"/>
    </row>
    <row r="5780" s="3" customFormat="1" customHeight="1" spans="1:25">
      <c r="A5780" s="11" t="s">
        <v>444</v>
      </c>
      <c r="B5780" s="11" t="s">
        <v>6300</v>
      </c>
      <c r="C5780" s="11" t="s">
        <v>512</v>
      </c>
      <c r="D5780" s="35" t="s">
        <v>6301</v>
      </c>
      <c r="E5780" s="13" t="s">
        <v>7302</v>
      </c>
      <c r="F5780" s="11" t="s">
        <v>7303</v>
      </c>
      <c r="G5780" s="11" t="s">
        <v>88</v>
      </c>
      <c r="H5780" s="110" t="s">
        <v>7334</v>
      </c>
      <c r="I5780" s="30" t="e">
        <f>VLOOKUP(H5780,'合同高级查询数据-4月返'!A:A,1,FALSE)</f>
        <v>#N/A</v>
      </c>
      <c r="J5780" s="31" t="s">
        <v>162</v>
      </c>
      <c r="K5780" s="11" t="s">
        <v>516</v>
      </c>
      <c r="L5780" s="32" t="s">
        <v>7335</v>
      </c>
      <c r="M5780" s="113" t="s">
        <v>6562</v>
      </c>
      <c r="N5780" s="146">
        <v>45022</v>
      </c>
      <c r="O5780" s="11" t="s">
        <v>503</v>
      </c>
      <c r="P5780" s="465">
        <v>3750</v>
      </c>
      <c r="Q5780" s="465">
        <v>8</v>
      </c>
      <c r="R5780" s="465">
        <f>ROUND(P5780*Q5780*25/30,2)</f>
        <v>25000</v>
      </c>
      <c r="S5780" s="31">
        <v>202304</v>
      </c>
      <c r="T5780" s="472" t="s">
        <v>7337</v>
      </c>
      <c r="U5780" s="411"/>
      <c r="V5780" s="411"/>
      <c r="W5780" s="411"/>
      <c r="X5780" s="34"/>
      <c r="Y5780" s="34"/>
    </row>
    <row r="5781" s="5" customFormat="1" customHeight="1" spans="1:25">
      <c r="A5781" s="24" t="s">
        <v>444</v>
      </c>
      <c r="B5781" s="24" t="s">
        <v>6300</v>
      </c>
      <c r="C5781" s="24" t="s">
        <v>6468</v>
      </c>
      <c r="D5781" s="22" t="s">
        <v>6301</v>
      </c>
      <c r="E5781" s="23" t="s">
        <v>7338</v>
      </c>
      <c r="F5781" s="24" t="s">
        <v>7339</v>
      </c>
      <c r="G5781" s="24" t="s">
        <v>31</v>
      </c>
      <c r="H5781" s="25" t="s">
        <v>7340</v>
      </c>
      <c r="I5781" s="46" t="e">
        <f>VLOOKUP(H5781,'合同高级查询数据-4月返'!A:A,1,FALSE)</f>
        <v>#N/A</v>
      </c>
      <c r="J5781" s="47" t="s">
        <v>4997</v>
      </c>
      <c r="K5781" s="24" t="s">
        <v>6897</v>
      </c>
      <c r="L5781" s="109" t="s">
        <v>7339</v>
      </c>
      <c r="M5781" s="49" t="s">
        <v>7341</v>
      </c>
      <c r="N5781" s="50">
        <v>43490</v>
      </c>
      <c r="O5781" s="24" t="s">
        <v>37</v>
      </c>
      <c r="P5781" s="52">
        <v>0</v>
      </c>
      <c r="Q5781" s="70">
        <v>288</v>
      </c>
      <c r="R5781" s="52">
        <f t="shared" ref="R5781:R5840" si="177">ROUND(P5781*Q5781,2)</f>
        <v>0</v>
      </c>
      <c r="S5781" s="47">
        <v>202304</v>
      </c>
      <c r="T5781" s="123" t="s">
        <v>7342</v>
      </c>
      <c r="U5781" s="48"/>
      <c r="V5781" s="48"/>
      <c r="W5781" s="48"/>
      <c r="X5781" s="50">
        <v>44927</v>
      </c>
      <c r="Y5781" s="50">
        <v>45107</v>
      </c>
    </row>
    <row r="5782" s="5" customFormat="1" customHeight="1" spans="1:25">
      <c r="A5782" s="24" t="s">
        <v>444</v>
      </c>
      <c r="B5782" s="24" t="s">
        <v>6300</v>
      </c>
      <c r="C5782" s="24" t="s">
        <v>6468</v>
      </c>
      <c r="D5782" s="22" t="s">
        <v>6301</v>
      </c>
      <c r="E5782" s="23" t="s">
        <v>7338</v>
      </c>
      <c r="F5782" s="24" t="s">
        <v>7339</v>
      </c>
      <c r="G5782" s="24" t="s">
        <v>31</v>
      </c>
      <c r="H5782" s="25" t="s">
        <v>7340</v>
      </c>
      <c r="I5782" s="46" t="e">
        <f>VLOOKUP(H5782,'合同高级查询数据-4月返'!A:A,1,FALSE)</f>
        <v>#N/A</v>
      </c>
      <c r="J5782" s="47" t="s">
        <v>4997</v>
      </c>
      <c r="K5782" s="24" t="s">
        <v>6897</v>
      </c>
      <c r="L5782" s="109" t="s">
        <v>7339</v>
      </c>
      <c r="M5782" s="49" t="s">
        <v>7341</v>
      </c>
      <c r="N5782" s="50">
        <v>44335</v>
      </c>
      <c r="O5782" s="239" t="s">
        <v>37</v>
      </c>
      <c r="P5782" s="52">
        <v>0</v>
      </c>
      <c r="Q5782" s="70">
        <v>128</v>
      </c>
      <c r="R5782" s="52">
        <f t="shared" si="177"/>
        <v>0</v>
      </c>
      <c r="S5782" s="47">
        <v>202304</v>
      </c>
      <c r="T5782" s="123" t="s">
        <v>7343</v>
      </c>
      <c r="U5782" s="48"/>
      <c r="V5782" s="48"/>
      <c r="W5782" s="48"/>
      <c r="X5782" s="50">
        <v>44927</v>
      </c>
      <c r="Y5782" s="50">
        <v>45107</v>
      </c>
    </row>
    <row r="5783" s="5" customFormat="1" customHeight="1" spans="1:25">
      <c r="A5783" s="24" t="s">
        <v>444</v>
      </c>
      <c r="B5783" s="24" t="s">
        <v>6300</v>
      </c>
      <c r="C5783" s="24" t="s">
        <v>6468</v>
      </c>
      <c r="D5783" s="22" t="s">
        <v>6301</v>
      </c>
      <c r="E5783" s="23" t="s">
        <v>7338</v>
      </c>
      <c r="F5783" s="24" t="s">
        <v>7339</v>
      </c>
      <c r="G5783" s="24" t="s">
        <v>31</v>
      </c>
      <c r="H5783" s="25" t="s">
        <v>7340</v>
      </c>
      <c r="I5783" s="46" t="e">
        <f>VLOOKUP(H5783,'合同高级查询数据-4月返'!A:A,1,FALSE)</f>
        <v>#N/A</v>
      </c>
      <c r="J5783" s="47" t="s">
        <v>4997</v>
      </c>
      <c r="K5783" s="24" t="s">
        <v>6897</v>
      </c>
      <c r="L5783" s="109" t="s">
        <v>7339</v>
      </c>
      <c r="M5783" s="49" t="s">
        <v>7341</v>
      </c>
      <c r="N5783" s="50">
        <v>44414</v>
      </c>
      <c r="O5783" s="239" t="s">
        <v>37</v>
      </c>
      <c r="P5783" s="52">
        <v>0</v>
      </c>
      <c r="Q5783" s="70">
        <v>128</v>
      </c>
      <c r="R5783" s="52">
        <f t="shared" si="177"/>
        <v>0</v>
      </c>
      <c r="S5783" s="47">
        <v>202304</v>
      </c>
      <c r="T5783" s="123" t="s">
        <v>7344</v>
      </c>
      <c r="U5783" s="48"/>
      <c r="V5783" s="48"/>
      <c r="W5783" s="48"/>
      <c r="X5783" s="50">
        <v>44927</v>
      </c>
      <c r="Y5783" s="50">
        <v>45107</v>
      </c>
    </row>
    <row r="5784" s="5" customFormat="1" customHeight="1" spans="1:25">
      <c r="A5784" s="24" t="s">
        <v>444</v>
      </c>
      <c r="B5784" s="24" t="s">
        <v>6300</v>
      </c>
      <c r="C5784" s="24" t="s">
        <v>6468</v>
      </c>
      <c r="D5784" s="22" t="s">
        <v>6301</v>
      </c>
      <c r="E5784" s="23" t="s">
        <v>7338</v>
      </c>
      <c r="F5784" s="24" t="s">
        <v>7339</v>
      </c>
      <c r="G5784" s="24" t="s">
        <v>31</v>
      </c>
      <c r="H5784" s="25" t="s">
        <v>7340</v>
      </c>
      <c r="I5784" s="46" t="e">
        <f>VLOOKUP(H5784,'合同高级查询数据-4月返'!A:A,1,FALSE)</f>
        <v>#N/A</v>
      </c>
      <c r="J5784" s="47" t="s">
        <v>4997</v>
      </c>
      <c r="K5784" s="24" t="s">
        <v>6897</v>
      </c>
      <c r="L5784" s="109" t="s">
        <v>7339</v>
      </c>
      <c r="M5784" s="49" t="s">
        <v>7341</v>
      </c>
      <c r="N5784" s="50">
        <v>44869</v>
      </c>
      <c r="O5784" s="239" t="s">
        <v>37</v>
      </c>
      <c r="P5784" s="52">
        <v>0</v>
      </c>
      <c r="Q5784" s="70">
        <v>-128</v>
      </c>
      <c r="R5784" s="52">
        <f t="shared" si="177"/>
        <v>0</v>
      </c>
      <c r="S5784" s="47">
        <v>202304</v>
      </c>
      <c r="T5784" s="123" t="s">
        <v>7345</v>
      </c>
      <c r="U5784" s="48"/>
      <c r="V5784" s="48"/>
      <c r="W5784" s="48"/>
      <c r="X5784" s="50">
        <v>44927</v>
      </c>
      <c r="Y5784" s="50">
        <v>45107</v>
      </c>
    </row>
    <row r="5785" s="5" customFormat="1" customHeight="1" spans="1:25">
      <c r="A5785" s="24" t="s">
        <v>444</v>
      </c>
      <c r="B5785" s="24" t="s">
        <v>6300</v>
      </c>
      <c r="C5785" s="24" t="s">
        <v>6468</v>
      </c>
      <c r="D5785" s="22" t="s">
        <v>6301</v>
      </c>
      <c r="E5785" s="23" t="s">
        <v>7338</v>
      </c>
      <c r="F5785" s="24" t="s">
        <v>7339</v>
      </c>
      <c r="G5785" s="24" t="s">
        <v>31</v>
      </c>
      <c r="H5785" s="25" t="s">
        <v>7340</v>
      </c>
      <c r="I5785" s="46" t="e">
        <f>VLOOKUP(H5785,'合同高级查询数据-4月返'!A:A,1,FALSE)</f>
        <v>#N/A</v>
      </c>
      <c r="J5785" s="47" t="s">
        <v>4997</v>
      </c>
      <c r="K5785" s="24" t="s">
        <v>6897</v>
      </c>
      <c r="L5785" s="109" t="s">
        <v>7339</v>
      </c>
      <c r="M5785" s="49"/>
      <c r="N5785" s="50"/>
      <c r="O5785" s="24" t="s">
        <v>179</v>
      </c>
      <c r="P5785" s="52">
        <v>0</v>
      </c>
      <c r="Q5785" s="70">
        <v>1</v>
      </c>
      <c r="R5785" s="52">
        <f t="shared" si="177"/>
        <v>0</v>
      </c>
      <c r="S5785" s="47">
        <v>202304</v>
      </c>
      <c r="T5785" s="123" t="s">
        <v>7346</v>
      </c>
      <c r="U5785" s="48"/>
      <c r="V5785" s="48"/>
      <c r="W5785" s="48"/>
      <c r="X5785" s="50">
        <v>44927</v>
      </c>
      <c r="Y5785" s="50">
        <v>45107</v>
      </c>
    </row>
    <row r="5786" s="5" customFormat="1" customHeight="1" spans="1:25">
      <c r="A5786" s="24" t="s">
        <v>444</v>
      </c>
      <c r="B5786" s="24" t="s">
        <v>6300</v>
      </c>
      <c r="C5786" s="24" t="s">
        <v>6468</v>
      </c>
      <c r="D5786" s="22" t="s">
        <v>6301</v>
      </c>
      <c r="E5786" s="23" t="s">
        <v>7338</v>
      </c>
      <c r="F5786" s="24" t="s">
        <v>7339</v>
      </c>
      <c r="G5786" s="24" t="s">
        <v>88</v>
      </c>
      <c r="H5786" s="25" t="s">
        <v>7340</v>
      </c>
      <c r="I5786" s="46" t="e">
        <f>VLOOKUP(H5786,'合同高级查询数据-4月返'!A:A,1,FALSE)</f>
        <v>#N/A</v>
      </c>
      <c r="J5786" s="47" t="s">
        <v>162</v>
      </c>
      <c r="K5786" s="24" t="s">
        <v>6897</v>
      </c>
      <c r="L5786" s="109" t="s">
        <v>7339</v>
      </c>
      <c r="M5786" s="49" t="s">
        <v>7341</v>
      </c>
      <c r="N5786" s="50">
        <v>43490</v>
      </c>
      <c r="O5786" s="22" t="s">
        <v>3999</v>
      </c>
      <c r="P5786" s="52">
        <v>5850</v>
      </c>
      <c r="Q5786" s="70">
        <v>7</v>
      </c>
      <c r="R5786" s="52">
        <f t="shared" si="177"/>
        <v>40950</v>
      </c>
      <c r="S5786" s="47">
        <v>202304</v>
      </c>
      <c r="T5786" s="123" t="s">
        <v>7347</v>
      </c>
      <c r="U5786" s="48"/>
      <c r="V5786" s="48"/>
      <c r="W5786" s="48"/>
      <c r="X5786" s="50">
        <v>44927</v>
      </c>
      <c r="Y5786" s="50">
        <v>45107</v>
      </c>
    </row>
    <row r="5787" s="5" customFormat="1" customHeight="1" spans="1:25">
      <c r="A5787" s="24" t="s">
        <v>444</v>
      </c>
      <c r="B5787" s="24" t="s">
        <v>6300</v>
      </c>
      <c r="C5787" s="24" t="s">
        <v>6468</v>
      </c>
      <c r="D5787" s="22" t="s">
        <v>6301</v>
      </c>
      <c r="E5787" s="23" t="s">
        <v>7338</v>
      </c>
      <c r="F5787" s="24" t="s">
        <v>7339</v>
      </c>
      <c r="G5787" s="24" t="s">
        <v>88</v>
      </c>
      <c r="H5787" s="25" t="s">
        <v>7340</v>
      </c>
      <c r="I5787" s="46" t="e">
        <f>VLOOKUP(H5787,'合同高级查询数据-4月返'!A:A,1,FALSE)</f>
        <v>#N/A</v>
      </c>
      <c r="J5787" s="47" t="s">
        <v>162</v>
      </c>
      <c r="K5787" s="24" t="s">
        <v>6897</v>
      </c>
      <c r="L5787" s="109" t="s">
        <v>7339</v>
      </c>
      <c r="M5787" s="49" t="s">
        <v>7341</v>
      </c>
      <c r="N5787" s="50">
        <v>44335</v>
      </c>
      <c r="O5787" s="22" t="s">
        <v>3999</v>
      </c>
      <c r="P5787" s="52">
        <v>5850</v>
      </c>
      <c r="Q5787" s="70">
        <v>2</v>
      </c>
      <c r="R5787" s="52">
        <f t="shared" si="177"/>
        <v>11700</v>
      </c>
      <c r="S5787" s="47">
        <v>202304</v>
      </c>
      <c r="T5787" s="123" t="s">
        <v>7348</v>
      </c>
      <c r="U5787" s="48"/>
      <c r="V5787" s="48"/>
      <c r="W5787" s="48"/>
      <c r="X5787" s="50">
        <v>44927</v>
      </c>
      <c r="Y5787" s="50">
        <v>45107</v>
      </c>
    </row>
    <row r="5788" s="5" customFormat="1" customHeight="1" spans="1:25">
      <c r="A5788" s="24" t="s">
        <v>444</v>
      </c>
      <c r="B5788" s="24" t="s">
        <v>6300</v>
      </c>
      <c r="C5788" s="24" t="s">
        <v>6468</v>
      </c>
      <c r="D5788" s="22" t="s">
        <v>6301</v>
      </c>
      <c r="E5788" s="23" t="s">
        <v>7338</v>
      </c>
      <c r="F5788" s="24" t="s">
        <v>7339</v>
      </c>
      <c r="G5788" s="24" t="s">
        <v>88</v>
      </c>
      <c r="H5788" s="25" t="s">
        <v>7340</v>
      </c>
      <c r="I5788" s="46" t="e">
        <f>VLOOKUP(H5788,'合同高级查询数据-4月返'!A:A,1,FALSE)</f>
        <v>#N/A</v>
      </c>
      <c r="J5788" s="47" t="s">
        <v>162</v>
      </c>
      <c r="K5788" s="24" t="s">
        <v>6897</v>
      </c>
      <c r="L5788" s="109" t="s">
        <v>7339</v>
      </c>
      <c r="M5788" s="49" t="s">
        <v>7341</v>
      </c>
      <c r="N5788" s="50">
        <v>44728</v>
      </c>
      <c r="O5788" s="22" t="s">
        <v>3999</v>
      </c>
      <c r="P5788" s="52">
        <v>5850</v>
      </c>
      <c r="Q5788" s="70">
        <v>-4</v>
      </c>
      <c r="R5788" s="52">
        <f t="shared" si="177"/>
        <v>-23400</v>
      </c>
      <c r="S5788" s="47">
        <v>202304</v>
      </c>
      <c r="T5788" s="123" t="s">
        <v>7349</v>
      </c>
      <c r="U5788" s="48"/>
      <c r="V5788" s="48"/>
      <c r="W5788" s="48"/>
      <c r="X5788" s="50">
        <v>44927</v>
      </c>
      <c r="Y5788" s="50">
        <v>45107</v>
      </c>
    </row>
    <row r="5789" s="5" customFormat="1" customHeight="1" spans="1:25">
      <c r="A5789" s="24" t="s">
        <v>444</v>
      </c>
      <c r="B5789" s="24" t="s">
        <v>6300</v>
      </c>
      <c r="C5789" s="24" t="s">
        <v>3237</v>
      </c>
      <c r="D5789" s="22" t="s">
        <v>6301</v>
      </c>
      <c r="E5789" s="23" t="s">
        <v>7350</v>
      </c>
      <c r="F5789" s="24" t="s">
        <v>7351</v>
      </c>
      <c r="G5789" s="24" t="s">
        <v>31</v>
      </c>
      <c r="H5789" s="25" t="s">
        <v>7352</v>
      </c>
      <c r="I5789" s="46" t="e">
        <f>VLOOKUP(H5789,'合同高级查询数据-4月返'!A:A,1,FALSE)</f>
        <v>#N/A</v>
      </c>
      <c r="J5789" s="47" t="s">
        <v>33</v>
      </c>
      <c r="K5789" s="24" t="s">
        <v>7353</v>
      </c>
      <c r="L5789" s="109" t="s">
        <v>7354</v>
      </c>
      <c r="M5789" s="49" t="s">
        <v>7355</v>
      </c>
      <c r="N5789" s="493">
        <v>43617</v>
      </c>
      <c r="O5789" s="24" t="s">
        <v>37</v>
      </c>
      <c r="P5789" s="52">
        <v>0</v>
      </c>
      <c r="Q5789" s="70">
        <v>544</v>
      </c>
      <c r="R5789" s="52">
        <f t="shared" si="177"/>
        <v>0</v>
      </c>
      <c r="S5789" s="47">
        <v>202304</v>
      </c>
      <c r="T5789" s="123" t="s">
        <v>7356</v>
      </c>
      <c r="U5789" s="48"/>
      <c r="V5789" s="48"/>
      <c r="W5789" s="48"/>
      <c r="X5789" s="50">
        <v>44927</v>
      </c>
      <c r="Y5789" s="50">
        <v>45107</v>
      </c>
    </row>
    <row r="5790" s="5" customFormat="1" customHeight="1" spans="1:25">
      <c r="A5790" s="24" t="s">
        <v>444</v>
      </c>
      <c r="B5790" s="24" t="s">
        <v>6300</v>
      </c>
      <c r="C5790" s="24" t="s">
        <v>3237</v>
      </c>
      <c r="D5790" s="22" t="s">
        <v>6301</v>
      </c>
      <c r="E5790" s="23" t="s">
        <v>7350</v>
      </c>
      <c r="F5790" s="24" t="s">
        <v>7351</v>
      </c>
      <c r="G5790" s="24" t="s">
        <v>31</v>
      </c>
      <c r="H5790" s="25" t="s">
        <v>7352</v>
      </c>
      <c r="I5790" s="46" t="e">
        <f>VLOOKUP(H5790,'合同高级查询数据-4月返'!A:A,1,FALSE)</f>
        <v>#N/A</v>
      </c>
      <c r="J5790" s="47" t="s">
        <v>33</v>
      </c>
      <c r="K5790" s="24" t="s">
        <v>7353</v>
      </c>
      <c r="L5790" s="109" t="s">
        <v>7354</v>
      </c>
      <c r="M5790" s="49" t="s">
        <v>7355</v>
      </c>
      <c r="N5790" s="493">
        <v>44773</v>
      </c>
      <c r="O5790" s="24" t="s">
        <v>37</v>
      </c>
      <c r="P5790" s="52">
        <v>0</v>
      </c>
      <c r="Q5790" s="70">
        <v>-384</v>
      </c>
      <c r="R5790" s="52">
        <f t="shared" si="177"/>
        <v>0</v>
      </c>
      <c r="S5790" s="47">
        <v>202304</v>
      </c>
      <c r="T5790" s="123" t="s">
        <v>7357</v>
      </c>
      <c r="U5790" s="48"/>
      <c r="V5790" s="48"/>
      <c r="W5790" s="48"/>
      <c r="X5790" s="50">
        <v>44927</v>
      </c>
      <c r="Y5790" s="50">
        <v>45107</v>
      </c>
    </row>
    <row r="5791" s="5" customFormat="1" customHeight="1" spans="1:25">
      <c r="A5791" s="24" t="s">
        <v>444</v>
      </c>
      <c r="B5791" s="24" t="s">
        <v>6300</v>
      </c>
      <c r="C5791" s="24" t="s">
        <v>3237</v>
      </c>
      <c r="D5791" s="22" t="s">
        <v>6301</v>
      </c>
      <c r="E5791" s="23" t="s">
        <v>7350</v>
      </c>
      <c r="F5791" s="24" t="s">
        <v>7351</v>
      </c>
      <c r="G5791" s="24" t="s">
        <v>88</v>
      </c>
      <c r="H5791" s="25" t="s">
        <v>7352</v>
      </c>
      <c r="I5791" s="46" t="e">
        <f>VLOOKUP(H5791,'合同高级查询数据-4月返'!A:A,1,FALSE)</f>
        <v>#N/A</v>
      </c>
      <c r="J5791" s="47" t="s">
        <v>162</v>
      </c>
      <c r="K5791" s="24" t="s">
        <v>7353</v>
      </c>
      <c r="L5791" s="109" t="s">
        <v>7354</v>
      </c>
      <c r="M5791" s="49" t="s">
        <v>7355</v>
      </c>
      <c r="N5791" s="493">
        <v>43617</v>
      </c>
      <c r="O5791" s="49" t="s">
        <v>92</v>
      </c>
      <c r="P5791" s="52">
        <v>4091</v>
      </c>
      <c r="Q5791" s="70">
        <v>11</v>
      </c>
      <c r="R5791" s="52">
        <f t="shared" si="177"/>
        <v>45001</v>
      </c>
      <c r="S5791" s="47">
        <v>202304</v>
      </c>
      <c r="T5791" s="123" t="s">
        <v>7358</v>
      </c>
      <c r="U5791" s="48"/>
      <c r="V5791" s="48"/>
      <c r="W5791" s="48"/>
      <c r="X5791" s="50">
        <v>44927</v>
      </c>
      <c r="Y5791" s="50">
        <v>45107</v>
      </c>
    </row>
    <row r="5792" s="5" customFormat="1" customHeight="1" spans="1:25">
      <c r="A5792" s="24" t="s">
        <v>444</v>
      </c>
      <c r="B5792" s="24" t="s">
        <v>6300</v>
      </c>
      <c r="C5792" s="24" t="s">
        <v>3237</v>
      </c>
      <c r="D5792" s="22" t="s">
        <v>6301</v>
      </c>
      <c r="E5792" s="23" t="s">
        <v>7350</v>
      </c>
      <c r="F5792" s="24" t="s">
        <v>7351</v>
      </c>
      <c r="G5792" s="24" t="s">
        <v>88</v>
      </c>
      <c r="H5792" s="25" t="s">
        <v>7352</v>
      </c>
      <c r="I5792" s="46" t="e">
        <f>VLOOKUP(H5792,'合同高级查询数据-4月返'!A:A,1,FALSE)</f>
        <v>#N/A</v>
      </c>
      <c r="J5792" s="47" t="s">
        <v>162</v>
      </c>
      <c r="K5792" s="24" t="s">
        <v>7353</v>
      </c>
      <c r="L5792" s="109" t="s">
        <v>7354</v>
      </c>
      <c r="M5792" s="49" t="s">
        <v>7355</v>
      </c>
      <c r="N5792" s="493">
        <v>44712</v>
      </c>
      <c r="O5792" s="49" t="s">
        <v>92</v>
      </c>
      <c r="P5792" s="52">
        <v>4091</v>
      </c>
      <c r="Q5792" s="70">
        <v>-7</v>
      </c>
      <c r="R5792" s="52">
        <f t="shared" si="177"/>
        <v>-28637</v>
      </c>
      <c r="S5792" s="47">
        <v>202304</v>
      </c>
      <c r="T5792" s="123" t="s">
        <v>7359</v>
      </c>
      <c r="U5792" s="48"/>
      <c r="V5792" s="48"/>
      <c r="W5792" s="48"/>
      <c r="X5792" s="50">
        <v>44927</v>
      </c>
      <c r="Y5792" s="50">
        <v>45107</v>
      </c>
    </row>
    <row r="5793" s="5" customFormat="1" customHeight="1" spans="1:25">
      <c r="A5793" s="24" t="s">
        <v>444</v>
      </c>
      <c r="B5793" s="24" t="s">
        <v>6300</v>
      </c>
      <c r="C5793" s="24" t="s">
        <v>3237</v>
      </c>
      <c r="D5793" s="22" t="s">
        <v>6301</v>
      </c>
      <c r="E5793" s="23" t="s">
        <v>7360</v>
      </c>
      <c r="F5793" s="24" t="s">
        <v>7361</v>
      </c>
      <c r="G5793" s="24" t="s">
        <v>31</v>
      </c>
      <c r="H5793" s="25" t="s">
        <v>7362</v>
      </c>
      <c r="I5793" s="46" t="e">
        <f>VLOOKUP(H5793,'合同高级查询数据-4月返'!A:A,1,FALSE)</f>
        <v>#N/A</v>
      </c>
      <c r="J5793" s="47" t="s">
        <v>33</v>
      </c>
      <c r="K5793" s="24" t="s">
        <v>7363</v>
      </c>
      <c r="L5793" s="109" t="s">
        <v>7361</v>
      </c>
      <c r="M5793" s="49" t="s">
        <v>7364</v>
      </c>
      <c r="N5793" s="50">
        <v>43709</v>
      </c>
      <c r="O5793" s="22" t="s">
        <v>37</v>
      </c>
      <c r="P5793" s="52">
        <v>0</v>
      </c>
      <c r="Q5793" s="70">
        <v>544</v>
      </c>
      <c r="R5793" s="52">
        <f t="shared" si="177"/>
        <v>0</v>
      </c>
      <c r="S5793" s="47">
        <v>202304</v>
      </c>
      <c r="T5793" s="123" t="s">
        <v>7365</v>
      </c>
      <c r="U5793" s="48"/>
      <c r="V5793" s="48"/>
      <c r="W5793" s="48"/>
      <c r="X5793" s="50">
        <v>44197</v>
      </c>
      <c r="Y5793" s="50">
        <v>44926</v>
      </c>
    </row>
    <row r="5794" s="5" customFormat="1" customHeight="1" spans="1:25">
      <c r="A5794" s="24" t="s">
        <v>444</v>
      </c>
      <c r="B5794" s="24" t="s">
        <v>6300</v>
      </c>
      <c r="C5794" s="24" t="s">
        <v>3237</v>
      </c>
      <c r="D5794" s="22" t="s">
        <v>6301</v>
      </c>
      <c r="E5794" s="23" t="s">
        <v>7360</v>
      </c>
      <c r="F5794" s="24" t="s">
        <v>7361</v>
      </c>
      <c r="G5794" s="24" t="s">
        <v>31</v>
      </c>
      <c r="H5794" s="25" t="s">
        <v>7362</v>
      </c>
      <c r="I5794" s="46" t="e">
        <f>VLOOKUP(H5794,'合同高级查询数据-4月返'!A:A,1,FALSE)</f>
        <v>#N/A</v>
      </c>
      <c r="J5794" s="47" t="s">
        <v>33</v>
      </c>
      <c r="K5794" s="24" t="s">
        <v>7363</v>
      </c>
      <c r="L5794" s="109" t="s">
        <v>7361</v>
      </c>
      <c r="M5794" s="49" t="s">
        <v>7364</v>
      </c>
      <c r="N5794" s="50">
        <v>44712</v>
      </c>
      <c r="O5794" s="22" t="s">
        <v>37</v>
      </c>
      <c r="P5794" s="52">
        <v>0</v>
      </c>
      <c r="Q5794" s="70">
        <v>-544</v>
      </c>
      <c r="R5794" s="52">
        <f t="shared" si="177"/>
        <v>0</v>
      </c>
      <c r="S5794" s="47">
        <v>202304</v>
      </c>
      <c r="T5794" s="123" t="s">
        <v>7366</v>
      </c>
      <c r="U5794" s="48"/>
      <c r="V5794" s="48"/>
      <c r="W5794" s="48"/>
      <c r="X5794" s="50">
        <v>44197</v>
      </c>
      <c r="Y5794" s="50">
        <v>44926</v>
      </c>
    </row>
    <row r="5795" s="5" customFormat="1" customHeight="1" spans="1:25">
      <c r="A5795" s="24" t="s">
        <v>444</v>
      </c>
      <c r="B5795" s="24" t="s">
        <v>6300</v>
      </c>
      <c r="C5795" s="24" t="s">
        <v>3237</v>
      </c>
      <c r="D5795" s="22" t="s">
        <v>6301</v>
      </c>
      <c r="E5795" s="23" t="s">
        <v>7360</v>
      </c>
      <c r="F5795" s="24" t="s">
        <v>7361</v>
      </c>
      <c r="G5795" s="24" t="s">
        <v>88</v>
      </c>
      <c r="H5795" s="25" t="s">
        <v>7362</v>
      </c>
      <c r="I5795" s="46" t="e">
        <f>VLOOKUP(H5795,'合同高级查询数据-4月返'!A:A,1,FALSE)</f>
        <v>#N/A</v>
      </c>
      <c r="J5795" s="47" t="s">
        <v>162</v>
      </c>
      <c r="K5795" s="24" t="s">
        <v>7363</v>
      </c>
      <c r="L5795" s="109" t="s">
        <v>7361</v>
      </c>
      <c r="M5795" s="49" t="s">
        <v>7364</v>
      </c>
      <c r="N5795" s="50">
        <v>43709</v>
      </c>
      <c r="O5795" s="22" t="s">
        <v>92</v>
      </c>
      <c r="P5795" s="52">
        <v>5000</v>
      </c>
      <c r="Q5795" s="70">
        <v>8</v>
      </c>
      <c r="R5795" s="52">
        <f t="shared" si="177"/>
        <v>40000</v>
      </c>
      <c r="S5795" s="47">
        <v>202304</v>
      </c>
      <c r="T5795" s="123" t="s">
        <v>7367</v>
      </c>
      <c r="U5795" s="48"/>
      <c r="V5795" s="48"/>
      <c r="W5795" s="48"/>
      <c r="X5795" s="50">
        <v>44197</v>
      </c>
      <c r="Y5795" s="50">
        <v>44926</v>
      </c>
    </row>
    <row r="5796" s="5" customFormat="1" customHeight="1" spans="1:25">
      <c r="A5796" s="24" t="s">
        <v>444</v>
      </c>
      <c r="B5796" s="24" t="s">
        <v>6300</v>
      </c>
      <c r="C5796" s="24" t="s">
        <v>3237</v>
      </c>
      <c r="D5796" s="22" t="s">
        <v>6301</v>
      </c>
      <c r="E5796" s="23" t="s">
        <v>7360</v>
      </c>
      <c r="F5796" s="24" t="s">
        <v>7361</v>
      </c>
      <c r="G5796" s="24" t="s">
        <v>88</v>
      </c>
      <c r="H5796" s="25" t="s">
        <v>7362</v>
      </c>
      <c r="I5796" s="46" t="e">
        <f>VLOOKUP(H5796,'合同高级查询数据-4月返'!A:A,1,FALSE)</f>
        <v>#N/A</v>
      </c>
      <c r="J5796" s="47" t="s">
        <v>162</v>
      </c>
      <c r="K5796" s="24" t="s">
        <v>7363</v>
      </c>
      <c r="L5796" s="109" t="s">
        <v>7361</v>
      </c>
      <c r="M5796" s="49" t="s">
        <v>7364</v>
      </c>
      <c r="N5796" s="50">
        <v>44712</v>
      </c>
      <c r="O5796" s="22" t="s">
        <v>92</v>
      </c>
      <c r="P5796" s="52">
        <v>5000</v>
      </c>
      <c r="Q5796" s="70">
        <v>-8</v>
      </c>
      <c r="R5796" s="52">
        <f t="shared" si="177"/>
        <v>-40000</v>
      </c>
      <c r="S5796" s="47">
        <v>202304</v>
      </c>
      <c r="T5796" s="123" t="s">
        <v>7368</v>
      </c>
      <c r="U5796" s="48"/>
      <c r="V5796" s="48"/>
      <c r="W5796" s="48"/>
      <c r="X5796" s="50">
        <v>44197</v>
      </c>
      <c r="Y5796" s="50">
        <v>44926</v>
      </c>
    </row>
    <row r="5797" s="3" customFormat="1" customHeight="1" spans="1:25">
      <c r="A5797" s="11" t="s">
        <v>61</v>
      </c>
      <c r="B5797" s="11" t="s">
        <v>6300</v>
      </c>
      <c r="C5797" s="11" t="s">
        <v>3237</v>
      </c>
      <c r="D5797" s="35" t="s">
        <v>85</v>
      </c>
      <c r="E5797" s="13" t="s">
        <v>7369</v>
      </c>
      <c r="F5797" s="11" t="s">
        <v>7370</v>
      </c>
      <c r="G5797" s="11" t="s">
        <v>88</v>
      </c>
      <c r="H5797" s="110" t="s">
        <v>7371</v>
      </c>
      <c r="I5797" s="30" t="e">
        <f>VLOOKUP(H5797,'合同高级查询数据-4月返'!A:A,1,FALSE)</f>
        <v>#N/A</v>
      </c>
      <c r="J5797" s="31" t="s">
        <v>90</v>
      </c>
      <c r="K5797" s="11" t="s">
        <v>7372</v>
      </c>
      <c r="L5797" s="32"/>
      <c r="M5797" s="113" t="s">
        <v>7373</v>
      </c>
      <c r="N5797" s="500">
        <v>42200</v>
      </c>
      <c r="O5797" s="500" t="s">
        <v>568</v>
      </c>
      <c r="P5797" s="465">
        <v>33390</v>
      </c>
      <c r="Q5797" s="459">
        <v>2</v>
      </c>
      <c r="R5797" s="465">
        <f t="shared" si="177"/>
        <v>66780</v>
      </c>
      <c r="S5797" s="31">
        <v>202304</v>
      </c>
      <c r="T5797" s="60"/>
      <c r="U5797" s="411"/>
      <c r="V5797" s="411"/>
      <c r="W5797" s="411"/>
      <c r="X5797" s="34"/>
      <c r="Y5797" s="34"/>
    </row>
    <row r="5798" s="3" customFormat="1" customHeight="1" spans="1:25">
      <c r="A5798" s="11" t="s">
        <v>61</v>
      </c>
      <c r="B5798" s="11" t="s">
        <v>6300</v>
      </c>
      <c r="C5798" s="11" t="s">
        <v>3237</v>
      </c>
      <c r="D5798" s="35" t="s">
        <v>85</v>
      </c>
      <c r="E5798" s="13" t="s">
        <v>7369</v>
      </c>
      <c r="F5798" s="11" t="s">
        <v>7370</v>
      </c>
      <c r="G5798" s="11" t="s">
        <v>88</v>
      </c>
      <c r="H5798" s="110" t="s">
        <v>7371</v>
      </c>
      <c r="I5798" s="30" t="e">
        <f>VLOOKUP(H5798,'合同高级查询数据-4月返'!A:A,1,FALSE)</f>
        <v>#N/A</v>
      </c>
      <c r="J5798" s="31" t="s">
        <v>90</v>
      </c>
      <c r="K5798" s="11" t="s">
        <v>7372</v>
      </c>
      <c r="L5798" s="32"/>
      <c r="M5798" s="113" t="s">
        <v>7373</v>
      </c>
      <c r="N5798" s="500">
        <v>42200</v>
      </c>
      <c r="O5798" s="500" t="s">
        <v>566</v>
      </c>
      <c r="P5798" s="465">
        <v>14310</v>
      </c>
      <c r="Q5798" s="459">
        <v>3</v>
      </c>
      <c r="R5798" s="465">
        <f t="shared" si="177"/>
        <v>42930</v>
      </c>
      <c r="S5798" s="31">
        <v>202304</v>
      </c>
      <c r="T5798" s="60"/>
      <c r="U5798" s="411"/>
      <c r="V5798" s="411"/>
      <c r="W5798" s="411"/>
      <c r="X5798" s="34"/>
      <c r="Y5798" s="34"/>
    </row>
    <row r="5799" s="3" customFormat="1" customHeight="1" spans="1:25">
      <c r="A5799" s="11" t="s">
        <v>61</v>
      </c>
      <c r="B5799" s="11" t="s">
        <v>6300</v>
      </c>
      <c r="C5799" s="11" t="s">
        <v>3237</v>
      </c>
      <c r="D5799" s="35" t="s">
        <v>85</v>
      </c>
      <c r="E5799" s="13" t="s">
        <v>7369</v>
      </c>
      <c r="F5799" s="11" t="s">
        <v>7370</v>
      </c>
      <c r="G5799" s="11" t="s">
        <v>88</v>
      </c>
      <c r="H5799" s="110" t="s">
        <v>7371</v>
      </c>
      <c r="I5799" s="30" t="e">
        <f>VLOOKUP(H5799,'合同高级查询数据-4月返'!A:A,1,FALSE)</f>
        <v>#N/A</v>
      </c>
      <c r="J5799" s="31" t="s">
        <v>90</v>
      </c>
      <c r="K5799" s="11" t="s">
        <v>7372</v>
      </c>
      <c r="L5799" s="32" t="s">
        <v>7374</v>
      </c>
      <c r="M5799" s="113" t="s">
        <v>7373</v>
      </c>
      <c r="N5799" s="500">
        <v>42200</v>
      </c>
      <c r="O5799" s="500" t="s">
        <v>503</v>
      </c>
      <c r="P5799" s="465">
        <v>6996</v>
      </c>
      <c r="Q5799" s="459">
        <v>5</v>
      </c>
      <c r="R5799" s="465">
        <f t="shared" si="177"/>
        <v>34980</v>
      </c>
      <c r="S5799" s="31">
        <v>202304</v>
      </c>
      <c r="T5799" s="60"/>
      <c r="U5799" s="411"/>
      <c r="V5799" s="411"/>
      <c r="W5799" s="411"/>
      <c r="X5799" s="34"/>
      <c r="Y5799" s="34"/>
    </row>
    <row r="5800" s="3" customFormat="1" customHeight="1" spans="1:25">
      <c r="A5800" s="11" t="s">
        <v>61</v>
      </c>
      <c r="B5800" s="11" t="s">
        <v>6300</v>
      </c>
      <c r="C5800" s="11" t="s">
        <v>3237</v>
      </c>
      <c r="D5800" s="35" t="s">
        <v>85</v>
      </c>
      <c r="E5800" s="13" t="s">
        <v>7369</v>
      </c>
      <c r="F5800" s="11" t="s">
        <v>7370</v>
      </c>
      <c r="G5800" s="11" t="s">
        <v>88</v>
      </c>
      <c r="H5800" s="110" t="s">
        <v>7371</v>
      </c>
      <c r="I5800" s="30" t="e">
        <f>VLOOKUP(H5800,'合同高级查询数据-4月返'!A:A,1,FALSE)</f>
        <v>#N/A</v>
      </c>
      <c r="J5800" s="31" t="s">
        <v>90</v>
      </c>
      <c r="K5800" s="11" t="s">
        <v>7372</v>
      </c>
      <c r="L5800" s="32"/>
      <c r="M5800" s="113" t="s">
        <v>7373</v>
      </c>
      <c r="N5800" s="500">
        <v>42237</v>
      </c>
      <c r="O5800" s="500" t="s">
        <v>564</v>
      </c>
      <c r="P5800" s="465">
        <v>12720</v>
      </c>
      <c r="Q5800" s="459">
        <v>7</v>
      </c>
      <c r="R5800" s="465">
        <f t="shared" si="177"/>
        <v>89040</v>
      </c>
      <c r="S5800" s="31">
        <v>202304</v>
      </c>
      <c r="T5800" s="60"/>
      <c r="U5800" s="411"/>
      <c r="V5800" s="411"/>
      <c r="W5800" s="411"/>
      <c r="X5800" s="34"/>
      <c r="Y5800" s="34"/>
    </row>
    <row r="5801" s="3" customFormat="1" customHeight="1" spans="1:25">
      <c r="A5801" s="11" t="s">
        <v>61</v>
      </c>
      <c r="B5801" s="11" t="s">
        <v>6300</v>
      </c>
      <c r="C5801" s="11" t="s">
        <v>3237</v>
      </c>
      <c r="D5801" s="35" t="s">
        <v>85</v>
      </c>
      <c r="E5801" s="13" t="s">
        <v>7369</v>
      </c>
      <c r="F5801" s="11" t="s">
        <v>7370</v>
      </c>
      <c r="G5801" s="11" t="s">
        <v>88</v>
      </c>
      <c r="H5801" s="110" t="s">
        <v>7371</v>
      </c>
      <c r="I5801" s="30" t="e">
        <f>VLOOKUP(H5801,'合同高级查询数据-4月返'!A:A,1,FALSE)</f>
        <v>#N/A</v>
      </c>
      <c r="J5801" s="31" t="s">
        <v>90</v>
      </c>
      <c r="K5801" s="11" t="s">
        <v>7372</v>
      </c>
      <c r="L5801" s="32"/>
      <c r="M5801" s="113" t="s">
        <v>7373</v>
      </c>
      <c r="N5801" s="146">
        <v>43130</v>
      </c>
      <c r="O5801" s="142" t="s">
        <v>561</v>
      </c>
      <c r="P5801" s="465">
        <v>9540</v>
      </c>
      <c r="Q5801" s="459">
        <v>2</v>
      </c>
      <c r="R5801" s="465">
        <f t="shared" si="177"/>
        <v>19080</v>
      </c>
      <c r="S5801" s="31">
        <v>202304</v>
      </c>
      <c r="T5801" s="60"/>
      <c r="U5801" s="411"/>
      <c r="V5801" s="411"/>
      <c r="W5801" s="411"/>
      <c r="X5801" s="34"/>
      <c r="Y5801" s="34"/>
    </row>
    <row r="5802" s="3" customFormat="1" customHeight="1" spans="1:25">
      <c r="A5802" s="11" t="s">
        <v>61</v>
      </c>
      <c r="B5802" s="11" t="s">
        <v>6300</v>
      </c>
      <c r="C5802" s="11" t="s">
        <v>3237</v>
      </c>
      <c r="D5802" s="35" t="s">
        <v>85</v>
      </c>
      <c r="E5802" s="13" t="s">
        <v>7369</v>
      </c>
      <c r="F5802" s="11" t="s">
        <v>7370</v>
      </c>
      <c r="G5802" s="11" t="s">
        <v>88</v>
      </c>
      <c r="H5802" s="110" t="s">
        <v>7371</v>
      </c>
      <c r="I5802" s="30" t="e">
        <f>VLOOKUP(H5802,'合同高级查询数据-4月返'!A:A,1,FALSE)</f>
        <v>#N/A</v>
      </c>
      <c r="J5802" s="31" t="s">
        <v>90</v>
      </c>
      <c r="K5802" s="11" t="s">
        <v>7372</v>
      </c>
      <c r="L5802" s="32"/>
      <c r="M5802" s="113" t="s">
        <v>7373</v>
      </c>
      <c r="N5802" s="146">
        <v>43222</v>
      </c>
      <c r="O5802" s="142" t="s">
        <v>503</v>
      </c>
      <c r="P5802" s="465">
        <v>6996</v>
      </c>
      <c r="Q5802" s="459">
        <v>1</v>
      </c>
      <c r="R5802" s="465">
        <f t="shared" si="177"/>
        <v>6996</v>
      </c>
      <c r="S5802" s="31">
        <v>202304</v>
      </c>
      <c r="T5802" s="60"/>
      <c r="U5802" s="411"/>
      <c r="V5802" s="411"/>
      <c r="W5802" s="411"/>
      <c r="X5802" s="34"/>
      <c r="Y5802" s="34"/>
    </row>
    <row r="5803" s="3" customFormat="1" customHeight="1" spans="1:25">
      <c r="A5803" s="11" t="s">
        <v>61</v>
      </c>
      <c r="B5803" s="11" t="s">
        <v>6300</v>
      </c>
      <c r="C5803" s="11" t="s">
        <v>3237</v>
      </c>
      <c r="D5803" s="35" t="s">
        <v>85</v>
      </c>
      <c r="E5803" s="13" t="s">
        <v>7369</v>
      </c>
      <c r="F5803" s="11" t="s">
        <v>7370</v>
      </c>
      <c r="G5803" s="11" t="s">
        <v>88</v>
      </c>
      <c r="H5803" s="110" t="s">
        <v>7371</v>
      </c>
      <c r="I5803" s="30" t="e">
        <f>VLOOKUP(H5803,'合同高级查询数据-4月返'!A:A,1,FALSE)</f>
        <v>#N/A</v>
      </c>
      <c r="J5803" s="31" t="s">
        <v>90</v>
      </c>
      <c r="K5803" s="11" t="s">
        <v>7372</v>
      </c>
      <c r="L5803" s="32"/>
      <c r="M5803" s="113" t="s">
        <v>7373</v>
      </c>
      <c r="N5803" s="500">
        <v>43670</v>
      </c>
      <c r="O5803" s="500" t="s">
        <v>564</v>
      </c>
      <c r="P5803" s="465">
        <v>12720</v>
      </c>
      <c r="Q5803" s="459">
        <v>1</v>
      </c>
      <c r="R5803" s="465">
        <f t="shared" si="177"/>
        <v>12720</v>
      </c>
      <c r="S5803" s="31">
        <v>202304</v>
      </c>
      <c r="T5803" s="60" t="s">
        <v>7375</v>
      </c>
      <c r="U5803" s="411"/>
      <c r="V5803" s="411"/>
      <c r="W5803" s="411"/>
      <c r="X5803" s="34"/>
      <c r="Y5803" s="34"/>
    </row>
    <row r="5804" s="3" customFormat="1" customHeight="1" spans="1:25">
      <c r="A5804" s="11" t="s">
        <v>61</v>
      </c>
      <c r="B5804" s="11" t="s">
        <v>6300</v>
      </c>
      <c r="C5804" s="11" t="s">
        <v>3237</v>
      </c>
      <c r="D5804" s="35" t="s">
        <v>85</v>
      </c>
      <c r="E5804" s="13" t="s">
        <v>7369</v>
      </c>
      <c r="F5804" s="11" t="s">
        <v>7370</v>
      </c>
      <c r="G5804" s="11" t="s">
        <v>88</v>
      </c>
      <c r="H5804" s="110" t="s">
        <v>7371</v>
      </c>
      <c r="I5804" s="30" t="e">
        <f>VLOOKUP(H5804,'合同高级查询数据-4月返'!A:A,1,FALSE)</f>
        <v>#N/A</v>
      </c>
      <c r="J5804" s="31" t="s">
        <v>90</v>
      </c>
      <c r="K5804" s="11" t="s">
        <v>7372</v>
      </c>
      <c r="L5804" s="32"/>
      <c r="M5804" s="113" t="s">
        <v>7373</v>
      </c>
      <c r="N5804" s="500">
        <v>43700</v>
      </c>
      <c r="O5804" s="500" t="s">
        <v>564</v>
      </c>
      <c r="P5804" s="465">
        <v>12720</v>
      </c>
      <c r="Q5804" s="459">
        <v>-1</v>
      </c>
      <c r="R5804" s="465">
        <f t="shared" si="177"/>
        <v>-12720</v>
      </c>
      <c r="S5804" s="31">
        <v>202304</v>
      </c>
      <c r="T5804" s="60" t="s">
        <v>7376</v>
      </c>
      <c r="U5804" s="411"/>
      <c r="V5804" s="411"/>
      <c r="W5804" s="411"/>
      <c r="X5804" s="34"/>
      <c r="Y5804" s="34"/>
    </row>
    <row r="5805" s="3" customFormat="1" customHeight="1" spans="1:25">
      <c r="A5805" s="11" t="s">
        <v>61</v>
      </c>
      <c r="B5805" s="11" t="s">
        <v>6300</v>
      </c>
      <c r="C5805" s="11" t="s">
        <v>3237</v>
      </c>
      <c r="D5805" s="35" t="s">
        <v>85</v>
      </c>
      <c r="E5805" s="13" t="s">
        <v>7369</v>
      </c>
      <c r="F5805" s="11" t="s">
        <v>7370</v>
      </c>
      <c r="G5805" s="11" t="s">
        <v>88</v>
      </c>
      <c r="H5805" s="110" t="s">
        <v>7371</v>
      </c>
      <c r="I5805" s="30" t="e">
        <f>VLOOKUP(H5805,'合同高级查询数据-4月返'!A:A,1,FALSE)</f>
        <v>#N/A</v>
      </c>
      <c r="J5805" s="31" t="s">
        <v>90</v>
      </c>
      <c r="K5805" s="11" t="s">
        <v>7372</v>
      </c>
      <c r="L5805" s="32"/>
      <c r="M5805" s="113" t="s">
        <v>7373</v>
      </c>
      <c r="N5805" s="500">
        <v>43783</v>
      </c>
      <c r="O5805" s="500" t="s">
        <v>7377</v>
      </c>
      <c r="P5805" s="465">
        <v>33390</v>
      </c>
      <c r="Q5805" s="459">
        <v>1</v>
      </c>
      <c r="R5805" s="465">
        <f t="shared" si="177"/>
        <v>33390</v>
      </c>
      <c r="S5805" s="31">
        <v>202304</v>
      </c>
      <c r="T5805" s="60" t="s">
        <v>7378</v>
      </c>
      <c r="U5805" s="411"/>
      <c r="V5805" s="411"/>
      <c r="W5805" s="411"/>
      <c r="X5805" s="34"/>
      <c r="Y5805" s="34"/>
    </row>
    <row r="5806" s="3" customFormat="1" customHeight="1" spans="1:25">
      <c r="A5806" s="11" t="s">
        <v>61</v>
      </c>
      <c r="B5806" s="11" t="s">
        <v>6300</v>
      </c>
      <c r="C5806" s="11" t="s">
        <v>3237</v>
      </c>
      <c r="D5806" s="35" t="s">
        <v>85</v>
      </c>
      <c r="E5806" s="13" t="s">
        <v>7369</v>
      </c>
      <c r="F5806" s="11" t="s">
        <v>7370</v>
      </c>
      <c r="G5806" s="11" t="s">
        <v>88</v>
      </c>
      <c r="H5806" s="110" t="s">
        <v>7371</v>
      </c>
      <c r="I5806" s="30" t="e">
        <f>VLOOKUP(H5806,'合同高级查询数据-4月返'!A:A,1,FALSE)</f>
        <v>#N/A</v>
      </c>
      <c r="J5806" s="31" t="s">
        <v>90</v>
      </c>
      <c r="K5806" s="11" t="s">
        <v>7372</v>
      </c>
      <c r="L5806" s="32"/>
      <c r="M5806" s="113" t="s">
        <v>7373</v>
      </c>
      <c r="N5806" s="500">
        <v>43825</v>
      </c>
      <c r="O5806" s="500" t="s">
        <v>564</v>
      </c>
      <c r="P5806" s="465">
        <v>12720</v>
      </c>
      <c r="Q5806" s="459">
        <v>-2</v>
      </c>
      <c r="R5806" s="465">
        <f t="shared" si="177"/>
        <v>-25440</v>
      </c>
      <c r="S5806" s="31">
        <v>202304</v>
      </c>
      <c r="T5806" s="60" t="s">
        <v>7379</v>
      </c>
      <c r="U5806" s="411"/>
      <c r="V5806" s="411"/>
      <c r="W5806" s="411"/>
      <c r="X5806" s="34"/>
      <c r="Y5806" s="34"/>
    </row>
    <row r="5807" s="3" customFormat="1" customHeight="1" spans="1:25">
      <c r="A5807" s="11" t="s">
        <v>61</v>
      </c>
      <c r="B5807" s="11" t="s">
        <v>6300</v>
      </c>
      <c r="C5807" s="11" t="s">
        <v>3237</v>
      </c>
      <c r="D5807" s="35" t="s">
        <v>85</v>
      </c>
      <c r="E5807" s="13" t="s">
        <v>7369</v>
      </c>
      <c r="F5807" s="11" t="s">
        <v>7370</v>
      </c>
      <c r="G5807" s="11" t="s">
        <v>88</v>
      </c>
      <c r="H5807" s="110" t="s">
        <v>7371</v>
      </c>
      <c r="I5807" s="30" t="e">
        <f>VLOOKUP(H5807,'合同高级查询数据-4月返'!A:A,1,FALSE)</f>
        <v>#N/A</v>
      </c>
      <c r="J5807" s="31" t="s">
        <v>90</v>
      </c>
      <c r="K5807" s="11" t="s">
        <v>7372</v>
      </c>
      <c r="L5807" s="32"/>
      <c r="M5807" s="113" t="s">
        <v>7373</v>
      </c>
      <c r="N5807" s="146">
        <v>43908</v>
      </c>
      <c r="O5807" s="142" t="s">
        <v>503</v>
      </c>
      <c r="P5807" s="465">
        <v>6996</v>
      </c>
      <c r="Q5807" s="459">
        <v>1</v>
      </c>
      <c r="R5807" s="465">
        <f t="shared" si="177"/>
        <v>6996</v>
      </c>
      <c r="S5807" s="31">
        <v>202304</v>
      </c>
      <c r="T5807" s="60" t="s">
        <v>7380</v>
      </c>
      <c r="U5807" s="411"/>
      <c r="V5807" s="411"/>
      <c r="W5807" s="411"/>
      <c r="X5807" s="34"/>
      <c r="Y5807" s="34"/>
    </row>
    <row r="5808" s="3" customFormat="1" customHeight="1" spans="1:25">
      <c r="A5808" s="11" t="s">
        <v>61</v>
      </c>
      <c r="B5808" s="11" t="s">
        <v>6300</v>
      </c>
      <c r="C5808" s="11" t="s">
        <v>3237</v>
      </c>
      <c r="D5808" s="35" t="s">
        <v>85</v>
      </c>
      <c r="E5808" s="13" t="s">
        <v>7369</v>
      </c>
      <c r="F5808" s="11" t="s">
        <v>7370</v>
      </c>
      <c r="G5808" s="11" t="s">
        <v>88</v>
      </c>
      <c r="H5808" s="110" t="s">
        <v>7371</v>
      </c>
      <c r="I5808" s="30" t="e">
        <f>VLOOKUP(H5808,'合同高级查询数据-4月返'!A:A,1,FALSE)</f>
        <v>#N/A</v>
      </c>
      <c r="J5808" s="31" t="s">
        <v>90</v>
      </c>
      <c r="K5808" s="11" t="s">
        <v>7372</v>
      </c>
      <c r="L5808" s="32"/>
      <c r="M5808" s="113" t="s">
        <v>7373</v>
      </c>
      <c r="N5808" s="146">
        <v>44153</v>
      </c>
      <c r="O5808" s="500" t="s">
        <v>566</v>
      </c>
      <c r="P5808" s="465">
        <v>14310</v>
      </c>
      <c r="Q5808" s="459">
        <v>1</v>
      </c>
      <c r="R5808" s="465">
        <f t="shared" si="177"/>
        <v>14310</v>
      </c>
      <c r="S5808" s="31">
        <v>202304</v>
      </c>
      <c r="T5808" s="60" t="s">
        <v>7381</v>
      </c>
      <c r="U5808" s="411"/>
      <c r="V5808" s="411"/>
      <c r="W5808" s="411"/>
      <c r="X5808" s="34"/>
      <c r="Y5808" s="34"/>
    </row>
    <row r="5809" s="3" customFormat="1" customHeight="1" spans="1:25">
      <c r="A5809" s="11" t="s">
        <v>61</v>
      </c>
      <c r="B5809" s="11" t="s">
        <v>6300</v>
      </c>
      <c r="C5809" s="11" t="s">
        <v>3237</v>
      </c>
      <c r="D5809" s="35" t="s">
        <v>85</v>
      </c>
      <c r="E5809" s="13" t="s">
        <v>7369</v>
      </c>
      <c r="F5809" s="11" t="s">
        <v>7370</v>
      </c>
      <c r="G5809" s="11" t="s">
        <v>88</v>
      </c>
      <c r="H5809" s="110" t="s">
        <v>7371</v>
      </c>
      <c r="I5809" s="30" t="e">
        <f>VLOOKUP(H5809,'合同高级查询数据-4月返'!A:A,1,FALSE)</f>
        <v>#N/A</v>
      </c>
      <c r="J5809" s="31" t="s">
        <v>90</v>
      </c>
      <c r="K5809" s="11" t="s">
        <v>7372</v>
      </c>
      <c r="L5809" s="32"/>
      <c r="M5809" s="113" t="s">
        <v>7373</v>
      </c>
      <c r="N5809" s="146">
        <v>44272</v>
      </c>
      <c r="O5809" s="500" t="s">
        <v>503</v>
      </c>
      <c r="P5809" s="465">
        <v>6996</v>
      </c>
      <c r="Q5809" s="459">
        <v>2</v>
      </c>
      <c r="R5809" s="465">
        <f t="shared" si="177"/>
        <v>13992</v>
      </c>
      <c r="S5809" s="31">
        <v>202304</v>
      </c>
      <c r="T5809" s="60" t="s">
        <v>7382</v>
      </c>
      <c r="U5809" s="411"/>
      <c r="V5809" s="411"/>
      <c r="W5809" s="411"/>
      <c r="X5809" s="34"/>
      <c r="Y5809" s="34"/>
    </row>
    <row r="5810" s="3" customFormat="1" customHeight="1" spans="1:25">
      <c r="A5810" s="11" t="s">
        <v>61</v>
      </c>
      <c r="B5810" s="11" t="s">
        <v>6300</v>
      </c>
      <c r="C5810" s="11" t="s">
        <v>3237</v>
      </c>
      <c r="D5810" s="35" t="s">
        <v>85</v>
      </c>
      <c r="E5810" s="13" t="s">
        <v>7369</v>
      </c>
      <c r="F5810" s="11" t="s">
        <v>7370</v>
      </c>
      <c r="G5810" s="11" t="s">
        <v>88</v>
      </c>
      <c r="H5810" s="110" t="s">
        <v>7371</v>
      </c>
      <c r="I5810" s="30" t="e">
        <f>VLOOKUP(H5810,'合同高级查询数据-4月返'!A:A,1,FALSE)</f>
        <v>#N/A</v>
      </c>
      <c r="J5810" s="31" t="s">
        <v>90</v>
      </c>
      <c r="K5810" s="11" t="s">
        <v>7372</v>
      </c>
      <c r="L5810" s="32"/>
      <c r="M5810" s="113" t="s">
        <v>7373</v>
      </c>
      <c r="N5810" s="146">
        <v>44273</v>
      </c>
      <c r="O5810" s="500" t="s">
        <v>7002</v>
      </c>
      <c r="P5810" s="465">
        <v>13992</v>
      </c>
      <c r="Q5810" s="459">
        <v>1</v>
      </c>
      <c r="R5810" s="465">
        <f t="shared" si="177"/>
        <v>13992</v>
      </c>
      <c r="S5810" s="31">
        <v>202304</v>
      </c>
      <c r="T5810" s="60" t="s">
        <v>7383</v>
      </c>
      <c r="U5810" s="411"/>
      <c r="V5810" s="411"/>
      <c r="W5810" s="411"/>
      <c r="X5810" s="34"/>
      <c r="Y5810" s="34"/>
    </row>
    <row r="5811" s="3" customFormat="1" customHeight="1" spans="1:25">
      <c r="A5811" s="11" t="s">
        <v>61</v>
      </c>
      <c r="B5811" s="11" t="s">
        <v>6300</v>
      </c>
      <c r="C5811" s="11" t="s">
        <v>3237</v>
      </c>
      <c r="D5811" s="35" t="s">
        <v>85</v>
      </c>
      <c r="E5811" s="13" t="s">
        <v>7369</v>
      </c>
      <c r="F5811" s="11" t="s">
        <v>7370</v>
      </c>
      <c r="G5811" s="11" t="s">
        <v>88</v>
      </c>
      <c r="H5811" s="110" t="s">
        <v>7371</v>
      </c>
      <c r="I5811" s="30" t="e">
        <f>VLOOKUP(H5811,'合同高级查询数据-4月返'!A:A,1,FALSE)</f>
        <v>#N/A</v>
      </c>
      <c r="J5811" s="31" t="s">
        <v>90</v>
      </c>
      <c r="K5811" s="11" t="s">
        <v>7372</v>
      </c>
      <c r="L5811" s="32"/>
      <c r="M5811" s="113" t="s">
        <v>7373</v>
      </c>
      <c r="N5811" s="146">
        <v>44285</v>
      </c>
      <c r="O5811" s="500" t="s">
        <v>7002</v>
      </c>
      <c r="P5811" s="465">
        <v>13992</v>
      </c>
      <c r="Q5811" s="459">
        <v>1</v>
      </c>
      <c r="R5811" s="465">
        <f t="shared" si="177"/>
        <v>13992</v>
      </c>
      <c r="S5811" s="31">
        <v>202304</v>
      </c>
      <c r="T5811" s="60" t="s">
        <v>7384</v>
      </c>
      <c r="U5811" s="411"/>
      <c r="V5811" s="411"/>
      <c r="W5811" s="411"/>
      <c r="X5811" s="34"/>
      <c r="Y5811" s="34"/>
    </row>
    <row r="5812" s="3" customFormat="1" customHeight="1" spans="1:25">
      <c r="A5812" s="11" t="s">
        <v>61</v>
      </c>
      <c r="B5812" s="11" t="s">
        <v>6300</v>
      </c>
      <c r="C5812" s="11" t="s">
        <v>3237</v>
      </c>
      <c r="D5812" s="35" t="s">
        <v>85</v>
      </c>
      <c r="E5812" s="13" t="s">
        <v>7369</v>
      </c>
      <c r="F5812" s="11" t="s">
        <v>7370</v>
      </c>
      <c r="G5812" s="11" t="s">
        <v>88</v>
      </c>
      <c r="H5812" s="110" t="s">
        <v>7371</v>
      </c>
      <c r="I5812" s="30" t="e">
        <f>VLOOKUP(H5812,'合同高级查询数据-4月返'!A:A,1,FALSE)</f>
        <v>#N/A</v>
      </c>
      <c r="J5812" s="31" t="s">
        <v>90</v>
      </c>
      <c r="K5812" s="11" t="s">
        <v>7372</v>
      </c>
      <c r="L5812" s="32"/>
      <c r="M5812" s="113" t="s">
        <v>7373</v>
      </c>
      <c r="N5812" s="146">
        <v>44305</v>
      </c>
      <c r="O5812" s="500" t="s">
        <v>7002</v>
      </c>
      <c r="P5812" s="465">
        <v>13992</v>
      </c>
      <c r="Q5812" s="459">
        <v>1</v>
      </c>
      <c r="R5812" s="465">
        <f t="shared" si="177"/>
        <v>13992</v>
      </c>
      <c r="S5812" s="31">
        <v>202304</v>
      </c>
      <c r="T5812" s="60" t="s">
        <v>7385</v>
      </c>
      <c r="U5812" s="411"/>
      <c r="V5812" s="411"/>
      <c r="W5812" s="411"/>
      <c r="X5812" s="34"/>
      <c r="Y5812" s="34"/>
    </row>
    <row r="5813" s="3" customFormat="1" customHeight="1" spans="1:25">
      <c r="A5813" s="11" t="s">
        <v>61</v>
      </c>
      <c r="B5813" s="11" t="s">
        <v>6300</v>
      </c>
      <c r="C5813" s="11" t="s">
        <v>3237</v>
      </c>
      <c r="D5813" s="35" t="s">
        <v>85</v>
      </c>
      <c r="E5813" s="13" t="s">
        <v>7369</v>
      </c>
      <c r="F5813" s="11" t="s">
        <v>7370</v>
      </c>
      <c r="G5813" s="11" t="s">
        <v>88</v>
      </c>
      <c r="H5813" s="110" t="s">
        <v>7371</v>
      </c>
      <c r="I5813" s="30" t="e">
        <f>VLOOKUP(H5813,'合同高级查询数据-4月返'!A:A,1,FALSE)</f>
        <v>#N/A</v>
      </c>
      <c r="J5813" s="31" t="s">
        <v>90</v>
      </c>
      <c r="K5813" s="11" t="s">
        <v>7372</v>
      </c>
      <c r="L5813" s="32"/>
      <c r="M5813" s="113" t="s">
        <v>7373</v>
      </c>
      <c r="N5813" s="146">
        <v>44305</v>
      </c>
      <c r="O5813" s="500" t="s">
        <v>503</v>
      </c>
      <c r="P5813" s="465">
        <v>6996</v>
      </c>
      <c r="Q5813" s="459">
        <v>1</v>
      </c>
      <c r="R5813" s="465">
        <f t="shared" si="177"/>
        <v>6996</v>
      </c>
      <c r="S5813" s="31">
        <v>202304</v>
      </c>
      <c r="T5813" s="60" t="s">
        <v>7386</v>
      </c>
      <c r="U5813" s="411"/>
      <c r="V5813" s="411"/>
      <c r="W5813" s="411"/>
      <c r="X5813" s="34"/>
      <c r="Y5813" s="34"/>
    </row>
    <row r="5814" s="3" customFormat="1" customHeight="1" spans="1:25">
      <c r="A5814" s="11" t="s">
        <v>61</v>
      </c>
      <c r="B5814" s="11" t="s">
        <v>6300</v>
      </c>
      <c r="C5814" s="11" t="s">
        <v>3237</v>
      </c>
      <c r="D5814" s="35" t="s">
        <v>85</v>
      </c>
      <c r="E5814" s="13" t="s">
        <v>7369</v>
      </c>
      <c r="F5814" s="11" t="s">
        <v>7370</v>
      </c>
      <c r="G5814" s="11" t="s">
        <v>88</v>
      </c>
      <c r="H5814" s="110" t="s">
        <v>7371</v>
      </c>
      <c r="I5814" s="30" t="e">
        <f>VLOOKUP(H5814,'合同高级查询数据-4月返'!A:A,1,FALSE)</f>
        <v>#N/A</v>
      </c>
      <c r="J5814" s="31" t="s">
        <v>90</v>
      </c>
      <c r="K5814" s="11" t="s">
        <v>7372</v>
      </c>
      <c r="L5814" s="32"/>
      <c r="M5814" s="113" t="s">
        <v>7373</v>
      </c>
      <c r="N5814" s="146">
        <v>44651</v>
      </c>
      <c r="O5814" s="500" t="s">
        <v>507</v>
      </c>
      <c r="P5814" s="465">
        <v>13992</v>
      </c>
      <c r="Q5814" s="459">
        <v>2</v>
      </c>
      <c r="R5814" s="465">
        <f t="shared" si="177"/>
        <v>27984</v>
      </c>
      <c r="S5814" s="31">
        <v>202304</v>
      </c>
      <c r="T5814" s="60" t="s">
        <v>7387</v>
      </c>
      <c r="U5814" s="411"/>
      <c r="V5814" s="411"/>
      <c r="W5814" s="411"/>
      <c r="X5814" s="34"/>
      <c r="Y5814" s="34"/>
    </row>
    <row r="5815" s="3" customFormat="1" customHeight="1" spans="1:25">
      <c r="A5815" s="11" t="s">
        <v>61</v>
      </c>
      <c r="B5815" s="11" t="s">
        <v>6300</v>
      </c>
      <c r="C5815" s="11" t="s">
        <v>3237</v>
      </c>
      <c r="D5815" s="35" t="s">
        <v>85</v>
      </c>
      <c r="E5815" s="13" t="s">
        <v>7369</v>
      </c>
      <c r="F5815" s="11" t="s">
        <v>7370</v>
      </c>
      <c r="G5815" s="11" t="s">
        <v>88</v>
      </c>
      <c r="H5815" s="110" t="s">
        <v>7371</v>
      </c>
      <c r="I5815" s="30" t="e">
        <f>VLOOKUP(H5815,'合同高级查询数据-4月返'!A:A,1,FALSE)</f>
        <v>#N/A</v>
      </c>
      <c r="J5815" s="31" t="s">
        <v>90</v>
      </c>
      <c r="K5815" s="11" t="s">
        <v>7372</v>
      </c>
      <c r="L5815" s="32"/>
      <c r="M5815" s="113" t="s">
        <v>7373</v>
      </c>
      <c r="N5815" s="146">
        <v>44694</v>
      </c>
      <c r="O5815" s="500" t="s">
        <v>566</v>
      </c>
      <c r="P5815" s="465">
        <v>14310</v>
      </c>
      <c r="Q5815" s="459">
        <v>-2</v>
      </c>
      <c r="R5815" s="465">
        <f t="shared" si="177"/>
        <v>-28620</v>
      </c>
      <c r="S5815" s="31">
        <v>202304</v>
      </c>
      <c r="T5815" s="60" t="s">
        <v>7388</v>
      </c>
      <c r="U5815" s="411"/>
      <c r="V5815" s="411"/>
      <c r="W5815" s="411"/>
      <c r="X5815" s="34"/>
      <c r="Y5815" s="146"/>
    </row>
    <row r="5816" s="3" customFormat="1" customHeight="1" spans="1:25">
      <c r="A5816" s="11" t="s">
        <v>61</v>
      </c>
      <c r="B5816" s="11" t="s">
        <v>6300</v>
      </c>
      <c r="C5816" s="11" t="s">
        <v>3237</v>
      </c>
      <c r="D5816" s="35" t="s">
        <v>85</v>
      </c>
      <c r="E5816" s="13" t="s">
        <v>7369</v>
      </c>
      <c r="F5816" s="11" t="s">
        <v>7370</v>
      </c>
      <c r="G5816" s="11" t="s">
        <v>88</v>
      </c>
      <c r="H5816" s="110" t="s">
        <v>7371</v>
      </c>
      <c r="I5816" s="30" t="e">
        <f>VLOOKUP(H5816,'合同高级查询数据-4月返'!A:A,1,FALSE)</f>
        <v>#N/A</v>
      </c>
      <c r="J5816" s="31" t="s">
        <v>90</v>
      </c>
      <c r="K5816" s="11" t="s">
        <v>7372</v>
      </c>
      <c r="L5816" s="32"/>
      <c r="M5816" s="113" t="s">
        <v>7373</v>
      </c>
      <c r="N5816" s="146">
        <v>44799</v>
      </c>
      <c r="O5816" s="500" t="s">
        <v>507</v>
      </c>
      <c r="P5816" s="465">
        <v>13992</v>
      </c>
      <c r="Q5816" s="459">
        <v>1</v>
      </c>
      <c r="R5816" s="465">
        <f t="shared" si="177"/>
        <v>13992</v>
      </c>
      <c r="S5816" s="31">
        <v>202304</v>
      </c>
      <c r="T5816" s="60" t="s">
        <v>7389</v>
      </c>
      <c r="U5816" s="411"/>
      <c r="V5816" s="411"/>
      <c r="W5816" s="411"/>
      <c r="X5816" s="34"/>
      <c r="Y5816" s="146"/>
    </row>
    <row r="5817" s="3" customFormat="1" customHeight="1" spans="1:25">
      <c r="A5817" s="11" t="s">
        <v>61</v>
      </c>
      <c r="B5817" s="11" t="s">
        <v>6300</v>
      </c>
      <c r="C5817" s="11" t="s">
        <v>3237</v>
      </c>
      <c r="D5817" s="35" t="s">
        <v>85</v>
      </c>
      <c r="E5817" s="13" t="s">
        <v>7369</v>
      </c>
      <c r="F5817" s="11" t="s">
        <v>7370</v>
      </c>
      <c r="G5817" s="11" t="s">
        <v>88</v>
      </c>
      <c r="H5817" s="110" t="s">
        <v>7390</v>
      </c>
      <c r="I5817" s="30" t="e">
        <f>VLOOKUP(H5817,'合同高级查询数据-4月返'!A:A,1,FALSE)</f>
        <v>#N/A</v>
      </c>
      <c r="J5817" s="31" t="s">
        <v>90</v>
      </c>
      <c r="K5817" s="11" t="s">
        <v>7372</v>
      </c>
      <c r="L5817" s="32"/>
      <c r="M5817" s="113" t="s">
        <v>7373</v>
      </c>
      <c r="N5817" s="146">
        <v>44799</v>
      </c>
      <c r="O5817" s="500" t="s">
        <v>507</v>
      </c>
      <c r="P5817" s="465">
        <v>13992</v>
      </c>
      <c r="Q5817" s="459">
        <v>3</v>
      </c>
      <c r="R5817" s="465">
        <f t="shared" si="177"/>
        <v>41976</v>
      </c>
      <c r="S5817" s="31">
        <v>202304</v>
      </c>
      <c r="T5817" s="60" t="s">
        <v>7391</v>
      </c>
      <c r="U5817" s="411"/>
      <c r="V5817" s="411"/>
      <c r="W5817" s="411"/>
      <c r="X5817" s="34"/>
      <c r="Y5817" s="146"/>
    </row>
    <row r="5818" s="3" customFormat="1" customHeight="1" spans="1:25">
      <c r="A5818" s="11" t="s">
        <v>61</v>
      </c>
      <c r="B5818" s="11" t="s">
        <v>6300</v>
      </c>
      <c r="C5818" s="11" t="s">
        <v>3237</v>
      </c>
      <c r="D5818" s="35" t="s">
        <v>85</v>
      </c>
      <c r="E5818" s="13" t="s">
        <v>7369</v>
      </c>
      <c r="F5818" s="11" t="s">
        <v>7370</v>
      </c>
      <c r="G5818" s="11" t="s">
        <v>88</v>
      </c>
      <c r="H5818" s="110" t="s">
        <v>7371</v>
      </c>
      <c r="I5818" s="30" t="e">
        <f>VLOOKUP(H5818,'合同高级查询数据-4月返'!A:A,1,FALSE)</f>
        <v>#N/A</v>
      </c>
      <c r="J5818" s="31" t="s">
        <v>90</v>
      </c>
      <c r="K5818" s="11" t="s">
        <v>7372</v>
      </c>
      <c r="L5818" s="32"/>
      <c r="M5818" s="113" t="s">
        <v>7373</v>
      </c>
      <c r="N5818" s="146">
        <v>44573</v>
      </c>
      <c r="O5818" s="500" t="s">
        <v>568</v>
      </c>
      <c r="P5818" s="465">
        <v>33390</v>
      </c>
      <c r="Q5818" s="459">
        <v>-2</v>
      </c>
      <c r="R5818" s="465">
        <f t="shared" si="177"/>
        <v>-66780</v>
      </c>
      <c r="S5818" s="31">
        <v>202304</v>
      </c>
      <c r="T5818" s="60" t="s">
        <v>7392</v>
      </c>
      <c r="U5818" s="411"/>
      <c r="V5818" s="411"/>
      <c r="W5818" s="411"/>
      <c r="X5818" s="34"/>
      <c r="Y5818" s="146"/>
    </row>
    <row r="5819" s="3" customFormat="1" customHeight="1" spans="1:25">
      <c r="A5819" s="11" t="s">
        <v>61</v>
      </c>
      <c r="B5819" s="11" t="s">
        <v>6300</v>
      </c>
      <c r="C5819" s="11" t="s">
        <v>3237</v>
      </c>
      <c r="D5819" s="35" t="s">
        <v>85</v>
      </c>
      <c r="E5819" s="13" t="s">
        <v>7369</v>
      </c>
      <c r="F5819" s="11" t="s">
        <v>7370</v>
      </c>
      <c r="G5819" s="11" t="s">
        <v>88</v>
      </c>
      <c r="H5819" s="110" t="s">
        <v>7393</v>
      </c>
      <c r="I5819" s="30" t="e">
        <f>VLOOKUP(H5819,'合同高级查询数据-4月返'!A:A,1,FALSE)</f>
        <v>#N/A</v>
      </c>
      <c r="J5819" s="31" t="s">
        <v>90</v>
      </c>
      <c r="K5819" s="11" t="s">
        <v>7372</v>
      </c>
      <c r="L5819" s="32"/>
      <c r="M5819" s="113" t="s">
        <v>7373</v>
      </c>
      <c r="N5819" s="146">
        <v>44574</v>
      </c>
      <c r="O5819" s="500" t="s">
        <v>606</v>
      </c>
      <c r="P5819" s="465">
        <v>38160</v>
      </c>
      <c r="Q5819" s="459">
        <v>2</v>
      </c>
      <c r="R5819" s="465">
        <f t="shared" si="177"/>
        <v>76320</v>
      </c>
      <c r="S5819" s="31">
        <v>202304</v>
      </c>
      <c r="T5819" s="60" t="s">
        <v>7392</v>
      </c>
      <c r="U5819" s="411"/>
      <c r="V5819" s="411"/>
      <c r="W5819" s="411"/>
      <c r="X5819" s="34"/>
      <c r="Y5819" s="146"/>
    </row>
    <row r="5820" s="5" customFormat="1" customHeight="1" spans="1:25">
      <c r="A5820" s="24" t="s">
        <v>61</v>
      </c>
      <c r="B5820" s="24" t="s">
        <v>6300</v>
      </c>
      <c r="C5820" s="24" t="s">
        <v>3237</v>
      </c>
      <c r="D5820" s="22" t="s">
        <v>85</v>
      </c>
      <c r="E5820" s="23" t="s">
        <v>7369</v>
      </c>
      <c r="F5820" s="24" t="s">
        <v>7370</v>
      </c>
      <c r="G5820" s="24" t="s">
        <v>88</v>
      </c>
      <c r="H5820" s="25" t="s">
        <v>7394</v>
      </c>
      <c r="I5820" s="46" t="e">
        <f>VLOOKUP(H5820,'合同高级查询数据-4月返'!A:A,1,FALSE)</f>
        <v>#N/A</v>
      </c>
      <c r="J5820" s="47" t="s">
        <v>90</v>
      </c>
      <c r="K5820" s="24" t="s">
        <v>7372</v>
      </c>
      <c r="L5820" s="109"/>
      <c r="M5820" s="49" t="s">
        <v>7395</v>
      </c>
      <c r="N5820" s="73">
        <v>44522</v>
      </c>
      <c r="O5820" s="493" t="s">
        <v>503</v>
      </c>
      <c r="P5820" s="52">
        <v>4400</v>
      </c>
      <c r="Q5820" s="70">
        <v>5</v>
      </c>
      <c r="R5820" s="52">
        <f t="shared" si="177"/>
        <v>22000</v>
      </c>
      <c r="S5820" s="47">
        <v>202304</v>
      </c>
      <c r="T5820" s="123" t="s">
        <v>7396</v>
      </c>
      <c r="U5820" s="48"/>
      <c r="V5820" s="48"/>
      <c r="W5820" s="48"/>
      <c r="X5820" s="50">
        <v>44774</v>
      </c>
      <c r="Y5820" s="50">
        <v>45260</v>
      </c>
    </row>
    <row r="5821" s="5" customFormat="1" customHeight="1" spans="1:25">
      <c r="A5821" s="24" t="s">
        <v>61</v>
      </c>
      <c r="B5821" s="24" t="s">
        <v>6300</v>
      </c>
      <c r="C5821" s="24" t="s">
        <v>3237</v>
      </c>
      <c r="D5821" s="22" t="s">
        <v>85</v>
      </c>
      <c r="E5821" s="23" t="s">
        <v>7369</v>
      </c>
      <c r="F5821" s="24" t="s">
        <v>7370</v>
      </c>
      <c r="G5821" s="24" t="s">
        <v>88</v>
      </c>
      <c r="H5821" s="25" t="s">
        <v>7394</v>
      </c>
      <c r="I5821" s="46" t="e">
        <f>VLOOKUP(H5821,'合同高级查询数据-4月返'!A:A,1,FALSE)</f>
        <v>#N/A</v>
      </c>
      <c r="J5821" s="47" t="s">
        <v>90</v>
      </c>
      <c r="K5821" s="24" t="s">
        <v>7372</v>
      </c>
      <c r="L5821" s="109"/>
      <c r="M5821" s="49" t="s">
        <v>7395</v>
      </c>
      <c r="N5821" s="73">
        <v>44537</v>
      </c>
      <c r="O5821" s="493" t="s">
        <v>503</v>
      </c>
      <c r="P5821" s="52">
        <v>4400</v>
      </c>
      <c r="Q5821" s="70">
        <v>2</v>
      </c>
      <c r="R5821" s="52">
        <f t="shared" si="177"/>
        <v>8800</v>
      </c>
      <c r="S5821" s="47">
        <v>202304</v>
      </c>
      <c r="T5821" s="123" t="s">
        <v>7397</v>
      </c>
      <c r="U5821" s="48"/>
      <c r="V5821" s="48"/>
      <c r="W5821" s="48"/>
      <c r="X5821" s="50">
        <v>44774</v>
      </c>
      <c r="Y5821" s="50">
        <v>45260</v>
      </c>
    </row>
    <row r="5822" s="5" customFormat="1" customHeight="1" spans="1:25">
      <c r="A5822" s="24" t="s">
        <v>61</v>
      </c>
      <c r="B5822" s="24" t="s">
        <v>6300</v>
      </c>
      <c r="C5822" s="24" t="s">
        <v>3237</v>
      </c>
      <c r="D5822" s="22" t="s">
        <v>85</v>
      </c>
      <c r="E5822" s="23" t="s">
        <v>7369</v>
      </c>
      <c r="F5822" s="24" t="s">
        <v>7370</v>
      </c>
      <c r="G5822" s="24" t="s">
        <v>88</v>
      </c>
      <c r="H5822" s="25" t="s">
        <v>7394</v>
      </c>
      <c r="I5822" s="46" t="e">
        <f>VLOOKUP(H5822,'合同高级查询数据-4月返'!A:A,1,FALSE)</f>
        <v>#N/A</v>
      </c>
      <c r="J5822" s="47" t="s">
        <v>90</v>
      </c>
      <c r="K5822" s="24" t="s">
        <v>7372</v>
      </c>
      <c r="L5822" s="109"/>
      <c r="M5822" s="49" t="s">
        <v>7395</v>
      </c>
      <c r="N5822" s="73">
        <v>44546</v>
      </c>
      <c r="O5822" s="493" t="s">
        <v>503</v>
      </c>
      <c r="P5822" s="52">
        <v>4400</v>
      </c>
      <c r="Q5822" s="70">
        <v>4</v>
      </c>
      <c r="R5822" s="52">
        <f t="shared" si="177"/>
        <v>17600</v>
      </c>
      <c r="S5822" s="47">
        <v>202304</v>
      </c>
      <c r="T5822" s="123" t="s">
        <v>7398</v>
      </c>
      <c r="U5822" s="48"/>
      <c r="V5822" s="48"/>
      <c r="W5822" s="48"/>
      <c r="X5822" s="50">
        <v>44774</v>
      </c>
      <c r="Y5822" s="50">
        <v>45260</v>
      </c>
    </row>
    <row r="5823" s="5" customFormat="1" customHeight="1" spans="1:25">
      <c r="A5823" s="24" t="s">
        <v>61</v>
      </c>
      <c r="B5823" s="24" t="s">
        <v>6300</v>
      </c>
      <c r="C5823" s="24" t="s">
        <v>3237</v>
      </c>
      <c r="D5823" s="22" t="s">
        <v>85</v>
      </c>
      <c r="E5823" s="23" t="s">
        <v>7369</v>
      </c>
      <c r="F5823" s="24" t="s">
        <v>7370</v>
      </c>
      <c r="G5823" s="24" t="s">
        <v>88</v>
      </c>
      <c r="H5823" s="25" t="s">
        <v>7394</v>
      </c>
      <c r="I5823" s="46" t="e">
        <f>VLOOKUP(H5823,'合同高级查询数据-4月返'!A:A,1,FALSE)</f>
        <v>#N/A</v>
      </c>
      <c r="J5823" s="47" t="s">
        <v>90</v>
      </c>
      <c r="K5823" s="24" t="s">
        <v>7372</v>
      </c>
      <c r="L5823" s="109"/>
      <c r="M5823" s="49" t="s">
        <v>7395</v>
      </c>
      <c r="N5823" s="73">
        <v>44559</v>
      </c>
      <c r="O5823" s="493" t="s">
        <v>503</v>
      </c>
      <c r="P5823" s="52">
        <v>4400</v>
      </c>
      <c r="Q5823" s="70">
        <v>11</v>
      </c>
      <c r="R5823" s="52">
        <f t="shared" si="177"/>
        <v>48400</v>
      </c>
      <c r="S5823" s="47">
        <v>202304</v>
      </c>
      <c r="T5823" s="123" t="s">
        <v>7399</v>
      </c>
      <c r="U5823" s="48"/>
      <c r="V5823" s="48"/>
      <c r="W5823" s="48"/>
      <c r="X5823" s="50">
        <v>44774</v>
      </c>
      <c r="Y5823" s="50">
        <v>45260</v>
      </c>
    </row>
    <row r="5824" s="5" customFormat="1" customHeight="1" spans="1:25">
      <c r="A5824" s="24" t="s">
        <v>61</v>
      </c>
      <c r="B5824" s="24" t="s">
        <v>6300</v>
      </c>
      <c r="C5824" s="24" t="s">
        <v>3237</v>
      </c>
      <c r="D5824" s="22" t="s">
        <v>85</v>
      </c>
      <c r="E5824" s="23" t="s">
        <v>7369</v>
      </c>
      <c r="F5824" s="24" t="s">
        <v>7370</v>
      </c>
      <c r="G5824" s="24" t="s">
        <v>88</v>
      </c>
      <c r="H5824" s="25" t="s">
        <v>7394</v>
      </c>
      <c r="I5824" s="46" t="e">
        <f>VLOOKUP(H5824,'合同高级查询数据-4月返'!A:A,1,FALSE)</f>
        <v>#N/A</v>
      </c>
      <c r="J5824" s="47" t="s">
        <v>90</v>
      </c>
      <c r="K5824" s="24" t="s">
        <v>7372</v>
      </c>
      <c r="L5824" s="109"/>
      <c r="M5824" s="49" t="s">
        <v>7395</v>
      </c>
      <c r="N5824" s="73">
        <v>44599</v>
      </c>
      <c r="O5824" s="493" t="s">
        <v>503</v>
      </c>
      <c r="P5824" s="52">
        <v>4400</v>
      </c>
      <c r="Q5824" s="70">
        <v>13</v>
      </c>
      <c r="R5824" s="52">
        <f t="shared" si="177"/>
        <v>57200</v>
      </c>
      <c r="S5824" s="47">
        <v>202304</v>
      </c>
      <c r="T5824" s="123" t="s">
        <v>7400</v>
      </c>
      <c r="U5824" s="48"/>
      <c r="V5824" s="48"/>
      <c r="W5824" s="48"/>
      <c r="X5824" s="50">
        <v>44774</v>
      </c>
      <c r="Y5824" s="50">
        <v>45260</v>
      </c>
    </row>
    <row r="5825" s="5" customFormat="1" customHeight="1" spans="1:25">
      <c r="A5825" s="24" t="s">
        <v>61</v>
      </c>
      <c r="B5825" s="24" t="s">
        <v>6300</v>
      </c>
      <c r="C5825" s="24" t="s">
        <v>3237</v>
      </c>
      <c r="D5825" s="22" t="s">
        <v>85</v>
      </c>
      <c r="E5825" s="23" t="s">
        <v>7369</v>
      </c>
      <c r="F5825" s="24" t="s">
        <v>7370</v>
      </c>
      <c r="G5825" s="24" t="s">
        <v>88</v>
      </c>
      <c r="H5825" s="25" t="s">
        <v>7394</v>
      </c>
      <c r="I5825" s="46" t="e">
        <f>VLOOKUP(H5825,'合同高级查询数据-4月返'!A:A,1,FALSE)</f>
        <v>#N/A</v>
      </c>
      <c r="J5825" s="47" t="s">
        <v>90</v>
      </c>
      <c r="K5825" s="24" t="s">
        <v>7372</v>
      </c>
      <c r="L5825" s="109"/>
      <c r="M5825" s="49" t="s">
        <v>7395</v>
      </c>
      <c r="N5825" s="73">
        <v>44609</v>
      </c>
      <c r="O5825" s="493" t="s">
        <v>503</v>
      </c>
      <c r="P5825" s="52">
        <v>4400</v>
      </c>
      <c r="Q5825" s="70">
        <v>1</v>
      </c>
      <c r="R5825" s="52">
        <f t="shared" si="177"/>
        <v>4400</v>
      </c>
      <c r="S5825" s="47">
        <v>202304</v>
      </c>
      <c r="T5825" s="123" t="s">
        <v>7401</v>
      </c>
      <c r="U5825" s="48"/>
      <c r="V5825" s="48"/>
      <c r="W5825" s="48"/>
      <c r="X5825" s="50">
        <v>44774</v>
      </c>
      <c r="Y5825" s="50">
        <v>45260</v>
      </c>
    </row>
    <row r="5826" s="5" customFormat="1" customHeight="1" spans="1:25">
      <c r="A5826" s="24" t="s">
        <v>61</v>
      </c>
      <c r="B5826" s="24" t="s">
        <v>6300</v>
      </c>
      <c r="C5826" s="24" t="s">
        <v>3237</v>
      </c>
      <c r="D5826" s="22" t="s">
        <v>85</v>
      </c>
      <c r="E5826" s="23" t="s">
        <v>7369</v>
      </c>
      <c r="F5826" s="24" t="s">
        <v>7370</v>
      </c>
      <c r="G5826" s="24" t="s">
        <v>88</v>
      </c>
      <c r="H5826" s="25" t="s">
        <v>7394</v>
      </c>
      <c r="I5826" s="46" t="e">
        <f>VLOOKUP(H5826,'合同高级查询数据-4月返'!A:A,1,FALSE)</f>
        <v>#N/A</v>
      </c>
      <c r="J5826" s="47" t="s">
        <v>90</v>
      </c>
      <c r="K5826" s="24" t="s">
        <v>7372</v>
      </c>
      <c r="L5826" s="109"/>
      <c r="M5826" s="49" t="s">
        <v>7395</v>
      </c>
      <c r="N5826" s="73">
        <v>44650</v>
      </c>
      <c r="O5826" s="493" t="s">
        <v>503</v>
      </c>
      <c r="P5826" s="52">
        <v>4400</v>
      </c>
      <c r="Q5826" s="70">
        <v>2</v>
      </c>
      <c r="R5826" s="52">
        <f t="shared" si="177"/>
        <v>8800</v>
      </c>
      <c r="S5826" s="47">
        <v>202304</v>
      </c>
      <c r="T5826" s="123" t="s">
        <v>7402</v>
      </c>
      <c r="U5826" s="48"/>
      <c r="V5826" s="48"/>
      <c r="W5826" s="48"/>
      <c r="X5826" s="50">
        <v>44774</v>
      </c>
      <c r="Y5826" s="50">
        <v>45260</v>
      </c>
    </row>
    <row r="5827" s="5" customFormat="1" customHeight="1" spans="1:25">
      <c r="A5827" s="24" t="s">
        <v>61</v>
      </c>
      <c r="B5827" s="24" t="s">
        <v>6300</v>
      </c>
      <c r="C5827" s="24" t="s">
        <v>3237</v>
      </c>
      <c r="D5827" s="22" t="s">
        <v>85</v>
      </c>
      <c r="E5827" s="23" t="s">
        <v>7369</v>
      </c>
      <c r="F5827" s="24" t="s">
        <v>7370</v>
      </c>
      <c r="G5827" s="24" t="s">
        <v>88</v>
      </c>
      <c r="H5827" s="25" t="s">
        <v>7394</v>
      </c>
      <c r="I5827" s="46" t="e">
        <f>VLOOKUP(H5827,'合同高级查询数据-4月返'!A:A,1,FALSE)</f>
        <v>#N/A</v>
      </c>
      <c r="J5827" s="47" t="s">
        <v>90</v>
      </c>
      <c r="K5827" s="24" t="s">
        <v>7372</v>
      </c>
      <c r="L5827" s="109"/>
      <c r="M5827" s="49" t="s">
        <v>7395</v>
      </c>
      <c r="N5827" s="73">
        <v>44669</v>
      </c>
      <c r="O5827" s="493" t="s">
        <v>503</v>
      </c>
      <c r="P5827" s="52">
        <v>4400</v>
      </c>
      <c r="Q5827" s="70">
        <v>1</v>
      </c>
      <c r="R5827" s="52">
        <f t="shared" si="177"/>
        <v>4400</v>
      </c>
      <c r="S5827" s="47">
        <v>202304</v>
      </c>
      <c r="T5827" s="123" t="s">
        <v>7403</v>
      </c>
      <c r="U5827" s="48"/>
      <c r="V5827" s="48"/>
      <c r="W5827" s="48"/>
      <c r="X5827" s="50">
        <v>44774</v>
      </c>
      <c r="Y5827" s="50">
        <v>45260</v>
      </c>
    </row>
    <row r="5828" s="5" customFormat="1" customHeight="1" spans="1:25">
      <c r="A5828" s="24" t="s">
        <v>61</v>
      </c>
      <c r="B5828" s="24" t="s">
        <v>6300</v>
      </c>
      <c r="C5828" s="24" t="s">
        <v>3237</v>
      </c>
      <c r="D5828" s="22" t="s">
        <v>85</v>
      </c>
      <c r="E5828" s="23" t="s">
        <v>7369</v>
      </c>
      <c r="F5828" s="24" t="s">
        <v>7370</v>
      </c>
      <c r="G5828" s="24" t="s">
        <v>88</v>
      </c>
      <c r="H5828" s="25" t="s">
        <v>7394</v>
      </c>
      <c r="I5828" s="46" t="e">
        <f>VLOOKUP(H5828,'合同高级查询数据-4月返'!A:A,1,FALSE)</f>
        <v>#N/A</v>
      </c>
      <c r="J5828" s="47" t="s">
        <v>90</v>
      </c>
      <c r="K5828" s="24" t="s">
        <v>7372</v>
      </c>
      <c r="L5828" s="109"/>
      <c r="M5828" s="49" t="s">
        <v>7395</v>
      </c>
      <c r="N5828" s="73">
        <v>44673</v>
      </c>
      <c r="O5828" s="493" t="s">
        <v>503</v>
      </c>
      <c r="P5828" s="52">
        <v>4400</v>
      </c>
      <c r="Q5828" s="70">
        <v>6</v>
      </c>
      <c r="R5828" s="52">
        <f t="shared" si="177"/>
        <v>26400</v>
      </c>
      <c r="S5828" s="47">
        <v>202304</v>
      </c>
      <c r="T5828" s="123" t="s">
        <v>7404</v>
      </c>
      <c r="U5828" s="48"/>
      <c r="V5828" s="48"/>
      <c r="W5828" s="48"/>
      <c r="X5828" s="50">
        <v>44774</v>
      </c>
      <c r="Y5828" s="50">
        <v>45260</v>
      </c>
    </row>
    <row r="5829" s="5" customFormat="1" customHeight="1" spans="1:25">
      <c r="A5829" s="24" t="s">
        <v>61</v>
      </c>
      <c r="B5829" s="24" t="s">
        <v>6300</v>
      </c>
      <c r="C5829" s="24" t="s">
        <v>3237</v>
      </c>
      <c r="D5829" s="22" t="s">
        <v>85</v>
      </c>
      <c r="E5829" s="23" t="s">
        <v>7369</v>
      </c>
      <c r="F5829" s="24" t="s">
        <v>7370</v>
      </c>
      <c r="G5829" s="24" t="s">
        <v>88</v>
      </c>
      <c r="H5829" s="25" t="s">
        <v>7394</v>
      </c>
      <c r="I5829" s="46" t="e">
        <f>VLOOKUP(H5829,'合同高级查询数据-4月返'!A:A,1,FALSE)</f>
        <v>#N/A</v>
      </c>
      <c r="J5829" s="47" t="s">
        <v>90</v>
      </c>
      <c r="K5829" s="24" t="s">
        <v>7372</v>
      </c>
      <c r="L5829" s="109"/>
      <c r="M5829" s="49" t="s">
        <v>7395</v>
      </c>
      <c r="N5829" s="73">
        <v>44687</v>
      </c>
      <c r="O5829" s="493" t="s">
        <v>503</v>
      </c>
      <c r="P5829" s="52">
        <v>4400</v>
      </c>
      <c r="Q5829" s="70">
        <v>1</v>
      </c>
      <c r="R5829" s="52">
        <f t="shared" si="177"/>
        <v>4400</v>
      </c>
      <c r="S5829" s="47">
        <v>202304</v>
      </c>
      <c r="T5829" s="123" t="s">
        <v>7405</v>
      </c>
      <c r="U5829" s="48"/>
      <c r="V5829" s="48"/>
      <c r="W5829" s="48"/>
      <c r="X5829" s="50">
        <v>44774</v>
      </c>
      <c r="Y5829" s="50">
        <v>45260</v>
      </c>
    </row>
    <row r="5830" s="5" customFormat="1" customHeight="1" spans="1:25">
      <c r="A5830" s="24" t="s">
        <v>61</v>
      </c>
      <c r="B5830" s="24" t="s">
        <v>6300</v>
      </c>
      <c r="C5830" s="24" t="s">
        <v>3237</v>
      </c>
      <c r="D5830" s="22" t="s">
        <v>85</v>
      </c>
      <c r="E5830" s="23" t="s">
        <v>7369</v>
      </c>
      <c r="F5830" s="24" t="s">
        <v>7370</v>
      </c>
      <c r="G5830" s="24" t="s">
        <v>88</v>
      </c>
      <c r="H5830" s="25" t="s">
        <v>7394</v>
      </c>
      <c r="I5830" s="46" t="e">
        <f>VLOOKUP(H5830,'合同高级查询数据-4月返'!A:A,1,FALSE)</f>
        <v>#N/A</v>
      </c>
      <c r="J5830" s="47" t="s">
        <v>90</v>
      </c>
      <c r="K5830" s="24" t="s">
        <v>7372</v>
      </c>
      <c r="L5830" s="109"/>
      <c r="M5830" s="49" t="s">
        <v>7395</v>
      </c>
      <c r="N5830" s="73">
        <v>44704</v>
      </c>
      <c r="O5830" s="493" t="s">
        <v>503</v>
      </c>
      <c r="P5830" s="52">
        <v>4400</v>
      </c>
      <c r="Q5830" s="70">
        <v>1</v>
      </c>
      <c r="R5830" s="52">
        <f t="shared" si="177"/>
        <v>4400</v>
      </c>
      <c r="S5830" s="47">
        <v>202304</v>
      </c>
      <c r="T5830" s="97" t="s">
        <v>7406</v>
      </c>
      <c r="U5830" s="48"/>
      <c r="V5830" s="48"/>
      <c r="W5830" s="48"/>
      <c r="X5830" s="50">
        <v>44774</v>
      </c>
      <c r="Y5830" s="50">
        <v>45260</v>
      </c>
    </row>
    <row r="5831" s="5" customFormat="1" customHeight="1" spans="1:25">
      <c r="A5831" s="24" t="s">
        <v>61</v>
      </c>
      <c r="B5831" s="24" t="s">
        <v>6300</v>
      </c>
      <c r="C5831" s="24" t="s">
        <v>3237</v>
      </c>
      <c r="D5831" s="22" t="s">
        <v>85</v>
      </c>
      <c r="E5831" s="23" t="s">
        <v>7369</v>
      </c>
      <c r="F5831" s="24" t="s">
        <v>7370</v>
      </c>
      <c r="G5831" s="24" t="s">
        <v>88</v>
      </c>
      <c r="H5831" s="25" t="s">
        <v>7394</v>
      </c>
      <c r="I5831" s="46" t="e">
        <f>VLOOKUP(H5831,'合同高级查询数据-4月返'!A:A,1,FALSE)</f>
        <v>#N/A</v>
      </c>
      <c r="J5831" s="47" t="s">
        <v>90</v>
      </c>
      <c r="K5831" s="24" t="s">
        <v>7372</v>
      </c>
      <c r="L5831" s="109"/>
      <c r="M5831" s="49" t="s">
        <v>7395</v>
      </c>
      <c r="N5831" s="73">
        <v>44722</v>
      </c>
      <c r="O5831" s="493" t="s">
        <v>503</v>
      </c>
      <c r="P5831" s="52">
        <v>4400</v>
      </c>
      <c r="Q5831" s="70">
        <v>2</v>
      </c>
      <c r="R5831" s="52">
        <f t="shared" si="177"/>
        <v>8800</v>
      </c>
      <c r="S5831" s="47">
        <v>202304</v>
      </c>
      <c r="T5831" s="97" t="s">
        <v>7407</v>
      </c>
      <c r="U5831" s="48"/>
      <c r="V5831" s="48"/>
      <c r="W5831" s="48"/>
      <c r="X5831" s="50">
        <v>44774</v>
      </c>
      <c r="Y5831" s="50">
        <v>45260</v>
      </c>
    </row>
    <row r="5832" s="5" customFormat="1" customHeight="1" spans="1:25">
      <c r="A5832" s="24" t="s">
        <v>61</v>
      </c>
      <c r="B5832" s="24" t="s">
        <v>6300</v>
      </c>
      <c r="C5832" s="24" t="s">
        <v>3237</v>
      </c>
      <c r="D5832" s="22" t="s">
        <v>85</v>
      </c>
      <c r="E5832" s="23" t="s">
        <v>7369</v>
      </c>
      <c r="F5832" s="24" t="s">
        <v>7370</v>
      </c>
      <c r="G5832" s="24" t="s">
        <v>88</v>
      </c>
      <c r="H5832" s="25" t="s">
        <v>7394</v>
      </c>
      <c r="I5832" s="46" t="e">
        <f>VLOOKUP(H5832,'合同高级查询数据-4月返'!A:A,1,FALSE)</f>
        <v>#N/A</v>
      </c>
      <c r="J5832" s="47" t="s">
        <v>90</v>
      </c>
      <c r="K5832" s="24" t="s">
        <v>7372</v>
      </c>
      <c r="L5832" s="109"/>
      <c r="M5832" s="49" t="s">
        <v>7395</v>
      </c>
      <c r="N5832" s="73">
        <v>44774</v>
      </c>
      <c r="O5832" s="493" t="s">
        <v>163</v>
      </c>
      <c r="P5832" s="52">
        <v>4200</v>
      </c>
      <c r="Q5832" s="70">
        <v>5</v>
      </c>
      <c r="R5832" s="52">
        <f t="shared" si="177"/>
        <v>21000</v>
      </c>
      <c r="S5832" s="47">
        <v>202304</v>
      </c>
      <c r="T5832" s="97" t="s">
        <v>7408</v>
      </c>
      <c r="U5832" s="48"/>
      <c r="V5832" s="48"/>
      <c r="W5832" s="48"/>
      <c r="X5832" s="50">
        <v>44774</v>
      </c>
      <c r="Y5832" s="50">
        <v>45260</v>
      </c>
    </row>
    <row r="5833" s="5" customFormat="1" customHeight="1" spans="1:25">
      <c r="A5833" s="24" t="s">
        <v>61</v>
      </c>
      <c r="B5833" s="24" t="s">
        <v>6300</v>
      </c>
      <c r="C5833" s="24" t="s">
        <v>3237</v>
      </c>
      <c r="D5833" s="22" t="s">
        <v>85</v>
      </c>
      <c r="E5833" s="23" t="s">
        <v>7369</v>
      </c>
      <c r="F5833" s="24" t="s">
        <v>7370</v>
      </c>
      <c r="G5833" s="24" t="s">
        <v>88</v>
      </c>
      <c r="H5833" s="25" t="s">
        <v>7394</v>
      </c>
      <c r="I5833" s="46" t="e">
        <f>VLOOKUP(H5833,'合同高级查询数据-4月返'!A:A,1,FALSE)</f>
        <v>#N/A</v>
      </c>
      <c r="J5833" s="47" t="s">
        <v>90</v>
      </c>
      <c r="K5833" s="24" t="s">
        <v>7372</v>
      </c>
      <c r="L5833" s="109"/>
      <c r="M5833" s="49" t="s">
        <v>7395</v>
      </c>
      <c r="N5833" s="73">
        <v>44827</v>
      </c>
      <c r="O5833" s="493" t="s">
        <v>503</v>
      </c>
      <c r="P5833" s="52">
        <v>4400</v>
      </c>
      <c r="Q5833" s="70">
        <v>3</v>
      </c>
      <c r="R5833" s="52">
        <f t="shared" si="177"/>
        <v>13200</v>
      </c>
      <c r="S5833" s="47">
        <v>202304</v>
      </c>
      <c r="T5833" s="97" t="s">
        <v>7409</v>
      </c>
      <c r="U5833" s="48"/>
      <c r="V5833" s="48"/>
      <c r="W5833" s="48"/>
      <c r="X5833" s="50">
        <v>44774</v>
      </c>
      <c r="Y5833" s="50">
        <v>45260</v>
      </c>
    </row>
    <row r="5834" s="5" customFormat="1" customHeight="1" spans="1:25">
      <c r="A5834" s="24" t="s">
        <v>61</v>
      </c>
      <c r="B5834" s="24" t="s">
        <v>6300</v>
      </c>
      <c r="C5834" s="24" t="s">
        <v>3237</v>
      </c>
      <c r="D5834" s="22" t="s">
        <v>85</v>
      </c>
      <c r="E5834" s="23" t="s">
        <v>7369</v>
      </c>
      <c r="F5834" s="24" t="s">
        <v>7370</v>
      </c>
      <c r="G5834" s="24" t="s">
        <v>88</v>
      </c>
      <c r="H5834" s="25" t="s">
        <v>7394</v>
      </c>
      <c r="I5834" s="46" t="e">
        <f>VLOOKUP(H5834,'合同高级查询数据-4月返'!A:A,1,FALSE)</f>
        <v>#N/A</v>
      </c>
      <c r="J5834" s="47" t="s">
        <v>90</v>
      </c>
      <c r="K5834" s="24" t="s">
        <v>7372</v>
      </c>
      <c r="L5834" s="109"/>
      <c r="M5834" s="49" t="s">
        <v>7395</v>
      </c>
      <c r="N5834" s="73">
        <v>44831</v>
      </c>
      <c r="O5834" s="493" t="s">
        <v>503</v>
      </c>
      <c r="P5834" s="52">
        <v>4400</v>
      </c>
      <c r="Q5834" s="70">
        <v>4</v>
      </c>
      <c r="R5834" s="52">
        <f t="shared" si="177"/>
        <v>17600</v>
      </c>
      <c r="S5834" s="47">
        <v>202304</v>
      </c>
      <c r="T5834" s="97" t="s">
        <v>7410</v>
      </c>
      <c r="U5834" s="48"/>
      <c r="V5834" s="48"/>
      <c r="W5834" s="48"/>
      <c r="X5834" s="50">
        <v>44774</v>
      </c>
      <c r="Y5834" s="50">
        <v>45260</v>
      </c>
    </row>
    <row r="5835" s="5" customFormat="1" customHeight="1" spans="1:25">
      <c r="A5835" s="24" t="s">
        <v>61</v>
      </c>
      <c r="B5835" s="24" t="s">
        <v>6300</v>
      </c>
      <c r="C5835" s="24" t="s">
        <v>3237</v>
      </c>
      <c r="D5835" s="22" t="s">
        <v>85</v>
      </c>
      <c r="E5835" s="23" t="s">
        <v>7369</v>
      </c>
      <c r="F5835" s="24" t="s">
        <v>7370</v>
      </c>
      <c r="G5835" s="24" t="s">
        <v>88</v>
      </c>
      <c r="H5835" s="25" t="s">
        <v>7394</v>
      </c>
      <c r="I5835" s="46" t="e">
        <f>VLOOKUP(H5835,'合同高级查询数据-4月返'!A:A,1,FALSE)</f>
        <v>#N/A</v>
      </c>
      <c r="J5835" s="47" t="s">
        <v>90</v>
      </c>
      <c r="K5835" s="24" t="s">
        <v>7372</v>
      </c>
      <c r="L5835" s="109"/>
      <c r="M5835" s="49" t="s">
        <v>7395</v>
      </c>
      <c r="N5835" s="73">
        <v>44894</v>
      </c>
      <c r="O5835" s="493" t="s">
        <v>503</v>
      </c>
      <c r="P5835" s="52">
        <v>4400</v>
      </c>
      <c r="Q5835" s="70">
        <v>16</v>
      </c>
      <c r="R5835" s="52">
        <f t="shared" si="177"/>
        <v>70400</v>
      </c>
      <c r="S5835" s="47">
        <v>202304</v>
      </c>
      <c r="T5835" s="97" t="s">
        <v>7411</v>
      </c>
      <c r="U5835" s="48"/>
      <c r="V5835" s="48"/>
      <c r="W5835" s="48"/>
      <c r="X5835" s="50">
        <v>44774</v>
      </c>
      <c r="Y5835" s="50">
        <v>45260</v>
      </c>
    </row>
    <row r="5836" s="5" customFormat="1" customHeight="1" spans="1:25">
      <c r="A5836" s="24" t="s">
        <v>61</v>
      </c>
      <c r="B5836" s="24" t="s">
        <v>6300</v>
      </c>
      <c r="C5836" s="24" t="s">
        <v>3237</v>
      </c>
      <c r="D5836" s="22" t="s">
        <v>85</v>
      </c>
      <c r="E5836" s="23" t="s">
        <v>7369</v>
      </c>
      <c r="F5836" s="24" t="s">
        <v>7370</v>
      </c>
      <c r="G5836" s="24" t="s">
        <v>88</v>
      </c>
      <c r="H5836" s="25" t="s">
        <v>7394</v>
      </c>
      <c r="I5836" s="46" t="e">
        <f>VLOOKUP(H5836,'合同高级查询数据-4月返'!A:A,1,FALSE)</f>
        <v>#N/A</v>
      </c>
      <c r="J5836" s="47" t="s">
        <v>90</v>
      </c>
      <c r="K5836" s="24" t="s">
        <v>7372</v>
      </c>
      <c r="L5836" s="109"/>
      <c r="M5836" s="49" t="s">
        <v>7395</v>
      </c>
      <c r="N5836" s="73">
        <v>44909</v>
      </c>
      <c r="O5836" s="493" t="s">
        <v>503</v>
      </c>
      <c r="P5836" s="52">
        <v>4400</v>
      </c>
      <c r="Q5836" s="70">
        <v>3</v>
      </c>
      <c r="R5836" s="52">
        <f t="shared" si="177"/>
        <v>13200</v>
      </c>
      <c r="S5836" s="47">
        <v>202304</v>
      </c>
      <c r="T5836" s="97" t="s">
        <v>7412</v>
      </c>
      <c r="U5836" s="48"/>
      <c r="V5836" s="48"/>
      <c r="W5836" s="48"/>
      <c r="X5836" s="50">
        <v>44774</v>
      </c>
      <c r="Y5836" s="50">
        <v>45260</v>
      </c>
    </row>
    <row r="5837" s="5" customFormat="1" customHeight="1" spans="1:25">
      <c r="A5837" s="24" t="s">
        <v>61</v>
      </c>
      <c r="B5837" s="24" t="s">
        <v>6300</v>
      </c>
      <c r="C5837" s="24" t="s">
        <v>3237</v>
      </c>
      <c r="D5837" s="22" t="s">
        <v>85</v>
      </c>
      <c r="E5837" s="23" t="s">
        <v>7369</v>
      </c>
      <c r="F5837" s="24" t="s">
        <v>7370</v>
      </c>
      <c r="G5837" s="24" t="s">
        <v>88</v>
      </c>
      <c r="H5837" s="181" t="s">
        <v>7394</v>
      </c>
      <c r="I5837" s="46" t="e">
        <f>VLOOKUP(H5837,'合同高级查询数据-4月返'!A:A,1,FALSE)</f>
        <v>#N/A</v>
      </c>
      <c r="J5837" s="47" t="s">
        <v>90</v>
      </c>
      <c r="K5837" s="24" t="s">
        <v>7372</v>
      </c>
      <c r="L5837" s="109"/>
      <c r="M5837" s="49" t="s">
        <v>7395</v>
      </c>
      <c r="N5837" s="73">
        <v>44925</v>
      </c>
      <c r="O5837" s="493" t="s">
        <v>503</v>
      </c>
      <c r="P5837" s="52">
        <v>4400</v>
      </c>
      <c r="Q5837" s="70">
        <v>2</v>
      </c>
      <c r="R5837" s="52">
        <f t="shared" si="177"/>
        <v>8800</v>
      </c>
      <c r="S5837" s="47">
        <v>202304</v>
      </c>
      <c r="T5837" s="97" t="s">
        <v>7413</v>
      </c>
      <c r="U5837" s="48"/>
      <c r="V5837" s="48"/>
      <c r="W5837" s="48"/>
      <c r="X5837" s="50">
        <v>44774</v>
      </c>
      <c r="Y5837" s="50">
        <v>45260</v>
      </c>
    </row>
    <row r="5838" s="5" customFormat="1" customHeight="1" spans="1:25">
      <c r="A5838" s="24" t="s">
        <v>61</v>
      </c>
      <c r="B5838" s="24" t="s">
        <v>6300</v>
      </c>
      <c r="C5838" s="24" t="s">
        <v>3237</v>
      </c>
      <c r="D5838" s="22" t="s">
        <v>85</v>
      </c>
      <c r="E5838" s="23" t="s">
        <v>7369</v>
      </c>
      <c r="F5838" s="24" t="s">
        <v>7370</v>
      </c>
      <c r="G5838" s="24" t="s">
        <v>88</v>
      </c>
      <c r="H5838" s="181" t="s">
        <v>7394</v>
      </c>
      <c r="I5838" s="46" t="e">
        <f>VLOOKUP(H5838,'合同高级查询数据-4月返'!A:A,1,FALSE)</f>
        <v>#N/A</v>
      </c>
      <c r="J5838" s="47" t="s">
        <v>90</v>
      </c>
      <c r="K5838" s="24" t="s">
        <v>7372</v>
      </c>
      <c r="L5838" s="109"/>
      <c r="M5838" s="49" t="s">
        <v>7395</v>
      </c>
      <c r="N5838" s="73">
        <v>44999</v>
      </c>
      <c r="O5838" s="493" t="s">
        <v>503</v>
      </c>
      <c r="P5838" s="52">
        <v>4400</v>
      </c>
      <c r="Q5838" s="70">
        <v>3</v>
      </c>
      <c r="R5838" s="52">
        <f t="shared" si="177"/>
        <v>13200</v>
      </c>
      <c r="S5838" s="47">
        <v>202304</v>
      </c>
      <c r="T5838" s="97" t="s">
        <v>7414</v>
      </c>
      <c r="U5838" s="48"/>
      <c r="V5838" s="48"/>
      <c r="W5838" s="48"/>
      <c r="X5838" s="50">
        <v>44774</v>
      </c>
      <c r="Y5838" s="50">
        <v>45260</v>
      </c>
    </row>
    <row r="5839" s="5" customFormat="1" customHeight="1" spans="1:25">
      <c r="A5839" s="24" t="s">
        <v>61</v>
      </c>
      <c r="B5839" s="24" t="s">
        <v>6300</v>
      </c>
      <c r="C5839" s="24" t="s">
        <v>3237</v>
      </c>
      <c r="D5839" s="22" t="s">
        <v>85</v>
      </c>
      <c r="E5839" s="23" t="s">
        <v>7369</v>
      </c>
      <c r="F5839" s="24" t="s">
        <v>7370</v>
      </c>
      <c r="G5839" s="24" t="s">
        <v>88</v>
      </c>
      <c r="H5839" s="181" t="s">
        <v>7394</v>
      </c>
      <c r="I5839" s="46" t="e">
        <f>VLOOKUP(H5839,'合同高级查询数据-4月返'!A:A,1,FALSE)</f>
        <v>#N/A</v>
      </c>
      <c r="J5839" s="47" t="s">
        <v>90</v>
      </c>
      <c r="K5839" s="24" t="s">
        <v>7372</v>
      </c>
      <c r="L5839" s="109"/>
      <c r="M5839" s="49" t="s">
        <v>7395</v>
      </c>
      <c r="N5839" s="73">
        <v>45007</v>
      </c>
      <c r="O5839" s="493" t="s">
        <v>503</v>
      </c>
      <c r="P5839" s="52">
        <v>4400</v>
      </c>
      <c r="Q5839" s="70">
        <v>3</v>
      </c>
      <c r="R5839" s="52">
        <f t="shared" si="177"/>
        <v>13200</v>
      </c>
      <c r="S5839" s="47">
        <v>202304</v>
      </c>
      <c r="T5839" s="97" t="s">
        <v>7415</v>
      </c>
      <c r="U5839" s="48"/>
      <c r="V5839" s="48"/>
      <c r="W5839" s="48"/>
      <c r="X5839" s="50">
        <v>44774</v>
      </c>
      <c r="Y5839" s="50">
        <v>45260</v>
      </c>
    </row>
    <row r="5840" s="5" customFormat="1" customHeight="1" spans="1:25">
      <c r="A5840" s="24" t="s">
        <v>61</v>
      </c>
      <c r="B5840" s="24" t="s">
        <v>6300</v>
      </c>
      <c r="C5840" s="24" t="s">
        <v>3237</v>
      </c>
      <c r="D5840" s="22" t="s">
        <v>85</v>
      </c>
      <c r="E5840" s="23" t="s">
        <v>7369</v>
      </c>
      <c r="F5840" s="24" t="s">
        <v>7370</v>
      </c>
      <c r="G5840" s="24" t="s">
        <v>88</v>
      </c>
      <c r="H5840" s="181" t="s">
        <v>7394</v>
      </c>
      <c r="I5840" s="46" t="e">
        <f>VLOOKUP(H5840,'合同高级查询数据-4月返'!A:A,1,FALSE)</f>
        <v>#N/A</v>
      </c>
      <c r="J5840" s="47" t="s">
        <v>90</v>
      </c>
      <c r="K5840" s="24" t="s">
        <v>7372</v>
      </c>
      <c r="L5840" s="109"/>
      <c r="M5840" s="49" t="s">
        <v>7395</v>
      </c>
      <c r="N5840" s="73">
        <v>45009</v>
      </c>
      <c r="O5840" s="493" t="s">
        <v>503</v>
      </c>
      <c r="P5840" s="52">
        <v>4400</v>
      </c>
      <c r="Q5840" s="70">
        <v>3</v>
      </c>
      <c r="R5840" s="52">
        <f t="shared" si="177"/>
        <v>13200</v>
      </c>
      <c r="S5840" s="47">
        <v>202304</v>
      </c>
      <c r="T5840" s="97" t="s">
        <v>7416</v>
      </c>
      <c r="U5840" s="48"/>
      <c r="V5840" s="48"/>
      <c r="W5840" s="48"/>
      <c r="X5840" s="50">
        <v>44774</v>
      </c>
      <c r="Y5840" s="50">
        <v>45260</v>
      </c>
    </row>
    <row r="5841" s="5" customFormat="1" customHeight="1" spans="1:25">
      <c r="A5841" s="24" t="s">
        <v>61</v>
      </c>
      <c r="B5841" s="24" t="s">
        <v>6300</v>
      </c>
      <c r="C5841" s="24" t="s">
        <v>3237</v>
      </c>
      <c r="D5841" s="22" t="s">
        <v>85</v>
      </c>
      <c r="E5841" s="23" t="s">
        <v>7369</v>
      </c>
      <c r="F5841" s="24" t="s">
        <v>7370</v>
      </c>
      <c r="G5841" s="24" t="s">
        <v>88</v>
      </c>
      <c r="H5841" s="181" t="s">
        <v>7394</v>
      </c>
      <c r="I5841" s="46" t="e">
        <f>VLOOKUP(H5841,'合同高级查询数据-4月返'!A:A,1,FALSE)</f>
        <v>#N/A</v>
      </c>
      <c r="J5841" s="47" t="s">
        <v>90</v>
      </c>
      <c r="K5841" s="24" t="s">
        <v>7372</v>
      </c>
      <c r="L5841" s="109"/>
      <c r="M5841" s="49" t="s">
        <v>7395</v>
      </c>
      <c r="N5841" s="73">
        <v>45022</v>
      </c>
      <c r="O5841" s="493" t="s">
        <v>503</v>
      </c>
      <c r="P5841" s="52">
        <v>4400</v>
      </c>
      <c r="Q5841" s="70">
        <v>4</v>
      </c>
      <c r="R5841" s="52">
        <f>ROUND(P5841*Q5841*25/30,2)</f>
        <v>14666.67</v>
      </c>
      <c r="S5841" s="47">
        <v>202304</v>
      </c>
      <c r="T5841" s="502" t="s">
        <v>7417</v>
      </c>
      <c r="U5841" s="48"/>
      <c r="V5841" s="48"/>
      <c r="W5841" s="48"/>
      <c r="X5841" s="50">
        <v>44774</v>
      </c>
      <c r="Y5841" s="50">
        <v>45260</v>
      </c>
    </row>
    <row r="5842" s="5" customFormat="1" customHeight="1" spans="1:25">
      <c r="A5842" s="24" t="s">
        <v>61</v>
      </c>
      <c r="B5842" s="24" t="s">
        <v>6300</v>
      </c>
      <c r="C5842" s="24" t="s">
        <v>3237</v>
      </c>
      <c r="D5842" s="22" t="s">
        <v>85</v>
      </c>
      <c r="E5842" s="23" t="s">
        <v>7369</v>
      </c>
      <c r="F5842" s="24" t="s">
        <v>7370</v>
      </c>
      <c r="G5842" s="24" t="s">
        <v>88</v>
      </c>
      <c r="H5842" s="181" t="s">
        <v>7394</v>
      </c>
      <c r="I5842" s="46" t="e">
        <f>VLOOKUP(H5842,'合同高级查询数据-4月返'!A:A,1,FALSE)</f>
        <v>#N/A</v>
      </c>
      <c r="J5842" s="47" t="s">
        <v>90</v>
      </c>
      <c r="K5842" s="24" t="s">
        <v>7372</v>
      </c>
      <c r="L5842" s="109"/>
      <c r="M5842" s="49" t="s">
        <v>7395</v>
      </c>
      <c r="N5842" s="73">
        <v>45036</v>
      </c>
      <c r="O5842" s="493" t="s">
        <v>503</v>
      </c>
      <c r="P5842" s="52">
        <v>4400</v>
      </c>
      <c r="Q5842" s="70">
        <v>8</v>
      </c>
      <c r="R5842" s="52">
        <f>ROUND(P5842*Q5842*11/30,2)</f>
        <v>12906.67</v>
      </c>
      <c r="S5842" s="47">
        <v>202304</v>
      </c>
      <c r="T5842" s="503" t="s">
        <v>7418</v>
      </c>
      <c r="U5842" s="48"/>
      <c r="V5842" s="48"/>
      <c r="W5842" s="48"/>
      <c r="X5842" s="50">
        <v>44774</v>
      </c>
      <c r="Y5842" s="50">
        <v>45260</v>
      </c>
    </row>
    <row r="5843" s="5" customFormat="1" customHeight="1" spans="1:25">
      <c r="A5843" s="24" t="s">
        <v>61</v>
      </c>
      <c r="B5843" s="24" t="s">
        <v>6300</v>
      </c>
      <c r="C5843" s="24" t="s">
        <v>3237</v>
      </c>
      <c r="D5843" s="22" t="s">
        <v>85</v>
      </c>
      <c r="E5843" s="23" t="s">
        <v>7369</v>
      </c>
      <c r="F5843" s="24" t="s">
        <v>7370</v>
      </c>
      <c r="G5843" s="24" t="s">
        <v>88</v>
      </c>
      <c r="H5843" s="181" t="s">
        <v>7394</v>
      </c>
      <c r="I5843" s="46" t="e">
        <f>VLOOKUP(H5843,'合同高级查询数据-4月返'!A:A,1,FALSE)</f>
        <v>#N/A</v>
      </c>
      <c r="J5843" s="47" t="s">
        <v>90</v>
      </c>
      <c r="K5843" s="24" t="s">
        <v>7372</v>
      </c>
      <c r="L5843" s="109"/>
      <c r="M5843" s="49" t="s">
        <v>7395</v>
      </c>
      <c r="N5843" s="73">
        <v>45041</v>
      </c>
      <c r="O5843" s="493" t="s">
        <v>503</v>
      </c>
      <c r="P5843" s="52">
        <v>4400</v>
      </c>
      <c r="Q5843" s="70">
        <v>2</v>
      </c>
      <c r="R5843" s="52">
        <f>ROUND(P5843*Q5843*6/30,2)</f>
        <v>1760</v>
      </c>
      <c r="S5843" s="47">
        <v>202304</v>
      </c>
      <c r="T5843" s="503" t="s">
        <v>7419</v>
      </c>
      <c r="U5843" s="48"/>
      <c r="V5843" s="48"/>
      <c r="W5843" s="48"/>
      <c r="X5843" s="50">
        <v>44774</v>
      </c>
      <c r="Y5843" s="50">
        <v>45260</v>
      </c>
    </row>
    <row r="5844" s="3" customFormat="1" customHeight="1" spans="1:25">
      <c r="A5844" s="11" t="s">
        <v>61</v>
      </c>
      <c r="B5844" s="11" t="s">
        <v>6300</v>
      </c>
      <c r="C5844" s="11" t="s">
        <v>3237</v>
      </c>
      <c r="D5844" s="35" t="s">
        <v>85</v>
      </c>
      <c r="E5844" s="13" t="s">
        <v>7369</v>
      </c>
      <c r="F5844" s="11" t="s">
        <v>7370</v>
      </c>
      <c r="G5844" s="11" t="s">
        <v>88</v>
      </c>
      <c r="H5844" s="176" t="s">
        <v>7420</v>
      </c>
      <c r="I5844" s="30" t="e">
        <f>VLOOKUP(H5844,'合同高级查询数据-4月返'!A:A,1,FALSE)</f>
        <v>#N/A</v>
      </c>
      <c r="J5844" s="31" t="s">
        <v>90</v>
      </c>
      <c r="K5844" s="11" t="s">
        <v>7372</v>
      </c>
      <c r="L5844" s="32"/>
      <c r="M5844" s="113" t="s">
        <v>7395</v>
      </c>
      <c r="N5844" s="146">
        <v>45041</v>
      </c>
      <c r="O5844" s="500" t="s">
        <v>503</v>
      </c>
      <c r="P5844" s="465">
        <v>4400</v>
      </c>
      <c r="Q5844" s="459">
        <v>1</v>
      </c>
      <c r="R5844" s="465">
        <f>ROUND(P5844*Q5844*6/30,2)</f>
        <v>880</v>
      </c>
      <c r="S5844" s="31">
        <v>202304</v>
      </c>
      <c r="T5844" s="504" t="s">
        <v>7421</v>
      </c>
      <c r="U5844" s="411"/>
      <c r="V5844" s="411"/>
      <c r="W5844" s="411"/>
      <c r="X5844" s="34"/>
      <c r="Y5844" s="34"/>
    </row>
    <row r="5845" s="5" customFormat="1" customHeight="1" spans="1:25">
      <c r="A5845" s="22" t="s">
        <v>61</v>
      </c>
      <c r="B5845" s="22" t="s">
        <v>7422</v>
      </c>
      <c r="C5845" s="22" t="s">
        <v>3237</v>
      </c>
      <c r="D5845" s="22" t="s">
        <v>6301</v>
      </c>
      <c r="E5845" s="23" t="s">
        <v>7423</v>
      </c>
      <c r="F5845" s="24" t="s">
        <v>7424</v>
      </c>
      <c r="G5845" s="24" t="s">
        <v>67</v>
      </c>
      <c r="H5845" s="25" t="s">
        <v>7425</v>
      </c>
      <c r="I5845" s="46" t="e">
        <f>VLOOKUP(H5845,'合同高级查询数据-4月返'!A:A,1,FALSE)</f>
        <v>#N/A</v>
      </c>
      <c r="J5845" s="47" t="s">
        <v>67</v>
      </c>
      <c r="K5845" s="22" t="s">
        <v>6704</v>
      </c>
      <c r="L5845" s="22"/>
      <c r="M5845" s="475"/>
      <c r="N5845" s="50">
        <v>43800</v>
      </c>
      <c r="O5845" s="22" t="s">
        <v>71</v>
      </c>
      <c r="P5845" s="501">
        <v>378</v>
      </c>
      <c r="Q5845" s="70">
        <v>60</v>
      </c>
      <c r="R5845" s="52">
        <f t="shared" ref="R5845:R5907" si="178">ROUND(P5845*Q5845,2)</f>
        <v>22680</v>
      </c>
      <c r="S5845" s="47">
        <v>202304</v>
      </c>
      <c r="T5845" s="123" t="s">
        <v>7426</v>
      </c>
      <c r="U5845" s="97"/>
      <c r="V5845" s="453"/>
      <c r="W5845" s="97"/>
      <c r="X5845" s="50">
        <v>43800</v>
      </c>
      <c r="Y5845" s="50">
        <v>45260</v>
      </c>
    </row>
    <row r="5846" s="5" customFormat="1" customHeight="1" spans="1:25">
      <c r="A5846" s="22" t="s">
        <v>61</v>
      </c>
      <c r="B5846" s="22" t="s">
        <v>7422</v>
      </c>
      <c r="C5846" s="22" t="s">
        <v>3237</v>
      </c>
      <c r="D5846" s="22" t="s">
        <v>6301</v>
      </c>
      <c r="E5846" s="23" t="s">
        <v>7423</v>
      </c>
      <c r="F5846" s="24" t="s">
        <v>7424</v>
      </c>
      <c r="G5846" s="24" t="s">
        <v>67</v>
      </c>
      <c r="H5846" s="25" t="s">
        <v>7425</v>
      </c>
      <c r="I5846" s="46" t="e">
        <f>VLOOKUP(H5846,'合同高级查询数据-4月返'!A:A,1,FALSE)</f>
        <v>#N/A</v>
      </c>
      <c r="J5846" s="47" t="s">
        <v>67</v>
      </c>
      <c r="K5846" s="22" t="s">
        <v>6704</v>
      </c>
      <c r="L5846" s="22"/>
      <c r="M5846" s="475"/>
      <c r="N5846" s="50">
        <v>43800</v>
      </c>
      <c r="O5846" s="22" t="s">
        <v>71</v>
      </c>
      <c r="P5846" s="501">
        <v>378</v>
      </c>
      <c r="Q5846" s="70">
        <v>80</v>
      </c>
      <c r="R5846" s="52">
        <f t="shared" si="178"/>
        <v>30240</v>
      </c>
      <c r="S5846" s="47">
        <v>202304</v>
      </c>
      <c r="T5846" s="123" t="s">
        <v>7427</v>
      </c>
      <c r="U5846" s="97"/>
      <c r="V5846" s="453"/>
      <c r="W5846" s="97"/>
      <c r="X5846" s="50">
        <v>43800</v>
      </c>
      <c r="Y5846" s="50">
        <v>45260</v>
      </c>
    </row>
    <row r="5847" s="5" customFormat="1" customHeight="1" spans="1:25">
      <c r="A5847" s="22" t="s">
        <v>61</v>
      </c>
      <c r="B5847" s="22" t="s">
        <v>7422</v>
      </c>
      <c r="C5847" s="22" t="s">
        <v>3237</v>
      </c>
      <c r="D5847" s="22" t="s">
        <v>6301</v>
      </c>
      <c r="E5847" s="23" t="s">
        <v>7423</v>
      </c>
      <c r="F5847" s="24" t="s">
        <v>7424</v>
      </c>
      <c r="G5847" s="24" t="s">
        <v>67</v>
      </c>
      <c r="H5847" s="25" t="s">
        <v>7428</v>
      </c>
      <c r="I5847" s="46" t="e">
        <f>VLOOKUP(H5847,'合同高级查询数据-4月返'!A:A,1,FALSE)</f>
        <v>#N/A</v>
      </c>
      <c r="J5847" s="47" t="s">
        <v>67</v>
      </c>
      <c r="K5847" s="22" t="s">
        <v>6704</v>
      </c>
      <c r="L5847" s="22"/>
      <c r="M5847" s="475"/>
      <c r="N5847" s="50">
        <v>44231</v>
      </c>
      <c r="O5847" s="22" t="s">
        <v>71</v>
      </c>
      <c r="P5847" s="501">
        <v>378</v>
      </c>
      <c r="Q5847" s="70">
        <v>130</v>
      </c>
      <c r="R5847" s="52">
        <f t="shared" si="178"/>
        <v>49140</v>
      </c>
      <c r="S5847" s="47">
        <v>202304</v>
      </c>
      <c r="T5847" s="123" t="s">
        <v>7429</v>
      </c>
      <c r="U5847" s="97"/>
      <c r="V5847" s="453"/>
      <c r="W5847" s="97"/>
      <c r="X5847" s="50">
        <v>44166</v>
      </c>
      <c r="Y5847" s="50">
        <v>45260</v>
      </c>
    </row>
    <row r="5848" s="5" customFormat="1" customHeight="1" spans="1:25">
      <c r="A5848" s="22" t="s">
        <v>61</v>
      </c>
      <c r="B5848" s="22" t="s">
        <v>7422</v>
      </c>
      <c r="C5848" s="22" t="s">
        <v>3237</v>
      </c>
      <c r="D5848" s="22" t="s">
        <v>6301</v>
      </c>
      <c r="E5848" s="23" t="s">
        <v>7423</v>
      </c>
      <c r="F5848" s="24" t="s">
        <v>7424</v>
      </c>
      <c r="G5848" s="24" t="s">
        <v>67</v>
      </c>
      <c r="H5848" s="25" t="s">
        <v>7428</v>
      </c>
      <c r="I5848" s="46" t="e">
        <f>VLOOKUP(H5848,'合同高级查询数据-4月返'!A:A,1,FALSE)</f>
        <v>#N/A</v>
      </c>
      <c r="J5848" s="47" t="s">
        <v>7430</v>
      </c>
      <c r="K5848" s="22" t="s">
        <v>6704</v>
      </c>
      <c r="L5848" s="22"/>
      <c r="M5848" s="475"/>
      <c r="N5848" s="50">
        <v>44231</v>
      </c>
      <c r="O5848" s="22" t="s">
        <v>37</v>
      </c>
      <c r="P5848" s="501">
        <v>3000</v>
      </c>
      <c r="Q5848" s="70">
        <v>1</v>
      </c>
      <c r="R5848" s="52">
        <f t="shared" si="178"/>
        <v>3000</v>
      </c>
      <c r="S5848" s="47">
        <v>202304</v>
      </c>
      <c r="T5848" s="123" t="s">
        <v>7431</v>
      </c>
      <c r="U5848" s="97"/>
      <c r="V5848" s="453"/>
      <c r="W5848" s="97"/>
      <c r="X5848" s="50">
        <v>44166</v>
      </c>
      <c r="Y5848" s="50">
        <v>45260</v>
      </c>
    </row>
    <row r="5849" s="5" customFormat="1" customHeight="1" spans="1:25">
      <c r="A5849" s="22" t="s">
        <v>61</v>
      </c>
      <c r="B5849" s="22" t="s">
        <v>7422</v>
      </c>
      <c r="C5849" s="22" t="s">
        <v>3237</v>
      </c>
      <c r="D5849" s="22" t="s">
        <v>6301</v>
      </c>
      <c r="E5849" s="23" t="s">
        <v>7423</v>
      </c>
      <c r="F5849" s="24" t="s">
        <v>7424</v>
      </c>
      <c r="G5849" s="24" t="s">
        <v>67</v>
      </c>
      <c r="H5849" s="25" t="s">
        <v>7428</v>
      </c>
      <c r="I5849" s="46" t="e">
        <f>VLOOKUP(H5849,'合同高级查询数据-4月返'!A:A,1,FALSE)</f>
        <v>#N/A</v>
      </c>
      <c r="J5849" s="47" t="s">
        <v>67</v>
      </c>
      <c r="K5849" s="22" t="s">
        <v>6704</v>
      </c>
      <c r="L5849" s="22"/>
      <c r="M5849" s="475"/>
      <c r="N5849" s="50">
        <v>44284</v>
      </c>
      <c r="O5849" s="22" t="s">
        <v>71</v>
      </c>
      <c r="P5849" s="501">
        <v>378</v>
      </c>
      <c r="Q5849" s="70">
        <v>90</v>
      </c>
      <c r="R5849" s="52">
        <f t="shared" si="178"/>
        <v>34020</v>
      </c>
      <c r="S5849" s="47">
        <v>202304</v>
      </c>
      <c r="T5849" s="123" t="s">
        <v>7432</v>
      </c>
      <c r="U5849" s="97"/>
      <c r="V5849" s="453"/>
      <c r="W5849" s="97"/>
      <c r="X5849" s="50">
        <v>44166</v>
      </c>
      <c r="Y5849" s="50">
        <v>45260</v>
      </c>
    </row>
    <row r="5850" s="5" customFormat="1" customHeight="1" spans="1:25">
      <c r="A5850" s="22" t="s">
        <v>61</v>
      </c>
      <c r="B5850" s="22" t="s">
        <v>7422</v>
      </c>
      <c r="C5850" s="22" t="s">
        <v>3237</v>
      </c>
      <c r="D5850" s="22" t="s">
        <v>6301</v>
      </c>
      <c r="E5850" s="23" t="s">
        <v>7423</v>
      </c>
      <c r="F5850" s="24" t="s">
        <v>7424</v>
      </c>
      <c r="G5850" s="24" t="s">
        <v>67</v>
      </c>
      <c r="H5850" s="25" t="s">
        <v>7428</v>
      </c>
      <c r="I5850" s="46" t="e">
        <f>VLOOKUP(H5850,'合同高级查询数据-4月返'!A:A,1,FALSE)</f>
        <v>#N/A</v>
      </c>
      <c r="J5850" s="47" t="s">
        <v>67</v>
      </c>
      <c r="K5850" s="22" t="s">
        <v>6704</v>
      </c>
      <c r="L5850" s="22"/>
      <c r="M5850" s="475"/>
      <c r="N5850" s="50">
        <v>44284</v>
      </c>
      <c r="O5850" s="22" t="s">
        <v>71</v>
      </c>
      <c r="P5850" s="501">
        <v>378</v>
      </c>
      <c r="Q5850" s="70">
        <v>73</v>
      </c>
      <c r="R5850" s="52">
        <f t="shared" si="178"/>
        <v>27594</v>
      </c>
      <c r="S5850" s="47">
        <v>202304</v>
      </c>
      <c r="T5850" s="123" t="s">
        <v>7433</v>
      </c>
      <c r="U5850" s="97"/>
      <c r="V5850" s="453"/>
      <c r="W5850" s="97"/>
      <c r="X5850" s="50">
        <v>44166</v>
      </c>
      <c r="Y5850" s="50">
        <v>45260</v>
      </c>
    </row>
    <row r="5851" s="5" customFormat="1" customHeight="1" spans="1:25">
      <c r="A5851" s="22" t="s">
        <v>61</v>
      </c>
      <c r="B5851" s="22" t="s">
        <v>7422</v>
      </c>
      <c r="C5851" s="22" t="s">
        <v>3237</v>
      </c>
      <c r="D5851" s="22" t="s">
        <v>6301</v>
      </c>
      <c r="E5851" s="23" t="s">
        <v>7423</v>
      </c>
      <c r="F5851" s="24" t="s">
        <v>7424</v>
      </c>
      <c r="G5851" s="24" t="s">
        <v>67</v>
      </c>
      <c r="H5851" s="25" t="s">
        <v>7428</v>
      </c>
      <c r="I5851" s="46" t="e">
        <f>VLOOKUP(H5851,'合同高级查询数据-4月返'!A:A,1,FALSE)</f>
        <v>#N/A</v>
      </c>
      <c r="J5851" s="47" t="s">
        <v>67</v>
      </c>
      <c r="K5851" s="22" t="s">
        <v>6704</v>
      </c>
      <c r="L5851" s="22"/>
      <c r="M5851" s="475"/>
      <c r="N5851" s="50">
        <v>44284</v>
      </c>
      <c r="O5851" s="22" t="s">
        <v>71</v>
      </c>
      <c r="P5851" s="501">
        <v>378</v>
      </c>
      <c r="Q5851" s="70">
        <v>95</v>
      </c>
      <c r="R5851" s="52">
        <f t="shared" si="178"/>
        <v>35910</v>
      </c>
      <c r="S5851" s="47">
        <v>202304</v>
      </c>
      <c r="T5851" s="123" t="s">
        <v>7434</v>
      </c>
      <c r="U5851" s="97"/>
      <c r="V5851" s="453"/>
      <c r="W5851" s="97"/>
      <c r="X5851" s="50">
        <v>44166</v>
      </c>
      <c r="Y5851" s="50">
        <v>45260</v>
      </c>
    </row>
    <row r="5852" s="5" customFormat="1" customHeight="1" spans="1:25">
      <c r="A5852" s="22" t="s">
        <v>61</v>
      </c>
      <c r="B5852" s="22" t="s">
        <v>7422</v>
      </c>
      <c r="C5852" s="22" t="s">
        <v>3237</v>
      </c>
      <c r="D5852" s="22" t="s">
        <v>6301</v>
      </c>
      <c r="E5852" s="23" t="s">
        <v>7423</v>
      </c>
      <c r="F5852" s="24" t="s">
        <v>7424</v>
      </c>
      <c r="G5852" s="24" t="s">
        <v>67</v>
      </c>
      <c r="H5852" s="25" t="s">
        <v>7428</v>
      </c>
      <c r="I5852" s="46" t="e">
        <f>VLOOKUP(H5852,'合同高级查询数据-4月返'!A:A,1,FALSE)</f>
        <v>#N/A</v>
      </c>
      <c r="J5852" s="47" t="s">
        <v>67</v>
      </c>
      <c r="K5852" s="22" t="s">
        <v>6704</v>
      </c>
      <c r="L5852" s="22"/>
      <c r="M5852" s="475"/>
      <c r="N5852" s="50">
        <v>44284</v>
      </c>
      <c r="O5852" s="22" t="s">
        <v>71</v>
      </c>
      <c r="P5852" s="501">
        <v>378</v>
      </c>
      <c r="Q5852" s="70">
        <v>58</v>
      </c>
      <c r="R5852" s="52">
        <f t="shared" si="178"/>
        <v>21924</v>
      </c>
      <c r="S5852" s="47">
        <v>202304</v>
      </c>
      <c r="T5852" s="123" t="s">
        <v>7435</v>
      </c>
      <c r="U5852" s="97"/>
      <c r="V5852" s="453"/>
      <c r="W5852" s="97"/>
      <c r="X5852" s="50">
        <v>44166</v>
      </c>
      <c r="Y5852" s="50">
        <v>45260</v>
      </c>
    </row>
    <row r="5853" s="5" customFormat="1" customHeight="1" spans="1:25">
      <c r="A5853" s="22" t="s">
        <v>61</v>
      </c>
      <c r="B5853" s="22" t="s">
        <v>7422</v>
      </c>
      <c r="C5853" s="22" t="s">
        <v>3237</v>
      </c>
      <c r="D5853" s="22" t="s">
        <v>6301</v>
      </c>
      <c r="E5853" s="23" t="s">
        <v>7423</v>
      </c>
      <c r="F5853" s="24" t="s">
        <v>7424</v>
      </c>
      <c r="G5853" s="24" t="s">
        <v>67</v>
      </c>
      <c r="H5853" s="25" t="s">
        <v>7428</v>
      </c>
      <c r="I5853" s="46" t="e">
        <f>VLOOKUP(H5853,'合同高级查询数据-4月返'!A:A,1,FALSE)</f>
        <v>#N/A</v>
      </c>
      <c r="J5853" s="47" t="s">
        <v>67</v>
      </c>
      <c r="K5853" s="22" t="s">
        <v>6704</v>
      </c>
      <c r="L5853" s="22"/>
      <c r="M5853" s="475"/>
      <c r="N5853" s="50">
        <v>44284</v>
      </c>
      <c r="O5853" s="22" t="s">
        <v>71</v>
      </c>
      <c r="P5853" s="501">
        <v>378</v>
      </c>
      <c r="Q5853" s="70">
        <v>80</v>
      </c>
      <c r="R5853" s="52">
        <f t="shared" si="178"/>
        <v>30240</v>
      </c>
      <c r="S5853" s="47">
        <v>202304</v>
      </c>
      <c r="T5853" s="123" t="s">
        <v>7436</v>
      </c>
      <c r="U5853" s="97"/>
      <c r="V5853" s="453"/>
      <c r="W5853" s="97"/>
      <c r="X5853" s="50">
        <v>44166</v>
      </c>
      <c r="Y5853" s="50">
        <v>45260</v>
      </c>
    </row>
    <row r="5854" s="5" customFormat="1" customHeight="1" spans="1:25">
      <c r="A5854" s="22" t="s">
        <v>61</v>
      </c>
      <c r="B5854" s="22" t="s">
        <v>7422</v>
      </c>
      <c r="C5854" s="22" t="s">
        <v>3237</v>
      </c>
      <c r="D5854" s="22" t="s">
        <v>6301</v>
      </c>
      <c r="E5854" s="23" t="s">
        <v>7423</v>
      </c>
      <c r="F5854" s="24" t="s">
        <v>7424</v>
      </c>
      <c r="G5854" s="24" t="s">
        <v>67</v>
      </c>
      <c r="H5854" s="25" t="s">
        <v>7428</v>
      </c>
      <c r="I5854" s="46" t="e">
        <f>VLOOKUP(H5854,'合同高级查询数据-4月返'!A:A,1,FALSE)</f>
        <v>#N/A</v>
      </c>
      <c r="J5854" s="47" t="s">
        <v>67</v>
      </c>
      <c r="K5854" s="22" t="s">
        <v>6704</v>
      </c>
      <c r="L5854" s="22"/>
      <c r="M5854" s="475"/>
      <c r="N5854" s="50">
        <v>44284</v>
      </c>
      <c r="O5854" s="22" t="s">
        <v>71</v>
      </c>
      <c r="P5854" s="501">
        <v>378</v>
      </c>
      <c r="Q5854" s="70">
        <v>30</v>
      </c>
      <c r="R5854" s="52">
        <f t="shared" si="178"/>
        <v>11340</v>
      </c>
      <c r="S5854" s="47">
        <v>202304</v>
      </c>
      <c r="T5854" s="123" t="s">
        <v>7437</v>
      </c>
      <c r="U5854" s="97"/>
      <c r="V5854" s="453"/>
      <c r="W5854" s="97"/>
      <c r="X5854" s="50">
        <v>44166</v>
      </c>
      <c r="Y5854" s="50">
        <v>45260</v>
      </c>
    </row>
    <row r="5855" s="5" customFormat="1" customHeight="1" spans="1:25">
      <c r="A5855" s="24" t="s">
        <v>61</v>
      </c>
      <c r="B5855" s="24" t="s">
        <v>6300</v>
      </c>
      <c r="C5855" s="24" t="s">
        <v>3237</v>
      </c>
      <c r="D5855" s="22" t="s">
        <v>85</v>
      </c>
      <c r="E5855" s="23" t="s">
        <v>7438</v>
      </c>
      <c r="F5855" s="24" t="s">
        <v>7439</v>
      </c>
      <c r="G5855" s="24" t="s">
        <v>88</v>
      </c>
      <c r="H5855" s="25" t="s">
        <v>7440</v>
      </c>
      <c r="I5855" s="46" t="e">
        <f>VLOOKUP(H5855,'合同高级查询数据-4月返'!A:A,1,FALSE)</f>
        <v>#N/A</v>
      </c>
      <c r="J5855" s="47" t="s">
        <v>90</v>
      </c>
      <c r="K5855" s="24" t="s">
        <v>7441</v>
      </c>
      <c r="L5855" s="109"/>
      <c r="M5855" s="49" t="s">
        <v>6939</v>
      </c>
      <c r="N5855" s="73">
        <v>44418</v>
      </c>
      <c r="O5855" s="493" t="s">
        <v>503</v>
      </c>
      <c r="P5855" s="52">
        <v>5400</v>
      </c>
      <c r="Q5855" s="70">
        <v>22</v>
      </c>
      <c r="R5855" s="52">
        <f t="shared" si="178"/>
        <v>118800</v>
      </c>
      <c r="S5855" s="47">
        <v>202304</v>
      </c>
      <c r="T5855" s="123" t="s">
        <v>7442</v>
      </c>
      <c r="U5855" s="48"/>
      <c r="V5855" s="48"/>
      <c r="W5855" s="48"/>
      <c r="X5855" s="73">
        <v>44378</v>
      </c>
      <c r="Y5855" s="73">
        <v>45473</v>
      </c>
    </row>
    <row r="5856" s="5" customFormat="1" customHeight="1" spans="1:25">
      <c r="A5856" s="24" t="s">
        <v>61</v>
      </c>
      <c r="B5856" s="24" t="s">
        <v>6300</v>
      </c>
      <c r="C5856" s="24" t="s">
        <v>3237</v>
      </c>
      <c r="D5856" s="22" t="s">
        <v>85</v>
      </c>
      <c r="E5856" s="23" t="s">
        <v>7438</v>
      </c>
      <c r="F5856" s="24" t="s">
        <v>7439</v>
      </c>
      <c r="G5856" s="24" t="s">
        <v>88</v>
      </c>
      <c r="H5856" s="25" t="s">
        <v>7440</v>
      </c>
      <c r="I5856" s="46" t="e">
        <f>VLOOKUP(H5856,'合同高级查询数据-4月返'!A:A,1,FALSE)</f>
        <v>#N/A</v>
      </c>
      <c r="J5856" s="47" t="s">
        <v>90</v>
      </c>
      <c r="K5856" s="24" t="s">
        <v>7441</v>
      </c>
      <c r="L5856" s="109"/>
      <c r="M5856" s="49" t="s">
        <v>6939</v>
      </c>
      <c r="N5856" s="73">
        <v>44418</v>
      </c>
      <c r="O5856" s="493" t="s">
        <v>606</v>
      </c>
      <c r="P5856" s="52">
        <v>18068</v>
      </c>
      <c r="Q5856" s="70">
        <v>12</v>
      </c>
      <c r="R5856" s="52">
        <f t="shared" si="178"/>
        <v>216816</v>
      </c>
      <c r="S5856" s="47">
        <v>202304</v>
      </c>
      <c r="T5856" s="123" t="s">
        <v>7443</v>
      </c>
      <c r="U5856" s="48"/>
      <c r="V5856" s="48"/>
      <c r="W5856" s="48"/>
      <c r="X5856" s="73">
        <v>44378</v>
      </c>
      <c r="Y5856" s="73">
        <v>45473</v>
      </c>
    </row>
    <row r="5857" s="5" customFormat="1" customHeight="1" spans="1:25">
      <c r="A5857" s="24" t="s">
        <v>61</v>
      </c>
      <c r="B5857" s="24" t="s">
        <v>6300</v>
      </c>
      <c r="C5857" s="24" t="s">
        <v>3237</v>
      </c>
      <c r="D5857" s="22" t="s">
        <v>85</v>
      </c>
      <c r="E5857" s="23" t="s">
        <v>7438</v>
      </c>
      <c r="F5857" s="24" t="s">
        <v>7439</v>
      </c>
      <c r="G5857" s="24" t="s">
        <v>88</v>
      </c>
      <c r="H5857" s="25" t="s">
        <v>7440</v>
      </c>
      <c r="I5857" s="46" t="e">
        <f>VLOOKUP(H5857,'合同高级查询数据-4月返'!A:A,1,FALSE)</f>
        <v>#N/A</v>
      </c>
      <c r="J5857" s="47" t="s">
        <v>90</v>
      </c>
      <c r="K5857" s="24" t="s">
        <v>7441</v>
      </c>
      <c r="L5857" s="109"/>
      <c r="M5857" s="49" t="s">
        <v>6939</v>
      </c>
      <c r="N5857" s="73">
        <v>44425</v>
      </c>
      <c r="O5857" s="493" t="s">
        <v>503</v>
      </c>
      <c r="P5857" s="52">
        <v>5400</v>
      </c>
      <c r="Q5857" s="70">
        <v>43</v>
      </c>
      <c r="R5857" s="52">
        <f t="shared" si="178"/>
        <v>232200</v>
      </c>
      <c r="S5857" s="47">
        <v>202304</v>
      </c>
      <c r="T5857" s="123" t="s">
        <v>7444</v>
      </c>
      <c r="U5857" s="48"/>
      <c r="V5857" s="48"/>
      <c r="W5857" s="48"/>
      <c r="X5857" s="73">
        <v>44378</v>
      </c>
      <c r="Y5857" s="73">
        <v>45473</v>
      </c>
    </row>
    <row r="5858" s="5" customFormat="1" customHeight="1" spans="1:25">
      <c r="A5858" s="24" t="s">
        <v>61</v>
      </c>
      <c r="B5858" s="24" t="s">
        <v>6300</v>
      </c>
      <c r="C5858" s="24" t="s">
        <v>3237</v>
      </c>
      <c r="D5858" s="22" t="s">
        <v>85</v>
      </c>
      <c r="E5858" s="23" t="s">
        <v>7438</v>
      </c>
      <c r="F5858" s="24" t="s">
        <v>7439</v>
      </c>
      <c r="G5858" s="24" t="s">
        <v>88</v>
      </c>
      <c r="H5858" s="25" t="s">
        <v>7440</v>
      </c>
      <c r="I5858" s="46" t="e">
        <f>VLOOKUP(H5858,'合同高级查询数据-4月返'!A:A,1,FALSE)</f>
        <v>#N/A</v>
      </c>
      <c r="J5858" s="47" t="s">
        <v>90</v>
      </c>
      <c r="K5858" s="24" t="s">
        <v>7441</v>
      </c>
      <c r="L5858" s="109"/>
      <c r="M5858" s="49" t="s">
        <v>6939</v>
      </c>
      <c r="N5858" s="73">
        <v>44431</v>
      </c>
      <c r="O5858" s="493" t="s">
        <v>503</v>
      </c>
      <c r="P5858" s="52">
        <v>5400</v>
      </c>
      <c r="Q5858" s="70">
        <v>3</v>
      </c>
      <c r="R5858" s="52">
        <f t="shared" si="178"/>
        <v>16200</v>
      </c>
      <c r="S5858" s="47">
        <v>202304</v>
      </c>
      <c r="T5858" s="123" t="s">
        <v>7445</v>
      </c>
      <c r="U5858" s="48"/>
      <c r="V5858" s="48"/>
      <c r="W5858" s="48"/>
      <c r="X5858" s="73">
        <v>44378</v>
      </c>
      <c r="Y5858" s="73">
        <v>45473</v>
      </c>
    </row>
    <row r="5859" s="5" customFormat="1" customHeight="1" spans="1:25">
      <c r="A5859" s="24" t="s">
        <v>61</v>
      </c>
      <c r="B5859" s="24" t="s">
        <v>6300</v>
      </c>
      <c r="C5859" s="24" t="s">
        <v>3237</v>
      </c>
      <c r="D5859" s="22" t="s">
        <v>85</v>
      </c>
      <c r="E5859" s="23" t="s">
        <v>7438</v>
      </c>
      <c r="F5859" s="24" t="s">
        <v>7439</v>
      </c>
      <c r="G5859" s="24" t="s">
        <v>88</v>
      </c>
      <c r="H5859" s="25" t="s">
        <v>7440</v>
      </c>
      <c r="I5859" s="46" t="e">
        <f>VLOOKUP(H5859,'合同高级查询数据-4月返'!A:A,1,FALSE)</f>
        <v>#N/A</v>
      </c>
      <c r="J5859" s="47" t="s">
        <v>90</v>
      </c>
      <c r="K5859" s="24" t="s">
        <v>7441</v>
      </c>
      <c r="L5859" s="109"/>
      <c r="M5859" s="49" t="s">
        <v>6939</v>
      </c>
      <c r="N5859" s="50">
        <v>44434</v>
      </c>
      <c r="O5859" s="493" t="s">
        <v>503</v>
      </c>
      <c r="P5859" s="52">
        <v>5400</v>
      </c>
      <c r="Q5859" s="70">
        <v>4</v>
      </c>
      <c r="R5859" s="52">
        <f t="shared" si="178"/>
        <v>21600</v>
      </c>
      <c r="S5859" s="47">
        <v>202304</v>
      </c>
      <c r="T5859" s="123" t="s">
        <v>7446</v>
      </c>
      <c r="U5859" s="48"/>
      <c r="V5859" s="48"/>
      <c r="W5859" s="48"/>
      <c r="X5859" s="73">
        <v>44378</v>
      </c>
      <c r="Y5859" s="73">
        <v>45473</v>
      </c>
    </row>
    <row r="5860" s="5" customFormat="1" customHeight="1" spans="1:25">
      <c r="A5860" s="24" t="s">
        <v>61</v>
      </c>
      <c r="B5860" s="24" t="s">
        <v>6300</v>
      </c>
      <c r="C5860" s="24" t="s">
        <v>3237</v>
      </c>
      <c r="D5860" s="22" t="s">
        <v>85</v>
      </c>
      <c r="E5860" s="23" t="s">
        <v>7438</v>
      </c>
      <c r="F5860" s="24" t="s">
        <v>7439</v>
      </c>
      <c r="G5860" s="24" t="s">
        <v>88</v>
      </c>
      <c r="H5860" s="25" t="s">
        <v>7440</v>
      </c>
      <c r="I5860" s="46" t="e">
        <f>VLOOKUP(H5860,'合同高级查询数据-4月返'!A:A,1,FALSE)</f>
        <v>#N/A</v>
      </c>
      <c r="J5860" s="47" t="s">
        <v>90</v>
      </c>
      <c r="K5860" s="24" t="s">
        <v>7441</v>
      </c>
      <c r="L5860" s="109"/>
      <c r="M5860" s="49" t="s">
        <v>6939</v>
      </c>
      <c r="N5860" s="50">
        <v>44435</v>
      </c>
      <c r="O5860" s="493" t="s">
        <v>503</v>
      </c>
      <c r="P5860" s="52">
        <v>5400</v>
      </c>
      <c r="Q5860" s="70">
        <v>14</v>
      </c>
      <c r="R5860" s="52">
        <f t="shared" si="178"/>
        <v>75600</v>
      </c>
      <c r="S5860" s="47">
        <v>202304</v>
      </c>
      <c r="T5860" s="123" t="s">
        <v>7447</v>
      </c>
      <c r="U5860" s="48"/>
      <c r="V5860" s="48"/>
      <c r="W5860" s="48"/>
      <c r="X5860" s="73">
        <v>44378</v>
      </c>
      <c r="Y5860" s="73">
        <v>45473</v>
      </c>
    </row>
    <row r="5861" s="5" customFormat="1" customHeight="1" spans="1:25">
      <c r="A5861" s="24" t="s">
        <v>61</v>
      </c>
      <c r="B5861" s="24" t="s">
        <v>6300</v>
      </c>
      <c r="C5861" s="24" t="s">
        <v>3237</v>
      </c>
      <c r="D5861" s="22" t="s">
        <v>85</v>
      </c>
      <c r="E5861" s="23" t="s">
        <v>7438</v>
      </c>
      <c r="F5861" s="24" t="s">
        <v>7439</v>
      </c>
      <c r="G5861" s="24" t="s">
        <v>88</v>
      </c>
      <c r="H5861" s="25" t="s">
        <v>7440</v>
      </c>
      <c r="I5861" s="46" t="e">
        <f>VLOOKUP(H5861,'合同高级查询数据-4月返'!A:A,1,FALSE)</f>
        <v>#N/A</v>
      </c>
      <c r="J5861" s="47" t="s">
        <v>90</v>
      </c>
      <c r="K5861" s="24" t="s">
        <v>7441</v>
      </c>
      <c r="L5861" s="109"/>
      <c r="M5861" s="49" t="s">
        <v>6939</v>
      </c>
      <c r="N5861" s="50">
        <v>44438</v>
      </c>
      <c r="O5861" s="493" t="s">
        <v>503</v>
      </c>
      <c r="P5861" s="52">
        <v>5400</v>
      </c>
      <c r="Q5861" s="70">
        <v>5</v>
      </c>
      <c r="R5861" s="52">
        <f t="shared" si="178"/>
        <v>27000</v>
      </c>
      <c r="S5861" s="47">
        <v>202304</v>
      </c>
      <c r="T5861" s="123" t="s">
        <v>7448</v>
      </c>
      <c r="U5861" s="48"/>
      <c r="V5861" s="48"/>
      <c r="W5861" s="48"/>
      <c r="X5861" s="73">
        <v>44378</v>
      </c>
      <c r="Y5861" s="73">
        <v>45473</v>
      </c>
    </row>
    <row r="5862" s="5" customFormat="1" customHeight="1" spans="1:25">
      <c r="A5862" s="24" t="s">
        <v>61</v>
      </c>
      <c r="B5862" s="24" t="s">
        <v>6300</v>
      </c>
      <c r="C5862" s="24" t="s">
        <v>3237</v>
      </c>
      <c r="D5862" s="22" t="s">
        <v>85</v>
      </c>
      <c r="E5862" s="23" t="s">
        <v>7438</v>
      </c>
      <c r="F5862" s="24" t="s">
        <v>7439</v>
      </c>
      <c r="G5862" s="24" t="s">
        <v>88</v>
      </c>
      <c r="H5862" s="25" t="s">
        <v>7440</v>
      </c>
      <c r="I5862" s="46" t="e">
        <f>VLOOKUP(H5862,'合同高级查询数据-4月返'!A:A,1,FALSE)</f>
        <v>#N/A</v>
      </c>
      <c r="J5862" s="47" t="s">
        <v>90</v>
      </c>
      <c r="K5862" s="24" t="s">
        <v>7441</v>
      </c>
      <c r="L5862" s="109"/>
      <c r="M5862" s="49" t="s">
        <v>6939</v>
      </c>
      <c r="N5862" s="73">
        <v>44443</v>
      </c>
      <c r="O5862" s="493" t="s">
        <v>503</v>
      </c>
      <c r="P5862" s="52">
        <v>5400</v>
      </c>
      <c r="Q5862" s="70">
        <v>43</v>
      </c>
      <c r="R5862" s="52">
        <f t="shared" si="178"/>
        <v>232200</v>
      </c>
      <c r="S5862" s="47">
        <v>202304</v>
      </c>
      <c r="T5862" s="123" t="s">
        <v>7449</v>
      </c>
      <c r="U5862" s="48"/>
      <c r="V5862" s="48"/>
      <c r="W5862" s="48"/>
      <c r="X5862" s="73">
        <v>44378</v>
      </c>
      <c r="Y5862" s="73">
        <v>45473</v>
      </c>
    </row>
    <row r="5863" s="5" customFormat="1" customHeight="1" spans="1:25">
      <c r="A5863" s="24" t="s">
        <v>61</v>
      </c>
      <c r="B5863" s="24" t="s">
        <v>6300</v>
      </c>
      <c r="C5863" s="24" t="s">
        <v>3237</v>
      </c>
      <c r="D5863" s="22" t="s">
        <v>85</v>
      </c>
      <c r="E5863" s="23" t="s">
        <v>7438</v>
      </c>
      <c r="F5863" s="24" t="s">
        <v>7439</v>
      </c>
      <c r="G5863" s="24" t="s">
        <v>88</v>
      </c>
      <c r="H5863" s="25" t="s">
        <v>7440</v>
      </c>
      <c r="I5863" s="46" t="e">
        <f>VLOOKUP(H5863,'合同高级查询数据-4月返'!A:A,1,FALSE)</f>
        <v>#N/A</v>
      </c>
      <c r="J5863" s="47" t="s">
        <v>90</v>
      </c>
      <c r="K5863" s="24" t="s">
        <v>7441</v>
      </c>
      <c r="L5863" s="109"/>
      <c r="M5863" s="49" t="s">
        <v>6939</v>
      </c>
      <c r="N5863" s="73">
        <v>44446</v>
      </c>
      <c r="O5863" s="493" t="s">
        <v>503</v>
      </c>
      <c r="P5863" s="52">
        <v>5400</v>
      </c>
      <c r="Q5863" s="70">
        <v>75</v>
      </c>
      <c r="R5863" s="52">
        <f t="shared" si="178"/>
        <v>405000</v>
      </c>
      <c r="S5863" s="47">
        <v>202304</v>
      </c>
      <c r="T5863" s="123" t="s">
        <v>7450</v>
      </c>
      <c r="U5863" s="48"/>
      <c r="V5863" s="48"/>
      <c r="W5863" s="48"/>
      <c r="X5863" s="73">
        <v>44378</v>
      </c>
      <c r="Y5863" s="73">
        <v>45473</v>
      </c>
    </row>
    <row r="5864" s="5" customFormat="1" customHeight="1" spans="1:25">
      <c r="A5864" s="24" t="s">
        <v>61</v>
      </c>
      <c r="B5864" s="24" t="s">
        <v>6300</v>
      </c>
      <c r="C5864" s="24" t="s">
        <v>3237</v>
      </c>
      <c r="D5864" s="22" t="s">
        <v>85</v>
      </c>
      <c r="E5864" s="23" t="s">
        <v>7438</v>
      </c>
      <c r="F5864" s="24" t="s">
        <v>7439</v>
      </c>
      <c r="G5864" s="24" t="s">
        <v>88</v>
      </c>
      <c r="H5864" s="25" t="s">
        <v>7440</v>
      </c>
      <c r="I5864" s="46" t="e">
        <f>VLOOKUP(H5864,'合同高级查询数据-4月返'!A:A,1,FALSE)</f>
        <v>#N/A</v>
      </c>
      <c r="J5864" s="47" t="s">
        <v>90</v>
      </c>
      <c r="K5864" s="24" t="s">
        <v>7441</v>
      </c>
      <c r="L5864" s="109"/>
      <c r="M5864" s="49" t="s">
        <v>6939</v>
      </c>
      <c r="N5864" s="73">
        <v>44452</v>
      </c>
      <c r="O5864" s="493" t="s">
        <v>503</v>
      </c>
      <c r="P5864" s="52">
        <v>5400</v>
      </c>
      <c r="Q5864" s="70">
        <v>90</v>
      </c>
      <c r="R5864" s="52">
        <f t="shared" si="178"/>
        <v>486000</v>
      </c>
      <c r="S5864" s="47">
        <v>202304</v>
      </c>
      <c r="T5864" s="123" t="s">
        <v>7451</v>
      </c>
      <c r="U5864" s="48"/>
      <c r="V5864" s="48"/>
      <c r="W5864" s="48"/>
      <c r="X5864" s="73">
        <v>44378</v>
      </c>
      <c r="Y5864" s="73">
        <v>45473</v>
      </c>
    </row>
    <row r="5865" s="5" customFormat="1" customHeight="1" spans="1:25">
      <c r="A5865" s="24" t="s">
        <v>61</v>
      </c>
      <c r="B5865" s="24" t="s">
        <v>6300</v>
      </c>
      <c r="C5865" s="24" t="s">
        <v>3237</v>
      </c>
      <c r="D5865" s="22" t="s">
        <v>85</v>
      </c>
      <c r="E5865" s="23" t="s">
        <v>7438</v>
      </c>
      <c r="F5865" s="24" t="s">
        <v>7439</v>
      </c>
      <c r="G5865" s="24" t="s">
        <v>88</v>
      </c>
      <c r="H5865" s="25" t="s">
        <v>7440</v>
      </c>
      <c r="I5865" s="46" t="e">
        <f>VLOOKUP(H5865,'合同高级查询数据-4月返'!A:A,1,FALSE)</f>
        <v>#N/A</v>
      </c>
      <c r="J5865" s="47" t="s">
        <v>90</v>
      </c>
      <c r="K5865" s="24" t="s">
        <v>7441</v>
      </c>
      <c r="L5865" s="109"/>
      <c r="M5865" s="49" t="s">
        <v>6939</v>
      </c>
      <c r="N5865" s="73">
        <v>44459</v>
      </c>
      <c r="O5865" s="493" t="s">
        <v>600</v>
      </c>
      <c r="P5865" s="52">
        <v>0</v>
      </c>
      <c r="Q5865" s="70">
        <v>24</v>
      </c>
      <c r="R5865" s="52">
        <f t="shared" si="178"/>
        <v>0</v>
      </c>
      <c r="S5865" s="47">
        <v>202304</v>
      </c>
      <c r="T5865" s="123" t="s">
        <v>7452</v>
      </c>
      <c r="U5865" s="48"/>
      <c r="V5865" s="48"/>
      <c r="W5865" s="48"/>
      <c r="X5865" s="73">
        <v>44378</v>
      </c>
      <c r="Y5865" s="73">
        <v>45473</v>
      </c>
    </row>
    <row r="5866" s="5" customFormat="1" customHeight="1" spans="1:25">
      <c r="A5866" s="24" t="s">
        <v>61</v>
      </c>
      <c r="B5866" s="24" t="s">
        <v>6300</v>
      </c>
      <c r="C5866" s="24" t="s">
        <v>3237</v>
      </c>
      <c r="D5866" s="22" t="s">
        <v>85</v>
      </c>
      <c r="E5866" s="23" t="s">
        <v>7438</v>
      </c>
      <c r="F5866" s="24" t="s">
        <v>7439</v>
      </c>
      <c r="G5866" s="24" t="s">
        <v>88</v>
      </c>
      <c r="H5866" s="25" t="s">
        <v>7440</v>
      </c>
      <c r="I5866" s="46" t="e">
        <f>VLOOKUP(H5866,'合同高级查询数据-4月返'!A:A,1,FALSE)</f>
        <v>#N/A</v>
      </c>
      <c r="J5866" s="47" t="s">
        <v>90</v>
      </c>
      <c r="K5866" s="24" t="s">
        <v>7441</v>
      </c>
      <c r="L5866" s="109"/>
      <c r="M5866" s="49" t="s">
        <v>6939</v>
      </c>
      <c r="N5866" s="73">
        <v>44465</v>
      </c>
      <c r="O5866" s="493" t="s">
        <v>503</v>
      </c>
      <c r="P5866" s="52">
        <v>5400</v>
      </c>
      <c r="Q5866" s="70">
        <v>60</v>
      </c>
      <c r="R5866" s="52">
        <f t="shared" si="178"/>
        <v>324000</v>
      </c>
      <c r="S5866" s="47">
        <v>202304</v>
      </c>
      <c r="T5866" s="123" t="s">
        <v>7453</v>
      </c>
      <c r="U5866" s="48"/>
      <c r="V5866" s="48"/>
      <c r="W5866" s="48"/>
      <c r="X5866" s="73">
        <v>44378</v>
      </c>
      <c r="Y5866" s="73">
        <v>45473</v>
      </c>
    </row>
    <row r="5867" s="5" customFormat="1" customHeight="1" spans="1:25">
      <c r="A5867" s="24" t="s">
        <v>61</v>
      </c>
      <c r="B5867" s="24" t="s">
        <v>6300</v>
      </c>
      <c r="C5867" s="24" t="s">
        <v>3237</v>
      </c>
      <c r="D5867" s="22" t="s">
        <v>85</v>
      </c>
      <c r="E5867" s="23" t="s">
        <v>7438</v>
      </c>
      <c r="F5867" s="24" t="s">
        <v>7439</v>
      </c>
      <c r="G5867" s="24" t="s">
        <v>88</v>
      </c>
      <c r="H5867" s="25" t="s">
        <v>7440</v>
      </c>
      <c r="I5867" s="46" t="e">
        <f>VLOOKUP(H5867,'合同高级查询数据-4月返'!A:A,1,FALSE)</f>
        <v>#N/A</v>
      </c>
      <c r="J5867" s="47" t="s">
        <v>90</v>
      </c>
      <c r="K5867" s="24" t="s">
        <v>7441</v>
      </c>
      <c r="L5867" s="109"/>
      <c r="M5867" s="49" t="s">
        <v>6939</v>
      </c>
      <c r="N5867" s="73">
        <v>44466</v>
      </c>
      <c r="O5867" s="493" t="s">
        <v>503</v>
      </c>
      <c r="P5867" s="52">
        <v>5400</v>
      </c>
      <c r="Q5867" s="70">
        <v>62</v>
      </c>
      <c r="R5867" s="52">
        <f t="shared" si="178"/>
        <v>334800</v>
      </c>
      <c r="S5867" s="47">
        <v>202304</v>
      </c>
      <c r="T5867" s="123" t="s">
        <v>7454</v>
      </c>
      <c r="U5867" s="48"/>
      <c r="V5867" s="48"/>
      <c r="W5867" s="48"/>
      <c r="X5867" s="73">
        <v>44378</v>
      </c>
      <c r="Y5867" s="73">
        <v>45473</v>
      </c>
    </row>
    <row r="5868" s="5" customFormat="1" customHeight="1" spans="1:25">
      <c r="A5868" s="24" t="s">
        <v>61</v>
      </c>
      <c r="B5868" s="24" t="s">
        <v>6300</v>
      </c>
      <c r="C5868" s="24" t="s">
        <v>3237</v>
      </c>
      <c r="D5868" s="22" t="s">
        <v>85</v>
      </c>
      <c r="E5868" s="23" t="s">
        <v>7438</v>
      </c>
      <c r="F5868" s="24" t="s">
        <v>7439</v>
      </c>
      <c r="G5868" s="24" t="s">
        <v>88</v>
      </c>
      <c r="H5868" s="25" t="s">
        <v>7440</v>
      </c>
      <c r="I5868" s="46" t="e">
        <f>VLOOKUP(H5868,'合同高级查询数据-4月返'!A:A,1,FALSE)</f>
        <v>#N/A</v>
      </c>
      <c r="J5868" s="47" t="s">
        <v>90</v>
      </c>
      <c r="K5868" s="24" t="s">
        <v>7441</v>
      </c>
      <c r="L5868" s="109"/>
      <c r="M5868" s="49" t="s">
        <v>6939</v>
      </c>
      <c r="N5868" s="73">
        <v>44467</v>
      </c>
      <c r="O5868" s="493" t="s">
        <v>503</v>
      </c>
      <c r="P5868" s="52">
        <v>5400</v>
      </c>
      <c r="Q5868" s="70">
        <v>38</v>
      </c>
      <c r="R5868" s="52">
        <f t="shared" si="178"/>
        <v>205200</v>
      </c>
      <c r="S5868" s="47">
        <v>202304</v>
      </c>
      <c r="T5868" s="123" t="s">
        <v>7455</v>
      </c>
      <c r="U5868" s="48"/>
      <c r="V5868" s="48"/>
      <c r="W5868" s="48"/>
      <c r="X5868" s="73">
        <v>44378</v>
      </c>
      <c r="Y5868" s="73">
        <v>45473</v>
      </c>
    </row>
    <row r="5869" s="5" customFormat="1" customHeight="1" spans="1:25">
      <c r="A5869" s="24" t="s">
        <v>61</v>
      </c>
      <c r="B5869" s="24" t="s">
        <v>6300</v>
      </c>
      <c r="C5869" s="24" t="s">
        <v>3237</v>
      </c>
      <c r="D5869" s="22" t="s">
        <v>85</v>
      </c>
      <c r="E5869" s="23" t="s">
        <v>7438</v>
      </c>
      <c r="F5869" s="24" t="s">
        <v>7439</v>
      </c>
      <c r="G5869" s="24" t="s">
        <v>88</v>
      </c>
      <c r="H5869" s="25" t="s">
        <v>7440</v>
      </c>
      <c r="I5869" s="46" t="e">
        <f>VLOOKUP(H5869,'合同高级查询数据-4月返'!A:A,1,FALSE)</f>
        <v>#N/A</v>
      </c>
      <c r="J5869" s="47" t="s">
        <v>90</v>
      </c>
      <c r="K5869" s="24" t="s">
        <v>7441</v>
      </c>
      <c r="L5869" s="109"/>
      <c r="M5869" s="49" t="s">
        <v>6939</v>
      </c>
      <c r="N5869" s="73">
        <v>44468</v>
      </c>
      <c r="O5869" s="493" t="s">
        <v>503</v>
      </c>
      <c r="P5869" s="52">
        <v>5400</v>
      </c>
      <c r="Q5869" s="70">
        <v>108</v>
      </c>
      <c r="R5869" s="52">
        <f t="shared" si="178"/>
        <v>583200</v>
      </c>
      <c r="S5869" s="47">
        <v>202304</v>
      </c>
      <c r="T5869" s="123" t="s">
        <v>7456</v>
      </c>
      <c r="U5869" s="48"/>
      <c r="V5869" s="48"/>
      <c r="W5869" s="48"/>
      <c r="X5869" s="73">
        <v>44378</v>
      </c>
      <c r="Y5869" s="73">
        <v>45473</v>
      </c>
    </row>
    <row r="5870" s="5" customFormat="1" customHeight="1" spans="1:25">
      <c r="A5870" s="24" t="s">
        <v>61</v>
      </c>
      <c r="B5870" s="24" t="s">
        <v>6300</v>
      </c>
      <c r="C5870" s="24" t="s">
        <v>3237</v>
      </c>
      <c r="D5870" s="22" t="s">
        <v>85</v>
      </c>
      <c r="E5870" s="23" t="s">
        <v>7438</v>
      </c>
      <c r="F5870" s="24" t="s">
        <v>7439</v>
      </c>
      <c r="G5870" s="24" t="s">
        <v>88</v>
      </c>
      <c r="H5870" s="25" t="s">
        <v>7440</v>
      </c>
      <c r="I5870" s="46" t="e">
        <f>VLOOKUP(H5870,'合同高级查询数据-4月返'!A:A,1,FALSE)</f>
        <v>#N/A</v>
      </c>
      <c r="J5870" s="47" t="s">
        <v>90</v>
      </c>
      <c r="K5870" s="24" t="s">
        <v>7441</v>
      </c>
      <c r="L5870" s="109"/>
      <c r="M5870" s="49" t="s">
        <v>6939</v>
      </c>
      <c r="N5870" s="73">
        <v>44469</v>
      </c>
      <c r="O5870" s="493" t="s">
        <v>503</v>
      </c>
      <c r="P5870" s="52">
        <v>5400</v>
      </c>
      <c r="Q5870" s="70">
        <v>15</v>
      </c>
      <c r="R5870" s="52">
        <f t="shared" si="178"/>
        <v>81000</v>
      </c>
      <c r="S5870" s="47">
        <v>202304</v>
      </c>
      <c r="T5870" s="123" t="s">
        <v>7457</v>
      </c>
      <c r="U5870" s="48"/>
      <c r="V5870" s="48"/>
      <c r="W5870" s="48"/>
      <c r="X5870" s="73">
        <v>44378</v>
      </c>
      <c r="Y5870" s="73">
        <v>45473</v>
      </c>
    </row>
    <row r="5871" s="5" customFormat="1" customHeight="1" spans="1:25">
      <c r="A5871" s="24" t="s">
        <v>61</v>
      </c>
      <c r="B5871" s="24" t="s">
        <v>6300</v>
      </c>
      <c r="C5871" s="24" t="s">
        <v>3237</v>
      </c>
      <c r="D5871" s="22" t="s">
        <v>85</v>
      </c>
      <c r="E5871" s="23" t="s">
        <v>7438</v>
      </c>
      <c r="F5871" s="24" t="s">
        <v>7439</v>
      </c>
      <c r="G5871" s="24" t="s">
        <v>88</v>
      </c>
      <c r="H5871" s="25" t="s">
        <v>7440</v>
      </c>
      <c r="I5871" s="46" t="e">
        <f>VLOOKUP(H5871,'合同高级查询数据-4月返'!A:A,1,FALSE)</f>
        <v>#N/A</v>
      </c>
      <c r="J5871" s="47" t="s">
        <v>90</v>
      </c>
      <c r="K5871" s="24" t="s">
        <v>7441</v>
      </c>
      <c r="L5871" s="109"/>
      <c r="M5871" s="49" t="s">
        <v>6939</v>
      </c>
      <c r="N5871" s="73">
        <v>44483</v>
      </c>
      <c r="O5871" s="493" t="s">
        <v>503</v>
      </c>
      <c r="P5871" s="52">
        <v>5400</v>
      </c>
      <c r="Q5871" s="70">
        <v>51</v>
      </c>
      <c r="R5871" s="52">
        <f t="shared" si="178"/>
        <v>275400</v>
      </c>
      <c r="S5871" s="47">
        <v>202304</v>
      </c>
      <c r="T5871" s="123" t="s">
        <v>7458</v>
      </c>
      <c r="U5871" s="48"/>
      <c r="V5871" s="48"/>
      <c r="W5871" s="48"/>
      <c r="X5871" s="73">
        <v>44378</v>
      </c>
      <c r="Y5871" s="73">
        <v>45473</v>
      </c>
    </row>
    <row r="5872" s="5" customFormat="1" customHeight="1" spans="1:25">
      <c r="A5872" s="24" t="s">
        <v>61</v>
      </c>
      <c r="B5872" s="24" t="s">
        <v>6300</v>
      </c>
      <c r="C5872" s="24" t="s">
        <v>3237</v>
      </c>
      <c r="D5872" s="22" t="s">
        <v>85</v>
      </c>
      <c r="E5872" s="23" t="s">
        <v>7438</v>
      </c>
      <c r="F5872" s="24" t="s">
        <v>7439</v>
      </c>
      <c r="G5872" s="24" t="s">
        <v>88</v>
      </c>
      <c r="H5872" s="25" t="s">
        <v>7440</v>
      </c>
      <c r="I5872" s="46" t="e">
        <f>VLOOKUP(H5872,'合同高级查询数据-4月返'!A:A,1,FALSE)</f>
        <v>#N/A</v>
      </c>
      <c r="J5872" s="47" t="s">
        <v>90</v>
      </c>
      <c r="K5872" s="24" t="s">
        <v>7441</v>
      </c>
      <c r="L5872" s="109"/>
      <c r="M5872" s="49" t="s">
        <v>6939</v>
      </c>
      <c r="N5872" s="73">
        <v>44484</v>
      </c>
      <c r="O5872" s="493" t="s">
        <v>503</v>
      </c>
      <c r="P5872" s="52">
        <v>5400</v>
      </c>
      <c r="Q5872" s="70">
        <v>16</v>
      </c>
      <c r="R5872" s="52">
        <f t="shared" si="178"/>
        <v>86400</v>
      </c>
      <c r="S5872" s="47">
        <v>202304</v>
      </c>
      <c r="T5872" s="123" t="s">
        <v>7459</v>
      </c>
      <c r="U5872" s="48"/>
      <c r="V5872" s="48"/>
      <c r="W5872" s="48"/>
      <c r="X5872" s="73">
        <v>44378</v>
      </c>
      <c r="Y5872" s="73">
        <v>45473</v>
      </c>
    </row>
    <row r="5873" s="5" customFormat="1" customHeight="1" spans="1:25">
      <c r="A5873" s="24" t="s">
        <v>61</v>
      </c>
      <c r="B5873" s="24" t="s">
        <v>6300</v>
      </c>
      <c r="C5873" s="24" t="s">
        <v>3237</v>
      </c>
      <c r="D5873" s="22" t="s">
        <v>85</v>
      </c>
      <c r="E5873" s="23" t="s">
        <v>7438</v>
      </c>
      <c r="F5873" s="24" t="s">
        <v>7439</v>
      </c>
      <c r="G5873" s="24" t="s">
        <v>88</v>
      </c>
      <c r="H5873" s="25" t="s">
        <v>7440</v>
      </c>
      <c r="I5873" s="46" t="e">
        <f>VLOOKUP(H5873,'合同高级查询数据-4月返'!A:A,1,FALSE)</f>
        <v>#N/A</v>
      </c>
      <c r="J5873" s="47" t="s">
        <v>90</v>
      </c>
      <c r="K5873" s="24" t="s">
        <v>7441</v>
      </c>
      <c r="L5873" s="109"/>
      <c r="M5873" s="49" t="s">
        <v>6939</v>
      </c>
      <c r="N5873" s="73">
        <v>44487</v>
      </c>
      <c r="O5873" s="493" t="s">
        <v>503</v>
      </c>
      <c r="P5873" s="52">
        <v>5400</v>
      </c>
      <c r="Q5873" s="70">
        <v>2</v>
      </c>
      <c r="R5873" s="52">
        <f t="shared" si="178"/>
        <v>10800</v>
      </c>
      <c r="S5873" s="47">
        <v>202304</v>
      </c>
      <c r="T5873" s="123" t="s">
        <v>7460</v>
      </c>
      <c r="U5873" s="48"/>
      <c r="V5873" s="48"/>
      <c r="W5873" s="48"/>
      <c r="X5873" s="73">
        <v>44378</v>
      </c>
      <c r="Y5873" s="73">
        <v>45473</v>
      </c>
    </row>
    <row r="5874" s="5" customFormat="1" customHeight="1" spans="1:25">
      <c r="A5874" s="24" t="s">
        <v>61</v>
      </c>
      <c r="B5874" s="24" t="s">
        <v>6300</v>
      </c>
      <c r="C5874" s="24" t="s">
        <v>3237</v>
      </c>
      <c r="D5874" s="22" t="s">
        <v>85</v>
      </c>
      <c r="E5874" s="23" t="s">
        <v>7438</v>
      </c>
      <c r="F5874" s="24" t="s">
        <v>7439</v>
      </c>
      <c r="G5874" s="24" t="s">
        <v>88</v>
      </c>
      <c r="H5874" s="25" t="s">
        <v>7440</v>
      </c>
      <c r="I5874" s="46" t="e">
        <f>VLOOKUP(H5874,'合同高级查询数据-4月返'!A:A,1,FALSE)</f>
        <v>#N/A</v>
      </c>
      <c r="J5874" s="47" t="s">
        <v>90</v>
      </c>
      <c r="K5874" s="24" t="s">
        <v>7441</v>
      </c>
      <c r="L5874" s="109"/>
      <c r="M5874" s="49" t="s">
        <v>6939</v>
      </c>
      <c r="N5874" s="73">
        <v>44489</v>
      </c>
      <c r="O5874" s="493" t="s">
        <v>503</v>
      </c>
      <c r="P5874" s="52">
        <v>5400</v>
      </c>
      <c r="Q5874" s="70">
        <v>12</v>
      </c>
      <c r="R5874" s="52">
        <f t="shared" si="178"/>
        <v>64800</v>
      </c>
      <c r="S5874" s="47">
        <v>202304</v>
      </c>
      <c r="T5874" s="123" t="s">
        <v>7461</v>
      </c>
      <c r="U5874" s="48"/>
      <c r="V5874" s="48"/>
      <c r="W5874" s="48"/>
      <c r="X5874" s="73">
        <v>44378</v>
      </c>
      <c r="Y5874" s="73">
        <v>45473</v>
      </c>
    </row>
    <row r="5875" s="5" customFormat="1" customHeight="1" spans="1:25">
      <c r="A5875" s="24" t="s">
        <v>61</v>
      </c>
      <c r="B5875" s="24" t="s">
        <v>6300</v>
      </c>
      <c r="C5875" s="24" t="s">
        <v>3237</v>
      </c>
      <c r="D5875" s="22" t="s">
        <v>85</v>
      </c>
      <c r="E5875" s="23" t="s">
        <v>7438</v>
      </c>
      <c r="F5875" s="24" t="s">
        <v>7439</v>
      </c>
      <c r="G5875" s="24" t="s">
        <v>88</v>
      </c>
      <c r="H5875" s="25" t="s">
        <v>7440</v>
      </c>
      <c r="I5875" s="46" t="e">
        <f>VLOOKUP(H5875,'合同高级查询数据-4月返'!A:A,1,FALSE)</f>
        <v>#N/A</v>
      </c>
      <c r="J5875" s="47" t="s">
        <v>90</v>
      </c>
      <c r="K5875" s="24" t="s">
        <v>7441</v>
      </c>
      <c r="L5875" s="109"/>
      <c r="M5875" s="49" t="s">
        <v>6939</v>
      </c>
      <c r="N5875" s="73">
        <v>44526</v>
      </c>
      <c r="O5875" s="493" t="s">
        <v>503</v>
      </c>
      <c r="P5875" s="52">
        <v>5400</v>
      </c>
      <c r="Q5875" s="70">
        <v>18</v>
      </c>
      <c r="R5875" s="52">
        <f t="shared" si="178"/>
        <v>97200</v>
      </c>
      <c r="S5875" s="47">
        <v>202304</v>
      </c>
      <c r="T5875" s="123" t="s">
        <v>7462</v>
      </c>
      <c r="U5875" s="48"/>
      <c r="V5875" s="48"/>
      <c r="W5875" s="48"/>
      <c r="X5875" s="73">
        <v>44378</v>
      </c>
      <c r="Y5875" s="73">
        <v>45473</v>
      </c>
    </row>
    <row r="5876" s="5" customFormat="1" customHeight="1" spans="1:25">
      <c r="A5876" s="24" t="s">
        <v>61</v>
      </c>
      <c r="B5876" s="24" t="s">
        <v>6300</v>
      </c>
      <c r="C5876" s="24" t="s">
        <v>3237</v>
      </c>
      <c r="D5876" s="22" t="s">
        <v>85</v>
      </c>
      <c r="E5876" s="23" t="s">
        <v>7438</v>
      </c>
      <c r="F5876" s="24" t="s">
        <v>7439</v>
      </c>
      <c r="G5876" s="24" t="s">
        <v>88</v>
      </c>
      <c r="H5876" s="25" t="s">
        <v>7440</v>
      </c>
      <c r="I5876" s="46" t="e">
        <f>VLOOKUP(H5876,'合同高级查询数据-4月返'!A:A,1,FALSE)</f>
        <v>#N/A</v>
      </c>
      <c r="J5876" s="47" t="s">
        <v>90</v>
      </c>
      <c r="K5876" s="24" t="s">
        <v>7441</v>
      </c>
      <c r="L5876" s="109"/>
      <c r="M5876" s="49" t="s">
        <v>6939</v>
      </c>
      <c r="N5876" s="73">
        <v>44530</v>
      </c>
      <c r="O5876" s="493" t="s">
        <v>503</v>
      </c>
      <c r="P5876" s="52">
        <v>5400</v>
      </c>
      <c r="Q5876" s="70">
        <v>21</v>
      </c>
      <c r="R5876" s="52">
        <f t="shared" si="178"/>
        <v>113400</v>
      </c>
      <c r="S5876" s="47">
        <v>202304</v>
      </c>
      <c r="T5876" s="123" t="s">
        <v>7463</v>
      </c>
      <c r="U5876" s="48"/>
      <c r="V5876" s="48"/>
      <c r="W5876" s="48"/>
      <c r="X5876" s="73">
        <v>44378</v>
      </c>
      <c r="Y5876" s="73">
        <v>45473</v>
      </c>
    </row>
    <row r="5877" s="5" customFormat="1" customHeight="1" spans="1:25">
      <c r="A5877" s="24" t="s">
        <v>61</v>
      </c>
      <c r="B5877" s="24" t="s">
        <v>6300</v>
      </c>
      <c r="C5877" s="24" t="s">
        <v>3237</v>
      </c>
      <c r="D5877" s="22" t="s">
        <v>85</v>
      </c>
      <c r="E5877" s="23" t="s">
        <v>7438</v>
      </c>
      <c r="F5877" s="24" t="s">
        <v>7439</v>
      </c>
      <c r="G5877" s="24" t="s">
        <v>88</v>
      </c>
      <c r="H5877" s="25" t="s">
        <v>7464</v>
      </c>
      <c r="I5877" s="46" t="e">
        <f>VLOOKUP(H5877,'合同高级查询数据-4月返'!A:A,1,FALSE)</f>
        <v>#N/A</v>
      </c>
      <c r="J5877" s="47" t="s">
        <v>90</v>
      </c>
      <c r="K5877" s="24" t="s">
        <v>7465</v>
      </c>
      <c r="L5877" s="109"/>
      <c r="M5877" s="49" t="s">
        <v>6939</v>
      </c>
      <c r="N5877" s="73">
        <v>44565</v>
      </c>
      <c r="O5877" s="493" t="s">
        <v>503</v>
      </c>
      <c r="P5877" s="52">
        <v>5400</v>
      </c>
      <c r="Q5877" s="70">
        <v>8</v>
      </c>
      <c r="R5877" s="52">
        <f t="shared" si="178"/>
        <v>43200</v>
      </c>
      <c r="S5877" s="47">
        <v>202304</v>
      </c>
      <c r="T5877" s="123" t="s">
        <v>7466</v>
      </c>
      <c r="U5877" s="48"/>
      <c r="V5877" s="48"/>
      <c r="W5877" s="48"/>
      <c r="X5877" s="73">
        <v>44501</v>
      </c>
      <c r="Y5877" s="73">
        <v>45596</v>
      </c>
    </row>
    <row r="5878" s="5" customFormat="1" customHeight="1" spans="1:25">
      <c r="A5878" s="24" t="s">
        <v>61</v>
      </c>
      <c r="B5878" s="24" t="s">
        <v>6300</v>
      </c>
      <c r="C5878" s="24" t="s">
        <v>3237</v>
      </c>
      <c r="D5878" s="22" t="s">
        <v>85</v>
      </c>
      <c r="E5878" s="23" t="s">
        <v>7438</v>
      </c>
      <c r="F5878" s="24" t="s">
        <v>7439</v>
      </c>
      <c r="G5878" s="24" t="s">
        <v>88</v>
      </c>
      <c r="H5878" s="25" t="s">
        <v>7464</v>
      </c>
      <c r="I5878" s="46" t="e">
        <f>VLOOKUP(H5878,'合同高级查询数据-4月返'!A:A,1,FALSE)</f>
        <v>#N/A</v>
      </c>
      <c r="J5878" s="47" t="s">
        <v>90</v>
      </c>
      <c r="K5878" s="24" t="s">
        <v>7465</v>
      </c>
      <c r="L5878" s="109"/>
      <c r="M5878" s="49" t="s">
        <v>6939</v>
      </c>
      <c r="N5878" s="73">
        <v>44566</v>
      </c>
      <c r="O5878" s="493" t="s">
        <v>503</v>
      </c>
      <c r="P5878" s="52">
        <v>5400</v>
      </c>
      <c r="Q5878" s="70">
        <v>2</v>
      </c>
      <c r="R5878" s="52">
        <f t="shared" si="178"/>
        <v>10800</v>
      </c>
      <c r="S5878" s="47">
        <v>202304</v>
      </c>
      <c r="T5878" s="123" t="s">
        <v>7467</v>
      </c>
      <c r="U5878" s="48"/>
      <c r="V5878" s="48"/>
      <c r="W5878" s="48"/>
      <c r="X5878" s="73">
        <v>44501</v>
      </c>
      <c r="Y5878" s="73">
        <v>45596</v>
      </c>
    </row>
    <row r="5879" s="5" customFormat="1" customHeight="1" spans="1:25">
      <c r="A5879" s="24" t="s">
        <v>61</v>
      </c>
      <c r="B5879" s="24" t="s">
        <v>6300</v>
      </c>
      <c r="C5879" s="24" t="s">
        <v>3237</v>
      </c>
      <c r="D5879" s="22" t="s">
        <v>85</v>
      </c>
      <c r="E5879" s="23" t="s">
        <v>7438</v>
      </c>
      <c r="F5879" s="24" t="s">
        <v>7439</v>
      </c>
      <c r="G5879" s="24" t="s">
        <v>88</v>
      </c>
      <c r="H5879" s="25" t="s">
        <v>7464</v>
      </c>
      <c r="I5879" s="46" t="e">
        <f>VLOOKUP(H5879,'合同高级查询数据-4月返'!A:A,1,FALSE)</f>
        <v>#N/A</v>
      </c>
      <c r="J5879" s="47" t="s">
        <v>90</v>
      </c>
      <c r="K5879" s="24" t="s">
        <v>7465</v>
      </c>
      <c r="L5879" s="109"/>
      <c r="M5879" s="49" t="s">
        <v>6939</v>
      </c>
      <c r="N5879" s="73">
        <v>44568</v>
      </c>
      <c r="O5879" s="493" t="s">
        <v>503</v>
      </c>
      <c r="P5879" s="52">
        <v>0</v>
      </c>
      <c r="Q5879" s="70">
        <v>63</v>
      </c>
      <c r="R5879" s="52">
        <f t="shared" si="178"/>
        <v>0</v>
      </c>
      <c r="S5879" s="47">
        <v>202304</v>
      </c>
      <c r="T5879" s="123" t="s">
        <v>7468</v>
      </c>
      <c r="U5879" s="48"/>
      <c r="V5879" s="48"/>
      <c r="W5879" s="48"/>
      <c r="X5879" s="73">
        <v>44501</v>
      </c>
      <c r="Y5879" s="73">
        <v>45596</v>
      </c>
    </row>
    <row r="5880" s="5" customFormat="1" customHeight="1" spans="1:25">
      <c r="A5880" s="24" t="s">
        <v>61</v>
      </c>
      <c r="B5880" s="24" t="s">
        <v>6300</v>
      </c>
      <c r="C5880" s="24" t="s">
        <v>3237</v>
      </c>
      <c r="D5880" s="22" t="s">
        <v>85</v>
      </c>
      <c r="E5880" s="23" t="s">
        <v>7438</v>
      </c>
      <c r="F5880" s="24" t="s">
        <v>7439</v>
      </c>
      <c r="G5880" s="24" t="s">
        <v>88</v>
      </c>
      <c r="H5880" s="25" t="s">
        <v>7464</v>
      </c>
      <c r="I5880" s="46" t="e">
        <f>VLOOKUP(H5880,'合同高级查询数据-4月返'!A:A,1,FALSE)</f>
        <v>#N/A</v>
      </c>
      <c r="J5880" s="47" t="s">
        <v>90</v>
      </c>
      <c r="K5880" s="24" t="s">
        <v>7465</v>
      </c>
      <c r="L5880" s="109"/>
      <c r="M5880" s="49" t="s">
        <v>6939</v>
      </c>
      <c r="N5880" s="73">
        <v>44579</v>
      </c>
      <c r="O5880" s="493" t="s">
        <v>503</v>
      </c>
      <c r="P5880" s="52">
        <v>0</v>
      </c>
      <c r="Q5880" s="70">
        <v>-63</v>
      </c>
      <c r="R5880" s="52">
        <f t="shared" si="178"/>
        <v>0</v>
      </c>
      <c r="S5880" s="47">
        <v>202304</v>
      </c>
      <c r="T5880" s="123" t="s">
        <v>7468</v>
      </c>
      <c r="U5880" s="48"/>
      <c r="V5880" s="48"/>
      <c r="W5880" s="48"/>
      <c r="X5880" s="73">
        <v>44501</v>
      </c>
      <c r="Y5880" s="73">
        <v>45596</v>
      </c>
    </row>
    <row r="5881" s="5" customFormat="1" customHeight="1" spans="1:25">
      <c r="A5881" s="24" t="s">
        <v>61</v>
      </c>
      <c r="B5881" s="24" t="s">
        <v>6300</v>
      </c>
      <c r="C5881" s="24" t="s">
        <v>3237</v>
      </c>
      <c r="D5881" s="22" t="s">
        <v>85</v>
      </c>
      <c r="E5881" s="23" t="s">
        <v>7438</v>
      </c>
      <c r="F5881" s="24" t="s">
        <v>7439</v>
      </c>
      <c r="G5881" s="24" t="s">
        <v>88</v>
      </c>
      <c r="H5881" s="25" t="s">
        <v>7464</v>
      </c>
      <c r="I5881" s="46" t="e">
        <f>VLOOKUP(H5881,'合同高级查询数据-4月返'!A:A,1,FALSE)</f>
        <v>#N/A</v>
      </c>
      <c r="J5881" s="47" t="s">
        <v>90</v>
      </c>
      <c r="K5881" s="24" t="s">
        <v>7465</v>
      </c>
      <c r="L5881" s="109"/>
      <c r="M5881" s="49" t="s">
        <v>6939</v>
      </c>
      <c r="N5881" s="73">
        <v>44579</v>
      </c>
      <c r="O5881" s="493" t="s">
        <v>600</v>
      </c>
      <c r="P5881" s="52">
        <v>0</v>
      </c>
      <c r="Q5881" s="70">
        <v>2</v>
      </c>
      <c r="R5881" s="52">
        <f t="shared" si="178"/>
        <v>0</v>
      </c>
      <c r="S5881" s="47">
        <v>202304</v>
      </c>
      <c r="T5881" s="123" t="s">
        <v>7469</v>
      </c>
      <c r="U5881" s="48"/>
      <c r="V5881" s="48"/>
      <c r="W5881" s="48"/>
      <c r="X5881" s="73">
        <v>44501</v>
      </c>
      <c r="Y5881" s="73">
        <v>45596</v>
      </c>
    </row>
    <row r="5882" s="5" customFormat="1" customHeight="1" spans="1:25">
      <c r="A5882" s="24" t="s">
        <v>61</v>
      </c>
      <c r="B5882" s="24" t="s">
        <v>6300</v>
      </c>
      <c r="C5882" s="24" t="s">
        <v>3237</v>
      </c>
      <c r="D5882" s="22" t="s">
        <v>85</v>
      </c>
      <c r="E5882" s="23" t="s">
        <v>7438</v>
      </c>
      <c r="F5882" s="24" t="s">
        <v>7439</v>
      </c>
      <c r="G5882" s="24" t="s">
        <v>88</v>
      </c>
      <c r="H5882" s="25" t="s">
        <v>7464</v>
      </c>
      <c r="I5882" s="46" t="e">
        <f>VLOOKUP(H5882,'合同高级查询数据-4月返'!A:A,1,FALSE)</f>
        <v>#N/A</v>
      </c>
      <c r="J5882" s="47" t="s">
        <v>90</v>
      </c>
      <c r="K5882" s="24" t="s">
        <v>7465</v>
      </c>
      <c r="L5882" s="109"/>
      <c r="M5882" s="49" t="s">
        <v>6939</v>
      </c>
      <c r="N5882" s="73">
        <v>44644</v>
      </c>
      <c r="O5882" s="493" t="s">
        <v>503</v>
      </c>
      <c r="P5882" s="52">
        <v>5400</v>
      </c>
      <c r="Q5882" s="70">
        <v>8</v>
      </c>
      <c r="R5882" s="52">
        <f t="shared" si="178"/>
        <v>43200</v>
      </c>
      <c r="S5882" s="47">
        <v>202304</v>
      </c>
      <c r="T5882" s="123" t="s">
        <v>7470</v>
      </c>
      <c r="U5882" s="48"/>
      <c r="V5882" s="48"/>
      <c r="W5882" s="48"/>
      <c r="X5882" s="73">
        <v>44501</v>
      </c>
      <c r="Y5882" s="73">
        <v>45596</v>
      </c>
    </row>
    <row r="5883" s="5" customFormat="1" customHeight="1" spans="1:25">
      <c r="A5883" s="24" t="s">
        <v>61</v>
      </c>
      <c r="B5883" s="24" t="s">
        <v>6300</v>
      </c>
      <c r="C5883" s="24" t="s">
        <v>3237</v>
      </c>
      <c r="D5883" s="22" t="s">
        <v>85</v>
      </c>
      <c r="E5883" s="23" t="s">
        <v>7438</v>
      </c>
      <c r="F5883" s="24" t="s">
        <v>7439</v>
      </c>
      <c r="G5883" s="24" t="s">
        <v>88</v>
      </c>
      <c r="H5883" s="25" t="s">
        <v>7464</v>
      </c>
      <c r="I5883" s="46" t="e">
        <f>VLOOKUP(H5883,'合同高级查询数据-4月返'!A:A,1,FALSE)</f>
        <v>#N/A</v>
      </c>
      <c r="J5883" s="47" t="s">
        <v>90</v>
      </c>
      <c r="K5883" s="24" t="s">
        <v>7465</v>
      </c>
      <c r="L5883" s="109"/>
      <c r="M5883" s="49" t="s">
        <v>6939</v>
      </c>
      <c r="N5883" s="73">
        <v>44649</v>
      </c>
      <c r="O5883" s="493" t="s">
        <v>503</v>
      </c>
      <c r="P5883" s="52">
        <v>5400</v>
      </c>
      <c r="Q5883" s="70">
        <v>13</v>
      </c>
      <c r="R5883" s="52">
        <f t="shared" si="178"/>
        <v>70200</v>
      </c>
      <c r="S5883" s="47">
        <v>202304</v>
      </c>
      <c r="T5883" s="123" t="s">
        <v>7471</v>
      </c>
      <c r="U5883" s="48"/>
      <c r="V5883" s="48"/>
      <c r="W5883" s="48"/>
      <c r="X5883" s="73">
        <v>44501</v>
      </c>
      <c r="Y5883" s="73">
        <v>45596</v>
      </c>
    </row>
    <row r="5884" s="5" customFormat="1" customHeight="1" spans="1:25">
      <c r="A5884" s="24" t="s">
        <v>61</v>
      </c>
      <c r="B5884" s="24" t="s">
        <v>6300</v>
      </c>
      <c r="C5884" s="24" t="s">
        <v>3237</v>
      </c>
      <c r="D5884" s="22" t="s">
        <v>85</v>
      </c>
      <c r="E5884" s="23" t="s">
        <v>7438</v>
      </c>
      <c r="F5884" s="24" t="s">
        <v>7439</v>
      </c>
      <c r="G5884" s="24" t="s">
        <v>88</v>
      </c>
      <c r="H5884" s="25" t="s">
        <v>7464</v>
      </c>
      <c r="I5884" s="46" t="e">
        <f>VLOOKUP(H5884,'合同高级查询数据-4月返'!A:A,1,FALSE)</f>
        <v>#N/A</v>
      </c>
      <c r="J5884" s="47" t="s">
        <v>90</v>
      </c>
      <c r="K5884" s="24" t="s">
        <v>7465</v>
      </c>
      <c r="L5884" s="109"/>
      <c r="M5884" s="49" t="s">
        <v>6939</v>
      </c>
      <c r="N5884" s="73">
        <v>44652</v>
      </c>
      <c r="O5884" s="493" t="s">
        <v>503</v>
      </c>
      <c r="P5884" s="52">
        <v>5400</v>
      </c>
      <c r="Q5884" s="70">
        <v>14</v>
      </c>
      <c r="R5884" s="52">
        <f t="shared" si="178"/>
        <v>75600</v>
      </c>
      <c r="S5884" s="47">
        <v>202304</v>
      </c>
      <c r="T5884" s="123" t="s">
        <v>7472</v>
      </c>
      <c r="U5884" s="48"/>
      <c r="V5884" s="48"/>
      <c r="W5884" s="48"/>
      <c r="X5884" s="73">
        <v>44501</v>
      </c>
      <c r="Y5884" s="73">
        <v>45596</v>
      </c>
    </row>
    <row r="5885" s="5" customFormat="1" customHeight="1" spans="1:25">
      <c r="A5885" s="24" t="s">
        <v>61</v>
      </c>
      <c r="B5885" s="24" t="s">
        <v>6300</v>
      </c>
      <c r="C5885" s="24" t="s">
        <v>3237</v>
      </c>
      <c r="D5885" s="22" t="s">
        <v>85</v>
      </c>
      <c r="E5885" s="23" t="s">
        <v>7438</v>
      </c>
      <c r="F5885" s="24" t="s">
        <v>7439</v>
      </c>
      <c r="G5885" s="24" t="s">
        <v>88</v>
      </c>
      <c r="H5885" s="25" t="s">
        <v>7464</v>
      </c>
      <c r="I5885" s="46" t="e">
        <f>VLOOKUP(H5885,'合同高级查询数据-4月返'!A:A,1,FALSE)</f>
        <v>#N/A</v>
      </c>
      <c r="J5885" s="47" t="s">
        <v>90</v>
      </c>
      <c r="K5885" s="24" t="s">
        <v>7465</v>
      </c>
      <c r="L5885" s="109"/>
      <c r="M5885" s="49" t="s">
        <v>6939</v>
      </c>
      <c r="N5885" s="73">
        <v>44653</v>
      </c>
      <c r="O5885" s="493" t="s">
        <v>503</v>
      </c>
      <c r="P5885" s="52">
        <v>5400</v>
      </c>
      <c r="Q5885" s="70">
        <v>26</v>
      </c>
      <c r="R5885" s="52">
        <f t="shared" si="178"/>
        <v>140400</v>
      </c>
      <c r="S5885" s="47">
        <v>202304</v>
      </c>
      <c r="T5885" s="123" t="s">
        <v>7473</v>
      </c>
      <c r="U5885" s="48"/>
      <c r="V5885" s="48"/>
      <c r="W5885" s="48"/>
      <c r="X5885" s="73">
        <v>44501</v>
      </c>
      <c r="Y5885" s="73">
        <v>45596</v>
      </c>
    </row>
    <row r="5886" s="5" customFormat="1" customHeight="1" spans="1:25">
      <c r="A5886" s="24" t="s">
        <v>61</v>
      </c>
      <c r="B5886" s="24" t="s">
        <v>6300</v>
      </c>
      <c r="C5886" s="24" t="s">
        <v>3237</v>
      </c>
      <c r="D5886" s="22" t="s">
        <v>85</v>
      </c>
      <c r="E5886" s="23" t="s">
        <v>7438</v>
      </c>
      <c r="F5886" s="24" t="s">
        <v>7439</v>
      </c>
      <c r="G5886" s="24" t="s">
        <v>88</v>
      </c>
      <c r="H5886" s="25" t="s">
        <v>7464</v>
      </c>
      <c r="I5886" s="46" t="e">
        <f>VLOOKUP(H5886,'合同高级查询数据-4月返'!A:A,1,FALSE)</f>
        <v>#N/A</v>
      </c>
      <c r="J5886" s="47" t="s">
        <v>90</v>
      </c>
      <c r="K5886" s="24" t="s">
        <v>7465</v>
      </c>
      <c r="L5886" s="109"/>
      <c r="M5886" s="49" t="s">
        <v>6939</v>
      </c>
      <c r="N5886" s="73">
        <v>44669</v>
      </c>
      <c r="O5886" s="493" t="s">
        <v>503</v>
      </c>
      <c r="P5886" s="52">
        <v>5400</v>
      </c>
      <c r="Q5886" s="70">
        <v>86</v>
      </c>
      <c r="R5886" s="52">
        <f t="shared" si="178"/>
        <v>464400</v>
      </c>
      <c r="S5886" s="47">
        <v>202304</v>
      </c>
      <c r="T5886" s="123" t="s">
        <v>7474</v>
      </c>
      <c r="U5886" s="48"/>
      <c r="V5886" s="48"/>
      <c r="W5886" s="48"/>
      <c r="X5886" s="73">
        <v>44501</v>
      </c>
      <c r="Y5886" s="73">
        <v>45596</v>
      </c>
    </row>
    <row r="5887" s="5" customFormat="1" customHeight="1" spans="1:25">
      <c r="A5887" s="24" t="s">
        <v>61</v>
      </c>
      <c r="B5887" s="24" t="s">
        <v>6300</v>
      </c>
      <c r="C5887" s="24" t="s">
        <v>3237</v>
      </c>
      <c r="D5887" s="22" t="s">
        <v>85</v>
      </c>
      <c r="E5887" s="23" t="s">
        <v>7438</v>
      </c>
      <c r="F5887" s="24" t="s">
        <v>7439</v>
      </c>
      <c r="G5887" s="24" t="s">
        <v>88</v>
      </c>
      <c r="H5887" s="25" t="s">
        <v>7464</v>
      </c>
      <c r="I5887" s="46" t="e">
        <f>VLOOKUP(H5887,'合同高级查询数据-4月返'!A:A,1,FALSE)</f>
        <v>#N/A</v>
      </c>
      <c r="J5887" s="47" t="s">
        <v>90</v>
      </c>
      <c r="K5887" s="24" t="s">
        <v>7465</v>
      </c>
      <c r="L5887" s="109"/>
      <c r="M5887" s="49" t="s">
        <v>6939</v>
      </c>
      <c r="N5887" s="73">
        <v>44670</v>
      </c>
      <c r="O5887" s="493" t="s">
        <v>503</v>
      </c>
      <c r="P5887" s="52">
        <v>5400</v>
      </c>
      <c r="Q5887" s="70">
        <v>19</v>
      </c>
      <c r="R5887" s="52">
        <f t="shared" si="178"/>
        <v>102600</v>
      </c>
      <c r="S5887" s="47">
        <v>202304</v>
      </c>
      <c r="T5887" s="123" t="s">
        <v>7475</v>
      </c>
      <c r="U5887" s="48"/>
      <c r="V5887" s="48"/>
      <c r="W5887" s="48"/>
      <c r="X5887" s="73">
        <v>44501</v>
      </c>
      <c r="Y5887" s="73">
        <v>45596</v>
      </c>
    </row>
    <row r="5888" s="5" customFormat="1" customHeight="1" spans="1:25">
      <c r="A5888" s="24" t="s">
        <v>61</v>
      </c>
      <c r="B5888" s="24" t="s">
        <v>6300</v>
      </c>
      <c r="C5888" s="24" t="s">
        <v>3237</v>
      </c>
      <c r="D5888" s="22" t="s">
        <v>85</v>
      </c>
      <c r="E5888" s="23" t="s">
        <v>7438</v>
      </c>
      <c r="F5888" s="24" t="s">
        <v>7439</v>
      </c>
      <c r="G5888" s="24" t="s">
        <v>88</v>
      </c>
      <c r="H5888" s="25" t="s">
        <v>7464</v>
      </c>
      <c r="I5888" s="46" t="e">
        <f>VLOOKUP(H5888,'合同高级查询数据-4月返'!A:A,1,FALSE)</f>
        <v>#N/A</v>
      </c>
      <c r="J5888" s="47" t="s">
        <v>90</v>
      </c>
      <c r="K5888" s="24" t="s">
        <v>7465</v>
      </c>
      <c r="L5888" s="109"/>
      <c r="M5888" s="49" t="s">
        <v>6939</v>
      </c>
      <c r="N5888" s="73">
        <v>44879</v>
      </c>
      <c r="O5888" s="493" t="s">
        <v>503</v>
      </c>
      <c r="P5888" s="52">
        <v>5400</v>
      </c>
      <c r="Q5888" s="70">
        <v>5</v>
      </c>
      <c r="R5888" s="52">
        <f t="shared" si="178"/>
        <v>27000</v>
      </c>
      <c r="S5888" s="47">
        <v>202304</v>
      </c>
      <c r="T5888" s="123" t="s">
        <v>7476</v>
      </c>
      <c r="U5888" s="48"/>
      <c r="V5888" s="48"/>
      <c r="W5888" s="48"/>
      <c r="X5888" s="73">
        <v>44501</v>
      </c>
      <c r="Y5888" s="73">
        <v>45596</v>
      </c>
    </row>
    <row r="5889" s="5" customFormat="1" customHeight="1" spans="1:25">
      <c r="A5889" s="24" t="s">
        <v>61</v>
      </c>
      <c r="B5889" s="24" t="s">
        <v>6300</v>
      </c>
      <c r="C5889" s="24" t="s">
        <v>3237</v>
      </c>
      <c r="D5889" s="22" t="s">
        <v>85</v>
      </c>
      <c r="E5889" s="23" t="s">
        <v>7438</v>
      </c>
      <c r="F5889" s="24" t="s">
        <v>7439</v>
      </c>
      <c r="G5889" s="24" t="s">
        <v>88</v>
      </c>
      <c r="H5889" s="25" t="s">
        <v>7464</v>
      </c>
      <c r="I5889" s="46" t="e">
        <f>VLOOKUP(H5889,'合同高级查询数据-4月返'!A:A,1,FALSE)</f>
        <v>#N/A</v>
      </c>
      <c r="J5889" s="47" t="s">
        <v>90</v>
      </c>
      <c r="K5889" s="24" t="s">
        <v>7465</v>
      </c>
      <c r="L5889" s="109"/>
      <c r="M5889" s="49" t="s">
        <v>6939</v>
      </c>
      <c r="N5889" s="73">
        <v>44938</v>
      </c>
      <c r="O5889" s="493" t="s">
        <v>503</v>
      </c>
      <c r="P5889" s="52">
        <v>5400</v>
      </c>
      <c r="Q5889" s="70">
        <v>1</v>
      </c>
      <c r="R5889" s="52">
        <f t="shared" si="178"/>
        <v>5400</v>
      </c>
      <c r="S5889" s="47">
        <v>202304</v>
      </c>
      <c r="T5889" s="123" t="s">
        <v>7477</v>
      </c>
      <c r="U5889" s="48"/>
      <c r="V5889" s="48"/>
      <c r="W5889" s="48"/>
      <c r="X5889" s="73">
        <v>44501</v>
      </c>
      <c r="Y5889" s="73">
        <v>45596</v>
      </c>
    </row>
    <row r="5890" s="5" customFormat="1" customHeight="1" spans="1:25">
      <c r="A5890" s="22" t="s">
        <v>61</v>
      </c>
      <c r="B5890" s="22" t="s">
        <v>7422</v>
      </c>
      <c r="C5890" s="22" t="s">
        <v>3237</v>
      </c>
      <c r="D5890" s="22" t="s">
        <v>85</v>
      </c>
      <c r="E5890" s="23" t="s">
        <v>7478</v>
      </c>
      <c r="F5890" s="24" t="s">
        <v>7479</v>
      </c>
      <c r="G5890" s="24" t="s">
        <v>88</v>
      </c>
      <c r="H5890" s="25" t="s">
        <v>7480</v>
      </c>
      <c r="I5890" s="46" t="e">
        <f>VLOOKUP(H5890,'合同高级查询数据-4月返'!A:A,1,FALSE)</f>
        <v>#N/A</v>
      </c>
      <c r="J5890" s="47" t="s">
        <v>90</v>
      </c>
      <c r="K5890" s="46" t="s">
        <v>7481</v>
      </c>
      <c r="L5890" s="22"/>
      <c r="M5890" s="475" t="s">
        <v>7482</v>
      </c>
      <c r="N5890" s="50">
        <v>44672</v>
      </c>
      <c r="O5890" s="22" t="s">
        <v>507</v>
      </c>
      <c r="P5890" s="501">
        <v>9825</v>
      </c>
      <c r="Q5890" s="70">
        <v>8</v>
      </c>
      <c r="R5890" s="52">
        <f t="shared" si="178"/>
        <v>78600</v>
      </c>
      <c r="S5890" s="47">
        <v>202304</v>
      </c>
      <c r="T5890" s="123" t="s">
        <v>7483</v>
      </c>
      <c r="U5890" s="97"/>
      <c r="V5890" s="453"/>
      <c r="W5890" s="97"/>
      <c r="X5890" s="50">
        <v>44713</v>
      </c>
      <c r="Y5890" s="50">
        <v>46538</v>
      </c>
    </row>
    <row r="5891" s="5" customFormat="1" customHeight="1" spans="1:25">
      <c r="A5891" s="22" t="s">
        <v>61</v>
      </c>
      <c r="B5891" s="22" t="s">
        <v>7422</v>
      </c>
      <c r="C5891" s="22" t="s">
        <v>3237</v>
      </c>
      <c r="D5891" s="22" t="s">
        <v>85</v>
      </c>
      <c r="E5891" s="23" t="s">
        <v>7478</v>
      </c>
      <c r="F5891" s="24" t="s">
        <v>7479</v>
      </c>
      <c r="G5891" s="24" t="s">
        <v>88</v>
      </c>
      <c r="H5891" s="25" t="s">
        <v>7480</v>
      </c>
      <c r="I5891" s="46" t="e">
        <f>VLOOKUP(H5891,'合同高级查询数据-4月返'!A:A,1,FALSE)</f>
        <v>#N/A</v>
      </c>
      <c r="J5891" s="47" t="s">
        <v>90</v>
      </c>
      <c r="K5891" s="46" t="s">
        <v>7481</v>
      </c>
      <c r="L5891" s="22"/>
      <c r="M5891" s="475" t="s">
        <v>7482</v>
      </c>
      <c r="N5891" s="50">
        <v>44676</v>
      </c>
      <c r="O5891" s="22" t="s">
        <v>507</v>
      </c>
      <c r="P5891" s="501">
        <v>9825</v>
      </c>
      <c r="Q5891" s="70">
        <v>6</v>
      </c>
      <c r="R5891" s="52">
        <f t="shared" si="178"/>
        <v>58950</v>
      </c>
      <c r="S5891" s="47">
        <v>202304</v>
      </c>
      <c r="T5891" s="123" t="s">
        <v>7484</v>
      </c>
      <c r="U5891" s="97"/>
      <c r="V5891" s="453"/>
      <c r="W5891" s="97"/>
      <c r="X5891" s="50">
        <v>44713</v>
      </c>
      <c r="Y5891" s="50">
        <v>46538</v>
      </c>
    </row>
    <row r="5892" s="5" customFormat="1" customHeight="1" spans="1:25">
      <c r="A5892" s="22" t="s">
        <v>61</v>
      </c>
      <c r="B5892" s="22" t="s">
        <v>7422</v>
      </c>
      <c r="C5892" s="22" t="s">
        <v>3237</v>
      </c>
      <c r="D5892" s="22" t="s">
        <v>85</v>
      </c>
      <c r="E5892" s="23" t="s">
        <v>7478</v>
      </c>
      <c r="F5892" s="24" t="s">
        <v>7479</v>
      </c>
      <c r="G5892" s="24" t="s">
        <v>88</v>
      </c>
      <c r="H5892" s="25" t="s">
        <v>7480</v>
      </c>
      <c r="I5892" s="46" t="e">
        <f>VLOOKUP(H5892,'合同高级查询数据-4月返'!A:A,1,FALSE)</f>
        <v>#N/A</v>
      </c>
      <c r="J5892" s="47" t="s">
        <v>90</v>
      </c>
      <c r="K5892" s="46" t="s">
        <v>7481</v>
      </c>
      <c r="L5892" s="22"/>
      <c r="M5892" s="475" t="s">
        <v>7482</v>
      </c>
      <c r="N5892" s="50">
        <v>44706</v>
      </c>
      <c r="O5892" s="22" t="s">
        <v>600</v>
      </c>
      <c r="P5892" s="501">
        <v>2310</v>
      </c>
      <c r="Q5892" s="70">
        <v>8</v>
      </c>
      <c r="R5892" s="52">
        <f t="shared" si="178"/>
        <v>18480</v>
      </c>
      <c r="S5892" s="47">
        <v>202304</v>
      </c>
      <c r="T5892" s="123" t="s">
        <v>7485</v>
      </c>
      <c r="U5892" s="97"/>
      <c r="V5892" s="453"/>
      <c r="W5892" s="97"/>
      <c r="X5892" s="50">
        <v>44713</v>
      </c>
      <c r="Y5892" s="50">
        <v>46538</v>
      </c>
    </row>
    <row r="5893" s="5" customFormat="1" customHeight="1" spans="1:25">
      <c r="A5893" s="22" t="s">
        <v>61</v>
      </c>
      <c r="B5893" s="22" t="s">
        <v>7422</v>
      </c>
      <c r="C5893" s="22" t="s">
        <v>3237</v>
      </c>
      <c r="D5893" s="22" t="s">
        <v>85</v>
      </c>
      <c r="E5893" s="23" t="s">
        <v>7478</v>
      </c>
      <c r="F5893" s="24" t="s">
        <v>7479</v>
      </c>
      <c r="G5893" s="24" t="s">
        <v>88</v>
      </c>
      <c r="H5893" s="25" t="s">
        <v>7480</v>
      </c>
      <c r="I5893" s="46" t="e">
        <f>VLOOKUP(H5893,'合同高级查询数据-4月返'!A:A,1,FALSE)</f>
        <v>#N/A</v>
      </c>
      <c r="J5893" s="47" t="s">
        <v>90</v>
      </c>
      <c r="K5893" s="46" t="s">
        <v>7481</v>
      </c>
      <c r="L5893" s="22"/>
      <c r="M5893" s="475" t="s">
        <v>7482</v>
      </c>
      <c r="N5893" s="50">
        <v>44713</v>
      </c>
      <c r="O5893" s="22" t="s">
        <v>503</v>
      </c>
      <c r="P5893" s="501">
        <v>4899</v>
      </c>
      <c r="Q5893" s="70">
        <v>3</v>
      </c>
      <c r="R5893" s="52">
        <f t="shared" si="178"/>
        <v>14697</v>
      </c>
      <c r="S5893" s="47">
        <v>202304</v>
      </c>
      <c r="T5893" s="123" t="s">
        <v>7486</v>
      </c>
      <c r="U5893" s="97"/>
      <c r="V5893" s="453"/>
      <c r="W5893" s="97"/>
      <c r="X5893" s="50">
        <v>44713</v>
      </c>
      <c r="Y5893" s="50">
        <v>46538</v>
      </c>
    </row>
    <row r="5894" s="5" customFormat="1" customHeight="1" spans="1:25">
      <c r="A5894" s="22" t="s">
        <v>61</v>
      </c>
      <c r="B5894" s="22" t="s">
        <v>7422</v>
      </c>
      <c r="C5894" s="22" t="s">
        <v>3237</v>
      </c>
      <c r="D5894" s="22" t="s">
        <v>85</v>
      </c>
      <c r="E5894" s="23" t="s">
        <v>7478</v>
      </c>
      <c r="F5894" s="24" t="s">
        <v>7479</v>
      </c>
      <c r="G5894" s="24" t="s">
        <v>88</v>
      </c>
      <c r="H5894" s="25" t="s">
        <v>7480</v>
      </c>
      <c r="I5894" s="46" t="e">
        <f>VLOOKUP(H5894,'合同高级查询数据-4月返'!A:A,1,FALSE)</f>
        <v>#N/A</v>
      </c>
      <c r="J5894" s="47" t="s">
        <v>90</v>
      </c>
      <c r="K5894" s="46" t="s">
        <v>7481</v>
      </c>
      <c r="L5894" s="22"/>
      <c r="M5894" s="475" t="s">
        <v>7482</v>
      </c>
      <c r="N5894" s="50">
        <v>44713</v>
      </c>
      <c r="O5894" s="22" t="s">
        <v>507</v>
      </c>
      <c r="P5894" s="501">
        <v>9825</v>
      </c>
      <c r="Q5894" s="70">
        <v>83</v>
      </c>
      <c r="R5894" s="52">
        <f t="shared" si="178"/>
        <v>815475</v>
      </c>
      <c r="S5894" s="47">
        <v>202304</v>
      </c>
      <c r="T5894" s="123" t="s">
        <v>7487</v>
      </c>
      <c r="U5894" s="97"/>
      <c r="V5894" s="453"/>
      <c r="W5894" s="97"/>
      <c r="X5894" s="50">
        <v>44713</v>
      </c>
      <c r="Y5894" s="50">
        <v>46538</v>
      </c>
    </row>
    <row r="5895" s="5" customFormat="1" customHeight="1" spans="1:25">
      <c r="A5895" s="22" t="s">
        <v>61</v>
      </c>
      <c r="B5895" s="22" t="s">
        <v>7422</v>
      </c>
      <c r="C5895" s="22" t="s">
        <v>3237</v>
      </c>
      <c r="D5895" s="22" t="s">
        <v>85</v>
      </c>
      <c r="E5895" s="23" t="s">
        <v>7478</v>
      </c>
      <c r="F5895" s="24" t="s">
        <v>7479</v>
      </c>
      <c r="G5895" s="24" t="s">
        <v>88</v>
      </c>
      <c r="H5895" s="25" t="s">
        <v>7480</v>
      </c>
      <c r="I5895" s="46" t="e">
        <f>VLOOKUP(H5895,'合同高级查询数据-4月返'!A:A,1,FALSE)</f>
        <v>#N/A</v>
      </c>
      <c r="J5895" s="47" t="s">
        <v>90</v>
      </c>
      <c r="K5895" s="46" t="s">
        <v>7481</v>
      </c>
      <c r="L5895" s="22"/>
      <c r="M5895" s="475" t="s">
        <v>7482</v>
      </c>
      <c r="N5895" s="50">
        <v>44713</v>
      </c>
      <c r="O5895" s="22" t="s">
        <v>503</v>
      </c>
      <c r="P5895" s="501">
        <v>4899</v>
      </c>
      <c r="Q5895" s="70">
        <v>3</v>
      </c>
      <c r="R5895" s="52">
        <f t="shared" si="178"/>
        <v>14697</v>
      </c>
      <c r="S5895" s="47">
        <v>202304</v>
      </c>
      <c r="T5895" s="123" t="s">
        <v>7488</v>
      </c>
      <c r="U5895" s="97"/>
      <c r="V5895" s="453"/>
      <c r="W5895" s="97"/>
      <c r="X5895" s="50">
        <v>44713</v>
      </c>
      <c r="Y5895" s="50">
        <v>46538</v>
      </c>
    </row>
    <row r="5896" s="5" customFormat="1" customHeight="1" spans="1:25">
      <c r="A5896" s="22" t="s">
        <v>61</v>
      </c>
      <c r="B5896" s="22" t="s">
        <v>7422</v>
      </c>
      <c r="C5896" s="22" t="s">
        <v>3237</v>
      </c>
      <c r="D5896" s="22" t="s">
        <v>85</v>
      </c>
      <c r="E5896" s="23" t="s">
        <v>7478</v>
      </c>
      <c r="F5896" s="24" t="s">
        <v>7479</v>
      </c>
      <c r="G5896" s="24" t="s">
        <v>88</v>
      </c>
      <c r="H5896" s="25" t="s">
        <v>7480</v>
      </c>
      <c r="I5896" s="46" t="e">
        <f>VLOOKUP(H5896,'合同高级查询数据-4月返'!A:A,1,FALSE)</f>
        <v>#N/A</v>
      </c>
      <c r="J5896" s="47" t="s">
        <v>90</v>
      </c>
      <c r="K5896" s="46" t="s">
        <v>7481</v>
      </c>
      <c r="L5896" s="22"/>
      <c r="M5896" s="475" t="s">
        <v>7482</v>
      </c>
      <c r="N5896" s="50">
        <v>44713</v>
      </c>
      <c r="O5896" s="22" t="s">
        <v>606</v>
      </c>
      <c r="P5896" s="501">
        <v>16747</v>
      </c>
      <c r="Q5896" s="70">
        <v>2</v>
      </c>
      <c r="R5896" s="52">
        <f t="shared" si="178"/>
        <v>33494</v>
      </c>
      <c r="S5896" s="47">
        <v>202304</v>
      </c>
      <c r="T5896" s="123" t="s">
        <v>7489</v>
      </c>
      <c r="U5896" s="97"/>
      <c r="V5896" s="453"/>
      <c r="W5896" s="97"/>
      <c r="X5896" s="50">
        <v>44713</v>
      </c>
      <c r="Y5896" s="50">
        <v>46538</v>
      </c>
    </row>
    <row r="5897" s="5" customFormat="1" customHeight="1" spans="1:25">
      <c r="A5897" s="22" t="s">
        <v>61</v>
      </c>
      <c r="B5897" s="22" t="s">
        <v>7422</v>
      </c>
      <c r="C5897" s="22" t="s">
        <v>3237</v>
      </c>
      <c r="D5897" s="22" t="s">
        <v>85</v>
      </c>
      <c r="E5897" s="23" t="s">
        <v>7478</v>
      </c>
      <c r="F5897" s="24" t="s">
        <v>7479</v>
      </c>
      <c r="G5897" s="24" t="s">
        <v>88</v>
      </c>
      <c r="H5897" s="25" t="s">
        <v>7480</v>
      </c>
      <c r="I5897" s="46" t="e">
        <f>VLOOKUP(H5897,'合同高级查询数据-4月返'!A:A,1,FALSE)</f>
        <v>#N/A</v>
      </c>
      <c r="J5897" s="47" t="s">
        <v>90</v>
      </c>
      <c r="K5897" s="46" t="s">
        <v>7481</v>
      </c>
      <c r="L5897" s="22"/>
      <c r="M5897" s="475" t="s">
        <v>7482</v>
      </c>
      <c r="N5897" s="50">
        <v>44713</v>
      </c>
      <c r="O5897" s="22" t="s">
        <v>595</v>
      </c>
      <c r="P5897" s="501">
        <v>22330</v>
      </c>
      <c r="Q5897" s="70">
        <v>4</v>
      </c>
      <c r="R5897" s="52">
        <f t="shared" si="178"/>
        <v>89320</v>
      </c>
      <c r="S5897" s="47">
        <v>202304</v>
      </c>
      <c r="T5897" s="123" t="s">
        <v>7490</v>
      </c>
      <c r="U5897" s="97"/>
      <c r="V5897" s="453"/>
      <c r="W5897" s="97"/>
      <c r="X5897" s="50">
        <v>44713</v>
      </c>
      <c r="Y5897" s="50">
        <v>46538</v>
      </c>
    </row>
    <row r="5898" s="5" customFormat="1" customHeight="1" spans="1:25">
      <c r="A5898" s="22" t="s">
        <v>61</v>
      </c>
      <c r="B5898" s="22" t="s">
        <v>7422</v>
      </c>
      <c r="C5898" s="22" t="s">
        <v>3237</v>
      </c>
      <c r="D5898" s="22" t="s">
        <v>85</v>
      </c>
      <c r="E5898" s="23" t="s">
        <v>7478</v>
      </c>
      <c r="F5898" s="24" t="s">
        <v>7479</v>
      </c>
      <c r="G5898" s="24" t="s">
        <v>88</v>
      </c>
      <c r="H5898" s="25" t="s">
        <v>7480</v>
      </c>
      <c r="I5898" s="46" t="e">
        <f>VLOOKUP(H5898,'合同高级查询数据-4月返'!A:A,1,FALSE)</f>
        <v>#N/A</v>
      </c>
      <c r="J5898" s="47" t="s">
        <v>90</v>
      </c>
      <c r="K5898" s="46" t="s">
        <v>7481</v>
      </c>
      <c r="L5898" s="22"/>
      <c r="M5898" s="475" t="s">
        <v>7482</v>
      </c>
      <c r="N5898" s="50">
        <v>44728</v>
      </c>
      <c r="O5898" s="22" t="s">
        <v>507</v>
      </c>
      <c r="P5898" s="501">
        <v>9825</v>
      </c>
      <c r="Q5898" s="70">
        <v>1</v>
      </c>
      <c r="R5898" s="52">
        <f t="shared" si="178"/>
        <v>9825</v>
      </c>
      <c r="S5898" s="47">
        <v>202304</v>
      </c>
      <c r="T5898" s="123" t="s">
        <v>7491</v>
      </c>
      <c r="U5898" s="97"/>
      <c r="V5898" s="453"/>
      <c r="W5898" s="97"/>
      <c r="X5898" s="50">
        <v>44713</v>
      </c>
      <c r="Y5898" s="50">
        <v>46538</v>
      </c>
    </row>
    <row r="5899" s="5" customFormat="1" customHeight="1" spans="1:25">
      <c r="A5899" s="22" t="s">
        <v>61</v>
      </c>
      <c r="B5899" s="22" t="s">
        <v>7422</v>
      </c>
      <c r="C5899" s="22" t="s">
        <v>3237</v>
      </c>
      <c r="D5899" s="22" t="s">
        <v>85</v>
      </c>
      <c r="E5899" s="23" t="s">
        <v>7478</v>
      </c>
      <c r="F5899" s="24" t="s">
        <v>7479</v>
      </c>
      <c r="G5899" s="24" t="s">
        <v>88</v>
      </c>
      <c r="H5899" s="25" t="s">
        <v>7480</v>
      </c>
      <c r="I5899" s="46" t="e">
        <f>VLOOKUP(H5899,'合同高级查询数据-4月返'!A:A,1,FALSE)</f>
        <v>#N/A</v>
      </c>
      <c r="J5899" s="47" t="s">
        <v>90</v>
      </c>
      <c r="K5899" s="46" t="s">
        <v>7481</v>
      </c>
      <c r="L5899" s="22"/>
      <c r="M5899" s="475" t="s">
        <v>7482</v>
      </c>
      <c r="N5899" s="50">
        <v>44733</v>
      </c>
      <c r="O5899" s="22" t="s">
        <v>507</v>
      </c>
      <c r="P5899" s="501">
        <v>9825</v>
      </c>
      <c r="Q5899" s="70">
        <v>11</v>
      </c>
      <c r="R5899" s="52">
        <f t="shared" si="178"/>
        <v>108075</v>
      </c>
      <c r="S5899" s="47">
        <v>202304</v>
      </c>
      <c r="T5899" s="123" t="s">
        <v>7492</v>
      </c>
      <c r="U5899" s="97"/>
      <c r="V5899" s="453"/>
      <c r="W5899" s="97"/>
      <c r="X5899" s="50">
        <v>44713</v>
      </c>
      <c r="Y5899" s="50">
        <v>46538</v>
      </c>
    </row>
    <row r="5900" s="5" customFormat="1" customHeight="1" spans="1:25">
      <c r="A5900" s="22" t="s">
        <v>61</v>
      </c>
      <c r="B5900" s="22" t="s">
        <v>7422</v>
      </c>
      <c r="C5900" s="22" t="s">
        <v>3237</v>
      </c>
      <c r="D5900" s="22" t="s">
        <v>85</v>
      </c>
      <c r="E5900" s="23" t="s">
        <v>7478</v>
      </c>
      <c r="F5900" s="24" t="s">
        <v>7479</v>
      </c>
      <c r="G5900" s="24" t="s">
        <v>88</v>
      </c>
      <c r="H5900" s="25" t="s">
        <v>7480</v>
      </c>
      <c r="I5900" s="46" t="e">
        <f>VLOOKUP(H5900,'合同高级查询数据-4月返'!A:A,1,FALSE)</f>
        <v>#N/A</v>
      </c>
      <c r="J5900" s="47" t="s">
        <v>90</v>
      </c>
      <c r="K5900" s="46" t="s">
        <v>7481</v>
      </c>
      <c r="L5900" s="22"/>
      <c r="M5900" s="475" t="s">
        <v>7482</v>
      </c>
      <c r="N5900" s="50">
        <v>44728</v>
      </c>
      <c r="O5900" s="22" t="s">
        <v>606</v>
      </c>
      <c r="P5900" s="501">
        <v>16747</v>
      </c>
      <c r="Q5900" s="70">
        <v>2</v>
      </c>
      <c r="R5900" s="52">
        <f t="shared" si="178"/>
        <v>33494</v>
      </c>
      <c r="S5900" s="47">
        <v>202304</v>
      </c>
      <c r="T5900" s="123" t="s">
        <v>7493</v>
      </c>
      <c r="U5900" s="97"/>
      <c r="V5900" s="453"/>
      <c r="W5900" s="97"/>
      <c r="X5900" s="50">
        <v>44713</v>
      </c>
      <c r="Y5900" s="50">
        <v>46538</v>
      </c>
    </row>
    <row r="5901" s="5" customFormat="1" customHeight="1" spans="1:25">
      <c r="A5901" s="22" t="s">
        <v>61</v>
      </c>
      <c r="B5901" s="22" t="s">
        <v>7422</v>
      </c>
      <c r="C5901" s="22" t="s">
        <v>3237</v>
      </c>
      <c r="D5901" s="22" t="s">
        <v>85</v>
      </c>
      <c r="E5901" s="23" t="s">
        <v>7478</v>
      </c>
      <c r="F5901" s="24" t="s">
        <v>7479</v>
      </c>
      <c r="G5901" s="24" t="s">
        <v>88</v>
      </c>
      <c r="H5901" s="25" t="s">
        <v>7480</v>
      </c>
      <c r="I5901" s="46" t="e">
        <f>VLOOKUP(H5901,'合同高级查询数据-4月返'!A:A,1,FALSE)</f>
        <v>#N/A</v>
      </c>
      <c r="J5901" s="47" t="s">
        <v>90</v>
      </c>
      <c r="K5901" s="46" t="s">
        <v>7481</v>
      </c>
      <c r="L5901" s="22"/>
      <c r="M5901" s="475" t="s">
        <v>7482</v>
      </c>
      <c r="N5901" s="50">
        <v>44746</v>
      </c>
      <c r="O5901" s="22" t="s">
        <v>507</v>
      </c>
      <c r="P5901" s="501">
        <v>9825</v>
      </c>
      <c r="Q5901" s="70">
        <v>4</v>
      </c>
      <c r="R5901" s="52">
        <f t="shared" si="178"/>
        <v>39300</v>
      </c>
      <c r="S5901" s="47">
        <v>202304</v>
      </c>
      <c r="T5901" s="123" t="s">
        <v>7494</v>
      </c>
      <c r="U5901" s="97"/>
      <c r="V5901" s="453"/>
      <c r="W5901" s="97"/>
      <c r="X5901" s="50">
        <v>44713</v>
      </c>
      <c r="Y5901" s="50">
        <v>46538</v>
      </c>
    </row>
    <row r="5902" s="5" customFormat="1" customHeight="1" spans="1:25">
      <c r="A5902" s="22" t="s">
        <v>61</v>
      </c>
      <c r="B5902" s="22" t="s">
        <v>7422</v>
      </c>
      <c r="C5902" s="22" t="s">
        <v>3237</v>
      </c>
      <c r="D5902" s="22" t="s">
        <v>85</v>
      </c>
      <c r="E5902" s="23" t="s">
        <v>7478</v>
      </c>
      <c r="F5902" s="24" t="s">
        <v>7479</v>
      </c>
      <c r="G5902" s="24" t="s">
        <v>88</v>
      </c>
      <c r="H5902" s="25" t="s">
        <v>7480</v>
      </c>
      <c r="I5902" s="46" t="e">
        <f>VLOOKUP(H5902,'合同高级查询数据-4月返'!A:A,1,FALSE)</f>
        <v>#N/A</v>
      </c>
      <c r="J5902" s="47" t="s">
        <v>90</v>
      </c>
      <c r="K5902" s="46" t="s">
        <v>7481</v>
      </c>
      <c r="L5902" s="22"/>
      <c r="M5902" s="475" t="s">
        <v>7482</v>
      </c>
      <c r="N5902" s="50">
        <v>44754</v>
      </c>
      <c r="O5902" s="22" t="s">
        <v>507</v>
      </c>
      <c r="P5902" s="501">
        <v>9825</v>
      </c>
      <c r="Q5902" s="70">
        <v>4</v>
      </c>
      <c r="R5902" s="52">
        <f t="shared" si="178"/>
        <v>39300</v>
      </c>
      <c r="S5902" s="47">
        <v>202304</v>
      </c>
      <c r="T5902" s="123" t="s">
        <v>7495</v>
      </c>
      <c r="U5902" s="97"/>
      <c r="V5902" s="453"/>
      <c r="W5902" s="97"/>
      <c r="X5902" s="50">
        <v>44713</v>
      </c>
      <c r="Y5902" s="50">
        <v>46538</v>
      </c>
    </row>
    <row r="5903" s="5" customFormat="1" customHeight="1" spans="1:25">
      <c r="A5903" s="22" t="s">
        <v>61</v>
      </c>
      <c r="B5903" s="22" t="s">
        <v>7422</v>
      </c>
      <c r="C5903" s="22" t="s">
        <v>3237</v>
      </c>
      <c r="D5903" s="22" t="s">
        <v>85</v>
      </c>
      <c r="E5903" s="23" t="s">
        <v>7478</v>
      </c>
      <c r="F5903" s="24" t="s">
        <v>7479</v>
      </c>
      <c r="G5903" s="24" t="s">
        <v>88</v>
      </c>
      <c r="H5903" s="25" t="s">
        <v>7480</v>
      </c>
      <c r="I5903" s="46" t="e">
        <f>VLOOKUP(H5903,'合同高级查询数据-4月返'!A:A,1,FALSE)</f>
        <v>#N/A</v>
      </c>
      <c r="J5903" s="47" t="s">
        <v>90</v>
      </c>
      <c r="K5903" s="46" t="s">
        <v>7481</v>
      </c>
      <c r="L5903" s="22"/>
      <c r="M5903" s="475" t="s">
        <v>7482</v>
      </c>
      <c r="N5903" s="50">
        <v>44756</v>
      </c>
      <c r="O5903" s="22" t="s">
        <v>507</v>
      </c>
      <c r="P5903" s="501">
        <v>9825</v>
      </c>
      <c r="Q5903" s="70">
        <v>2</v>
      </c>
      <c r="R5903" s="52">
        <f t="shared" si="178"/>
        <v>19650</v>
      </c>
      <c r="S5903" s="47">
        <v>202304</v>
      </c>
      <c r="T5903" s="123" t="s">
        <v>7496</v>
      </c>
      <c r="U5903" s="97"/>
      <c r="V5903" s="453"/>
      <c r="W5903" s="97"/>
      <c r="X5903" s="50">
        <v>44713</v>
      </c>
      <c r="Y5903" s="50">
        <v>46538</v>
      </c>
    </row>
    <row r="5904" s="5" customFormat="1" customHeight="1" spans="1:25">
      <c r="A5904" s="22" t="s">
        <v>61</v>
      </c>
      <c r="B5904" s="22" t="s">
        <v>7422</v>
      </c>
      <c r="C5904" s="22" t="s">
        <v>3237</v>
      </c>
      <c r="D5904" s="22" t="s">
        <v>85</v>
      </c>
      <c r="E5904" s="23" t="s">
        <v>7478</v>
      </c>
      <c r="F5904" s="24" t="s">
        <v>7479</v>
      </c>
      <c r="G5904" s="24" t="s">
        <v>88</v>
      </c>
      <c r="H5904" s="25" t="s">
        <v>7480</v>
      </c>
      <c r="I5904" s="46" t="e">
        <f>VLOOKUP(H5904,'合同高级查询数据-4月返'!A:A,1,FALSE)</f>
        <v>#N/A</v>
      </c>
      <c r="J5904" s="47" t="s">
        <v>90</v>
      </c>
      <c r="K5904" s="46" t="s">
        <v>7481</v>
      </c>
      <c r="L5904" s="22"/>
      <c r="M5904" s="475" t="s">
        <v>7482</v>
      </c>
      <c r="N5904" s="50">
        <v>44775</v>
      </c>
      <c r="O5904" s="22" t="s">
        <v>507</v>
      </c>
      <c r="P5904" s="501">
        <v>9825</v>
      </c>
      <c r="Q5904" s="70">
        <v>2</v>
      </c>
      <c r="R5904" s="52">
        <f t="shared" si="178"/>
        <v>19650</v>
      </c>
      <c r="S5904" s="47">
        <v>202304</v>
      </c>
      <c r="T5904" s="123" t="s">
        <v>7497</v>
      </c>
      <c r="U5904" s="97"/>
      <c r="V5904" s="453"/>
      <c r="W5904" s="97"/>
      <c r="X5904" s="50">
        <v>44713</v>
      </c>
      <c r="Y5904" s="50">
        <v>46538</v>
      </c>
    </row>
    <row r="5905" s="5" customFormat="1" customHeight="1" spans="1:25">
      <c r="A5905" s="22" t="s">
        <v>61</v>
      </c>
      <c r="B5905" s="22" t="s">
        <v>7422</v>
      </c>
      <c r="C5905" s="22" t="s">
        <v>3237</v>
      </c>
      <c r="D5905" s="22" t="s">
        <v>85</v>
      </c>
      <c r="E5905" s="23" t="s">
        <v>7478</v>
      </c>
      <c r="F5905" s="24" t="s">
        <v>7479</v>
      </c>
      <c r="G5905" s="24" t="s">
        <v>88</v>
      </c>
      <c r="H5905" s="25" t="s">
        <v>7480</v>
      </c>
      <c r="I5905" s="46" t="e">
        <f>VLOOKUP(H5905,'合同高级查询数据-4月返'!A:A,1,FALSE)</f>
        <v>#N/A</v>
      </c>
      <c r="J5905" s="47" t="s">
        <v>90</v>
      </c>
      <c r="K5905" s="46" t="s">
        <v>7481</v>
      </c>
      <c r="L5905" s="22"/>
      <c r="M5905" s="475" t="s">
        <v>7482</v>
      </c>
      <c r="N5905" s="50">
        <v>44785</v>
      </c>
      <c r="O5905" s="22" t="s">
        <v>507</v>
      </c>
      <c r="P5905" s="501">
        <v>9825</v>
      </c>
      <c r="Q5905" s="70">
        <v>13</v>
      </c>
      <c r="R5905" s="52">
        <f t="shared" si="178"/>
        <v>127725</v>
      </c>
      <c r="S5905" s="47">
        <v>202304</v>
      </c>
      <c r="T5905" s="123" t="s">
        <v>7498</v>
      </c>
      <c r="U5905" s="97"/>
      <c r="V5905" s="453"/>
      <c r="W5905" s="97"/>
      <c r="X5905" s="50">
        <v>44713</v>
      </c>
      <c r="Y5905" s="50">
        <v>46538</v>
      </c>
    </row>
    <row r="5906" s="5" customFormat="1" customHeight="1" spans="1:25">
      <c r="A5906" s="22" t="s">
        <v>61</v>
      </c>
      <c r="B5906" s="22" t="s">
        <v>7422</v>
      </c>
      <c r="C5906" s="22" t="s">
        <v>3237</v>
      </c>
      <c r="D5906" s="22" t="s">
        <v>85</v>
      </c>
      <c r="E5906" s="23" t="s">
        <v>7478</v>
      </c>
      <c r="F5906" s="24" t="s">
        <v>7479</v>
      </c>
      <c r="G5906" s="24" t="s">
        <v>88</v>
      </c>
      <c r="H5906" s="25" t="s">
        <v>7480</v>
      </c>
      <c r="I5906" s="46" t="e">
        <f>VLOOKUP(H5906,'合同高级查询数据-4月返'!A:A,1,FALSE)</f>
        <v>#N/A</v>
      </c>
      <c r="J5906" s="47" t="s">
        <v>90</v>
      </c>
      <c r="K5906" s="46" t="s">
        <v>7481</v>
      </c>
      <c r="L5906" s="22"/>
      <c r="M5906" s="475" t="s">
        <v>7482</v>
      </c>
      <c r="N5906" s="50">
        <v>44790</v>
      </c>
      <c r="O5906" s="22" t="s">
        <v>507</v>
      </c>
      <c r="P5906" s="501">
        <v>9825</v>
      </c>
      <c r="Q5906" s="70">
        <v>2</v>
      </c>
      <c r="R5906" s="52">
        <f t="shared" si="178"/>
        <v>19650</v>
      </c>
      <c r="S5906" s="47">
        <v>202304</v>
      </c>
      <c r="T5906" s="123" t="s">
        <v>7499</v>
      </c>
      <c r="U5906" s="97"/>
      <c r="V5906" s="453"/>
      <c r="W5906" s="97"/>
      <c r="X5906" s="50">
        <v>44713</v>
      </c>
      <c r="Y5906" s="50">
        <v>46538</v>
      </c>
    </row>
    <row r="5907" s="5" customFormat="1" customHeight="1" spans="1:25">
      <c r="A5907" s="22" t="s">
        <v>61</v>
      </c>
      <c r="B5907" s="22" t="s">
        <v>7422</v>
      </c>
      <c r="C5907" s="22" t="s">
        <v>3237</v>
      </c>
      <c r="D5907" s="22" t="s">
        <v>85</v>
      </c>
      <c r="E5907" s="23" t="s">
        <v>7478</v>
      </c>
      <c r="F5907" s="24" t="s">
        <v>7479</v>
      </c>
      <c r="G5907" s="24" t="s">
        <v>88</v>
      </c>
      <c r="H5907" s="25" t="s">
        <v>7480</v>
      </c>
      <c r="I5907" s="46" t="e">
        <f>VLOOKUP(H5907,'合同高级查询数据-4月返'!A:A,1,FALSE)</f>
        <v>#N/A</v>
      </c>
      <c r="J5907" s="47" t="s">
        <v>90</v>
      </c>
      <c r="K5907" s="46" t="s">
        <v>7481</v>
      </c>
      <c r="L5907" s="22"/>
      <c r="M5907" s="475" t="s">
        <v>7482</v>
      </c>
      <c r="N5907" s="50">
        <v>44795</v>
      </c>
      <c r="O5907" s="22" t="s">
        <v>507</v>
      </c>
      <c r="P5907" s="501">
        <v>9825</v>
      </c>
      <c r="Q5907" s="70">
        <v>4</v>
      </c>
      <c r="R5907" s="52">
        <f t="shared" si="178"/>
        <v>39300</v>
      </c>
      <c r="S5907" s="47">
        <v>202304</v>
      </c>
      <c r="T5907" s="123" t="s">
        <v>7500</v>
      </c>
      <c r="U5907" s="97"/>
      <c r="V5907" s="453"/>
      <c r="W5907" s="97"/>
      <c r="X5907" s="50">
        <v>44713</v>
      </c>
      <c r="Y5907" s="50">
        <v>46538</v>
      </c>
    </row>
    <row r="5908" s="5" customFormat="1" customHeight="1" spans="1:25">
      <c r="A5908" s="22" t="s">
        <v>61</v>
      </c>
      <c r="B5908" s="22" t="s">
        <v>7422</v>
      </c>
      <c r="C5908" s="22" t="s">
        <v>3237</v>
      </c>
      <c r="D5908" s="22" t="s">
        <v>85</v>
      </c>
      <c r="E5908" s="23" t="s">
        <v>7478</v>
      </c>
      <c r="F5908" s="24" t="s">
        <v>7479</v>
      </c>
      <c r="G5908" s="24" t="s">
        <v>88</v>
      </c>
      <c r="H5908" s="25" t="s">
        <v>7480</v>
      </c>
      <c r="I5908" s="46" t="e">
        <f>VLOOKUP(H5908,'合同高级查询数据-4月返'!A:A,1,FALSE)</f>
        <v>#N/A</v>
      </c>
      <c r="J5908" s="47" t="s">
        <v>90</v>
      </c>
      <c r="K5908" s="46" t="s">
        <v>7481</v>
      </c>
      <c r="L5908" s="22"/>
      <c r="M5908" s="475" t="s">
        <v>7482</v>
      </c>
      <c r="N5908" s="50">
        <v>44799</v>
      </c>
      <c r="O5908" s="22" t="s">
        <v>507</v>
      </c>
      <c r="P5908" s="501">
        <v>9825</v>
      </c>
      <c r="Q5908" s="70">
        <v>3</v>
      </c>
      <c r="R5908" s="52">
        <f t="shared" ref="R5908:R5971" si="179">ROUND(P5908*Q5908,2)</f>
        <v>29475</v>
      </c>
      <c r="S5908" s="47">
        <v>202304</v>
      </c>
      <c r="T5908" s="123" t="s">
        <v>7501</v>
      </c>
      <c r="U5908" s="97"/>
      <c r="V5908" s="453"/>
      <c r="W5908" s="97"/>
      <c r="X5908" s="50">
        <v>44713</v>
      </c>
      <c r="Y5908" s="50">
        <v>46538</v>
      </c>
    </row>
    <row r="5909" s="5" customFormat="1" customHeight="1" spans="1:25">
      <c r="A5909" s="22" t="s">
        <v>61</v>
      </c>
      <c r="B5909" s="22" t="s">
        <v>7422</v>
      </c>
      <c r="C5909" s="22" t="s">
        <v>3237</v>
      </c>
      <c r="D5909" s="22" t="s">
        <v>85</v>
      </c>
      <c r="E5909" s="23" t="s">
        <v>7478</v>
      </c>
      <c r="F5909" s="24" t="s">
        <v>7479</v>
      </c>
      <c r="G5909" s="24" t="s">
        <v>88</v>
      </c>
      <c r="H5909" s="25" t="s">
        <v>7480</v>
      </c>
      <c r="I5909" s="46" t="e">
        <f>VLOOKUP(H5909,'合同高级查询数据-4月返'!A:A,1,FALSE)</f>
        <v>#N/A</v>
      </c>
      <c r="J5909" s="47" t="s">
        <v>90</v>
      </c>
      <c r="K5909" s="46" t="s">
        <v>7481</v>
      </c>
      <c r="L5909" s="22"/>
      <c r="M5909" s="475" t="s">
        <v>7482</v>
      </c>
      <c r="N5909" s="50">
        <v>44805</v>
      </c>
      <c r="O5909" s="22" t="s">
        <v>507</v>
      </c>
      <c r="P5909" s="501">
        <v>9825</v>
      </c>
      <c r="Q5909" s="70">
        <v>30</v>
      </c>
      <c r="R5909" s="52">
        <f t="shared" si="179"/>
        <v>294750</v>
      </c>
      <c r="S5909" s="47">
        <v>202304</v>
      </c>
      <c r="T5909" s="123" t="s">
        <v>7502</v>
      </c>
      <c r="U5909" s="97"/>
      <c r="V5909" s="453"/>
      <c r="W5909" s="97"/>
      <c r="X5909" s="50">
        <v>44713</v>
      </c>
      <c r="Y5909" s="50">
        <v>46538</v>
      </c>
    </row>
    <row r="5910" s="5" customFormat="1" customHeight="1" spans="1:25">
      <c r="A5910" s="22" t="s">
        <v>61</v>
      </c>
      <c r="B5910" s="22" t="s">
        <v>7422</v>
      </c>
      <c r="C5910" s="22" t="s">
        <v>3237</v>
      </c>
      <c r="D5910" s="22" t="s">
        <v>85</v>
      </c>
      <c r="E5910" s="23" t="s">
        <v>7478</v>
      </c>
      <c r="F5910" s="24" t="s">
        <v>7479</v>
      </c>
      <c r="G5910" s="24" t="s">
        <v>88</v>
      </c>
      <c r="H5910" s="25" t="s">
        <v>7480</v>
      </c>
      <c r="I5910" s="46" t="e">
        <f>VLOOKUP(H5910,'合同高级查询数据-4月返'!A:A,1,FALSE)</f>
        <v>#N/A</v>
      </c>
      <c r="J5910" s="47" t="s">
        <v>90</v>
      </c>
      <c r="K5910" s="46" t="s">
        <v>7481</v>
      </c>
      <c r="L5910" s="22"/>
      <c r="M5910" s="475" t="s">
        <v>7482</v>
      </c>
      <c r="N5910" s="50">
        <v>44817</v>
      </c>
      <c r="O5910" s="22" t="s">
        <v>507</v>
      </c>
      <c r="P5910" s="501">
        <v>9825</v>
      </c>
      <c r="Q5910" s="70">
        <v>11</v>
      </c>
      <c r="R5910" s="52">
        <f t="shared" si="179"/>
        <v>108075</v>
      </c>
      <c r="S5910" s="47">
        <v>202304</v>
      </c>
      <c r="T5910" s="123" t="s">
        <v>7503</v>
      </c>
      <c r="U5910" s="97"/>
      <c r="V5910" s="453"/>
      <c r="W5910" s="97"/>
      <c r="X5910" s="50">
        <v>44713</v>
      </c>
      <c r="Y5910" s="50">
        <v>46538</v>
      </c>
    </row>
    <row r="5911" s="5" customFormat="1" customHeight="1" spans="1:25">
      <c r="A5911" s="22" t="s">
        <v>61</v>
      </c>
      <c r="B5911" s="22" t="s">
        <v>7422</v>
      </c>
      <c r="C5911" s="22" t="s">
        <v>3237</v>
      </c>
      <c r="D5911" s="22" t="s">
        <v>85</v>
      </c>
      <c r="E5911" s="23" t="s">
        <v>7478</v>
      </c>
      <c r="F5911" s="24" t="s">
        <v>7479</v>
      </c>
      <c r="G5911" s="24" t="s">
        <v>88</v>
      </c>
      <c r="H5911" s="25" t="s">
        <v>7480</v>
      </c>
      <c r="I5911" s="46" t="e">
        <f>VLOOKUP(H5911,'合同高级查询数据-4月返'!A:A,1,FALSE)</f>
        <v>#N/A</v>
      </c>
      <c r="J5911" s="47" t="s">
        <v>90</v>
      </c>
      <c r="K5911" s="46" t="s">
        <v>7481</v>
      </c>
      <c r="L5911" s="22"/>
      <c r="M5911" s="475" t="s">
        <v>7482</v>
      </c>
      <c r="N5911" s="50">
        <v>44819</v>
      </c>
      <c r="O5911" s="22" t="s">
        <v>507</v>
      </c>
      <c r="P5911" s="501">
        <v>9825</v>
      </c>
      <c r="Q5911" s="70">
        <v>5</v>
      </c>
      <c r="R5911" s="52">
        <f t="shared" si="179"/>
        <v>49125</v>
      </c>
      <c r="S5911" s="47">
        <v>202304</v>
      </c>
      <c r="T5911" s="123" t="s">
        <v>7504</v>
      </c>
      <c r="U5911" s="97"/>
      <c r="V5911" s="453"/>
      <c r="W5911" s="97"/>
      <c r="X5911" s="50">
        <v>44713</v>
      </c>
      <c r="Y5911" s="50">
        <v>46538</v>
      </c>
    </row>
    <row r="5912" s="5" customFormat="1" customHeight="1" spans="1:25">
      <c r="A5912" s="22" t="s">
        <v>61</v>
      </c>
      <c r="B5912" s="22" t="s">
        <v>7422</v>
      </c>
      <c r="C5912" s="22" t="s">
        <v>3237</v>
      </c>
      <c r="D5912" s="22" t="s">
        <v>85</v>
      </c>
      <c r="E5912" s="23" t="s">
        <v>7478</v>
      </c>
      <c r="F5912" s="24" t="s">
        <v>7479</v>
      </c>
      <c r="G5912" s="24" t="s">
        <v>88</v>
      </c>
      <c r="H5912" s="25" t="s">
        <v>7480</v>
      </c>
      <c r="I5912" s="46" t="e">
        <f>VLOOKUP(H5912,'合同高级查询数据-4月返'!A:A,1,FALSE)</f>
        <v>#N/A</v>
      </c>
      <c r="J5912" s="47" t="s">
        <v>90</v>
      </c>
      <c r="K5912" s="46" t="s">
        <v>7481</v>
      </c>
      <c r="L5912" s="22"/>
      <c r="M5912" s="475" t="s">
        <v>7482</v>
      </c>
      <c r="N5912" s="50">
        <v>44844</v>
      </c>
      <c r="O5912" s="22" t="s">
        <v>507</v>
      </c>
      <c r="P5912" s="501">
        <v>9825</v>
      </c>
      <c r="Q5912" s="70">
        <v>19</v>
      </c>
      <c r="R5912" s="52">
        <f t="shared" si="179"/>
        <v>186675</v>
      </c>
      <c r="S5912" s="47">
        <v>202304</v>
      </c>
      <c r="T5912" s="123" t="s">
        <v>7505</v>
      </c>
      <c r="U5912" s="97"/>
      <c r="V5912" s="453"/>
      <c r="W5912" s="97"/>
      <c r="X5912" s="50">
        <v>44713</v>
      </c>
      <c r="Y5912" s="50">
        <v>46538</v>
      </c>
    </row>
    <row r="5913" s="5" customFormat="1" customHeight="1" spans="1:25">
      <c r="A5913" s="22" t="s">
        <v>61</v>
      </c>
      <c r="B5913" s="22" t="s">
        <v>7422</v>
      </c>
      <c r="C5913" s="22" t="s">
        <v>3237</v>
      </c>
      <c r="D5913" s="22" t="s">
        <v>85</v>
      </c>
      <c r="E5913" s="23" t="s">
        <v>7478</v>
      </c>
      <c r="F5913" s="24" t="s">
        <v>7479</v>
      </c>
      <c r="G5913" s="24" t="s">
        <v>88</v>
      </c>
      <c r="H5913" s="25" t="s">
        <v>7480</v>
      </c>
      <c r="I5913" s="46" t="e">
        <f>VLOOKUP(H5913,'合同高级查询数据-4月返'!A:A,1,FALSE)</f>
        <v>#N/A</v>
      </c>
      <c r="J5913" s="47" t="s">
        <v>90</v>
      </c>
      <c r="K5913" s="46" t="s">
        <v>7481</v>
      </c>
      <c r="L5913" s="22"/>
      <c r="M5913" s="475" t="s">
        <v>7482</v>
      </c>
      <c r="N5913" s="50">
        <v>44874</v>
      </c>
      <c r="O5913" s="22" t="s">
        <v>507</v>
      </c>
      <c r="P5913" s="501">
        <v>9825</v>
      </c>
      <c r="Q5913" s="70">
        <v>-9</v>
      </c>
      <c r="R5913" s="52">
        <f t="shared" si="179"/>
        <v>-88425</v>
      </c>
      <c r="S5913" s="47">
        <v>202304</v>
      </c>
      <c r="T5913" s="123" t="s">
        <v>7506</v>
      </c>
      <c r="U5913" s="97"/>
      <c r="V5913" s="453"/>
      <c r="W5913" s="97"/>
      <c r="X5913" s="50">
        <v>44713</v>
      </c>
      <c r="Y5913" s="50">
        <v>46538</v>
      </c>
    </row>
    <row r="5914" s="5" customFormat="1" customHeight="1" spans="1:25">
      <c r="A5914" s="22" t="s">
        <v>61</v>
      </c>
      <c r="B5914" s="22" t="s">
        <v>7422</v>
      </c>
      <c r="C5914" s="22" t="s">
        <v>3237</v>
      </c>
      <c r="D5914" s="22" t="s">
        <v>85</v>
      </c>
      <c r="E5914" s="23" t="s">
        <v>7478</v>
      </c>
      <c r="F5914" s="24" t="s">
        <v>7479</v>
      </c>
      <c r="G5914" s="24" t="s">
        <v>88</v>
      </c>
      <c r="H5914" s="25" t="s">
        <v>7480</v>
      </c>
      <c r="I5914" s="46" t="e">
        <f>VLOOKUP(H5914,'合同高级查询数据-4月返'!A:A,1,FALSE)</f>
        <v>#N/A</v>
      </c>
      <c r="J5914" s="47" t="s">
        <v>90</v>
      </c>
      <c r="K5914" s="46" t="s">
        <v>7481</v>
      </c>
      <c r="L5914" s="22"/>
      <c r="M5914" s="475" t="s">
        <v>7482</v>
      </c>
      <c r="N5914" s="50">
        <v>44889</v>
      </c>
      <c r="O5914" s="22" t="s">
        <v>507</v>
      </c>
      <c r="P5914" s="501">
        <v>9825</v>
      </c>
      <c r="Q5914" s="70">
        <v>4</v>
      </c>
      <c r="R5914" s="52">
        <f t="shared" si="179"/>
        <v>39300</v>
      </c>
      <c r="S5914" s="47">
        <v>202304</v>
      </c>
      <c r="T5914" s="123" t="s">
        <v>7507</v>
      </c>
      <c r="U5914" s="97"/>
      <c r="V5914" s="453"/>
      <c r="W5914" s="97"/>
      <c r="X5914" s="50">
        <v>44713</v>
      </c>
      <c r="Y5914" s="50">
        <v>46538</v>
      </c>
    </row>
    <row r="5915" s="5" customFormat="1" customHeight="1" spans="1:25">
      <c r="A5915" s="22" t="s">
        <v>61</v>
      </c>
      <c r="B5915" s="22" t="s">
        <v>7422</v>
      </c>
      <c r="C5915" s="22" t="s">
        <v>3237</v>
      </c>
      <c r="D5915" s="22" t="s">
        <v>85</v>
      </c>
      <c r="E5915" s="23" t="s">
        <v>7478</v>
      </c>
      <c r="F5915" s="24" t="s">
        <v>7479</v>
      </c>
      <c r="G5915" s="24" t="s">
        <v>88</v>
      </c>
      <c r="H5915" s="25" t="s">
        <v>7480</v>
      </c>
      <c r="I5915" s="46" t="e">
        <f>VLOOKUP(H5915,'合同高级查询数据-4月返'!A:A,1,FALSE)</f>
        <v>#N/A</v>
      </c>
      <c r="J5915" s="47" t="s">
        <v>90</v>
      </c>
      <c r="K5915" s="46" t="s">
        <v>7481</v>
      </c>
      <c r="L5915" s="22"/>
      <c r="M5915" s="475" t="s">
        <v>7482</v>
      </c>
      <c r="N5915" s="50">
        <v>44914</v>
      </c>
      <c r="O5915" s="22" t="s">
        <v>507</v>
      </c>
      <c r="P5915" s="501">
        <v>9825</v>
      </c>
      <c r="Q5915" s="70">
        <v>2</v>
      </c>
      <c r="R5915" s="52">
        <f t="shared" si="179"/>
        <v>19650</v>
      </c>
      <c r="S5915" s="47">
        <v>202304</v>
      </c>
      <c r="T5915" s="123" t="s">
        <v>7508</v>
      </c>
      <c r="U5915" s="97"/>
      <c r="V5915" s="453"/>
      <c r="W5915" s="97"/>
      <c r="X5915" s="50">
        <v>44713</v>
      </c>
      <c r="Y5915" s="50">
        <v>46538</v>
      </c>
    </row>
    <row r="5916" s="5" customFormat="1" customHeight="1" spans="1:25">
      <c r="A5916" s="22" t="s">
        <v>61</v>
      </c>
      <c r="B5916" s="22" t="s">
        <v>7422</v>
      </c>
      <c r="C5916" s="22" t="s">
        <v>3237</v>
      </c>
      <c r="D5916" s="22" t="s">
        <v>85</v>
      </c>
      <c r="E5916" s="23" t="s">
        <v>7478</v>
      </c>
      <c r="F5916" s="24" t="s">
        <v>7479</v>
      </c>
      <c r="G5916" s="24" t="s">
        <v>88</v>
      </c>
      <c r="H5916" s="25" t="s">
        <v>7480</v>
      </c>
      <c r="I5916" s="46" t="e">
        <f>VLOOKUP(H5916,'合同高级查询数据-4月返'!A:A,1,FALSE)</f>
        <v>#N/A</v>
      </c>
      <c r="J5916" s="47" t="s">
        <v>90</v>
      </c>
      <c r="K5916" s="46" t="s">
        <v>7481</v>
      </c>
      <c r="L5916" s="22"/>
      <c r="M5916" s="475" t="s">
        <v>7482</v>
      </c>
      <c r="N5916" s="50">
        <v>44929</v>
      </c>
      <c r="O5916" s="22" t="s">
        <v>507</v>
      </c>
      <c r="P5916" s="501">
        <v>9825</v>
      </c>
      <c r="Q5916" s="70">
        <v>3</v>
      </c>
      <c r="R5916" s="52">
        <f t="shared" si="179"/>
        <v>29475</v>
      </c>
      <c r="S5916" s="47">
        <v>202304</v>
      </c>
      <c r="T5916" s="123" t="s">
        <v>7509</v>
      </c>
      <c r="U5916" s="97"/>
      <c r="V5916" s="453"/>
      <c r="W5916" s="97"/>
      <c r="X5916" s="50">
        <v>44713</v>
      </c>
      <c r="Y5916" s="50">
        <v>46538</v>
      </c>
    </row>
    <row r="5917" s="5" customFormat="1" customHeight="1" spans="1:25">
      <c r="A5917" s="22" t="s">
        <v>61</v>
      </c>
      <c r="B5917" s="22" t="s">
        <v>7422</v>
      </c>
      <c r="C5917" s="22" t="s">
        <v>3237</v>
      </c>
      <c r="D5917" s="22" t="s">
        <v>85</v>
      </c>
      <c r="E5917" s="23" t="s">
        <v>7478</v>
      </c>
      <c r="F5917" s="24" t="s">
        <v>7479</v>
      </c>
      <c r="G5917" s="24" t="s">
        <v>88</v>
      </c>
      <c r="H5917" s="25" t="s">
        <v>7480</v>
      </c>
      <c r="I5917" s="46" t="e">
        <f>VLOOKUP(H5917,'合同高级查询数据-4月返'!A:A,1,FALSE)</f>
        <v>#N/A</v>
      </c>
      <c r="J5917" s="47" t="s">
        <v>90</v>
      </c>
      <c r="K5917" s="46" t="s">
        <v>7481</v>
      </c>
      <c r="L5917" s="22"/>
      <c r="M5917" s="475" t="s">
        <v>7482</v>
      </c>
      <c r="N5917" s="50">
        <v>44935</v>
      </c>
      <c r="O5917" s="22" t="s">
        <v>507</v>
      </c>
      <c r="P5917" s="501">
        <v>9825</v>
      </c>
      <c r="Q5917" s="70">
        <v>4</v>
      </c>
      <c r="R5917" s="52">
        <f t="shared" si="179"/>
        <v>39300</v>
      </c>
      <c r="S5917" s="47">
        <v>202304</v>
      </c>
      <c r="T5917" s="123" t="s">
        <v>7510</v>
      </c>
      <c r="U5917" s="97"/>
      <c r="V5917" s="453"/>
      <c r="W5917" s="97"/>
      <c r="X5917" s="50">
        <v>44713</v>
      </c>
      <c r="Y5917" s="50">
        <v>46538</v>
      </c>
    </row>
    <row r="5918" s="5" customFormat="1" customHeight="1" spans="1:25">
      <c r="A5918" s="22" t="s">
        <v>61</v>
      </c>
      <c r="B5918" s="22" t="s">
        <v>7422</v>
      </c>
      <c r="C5918" s="22" t="s">
        <v>3237</v>
      </c>
      <c r="D5918" s="22" t="s">
        <v>85</v>
      </c>
      <c r="E5918" s="23" t="s">
        <v>7478</v>
      </c>
      <c r="F5918" s="24" t="s">
        <v>7479</v>
      </c>
      <c r="G5918" s="24" t="s">
        <v>88</v>
      </c>
      <c r="H5918" s="25" t="s">
        <v>7480</v>
      </c>
      <c r="I5918" s="46" t="e">
        <f>VLOOKUP(H5918,'合同高级查询数据-4月返'!A:A,1,FALSE)</f>
        <v>#N/A</v>
      </c>
      <c r="J5918" s="47" t="s">
        <v>90</v>
      </c>
      <c r="K5918" s="46" t="s">
        <v>7481</v>
      </c>
      <c r="L5918" s="22"/>
      <c r="M5918" s="475" t="s">
        <v>7482</v>
      </c>
      <c r="N5918" s="50">
        <v>44980</v>
      </c>
      <c r="O5918" s="22" t="s">
        <v>507</v>
      </c>
      <c r="P5918" s="501">
        <v>9825</v>
      </c>
      <c r="Q5918" s="70">
        <v>5</v>
      </c>
      <c r="R5918" s="52">
        <f t="shared" si="179"/>
        <v>49125</v>
      </c>
      <c r="S5918" s="47">
        <v>202304</v>
      </c>
      <c r="T5918" s="123" t="s">
        <v>7511</v>
      </c>
      <c r="U5918" s="97"/>
      <c r="V5918" s="453"/>
      <c r="W5918" s="97"/>
      <c r="X5918" s="50">
        <v>44713</v>
      </c>
      <c r="Y5918" s="50">
        <v>46538</v>
      </c>
    </row>
    <row r="5919" s="5" customFormat="1" customHeight="1" spans="1:25">
      <c r="A5919" s="22" t="s">
        <v>61</v>
      </c>
      <c r="B5919" s="22" t="s">
        <v>7422</v>
      </c>
      <c r="C5919" s="22" t="s">
        <v>3237</v>
      </c>
      <c r="D5919" s="22" t="s">
        <v>85</v>
      </c>
      <c r="E5919" s="23" t="s">
        <v>7478</v>
      </c>
      <c r="F5919" s="24" t="s">
        <v>7479</v>
      </c>
      <c r="G5919" s="24" t="s">
        <v>88</v>
      </c>
      <c r="H5919" s="25" t="s">
        <v>7480</v>
      </c>
      <c r="I5919" s="46" t="e">
        <f>VLOOKUP(H5919,'合同高级查询数据-4月返'!A:A,1,FALSE)</f>
        <v>#N/A</v>
      </c>
      <c r="J5919" s="47" t="s">
        <v>90</v>
      </c>
      <c r="K5919" s="46" t="s">
        <v>7481</v>
      </c>
      <c r="L5919" s="22"/>
      <c r="M5919" s="475" t="s">
        <v>7482</v>
      </c>
      <c r="N5919" s="50">
        <v>44980</v>
      </c>
      <c r="O5919" s="22" t="s">
        <v>503</v>
      </c>
      <c r="P5919" s="501">
        <v>4899</v>
      </c>
      <c r="Q5919" s="70">
        <v>1</v>
      </c>
      <c r="R5919" s="52">
        <f t="shared" si="179"/>
        <v>4899</v>
      </c>
      <c r="S5919" s="47">
        <v>202304</v>
      </c>
      <c r="T5919" s="123" t="s">
        <v>7512</v>
      </c>
      <c r="U5919" s="97"/>
      <c r="V5919" s="453"/>
      <c r="W5919" s="97"/>
      <c r="X5919" s="50">
        <v>44713</v>
      </c>
      <c r="Y5919" s="50">
        <v>46538</v>
      </c>
    </row>
    <row r="5920" s="5" customFormat="1" customHeight="1" spans="1:25">
      <c r="A5920" s="22" t="s">
        <v>61</v>
      </c>
      <c r="B5920" s="22" t="s">
        <v>7422</v>
      </c>
      <c r="C5920" s="22" t="s">
        <v>3237</v>
      </c>
      <c r="D5920" s="22" t="s">
        <v>85</v>
      </c>
      <c r="E5920" s="23" t="s">
        <v>7478</v>
      </c>
      <c r="F5920" s="24" t="s">
        <v>7479</v>
      </c>
      <c r="G5920" s="24" t="s">
        <v>88</v>
      </c>
      <c r="H5920" s="25" t="s">
        <v>7480</v>
      </c>
      <c r="I5920" s="46" t="e">
        <f>VLOOKUP(H5920,'合同高级查询数据-4月返'!A:A,1,FALSE)</f>
        <v>#N/A</v>
      </c>
      <c r="J5920" s="47" t="s">
        <v>90</v>
      </c>
      <c r="K5920" s="46" t="s">
        <v>7481</v>
      </c>
      <c r="L5920" s="22"/>
      <c r="M5920" s="475" t="s">
        <v>7482</v>
      </c>
      <c r="N5920" s="50">
        <v>44985</v>
      </c>
      <c r="O5920" s="22" t="s">
        <v>507</v>
      </c>
      <c r="P5920" s="501">
        <v>9825</v>
      </c>
      <c r="Q5920" s="70">
        <v>6</v>
      </c>
      <c r="R5920" s="52">
        <f t="shared" si="179"/>
        <v>58950</v>
      </c>
      <c r="S5920" s="47">
        <v>202304</v>
      </c>
      <c r="T5920" s="123" t="s">
        <v>7513</v>
      </c>
      <c r="U5920" s="97"/>
      <c r="V5920" s="453"/>
      <c r="W5920" s="97"/>
      <c r="X5920" s="50">
        <v>44713</v>
      </c>
      <c r="Y5920" s="50">
        <v>46538</v>
      </c>
    </row>
    <row r="5921" s="5" customFormat="1" customHeight="1" spans="1:25">
      <c r="A5921" s="22" t="s">
        <v>61</v>
      </c>
      <c r="B5921" s="22" t="s">
        <v>7422</v>
      </c>
      <c r="C5921" s="22" t="s">
        <v>3237</v>
      </c>
      <c r="D5921" s="22" t="s">
        <v>85</v>
      </c>
      <c r="E5921" s="23" t="s">
        <v>7478</v>
      </c>
      <c r="F5921" s="24" t="s">
        <v>7479</v>
      </c>
      <c r="G5921" s="24" t="s">
        <v>88</v>
      </c>
      <c r="H5921" s="25" t="s">
        <v>7480</v>
      </c>
      <c r="I5921" s="46" t="e">
        <f>VLOOKUP(H5921,'合同高级查询数据-4月返'!A:A,1,FALSE)</f>
        <v>#N/A</v>
      </c>
      <c r="J5921" s="47" t="s">
        <v>90</v>
      </c>
      <c r="K5921" s="46" t="s">
        <v>7481</v>
      </c>
      <c r="L5921" s="22"/>
      <c r="M5921" s="475" t="s">
        <v>7482</v>
      </c>
      <c r="N5921" s="50">
        <v>45000</v>
      </c>
      <c r="O5921" s="22" t="s">
        <v>507</v>
      </c>
      <c r="P5921" s="501">
        <v>9825</v>
      </c>
      <c r="Q5921" s="70">
        <v>-6</v>
      </c>
      <c r="R5921" s="52">
        <f t="shared" si="179"/>
        <v>-58950</v>
      </c>
      <c r="S5921" s="47">
        <v>202304</v>
      </c>
      <c r="T5921" s="123" t="s">
        <v>7514</v>
      </c>
      <c r="U5921" s="97"/>
      <c r="V5921" s="453"/>
      <c r="W5921" s="97"/>
      <c r="X5921" s="50">
        <v>44713</v>
      </c>
      <c r="Y5921" s="50">
        <v>46538</v>
      </c>
    </row>
    <row r="5922" s="5" customFormat="1" customHeight="1" spans="1:25">
      <c r="A5922" s="22" t="s">
        <v>61</v>
      </c>
      <c r="B5922" s="22" t="s">
        <v>7422</v>
      </c>
      <c r="C5922" s="22" t="s">
        <v>3237</v>
      </c>
      <c r="D5922" s="22" t="s">
        <v>85</v>
      </c>
      <c r="E5922" s="23" t="s">
        <v>7478</v>
      </c>
      <c r="F5922" s="24" t="s">
        <v>7479</v>
      </c>
      <c r="G5922" s="24" t="s">
        <v>88</v>
      </c>
      <c r="H5922" s="25" t="s">
        <v>7480</v>
      </c>
      <c r="I5922" s="46" t="e">
        <f>VLOOKUP(H5922,'合同高级查询数据-4月返'!A:A,1,FALSE)</f>
        <v>#N/A</v>
      </c>
      <c r="J5922" s="47" t="s">
        <v>90</v>
      </c>
      <c r="K5922" s="46" t="s">
        <v>7481</v>
      </c>
      <c r="L5922" s="22"/>
      <c r="M5922" s="475" t="s">
        <v>7482</v>
      </c>
      <c r="N5922" s="505">
        <v>45019</v>
      </c>
      <c r="O5922" s="22" t="s">
        <v>507</v>
      </c>
      <c r="P5922" s="501">
        <v>9825</v>
      </c>
      <c r="Q5922" s="70">
        <v>2</v>
      </c>
      <c r="R5922" s="52">
        <f>ROUND(P5922*Q5922*28/30,2)</f>
        <v>18340</v>
      </c>
      <c r="S5922" s="47">
        <v>202304</v>
      </c>
      <c r="T5922" s="495" t="s">
        <v>7515</v>
      </c>
      <c r="U5922" s="97"/>
      <c r="V5922" s="453"/>
      <c r="W5922" s="97"/>
      <c r="X5922" s="50">
        <v>44713</v>
      </c>
      <c r="Y5922" s="50">
        <v>46538</v>
      </c>
    </row>
    <row r="5923" s="5" customFormat="1" customHeight="1" spans="1:25">
      <c r="A5923" s="22" t="s">
        <v>61</v>
      </c>
      <c r="B5923" s="22" t="s">
        <v>7422</v>
      </c>
      <c r="C5923" s="22" t="s">
        <v>3237</v>
      </c>
      <c r="D5923" s="22" t="s">
        <v>85</v>
      </c>
      <c r="E5923" s="23" t="s">
        <v>7478</v>
      </c>
      <c r="F5923" s="24" t="s">
        <v>7479</v>
      </c>
      <c r="G5923" s="24" t="s">
        <v>88</v>
      </c>
      <c r="H5923" s="25" t="s">
        <v>7480</v>
      </c>
      <c r="I5923" s="46" t="e">
        <f>VLOOKUP(H5923,'合同高级查询数据-4月返'!A:A,1,FALSE)</f>
        <v>#N/A</v>
      </c>
      <c r="J5923" s="47" t="s">
        <v>90</v>
      </c>
      <c r="K5923" s="46" t="s">
        <v>7481</v>
      </c>
      <c r="L5923" s="22"/>
      <c r="M5923" s="475" t="s">
        <v>7482</v>
      </c>
      <c r="N5923" s="505">
        <v>45020</v>
      </c>
      <c r="O5923" s="22" t="s">
        <v>507</v>
      </c>
      <c r="P5923" s="501">
        <v>9825</v>
      </c>
      <c r="Q5923" s="70">
        <v>1</v>
      </c>
      <c r="R5923" s="52">
        <f>ROUND(P5923*Q5923*27/30,2)</f>
        <v>8842.5</v>
      </c>
      <c r="S5923" s="47">
        <v>202304</v>
      </c>
      <c r="T5923" s="503" t="s">
        <v>7516</v>
      </c>
      <c r="U5923" s="97"/>
      <c r="V5923" s="453"/>
      <c r="W5923" s="97"/>
      <c r="X5923" s="50">
        <v>44713</v>
      </c>
      <c r="Y5923" s="50">
        <v>46538</v>
      </c>
    </row>
    <row r="5924" s="5" customFormat="1" customHeight="1" spans="1:25">
      <c r="A5924" s="22" t="s">
        <v>61</v>
      </c>
      <c r="B5924" s="22" t="s">
        <v>7422</v>
      </c>
      <c r="C5924" s="22" t="s">
        <v>3237</v>
      </c>
      <c r="D5924" s="22" t="s">
        <v>85</v>
      </c>
      <c r="E5924" s="23" t="s">
        <v>7478</v>
      </c>
      <c r="F5924" s="24" t="s">
        <v>7479</v>
      </c>
      <c r="G5924" s="24" t="s">
        <v>88</v>
      </c>
      <c r="H5924" s="25" t="s">
        <v>7480</v>
      </c>
      <c r="I5924" s="46" t="e">
        <f>VLOOKUP(H5924,'合同高级查询数据-4月返'!A:A,1,FALSE)</f>
        <v>#N/A</v>
      </c>
      <c r="J5924" s="47" t="s">
        <v>90</v>
      </c>
      <c r="K5924" s="46" t="s">
        <v>7481</v>
      </c>
      <c r="L5924" s="22"/>
      <c r="M5924" s="475" t="s">
        <v>7482</v>
      </c>
      <c r="N5924" s="505">
        <v>45023</v>
      </c>
      <c r="O5924" s="22" t="s">
        <v>507</v>
      </c>
      <c r="P5924" s="501">
        <v>9825</v>
      </c>
      <c r="Q5924" s="70">
        <v>5</v>
      </c>
      <c r="R5924" s="52">
        <f>ROUND(P5924*Q5924*24/30,2)</f>
        <v>39300</v>
      </c>
      <c r="S5924" s="47">
        <v>202304</v>
      </c>
      <c r="T5924" s="495" t="s">
        <v>7517</v>
      </c>
      <c r="U5924" s="97"/>
      <c r="V5924" s="453"/>
      <c r="W5924" s="97"/>
      <c r="X5924" s="50">
        <v>44713</v>
      </c>
      <c r="Y5924" s="50">
        <v>46538</v>
      </c>
    </row>
    <row r="5925" s="5" customFormat="1" customHeight="1" spans="1:25">
      <c r="A5925" s="22" t="s">
        <v>61</v>
      </c>
      <c r="B5925" s="22" t="s">
        <v>7422</v>
      </c>
      <c r="C5925" s="22" t="s">
        <v>3237</v>
      </c>
      <c r="D5925" s="22" t="s">
        <v>85</v>
      </c>
      <c r="E5925" s="23" t="s">
        <v>7478</v>
      </c>
      <c r="F5925" s="24" t="s">
        <v>7479</v>
      </c>
      <c r="G5925" s="24" t="s">
        <v>88</v>
      </c>
      <c r="H5925" s="25" t="s">
        <v>7480</v>
      </c>
      <c r="I5925" s="46" t="e">
        <f>VLOOKUP(H5925,'合同高级查询数据-4月返'!A:A,1,FALSE)</f>
        <v>#N/A</v>
      </c>
      <c r="J5925" s="47" t="s">
        <v>90</v>
      </c>
      <c r="K5925" s="46" t="s">
        <v>7481</v>
      </c>
      <c r="L5925" s="22"/>
      <c r="M5925" s="475" t="s">
        <v>7482</v>
      </c>
      <c r="N5925" s="505">
        <v>45028</v>
      </c>
      <c r="O5925" s="22" t="s">
        <v>507</v>
      </c>
      <c r="P5925" s="501">
        <v>9825</v>
      </c>
      <c r="Q5925" s="70">
        <v>3</v>
      </c>
      <c r="R5925" s="52">
        <f>ROUND(P5925*Q5925*19/30,2)</f>
        <v>18667.5</v>
      </c>
      <c r="S5925" s="47">
        <v>202304</v>
      </c>
      <c r="T5925" s="495" t="s">
        <v>7518</v>
      </c>
      <c r="U5925" s="97"/>
      <c r="V5925" s="453"/>
      <c r="W5925" s="97"/>
      <c r="X5925" s="50">
        <v>44713</v>
      </c>
      <c r="Y5925" s="50">
        <v>46538</v>
      </c>
    </row>
    <row r="5926" s="5" customFormat="1" customHeight="1" spans="1:25">
      <c r="A5926" s="22" t="s">
        <v>61</v>
      </c>
      <c r="B5926" s="22" t="s">
        <v>7422</v>
      </c>
      <c r="C5926" s="22" t="s">
        <v>3237</v>
      </c>
      <c r="D5926" s="22" t="s">
        <v>85</v>
      </c>
      <c r="E5926" s="23" t="s">
        <v>7478</v>
      </c>
      <c r="F5926" s="24" t="s">
        <v>7479</v>
      </c>
      <c r="G5926" s="24" t="s">
        <v>88</v>
      </c>
      <c r="H5926" s="25" t="s">
        <v>7480</v>
      </c>
      <c r="I5926" s="46" t="e">
        <f>VLOOKUP(H5926,'合同高级查询数据-4月返'!A:A,1,FALSE)</f>
        <v>#N/A</v>
      </c>
      <c r="J5926" s="47" t="s">
        <v>90</v>
      </c>
      <c r="K5926" s="46" t="s">
        <v>7481</v>
      </c>
      <c r="L5926" s="22"/>
      <c r="M5926" s="475" t="s">
        <v>7482</v>
      </c>
      <c r="N5926" s="505">
        <v>45029</v>
      </c>
      <c r="O5926" s="22" t="s">
        <v>507</v>
      </c>
      <c r="P5926" s="501">
        <v>9825</v>
      </c>
      <c r="Q5926" s="70">
        <v>8</v>
      </c>
      <c r="R5926" s="52">
        <f>ROUND(P5926*Q5926*18/30,2)</f>
        <v>47160</v>
      </c>
      <c r="S5926" s="47">
        <v>202304</v>
      </c>
      <c r="T5926" s="495" t="s">
        <v>7519</v>
      </c>
      <c r="U5926" s="97"/>
      <c r="V5926" s="453"/>
      <c r="W5926" s="97"/>
      <c r="X5926" s="50">
        <v>44713</v>
      </c>
      <c r="Y5926" s="50">
        <v>46538</v>
      </c>
    </row>
    <row r="5927" s="5" customFormat="1" customHeight="1" spans="1:25">
      <c r="A5927" s="22" t="s">
        <v>61</v>
      </c>
      <c r="B5927" s="22" t="s">
        <v>7422</v>
      </c>
      <c r="C5927" s="22" t="s">
        <v>3237</v>
      </c>
      <c r="D5927" s="22" t="s">
        <v>85</v>
      </c>
      <c r="E5927" s="23" t="s">
        <v>7478</v>
      </c>
      <c r="F5927" s="24" t="s">
        <v>7479</v>
      </c>
      <c r="G5927" s="24" t="s">
        <v>88</v>
      </c>
      <c r="H5927" s="25" t="s">
        <v>7480</v>
      </c>
      <c r="I5927" s="46" t="e">
        <f>VLOOKUP(H5927,'合同高级查询数据-4月返'!A:A,1,FALSE)</f>
        <v>#N/A</v>
      </c>
      <c r="J5927" s="47" t="s">
        <v>90</v>
      </c>
      <c r="K5927" s="46" t="s">
        <v>7481</v>
      </c>
      <c r="L5927" s="22"/>
      <c r="M5927" s="475" t="s">
        <v>7482</v>
      </c>
      <c r="N5927" s="505">
        <v>45033</v>
      </c>
      <c r="O5927" s="22" t="s">
        <v>507</v>
      </c>
      <c r="P5927" s="501">
        <v>9825</v>
      </c>
      <c r="Q5927" s="70">
        <v>5</v>
      </c>
      <c r="R5927" s="52">
        <f>ROUND(P5927*Q5927*14/30,2)</f>
        <v>22925</v>
      </c>
      <c r="S5927" s="47">
        <v>202304</v>
      </c>
      <c r="T5927" s="495" t="s">
        <v>7520</v>
      </c>
      <c r="U5927" s="97"/>
      <c r="V5927" s="453"/>
      <c r="W5927" s="97"/>
      <c r="X5927" s="50">
        <v>44713</v>
      </c>
      <c r="Y5927" s="50">
        <v>46538</v>
      </c>
    </row>
    <row r="5928" s="5" customFormat="1" customHeight="1" spans="1:25">
      <c r="A5928" s="22" t="s">
        <v>61</v>
      </c>
      <c r="B5928" s="22" t="s">
        <v>7422</v>
      </c>
      <c r="C5928" s="22" t="s">
        <v>3237</v>
      </c>
      <c r="D5928" s="22" t="s">
        <v>85</v>
      </c>
      <c r="E5928" s="23" t="s">
        <v>7478</v>
      </c>
      <c r="F5928" s="24" t="s">
        <v>7479</v>
      </c>
      <c r="G5928" s="24" t="s">
        <v>88</v>
      </c>
      <c r="H5928" s="25" t="s">
        <v>7480</v>
      </c>
      <c r="I5928" s="46" t="e">
        <f>VLOOKUP(H5928,'合同高级查询数据-4月返'!A:A,1,FALSE)</f>
        <v>#N/A</v>
      </c>
      <c r="J5928" s="47" t="s">
        <v>90</v>
      </c>
      <c r="K5928" s="46" t="s">
        <v>7481</v>
      </c>
      <c r="L5928" s="22"/>
      <c r="M5928" s="475" t="s">
        <v>7482</v>
      </c>
      <c r="N5928" s="505">
        <v>45037</v>
      </c>
      <c r="O5928" s="22" t="s">
        <v>507</v>
      </c>
      <c r="P5928" s="501">
        <v>9825</v>
      </c>
      <c r="Q5928" s="70">
        <v>1</v>
      </c>
      <c r="R5928" s="52">
        <f>ROUND(P5928*Q5928*10/30,2)</f>
        <v>3275</v>
      </c>
      <c r="S5928" s="47">
        <v>202304</v>
      </c>
      <c r="T5928" s="503" t="s">
        <v>7521</v>
      </c>
      <c r="U5928" s="97"/>
      <c r="V5928" s="453"/>
      <c r="W5928" s="97"/>
      <c r="X5928" s="50">
        <v>44713</v>
      </c>
      <c r="Y5928" s="50">
        <v>46538</v>
      </c>
    </row>
    <row r="5929" s="5" customFormat="1" customHeight="1" spans="1:25">
      <c r="A5929" s="22" t="s">
        <v>61</v>
      </c>
      <c r="B5929" s="22" t="s">
        <v>7422</v>
      </c>
      <c r="C5929" s="22" t="s">
        <v>3237</v>
      </c>
      <c r="D5929" s="22" t="s">
        <v>85</v>
      </c>
      <c r="E5929" s="23" t="s">
        <v>7478</v>
      </c>
      <c r="F5929" s="24" t="s">
        <v>7479</v>
      </c>
      <c r="G5929" s="24" t="s">
        <v>88</v>
      </c>
      <c r="H5929" s="25" t="s">
        <v>7480</v>
      </c>
      <c r="I5929" s="46" t="e">
        <f>VLOOKUP(H5929,'合同高级查询数据-4月返'!A:A,1,FALSE)</f>
        <v>#N/A</v>
      </c>
      <c r="J5929" s="47" t="s">
        <v>6452</v>
      </c>
      <c r="K5929" s="46" t="s">
        <v>7481</v>
      </c>
      <c r="L5929" s="22"/>
      <c r="M5929" s="475" t="s">
        <v>7482</v>
      </c>
      <c r="N5929" s="50"/>
      <c r="O5929" s="22"/>
      <c r="P5929" s="501">
        <v>220</v>
      </c>
      <c r="Q5929" s="70">
        <v>0</v>
      </c>
      <c r="R5929" s="52">
        <f t="shared" si="179"/>
        <v>0</v>
      </c>
      <c r="S5929" s="47">
        <v>202304</v>
      </c>
      <c r="T5929" s="123" t="s">
        <v>7522</v>
      </c>
      <c r="U5929" s="97"/>
      <c r="V5929" s="453"/>
      <c r="W5929" s="97"/>
      <c r="X5929" s="50">
        <v>44713</v>
      </c>
      <c r="Y5929" s="50">
        <v>46538</v>
      </c>
    </row>
    <row r="5930" s="5" customFormat="1" customHeight="1" spans="1:25">
      <c r="A5930" s="22" t="s">
        <v>61</v>
      </c>
      <c r="B5930" s="22" t="s">
        <v>7422</v>
      </c>
      <c r="C5930" s="22" t="s">
        <v>3237</v>
      </c>
      <c r="D5930" s="22" t="s">
        <v>85</v>
      </c>
      <c r="E5930" s="23" t="s">
        <v>3238</v>
      </c>
      <c r="F5930" s="24" t="s">
        <v>7523</v>
      </c>
      <c r="G5930" s="24" t="s">
        <v>88</v>
      </c>
      <c r="H5930" s="25" t="s">
        <v>7524</v>
      </c>
      <c r="I5930" s="46" t="e">
        <f>VLOOKUP(H5930,'合同高级查询数据-4月返'!A:A,1,FALSE)</f>
        <v>#N/A</v>
      </c>
      <c r="J5930" s="47" t="s">
        <v>90</v>
      </c>
      <c r="K5930" s="46" t="s">
        <v>7525</v>
      </c>
      <c r="L5930" s="22"/>
      <c r="M5930" s="475" t="s">
        <v>7526</v>
      </c>
      <c r="N5930" s="50">
        <v>44804</v>
      </c>
      <c r="O5930" s="22" t="s">
        <v>507</v>
      </c>
      <c r="P5930" s="501">
        <v>9825</v>
      </c>
      <c r="Q5930" s="70">
        <v>12</v>
      </c>
      <c r="R5930" s="52">
        <f t="shared" si="179"/>
        <v>117900</v>
      </c>
      <c r="S5930" s="47">
        <v>202304</v>
      </c>
      <c r="T5930" s="123" t="s">
        <v>7527</v>
      </c>
      <c r="U5930" s="97"/>
      <c r="V5930" s="453"/>
      <c r="W5930" s="97"/>
      <c r="X5930" s="50">
        <v>44805</v>
      </c>
      <c r="Y5930" s="50">
        <v>46630</v>
      </c>
    </row>
    <row r="5931" s="5" customFormat="1" customHeight="1" spans="1:25">
      <c r="A5931" s="22" t="s">
        <v>61</v>
      </c>
      <c r="B5931" s="22" t="s">
        <v>7422</v>
      </c>
      <c r="C5931" s="22" t="s">
        <v>3237</v>
      </c>
      <c r="D5931" s="22" t="s">
        <v>85</v>
      </c>
      <c r="E5931" s="23" t="s">
        <v>3238</v>
      </c>
      <c r="F5931" s="24" t="s">
        <v>7523</v>
      </c>
      <c r="G5931" s="24" t="s">
        <v>88</v>
      </c>
      <c r="H5931" s="25" t="s">
        <v>7524</v>
      </c>
      <c r="I5931" s="46" t="e">
        <f>VLOOKUP(H5931,'合同高级查询数据-4月返'!A:A,1,FALSE)</f>
        <v>#N/A</v>
      </c>
      <c r="J5931" s="47" t="s">
        <v>90</v>
      </c>
      <c r="K5931" s="46" t="s">
        <v>7525</v>
      </c>
      <c r="L5931" s="22"/>
      <c r="M5931" s="475" t="s">
        <v>7526</v>
      </c>
      <c r="N5931" s="50">
        <v>44805</v>
      </c>
      <c r="O5931" s="22" t="s">
        <v>600</v>
      </c>
      <c r="P5931" s="501">
        <v>2310</v>
      </c>
      <c r="Q5931" s="70">
        <v>6</v>
      </c>
      <c r="R5931" s="52">
        <f t="shared" si="179"/>
        <v>13860</v>
      </c>
      <c r="S5931" s="47">
        <v>202304</v>
      </c>
      <c r="T5931" s="123" t="s">
        <v>7528</v>
      </c>
      <c r="U5931" s="97"/>
      <c r="V5931" s="453"/>
      <c r="W5931" s="97"/>
      <c r="X5931" s="50">
        <v>44805</v>
      </c>
      <c r="Y5931" s="50">
        <v>46630</v>
      </c>
    </row>
    <row r="5932" s="5" customFormat="1" customHeight="1" spans="1:25">
      <c r="A5932" s="22" t="s">
        <v>61</v>
      </c>
      <c r="B5932" s="22" t="s">
        <v>7422</v>
      </c>
      <c r="C5932" s="22" t="s">
        <v>3237</v>
      </c>
      <c r="D5932" s="22" t="s">
        <v>85</v>
      </c>
      <c r="E5932" s="23" t="s">
        <v>3238</v>
      </c>
      <c r="F5932" s="24" t="s">
        <v>7523</v>
      </c>
      <c r="G5932" s="24" t="s">
        <v>88</v>
      </c>
      <c r="H5932" s="25" t="s">
        <v>7524</v>
      </c>
      <c r="I5932" s="46" t="e">
        <f>VLOOKUP(H5932,'合同高级查询数据-4月返'!A:A,1,FALSE)</f>
        <v>#N/A</v>
      </c>
      <c r="J5932" s="47" t="s">
        <v>90</v>
      </c>
      <c r="K5932" s="46" t="s">
        <v>7525</v>
      </c>
      <c r="L5932" s="22"/>
      <c r="M5932" s="475" t="s">
        <v>7526</v>
      </c>
      <c r="N5932" s="50">
        <v>44805</v>
      </c>
      <c r="O5932" s="22" t="s">
        <v>600</v>
      </c>
      <c r="P5932" s="501">
        <v>2310</v>
      </c>
      <c r="Q5932" s="70">
        <v>2</v>
      </c>
      <c r="R5932" s="52">
        <f t="shared" si="179"/>
        <v>4620</v>
      </c>
      <c r="S5932" s="47">
        <v>202304</v>
      </c>
      <c r="T5932" s="123" t="s">
        <v>7529</v>
      </c>
      <c r="U5932" s="97"/>
      <c r="V5932" s="453"/>
      <c r="W5932" s="97"/>
      <c r="X5932" s="50">
        <v>44805</v>
      </c>
      <c r="Y5932" s="50">
        <v>46630</v>
      </c>
    </row>
    <row r="5933" s="5" customFormat="1" customHeight="1" spans="1:25">
      <c r="A5933" s="22" t="s">
        <v>61</v>
      </c>
      <c r="B5933" s="22" t="s">
        <v>7422</v>
      </c>
      <c r="C5933" s="22" t="s">
        <v>3237</v>
      </c>
      <c r="D5933" s="22" t="s">
        <v>85</v>
      </c>
      <c r="E5933" s="23" t="s">
        <v>3238</v>
      </c>
      <c r="F5933" s="24" t="s">
        <v>7523</v>
      </c>
      <c r="G5933" s="24" t="s">
        <v>88</v>
      </c>
      <c r="H5933" s="25" t="s">
        <v>7524</v>
      </c>
      <c r="I5933" s="46" t="e">
        <f>VLOOKUP(H5933,'合同高级查询数据-4月返'!A:A,1,FALSE)</f>
        <v>#N/A</v>
      </c>
      <c r="J5933" s="47" t="s">
        <v>90</v>
      </c>
      <c r="K5933" s="46" t="s">
        <v>7525</v>
      </c>
      <c r="L5933" s="22"/>
      <c r="M5933" s="475" t="s">
        <v>7526</v>
      </c>
      <c r="N5933" s="50">
        <v>44813</v>
      </c>
      <c r="O5933" s="22" t="s">
        <v>507</v>
      </c>
      <c r="P5933" s="501">
        <v>9825</v>
      </c>
      <c r="Q5933" s="70">
        <v>33</v>
      </c>
      <c r="R5933" s="52">
        <f t="shared" si="179"/>
        <v>324225</v>
      </c>
      <c r="S5933" s="47">
        <v>202304</v>
      </c>
      <c r="T5933" s="123" t="s">
        <v>7530</v>
      </c>
      <c r="U5933" s="97"/>
      <c r="V5933" s="453"/>
      <c r="W5933" s="97"/>
      <c r="X5933" s="50">
        <v>44805</v>
      </c>
      <c r="Y5933" s="50">
        <v>46630</v>
      </c>
    </row>
    <row r="5934" s="5" customFormat="1" customHeight="1" spans="1:25">
      <c r="A5934" s="22" t="s">
        <v>61</v>
      </c>
      <c r="B5934" s="22" t="s">
        <v>7422</v>
      </c>
      <c r="C5934" s="22" t="s">
        <v>3237</v>
      </c>
      <c r="D5934" s="22" t="s">
        <v>85</v>
      </c>
      <c r="E5934" s="23" t="s">
        <v>3238</v>
      </c>
      <c r="F5934" s="24" t="s">
        <v>7523</v>
      </c>
      <c r="G5934" s="24" t="s">
        <v>88</v>
      </c>
      <c r="H5934" s="25" t="s">
        <v>7524</v>
      </c>
      <c r="I5934" s="46" t="e">
        <f>VLOOKUP(H5934,'合同高级查询数据-4月返'!A:A,1,FALSE)</f>
        <v>#N/A</v>
      </c>
      <c r="J5934" s="47" t="s">
        <v>90</v>
      </c>
      <c r="K5934" s="46" t="s">
        <v>7525</v>
      </c>
      <c r="L5934" s="22"/>
      <c r="M5934" s="475" t="s">
        <v>7526</v>
      </c>
      <c r="N5934" s="50">
        <v>44817</v>
      </c>
      <c r="O5934" s="22" t="s">
        <v>507</v>
      </c>
      <c r="P5934" s="501">
        <v>9825</v>
      </c>
      <c r="Q5934" s="70">
        <v>2</v>
      </c>
      <c r="R5934" s="52">
        <f t="shared" si="179"/>
        <v>19650</v>
      </c>
      <c r="S5934" s="47">
        <v>202304</v>
      </c>
      <c r="T5934" s="123" t="s">
        <v>7531</v>
      </c>
      <c r="U5934" s="97"/>
      <c r="V5934" s="453"/>
      <c r="W5934" s="97"/>
      <c r="X5934" s="50">
        <v>44805</v>
      </c>
      <c r="Y5934" s="50">
        <v>46630</v>
      </c>
    </row>
    <row r="5935" s="5" customFormat="1" customHeight="1" spans="1:25">
      <c r="A5935" s="22" t="s">
        <v>61</v>
      </c>
      <c r="B5935" s="22" t="s">
        <v>7422</v>
      </c>
      <c r="C5935" s="22" t="s">
        <v>3237</v>
      </c>
      <c r="D5935" s="22" t="s">
        <v>85</v>
      </c>
      <c r="E5935" s="23" t="s">
        <v>3238</v>
      </c>
      <c r="F5935" s="24" t="s">
        <v>7523</v>
      </c>
      <c r="G5935" s="24" t="s">
        <v>88</v>
      </c>
      <c r="H5935" s="25" t="s">
        <v>7524</v>
      </c>
      <c r="I5935" s="46" t="e">
        <f>VLOOKUP(H5935,'合同高级查询数据-4月返'!A:A,1,FALSE)</f>
        <v>#N/A</v>
      </c>
      <c r="J5935" s="47" t="s">
        <v>90</v>
      </c>
      <c r="K5935" s="46" t="s">
        <v>7525</v>
      </c>
      <c r="L5935" s="22"/>
      <c r="M5935" s="475" t="s">
        <v>7526</v>
      </c>
      <c r="N5935" s="50">
        <v>44817</v>
      </c>
      <c r="O5935" s="22" t="s">
        <v>606</v>
      </c>
      <c r="P5935" s="501">
        <v>16747</v>
      </c>
      <c r="Q5935" s="70">
        <v>2</v>
      </c>
      <c r="R5935" s="52">
        <f t="shared" si="179"/>
        <v>33494</v>
      </c>
      <c r="S5935" s="47">
        <v>202304</v>
      </c>
      <c r="T5935" s="123" t="s">
        <v>7532</v>
      </c>
      <c r="U5935" s="97"/>
      <c r="V5935" s="453"/>
      <c r="W5935" s="97"/>
      <c r="X5935" s="50">
        <v>44805</v>
      </c>
      <c r="Y5935" s="50">
        <v>46630</v>
      </c>
    </row>
    <row r="5936" s="5" customFormat="1" customHeight="1" spans="1:25">
      <c r="A5936" s="22" t="s">
        <v>61</v>
      </c>
      <c r="B5936" s="22" t="s">
        <v>7422</v>
      </c>
      <c r="C5936" s="22" t="s">
        <v>3237</v>
      </c>
      <c r="D5936" s="22" t="s">
        <v>85</v>
      </c>
      <c r="E5936" s="23" t="s">
        <v>3238</v>
      </c>
      <c r="F5936" s="24" t="s">
        <v>7523</v>
      </c>
      <c r="G5936" s="24" t="s">
        <v>88</v>
      </c>
      <c r="H5936" s="25" t="s">
        <v>7524</v>
      </c>
      <c r="I5936" s="46" t="e">
        <f>VLOOKUP(H5936,'合同高级查询数据-4月返'!A:A,1,FALSE)</f>
        <v>#N/A</v>
      </c>
      <c r="J5936" s="47" t="s">
        <v>90</v>
      </c>
      <c r="K5936" s="46" t="s">
        <v>7525</v>
      </c>
      <c r="L5936" s="22"/>
      <c r="M5936" s="475" t="s">
        <v>7526</v>
      </c>
      <c r="N5936" s="50">
        <v>44819</v>
      </c>
      <c r="O5936" s="22" t="s">
        <v>503</v>
      </c>
      <c r="P5936" s="501">
        <v>4900</v>
      </c>
      <c r="Q5936" s="70">
        <v>4</v>
      </c>
      <c r="R5936" s="52">
        <f t="shared" si="179"/>
        <v>19600</v>
      </c>
      <c r="S5936" s="47">
        <v>202304</v>
      </c>
      <c r="T5936" s="123" t="s">
        <v>7533</v>
      </c>
      <c r="U5936" s="97"/>
      <c r="V5936" s="453"/>
      <c r="W5936" s="97"/>
      <c r="X5936" s="50">
        <v>44805</v>
      </c>
      <c r="Y5936" s="50">
        <v>46630</v>
      </c>
    </row>
    <row r="5937" s="5" customFormat="1" customHeight="1" spans="1:25">
      <c r="A5937" s="22" t="s">
        <v>61</v>
      </c>
      <c r="B5937" s="22" t="s">
        <v>7422</v>
      </c>
      <c r="C5937" s="22" t="s">
        <v>3237</v>
      </c>
      <c r="D5937" s="22" t="s">
        <v>85</v>
      </c>
      <c r="E5937" s="23" t="s">
        <v>3238</v>
      </c>
      <c r="F5937" s="24" t="s">
        <v>7523</v>
      </c>
      <c r="G5937" s="24" t="s">
        <v>88</v>
      </c>
      <c r="H5937" s="25" t="s">
        <v>7524</v>
      </c>
      <c r="I5937" s="46" t="e">
        <f>VLOOKUP(H5937,'合同高级查询数据-4月返'!A:A,1,FALSE)</f>
        <v>#N/A</v>
      </c>
      <c r="J5937" s="47" t="s">
        <v>90</v>
      </c>
      <c r="K5937" s="46" t="s">
        <v>7525</v>
      </c>
      <c r="L5937" s="22"/>
      <c r="M5937" s="475" t="s">
        <v>7526</v>
      </c>
      <c r="N5937" s="50">
        <v>44819</v>
      </c>
      <c r="O5937" s="22" t="s">
        <v>507</v>
      </c>
      <c r="P5937" s="501">
        <v>9825</v>
      </c>
      <c r="Q5937" s="70">
        <v>50</v>
      </c>
      <c r="R5937" s="52">
        <f t="shared" si="179"/>
        <v>491250</v>
      </c>
      <c r="S5937" s="47">
        <v>202304</v>
      </c>
      <c r="T5937" s="123" t="s">
        <v>7534</v>
      </c>
      <c r="U5937" s="97"/>
      <c r="V5937" s="453"/>
      <c r="W5937" s="97"/>
      <c r="X5937" s="50">
        <v>44805</v>
      </c>
      <c r="Y5937" s="50">
        <v>46630</v>
      </c>
    </row>
    <row r="5938" s="5" customFormat="1" customHeight="1" spans="1:25">
      <c r="A5938" s="22" t="s">
        <v>61</v>
      </c>
      <c r="B5938" s="22" t="s">
        <v>7422</v>
      </c>
      <c r="C5938" s="22" t="s">
        <v>3237</v>
      </c>
      <c r="D5938" s="22" t="s">
        <v>85</v>
      </c>
      <c r="E5938" s="23" t="s">
        <v>3238</v>
      </c>
      <c r="F5938" s="24" t="s">
        <v>7523</v>
      </c>
      <c r="G5938" s="24" t="s">
        <v>88</v>
      </c>
      <c r="H5938" s="25" t="s">
        <v>7524</v>
      </c>
      <c r="I5938" s="46" t="e">
        <f>VLOOKUP(H5938,'合同高级查询数据-4月返'!A:A,1,FALSE)</f>
        <v>#N/A</v>
      </c>
      <c r="J5938" s="47" t="s">
        <v>90</v>
      </c>
      <c r="K5938" s="46" t="s">
        <v>7525</v>
      </c>
      <c r="L5938" s="22"/>
      <c r="M5938" s="475" t="s">
        <v>7526</v>
      </c>
      <c r="N5938" s="50">
        <v>44819</v>
      </c>
      <c r="O5938" s="22" t="s">
        <v>595</v>
      </c>
      <c r="P5938" s="501">
        <v>22330</v>
      </c>
      <c r="Q5938" s="70">
        <v>4</v>
      </c>
      <c r="R5938" s="52">
        <f t="shared" si="179"/>
        <v>89320</v>
      </c>
      <c r="S5938" s="47">
        <v>202304</v>
      </c>
      <c r="T5938" s="123" t="s">
        <v>7535</v>
      </c>
      <c r="U5938" s="97"/>
      <c r="V5938" s="453"/>
      <c r="W5938" s="97"/>
      <c r="X5938" s="50">
        <v>44805</v>
      </c>
      <c r="Y5938" s="50">
        <v>46630</v>
      </c>
    </row>
    <row r="5939" s="5" customFormat="1" customHeight="1" spans="1:25">
      <c r="A5939" s="22" t="s">
        <v>61</v>
      </c>
      <c r="B5939" s="22" t="s">
        <v>7422</v>
      </c>
      <c r="C5939" s="22" t="s">
        <v>3237</v>
      </c>
      <c r="D5939" s="22" t="s">
        <v>85</v>
      </c>
      <c r="E5939" s="23" t="s">
        <v>3238</v>
      </c>
      <c r="F5939" s="24" t="s">
        <v>7523</v>
      </c>
      <c r="G5939" s="24" t="s">
        <v>88</v>
      </c>
      <c r="H5939" s="25" t="s">
        <v>7524</v>
      </c>
      <c r="I5939" s="46" t="e">
        <f>VLOOKUP(H5939,'合同高级查询数据-4月返'!A:A,1,FALSE)</f>
        <v>#N/A</v>
      </c>
      <c r="J5939" s="47" t="s">
        <v>90</v>
      </c>
      <c r="K5939" s="46" t="s">
        <v>7525</v>
      </c>
      <c r="L5939" s="22"/>
      <c r="M5939" s="475" t="s">
        <v>7526</v>
      </c>
      <c r="N5939" s="50">
        <v>44825</v>
      </c>
      <c r="O5939" s="22" t="s">
        <v>507</v>
      </c>
      <c r="P5939" s="501">
        <v>9825</v>
      </c>
      <c r="Q5939" s="70">
        <v>2</v>
      </c>
      <c r="R5939" s="52">
        <f t="shared" si="179"/>
        <v>19650</v>
      </c>
      <c r="S5939" s="47">
        <v>202304</v>
      </c>
      <c r="T5939" s="123" t="s">
        <v>7536</v>
      </c>
      <c r="U5939" s="97"/>
      <c r="V5939" s="453"/>
      <c r="W5939" s="97"/>
      <c r="X5939" s="50">
        <v>44805</v>
      </c>
      <c r="Y5939" s="50">
        <v>46630</v>
      </c>
    </row>
    <row r="5940" s="5" customFormat="1" customHeight="1" spans="1:25">
      <c r="A5940" s="22" t="s">
        <v>61</v>
      </c>
      <c r="B5940" s="22" t="s">
        <v>7422</v>
      </c>
      <c r="C5940" s="22" t="s">
        <v>3237</v>
      </c>
      <c r="D5940" s="22" t="s">
        <v>85</v>
      </c>
      <c r="E5940" s="23" t="s">
        <v>3238</v>
      </c>
      <c r="F5940" s="24" t="s">
        <v>7523</v>
      </c>
      <c r="G5940" s="24" t="s">
        <v>88</v>
      </c>
      <c r="H5940" s="25" t="s">
        <v>7524</v>
      </c>
      <c r="I5940" s="46" t="e">
        <f>VLOOKUP(H5940,'合同高级查询数据-4月返'!A:A,1,FALSE)</f>
        <v>#N/A</v>
      </c>
      <c r="J5940" s="47" t="s">
        <v>90</v>
      </c>
      <c r="K5940" s="46" t="s">
        <v>7525</v>
      </c>
      <c r="L5940" s="22"/>
      <c r="M5940" s="475" t="s">
        <v>7526</v>
      </c>
      <c r="N5940" s="50">
        <v>44830</v>
      </c>
      <c r="O5940" s="22" t="s">
        <v>507</v>
      </c>
      <c r="P5940" s="501">
        <v>9825</v>
      </c>
      <c r="Q5940" s="70">
        <v>2</v>
      </c>
      <c r="R5940" s="52">
        <f t="shared" si="179"/>
        <v>19650</v>
      </c>
      <c r="S5940" s="47">
        <v>202304</v>
      </c>
      <c r="T5940" s="123" t="s">
        <v>7537</v>
      </c>
      <c r="U5940" s="97"/>
      <c r="V5940" s="453"/>
      <c r="W5940" s="97"/>
      <c r="X5940" s="50">
        <v>44805</v>
      </c>
      <c r="Y5940" s="50">
        <v>46630</v>
      </c>
    </row>
    <row r="5941" s="5" customFormat="1" customHeight="1" spans="1:25">
      <c r="A5941" s="22" t="s">
        <v>61</v>
      </c>
      <c r="B5941" s="22" t="s">
        <v>7422</v>
      </c>
      <c r="C5941" s="22" t="s">
        <v>3237</v>
      </c>
      <c r="D5941" s="22" t="s">
        <v>85</v>
      </c>
      <c r="E5941" s="23" t="s">
        <v>3238</v>
      </c>
      <c r="F5941" s="24" t="s">
        <v>7523</v>
      </c>
      <c r="G5941" s="24" t="s">
        <v>88</v>
      </c>
      <c r="H5941" s="25" t="s">
        <v>7524</v>
      </c>
      <c r="I5941" s="46" t="e">
        <f>VLOOKUP(H5941,'合同高级查询数据-4月返'!A:A,1,FALSE)</f>
        <v>#N/A</v>
      </c>
      <c r="J5941" s="47" t="s">
        <v>90</v>
      </c>
      <c r="K5941" s="46" t="s">
        <v>7525</v>
      </c>
      <c r="L5941" s="22"/>
      <c r="M5941" s="475" t="s">
        <v>7526</v>
      </c>
      <c r="N5941" s="50">
        <v>44846</v>
      </c>
      <c r="O5941" s="22" t="s">
        <v>507</v>
      </c>
      <c r="P5941" s="501">
        <v>9825</v>
      </c>
      <c r="Q5941" s="70">
        <v>6</v>
      </c>
      <c r="R5941" s="52">
        <f t="shared" si="179"/>
        <v>58950</v>
      </c>
      <c r="S5941" s="47">
        <v>202304</v>
      </c>
      <c r="T5941" s="123" t="s">
        <v>7538</v>
      </c>
      <c r="U5941" s="97"/>
      <c r="V5941" s="453"/>
      <c r="W5941" s="97"/>
      <c r="X5941" s="50">
        <v>44805</v>
      </c>
      <c r="Y5941" s="50">
        <v>46630</v>
      </c>
    </row>
    <row r="5942" s="5" customFormat="1" customHeight="1" spans="1:25">
      <c r="A5942" s="22" t="s">
        <v>61</v>
      </c>
      <c r="B5942" s="22" t="s">
        <v>7422</v>
      </c>
      <c r="C5942" s="22" t="s">
        <v>3237</v>
      </c>
      <c r="D5942" s="22" t="s">
        <v>85</v>
      </c>
      <c r="E5942" s="23" t="s">
        <v>3238</v>
      </c>
      <c r="F5942" s="24" t="s">
        <v>7523</v>
      </c>
      <c r="G5942" s="24" t="s">
        <v>88</v>
      </c>
      <c r="H5942" s="25" t="s">
        <v>7524</v>
      </c>
      <c r="I5942" s="46" t="e">
        <f>VLOOKUP(H5942,'合同高级查询数据-4月返'!A:A,1,FALSE)</f>
        <v>#N/A</v>
      </c>
      <c r="J5942" s="47" t="s">
        <v>90</v>
      </c>
      <c r="K5942" s="46" t="s">
        <v>7525</v>
      </c>
      <c r="L5942" s="22"/>
      <c r="M5942" s="475" t="s">
        <v>7526</v>
      </c>
      <c r="N5942" s="50">
        <v>44848</v>
      </c>
      <c r="O5942" s="22" t="s">
        <v>507</v>
      </c>
      <c r="P5942" s="501">
        <v>9825</v>
      </c>
      <c r="Q5942" s="70">
        <v>2</v>
      </c>
      <c r="R5942" s="52">
        <f t="shared" si="179"/>
        <v>19650</v>
      </c>
      <c r="S5942" s="47">
        <v>202304</v>
      </c>
      <c r="T5942" s="123" t="s">
        <v>7539</v>
      </c>
      <c r="U5942" s="97"/>
      <c r="V5942" s="453"/>
      <c r="W5942" s="97"/>
      <c r="X5942" s="50">
        <v>44805</v>
      </c>
      <c r="Y5942" s="50">
        <v>46630</v>
      </c>
    </row>
    <row r="5943" s="5" customFormat="1" customHeight="1" spans="1:25">
      <c r="A5943" s="22" t="s">
        <v>61</v>
      </c>
      <c r="B5943" s="22" t="s">
        <v>7422</v>
      </c>
      <c r="C5943" s="22" t="s">
        <v>3237</v>
      </c>
      <c r="D5943" s="22" t="s">
        <v>85</v>
      </c>
      <c r="E5943" s="23" t="s">
        <v>3238</v>
      </c>
      <c r="F5943" s="24" t="s">
        <v>7523</v>
      </c>
      <c r="G5943" s="24" t="s">
        <v>88</v>
      </c>
      <c r="H5943" s="25" t="s">
        <v>7524</v>
      </c>
      <c r="I5943" s="46" t="e">
        <f>VLOOKUP(H5943,'合同高级查询数据-4月返'!A:A,1,FALSE)</f>
        <v>#N/A</v>
      </c>
      <c r="J5943" s="47" t="s">
        <v>90</v>
      </c>
      <c r="K5943" s="46" t="s">
        <v>7525</v>
      </c>
      <c r="L5943" s="22"/>
      <c r="M5943" s="475" t="s">
        <v>7526</v>
      </c>
      <c r="N5943" s="50">
        <v>44855</v>
      </c>
      <c r="O5943" s="22" t="s">
        <v>507</v>
      </c>
      <c r="P5943" s="501">
        <v>9825</v>
      </c>
      <c r="Q5943" s="70">
        <v>2</v>
      </c>
      <c r="R5943" s="52">
        <f t="shared" si="179"/>
        <v>19650</v>
      </c>
      <c r="S5943" s="47">
        <v>202304</v>
      </c>
      <c r="T5943" s="123" t="s">
        <v>7540</v>
      </c>
      <c r="U5943" s="97"/>
      <c r="V5943" s="453"/>
      <c r="W5943" s="97"/>
      <c r="X5943" s="50">
        <v>44805</v>
      </c>
      <c r="Y5943" s="50">
        <v>46630</v>
      </c>
    </row>
    <row r="5944" s="5" customFormat="1" customHeight="1" spans="1:25">
      <c r="A5944" s="22" t="s">
        <v>61</v>
      </c>
      <c r="B5944" s="22" t="s">
        <v>7422</v>
      </c>
      <c r="C5944" s="22" t="s">
        <v>3237</v>
      </c>
      <c r="D5944" s="22" t="s">
        <v>85</v>
      </c>
      <c r="E5944" s="23" t="s">
        <v>3238</v>
      </c>
      <c r="F5944" s="24" t="s">
        <v>7523</v>
      </c>
      <c r="G5944" s="24" t="s">
        <v>88</v>
      </c>
      <c r="H5944" s="25" t="s">
        <v>7524</v>
      </c>
      <c r="I5944" s="46" t="e">
        <f>VLOOKUP(H5944,'合同高级查询数据-4月返'!A:A,1,FALSE)</f>
        <v>#N/A</v>
      </c>
      <c r="J5944" s="47" t="s">
        <v>90</v>
      </c>
      <c r="K5944" s="46" t="s">
        <v>7525</v>
      </c>
      <c r="L5944" s="22"/>
      <c r="M5944" s="475" t="s">
        <v>7526</v>
      </c>
      <c r="N5944" s="50">
        <v>44861</v>
      </c>
      <c r="O5944" s="22" t="s">
        <v>507</v>
      </c>
      <c r="P5944" s="501">
        <v>9825</v>
      </c>
      <c r="Q5944" s="70">
        <v>1</v>
      </c>
      <c r="R5944" s="52">
        <f t="shared" si="179"/>
        <v>9825</v>
      </c>
      <c r="S5944" s="47">
        <v>202304</v>
      </c>
      <c r="T5944" s="123" t="s">
        <v>7541</v>
      </c>
      <c r="U5944" s="97"/>
      <c r="V5944" s="453"/>
      <c r="W5944" s="97"/>
      <c r="X5944" s="50">
        <v>44805</v>
      </c>
      <c r="Y5944" s="50">
        <v>46630</v>
      </c>
    </row>
    <row r="5945" s="5" customFormat="1" customHeight="1" spans="1:25">
      <c r="A5945" s="22" t="s">
        <v>61</v>
      </c>
      <c r="B5945" s="22" t="s">
        <v>7422</v>
      </c>
      <c r="C5945" s="22" t="s">
        <v>3237</v>
      </c>
      <c r="D5945" s="22" t="s">
        <v>85</v>
      </c>
      <c r="E5945" s="23" t="s">
        <v>3238</v>
      </c>
      <c r="F5945" s="24" t="s">
        <v>7523</v>
      </c>
      <c r="G5945" s="24" t="s">
        <v>88</v>
      </c>
      <c r="H5945" s="25" t="s">
        <v>7524</v>
      </c>
      <c r="I5945" s="46" t="e">
        <f>VLOOKUP(H5945,'合同高级查询数据-4月返'!A:A,1,FALSE)</f>
        <v>#N/A</v>
      </c>
      <c r="J5945" s="47" t="s">
        <v>90</v>
      </c>
      <c r="K5945" s="46" t="s">
        <v>7525</v>
      </c>
      <c r="L5945" s="22"/>
      <c r="M5945" s="475" t="s">
        <v>7526</v>
      </c>
      <c r="N5945" s="50">
        <v>44865</v>
      </c>
      <c r="O5945" s="22" t="s">
        <v>507</v>
      </c>
      <c r="P5945" s="501">
        <v>9825</v>
      </c>
      <c r="Q5945" s="70">
        <v>2</v>
      </c>
      <c r="R5945" s="52">
        <f t="shared" si="179"/>
        <v>19650</v>
      </c>
      <c r="S5945" s="47">
        <v>202304</v>
      </c>
      <c r="T5945" s="123" t="s">
        <v>7542</v>
      </c>
      <c r="U5945" s="97"/>
      <c r="V5945" s="453"/>
      <c r="W5945" s="97"/>
      <c r="X5945" s="50">
        <v>44805</v>
      </c>
      <c r="Y5945" s="50">
        <v>46630</v>
      </c>
    </row>
    <row r="5946" s="5" customFormat="1" customHeight="1" spans="1:25">
      <c r="A5946" s="22" t="s">
        <v>61</v>
      </c>
      <c r="B5946" s="22" t="s">
        <v>7422</v>
      </c>
      <c r="C5946" s="22" t="s">
        <v>3237</v>
      </c>
      <c r="D5946" s="22" t="s">
        <v>85</v>
      </c>
      <c r="E5946" s="23" t="s">
        <v>3238</v>
      </c>
      <c r="F5946" s="24" t="s">
        <v>7523</v>
      </c>
      <c r="G5946" s="24" t="s">
        <v>88</v>
      </c>
      <c r="H5946" s="25" t="s">
        <v>7524</v>
      </c>
      <c r="I5946" s="46" t="e">
        <f>VLOOKUP(H5946,'合同高级查询数据-4月返'!A:A,1,FALSE)</f>
        <v>#N/A</v>
      </c>
      <c r="J5946" s="47" t="s">
        <v>90</v>
      </c>
      <c r="K5946" s="46" t="s">
        <v>7525</v>
      </c>
      <c r="L5946" s="22"/>
      <c r="M5946" s="475" t="s">
        <v>7526</v>
      </c>
      <c r="N5946" s="50">
        <v>44869</v>
      </c>
      <c r="O5946" s="22" t="s">
        <v>507</v>
      </c>
      <c r="P5946" s="501">
        <v>9825</v>
      </c>
      <c r="Q5946" s="70">
        <v>-14</v>
      </c>
      <c r="R5946" s="52">
        <f t="shared" si="179"/>
        <v>-137550</v>
      </c>
      <c r="S5946" s="47">
        <v>202304</v>
      </c>
      <c r="T5946" s="123" t="s">
        <v>7543</v>
      </c>
      <c r="U5946" s="97"/>
      <c r="V5946" s="453"/>
      <c r="W5946" s="97"/>
      <c r="X5946" s="50">
        <v>44805</v>
      </c>
      <c r="Y5946" s="50">
        <v>46630</v>
      </c>
    </row>
    <row r="5947" s="5" customFormat="1" customHeight="1" spans="1:25">
      <c r="A5947" s="22" t="s">
        <v>61</v>
      </c>
      <c r="B5947" s="22" t="s">
        <v>7422</v>
      </c>
      <c r="C5947" s="22" t="s">
        <v>3237</v>
      </c>
      <c r="D5947" s="22" t="s">
        <v>85</v>
      </c>
      <c r="E5947" s="23" t="s">
        <v>3238</v>
      </c>
      <c r="F5947" s="24" t="s">
        <v>7523</v>
      </c>
      <c r="G5947" s="24" t="s">
        <v>88</v>
      </c>
      <c r="H5947" s="25" t="s">
        <v>7524</v>
      </c>
      <c r="I5947" s="46" t="e">
        <f>VLOOKUP(H5947,'合同高级查询数据-4月返'!A:A,1,FALSE)</f>
        <v>#N/A</v>
      </c>
      <c r="J5947" s="47" t="s">
        <v>90</v>
      </c>
      <c r="K5947" s="46" t="s">
        <v>7525</v>
      </c>
      <c r="L5947" s="22"/>
      <c r="M5947" s="475" t="s">
        <v>7526</v>
      </c>
      <c r="N5947" s="50">
        <v>44879</v>
      </c>
      <c r="O5947" s="22" t="s">
        <v>507</v>
      </c>
      <c r="P5947" s="501">
        <v>9825</v>
      </c>
      <c r="Q5947" s="70">
        <v>1</v>
      </c>
      <c r="R5947" s="52">
        <f t="shared" si="179"/>
        <v>9825</v>
      </c>
      <c r="S5947" s="47">
        <v>202304</v>
      </c>
      <c r="T5947" s="123" t="s">
        <v>7544</v>
      </c>
      <c r="U5947" s="97"/>
      <c r="V5947" s="453"/>
      <c r="W5947" s="97"/>
      <c r="X5947" s="50">
        <v>44805</v>
      </c>
      <c r="Y5947" s="50">
        <v>46630</v>
      </c>
    </row>
    <row r="5948" s="5" customFormat="1" customHeight="1" spans="1:25">
      <c r="A5948" s="22" t="s">
        <v>61</v>
      </c>
      <c r="B5948" s="22" t="s">
        <v>7422</v>
      </c>
      <c r="C5948" s="22" t="s">
        <v>3237</v>
      </c>
      <c r="D5948" s="22" t="s">
        <v>85</v>
      </c>
      <c r="E5948" s="23" t="s">
        <v>3238</v>
      </c>
      <c r="F5948" s="24" t="s">
        <v>7523</v>
      </c>
      <c r="G5948" s="24" t="s">
        <v>88</v>
      </c>
      <c r="H5948" s="25" t="s">
        <v>7524</v>
      </c>
      <c r="I5948" s="46" t="e">
        <f>VLOOKUP(H5948,'合同高级查询数据-4月返'!A:A,1,FALSE)</f>
        <v>#N/A</v>
      </c>
      <c r="J5948" s="47" t="s">
        <v>90</v>
      </c>
      <c r="K5948" s="46" t="s">
        <v>7525</v>
      </c>
      <c r="L5948" s="22"/>
      <c r="M5948" s="475" t="s">
        <v>7526</v>
      </c>
      <c r="N5948" s="50">
        <v>44886</v>
      </c>
      <c r="O5948" s="22" t="s">
        <v>507</v>
      </c>
      <c r="P5948" s="501">
        <v>9825</v>
      </c>
      <c r="Q5948" s="70">
        <v>-2</v>
      </c>
      <c r="R5948" s="52">
        <f t="shared" si="179"/>
        <v>-19650</v>
      </c>
      <c r="S5948" s="47">
        <v>202304</v>
      </c>
      <c r="T5948" s="123" t="s">
        <v>7545</v>
      </c>
      <c r="U5948" s="97"/>
      <c r="V5948" s="453"/>
      <c r="W5948" s="97"/>
      <c r="X5948" s="50">
        <v>44805</v>
      </c>
      <c r="Y5948" s="50">
        <v>46630</v>
      </c>
    </row>
    <row r="5949" s="5" customFormat="1" customHeight="1" spans="1:25">
      <c r="A5949" s="22" t="s">
        <v>61</v>
      </c>
      <c r="B5949" s="22" t="s">
        <v>7422</v>
      </c>
      <c r="C5949" s="22" t="s">
        <v>3237</v>
      </c>
      <c r="D5949" s="22" t="s">
        <v>85</v>
      </c>
      <c r="E5949" s="23" t="s">
        <v>3238</v>
      </c>
      <c r="F5949" s="24" t="s">
        <v>7523</v>
      </c>
      <c r="G5949" s="24" t="s">
        <v>88</v>
      </c>
      <c r="H5949" s="25" t="s">
        <v>7524</v>
      </c>
      <c r="I5949" s="46" t="e">
        <f>VLOOKUP(H5949,'合同高级查询数据-4月返'!A:A,1,FALSE)</f>
        <v>#N/A</v>
      </c>
      <c r="J5949" s="47" t="s">
        <v>90</v>
      </c>
      <c r="K5949" s="46" t="s">
        <v>7525</v>
      </c>
      <c r="L5949" s="22"/>
      <c r="M5949" s="475" t="s">
        <v>7526</v>
      </c>
      <c r="N5949" s="50">
        <v>44894</v>
      </c>
      <c r="O5949" s="22" t="s">
        <v>507</v>
      </c>
      <c r="P5949" s="501">
        <v>9825</v>
      </c>
      <c r="Q5949" s="70">
        <v>2</v>
      </c>
      <c r="R5949" s="52">
        <f t="shared" si="179"/>
        <v>19650</v>
      </c>
      <c r="S5949" s="47">
        <v>202304</v>
      </c>
      <c r="T5949" s="123" t="s">
        <v>7546</v>
      </c>
      <c r="U5949" s="97"/>
      <c r="V5949" s="453"/>
      <c r="W5949" s="97"/>
      <c r="X5949" s="50">
        <v>44805</v>
      </c>
      <c r="Y5949" s="50">
        <v>46630</v>
      </c>
    </row>
    <row r="5950" s="5" customFormat="1" customHeight="1" spans="1:25">
      <c r="A5950" s="22" t="s">
        <v>61</v>
      </c>
      <c r="B5950" s="22" t="s">
        <v>7422</v>
      </c>
      <c r="C5950" s="22" t="s">
        <v>3237</v>
      </c>
      <c r="D5950" s="22" t="s">
        <v>85</v>
      </c>
      <c r="E5950" s="23" t="s">
        <v>3238</v>
      </c>
      <c r="F5950" s="24" t="s">
        <v>7523</v>
      </c>
      <c r="G5950" s="24" t="s">
        <v>88</v>
      </c>
      <c r="H5950" s="25" t="s">
        <v>7524</v>
      </c>
      <c r="I5950" s="46" t="e">
        <f>VLOOKUP(H5950,'合同高级查询数据-4月返'!A:A,1,FALSE)</f>
        <v>#N/A</v>
      </c>
      <c r="J5950" s="47" t="s">
        <v>90</v>
      </c>
      <c r="K5950" s="46" t="s">
        <v>7525</v>
      </c>
      <c r="L5950" s="22"/>
      <c r="M5950" s="475" t="s">
        <v>7526</v>
      </c>
      <c r="N5950" s="50">
        <v>44902</v>
      </c>
      <c r="O5950" s="22" t="s">
        <v>507</v>
      </c>
      <c r="P5950" s="501">
        <v>9825</v>
      </c>
      <c r="Q5950" s="70">
        <v>5</v>
      </c>
      <c r="R5950" s="52">
        <f t="shared" si="179"/>
        <v>49125</v>
      </c>
      <c r="S5950" s="47">
        <v>202304</v>
      </c>
      <c r="T5950" s="123" t="s">
        <v>7547</v>
      </c>
      <c r="U5950" s="97"/>
      <c r="V5950" s="453"/>
      <c r="W5950" s="97"/>
      <c r="X5950" s="50">
        <v>44805</v>
      </c>
      <c r="Y5950" s="50">
        <v>46630</v>
      </c>
    </row>
    <row r="5951" s="5" customFormat="1" customHeight="1" spans="1:25">
      <c r="A5951" s="22" t="s">
        <v>61</v>
      </c>
      <c r="B5951" s="22" t="s">
        <v>7422</v>
      </c>
      <c r="C5951" s="22" t="s">
        <v>3237</v>
      </c>
      <c r="D5951" s="22" t="s">
        <v>85</v>
      </c>
      <c r="E5951" s="23" t="s">
        <v>3238</v>
      </c>
      <c r="F5951" s="24" t="s">
        <v>7523</v>
      </c>
      <c r="G5951" s="24" t="s">
        <v>88</v>
      </c>
      <c r="H5951" s="25" t="s">
        <v>7524</v>
      </c>
      <c r="I5951" s="46" t="e">
        <f>VLOOKUP(H5951,'合同高级查询数据-4月返'!A:A,1,FALSE)</f>
        <v>#N/A</v>
      </c>
      <c r="J5951" s="47" t="s">
        <v>90</v>
      </c>
      <c r="K5951" s="46" t="s">
        <v>7525</v>
      </c>
      <c r="L5951" s="22"/>
      <c r="M5951" s="475" t="s">
        <v>7526</v>
      </c>
      <c r="N5951" s="50">
        <v>44918</v>
      </c>
      <c r="O5951" s="22" t="s">
        <v>507</v>
      </c>
      <c r="P5951" s="501">
        <v>9825</v>
      </c>
      <c r="Q5951" s="70">
        <v>1</v>
      </c>
      <c r="R5951" s="52">
        <f t="shared" si="179"/>
        <v>9825</v>
      </c>
      <c r="S5951" s="47">
        <v>202304</v>
      </c>
      <c r="T5951" s="123" t="s">
        <v>7548</v>
      </c>
      <c r="U5951" s="97"/>
      <c r="V5951" s="453"/>
      <c r="W5951" s="97"/>
      <c r="X5951" s="50">
        <v>44805</v>
      </c>
      <c r="Y5951" s="50">
        <v>46630</v>
      </c>
    </row>
    <row r="5952" s="5" customFormat="1" customHeight="1" spans="1:25">
      <c r="A5952" s="22" t="s">
        <v>61</v>
      </c>
      <c r="B5952" s="22" t="s">
        <v>7422</v>
      </c>
      <c r="C5952" s="22" t="s">
        <v>3237</v>
      </c>
      <c r="D5952" s="22" t="s">
        <v>85</v>
      </c>
      <c r="E5952" s="23" t="s">
        <v>3238</v>
      </c>
      <c r="F5952" s="24" t="s">
        <v>7523</v>
      </c>
      <c r="G5952" s="24" t="s">
        <v>88</v>
      </c>
      <c r="H5952" s="25" t="s">
        <v>7524</v>
      </c>
      <c r="I5952" s="46" t="e">
        <f>VLOOKUP(H5952,'合同高级查询数据-4月返'!A:A,1,FALSE)</f>
        <v>#N/A</v>
      </c>
      <c r="J5952" s="47" t="s">
        <v>90</v>
      </c>
      <c r="K5952" s="46" t="s">
        <v>7525</v>
      </c>
      <c r="L5952" s="22"/>
      <c r="M5952" s="475" t="s">
        <v>7526</v>
      </c>
      <c r="N5952" s="50">
        <v>44938</v>
      </c>
      <c r="O5952" s="22" t="s">
        <v>507</v>
      </c>
      <c r="P5952" s="501">
        <v>9825</v>
      </c>
      <c r="Q5952" s="70">
        <v>2</v>
      </c>
      <c r="R5952" s="52">
        <f t="shared" si="179"/>
        <v>19650</v>
      </c>
      <c r="S5952" s="47">
        <v>202304</v>
      </c>
      <c r="T5952" s="123" t="s">
        <v>7549</v>
      </c>
      <c r="U5952" s="97"/>
      <c r="V5952" s="453"/>
      <c r="W5952" s="97"/>
      <c r="X5952" s="50">
        <v>44805</v>
      </c>
      <c r="Y5952" s="50">
        <v>46630</v>
      </c>
    </row>
    <row r="5953" s="5" customFormat="1" customHeight="1" spans="1:25">
      <c r="A5953" s="22" t="s">
        <v>61</v>
      </c>
      <c r="B5953" s="22" t="s">
        <v>7422</v>
      </c>
      <c r="C5953" s="22" t="s">
        <v>3237</v>
      </c>
      <c r="D5953" s="22" t="s">
        <v>85</v>
      </c>
      <c r="E5953" s="23" t="s">
        <v>3238</v>
      </c>
      <c r="F5953" s="24" t="s">
        <v>7523</v>
      </c>
      <c r="G5953" s="24" t="s">
        <v>88</v>
      </c>
      <c r="H5953" s="25" t="s">
        <v>7524</v>
      </c>
      <c r="I5953" s="46" t="e">
        <f>VLOOKUP(H5953,'合同高级查询数据-4月返'!A:A,1,FALSE)</f>
        <v>#N/A</v>
      </c>
      <c r="J5953" s="47" t="s">
        <v>90</v>
      </c>
      <c r="K5953" s="46" t="s">
        <v>7525</v>
      </c>
      <c r="L5953" s="22"/>
      <c r="M5953" s="475" t="s">
        <v>7526</v>
      </c>
      <c r="N5953" s="50">
        <v>44956</v>
      </c>
      <c r="O5953" s="22" t="s">
        <v>507</v>
      </c>
      <c r="P5953" s="501">
        <v>9825</v>
      </c>
      <c r="Q5953" s="70">
        <v>4</v>
      </c>
      <c r="R5953" s="52">
        <f t="shared" si="179"/>
        <v>39300</v>
      </c>
      <c r="S5953" s="47">
        <v>202304</v>
      </c>
      <c r="T5953" s="123" t="s">
        <v>7550</v>
      </c>
      <c r="U5953" s="97"/>
      <c r="V5953" s="453"/>
      <c r="W5953" s="97"/>
      <c r="X5953" s="50">
        <v>44805</v>
      </c>
      <c r="Y5953" s="50">
        <v>46630</v>
      </c>
    </row>
    <row r="5954" s="5" customFormat="1" customHeight="1" spans="1:25">
      <c r="A5954" s="22" t="s">
        <v>61</v>
      </c>
      <c r="B5954" s="22" t="s">
        <v>7422</v>
      </c>
      <c r="C5954" s="22" t="s">
        <v>3237</v>
      </c>
      <c r="D5954" s="22" t="s">
        <v>85</v>
      </c>
      <c r="E5954" s="23" t="s">
        <v>3238</v>
      </c>
      <c r="F5954" s="24" t="s">
        <v>7523</v>
      </c>
      <c r="G5954" s="24" t="s">
        <v>88</v>
      </c>
      <c r="H5954" s="25" t="s">
        <v>7524</v>
      </c>
      <c r="I5954" s="46" t="e">
        <f>VLOOKUP(H5954,'合同高级查询数据-4月返'!A:A,1,FALSE)</f>
        <v>#N/A</v>
      </c>
      <c r="J5954" s="47" t="s">
        <v>90</v>
      </c>
      <c r="K5954" s="46" t="s">
        <v>7525</v>
      </c>
      <c r="L5954" s="22"/>
      <c r="M5954" s="475" t="s">
        <v>7526</v>
      </c>
      <c r="N5954" s="50">
        <v>44960</v>
      </c>
      <c r="O5954" s="22" t="s">
        <v>507</v>
      </c>
      <c r="P5954" s="501">
        <v>9825</v>
      </c>
      <c r="Q5954" s="70">
        <v>3</v>
      </c>
      <c r="R5954" s="52">
        <f t="shared" si="179"/>
        <v>29475</v>
      </c>
      <c r="S5954" s="47">
        <v>202304</v>
      </c>
      <c r="T5954" s="123" t="s">
        <v>7551</v>
      </c>
      <c r="U5954" s="97"/>
      <c r="V5954" s="453"/>
      <c r="W5954" s="97"/>
      <c r="X5954" s="50">
        <v>44805</v>
      </c>
      <c r="Y5954" s="50">
        <v>46630</v>
      </c>
    </row>
    <row r="5955" s="5" customFormat="1" customHeight="1" spans="1:25">
      <c r="A5955" s="22" t="s">
        <v>61</v>
      </c>
      <c r="B5955" s="22" t="s">
        <v>7422</v>
      </c>
      <c r="C5955" s="22" t="s">
        <v>3237</v>
      </c>
      <c r="D5955" s="22" t="s">
        <v>85</v>
      </c>
      <c r="E5955" s="23" t="s">
        <v>3238</v>
      </c>
      <c r="F5955" s="24" t="s">
        <v>7523</v>
      </c>
      <c r="G5955" s="24" t="s">
        <v>88</v>
      </c>
      <c r="H5955" s="25" t="s">
        <v>7524</v>
      </c>
      <c r="I5955" s="46" t="e">
        <f>VLOOKUP(H5955,'合同高级查询数据-4月返'!A:A,1,FALSE)</f>
        <v>#N/A</v>
      </c>
      <c r="J5955" s="47" t="s">
        <v>90</v>
      </c>
      <c r="K5955" s="46" t="s">
        <v>7525</v>
      </c>
      <c r="L5955" s="22"/>
      <c r="M5955" s="475" t="s">
        <v>7526</v>
      </c>
      <c r="N5955" s="50">
        <v>44967</v>
      </c>
      <c r="O5955" s="22" t="s">
        <v>507</v>
      </c>
      <c r="P5955" s="501">
        <v>9825</v>
      </c>
      <c r="Q5955" s="70">
        <v>26</v>
      </c>
      <c r="R5955" s="52">
        <f t="shared" si="179"/>
        <v>255450</v>
      </c>
      <c r="S5955" s="47">
        <v>202304</v>
      </c>
      <c r="T5955" s="123" t="s">
        <v>7552</v>
      </c>
      <c r="U5955" s="97"/>
      <c r="V5955" s="453"/>
      <c r="W5955" s="97"/>
      <c r="X5955" s="50">
        <v>44805</v>
      </c>
      <c r="Y5955" s="50">
        <v>46630</v>
      </c>
    </row>
    <row r="5956" s="5" customFormat="1" customHeight="1" spans="1:25">
      <c r="A5956" s="22" t="s">
        <v>61</v>
      </c>
      <c r="B5956" s="22" t="s">
        <v>7422</v>
      </c>
      <c r="C5956" s="22" t="s">
        <v>3237</v>
      </c>
      <c r="D5956" s="22" t="s">
        <v>85</v>
      </c>
      <c r="E5956" s="23" t="s">
        <v>3238</v>
      </c>
      <c r="F5956" s="24" t="s">
        <v>7523</v>
      </c>
      <c r="G5956" s="24" t="s">
        <v>88</v>
      </c>
      <c r="H5956" s="25" t="s">
        <v>7524</v>
      </c>
      <c r="I5956" s="46" t="e">
        <f>VLOOKUP(H5956,'合同高级查询数据-4月返'!A:A,1,FALSE)</f>
        <v>#N/A</v>
      </c>
      <c r="J5956" s="47" t="s">
        <v>90</v>
      </c>
      <c r="K5956" s="46" t="s">
        <v>7525</v>
      </c>
      <c r="L5956" s="22"/>
      <c r="M5956" s="475" t="s">
        <v>7526</v>
      </c>
      <c r="N5956" s="50">
        <v>44984</v>
      </c>
      <c r="O5956" s="22" t="s">
        <v>507</v>
      </c>
      <c r="P5956" s="501">
        <v>9825</v>
      </c>
      <c r="Q5956" s="70">
        <v>10</v>
      </c>
      <c r="R5956" s="52">
        <f t="shared" si="179"/>
        <v>98250</v>
      </c>
      <c r="S5956" s="47">
        <v>202304</v>
      </c>
      <c r="T5956" s="123" t="s">
        <v>7553</v>
      </c>
      <c r="U5956" s="97"/>
      <c r="V5956" s="453"/>
      <c r="W5956" s="97"/>
      <c r="X5956" s="50">
        <v>44805</v>
      </c>
      <c r="Y5956" s="50">
        <v>46630</v>
      </c>
    </row>
    <row r="5957" s="5" customFormat="1" customHeight="1" spans="1:25">
      <c r="A5957" s="22" t="s">
        <v>61</v>
      </c>
      <c r="B5957" s="22" t="s">
        <v>7422</v>
      </c>
      <c r="C5957" s="22" t="s">
        <v>3237</v>
      </c>
      <c r="D5957" s="22" t="s">
        <v>85</v>
      </c>
      <c r="E5957" s="23" t="s">
        <v>3238</v>
      </c>
      <c r="F5957" s="24" t="s">
        <v>7523</v>
      </c>
      <c r="G5957" s="24" t="s">
        <v>88</v>
      </c>
      <c r="H5957" s="25" t="s">
        <v>7524</v>
      </c>
      <c r="I5957" s="46" t="e">
        <f>VLOOKUP(H5957,'合同高级查询数据-4月返'!A:A,1,FALSE)</f>
        <v>#N/A</v>
      </c>
      <c r="J5957" s="47" t="s">
        <v>90</v>
      </c>
      <c r="K5957" s="46" t="s">
        <v>7525</v>
      </c>
      <c r="L5957" s="22"/>
      <c r="M5957" s="475" t="s">
        <v>7526</v>
      </c>
      <c r="N5957" s="50">
        <v>45015</v>
      </c>
      <c r="O5957" s="22" t="s">
        <v>503</v>
      </c>
      <c r="P5957" s="501">
        <v>4900</v>
      </c>
      <c r="Q5957" s="70">
        <v>1</v>
      </c>
      <c r="R5957" s="52">
        <f t="shared" si="179"/>
        <v>4900</v>
      </c>
      <c r="S5957" s="47">
        <v>202304</v>
      </c>
      <c r="T5957" s="97" t="s">
        <v>7554</v>
      </c>
      <c r="U5957" s="97"/>
      <c r="V5957" s="453"/>
      <c r="W5957" s="97"/>
      <c r="X5957" s="50">
        <v>44805</v>
      </c>
      <c r="Y5957" s="50">
        <v>46630</v>
      </c>
    </row>
    <row r="5958" s="5" customFormat="1" customHeight="1" spans="1:25">
      <c r="A5958" s="22" t="s">
        <v>61</v>
      </c>
      <c r="B5958" s="22" t="s">
        <v>7422</v>
      </c>
      <c r="C5958" s="22" t="s">
        <v>3237</v>
      </c>
      <c r="D5958" s="22" t="s">
        <v>85</v>
      </c>
      <c r="E5958" s="23" t="s">
        <v>3238</v>
      </c>
      <c r="F5958" s="24" t="s">
        <v>7523</v>
      </c>
      <c r="G5958" s="24" t="s">
        <v>88</v>
      </c>
      <c r="H5958" s="25" t="s">
        <v>7524</v>
      </c>
      <c r="I5958" s="46" t="e">
        <f>VLOOKUP(H5958,'合同高级查询数据-4月返'!A:A,1,FALSE)</f>
        <v>#N/A</v>
      </c>
      <c r="J5958" s="47" t="s">
        <v>90</v>
      </c>
      <c r="K5958" s="46" t="s">
        <v>7525</v>
      </c>
      <c r="L5958" s="22"/>
      <c r="M5958" s="475" t="s">
        <v>7526</v>
      </c>
      <c r="N5958" s="50">
        <v>45015</v>
      </c>
      <c r="O5958" s="22" t="s">
        <v>507</v>
      </c>
      <c r="P5958" s="501">
        <v>9825</v>
      </c>
      <c r="Q5958" s="70">
        <v>2</v>
      </c>
      <c r="R5958" s="52">
        <f t="shared" si="179"/>
        <v>19650</v>
      </c>
      <c r="S5958" s="47">
        <v>202304</v>
      </c>
      <c r="T5958" s="97" t="s">
        <v>7555</v>
      </c>
      <c r="U5958" s="97"/>
      <c r="V5958" s="453"/>
      <c r="W5958" s="97"/>
      <c r="X5958" s="50">
        <v>44805</v>
      </c>
      <c r="Y5958" s="50">
        <v>46630</v>
      </c>
    </row>
    <row r="5959" s="5" customFormat="1" customHeight="1" spans="1:25">
      <c r="A5959" s="22" t="s">
        <v>61</v>
      </c>
      <c r="B5959" s="22" t="s">
        <v>7422</v>
      </c>
      <c r="C5959" s="22" t="s">
        <v>3237</v>
      </c>
      <c r="D5959" s="22" t="s">
        <v>85</v>
      </c>
      <c r="E5959" s="23" t="s">
        <v>3238</v>
      </c>
      <c r="F5959" s="24" t="s">
        <v>7523</v>
      </c>
      <c r="G5959" s="24" t="s">
        <v>88</v>
      </c>
      <c r="H5959" s="25" t="s">
        <v>7524</v>
      </c>
      <c r="I5959" s="46" t="e">
        <f>VLOOKUP(H5959,'合同高级查询数据-4月返'!A:A,1,FALSE)</f>
        <v>#N/A</v>
      </c>
      <c r="J5959" s="47" t="s">
        <v>90</v>
      </c>
      <c r="K5959" s="46" t="s">
        <v>7525</v>
      </c>
      <c r="L5959" s="22"/>
      <c r="M5959" s="475" t="s">
        <v>7526</v>
      </c>
      <c r="N5959" s="506">
        <v>45019</v>
      </c>
      <c r="O5959" s="22" t="s">
        <v>507</v>
      </c>
      <c r="P5959" s="501">
        <v>9825</v>
      </c>
      <c r="Q5959" s="70">
        <v>2</v>
      </c>
      <c r="R5959" s="52">
        <f>ROUND(P5959*Q5959*28/30,2)</f>
        <v>18340</v>
      </c>
      <c r="S5959" s="47">
        <v>202304</v>
      </c>
      <c r="T5959" s="503" t="s">
        <v>7556</v>
      </c>
      <c r="U5959" s="97"/>
      <c r="V5959" s="453"/>
      <c r="W5959" s="97"/>
      <c r="X5959" s="50">
        <v>44805</v>
      </c>
      <c r="Y5959" s="50">
        <v>46630</v>
      </c>
    </row>
    <row r="5960" s="5" customFormat="1" customHeight="1" spans="1:25">
      <c r="A5960" s="22" t="s">
        <v>61</v>
      </c>
      <c r="B5960" s="22" t="s">
        <v>7422</v>
      </c>
      <c r="C5960" s="22" t="s">
        <v>3237</v>
      </c>
      <c r="D5960" s="22" t="s">
        <v>85</v>
      </c>
      <c r="E5960" s="23" t="s">
        <v>3238</v>
      </c>
      <c r="F5960" s="24" t="s">
        <v>7523</v>
      </c>
      <c r="G5960" s="24" t="s">
        <v>88</v>
      </c>
      <c r="H5960" s="25" t="s">
        <v>7524</v>
      </c>
      <c r="I5960" s="46" t="e">
        <f>VLOOKUP(H5960,'合同高级查询数据-4月返'!A:A,1,FALSE)</f>
        <v>#N/A</v>
      </c>
      <c r="J5960" s="47" t="s">
        <v>90</v>
      </c>
      <c r="K5960" s="46" t="s">
        <v>7525</v>
      </c>
      <c r="L5960" s="22"/>
      <c r="M5960" s="475" t="s">
        <v>7526</v>
      </c>
      <c r="N5960" s="506">
        <v>45029</v>
      </c>
      <c r="O5960" s="22" t="s">
        <v>507</v>
      </c>
      <c r="P5960" s="501">
        <v>9825</v>
      </c>
      <c r="Q5960" s="70">
        <v>5</v>
      </c>
      <c r="R5960" s="52">
        <f>ROUND(P5960*Q5960*18/30,2)</f>
        <v>29475</v>
      </c>
      <c r="S5960" s="47">
        <v>202304</v>
      </c>
      <c r="T5960" s="503" t="s">
        <v>7557</v>
      </c>
      <c r="U5960" s="97"/>
      <c r="V5960" s="453"/>
      <c r="W5960" s="97"/>
      <c r="X5960" s="50">
        <v>44805</v>
      </c>
      <c r="Y5960" s="50">
        <v>46630</v>
      </c>
    </row>
    <row r="5961" s="5" customFormat="1" customHeight="1" spans="1:25">
      <c r="A5961" s="22" t="s">
        <v>61</v>
      </c>
      <c r="B5961" s="22" t="s">
        <v>7422</v>
      </c>
      <c r="C5961" s="22" t="s">
        <v>3237</v>
      </c>
      <c r="D5961" s="22" t="s">
        <v>85</v>
      </c>
      <c r="E5961" s="23" t="s">
        <v>3238</v>
      </c>
      <c r="F5961" s="24" t="s">
        <v>7523</v>
      </c>
      <c r="G5961" s="24" t="s">
        <v>88</v>
      </c>
      <c r="H5961" s="25" t="s">
        <v>7524</v>
      </c>
      <c r="I5961" s="46" t="e">
        <f>VLOOKUP(H5961,'合同高级查询数据-4月返'!A:A,1,FALSE)</f>
        <v>#N/A</v>
      </c>
      <c r="J5961" s="47" t="s">
        <v>90</v>
      </c>
      <c r="K5961" s="46" t="s">
        <v>7525</v>
      </c>
      <c r="L5961" s="22"/>
      <c r="M5961" s="475" t="s">
        <v>7526</v>
      </c>
      <c r="N5961" s="50">
        <v>45040</v>
      </c>
      <c r="O5961" s="22" t="s">
        <v>507</v>
      </c>
      <c r="P5961" s="501">
        <v>9825</v>
      </c>
      <c r="Q5961" s="70">
        <v>1</v>
      </c>
      <c r="R5961" s="52">
        <f>ROUND(P5961*Q5961*7/30,2)</f>
        <v>2292.5</v>
      </c>
      <c r="S5961" s="47">
        <v>202304</v>
      </c>
      <c r="T5961" s="503" t="s">
        <v>7558</v>
      </c>
      <c r="U5961" s="97"/>
      <c r="V5961" s="453"/>
      <c r="W5961" s="97"/>
      <c r="X5961" s="50">
        <v>44805</v>
      </c>
      <c r="Y5961" s="50">
        <v>46630</v>
      </c>
    </row>
    <row r="5962" s="5" customFormat="1" customHeight="1" spans="1:25">
      <c r="A5962" s="22" t="s">
        <v>61</v>
      </c>
      <c r="B5962" s="22" t="s">
        <v>7422</v>
      </c>
      <c r="C5962" s="22" t="s">
        <v>3237</v>
      </c>
      <c r="D5962" s="22" t="s">
        <v>85</v>
      </c>
      <c r="E5962" s="23" t="s">
        <v>3238</v>
      </c>
      <c r="F5962" s="24" t="s">
        <v>7523</v>
      </c>
      <c r="G5962" s="24" t="s">
        <v>88</v>
      </c>
      <c r="H5962" s="25" t="s">
        <v>7524</v>
      </c>
      <c r="I5962" s="46" t="e">
        <f>VLOOKUP(H5962,'合同高级查询数据-4月返'!A:A,1,FALSE)</f>
        <v>#N/A</v>
      </c>
      <c r="J5962" s="47" t="s">
        <v>90</v>
      </c>
      <c r="K5962" s="46" t="s">
        <v>7525</v>
      </c>
      <c r="L5962" s="22"/>
      <c r="M5962" s="475" t="s">
        <v>7526</v>
      </c>
      <c r="N5962" s="506">
        <v>45041</v>
      </c>
      <c r="O5962" s="22" t="s">
        <v>600</v>
      </c>
      <c r="P5962" s="501">
        <v>2310</v>
      </c>
      <c r="Q5962" s="70">
        <v>1</v>
      </c>
      <c r="R5962" s="52">
        <f>ROUND(P5962*Q5962*6/30,2)</f>
        <v>462</v>
      </c>
      <c r="S5962" s="47">
        <v>202304</v>
      </c>
      <c r="T5962" s="503" t="s">
        <v>7559</v>
      </c>
      <c r="U5962" s="97"/>
      <c r="V5962" s="453"/>
      <c r="W5962" s="97"/>
      <c r="X5962" s="50">
        <v>44805</v>
      </c>
      <c r="Y5962" s="50">
        <v>46630</v>
      </c>
    </row>
    <row r="5963" s="5" customFormat="1" customHeight="1" spans="1:25">
      <c r="A5963" s="22" t="s">
        <v>61</v>
      </c>
      <c r="B5963" s="22" t="s">
        <v>7422</v>
      </c>
      <c r="C5963" s="22" t="s">
        <v>3237</v>
      </c>
      <c r="D5963" s="22" t="s">
        <v>85</v>
      </c>
      <c r="E5963" s="23" t="s">
        <v>3238</v>
      </c>
      <c r="F5963" s="24" t="s">
        <v>7523</v>
      </c>
      <c r="G5963" s="24" t="s">
        <v>88</v>
      </c>
      <c r="H5963" s="25" t="s">
        <v>7524</v>
      </c>
      <c r="I5963" s="46" t="e">
        <f>VLOOKUP(H5963,'合同高级查询数据-4月返'!A:A,1,FALSE)</f>
        <v>#N/A</v>
      </c>
      <c r="J5963" s="47" t="s">
        <v>90</v>
      </c>
      <c r="K5963" s="46" t="s">
        <v>7525</v>
      </c>
      <c r="L5963" s="22"/>
      <c r="M5963" s="475" t="s">
        <v>7526</v>
      </c>
      <c r="N5963" s="506">
        <v>45041</v>
      </c>
      <c r="O5963" s="22" t="s">
        <v>503</v>
      </c>
      <c r="P5963" s="501">
        <v>4900</v>
      </c>
      <c r="Q5963" s="70">
        <v>3</v>
      </c>
      <c r="R5963" s="52">
        <f>ROUND(P5963*Q5963*6/30,2)</f>
        <v>2940</v>
      </c>
      <c r="S5963" s="47">
        <v>202304</v>
      </c>
      <c r="T5963" s="503" t="s">
        <v>7560</v>
      </c>
      <c r="U5963" s="97"/>
      <c r="V5963" s="453"/>
      <c r="W5963" s="97"/>
      <c r="X5963" s="50">
        <v>44805</v>
      </c>
      <c r="Y5963" s="50">
        <v>46630</v>
      </c>
    </row>
    <row r="5964" s="5" customFormat="1" customHeight="1" spans="1:25">
      <c r="A5964" s="22" t="s">
        <v>61</v>
      </c>
      <c r="B5964" s="22" t="s">
        <v>7422</v>
      </c>
      <c r="C5964" s="22" t="s">
        <v>3237</v>
      </c>
      <c r="D5964" s="22" t="s">
        <v>85</v>
      </c>
      <c r="E5964" s="23" t="s">
        <v>3238</v>
      </c>
      <c r="F5964" s="24" t="s">
        <v>7523</v>
      </c>
      <c r="G5964" s="24" t="s">
        <v>88</v>
      </c>
      <c r="H5964" s="25" t="s">
        <v>7524</v>
      </c>
      <c r="I5964" s="46" t="e">
        <f>VLOOKUP(H5964,'合同高级查询数据-4月返'!A:A,1,FALSE)</f>
        <v>#N/A</v>
      </c>
      <c r="J5964" s="47" t="s">
        <v>90</v>
      </c>
      <c r="K5964" s="46" t="s">
        <v>7525</v>
      </c>
      <c r="L5964" s="22"/>
      <c r="M5964" s="475" t="s">
        <v>7526</v>
      </c>
      <c r="N5964" s="506">
        <v>45041</v>
      </c>
      <c r="O5964" s="22" t="s">
        <v>507</v>
      </c>
      <c r="P5964" s="501">
        <v>9825</v>
      </c>
      <c r="Q5964" s="70">
        <v>55</v>
      </c>
      <c r="R5964" s="52">
        <f>ROUND(P5964*Q5964*6/30,2)</f>
        <v>108075</v>
      </c>
      <c r="S5964" s="47">
        <v>202304</v>
      </c>
      <c r="T5964" s="503" t="s">
        <v>7561</v>
      </c>
      <c r="U5964" s="97"/>
      <c r="V5964" s="453"/>
      <c r="W5964" s="97"/>
      <c r="X5964" s="50">
        <v>44805</v>
      </c>
      <c r="Y5964" s="50">
        <v>46630</v>
      </c>
    </row>
    <row r="5965" s="5" customFormat="1" customHeight="1" spans="1:25">
      <c r="A5965" s="22" t="s">
        <v>61</v>
      </c>
      <c r="B5965" s="22" t="s">
        <v>7422</v>
      </c>
      <c r="C5965" s="22" t="s">
        <v>3237</v>
      </c>
      <c r="D5965" s="22" t="s">
        <v>85</v>
      </c>
      <c r="E5965" s="23" t="s">
        <v>3238</v>
      </c>
      <c r="F5965" s="24" t="s">
        <v>7523</v>
      </c>
      <c r="G5965" s="24" t="s">
        <v>88</v>
      </c>
      <c r="H5965" s="25" t="s">
        <v>7524</v>
      </c>
      <c r="I5965" s="46" t="e">
        <f>VLOOKUP(H5965,'合同高级查询数据-4月返'!A:A,1,FALSE)</f>
        <v>#N/A</v>
      </c>
      <c r="J5965" s="47" t="s">
        <v>6452</v>
      </c>
      <c r="K5965" s="46" t="s">
        <v>7525</v>
      </c>
      <c r="L5965" s="22"/>
      <c r="M5965" s="475" t="s">
        <v>7526</v>
      </c>
      <c r="N5965" s="50"/>
      <c r="O5965" s="22"/>
      <c r="P5965" s="501">
        <v>245</v>
      </c>
      <c r="Q5965" s="70">
        <v>0</v>
      </c>
      <c r="R5965" s="52">
        <f t="shared" si="179"/>
        <v>0</v>
      </c>
      <c r="S5965" s="47">
        <v>202304</v>
      </c>
      <c r="T5965" s="123" t="s">
        <v>7562</v>
      </c>
      <c r="U5965" s="97"/>
      <c r="V5965" s="453"/>
      <c r="W5965" s="97"/>
      <c r="X5965" s="50">
        <v>44805</v>
      </c>
      <c r="Y5965" s="50">
        <v>46630</v>
      </c>
    </row>
    <row r="5966" s="3" customFormat="1" customHeight="1" spans="1:25">
      <c r="A5966" s="35" t="s">
        <v>61</v>
      </c>
      <c r="B5966" s="35" t="s">
        <v>7422</v>
      </c>
      <c r="C5966" s="35" t="s">
        <v>3237</v>
      </c>
      <c r="D5966" s="35" t="s">
        <v>85</v>
      </c>
      <c r="E5966" s="13" t="s">
        <v>3238</v>
      </c>
      <c r="F5966" s="11" t="s">
        <v>7523</v>
      </c>
      <c r="G5966" s="11" t="s">
        <v>88</v>
      </c>
      <c r="H5966" s="110" t="s">
        <v>7563</v>
      </c>
      <c r="I5966" s="30" t="e">
        <f>VLOOKUP(H5966,'合同高级查询数据-4月返'!A:A,1,FALSE)</f>
        <v>#N/A</v>
      </c>
      <c r="J5966" s="31" t="s">
        <v>90</v>
      </c>
      <c r="K5966" s="30" t="s">
        <v>7564</v>
      </c>
      <c r="L5966" s="35"/>
      <c r="M5966" s="470"/>
      <c r="N5966" s="507">
        <v>45041</v>
      </c>
      <c r="O5966" s="35" t="s">
        <v>503</v>
      </c>
      <c r="P5966" s="508">
        <v>4900</v>
      </c>
      <c r="Q5966" s="459">
        <v>5</v>
      </c>
      <c r="R5966" s="465">
        <f>ROUND(P5966*Q5966*6/30,2)</f>
        <v>4900</v>
      </c>
      <c r="S5966" s="31">
        <v>202304</v>
      </c>
      <c r="T5966" s="472" t="s">
        <v>7565</v>
      </c>
      <c r="U5966" s="104"/>
      <c r="V5966" s="438"/>
      <c r="W5966" s="104"/>
      <c r="X5966" s="34"/>
      <c r="Y5966" s="34"/>
    </row>
    <row r="5967" s="3" customFormat="1" customHeight="1" spans="1:25">
      <c r="A5967" s="35" t="s">
        <v>61</v>
      </c>
      <c r="B5967" s="35" t="s">
        <v>7422</v>
      </c>
      <c r="C5967" s="35" t="s">
        <v>3237</v>
      </c>
      <c r="D5967" s="35" t="s">
        <v>85</v>
      </c>
      <c r="E5967" s="13" t="s">
        <v>3238</v>
      </c>
      <c r="F5967" s="11" t="s">
        <v>7523</v>
      </c>
      <c r="G5967" s="11" t="s">
        <v>88</v>
      </c>
      <c r="H5967" s="110" t="s">
        <v>7563</v>
      </c>
      <c r="I5967" s="30" t="e">
        <f>VLOOKUP(H5967,'合同高级查询数据-4月返'!A:A,1,FALSE)</f>
        <v>#N/A</v>
      </c>
      <c r="J5967" s="31" t="s">
        <v>90</v>
      </c>
      <c r="K5967" s="30" t="s">
        <v>7564</v>
      </c>
      <c r="L5967" s="35"/>
      <c r="M5967" s="470"/>
      <c r="N5967" s="507">
        <v>45041</v>
      </c>
      <c r="O5967" s="35" t="s">
        <v>507</v>
      </c>
      <c r="P5967" s="508">
        <v>9825</v>
      </c>
      <c r="Q5967" s="459">
        <v>26</v>
      </c>
      <c r="R5967" s="465">
        <f>ROUND(P5967*Q5967*6/30,2)</f>
        <v>51090</v>
      </c>
      <c r="S5967" s="31">
        <v>202304</v>
      </c>
      <c r="T5967" s="472" t="s">
        <v>7566</v>
      </c>
      <c r="U5967" s="104"/>
      <c r="V5967" s="438"/>
      <c r="W5967" s="104"/>
      <c r="X5967" s="34"/>
      <c r="Y5967" s="34"/>
    </row>
    <row r="5968" s="3" customFormat="1" customHeight="1" spans="1:25">
      <c r="A5968" s="35" t="s">
        <v>61</v>
      </c>
      <c r="B5968" s="35" t="s">
        <v>7422</v>
      </c>
      <c r="C5968" s="35" t="s">
        <v>3237</v>
      </c>
      <c r="D5968" s="35" t="s">
        <v>85</v>
      </c>
      <c r="E5968" s="13" t="s">
        <v>3238</v>
      </c>
      <c r="F5968" s="11" t="s">
        <v>7523</v>
      </c>
      <c r="G5968" s="11" t="s">
        <v>88</v>
      </c>
      <c r="H5968" s="110" t="s">
        <v>7563</v>
      </c>
      <c r="I5968" s="30" t="e">
        <f>VLOOKUP(H5968,'合同高级查询数据-4月返'!A:A,1,FALSE)</f>
        <v>#N/A</v>
      </c>
      <c r="J5968" s="31" t="s">
        <v>90</v>
      </c>
      <c r="K5968" s="30" t="s">
        <v>7564</v>
      </c>
      <c r="L5968" s="35"/>
      <c r="M5968" s="470"/>
      <c r="N5968" s="34">
        <v>45042</v>
      </c>
      <c r="O5968" s="35" t="s">
        <v>507</v>
      </c>
      <c r="P5968" s="508">
        <v>9825</v>
      </c>
      <c r="Q5968" s="459">
        <v>2</v>
      </c>
      <c r="R5968" s="465">
        <f>ROUND(P5968*Q5968*5/30,2)</f>
        <v>3275</v>
      </c>
      <c r="S5968" s="31">
        <v>202304</v>
      </c>
      <c r="T5968" s="472" t="s">
        <v>7567</v>
      </c>
      <c r="U5968" s="104"/>
      <c r="V5968" s="438"/>
      <c r="W5968" s="104"/>
      <c r="X5968" s="34"/>
      <c r="Y5968" s="34"/>
    </row>
    <row r="5969" s="5" customFormat="1" customHeight="1" spans="1:25">
      <c r="A5969" s="22" t="s">
        <v>61</v>
      </c>
      <c r="B5969" s="22" t="s">
        <v>7422</v>
      </c>
      <c r="C5969" s="22" t="s">
        <v>3237</v>
      </c>
      <c r="D5969" s="22" t="s">
        <v>6301</v>
      </c>
      <c r="E5969" s="23" t="s">
        <v>7568</v>
      </c>
      <c r="F5969" s="24" t="s">
        <v>7569</v>
      </c>
      <c r="G5969" s="24" t="s">
        <v>78</v>
      </c>
      <c r="H5969" s="25" t="s">
        <v>7570</v>
      </c>
      <c r="I5969" s="46" t="e">
        <f>VLOOKUP(H5969,'合同高级查询数据-4月返'!A:A,1,FALSE)</f>
        <v>#N/A</v>
      </c>
      <c r="J5969" s="47" t="s">
        <v>80</v>
      </c>
      <c r="K5969" s="22" t="s">
        <v>7571</v>
      </c>
      <c r="L5969" s="22"/>
      <c r="M5969" s="475"/>
      <c r="N5969" s="50">
        <v>44827</v>
      </c>
      <c r="O5969" s="22"/>
      <c r="P5969" s="501">
        <v>1000</v>
      </c>
      <c r="Q5969" s="70">
        <v>2</v>
      </c>
      <c r="R5969" s="52">
        <f t="shared" si="179"/>
        <v>2000</v>
      </c>
      <c r="S5969" s="47">
        <v>202304</v>
      </c>
      <c r="T5969" s="123" t="s">
        <v>7572</v>
      </c>
      <c r="U5969" s="97"/>
      <c r="V5969" s="453"/>
      <c r="W5969" s="97"/>
      <c r="X5969" s="50">
        <v>44562</v>
      </c>
      <c r="Y5969" s="50">
        <v>45291</v>
      </c>
    </row>
    <row r="5970" s="5" customFormat="1" customHeight="1" spans="1:25">
      <c r="A5970" s="24" t="s">
        <v>152</v>
      </c>
      <c r="B5970" s="24" t="s">
        <v>7422</v>
      </c>
      <c r="C5970" s="24" t="s">
        <v>188</v>
      </c>
      <c r="D5970" s="22" t="s">
        <v>28</v>
      </c>
      <c r="E5970" s="23" t="s">
        <v>7573</v>
      </c>
      <c r="F5970" s="24" t="s">
        <v>7574</v>
      </c>
      <c r="G5970" s="24" t="s">
        <v>31</v>
      </c>
      <c r="H5970" s="25" t="s">
        <v>7575</v>
      </c>
      <c r="I5970" s="46" t="e">
        <f>VLOOKUP(H5970,'合同高级查询数据-4月返'!A:A,1,FALSE)</f>
        <v>#N/A</v>
      </c>
      <c r="J5970" s="47" t="s">
        <v>33</v>
      </c>
      <c r="K5970" s="24" t="s">
        <v>7576</v>
      </c>
      <c r="L5970" s="109" t="s">
        <v>7577</v>
      </c>
      <c r="M5970" s="49" t="s">
        <v>7578</v>
      </c>
      <c r="N5970" s="50">
        <v>43282</v>
      </c>
      <c r="O5970" s="493" t="s">
        <v>37</v>
      </c>
      <c r="P5970" s="52">
        <v>0</v>
      </c>
      <c r="Q5970" s="70">
        <v>288</v>
      </c>
      <c r="R5970" s="52">
        <f t="shared" si="179"/>
        <v>0</v>
      </c>
      <c r="S5970" s="47">
        <v>202304</v>
      </c>
      <c r="T5970" s="123" t="s">
        <v>7579</v>
      </c>
      <c r="U5970" s="48"/>
      <c r="V5970" s="48"/>
      <c r="W5970" s="48"/>
      <c r="X5970" s="50">
        <v>44652</v>
      </c>
      <c r="Y5970" s="50">
        <v>45016</v>
      </c>
    </row>
    <row r="5971" s="5" customFormat="1" customHeight="1" spans="1:25">
      <c r="A5971" s="24" t="s">
        <v>152</v>
      </c>
      <c r="B5971" s="24" t="s">
        <v>7422</v>
      </c>
      <c r="C5971" s="24" t="s">
        <v>188</v>
      </c>
      <c r="D5971" s="22" t="s">
        <v>28</v>
      </c>
      <c r="E5971" s="23" t="s">
        <v>7573</v>
      </c>
      <c r="F5971" s="24" t="s">
        <v>7574</v>
      </c>
      <c r="G5971" s="24" t="s">
        <v>31</v>
      </c>
      <c r="H5971" s="25" t="s">
        <v>7575</v>
      </c>
      <c r="I5971" s="46" t="e">
        <f>VLOOKUP(H5971,'合同高级查询数据-4月返'!A:A,1,FALSE)</f>
        <v>#N/A</v>
      </c>
      <c r="J5971" s="47" t="s">
        <v>33</v>
      </c>
      <c r="K5971" s="24" t="s">
        <v>7576</v>
      </c>
      <c r="L5971" s="109" t="s">
        <v>7577</v>
      </c>
      <c r="M5971" s="49" t="s">
        <v>7578</v>
      </c>
      <c r="N5971" s="50">
        <v>44985</v>
      </c>
      <c r="O5971" s="493" t="s">
        <v>37</v>
      </c>
      <c r="P5971" s="52">
        <v>0</v>
      </c>
      <c r="Q5971" s="70">
        <v>-288</v>
      </c>
      <c r="R5971" s="52">
        <f t="shared" si="179"/>
        <v>0</v>
      </c>
      <c r="S5971" s="47">
        <v>202304</v>
      </c>
      <c r="T5971" s="123" t="s">
        <v>7580</v>
      </c>
      <c r="U5971" s="48"/>
      <c r="V5971" s="48"/>
      <c r="W5971" s="48"/>
      <c r="X5971" s="50">
        <v>44652</v>
      </c>
      <c r="Y5971" s="50">
        <v>45016</v>
      </c>
    </row>
    <row r="5972" s="5" customFormat="1" customHeight="1" spans="1:25">
      <c r="A5972" s="24" t="s">
        <v>152</v>
      </c>
      <c r="B5972" s="24" t="s">
        <v>7422</v>
      </c>
      <c r="C5972" s="24" t="s">
        <v>188</v>
      </c>
      <c r="D5972" s="22" t="s">
        <v>28</v>
      </c>
      <c r="E5972" s="23" t="s">
        <v>7573</v>
      </c>
      <c r="F5972" s="24" t="s">
        <v>7574</v>
      </c>
      <c r="G5972" s="24" t="s">
        <v>31</v>
      </c>
      <c r="H5972" s="25" t="s">
        <v>7575</v>
      </c>
      <c r="I5972" s="46" t="e">
        <f>VLOOKUP(H5972,'合同高级查询数据-4月返'!A:A,1,FALSE)</f>
        <v>#N/A</v>
      </c>
      <c r="J5972" s="47" t="s">
        <v>33</v>
      </c>
      <c r="K5972" s="24" t="s">
        <v>7576</v>
      </c>
      <c r="L5972" s="109" t="s">
        <v>7577</v>
      </c>
      <c r="M5972" s="49" t="s">
        <v>7578</v>
      </c>
      <c r="N5972" s="50"/>
      <c r="O5972" s="493" t="s">
        <v>179</v>
      </c>
      <c r="P5972" s="52">
        <v>0</v>
      </c>
      <c r="Q5972" s="70">
        <v>0</v>
      </c>
      <c r="R5972" s="52">
        <f t="shared" ref="R5972:R6037" si="180">ROUND(P5972*Q5972,2)</f>
        <v>0</v>
      </c>
      <c r="S5972" s="47">
        <v>202304</v>
      </c>
      <c r="T5972" s="123" t="s">
        <v>7581</v>
      </c>
      <c r="U5972" s="48"/>
      <c r="V5972" s="48"/>
      <c r="W5972" s="48"/>
      <c r="X5972" s="50">
        <v>44652</v>
      </c>
      <c r="Y5972" s="50">
        <v>45016</v>
      </c>
    </row>
    <row r="5973" s="5" customFormat="1" customHeight="1" spans="1:25">
      <c r="A5973" s="24" t="s">
        <v>152</v>
      </c>
      <c r="B5973" s="24" t="s">
        <v>7422</v>
      </c>
      <c r="C5973" s="24" t="s">
        <v>188</v>
      </c>
      <c r="D5973" s="22" t="s">
        <v>28</v>
      </c>
      <c r="E5973" s="23" t="s">
        <v>7573</v>
      </c>
      <c r="F5973" s="24" t="s">
        <v>7574</v>
      </c>
      <c r="G5973" s="24" t="s">
        <v>88</v>
      </c>
      <c r="H5973" s="25" t="s">
        <v>7575</v>
      </c>
      <c r="I5973" s="46" t="e">
        <f>VLOOKUP(H5973,'合同高级查询数据-4月返'!A:A,1,FALSE)</f>
        <v>#N/A</v>
      </c>
      <c r="J5973" s="47" t="s">
        <v>162</v>
      </c>
      <c r="K5973" s="24" t="s">
        <v>7576</v>
      </c>
      <c r="L5973" s="109" t="s">
        <v>7577</v>
      </c>
      <c r="M5973" s="49" t="s">
        <v>7578</v>
      </c>
      <c r="N5973" s="50">
        <v>43282</v>
      </c>
      <c r="O5973" s="493" t="s">
        <v>92</v>
      </c>
      <c r="P5973" s="52">
        <v>0</v>
      </c>
      <c r="Q5973" s="70">
        <v>7</v>
      </c>
      <c r="R5973" s="52">
        <f t="shared" si="180"/>
        <v>0</v>
      </c>
      <c r="S5973" s="47">
        <v>202304</v>
      </c>
      <c r="T5973" s="123" t="s">
        <v>7582</v>
      </c>
      <c r="U5973" s="48"/>
      <c r="V5973" s="48"/>
      <c r="W5973" s="48"/>
      <c r="X5973" s="50">
        <v>44652</v>
      </c>
      <c r="Y5973" s="50">
        <v>45016</v>
      </c>
    </row>
    <row r="5974" s="5" customFormat="1" customHeight="1" spans="1:25">
      <c r="A5974" s="24" t="s">
        <v>152</v>
      </c>
      <c r="B5974" s="24" t="s">
        <v>7422</v>
      </c>
      <c r="C5974" s="24" t="s">
        <v>188</v>
      </c>
      <c r="D5974" s="22" t="s">
        <v>28</v>
      </c>
      <c r="E5974" s="23" t="s">
        <v>7573</v>
      </c>
      <c r="F5974" s="24" t="s">
        <v>7574</v>
      </c>
      <c r="G5974" s="24" t="s">
        <v>88</v>
      </c>
      <c r="H5974" s="25" t="s">
        <v>7575</v>
      </c>
      <c r="I5974" s="46" t="e">
        <f>VLOOKUP(H5974,'合同高级查询数据-4月返'!A:A,1,FALSE)</f>
        <v>#N/A</v>
      </c>
      <c r="J5974" s="47" t="s">
        <v>162</v>
      </c>
      <c r="K5974" s="24" t="s">
        <v>7576</v>
      </c>
      <c r="L5974" s="109" t="s">
        <v>7577</v>
      </c>
      <c r="M5974" s="49" t="s">
        <v>7578</v>
      </c>
      <c r="N5974" s="50">
        <v>44207</v>
      </c>
      <c r="O5974" s="493" t="s">
        <v>92</v>
      </c>
      <c r="P5974" s="52">
        <v>0</v>
      </c>
      <c r="Q5974" s="70">
        <v>-4</v>
      </c>
      <c r="R5974" s="52">
        <f t="shared" si="180"/>
        <v>0</v>
      </c>
      <c r="S5974" s="47">
        <v>202304</v>
      </c>
      <c r="T5974" s="123" t="s">
        <v>7583</v>
      </c>
      <c r="U5974" s="48"/>
      <c r="V5974" s="48"/>
      <c r="W5974" s="48"/>
      <c r="X5974" s="50">
        <v>44652</v>
      </c>
      <c r="Y5974" s="50">
        <v>45016</v>
      </c>
    </row>
    <row r="5975" s="5" customFormat="1" customHeight="1" spans="1:25">
      <c r="A5975" s="24" t="s">
        <v>152</v>
      </c>
      <c r="B5975" s="24" t="s">
        <v>7422</v>
      </c>
      <c r="C5975" s="24" t="s">
        <v>188</v>
      </c>
      <c r="D5975" s="22" t="s">
        <v>28</v>
      </c>
      <c r="E5975" s="23" t="s">
        <v>7573</v>
      </c>
      <c r="F5975" s="24" t="s">
        <v>7574</v>
      </c>
      <c r="G5975" s="24" t="s">
        <v>88</v>
      </c>
      <c r="H5975" s="25" t="s">
        <v>7575</v>
      </c>
      <c r="I5975" s="46" t="e">
        <f>VLOOKUP(H5975,'合同高级查询数据-4月返'!A:A,1,FALSE)</f>
        <v>#N/A</v>
      </c>
      <c r="J5975" s="47" t="s">
        <v>162</v>
      </c>
      <c r="K5975" s="24" t="s">
        <v>7576</v>
      </c>
      <c r="L5975" s="109" t="s">
        <v>7577</v>
      </c>
      <c r="M5975" s="49" t="s">
        <v>7578</v>
      </c>
      <c r="N5975" s="50">
        <v>44985</v>
      </c>
      <c r="O5975" s="493" t="s">
        <v>92</v>
      </c>
      <c r="P5975" s="52">
        <v>0</v>
      </c>
      <c r="Q5975" s="70">
        <v>-3</v>
      </c>
      <c r="R5975" s="52">
        <f t="shared" si="180"/>
        <v>0</v>
      </c>
      <c r="S5975" s="47">
        <v>202304</v>
      </c>
      <c r="T5975" s="123" t="s">
        <v>7584</v>
      </c>
      <c r="U5975" s="48"/>
      <c r="V5975" s="48"/>
      <c r="W5975" s="48"/>
      <c r="X5975" s="50">
        <v>44652</v>
      </c>
      <c r="Y5975" s="50">
        <v>45016</v>
      </c>
    </row>
    <row r="5976" s="5" customFormat="1" customHeight="1" spans="1:25">
      <c r="A5976" s="24" t="s">
        <v>109</v>
      </c>
      <c r="B5976" s="24" t="s">
        <v>7422</v>
      </c>
      <c r="C5976" s="24" t="s">
        <v>216</v>
      </c>
      <c r="D5976" s="22" t="s">
        <v>7585</v>
      </c>
      <c r="E5976" s="23" t="s">
        <v>7586</v>
      </c>
      <c r="F5976" s="24" t="s">
        <v>7587</v>
      </c>
      <c r="G5976" s="24" t="s">
        <v>31</v>
      </c>
      <c r="H5976" s="25" t="s">
        <v>7588</v>
      </c>
      <c r="I5976" s="46" t="e">
        <f>VLOOKUP(H5976,'合同高级查询数据-4月返'!A:A,1,FALSE)</f>
        <v>#N/A</v>
      </c>
      <c r="J5976" s="47" t="s">
        <v>33</v>
      </c>
      <c r="K5976" s="24" t="s">
        <v>7589</v>
      </c>
      <c r="L5976" s="109" t="s">
        <v>7589</v>
      </c>
      <c r="M5976" s="49" t="s">
        <v>7590</v>
      </c>
      <c r="N5976" s="229" t="s">
        <v>7591</v>
      </c>
      <c r="O5976" s="239" t="s">
        <v>37</v>
      </c>
      <c r="P5976" s="52">
        <v>0</v>
      </c>
      <c r="Q5976" s="70">
        <v>1434</v>
      </c>
      <c r="R5976" s="52">
        <f t="shared" si="180"/>
        <v>0</v>
      </c>
      <c r="S5976" s="47">
        <v>202304</v>
      </c>
      <c r="T5976" s="123" t="s">
        <v>7592</v>
      </c>
      <c r="U5976" s="48"/>
      <c r="V5976" s="48"/>
      <c r="W5976" s="48"/>
      <c r="X5976" s="50">
        <v>44013</v>
      </c>
      <c r="Y5976" s="50">
        <v>44255</v>
      </c>
    </row>
    <row r="5977" s="5" customFormat="1" customHeight="1" spans="1:25">
      <c r="A5977" s="24" t="s">
        <v>109</v>
      </c>
      <c r="B5977" s="24" t="s">
        <v>7422</v>
      </c>
      <c r="C5977" s="24" t="s">
        <v>216</v>
      </c>
      <c r="D5977" s="22" t="s">
        <v>7585</v>
      </c>
      <c r="E5977" s="23" t="s">
        <v>7586</v>
      </c>
      <c r="F5977" s="24" t="s">
        <v>7587</v>
      </c>
      <c r="G5977" s="24" t="s">
        <v>31</v>
      </c>
      <c r="H5977" s="25" t="s">
        <v>7588</v>
      </c>
      <c r="I5977" s="46" t="e">
        <f>VLOOKUP(H5977,'合同高级查询数据-4月返'!A:A,1,FALSE)</f>
        <v>#N/A</v>
      </c>
      <c r="J5977" s="47" t="s">
        <v>33</v>
      </c>
      <c r="K5977" s="24" t="s">
        <v>218</v>
      </c>
      <c r="L5977" s="109"/>
      <c r="M5977" s="22" t="s">
        <v>7590</v>
      </c>
      <c r="N5977" s="229">
        <v>44089</v>
      </c>
      <c r="O5977" s="239" t="s">
        <v>37</v>
      </c>
      <c r="P5977" s="52">
        <v>0</v>
      </c>
      <c r="Q5977" s="70">
        <v>-256</v>
      </c>
      <c r="R5977" s="52">
        <f t="shared" si="180"/>
        <v>0</v>
      </c>
      <c r="S5977" s="47">
        <v>202304</v>
      </c>
      <c r="T5977" s="123" t="s">
        <v>7593</v>
      </c>
      <c r="U5977" s="48"/>
      <c r="V5977" s="48"/>
      <c r="W5977" s="48"/>
      <c r="X5977" s="50">
        <v>44013</v>
      </c>
      <c r="Y5977" s="50">
        <v>44255</v>
      </c>
    </row>
    <row r="5978" s="5" customFormat="1" customHeight="1" spans="1:25">
      <c r="A5978" s="24" t="s">
        <v>109</v>
      </c>
      <c r="B5978" s="24" t="s">
        <v>7422</v>
      </c>
      <c r="C5978" s="24" t="s">
        <v>216</v>
      </c>
      <c r="D5978" s="22" t="s">
        <v>7585</v>
      </c>
      <c r="E5978" s="23" t="s">
        <v>7586</v>
      </c>
      <c r="F5978" s="24" t="s">
        <v>7587</v>
      </c>
      <c r="G5978" s="24" t="s">
        <v>31</v>
      </c>
      <c r="H5978" s="25" t="s">
        <v>7588</v>
      </c>
      <c r="I5978" s="46" t="e">
        <f>VLOOKUP(H5978,'合同高级查询数据-4月返'!A:A,1,FALSE)</f>
        <v>#N/A</v>
      </c>
      <c r="J5978" s="47" t="s">
        <v>33</v>
      </c>
      <c r="K5978" s="24" t="s">
        <v>218</v>
      </c>
      <c r="L5978" s="109"/>
      <c r="M5978" s="22" t="s">
        <v>7590</v>
      </c>
      <c r="N5978" s="229">
        <v>44089</v>
      </c>
      <c r="O5978" s="239" t="s">
        <v>37</v>
      </c>
      <c r="P5978" s="52">
        <v>0</v>
      </c>
      <c r="Q5978" s="70">
        <v>-32</v>
      </c>
      <c r="R5978" s="52">
        <f t="shared" si="180"/>
        <v>0</v>
      </c>
      <c r="S5978" s="47">
        <v>202304</v>
      </c>
      <c r="T5978" s="123" t="s">
        <v>7594</v>
      </c>
      <c r="U5978" s="48"/>
      <c r="V5978" s="48"/>
      <c r="W5978" s="48"/>
      <c r="X5978" s="50">
        <v>44013</v>
      </c>
      <c r="Y5978" s="50">
        <v>44255</v>
      </c>
    </row>
    <row r="5979" s="5" customFormat="1" customHeight="1" spans="1:25">
      <c r="A5979" s="24" t="s">
        <v>109</v>
      </c>
      <c r="B5979" s="24" t="s">
        <v>7422</v>
      </c>
      <c r="C5979" s="24" t="s">
        <v>216</v>
      </c>
      <c r="D5979" s="22" t="s">
        <v>7585</v>
      </c>
      <c r="E5979" s="23" t="s">
        <v>7586</v>
      </c>
      <c r="F5979" s="24" t="s">
        <v>7587</v>
      </c>
      <c r="G5979" s="24" t="s">
        <v>31</v>
      </c>
      <c r="H5979" s="25" t="s">
        <v>7588</v>
      </c>
      <c r="I5979" s="46" t="e">
        <f>VLOOKUP(H5979,'合同高级查询数据-4月返'!A:A,1,FALSE)</f>
        <v>#N/A</v>
      </c>
      <c r="J5979" s="47" t="s">
        <v>33</v>
      </c>
      <c r="K5979" s="24" t="s">
        <v>218</v>
      </c>
      <c r="L5979" s="109"/>
      <c r="M5979" s="475"/>
      <c r="N5979" s="229"/>
      <c r="O5979" s="22" t="s">
        <v>179</v>
      </c>
      <c r="P5979" s="52">
        <v>0</v>
      </c>
      <c r="Q5979" s="70">
        <v>0</v>
      </c>
      <c r="R5979" s="52">
        <f t="shared" si="180"/>
        <v>0</v>
      </c>
      <c r="S5979" s="47">
        <v>202304</v>
      </c>
      <c r="T5979" s="123" t="s">
        <v>7595</v>
      </c>
      <c r="U5979" s="48"/>
      <c r="V5979" s="48"/>
      <c r="W5979" s="48"/>
      <c r="X5979" s="50">
        <v>44013</v>
      </c>
      <c r="Y5979" s="50">
        <v>44255</v>
      </c>
    </row>
    <row r="5980" s="5" customFormat="1" customHeight="1" spans="1:25">
      <c r="A5980" s="24" t="s">
        <v>109</v>
      </c>
      <c r="B5980" s="24" t="s">
        <v>7422</v>
      </c>
      <c r="C5980" s="24" t="s">
        <v>216</v>
      </c>
      <c r="D5980" s="22" t="s">
        <v>7585</v>
      </c>
      <c r="E5980" s="23" t="s">
        <v>7586</v>
      </c>
      <c r="F5980" s="24" t="s">
        <v>7587</v>
      </c>
      <c r="G5980" s="24" t="s">
        <v>31</v>
      </c>
      <c r="H5980" s="25" t="s">
        <v>7588</v>
      </c>
      <c r="I5980" s="46" t="e">
        <f>VLOOKUP(H5980,'合同高级查询数据-4月返'!A:A,1,FALSE)</f>
        <v>#N/A</v>
      </c>
      <c r="J5980" s="47" t="s">
        <v>33</v>
      </c>
      <c r="K5980" s="24" t="s">
        <v>218</v>
      </c>
      <c r="L5980" s="109"/>
      <c r="M5980" s="475"/>
      <c r="N5980" s="229">
        <v>44089</v>
      </c>
      <c r="O5980" s="22" t="s">
        <v>179</v>
      </c>
      <c r="P5980" s="52">
        <v>0</v>
      </c>
      <c r="Q5980" s="70">
        <v>0</v>
      </c>
      <c r="R5980" s="52">
        <f t="shared" si="180"/>
        <v>0</v>
      </c>
      <c r="S5980" s="47">
        <v>202304</v>
      </c>
      <c r="T5980" s="123" t="s">
        <v>7596</v>
      </c>
      <c r="U5980" s="48"/>
      <c r="V5980" s="48"/>
      <c r="W5980" s="48"/>
      <c r="X5980" s="50">
        <v>44013</v>
      </c>
      <c r="Y5980" s="50">
        <v>44255</v>
      </c>
    </row>
    <row r="5981" s="5" customFormat="1" customHeight="1" spans="1:25">
      <c r="A5981" s="24" t="s">
        <v>109</v>
      </c>
      <c r="B5981" s="24" t="s">
        <v>7422</v>
      </c>
      <c r="C5981" s="24" t="s">
        <v>216</v>
      </c>
      <c r="D5981" s="22" t="s">
        <v>7585</v>
      </c>
      <c r="E5981" s="23" t="s">
        <v>7586</v>
      </c>
      <c r="F5981" s="24" t="s">
        <v>7587</v>
      </c>
      <c r="G5981" s="24" t="s">
        <v>88</v>
      </c>
      <c r="H5981" s="25" t="s">
        <v>7588</v>
      </c>
      <c r="I5981" s="46" t="e">
        <f>VLOOKUP(H5981,'合同高级查询数据-4月返'!A:A,1,FALSE)</f>
        <v>#N/A</v>
      </c>
      <c r="J5981" s="47" t="s">
        <v>162</v>
      </c>
      <c r="K5981" s="24" t="s">
        <v>218</v>
      </c>
      <c r="L5981" s="109"/>
      <c r="M5981" s="22" t="s">
        <v>5303</v>
      </c>
      <c r="N5981" s="229">
        <v>43199</v>
      </c>
      <c r="O5981" s="241" t="s">
        <v>163</v>
      </c>
      <c r="P5981" s="52">
        <v>5000</v>
      </c>
      <c r="Q5981" s="70">
        <v>8</v>
      </c>
      <c r="R5981" s="52">
        <f t="shared" si="180"/>
        <v>40000</v>
      </c>
      <c r="S5981" s="47">
        <v>202304</v>
      </c>
      <c r="T5981" s="123"/>
      <c r="U5981" s="48"/>
      <c r="V5981" s="48"/>
      <c r="W5981" s="48"/>
      <c r="X5981" s="50">
        <v>44013</v>
      </c>
      <c r="Y5981" s="50">
        <v>44255</v>
      </c>
    </row>
    <row r="5982" s="5" customFormat="1" customHeight="1" spans="1:25">
      <c r="A5982" s="24" t="s">
        <v>109</v>
      </c>
      <c r="B5982" s="24" t="s">
        <v>7422</v>
      </c>
      <c r="C5982" s="24" t="s">
        <v>216</v>
      </c>
      <c r="D5982" s="22" t="s">
        <v>7585</v>
      </c>
      <c r="E5982" s="23" t="s">
        <v>7586</v>
      </c>
      <c r="F5982" s="24" t="s">
        <v>7587</v>
      </c>
      <c r="G5982" s="24" t="s">
        <v>88</v>
      </c>
      <c r="H5982" s="25" t="s">
        <v>7588</v>
      </c>
      <c r="I5982" s="46" t="e">
        <f>VLOOKUP(H5982,'合同高级查询数据-4月返'!A:A,1,FALSE)</f>
        <v>#N/A</v>
      </c>
      <c r="J5982" s="47" t="s">
        <v>162</v>
      </c>
      <c r="K5982" s="24" t="s">
        <v>218</v>
      </c>
      <c r="L5982" s="109"/>
      <c r="M5982" s="22" t="s">
        <v>7590</v>
      </c>
      <c r="N5982" s="229">
        <v>43307</v>
      </c>
      <c r="O5982" s="241" t="s">
        <v>163</v>
      </c>
      <c r="P5982" s="52">
        <v>5000</v>
      </c>
      <c r="Q5982" s="70">
        <v>12</v>
      </c>
      <c r="R5982" s="52">
        <f t="shared" si="180"/>
        <v>60000</v>
      </c>
      <c r="S5982" s="47">
        <v>202304</v>
      </c>
      <c r="T5982" s="123" t="s">
        <v>7597</v>
      </c>
      <c r="U5982" s="48"/>
      <c r="V5982" s="48"/>
      <c r="W5982" s="48"/>
      <c r="X5982" s="50">
        <v>44013</v>
      </c>
      <c r="Y5982" s="50">
        <v>44255</v>
      </c>
    </row>
    <row r="5983" s="5" customFormat="1" customHeight="1" spans="1:25">
      <c r="A5983" s="24" t="s">
        <v>109</v>
      </c>
      <c r="B5983" s="24" t="s">
        <v>7422</v>
      </c>
      <c r="C5983" s="24" t="s">
        <v>216</v>
      </c>
      <c r="D5983" s="22" t="s">
        <v>7585</v>
      </c>
      <c r="E5983" s="23" t="s">
        <v>7586</v>
      </c>
      <c r="F5983" s="24" t="s">
        <v>7587</v>
      </c>
      <c r="G5983" s="24" t="s">
        <v>88</v>
      </c>
      <c r="H5983" s="25" t="s">
        <v>7588</v>
      </c>
      <c r="I5983" s="46" t="e">
        <f>VLOOKUP(H5983,'合同高级查询数据-4月返'!A:A,1,FALSE)</f>
        <v>#N/A</v>
      </c>
      <c r="J5983" s="47" t="s">
        <v>162</v>
      </c>
      <c r="K5983" s="24" t="s">
        <v>218</v>
      </c>
      <c r="L5983" s="109"/>
      <c r="M5983" s="22" t="s">
        <v>7590</v>
      </c>
      <c r="N5983" s="229">
        <v>43578</v>
      </c>
      <c r="O5983" s="241" t="s">
        <v>163</v>
      </c>
      <c r="P5983" s="52">
        <v>5000</v>
      </c>
      <c r="Q5983" s="70">
        <v>-1</v>
      </c>
      <c r="R5983" s="52">
        <f t="shared" si="180"/>
        <v>-5000</v>
      </c>
      <c r="S5983" s="47">
        <v>202304</v>
      </c>
      <c r="T5983" s="123" t="s">
        <v>7598</v>
      </c>
      <c r="U5983" s="48"/>
      <c r="V5983" s="48"/>
      <c r="W5983" s="48"/>
      <c r="X5983" s="50">
        <v>44013</v>
      </c>
      <c r="Y5983" s="50">
        <v>44255</v>
      </c>
    </row>
    <row r="5984" s="5" customFormat="1" customHeight="1" spans="1:25">
      <c r="A5984" s="24" t="s">
        <v>109</v>
      </c>
      <c r="B5984" s="24" t="s">
        <v>7422</v>
      </c>
      <c r="C5984" s="24" t="s">
        <v>216</v>
      </c>
      <c r="D5984" s="22" t="s">
        <v>7585</v>
      </c>
      <c r="E5984" s="23" t="s">
        <v>7586</v>
      </c>
      <c r="F5984" s="24" t="s">
        <v>7587</v>
      </c>
      <c r="G5984" s="24" t="s">
        <v>88</v>
      </c>
      <c r="H5984" s="25" t="s">
        <v>7588</v>
      </c>
      <c r="I5984" s="46" t="e">
        <f>VLOOKUP(H5984,'合同高级查询数据-4月返'!A:A,1,FALSE)</f>
        <v>#N/A</v>
      </c>
      <c r="J5984" s="47" t="s">
        <v>162</v>
      </c>
      <c r="K5984" s="24" t="s">
        <v>218</v>
      </c>
      <c r="L5984" s="109"/>
      <c r="M5984" s="22" t="s">
        <v>7590</v>
      </c>
      <c r="N5984" s="229">
        <v>44090</v>
      </c>
      <c r="O5984" s="241" t="s">
        <v>163</v>
      </c>
      <c r="P5984" s="52">
        <v>5000</v>
      </c>
      <c r="Q5984" s="70">
        <v>3</v>
      </c>
      <c r="R5984" s="52">
        <f t="shared" si="180"/>
        <v>15000</v>
      </c>
      <c r="S5984" s="47">
        <v>202304</v>
      </c>
      <c r="T5984" s="123" t="s">
        <v>7599</v>
      </c>
      <c r="U5984" s="48"/>
      <c r="V5984" s="48"/>
      <c r="W5984" s="48"/>
      <c r="X5984" s="50">
        <v>44013</v>
      </c>
      <c r="Y5984" s="50">
        <v>44255</v>
      </c>
    </row>
    <row r="5985" s="5" customFormat="1" customHeight="1" spans="1:25">
      <c r="A5985" s="24" t="s">
        <v>109</v>
      </c>
      <c r="B5985" s="24" t="s">
        <v>7422</v>
      </c>
      <c r="C5985" s="24" t="s">
        <v>216</v>
      </c>
      <c r="D5985" s="22" t="s">
        <v>7585</v>
      </c>
      <c r="E5985" s="23" t="s">
        <v>7586</v>
      </c>
      <c r="F5985" s="24" t="s">
        <v>7587</v>
      </c>
      <c r="G5985" s="24" t="s">
        <v>88</v>
      </c>
      <c r="H5985" s="25" t="s">
        <v>7588</v>
      </c>
      <c r="I5985" s="46" t="e">
        <f>VLOOKUP(H5985,'合同高级查询数据-4月返'!A:A,1,FALSE)</f>
        <v>#N/A</v>
      </c>
      <c r="J5985" s="47" t="s">
        <v>162</v>
      </c>
      <c r="K5985" s="24" t="s">
        <v>218</v>
      </c>
      <c r="L5985" s="109"/>
      <c r="M5985" s="22" t="s">
        <v>5303</v>
      </c>
      <c r="N5985" s="229">
        <v>44089</v>
      </c>
      <c r="O5985" s="241" t="s">
        <v>163</v>
      </c>
      <c r="P5985" s="52">
        <v>5000</v>
      </c>
      <c r="Q5985" s="70">
        <v>-8</v>
      </c>
      <c r="R5985" s="52">
        <f t="shared" si="180"/>
        <v>-40000</v>
      </c>
      <c r="S5985" s="47">
        <v>202304</v>
      </c>
      <c r="T5985" s="123" t="s">
        <v>7600</v>
      </c>
      <c r="U5985" s="48"/>
      <c r="V5985" s="48"/>
      <c r="W5985" s="48"/>
      <c r="X5985" s="50">
        <v>44013</v>
      </c>
      <c r="Y5985" s="50">
        <v>44255</v>
      </c>
    </row>
    <row r="5986" s="5" customFormat="1" customHeight="1" spans="1:25">
      <c r="A5986" s="24" t="s">
        <v>109</v>
      </c>
      <c r="B5986" s="24" t="s">
        <v>7422</v>
      </c>
      <c r="C5986" s="24" t="s">
        <v>216</v>
      </c>
      <c r="D5986" s="22" t="s">
        <v>7585</v>
      </c>
      <c r="E5986" s="23" t="s">
        <v>7586</v>
      </c>
      <c r="F5986" s="24" t="s">
        <v>7587</v>
      </c>
      <c r="G5986" s="24" t="s">
        <v>88</v>
      </c>
      <c r="H5986" s="25" t="s">
        <v>7588</v>
      </c>
      <c r="I5986" s="46" t="e">
        <f>VLOOKUP(H5986,'合同高级查询数据-4月返'!A:A,1,FALSE)</f>
        <v>#N/A</v>
      </c>
      <c r="J5986" s="47" t="s">
        <v>162</v>
      </c>
      <c r="K5986" s="24" t="s">
        <v>218</v>
      </c>
      <c r="L5986" s="109"/>
      <c r="M5986" s="22" t="s">
        <v>7590</v>
      </c>
      <c r="N5986" s="229">
        <v>44255</v>
      </c>
      <c r="O5986" s="241" t="s">
        <v>163</v>
      </c>
      <c r="P5986" s="52">
        <v>5000</v>
      </c>
      <c r="Q5986" s="70">
        <v>-14</v>
      </c>
      <c r="R5986" s="52">
        <f t="shared" si="180"/>
        <v>-70000</v>
      </c>
      <c r="S5986" s="47">
        <v>202304</v>
      </c>
      <c r="T5986" s="123"/>
      <c r="U5986" s="48"/>
      <c r="V5986" s="48"/>
      <c r="W5986" s="48"/>
      <c r="X5986" s="50">
        <v>44013</v>
      </c>
      <c r="Y5986" s="50">
        <v>44255</v>
      </c>
    </row>
    <row r="5987" s="5" customFormat="1" customHeight="1" spans="1:25">
      <c r="A5987" s="24" t="s">
        <v>109</v>
      </c>
      <c r="B5987" s="24" t="s">
        <v>7422</v>
      </c>
      <c r="C5987" s="24" t="s">
        <v>216</v>
      </c>
      <c r="D5987" s="22" t="s">
        <v>7585</v>
      </c>
      <c r="E5987" s="23" t="s">
        <v>7601</v>
      </c>
      <c r="F5987" s="24" t="s">
        <v>7602</v>
      </c>
      <c r="G5987" s="24" t="s">
        <v>31</v>
      </c>
      <c r="H5987" s="25" t="s">
        <v>7603</v>
      </c>
      <c r="I5987" s="46" t="e">
        <f>VLOOKUP(H5987,'合同高级查询数据-4月返'!A:A,1,FALSE)</f>
        <v>#N/A</v>
      </c>
      <c r="J5987" s="47" t="s">
        <v>33</v>
      </c>
      <c r="K5987" s="24" t="s">
        <v>7589</v>
      </c>
      <c r="L5987" s="109" t="s">
        <v>7589</v>
      </c>
      <c r="M5987" s="49" t="s">
        <v>7590</v>
      </c>
      <c r="N5987" s="229" t="s">
        <v>7591</v>
      </c>
      <c r="O5987" s="239" t="s">
        <v>37</v>
      </c>
      <c r="P5987" s="52">
        <v>0</v>
      </c>
      <c r="Q5987" s="70">
        <v>640</v>
      </c>
      <c r="R5987" s="52">
        <f t="shared" si="180"/>
        <v>0</v>
      </c>
      <c r="S5987" s="47">
        <v>202304</v>
      </c>
      <c r="T5987" s="123" t="s">
        <v>7604</v>
      </c>
      <c r="U5987" s="48"/>
      <c r="V5987" s="48"/>
      <c r="W5987" s="48"/>
      <c r="X5987" s="50">
        <v>44256</v>
      </c>
      <c r="Y5987" s="50">
        <v>44620</v>
      </c>
    </row>
    <row r="5988" s="5" customFormat="1" customHeight="1" spans="1:25">
      <c r="A5988" s="24" t="s">
        <v>109</v>
      </c>
      <c r="B5988" s="24" t="s">
        <v>7422</v>
      </c>
      <c r="C5988" s="24" t="s">
        <v>216</v>
      </c>
      <c r="D5988" s="22" t="s">
        <v>7585</v>
      </c>
      <c r="E5988" s="23" t="s">
        <v>7601</v>
      </c>
      <c r="F5988" s="24" t="s">
        <v>7602</v>
      </c>
      <c r="G5988" s="24" t="s">
        <v>31</v>
      </c>
      <c r="H5988" s="25" t="s">
        <v>7603</v>
      </c>
      <c r="I5988" s="46" t="e">
        <f>VLOOKUP(H5988,'合同高级查询数据-4月返'!A:A,1,FALSE)</f>
        <v>#N/A</v>
      </c>
      <c r="J5988" s="47" t="s">
        <v>33</v>
      </c>
      <c r="K5988" s="24" t="s">
        <v>218</v>
      </c>
      <c r="L5988" s="109"/>
      <c r="M5988" s="475"/>
      <c r="N5988" s="229"/>
      <c r="O5988" s="22" t="s">
        <v>179</v>
      </c>
      <c r="P5988" s="52">
        <v>0</v>
      </c>
      <c r="Q5988" s="70">
        <v>0</v>
      </c>
      <c r="R5988" s="52">
        <f t="shared" si="180"/>
        <v>0</v>
      </c>
      <c r="S5988" s="47">
        <v>202304</v>
      </c>
      <c r="T5988" s="123" t="s">
        <v>7595</v>
      </c>
      <c r="U5988" s="48"/>
      <c r="V5988" s="48"/>
      <c r="W5988" s="48"/>
      <c r="X5988" s="50">
        <v>44256</v>
      </c>
      <c r="Y5988" s="50">
        <v>44620</v>
      </c>
    </row>
    <row r="5989" s="5" customFormat="1" customHeight="1" spans="1:25">
      <c r="A5989" s="24" t="s">
        <v>109</v>
      </c>
      <c r="B5989" s="24" t="s">
        <v>7422</v>
      </c>
      <c r="C5989" s="24" t="s">
        <v>216</v>
      </c>
      <c r="D5989" s="22" t="s">
        <v>7585</v>
      </c>
      <c r="E5989" s="23" t="s">
        <v>7601</v>
      </c>
      <c r="F5989" s="24" t="s">
        <v>7602</v>
      </c>
      <c r="G5989" s="24" t="s">
        <v>31</v>
      </c>
      <c r="H5989" s="25" t="s">
        <v>7603</v>
      </c>
      <c r="I5989" s="46" t="e">
        <f>VLOOKUP(H5989,'合同高级查询数据-4月返'!A:A,1,FALSE)</f>
        <v>#N/A</v>
      </c>
      <c r="J5989" s="47" t="s">
        <v>33</v>
      </c>
      <c r="K5989" s="24" t="s">
        <v>218</v>
      </c>
      <c r="L5989" s="109"/>
      <c r="M5989" s="475"/>
      <c r="N5989" s="229">
        <v>44089</v>
      </c>
      <c r="O5989" s="22" t="s">
        <v>179</v>
      </c>
      <c r="P5989" s="52">
        <v>0</v>
      </c>
      <c r="Q5989" s="70">
        <v>0</v>
      </c>
      <c r="R5989" s="52">
        <f t="shared" si="180"/>
        <v>0</v>
      </c>
      <c r="S5989" s="47">
        <v>202304</v>
      </c>
      <c r="T5989" s="123" t="s">
        <v>7596</v>
      </c>
      <c r="U5989" s="48"/>
      <c r="V5989" s="48"/>
      <c r="W5989" s="48"/>
      <c r="X5989" s="50">
        <v>44256</v>
      </c>
      <c r="Y5989" s="50">
        <v>44620</v>
      </c>
    </row>
    <row r="5990" s="5" customFormat="1" customHeight="1" spans="1:25">
      <c r="A5990" s="24" t="s">
        <v>109</v>
      </c>
      <c r="B5990" s="24" t="s">
        <v>7422</v>
      </c>
      <c r="C5990" s="24" t="s">
        <v>216</v>
      </c>
      <c r="D5990" s="22" t="s">
        <v>7585</v>
      </c>
      <c r="E5990" s="23" t="s">
        <v>7601</v>
      </c>
      <c r="F5990" s="24" t="s">
        <v>7602</v>
      </c>
      <c r="G5990" s="24" t="s">
        <v>88</v>
      </c>
      <c r="H5990" s="25" t="s">
        <v>7603</v>
      </c>
      <c r="I5990" s="46" t="e">
        <f>VLOOKUP(H5990,'合同高级查询数据-4月返'!A:A,1,FALSE)</f>
        <v>#N/A</v>
      </c>
      <c r="J5990" s="47" t="s">
        <v>162</v>
      </c>
      <c r="K5990" s="24" t="s">
        <v>218</v>
      </c>
      <c r="L5990" s="109"/>
      <c r="M5990" s="22" t="s">
        <v>5303</v>
      </c>
      <c r="N5990" s="229">
        <v>43199</v>
      </c>
      <c r="O5990" s="241" t="s">
        <v>163</v>
      </c>
      <c r="P5990" s="52">
        <v>5000</v>
      </c>
      <c r="Q5990" s="70">
        <v>8</v>
      </c>
      <c r="R5990" s="52">
        <f t="shared" si="180"/>
        <v>40000</v>
      </c>
      <c r="S5990" s="47">
        <v>202304</v>
      </c>
      <c r="T5990" s="123" t="s">
        <v>7597</v>
      </c>
      <c r="U5990" s="48"/>
      <c r="V5990" s="48"/>
      <c r="W5990" s="48"/>
      <c r="X5990" s="50">
        <v>44256</v>
      </c>
      <c r="Y5990" s="50">
        <v>44620</v>
      </c>
    </row>
    <row r="5991" s="5" customFormat="1" customHeight="1" spans="1:25">
      <c r="A5991" s="24" t="s">
        <v>109</v>
      </c>
      <c r="B5991" s="24" t="s">
        <v>7422</v>
      </c>
      <c r="C5991" s="24" t="s">
        <v>216</v>
      </c>
      <c r="D5991" s="22" t="s">
        <v>7585</v>
      </c>
      <c r="E5991" s="23" t="s">
        <v>7601</v>
      </c>
      <c r="F5991" s="24" t="s">
        <v>7602</v>
      </c>
      <c r="G5991" s="24" t="s">
        <v>88</v>
      </c>
      <c r="H5991" s="25" t="s">
        <v>7603</v>
      </c>
      <c r="I5991" s="46" t="e">
        <f>VLOOKUP(H5991,'合同高级查询数据-4月返'!A:A,1,FALSE)</f>
        <v>#N/A</v>
      </c>
      <c r="J5991" s="47" t="s">
        <v>162</v>
      </c>
      <c r="K5991" s="24" t="s">
        <v>218</v>
      </c>
      <c r="L5991" s="109"/>
      <c r="M5991" s="22" t="s">
        <v>7590</v>
      </c>
      <c r="N5991" s="229">
        <v>43307</v>
      </c>
      <c r="O5991" s="241" t="s">
        <v>163</v>
      </c>
      <c r="P5991" s="52">
        <v>5000</v>
      </c>
      <c r="Q5991" s="70">
        <v>12</v>
      </c>
      <c r="R5991" s="52">
        <f t="shared" si="180"/>
        <v>60000</v>
      </c>
      <c r="S5991" s="47">
        <v>202304</v>
      </c>
      <c r="T5991" s="123" t="s">
        <v>7598</v>
      </c>
      <c r="U5991" s="48"/>
      <c r="V5991" s="48"/>
      <c r="W5991" s="48"/>
      <c r="X5991" s="50">
        <v>44256</v>
      </c>
      <c r="Y5991" s="50">
        <v>44620</v>
      </c>
    </row>
    <row r="5992" s="5" customFormat="1" customHeight="1" spans="1:25">
      <c r="A5992" s="24" t="s">
        <v>109</v>
      </c>
      <c r="B5992" s="24" t="s">
        <v>7422</v>
      </c>
      <c r="C5992" s="24" t="s">
        <v>216</v>
      </c>
      <c r="D5992" s="22" t="s">
        <v>7585</v>
      </c>
      <c r="E5992" s="23" t="s">
        <v>7601</v>
      </c>
      <c r="F5992" s="24" t="s">
        <v>7602</v>
      </c>
      <c r="G5992" s="24" t="s">
        <v>88</v>
      </c>
      <c r="H5992" s="25" t="s">
        <v>7603</v>
      </c>
      <c r="I5992" s="46" t="e">
        <f>VLOOKUP(H5992,'合同高级查询数据-4月返'!A:A,1,FALSE)</f>
        <v>#N/A</v>
      </c>
      <c r="J5992" s="47" t="s">
        <v>162</v>
      </c>
      <c r="K5992" s="24" t="s">
        <v>218</v>
      </c>
      <c r="L5992" s="109"/>
      <c r="M5992" s="22" t="s">
        <v>7590</v>
      </c>
      <c r="N5992" s="229">
        <v>43578</v>
      </c>
      <c r="O5992" s="241" t="s">
        <v>163</v>
      </c>
      <c r="P5992" s="52">
        <v>5000</v>
      </c>
      <c r="Q5992" s="70">
        <v>-1</v>
      </c>
      <c r="R5992" s="52">
        <f t="shared" si="180"/>
        <v>-5000</v>
      </c>
      <c r="S5992" s="47">
        <v>202304</v>
      </c>
      <c r="T5992" s="123" t="s">
        <v>7599</v>
      </c>
      <c r="U5992" s="48"/>
      <c r="V5992" s="48"/>
      <c r="W5992" s="48"/>
      <c r="X5992" s="50">
        <v>44256</v>
      </c>
      <c r="Y5992" s="50">
        <v>44620</v>
      </c>
    </row>
    <row r="5993" s="5" customFormat="1" customHeight="1" spans="1:25">
      <c r="A5993" s="24" t="s">
        <v>109</v>
      </c>
      <c r="B5993" s="24" t="s">
        <v>7422</v>
      </c>
      <c r="C5993" s="24" t="s">
        <v>216</v>
      </c>
      <c r="D5993" s="22" t="s">
        <v>7585</v>
      </c>
      <c r="E5993" s="23" t="s">
        <v>7601</v>
      </c>
      <c r="F5993" s="24" t="s">
        <v>7602</v>
      </c>
      <c r="G5993" s="24" t="s">
        <v>88</v>
      </c>
      <c r="H5993" s="25" t="s">
        <v>7603</v>
      </c>
      <c r="I5993" s="46" t="e">
        <f>VLOOKUP(H5993,'合同高级查询数据-4月返'!A:A,1,FALSE)</f>
        <v>#N/A</v>
      </c>
      <c r="J5993" s="47" t="s">
        <v>162</v>
      </c>
      <c r="K5993" s="24" t="s">
        <v>218</v>
      </c>
      <c r="L5993" s="109"/>
      <c r="M5993" s="22" t="s">
        <v>7590</v>
      </c>
      <c r="N5993" s="229">
        <v>44090</v>
      </c>
      <c r="O5993" s="241" t="s">
        <v>163</v>
      </c>
      <c r="P5993" s="52">
        <v>5000</v>
      </c>
      <c r="Q5993" s="70">
        <v>3</v>
      </c>
      <c r="R5993" s="52">
        <f t="shared" si="180"/>
        <v>15000</v>
      </c>
      <c r="S5993" s="47">
        <v>202304</v>
      </c>
      <c r="T5993" s="123" t="s">
        <v>7600</v>
      </c>
      <c r="U5993" s="48"/>
      <c r="V5993" s="48"/>
      <c r="W5993" s="48"/>
      <c r="X5993" s="50">
        <v>44256</v>
      </c>
      <c r="Y5993" s="50">
        <v>44620</v>
      </c>
    </row>
    <row r="5994" s="5" customFormat="1" customHeight="1" spans="1:25">
      <c r="A5994" s="24" t="s">
        <v>109</v>
      </c>
      <c r="B5994" s="24" t="s">
        <v>7422</v>
      </c>
      <c r="C5994" s="24" t="s">
        <v>216</v>
      </c>
      <c r="D5994" s="22" t="s">
        <v>7585</v>
      </c>
      <c r="E5994" s="23" t="s">
        <v>7601</v>
      </c>
      <c r="F5994" s="24" t="s">
        <v>7602</v>
      </c>
      <c r="G5994" s="24" t="s">
        <v>88</v>
      </c>
      <c r="H5994" s="25" t="s">
        <v>7603</v>
      </c>
      <c r="I5994" s="46" t="e">
        <f>VLOOKUP(H5994,'合同高级查询数据-4月返'!A:A,1,FALSE)</f>
        <v>#N/A</v>
      </c>
      <c r="J5994" s="47" t="s">
        <v>162</v>
      </c>
      <c r="K5994" s="24" t="s">
        <v>218</v>
      </c>
      <c r="L5994" s="109"/>
      <c r="M5994" s="22" t="s">
        <v>5303</v>
      </c>
      <c r="N5994" s="229">
        <v>44089</v>
      </c>
      <c r="O5994" s="241" t="s">
        <v>163</v>
      </c>
      <c r="P5994" s="52">
        <v>5000</v>
      </c>
      <c r="Q5994" s="70">
        <v>-8</v>
      </c>
      <c r="R5994" s="52">
        <f t="shared" si="180"/>
        <v>-40000</v>
      </c>
      <c r="S5994" s="47">
        <v>202304</v>
      </c>
      <c r="T5994" s="123"/>
      <c r="U5994" s="48"/>
      <c r="V5994" s="48"/>
      <c r="W5994" s="48"/>
      <c r="X5994" s="50">
        <v>44256</v>
      </c>
      <c r="Y5994" s="50">
        <v>44620</v>
      </c>
    </row>
    <row r="5995" s="5" customFormat="1" customHeight="1" spans="1:25">
      <c r="A5995" s="24" t="s">
        <v>109</v>
      </c>
      <c r="B5995" s="24" t="s">
        <v>7422</v>
      </c>
      <c r="C5995" s="24" t="s">
        <v>216</v>
      </c>
      <c r="D5995" s="22" t="s">
        <v>7585</v>
      </c>
      <c r="E5995" s="23" t="s">
        <v>7601</v>
      </c>
      <c r="F5995" s="24" t="s">
        <v>7602</v>
      </c>
      <c r="G5995" s="24" t="s">
        <v>88</v>
      </c>
      <c r="H5995" s="25" t="s">
        <v>7603</v>
      </c>
      <c r="I5995" s="46" t="e">
        <f>VLOOKUP(H5995,'合同高级查询数据-4月返'!A:A,1,FALSE)</f>
        <v>#N/A</v>
      </c>
      <c r="J5995" s="47" t="s">
        <v>162</v>
      </c>
      <c r="K5995" s="24" t="s">
        <v>218</v>
      </c>
      <c r="L5995" s="109" t="s">
        <v>7605</v>
      </c>
      <c r="M5995" s="22" t="s">
        <v>7590</v>
      </c>
      <c r="N5995" s="229">
        <v>44620</v>
      </c>
      <c r="O5995" s="241" t="s">
        <v>163</v>
      </c>
      <c r="P5995" s="52">
        <v>5000</v>
      </c>
      <c r="Q5995" s="70">
        <v>-8</v>
      </c>
      <c r="R5995" s="52">
        <f t="shared" si="180"/>
        <v>-40000</v>
      </c>
      <c r="S5995" s="47">
        <v>202304</v>
      </c>
      <c r="T5995" s="123" t="s">
        <v>7606</v>
      </c>
      <c r="U5995" s="48"/>
      <c r="V5995" s="48"/>
      <c r="W5995" s="48"/>
      <c r="X5995" s="50">
        <v>44256</v>
      </c>
      <c r="Y5995" s="50">
        <v>44620</v>
      </c>
    </row>
    <row r="5996" s="5" customFormat="1" customHeight="1" spans="1:25">
      <c r="A5996" s="24" t="s">
        <v>109</v>
      </c>
      <c r="B5996" s="24" t="s">
        <v>7422</v>
      </c>
      <c r="C5996" s="24" t="s">
        <v>216</v>
      </c>
      <c r="D5996" s="22" t="s">
        <v>7585</v>
      </c>
      <c r="E5996" s="23" t="s">
        <v>7601</v>
      </c>
      <c r="F5996" s="24" t="s">
        <v>7602</v>
      </c>
      <c r="G5996" s="24" t="s">
        <v>88</v>
      </c>
      <c r="H5996" s="25" t="s">
        <v>7603</v>
      </c>
      <c r="I5996" s="46" t="e">
        <f>VLOOKUP(H5996,'合同高级查询数据-4月返'!A:A,1,FALSE)</f>
        <v>#N/A</v>
      </c>
      <c r="J5996" s="47" t="s">
        <v>162</v>
      </c>
      <c r="K5996" s="24" t="s">
        <v>218</v>
      </c>
      <c r="L5996" s="109" t="s">
        <v>7607</v>
      </c>
      <c r="M5996" s="22" t="s">
        <v>7590</v>
      </c>
      <c r="N5996" s="229">
        <v>44620</v>
      </c>
      <c r="O5996" s="241" t="s">
        <v>163</v>
      </c>
      <c r="P5996" s="52">
        <v>5000</v>
      </c>
      <c r="Q5996" s="70">
        <v>-6</v>
      </c>
      <c r="R5996" s="52">
        <f t="shared" si="180"/>
        <v>-30000</v>
      </c>
      <c r="S5996" s="47">
        <v>202304</v>
      </c>
      <c r="T5996" s="123" t="s">
        <v>7608</v>
      </c>
      <c r="U5996" s="48"/>
      <c r="V5996" s="48"/>
      <c r="W5996" s="48"/>
      <c r="X5996" s="50">
        <v>44256</v>
      </c>
      <c r="Y5996" s="50">
        <v>44620</v>
      </c>
    </row>
    <row r="5997" s="5" customFormat="1" customHeight="1" spans="1:25">
      <c r="A5997" s="24" t="s">
        <v>25</v>
      </c>
      <c r="B5997" s="24" t="s">
        <v>7422</v>
      </c>
      <c r="C5997" s="24" t="s">
        <v>238</v>
      </c>
      <c r="D5997" s="22" t="s">
        <v>7585</v>
      </c>
      <c r="E5997" s="23" t="s">
        <v>7609</v>
      </c>
      <c r="F5997" s="24" t="s">
        <v>7610</v>
      </c>
      <c r="G5997" s="24" t="s">
        <v>31</v>
      </c>
      <c r="H5997" s="25" t="s">
        <v>7611</v>
      </c>
      <c r="I5997" s="46" t="e">
        <f>VLOOKUP(H5997,'合同高级查询数据-4月返'!A:A,1,FALSE)</f>
        <v>#N/A</v>
      </c>
      <c r="J5997" s="47" t="s">
        <v>33</v>
      </c>
      <c r="K5997" s="24" t="s">
        <v>2387</v>
      </c>
      <c r="L5997" s="109" t="s">
        <v>7612</v>
      </c>
      <c r="M5997" s="49" t="s">
        <v>7613</v>
      </c>
      <c r="N5997" s="493">
        <v>43258</v>
      </c>
      <c r="O5997" s="493" t="s">
        <v>37</v>
      </c>
      <c r="P5997" s="52">
        <v>0</v>
      </c>
      <c r="Q5997" s="70">
        <v>512</v>
      </c>
      <c r="R5997" s="52">
        <f t="shared" si="180"/>
        <v>0</v>
      </c>
      <c r="S5997" s="47">
        <v>202304</v>
      </c>
      <c r="T5997" s="123" t="s">
        <v>7614</v>
      </c>
      <c r="U5997" s="48"/>
      <c r="V5997" s="48"/>
      <c r="W5997" s="48"/>
      <c r="X5997" s="493">
        <v>44682</v>
      </c>
      <c r="Y5997" s="493">
        <v>45046</v>
      </c>
    </row>
    <row r="5998" s="5" customFormat="1" customHeight="1" spans="1:25">
      <c r="A5998" s="24" t="s">
        <v>25</v>
      </c>
      <c r="B5998" s="24" t="s">
        <v>7422</v>
      </c>
      <c r="C5998" s="24" t="s">
        <v>238</v>
      </c>
      <c r="D5998" s="22" t="s">
        <v>7585</v>
      </c>
      <c r="E5998" s="23" t="s">
        <v>7609</v>
      </c>
      <c r="F5998" s="24" t="s">
        <v>7610</v>
      </c>
      <c r="G5998" s="24" t="s">
        <v>31</v>
      </c>
      <c r="H5998" s="25" t="s">
        <v>7611</v>
      </c>
      <c r="I5998" s="46" t="e">
        <f>VLOOKUP(H5998,'合同高级查询数据-4月返'!A:A,1,FALSE)</f>
        <v>#N/A</v>
      </c>
      <c r="J5998" s="47" t="s">
        <v>33</v>
      </c>
      <c r="K5998" s="24" t="s">
        <v>2387</v>
      </c>
      <c r="L5998" s="109" t="s">
        <v>7612</v>
      </c>
      <c r="M5998" s="49" t="s">
        <v>7613</v>
      </c>
      <c r="N5998" s="49"/>
      <c r="O5998" s="493" t="s">
        <v>179</v>
      </c>
      <c r="P5998" s="52">
        <v>0</v>
      </c>
      <c r="Q5998" s="70">
        <v>0</v>
      </c>
      <c r="R5998" s="52">
        <f t="shared" si="180"/>
        <v>0</v>
      </c>
      <c r="S5998" s="47">
        <v>202304</v>
      </c>
      <c r="T5998" s="123" t="s">
        <v>7615</v>
      </c>
      <c r="U5998" s="48"/>
      <c r="V5998" s="48"/>
      <c r="W5998" s="48"/>
      <c r="X5998" s="493">
        <v>44682</v>
      </c>
      <c r="Y5998" s="493">
        <v>45046</v>
      </c>
    </row>
    <row r="5999" s="5" customFormat="1" customHeight="1" spans="1:25">
      <c r="A5999" s="24" t="s">
        <v>25</v>
      </c>
      <c r="B5999" s="24" t="s">
        <v>7422</v>
      </c>
      <c r="C5999" s="24" t="s">
        <v>238</v>
      </c>
      <c r="D5999" s="22" t="s">
        <v>7585</v>
      </c>
      <c r="E5999" s="23" t="s">
        <v>7609</v>
      </c>
      <c r="F5999" s="24" t="s">
        <v>7610</v>
      </c>
      <c r="G5999" s="24" t="s">
        <v>88</v>
      </c>
      <c r="H5999" s="25" t="s">
        <v>7611</v>
      </c>
      <c r="I5999" s="46" t="e">
        <f>VLOOKUP(H5999,'合同高级查询数据-4月返'!A:A,1,FALSE)</f>
        <v>#N/A</v>
      </c>
      <c r="J5999" s="47" t="s">
        <v>162</v>
      </c>
      <c r="K5999" s="24" t="s">
        <v>2387</v>
      </c>
      <c r="L5999" s="109" t="s">
        <v>7612</v>
      </c>
      <c r="M5999" s="49" t="s">
        <v>7613</v>
      </c>
      <c r="N5999" s="50">
        <v>43258</v>
      </c>
      <c r="O5999" s="50" t="s">
        <v>92</v>
      </c>
      <c r="P5999" s="52">
        <v>5000</v>
      </c>
      <c r="Q5999" s="70">
        <v>6</v>
      </c>
      <c r="R5999" s="52">
        <f t="shared" si="180"/>
        <v>30000</v>
      </c>
      <c r="S5999" s="47">
        <v>202304</v>
      </c>
      <c r="T5999" s="123" t="s">
        <v>7616</v>
      </c>
      <c r="U5999" s="48"/>
      <c r="V5999" s="48"/>
      <c r="W5999" s="48"/>
      <c r="X5999" s="493">
        <v>44682</v>
      </c>
      <c r="Y5999" s="493">
        <v>45046</v>
      </c>
    </row>
    <row r="6000" s="5" customFormat="1" customHeight="1" spans="1:25">
      <c r="A6000" s="24" t="s">
        <v>25</v>
      </c>
      <c r="B6000" s="24" t="s">
        <v>7422</v>
      </c>
      <c r="C6000" s="24" t="s">
        <v>238</v>
      </c>
      <c r="D6000" s="22" t="s">
        <v>7585</v>
      </c>
      <c r="E6000" s="23" t="s">
        <v>7609</v>
      </c>
      <c r="F6000" s="24" t="s">
        <v>7610</v>
      </c>
      <c r="G6000" s="24" t="s">
        <v>88</v>
      </c>
      <c r="H6000" s="25" t="s">
        <v>7611</v>
      </c>
      <c r="I6000" s="46" t="e">
        <f>VLOOKUP(H6000,'合同高级查询数据-4月返'!A:A,1,FALSE)</f>
        <v>#N/A</v>
      </c>
      <c r="J6000" s="47" t="s">
        <v>162</v>
      </c>
      <c r="K6000" s="24" t="s">
        <v>2387</v>
      </c>
      <c r="L6000" s="109" t="s">
        <v>7612</v>
      </c>
      <c r="M6000" s="49" t="s">
        <v>7613</v>
      </c>
      <c r="N6000" s="50">
        <v>44390</v>
      </c>
      <c r="O6000" s="50" t="s">
        <v>92</v>
      </c>
      <c r="P6000" s="52">
        <v>5000</v>
      </c>
      <c r="Q6000" s="70">
        <v>-2</v>
      </c>
      <c r="R6000" s="52">
        <f t="shared" si="180"/>
        <v>-10000</v>
      </c>
      <c r="S6000" s="47">
        <v>202304</v>
      </c>
      <c r="T6000" s="123" t="s">
        <v>7617</v>
      </c>
      <c r="U6000" s="48"/>
      <c r="V6000" s="48"/>
      <c r="W6000" s="48"/>
      <c r="X6000" s="493">
        <v>44682</v>
      </c>
      <c r="Y6000" s="493">
        <v>45046</v>
      </c>
    </row>
    <row r="6001" s="5" customFormat="1" customHeight="1" spans="1:25">
      <c r="A6001" s="24" t="s">
        <v>25</v>
      </c>
      <c r="B6001" s="24" t="s">
        <v>7422</v>
      </c>
      <c r="C6001" s="24" t="s">
        <v>238</v>
      </c>
      <c r="D6001" s="22" t="s">
        <v>7585</v>
      </c>
      <c r="E6001" s="23" t="s">
        <v>7609</v>
      </c>
      <c r="F6001" s="24" t="s">
        <v>7610</v>
      </c>
      <c r="G6001" s="24" t="s">
        <v>88</v>
      </c>
      <c r="H6001" s="25" t="s">
        <v>7611</v>
      </c>
      <c r="I6001" s="46" t="e">
        <f>VLOOKUP(H6001,'合同高级查询数据-4月返'!A:A,1,FALSE)</f>
        <v>#N/A</v>
      </c>
      <c r="J6001" s="47" t="s">
        <v>162</v>
      </c>
      <c r="K6001" s="24" t="s">
        <v>2387</v>
      </c>
      <c r="L6001" s="109" t="s">
        <v>7612</v>
      </c>
      <c r="M6001" s="49" t="s">
        <v>7613</v>
      </c>
      <c r="N6001" s="50">
        <v>44834</v>
      </c>
      <c r="O6001" s="50" t="s">
        <v>92</v>
      </c>
      <c r="P6001" s="52">
        <v>5000</v>
      </c>
      <c r="Q6001" s="70">
        <v>-4</v>
      </c>
      <c r="R6001" s="52">
        <f t="shared" si="180"/>
        <v>-20000</v>
      </c>
      <c r="S6001" s="47">
        <v>202304</v>
      </c>
      <c r="T6001" s="123" t="s">
        <v>7618</v>
      </c>
      <c r="U6001" s="48"/>
      <c r="V6001" s="48"/>
      <c r="W6001" s="48"/>
      <c r="X6001" s="493">
        <v>44682</v>
      </c>
      <c r="Y6001" s="493">
        <v>45046</v>
      </c>
    </row>
    <row r="6002" s="5" customFormat="1" customHeight="1" spans="1:25">
      <c r="A6002" s="24" t="s">
        <v>109</v>
      </c>
      <c r="B6002" s="22" t="s">
        <v>7422</v>
      </c>
      <c r="C6002" s="22" t="s">
        <v>3237</v>
      </c>
      <c r="D6002" s="22" t="s">
        <v>7585</v>
      </c>
      <c r="E6002" s="23" t="s">
        <v>7619</v>
      </c>
      <c r="F6002" s="24" t="s">
        <v>7620</v>
      </c>
      <c r="G6002" s="24" t="s">
        <v>31</v>
      </c>
      <c r="H6002" s="25" t="s">
        <v>7621</v>
      </c>
      <c r="I6002" s="46" t="e">
        <f>VLOOKUP(H6002,'合同高级查询数据-4月返'!A:A,1,FALSE)</f>
        <v>#N/A</v>
      </c>
      <c r="J6002" s="47" t="s">
        <v>33</v>
      </c>
      <c r="K6002" s="24" t="s">
        <v>7622</v>
      </c>
      <c r="L6002" s="109" t="s">
        <v>7623</v>
      </c>
      <c r="M6002" s="49" t="s">
        <v>7624</v>
      </c>
      <c r="N6002" s="50">
        <v>44256</v>
      </c>
      <c r="O6002" s="22" t="s">
        <v>37</v>
      </c>
      <c r="P6002" s="52">
        <v>0</v>
      </c>
      <c r="Q6002" s="70">
        <v>288</v>
      </c>
      <c r="R6002" s="52">
        <f t="shared" si="180"/>
        <v>0</v>
      </c>
      <c r="S6002" s="47">
        <v>202304</v>
      </c>
      <c r="T6002" s="123" t="s">
        <v>7625</v>
      </c>
      <c r="U6002" s="97"/>
      <c r="V6002" s="453"/>
      <c r="W6002" s="453"/>
      <c r="X6002" s="50">
        <v>44593</v>
      </c>
      <c r="Y6002" s="50">
        <v>44620</v>
      </c>
    </row>
    <row r="6003" s="5" customFormat="1" customHeight="1" spans="1:25">
      <c r="A6003" s="24" t="s">
        <v>109</v>
      </c>
      <c r="B6003" s="22" t="s">
        <v>7422</v>
      </c>
      <c r="C6003" s="22" t="s">
        <v>3237</v>
      </c>
      <c r="D6003" s="22" t="s">
        <v>7585</v>
      </c>
      <c r="E6003" s="23" t="s">
        <v>7619</v>
      </c>
      <c r="F6003" s="24" t="s">
        <v>7620</v>
      </c>
      <c r="G6003" s="24" t="s">
        <v>31</v>
      </c>
      <c r="H6003" s="25" t="s">
        <v>7621</v>
      </c>
      <c r="I6003" s="46" t="e">
        <f>VLOOKUP(H6003,'合同高级查询数据-4月返'!A:A,1,FALSE)</f>
        <v>#N/A</v>
      </c>
      <c r="J6003" s="47" t="s">
        <v>33</v>
      </c>
      <c r="K6003" s="24" t="s">
        <v>7622</v>
      </c>
      <c r="L6003" s="109" t="s">
        <v>7623</v>
      </c>
      <c r="M6003" s="49" t="s">
        <v>7624</v>
      </c>
      <c r="N6003" s="50">
        <v>44620</v>
      </c>
      <c r="O6003" s="22" t="s">
        <v>37</v>
      </c>
      <c r="P6003" s="52">
        <v>0</v>
      </c>
      <c r="Q6003" s="70">
        <v>-288</v>
      </c>
      <c r="R6003" s="52">
        <f t="shared" si="180"/>
        <v>0</v>
      </c>
      <c r="S6003" s="47">
        <v>202304</v>
      </c>
      <c r="T6003" s="123" t="s">
        <v>7626</v>
      </c>
      <c r="U6003" s="97"/>
      <c r="V6003" s="453"/>
      <c r="W6003" s="453"/>
      <c r="X6003" s="50">
        <v>44593</v>
      </c>
      <c r="Y6003" s="50">
        <v>44620</v>
      </c>
    </row>
    <row r="6004" s="5" customFormat="1" customHeight="1" spans="1:25">
      <c r="A6004" s="24" t="s">
        <v>109</v>
      </c>
      <c r="B6004" s="22" t="s">
        <v>7422</v>
      </c>
      <c r="C6004" s="22" t="s">
        <v>3237</v>
      </c>
      <c r="D6004" s="22" t="s">
        <v>7585</v>
      </c>
      <c r="E6004" s="23" t="s">
        <v>7619</v>
      </c>
      <c r="F6004" s="24" t="s">
        <v>7620</v>
      </c>
      <c r="G6004" s="24" t="s">
        <v>31</v>
      </c>
      <c r="H6004" s="25" t="s">
        <v>7621</v>
      </c>
      <c r="I6004" s="46" t="e">
        <f>VLOOKUP(H6004,'合同高级查询数据-4月返'!A:A,1,FALSE)</f>
        <v>#N/A</v>
      </c>
      <c r="J6004" s="47" t="s">
        <v>33</v>
      </c>
      <c r="K6004" s="24" t="s">
        <v>7622</v>
      </c>
      <c r="L6004" s="109" t="s">
        <v>7623</v>
      </c>
      <c r="M6004" s="49" t="s">
        <v>7624</v>
      </c>
      <c r="N6004" s="50"/>
      <c r="O6004" s="22" t="s">
        <v>179</v>
      </c>
      <c r="P6004" s="52">
        <v>0</v>
      </c>
      <c r="Q6004" s="70">
        <v>0</v>
      </c>
      <c r="R6004" s="52">
        <f t="shared" si="180"/>
        <v>0</v>
      </c>
      <c r="S6004" s="47">
        <v>202304</v>
      </c>
      <c r="T6004" s="123" t="s">
        <v>7627</v>
      </c>
      <c r="U6004" s="97"/>
      <c r="V6004" s="453"/>
      <c r="W6004" s="453"/>
      <c r="X6004" s="50">
        <v>44593</v>
      </c>
      <c r="Y6004" s="50">
        <v>44620</v>
      </c>
    </row>
    <row r="6005" s="5" customFormat="1" customHeight="1" spans="1:25">
      <c r="A6005" s="24" t="s">
        <v>109</v>
      </c>
      <c r="B6005" s="22" t="s">
        <v>7422</v>
      </c>
      <c r="C6005" s="22" t="s">
        <v>3237</v>
      </c>
      <c r="D6005" s="22" t="s">
        <v>7585</v>
      </c>
      <c r="E6005" s="23" t="s">
        <v>7619</v>
      </c>
      <c r="F6005" s="24" t="s">
        <v>7620</v>
      </c>
      <c r="G6005" s="24" t="s">
        <v>88</v>
      </c>
      <c r="H6005" s="25" t="s">
        <v>7621</v>
      </c>
      <c r="I6005" s="46" t="e">
        <f>VLOOKUP(H6005,'合同高级查询数据-4月返'!A:A,1,FALSE)</f>
        <v>#N/A</v>
      </c>
      <c r="J6005" s="47" t="s">
        <v>162</v>
      </c>
      <c r="K6005" s="24" t="s">
        <v>7622</v>
      </c>
      <c r="L6005" s="109" t="s">
        <v>7623</v>
      </c>
      <c r="M6005" s="49" t="s">
        <v>7624</v>
      </c>
      <c r="N6005" s="50">
        <v>44256</v>
      </c>
      <c r="O6005" s="22" t="s">
        <v>702</v>
      </c>
      <c r="P6005" s="52">
        <v>4000</v>
      </c>
      <c r="Q6005" s="70">
        <v>4</v>
      </c>
      <c r="R6005" s="52">
        <f t="shared" si="180"/>
        <v>16000</v>
      </c>
      <c r="S6005" s="47">
        <v>202304</v>
      </c>
      <c r="T6005" s="123" t="s">
        <v>7628</v>
      </c>
      <c r="U6005" s="97"/>
      <c r="V6005" s="453"/>
      <c r="W6005" s="453"/>
      <c r="X6005" s="50">
        <v>44593</v>
      </c>
      <c r="Y6005" s="50">
        <v>44620</v>
      </c>
    </row>
    <row r="6006" s="5" customFormat="1" customHeight="1" spans="1:25">
      <c r="A6006" s="24" t="s">
        <v>109</v>
      </c>
      <c r="B6006" s="22" t="s">
        <v>7422</v>
      </c>
      <c r="C6006" s="22" t="s">
        <v>3237</v>
      </c>
      <c r="D6006" s="22" t="s">
        <v>7585</v>
      </c>
      <c r="E6006" s="23" t="s">
        <v>7619</v>
      </c>
      <c r="F6006" s="24" t="s">
        <v>7620</v>
      </c>
      <c r="G6006" s="24" t="s">
        <v>88</v>
      </c>
      <c r="H6006" s="25" t="s">
        <v>7621</v>
      </c>
      <c r="I6006" s="46" t="e">
        <f>VLOOKUP(H6006,'合同高级查询数据-4月返'!A:A,1,FALSE)</f>
        <v>#N/A</v>
      </c>
      <c r="J6006" s="47" t="s">
        <v>162</v>
      </c>
      <c r="K6006" s="24" t="s">
        <v>7622</v>
      </c>
      <c r="L6006" s="109" t="s">
        <v>7623</v>
      </c>
      <c r="M6006" s="49" t="s">
        <v>7624</v>
      </c>
      <c r="N6006" s="50">
        <v>44348</v>
      </c>
      <c r="O6006" s="22" t="s">
        <v>702</v>
      </c>
      <c r="P6006" s="52">
        <v>4000</v>
      </c>
      <c r="Q6006" s="70">
        <v>2</v>
      </c>
      <c r="R6006" s="52">
        <f t="shared" si="180"/>
        <v>8000</v>
      </c>
      <c r="S6006" s="47">
        <v>202304</v>
      </c>
      <c r="T6006" s="123" t="s">
        <v>7629</v>
      </c>
      <c r="U6006" s="97"/>
      <c r="V6006" s="453"/>
      <c r="W6006" s="453"/>
      <c r="X6006" s="50">
        <v>44593</v>
      </c>
      <c r="Y6006" s="50">
        <v>44620</v>
      </c>
    </row>
    <row r="6007" s="5" customFormat="1" customHeight="1" spans="1:25">
      <c r="A6007" s="24" t="s">
        <v>109</v>
      </c>
      <c r="B6007" s="22" t="s">
        <v>7422</v>
      </c>
      <c r="C6007" s="22" t="s">
        <v>3237</v>
      </c>
      <c r="D6007" s="22" t="s">
        <v>7585</v>
      </c>
      <c r="E6007" s="23" t="s">
        <v>7619</v>
      </c>
      <c r="F6007" s="24" t="s">
        <v>7620</v>
      </c>
      <c r="G6007" s="24" t="s">
        <v>88</v>
      </c>
      <c r="H6007" s="25" t="s">
        <v>7621</v>
      </c>
      <c r="I6007" s="46" t="e">
        <f>VLOOKUP(H6007,'合同高级查询数据-4月返'!A:A,1,FALSE)</f>
        <v>#N/A</v>
      </c>
      <c r="J6007" s="47" t="s">
        <v>162</v>
      </c>
      <c r="K6007" s="24" t="s">
        <v>7622</v>
      </c>
      <c r="L6007" s="109" t="s">
        <v>7623</v>
      </c>
      <c r="M6007" s="49" t="s">
        <v>7624</v>
      </c>
      <c r="N6007" s="50">
        <v>44620</v>
      </c>
      <c r="O6007" s="22" t="s">
        <v>702</v>
      </c>
      <c r="P6007" s="52">
        <v>4000</v>
      </c>
      <c r="Q6007" s="70">
        <v>-6</v>
      </c>
      <c r="R6007" s="52">
        <f t="shared" si="180"/>
        <v>-24000</v>
      </c>
      <c r="S6007" s="47">
        <v>202304</v>
      </c>
      <c r="T6007" s="123" t="s">
        <v>7630</v>
      </c>
      <c r="U6007" s="97"/>
      <c r="V6007" s="453"/>
      <c r="W6007" s="453"/>
      <c r="X6007" s="50">
        <v>44593</v>
      </c>
      <c r="Y6007" s="50">
        <v>44620</v>
      </c>
    </row>
    <row r="6008" s="5" customFormat="1" customHeight="1" spans="1:25">
      <c r="A6008" s="24" t="s">
        <v>152</v>
      </c>
      <c r="B6008" s="22" t="s">
        <v>7422</v>
      </c>
      <c r="C6008" s="22" t="s">
        <v>39</v>
      </c>
      <c r="D6008" s="22" t="s">
        <v>7585</v>
      </c>
      <c r="E6008" s="46" t="s">
        <v>7631</v>
      </c>
      <c r="F6008" s="22" t="s">
        <v>7632</v>
      </c>
      <c r="G6008" s="24" t="s">
        <v>31</v>
      </c>
      <c r="H6008" s="22" t="s">
        <v>7633</v>
      </c>
      <c r="I6008" s="46" t="e">
        <f>VLOOKUP(H6008,'合同高级查询数据-4月返'!A:A,1,FALSE)</f>
        <v>#N/A</v>
      </c>
      <c r="J6008" s="47" t="s">
        <v>33</v>
      </c>
      <c r="K6008" s="22" t="s">
        <v>7634</v>
      </c>
      <c r="L6008" s="22" t="s">
        <v>7635</v>
      </c>
      <c r="M6008" s="22" t="s">
        <v>7636</v>
      </c>
      <c r="N6008" s="50">
        <v>43831</v>
      </c>
      <c r="O6008" s="22" t="s">
        <v>37</v>
      </c>
      <c r="P6008" s="52">
        <v>0</v>
      </c>
      <c r="Q6008" s="70">
        <v>160</v>
      </c>
      <c r="R6008" s="52">
        <f t="shared" si="180"/>
        <v>0</v>
      </c>
      <c r="S6008" s="47">
        <v>202304</v>
      </c>
      <c r="T6008" s="123" t="s">
        <v>7637</v>
      </c>
      <c r="U6008" s="97"/>
      <c r="V6008" s="453"/>
      <c r="W6008" s="97"/>
      <c r="X6008" s="50">
        <v>44743</v>
      </c>
      <c r="Y6008" s="50">
        <v>45046</v>
      </c>
    </row>
    <row r="6009" s="5" customFormat="1" customHeight="1" spans="1:25">
      <c r="A6009" s="24" t="s">
        <v>152</v>
      </c>
      <c r="B6009" s="22" t="s">
        <v>7422</v>
      </c>
      <c r="C6009" s="22" t="s">
        <v>39</v>
      </c>
      <c r="D6009" s="22" t="s">
        <v>7585</v>
      </c>
      <c r="E6009" s="46" t="s">
        <v>7631</v>
      </c>
      <c r="F6009" s="22" t="s">
        <v>7632</v>
      </c>
      <c r="G6009" s="24" t="s">
        <v>31</v>
      </c>
      <c r="H6009" s="22" t="s">
        <v>7633</v>
      </c>
      <c r="I6009" s="46" t="e">
        <f>VLOOKUP(H6009,'合同高级查询数据-4月返'!A:A,1,FALSE)</f>
        <v>#N/A</v>
      </c>
      <c r="J6009" s="47" t="s">
        <v>33</v>
      </c>
      <c r="K6009" s="22" t="s">
        <v>7634</v>
      </c>
      <c r="L6009" s="22" t="s">
        <v>7635</v>
      </c>
      <c r="M6009" s="22" t="s">
        <v>7636</v>
      </c>
      <c r="N6009" s="50">
        <v>44293</v>
      </c>
      <c r="O6009" s="22" t="s">
        <v>37</v>
      </c>
      <c r="P6009" s="52">
        <v>0</v>
      </c>
      <c r="Q6009" s="70">
        <v>128</v>
      </c>
      <c r="R6009" s="52">
        <f t="shared" si="180"/>
        <v>0</v>
      </c>
      <c r="S6009" s="47">
        <v>202304</v>
      </c>
      <c r="T6009" s="123" t="s">
        <v>7638</v>
      </c>
      <c r="U6009" s="97"/>
      <c r="V6009" s="453"/>
      <c r="W6009" s="97"/>
      <c r="X6009" s="50">
        <v>44743</v>
      </c>
      <c r="Y6009" s="50">
        <v>45046</v>
      </c>
    </row>
    <row r="6010" s="5" customFormat="1" customHeight="1" spans="1:25">
      <c r="A6010" s="24" t="s">
        <v>152</v>
      </c>
      <c r="B6010" s="22" t="s">
        <v>7422</v>
      </c>
      <c r="C6010" s="22" t="s">
        <v>39</v>
      </c>
      <c r="D6010" s="22" t="s">
        <v>7585</v>
      </c>
      <c r="E6010" s="46" t="s">
        <v>7631</v>
      </c>
      <c r="F6010" s="22" t="s">
        <v>7632</v>
      </c>
      <c r="G6010" s="24" t="s">
        <v>31</v>
      </c>
      <c r="H6010" s="22" t="s">
        <v>7633</v>
      </c>
      <c r="I6010" s="46" t="e">
        <f>VLOOKUP(H6010,'合同高级查询数据-4月返'!A:A,1,FALSE)</f>
        <v>#N/A</v>
      </c>
      <c r="J6010" s="47" t="s">
        <v>33</v>
      </c>
      <c r="K6010" s="22" t="s">
        <v>7634</v>
      </c>
      <c r="L6010" s="22" t="s">
        <v>7635</v>
      </c>
      <c r="M6010" s="22" t="s">
        <v>7636</v>
      </c>
      <c r="N6010" s="50">
        <v>44303</v>
      </c>
      <c r="O6010" s="22" t="s">
        <v>37</v>
      </c>
      <c r="P6010" s="52">
        <v>0</v>
      </c>
      <c r="Q6010" s="70">
        <v>64</v>
      </c>
      <c r="R6010" s="52">
        <f t="shared" si="180"/>
        <v>0</v>
      </c>
      <c r="S6010" s="47">
        <v>202304</v>
      </c>
      <c r="T6010" s="123" t="s">
        <v>7639</v>
      </c>
      <c r="U6010" s="97"/>
      <c r="V6010" s="453"/>
      <c r="W6010" s="97"/>
      <c r="X6010" s="50">
        <v>44743</v>
      </c>
      <c r="Y6010" s="50">
        <v>45046</v>
      </c>
    </row>
    <row r="6011" s="5" customFormat="1" customHeight="1" spans="1:25">
      <c r="A6011" s="24" t="s">
        <v>152</v>
      </c>
      <c r="B6011" s="22" t="s">
        <v>7422</v>
      </c>
      <c r="C6011" s="22" t="s">
        <v>39</v>
      </c>
      <c r="D6011" s="22" t="s">
        <v>7585</v>
      </c>
      <c r="E6011" s="46" t="s">
        <v>7631</v>
      </c>
      <c r="F6011" s="22" t="s">
        <v>7632</v>
      </c>
      <c r="G6011" s="24" t="s">
        <v>31</v>
      </c>
      <c r="H6011" s="22" t="s">
        <v>7633</v>
      </c>
      <c r="I6011" s="46" t="e">
        <f>VLOOKUP(H6011,'合同高级查询数据-4月返'!A:A,1,FALSE)</f>
        <v>#N/A</v>
      </c>
      <c r="J6011" s="47" t="s">
        <v>33</v>
      </c>
      <c r="K6011" s="22" t="s">
        <v>7634</v>
      </c>
      <c r="L6011" s="22" t="s">
        <v>7635</v>
      </c>
      <c r="M6011" s="22" t="s">
        <v>7636</v>
      </c>
      <c r="N6011" s="50">
        <v>44713</v>
      </c>
      <c r="O6011" s="22" t="s">
        <v>37</v>
      </c>
      <c r="P6011" s="52">
        <v>50</v>
      </c>
      <c r="Q6011" s="70">
        <v>256</v>
      </c>
      <c r="R6011" s="52">
        <f t="shared" si="180"/>
        <v>12800</v>
      </c>
      <c r="S6011" s="47">
        <v>202304</v>
      </c>
      <c r="T6011" s="123" t="s">
        <v>7640</v>
      </c>
      <c r="U6011" s="97"/>
      <c r="V6011" s="453"/>
      <c r="W6011" s="97"/>
      <c r="X6011" s="50">
        <v>44743</v>
      </c>
      <c r="Y6011" s="50">
        <v>45046</v>
      </c>
    </row>
    <row r="6012" s="5" customFormat="1" customHeight="1" spans="1:25">
      <c r="A6012" s="24" t="s">
        <v>152</v>
      </c>
      <c r="B6012" s="22" t="s">
        <v>7422</v>
      </c>
      <c r="C6012" s="22" t="s">
        <v>39</v>
      </c>
      <c r="D6012" s="22" t="s">
        <v>7585</v>
      </c>
      <c r="E6012" s="46" t="s">
        <v>7631</v>
      </c>
      <c r="F6012" s="22" t="s">
        <v>7632</v>
      </c>
      <c r="G6012" s="24" t="s">
        <v>31</v>
      </c>
      <c r="H6012" s="22" t="s">
        <v>7633</v>
      </c>
      <c r="I6012" s="46" t="e">
        <f>VLOOKUP(H6012,'合同高级查询数据-4月返'!A:A,1,FALSE)</f>
        <v>#N/A</v>
      </c>
      <c r="J6012" s="47" t="s">
        <v>33</v>
      </c>
      <c r="K6012" s="22" t="s">
        <v>7634</v>
      </c>
      <c r="L6012" s="22" t="s">
        <v>7635</v>
      </c>
      <c r="M6012" s="22" t="s">
        <v>7636</v>
      </c>
      <c r="N6012" s="50"/>
      <c r="O6012" s="22" t="s">
        <v>179</v>
      </c>
      <c r="P6012" s="52">
        <v>0</v>
      </c>
      <c r="Q6012" s="70">
        <v>0</v>
      </c>
      <c r="R6012" s="52">
        <f t="shared" si="180"/>
        <v>0</v>
      </c>
      <c r="S6012" s="47">
        <v>202304</v>
      </c>
      <c r="T6012" s="123" t="s">
        <v>7641</v>
      </c>
      <c r="U6012" s="97"/>
      <c r="V6012" s="453"/>
      <c r="W6012" s="97"/>
      <c r="X6012" s="50">
        <v>44743</v>
      </c>
      <c r="Y6012" s="50">
        <v>45046</v>
      </c>
    </row>
    <row r="6013" s="5" customFormat="1" customHeight="1" spans="1:25">
      <c r="A6013" s="24" t="s">
        <v>152</v>
      </c>
      <c r="B6013" s="22" t="s">
        <v>7422</v>
      </c>
      <c r="C6013" s="22" t="s">
        <v>39</v>
      </c>
      <c r="D6013" s="22" t="s">
        <v>7585</v>
      </c>
      <c r="E6013" s="46" t="s">
        <v>7631</v>
      </c>
      <c r="F6013" s="22" t="s">
        <v>7632</v>
      </c>
      <c r="G6013" s="24" t="s">
        <v>31</v>
      </c>
      <c r="H6013" s="22" t="s">
        <v>7633</v>
      </c>
      <c r="I6013" s="46" t="e">
        <f>VLOOKUP(H6013,'合同高级查询数据-4月返'!A:A,1,FALSE)</f>
        <v>#N/A</v>
      </c>
      <c r="J6013" s="47" t="s">
        <v>33</v>
      </c>
      <c r="K6013" s="22" t="s">
        <v>7634</v>
      </c>
      <c r="L6013" s="22" t="s">
        <v>7635</v>
      </c>
      <c r="M6013" s="22" t="s">
        <v>7636</v>
      </c>
      <c r="N6013" s="50">
        <v>44293</v>
      </c>
      <c r="O6013" s="22" t="s">
        <v>179</v>
      </c>
      <c r="P6013" s="52">
        <v>0</v>
      </c>
      <c r="Q6013" s="70">
        <v>1</v>
      </c>
      <c r="R6013" s="52">
        <f t="shared" si="180"/>
        <v>0</v>
      </c>
      <c r="S6013" s="47">
        <v>202304</v>
      </c>
      <c r="T6013" s="123" t="s">
        <v>7642</v>
      </c>
      <c r="U6013" s="97"/>
      <c r="V6013" s="453"/>
      <c r="W6013" s="97"/>
      <c r="X6013" s="50">
        <v>44743</v>
      </c>
      <c r="Y6013" s="50">
        <v>45046</v>
      </c>
    </row>
    <row r="6014" s="5" customFormat="1" customHeight="1" spans="1:25">
      <c r="A6014" s="24" t="s">
        <v>152</v>
      </c>
      <c r="B6014" s="22" t="s">
        <v>7422</v>
      </c>
      <c r="C6014" s="22" t="s">
        <v>39</v>
      </c>
      <c r="D6014" s="22" t="s">
        <v>7585</v>
      </c>
      <c r="E6014" s="46" t="s">
        <v>7631</v>
      </c>
      <c r="F6014" s="22" t="s">
        <v>7632</v>
      </c>
      <c r="G6014" s="24" t="s">
        <v>88</v>
      </c>
      <c r="H6014" s="22" t="s">
        <v>7633</v>
      </c>
      <c r="I6014" s="46" t="e">
        <f>VLOOKUP(H6014,'合同高级查询数据-4月返'!A:A,1,FALSE)</f>
        <v>#N/A</v>
      </c>
      <c r="J6014" s="47" t="s">
        <v>162</v>
      </c>
      <c r="K6014" s="22" t="s">
        <v>7634</v>
      </c>
      <c r="L6014" s="22" t="s">
        <v>7635</v>
      </c>
      <c r="M6014" s="22" t="s">
        <v>7636</v>
      </c>
      <c r="N6014" s="50">
        <v>43831</v>
      </c>
      <c r="O6014" s="22" t="s">
        <v>163</v>
      </c>
      <c r="P6014" s="52">
        <v>4000</v>
      </c>
      <c r="Q6014" s="70">
        <v>2</v>
      </c>
      <c r="R6014" s="52">
        <f t="shared" si="180"/>
        <v>8000</v>
      </c>
      <c r="S6014" s="47">
        <v>202304</v>
      </c>
      <c r="T6014" s="123" t="s">
        <v>7643</v>
      </c>
      <c r="U6014" s="97"/>
      <c r="V6014" s="453"/>
      <c r="W6014" s="97"/>
      <c r="X6014" s="50">
        <v>44743</v>
      </c>
      <c r="Y6014" s="50">
        <v>45046</v>
      </c>
    </row>
    <row r="6015" s="5" customFormat="1" customHeight="1" spans="1:25">
      <c r="A6015" s="24" t="s">
        <v>152</v>
      </c>
      <c r="B6015" s="22" t="s">
        <v>7422</v>
      </c>
      <c r="C6015" s="22" t="s">
        <v>39</v>
      </c>
      <c r="D6015" s="22" t="s">
        <v>7585</v>
      </c>
      <c r="E6015" s="46" t="s">
        <v>7631</v>
      </c>
      <c r="F6015" s="22" t="s">
        <v>7632</v>
      </c>
      <c r="G6015" s="24" t="s">
        <v>88</v>
      </c>
      <c r="H6015" s="22" t="s">
        <v>7633</v>
      </c>
      <c r="I6015" s="46" t="e">
        <f>VLOOKUP(H6015,'合同高级查询数据-4月返'!A:A,1,FALSE)</f>
        <v>#N/A</v>
      </c>
      <c r="J6015" s="47" t="s">
        <v>162</v>
      </c>
      <c r="K6015" s="22" t="s">
        <v>7634</v>
      </c>
      <c r="L6015" s="22" t="s">
        <v>7635</v>
      </c>
      <c r="M6015" s="22" t="s">
        <v>7636</v>
      </c>
      <c r="N6015" s="50">
        <v>44293</v>
      </c>
      <c r="O6015" s="22" t="s">
        <v>163</v>
      </c>
      <c r="P6015" s="52">
        <v>4000</v>
      </c>
      <c r="Q6015" s="70">
        <v>3</v>
      </c>
      <c r="R6015" s="52">
        <f t="shared" si="180"/>
        <v>12000</v>
      </c>
      <c r="S6015" s="47">
        <v>202304</v>
      </c>
      <c r="T6015" s="123" t="s">
        <v>7644</v>
      </c>
      <c r="U6015" s="97"/>
      <c r="V6015" s="453"/>
      <c r="W6015" s="97"/>
      <c r="X6015" s="50">
        <v>44743</v>
      </c>
      <c r="Y6015" s="50">
        <v>45046</v>
      </c>
    </row>
    <row r="6016" s="5" customFormat="1" customHeight="1" spans="1:25">
      <c r="A6016" s="24" t="s">
        <v>152</v>
      </c>
      <c r="B6016" s="22" t="s">
        <v>7422</v>
      </c>
      <c r="C6016" s="22" t="s">
        <v>39</v>
      </c>
      <c r="D6016" s="22" t="s">
        <v>7585</v>
      </c>
      <c r="E6016" s="46" t="s">
        <v>7631</v>
      </c>
      <c r="F6016" s="22" t="s">
        <v>7632</v>
      </c>
      <c r="G6016" s="24" t="s">
        <v>88</v>
      </c>
      <c r="H6016" s="22" t="s">
        <v>7633</v>
      </c>
      <c r="I6016" s="46" t="e">
        <f>VLOOKUP(H6016,'合同高级查询数据-4月返'!A:A,1,FALSE)</f>
        <v>#N/A</v>
      </c>
      <c r="J6016" s="47" t="s">
        <v>162</v>
      </c>
      <c r="K6016" s="22" t="s">
        <v>7634</v>
      </c>
      <c r="L6016" s="22" t="s">
        <v>7635</v>
      </c>
      <c r="M6016" s="22" t="s">
        <v>7636</v>
      </c>
      <c r="N6016" s="50">
        <v>44713</v>
      </c>
      <c r="O6016" s="22" t="s">
        <v>163</v>
      </c>
      <c r="P6016" s="52">
        <v>4000</v>
      </c>
      <c r="Q6016" s="70">
        <v>4</v>
      </c>
      <c r="R6016" s="52">
        <f t="shared" si="180"/>
        <v>16000</v>
      </c>
      <c r="S6016" s="47">
        <v>202304</v>
      </c>
      <c r="T6016" s="123" t="s">
        <v>7645</v>
      </c>
      <c r="U6016" s="97"/>
      <c r="V6016" s="453"/>
      <c r="W6016" s="97"/>
      <c r="X6016" s="50">
        <v>44743</v>
      </c>
      <c r="Y6016" s="50">
        <v>45046</v>
      </c>
    </row>
    <row r="6017" s="5" customFormat="1" customHeight="1" spans="1:25">
      <c r="A6017" s="24" t="s">
        <v>152</v>
      </c>
      <c r="B6017" s="22" t="s">
        <v>7422</v>
      </c>
      <c r="C6017" s="22" t="s">
        <v>39</v>
      </c>
      <c r="D6017" s="22" t="s">
        <v>7585</v>
      </c>
      <c r="E6017" s="46" t="s">
        <v>7631</v>
      </c>
      <c r="F6017" s="22" t="s">
        <v>7632</v>
      </c>
      <c r="G6017" s="24" t="s">
        <v>88</v>
      </c>
      <c r="H6017" s="22" t="s">
        <v>7633</v>
      </c>
      <c r="I6017" s="46" t="e">
        <f>VLOOKUP(H6017,'合同高级查询数据-4月返'!A:A,1,FALSE)</f>
        <v>#N/A</v>
      </c>
      <c r="J6017" s="47" t="s">
        <v>162</v>
      </c>
      <c r="K6017" s="22" t="s">
        <v>7634</v>
      </c>
      <c r="L6017" s="22" t="s">
        <v>7635</v>
      </c>
      <c r="M6017" s="22" t="s">
        <v>7636</v>
      </c>
      <c r="N6017" s="50">
        <v>45016</v>
      </c>
      <c r="O6017" s="22" t="s">
        <v>163</v>
      </c>
      <c r="P6017" s="52">
        <v>4000</v>
      </c>
      <c r="Q6017" s="70">
        <v>-5</v>
      </c>
      <c r="R6017" s="52">
        <f t="shared" si="180"/>
        <v>-20000</v>
      </c>
      <c r="S6017" s="47">
        <v>202304</v>
      </c>
      <c r="T6017" s="123" t="s">
        <v>7646</v>
      </c>
      <c r="U6017" s="97"/>
      <c r="V6017" s="453"/>
      <c r="W6017" s="97"/>
      <c r="X6017" s="50">
        <v>44743</v>
      </c>
      <c r="Y6017" s="50">
        <v>45046</v>
      </c>
    </row>
    <row r="6018" s="5" customFormat="1" customHeight="1" spans="1:25">
      <c r="A6018" s="24" t="s">
        <v>152</v>
      </c>
      <c r="B6018" s="22" t="s">
        <v>7422</v>
      </c>
      <c r="C6018" s="22" t="s">
        <v>39</v>
      </c>
      <c r="D6018" s="22" t="s">
        <v>7585</v>
      </c>
      <c r="E6018" s="46" t="s">
        <v>7631</v>
      </c>
      <c r="F6018" s="22" t="s">
        <v>7632</v>
      </c>
      <c r="G6018" s="24" t="s">
        <v>88</v>
      </c>
      <c r="H6018" s="22" t="s">
        <v>7647</v>
      </c>
      <c r="I6018" s="46" t="e">
        <f>VLOOKUP(H6018,'合同高级查询数据-4月返'!A:A,1,FALSE)</f>
        <v>#N/A</v>
      </c>
      <c r="J6018" s="47" t="s">
        <v>7648</v>
      </c>
      <c r="K6018" s="22" t="s">
        <v>7634</v>
      </c>
      <c r="L6018" s="22" t="s">
        <v>7635</v>
      </c>
      <c r="M6018" s="22" t="s">
        <v>7649</v>
      </c>
      <c r="N6018" s="50">
        <v>44294</v>
      </c>
      <c r="O6018" s="22" t="s">
        <v>163</v>
      </c>
      <c r="P6018" s="52">
        <v>4000</v>
      </c>
      <c r="Q6018" s="70">
        <v>14</v>
      </c>
      <c r="R6018" s="52">
        <f t="shared" si="180"/>
        <v>56000</v>
      </c>
      <c r="S6018" s="47">
        <v>202304</v>
      </c>
      <c r="T6018" s="123" t="s">
        <v>7650</v>
      </c>
      <c r="U6018" s="97"/>
      <c r="V6018" s="453"/>
      <c r="W6018" s="97"/>
      <c r="X6018" s="50">
        <v>44743</v>
      </c>
      <c r="Y6018" s="50">
        <v>45046</v>
      </c>
    </row>
    <row r="6019" s="5" customFormat="1" customHeight="1" spans="1:25">
      <c r="A6019" s="24" t="s">
        <v>152</v>
      </c>
      <c r="B6019" s="22" t="s">
        <v>7422</v>
      </c>
      <c r="C6019" s="22" t="s">
        <v>39</v>
      </c>
      <c r="D6019" s="22" t="s">
        <v>7585</v>
      </c>
      <c r="E6019" s="46" t="s">
        <v>7631</v>
      </c>
      <c r="F6019" s="22" t="s">
        <v>7632</v>
      </c>
      <c r="G6019" s="24" t="s">
        <v>88</v>
      </c>
      <c r="H6019" s="22" t="s">
        <v>7647</v>
      </c>
      <c r="I6019" s="46" t="e">
        <f>VLOOKUP(H6019,'合同高级查询数据-4月返'!A:A,1,FALSE)</f>
        <v>#N/A</v>
      </c>
      <c r="J6019" s="47" t="s">
        <v>7648</v>
      </c>
      <c r="K6019" s="22" t="s">
        <v>7634</v>
      </c>
      <c r="L6019" s="22" t="s">
        <v>7635</v>
      </c>
      <c r="M6019" s="22" t="s">
        <v>7649</v>
      </c>
      <c r="N6019" s="50">
        <v>44303</v>
      </c>
      <c r="O6019" s="22" t="s">
        <v>163</v>
      </c>
      <c r="P6019" s="52">
        <v>4000</v>
      </c>
      <c r="Q6019" s="70">
        <v>19</v>
      </c>
      <c r="R6019" s="52">
        <f t="shared" si="180"/>
        <v>76000</v>
      </c>
      <c r="S6019" s="47">
        <v>202304</v>
      </c>
      <c r="T6019" s="123" t="s">
        <v>7651</v>
      </c>
      <c r="U6019" s="97"/>
      <c r="V6019" s="453"/>
      <c r="W6019" s="97"/>
      <c r="X6019" s="50">
        <v>44743</v>
      </c>
      <c r="Y6019" s="50">
        <v>45046</v>
      </c>
    </row>
    <row r="6020" s="5" customFormat="1" customHeight="1" spans="1:25">
      <c r="A6020" s="24" t="s">
        <v>152</v>
      </c>
      <c r="B6020" s="22" t="s">
        <v>7422</v>
      </c>
      <c r="C6020" s="22" t="s">
        <v>39</v>
      </c>
      <c r="D6020" s="22" t="s">
        <v>7585</v>
      </c>
      <c r="E6020" s="46" t="s">
        <v>7631</v>
      </c>
      <c r="F6020" s="22" t="s">
        <v>7632</v>
      </c>
      <c r="G6020" s="24" t="s">
        <v>88</v>
      </c>
      <c r="H6020" s="22" t="s">
        <v>7647</v>
      </c>
      <c r="I6020" s="46" t="e">
        <f>VLOOKUP(H6020,'合同高级查询数据-4月返'!A:A,1,FALSE)</f>
        <v>#N/A</v>
      </c>
      <c r="J6020" s="47" t="s">
        <v>7648</v>
      </c>
      <c r="K6020" s="22" t="s">
        <v>7634</v>
      </c>
      <c r="L6020" s="22" t="s">
        <v>7635</v>
      </c>
      <c r="M6020" s="22" t="s">
        <v>7649</v>
      </c>
      <c r="N6020" s="50">
        <v>44743</v>
      </c>
      <c r="O6020" s="22" t="s">
        <v>163</v>
      </c>
      <c r="P6020" s="52">
        <v>4000</v>
      </c>
      <c r="Q6020" s="70">
        <v>1</v>
      </c>
      <c r="R6020" s="52">
        <f t="shared" si="180"/>
        <v>4000</v>
      </c>
      <c r="S6020" s="47">
        <v>202304</v>
      </c>
      <c r="T6020" s="123" t="s">
        <v>7652</v>
      </c>
      <c r="U6020" s="97"/>
      <c r="V6020" s="453"/>
      <c r="W6020" s="97"/>
      <c r="X6020" s="50">
        <v>44743</v>
      </c>
      <c r="Y6020" s="50">
        <v>45046</v>
      </c>
    </row>
    <row r="6021" s="5" customFormat="1" customHeight="1" spans="1:25">
      <c r="A6021" s="24" t="s">
        <v>152</v>
      </c>
      <c r="B6021" s="22" t="s">
        <v>7422</v>
      </c>
      <c r="C6021" s="22" t="s">
        <v>39</v>
      </c>
      <c r="D6021" s="22" t="s">
        <v>7585</v>
      </c>
      <c r="E6021" s="46" t="s">
        <v>7631</v>
      </c>
      <c r="F6021" s="22" t="s">
        <v>7632</v>
      </c>
      <c r="G6021" s="24" t="s">
        <v>88</v>
      </c>
      <c r="H6021" s="22" t="s">
        <v>7653</v>
      </c>
      <c r="I6021" s="46" t="e">
        <f>VLOOKUP(H6021,'合同高级查询数据-4月返'!A:A,1,FALSE)</f>
        <v>#N/A</v>
      </c>
      <c r="J6021" s="47" t="s">
        <v>7648</v>
      </c>
      <c r="K6021" s="22" t="s">
        <v>7634</v>
      </c>
      <c r="L6021" s="22" t="s">
        <v>7635</v>
      </c>
      <c r="M6021" s="22" t="s">
        <v>7649</v>
      </c>
      <c r="N6021" s="50">
        <v>44827</v>
      </c>
      <c r="O6021" s="22" t="s">
        <v>163</v>
      </c>
      <c r="P6021" s="52">
        <v>4000</v>
      </c>
      <c r="Q6021" s="70">
        <v>1</v>
      </c>
      <c r="R6021" s="52">
        <f t="shared" si="180"/>
        <v>4000</v>
      </c>
      <c r="S6021" s="47">
        <v>202304</v>
      </c>
      <c r="T6021" s="123" t="s">
        <v>7654</v>
      </c>
      <c r="U6021" s="97"/>
      <c r="V6021" s="453"/>
      <c r="W6021" s="97"/>
      <c r="X6021" s="50">
        <v>44835</v>
      </c>
      <c r="Y6021" s="73">
        <v>45046</v>
      </c>
    </row>
    <row r="6022" s="5" customFormat="1" customHeight="1" spans="1:25">
      <c r="A6022" s="24" t="s">
        <v>152</v>
      </c>
      <c r="B6022" s="22" t="s">
        <v>7422</v>
      </c>
      <c r="C6022" s="22" t="s">
        <v>5042</v>
      </c>
      <c r="D6022" s="22" t="s">
        <v>7655</v>
      </c>
      <c r="E6022" s="46" t="s">
        <v>7631</v>
      </c>
      <c r="F6022" s="22" t="s">
        <v>7632</v>
      </c>
      <c r="G6022" s="24" t="s">
        <v>31</v>
      </c>
      <c r="H6022" s="22" t="s">
        <v>7656</v>
      </c>
      <c r="I6022" s="46" t="e">
        <f>VLOOKUP(H6022,'合同高级查询数据-4月返'!A:A,1,FALSE)</f>
        <v>#N/A</v>
      </c>
      <c r="J6022" s="47" t="s">
        <v>33</v>
      </c>
      <c r="K6022" s="22" t="s">
        <v>5271</v>
      </c>
      <c r="L6022" s="22" t="s">
        <v>7657</v>
      </c>
      <c r="M6022" s="22" t="s">
        <v>7658</v>
      </c>
      <c r="N6022" s="50">
        <v>44013</v>
      </c>
      <c r="O6022" s="22" t="s">
        <v>37</v>
      </c>
      <c r="P6022" s="52">
        <v>0</v>
      </c>
      <c r="Q6022" s="70">
        <v>288</v>
      </c>
      <c r="R6022" s="52">
        <f t="shared" si="180"/>
        <v>0</v>
      </c>
      <c r="S6022" s="47">
        <v>202304</v>
      </c>
      <c r="T6022" s="123" t="s">
        <v>7659</v>
      </c>
      <c r="U6022" s="97"/>
      <c r="V6022" s="453"/>
      <c r="W6022" s="97"/>
      <c r="X6022" s="50">
        <v>44835</v>
      </c>
      <c r="Y6022" s="73">
        <v>45199</v>
      </c>
    </row>
    <row r="6023" s="5" customFormat="1" customHeight="1" spans="1:25">
      <c r="A6023" s="24" t="s">
        <v>152</v>
      </c>
      <c r="B6023" s="22" t="s">
        <v>7422</v>
      </c>
      <c r="C6023" s="22" t="s">
        <v>5042</v>
      </c>
      <c r="D6023" s="22" t="s">
        <v>7655</v>
      </c>
      <c r="E6023" s="46" t="s">
        <v>7631</v>
      </c>
      <c r="F6023" s="22" t="s">
        <v>7632</v>
      </c>
      <c r="G6023" s="24" t="s">
        <v>31</v>
      </c>
      <c r="H6023" s="22" t="s">
        <v>7656</v>
      </c>
      <c r="I6023" s="46" t="e">
        <f>VLOOKUP(H6023,'合同高级查询数据-4月返'!A:A,1,FALSE)</f>
        <v>#N/A</v>
      </c>
      <c r="J6023" s="47" t="s">
        <v>33</v>
      </c>
      <c r="K6023" s="22" t="s">
        <v>5271</v>
      </c>
      <c r="L6023" s="22" t="s">
        <v>7657</v>
      </c>
      <c r="M6023" s="22" t="s">
        <v>7658</v>
      </c>
      <c r="N6023" s="50"/>
      <c r="O6023" s="22" t="s">
        <v>179</v>
      </c>
      <c r="P6023" s="52">
        <v>0</v>
      </c>
      <c r="Q6023" s="70">
        <v>0</v>
      </c>
      <c r="R6023" s="52">
        <f t="shared" si="180"/>
        <v>0</v>
      </c>
      <c r="S6023" s="47">
        <v>202304</v>
      </c>
      <c r="T6023" s="123" t="s">
        <v>7660</v>
      </c>
      <c r="U6023" s="97"/>
      <c r="V6023" s="453"/>
      <c r="W6023" s="97"/>
      <c r="X6023" s="50">
        <v>44835</v>
      </c>
      <c r="Y6023" s="73">
        <v>45199</v>
      </c>
    </row>
    <row r="6024" s="5" customFormat="1" customHeight="1" spans="1:25">
      <c r="A6024" s="24" t="s">
        <v>152</v>
      </c>
      <c r="B6024" s="22" t="s">
        <v>7422</v>
      </c>
      <c r="C6024" s="22" t="s">
        <v>5042</v>
      </c>
      <c r="D6024" s="22" t="s">
        <v>7655</v>
      </c>
      <c r="E6024" s="46" t="s">
        <v>7631</v>
      </c>
      <c r="F6024" s="22" t="s">
        <v>7632</v>
      </c>
      <c r="G6024" s="24" t="s">
        <v>88</v>
      </c>
      <c r="H6024" s="22" t="s">
        <v>7656</v>
      </c>
      <c r="I6024" s="46" t="e">
        <f>VLOOKUP(H6024,'合同高级查询数据-4月返'!A:A,1,FALSE)</f>
        <v>#N/A</v>
      </c>
      <c r="J6024" s="47" t="s">
        <v>162</v>
      </c>
      <c r="K6024" s="22" t="s">
        <v>5271</v>
      </c>
      <c r="L6024" s="22" t="s">
        <v>7657</v>
      </c>
      <c r="M6024" s="22" t="s">
        <v>7658</v>
      </c>
      <c r="N6024" s="50">
        <v>44013</v>
      </c>
      <c r="O6024" s="22" t="s">
        <v>163</v>
      </c>
      <c r="P6024" s="52">
        <v>3500</v>
      </c>
      <c r="Q6024" s="70">
        <v>3</v>
      </c>
      <c r="R6024" s="52">
        <f t="shared" si="180"/>
        <v>10500</v>
      </c>
      <c r="S6024" s="47">
        <v>202304</v>
      </c>
      <c r="T6024" s="123" t="s">
        <v>7661</v>
      </c>
      <c r="U6024" s="97"/>
      <c r="V6024" s="453"/>
      <c r="W6024" s="97"/>
      <c r="X6024" s="50">
        <v>44835</v>
      </c>
      <c r="Y6024" s="73">
        <v>45199</v>
      </c>
    </row>
    <row r="6025" s="5" customFormat="1" customHeight="1" spans="1:25">
      <c r="A6025" s="24" t="s">
        <v>152</v>
      </c>
      <c r="B6025" s="22" t="s">
        <v>7422</v>
      </c>
      <c r="C6025" s="22" t="s">
        <v>5042</v>
      </c>
      <c r="D6025" s="22" t="s">
        <v>7655</v>
      </c>
      <c r="E6025" s="46" t="s">
        <v>7631</v>
      </c>
      <c r="F6025" s="22" t="s">
        <v>7632</v>
      </c>
      <c r="G6025" s="24" t="s">
        <v>88</v>
      </c>
      <c r="H6025" s="22" t="s">
        <v>7656</v>
      </c>
      <c r="I6025" s="46" t="e">
        <f>VLOOKUP(H6025,'合同高级查询数据-4月返'!A:A,1,FALSE)</f>
        <v>#N/A</v>
      </c>
      <c r="J6025" s="47" t="s">
        <v>162</v>
      </c>
      <c r="K6025" s="22" t="s">
        <v>5271</v>
      </c>
      <c r="L6025" s="22" t="s">
        <v>7657</v>
      </c>
      <c r="M6025" s="22" t="s">
        <v>7658</v>
      </c>
      <c r="N6025" s="50">
        <v>44651</v>
      </c>
      <c r="O6025" s="22" t="s">
        <v>163</v>
      </c>
      <c r="P6025" s="52">
        <v>3500</v>
      </c>
      <c r="Q6025" s="70">
        <v>-3</v>
      </c>
      <c r="R6025" s="52">
        <f t="shared" si="180"/>
        <v>-10500</v>
      </c>
      <c r="S6025" s="47">
        <v>202304</v>
      </c>
      <c r="T6025" s="123" t="s">
        <v>7662</v>
      </c>
      <c r="U6025" s="97"/>
      <c r="V6025" s="453"/>
      <c r="W6025" s="97"/>
      <c r="X6025" s="50">
        <v>44835</v>
      </c>
      <c r="Y6025" s="73">
        <v>45199</v>
      </c>
    </row>
    <row r="6026" s="5" customFormat="1" customHeight="1" spans="1:25">
      <c r="A6026" s="24" t="s">
        <v>152</v>
      </c>
      <c r="B6026" s="22" t="s">
        <v>7422</v>
      </c>
      <c r="C6026" s="22" t="s">
        <v>5042</v>
      </c>
      <c r="D6026" s="22" t="s">
        <v>7655</v>
      </c>
      <c r="E6026" s="46" t="s">
        <v>7631</v>
      </c>
      <c r="F6026" s="22" t="s">
        <v>7632</v>
      </c>
      <c r="G6026" s="24" t="s">
        <v>88</v>
      </c>
      <c r="H6026" s="22" t="s">
        <v>7656</v>
      </c>
      <c r="I6026" s="46" t="e">
        <f>VLOOKUP(H6026,'合同高级查询数据-4月返'!A:A,1,FALSE)</f>
        <v>#N/A</v>
      </c>
      <c r="J6026" s="47" t="s">
        <v>162</v>
      </c>
      <c r="K6026" s="22" t="s">
        <v>5271</v>
      </c>
      <c r="L6026" s="22" t="s">
        <v>7657</v>
      </c>
      <c r="M6026" s="22" t="s">
        <v>7658</v>
      </c>
      <c r="N6026" s="50">
        <v>44652</v>
      </c>
      <c r="O6026" s="22" t="s">
        <v>163</v>
      </c>
      <c r="P6026" s="52">
        <v>3500</v>
      </c>
      <c r="Q6026" s="70">
        <v>3</v>
      </c>
      <c r="R6026" s="52">
        <f t="shared" si="180"/>
        <v>10500</v>
      </c>
      <c r="S6026" s="47">
        <v>202304</v>
      </c>
      <c r="T6026" s="123" t="s">
        <v>7663</v>
      </c>
      <c r="U6026" s="97"/>
      <c r="V6026" s="453"/>
      <c r="W6026" s="97"/>
      <c r="X6026" s="50">
        <v>44835</v>
      </c>
      <c r="Y6026" s="73">
        <v>45199</v>
      </c>
    </row>
    <row r="6027" s="5" customFormat="1" customHeight="1" spans="1:25">
      <c r="A6027" s="24" t="s">
        <v>152</v>
      </c>
      <c r="B6027" s="22" t="s">
        <v>7422</v>
      </c>
      <c r="C6027" s="22" t="s">
        <v>153</v>
      </c>
      <c r="D6027" s="22" t="s">
        <v>7585</v>
      </c>
      <c r="E6027" s="46" t="s">
        <v>7631</v>
      </c>
      <c r="F6027" s="22" t="s">
        <v>7632</v>
      </c>
      <c r="G6027" s="24" t="s">
        <v>31</v>
      </c>
      <c r="H6027" s="22" t="s">
        <v>7664</v>
      </c>
      <c r="I6027" s="46" t="e">
        <f>VLOOKUP(H6027,'合同高级查询数据-4月返'!A:A,1,FALSE)</f>
        <v>#N/A</v>
      </c>
      <c r="J6027" s="47" t="s">
        <v>33</v>
      </c>
      <c r="K6027" s="22" t="s">
        <v>7665</v>
      </c>
      <c r="L6027" s="22" t="s">
        <v>7666</v>
      </c>
      <c r="M6027" s="22" t="s">
        <v>7667</v>
      </c>
      <c r="N6027" s="50">
        <v>44682</v>
      </c>
      <c r="O6027" s="22" t="s">
        <v>37</v>
      </c>
      <c r="P6027" s="501">
        <v>0</v>
      </c>
      <c r="Q6027" s="486">
        <v>288</v>
      </c>
      <c r="R6027" s="52">
        <f t="shared" si="180"/>
        <v>0</v>
      </c>
      <c r="S6027" s="47">
        <v>202304</v>
      </c>
      <c r="T6027" s="97" t="s">
        <v>7668</v>
      </c>
      <c r="U6027" s="97"/>
      <c r="V6027" s="97"/>
      <c r="W6027" s="97"/>
      <c r="X6027" s="493">
        <v>44743</v>
      </c>
      <c r="Y6027" s="493">
        <v>45046</v>
      </c>
    </row>
    <row r="6028" s="5" customFormat="1" customHeight="1" spans="1:25">
      <c r="A6028" s="24" t="s">
        <v>152</v>
      </c>
      <c r="B6028" s="22" t="s">
        <v>7422</v>
      </c>
      <c r="C6028" s="22" t="s">
        <v>153</v>
      </c>
      <c r="D6028" s="22" t="s">
        <v>7585</v>
      </c>
      <c r="E6028" s="46" t="s">
        <v>7631</v>
      </c>
      <c r="F6028" s="22" t="s">
        <v>7632</v>
      </c>
      <c r="G6028" s="24" t="s">
        <v>31</v>
      </c>
      <c r="H6028" s="22" t="s">
        <v>7664</v>
      </c>
      <c r="I6028" s="46" t="e">
        <f>VLOOKUP(H6028,'合同高级查询数据-4月返'!A:A,1,FALSE)</f>
        <v>#N/A</v>
      </c>
      <c r="J6028" s="47" t="s">
        <v>33</v>
      </c>
      <c r="K6028" s="22" t="s">
        <v>7665</v>
      </c>
      <c r="L6028" s="22" t="s">
        <v>7666</v>
      </c>
      <c r="M6028" s="22" t="s">
        <v>7667</v>
      </c>
      <c r="N6028" s="50">
        <v>44682</v>
      </c>
      <c r="O6028" s="22" t="s">
        <v>37</v>
      </c>
      <c r="P6028" s="501">
        <v>0</v>
      </c>
      <c r="Q6028" s="486">
        <v>256</v>
      </c>
      <c r="R6028" s="52">
        <f t="shared" si="180"/>
        <v>0</v>
      </c>
      <c r="S6028" s="47">
        <v>202304</v>
      </c>
      <c r="T6028" s="97" t="s">
        <v>7669</v>
      </c>
      <c r="U6028" s="97"/>
      <c r="V6028" s="97"/>
      <c r="W6028" s="97"/>
      <c r="X6028" s="493">
        <v>44743</v>
      </c>
      <c r="Y6028" s="493">
        <v>45046</v>
      </c>
    </row>
    <row r="6029" s="5" customFormat="1" customHeight="1" spans="1:25">
      <c r="A6029" s="24" t="s">
        <v>152</v>
      </c>
      <c r="B6029" s="22" t="s">
        <v>7422</v>
      </c>
      <c r="C6029" s="22" t="s">
        <v>153</v>
      </c>
      <c r="D6029" s="22" t="s">
        <v>7585</v>
      </c>
      <c r="E6029" s="46" t="s">
        <v>7631</v>
      </c>
      <c r="F6029" s="22" t="s">
        <v>7632</v>
      </c>
      <c r="G6029" s="24" t="s">
        <v>31</v>
      </c>
      <c r="H6029" s="22" t="s">
        <v>7664</v>
      </c>
      <c r="I6029" s="46" t="e">
        <f>VLOOKUP(H6029,'合同高级查询数据-4月返'!A:A,1,FALSE)</f>
        <v>#N/A</v>
      </c>
      <c r="J6029" s="47" t="s">
        <v>33</v>
      </c>
      <c r="K6029" s="22" t="s">
        <v>7665</v>
      </c>
      <c r="L6029" s="22" t="s">
        <v>7666</v>
      </c>
      <c r="M6029" s="22" t="s">
        <v>7667</v>
      </c>
      <c r="N6029" s="50">
        <v>44773</v>
      </c>
      <c r="O6029" s="22" t="s">
        <v>37</v>
      </c>
      <c r="P6029" s="501">
        <v>0</v>
      </c>
      <c r="Q6029" s="486">
        <v>-256</v>
      </c>
      <c r="R6029" s="52">
        <f t="shared" si="180"/>
        <v>0</v>
      </c>
      <c r="S6029" s="47">
        <v>202304</v>
      </c>
      <c r="T6029" s="97" t="s">
        <v>7670</v>
      </c>
      <c r="U6029" s="97"/>
      <c r="V6029" s="97"/>
      <c r="W6029" s="97"/>
      <c r="X6029" s="493">
        <v>44743</v>
      </c>
      <c r="Y6029" s="493">
        <v>45046</v>
      </c>
    </row>
    <row r="6030" s="5" customFormat="1" customHeight="1" spans="1:25">
      <c r="A6030" s="24" t="s">
        <v>152</v>
      </c>
      <c r="B6030" s="22" t="s">
        <v>7422</v>
      </c>
      <c r="C6030" s="22" t="s">
        <v>153</v>
      </c>
      <c r="D6030" s="22" t="s">
        <v>7585</v>
      </c>
      <c r="E6030" s="46" t="s">
        <v>7631</v>
      </c>
      <c r="F6030" s="22" t="s">
        <v>7632</v>
      </c>
      <c r="G6030" s="24" t="s">
        <v>31</v>
      </c>
      <c r="H6030" s="22" t="s">
        <v>7664</v>
      </c>
      <c r="I6030" s="46" t="e">
        <f>VLOOKUP(H6030,'合同高级查询数据-4月返'!A:A,1,FALSE)</f>
        <v>#N/A</v>
      </c>
      <c r="J6030" s="47" t="s">
        <v>33</v>
      </c>
      <c r="K6030" s="22" t="s">
        <v>7665</v>
      </c>
      <c r="L6030" s="22" t="s">
        <v>7666</v>
      </c>
      <c r="M6030" s="22" t="s">
        <v>7667</v>
      </c>
      <c r="N6030" s="50">
        <v>44682</v>
      </c>
      <c r="O6030" s="22" t="s">
        <v>179</v>
      </c>
      <c r="P6030" s="501">
        <v>0</v>
      </c>
      <c r="Q6030" s="486">
        <v>1</v>
      </c>
      <c r="R6030" s="52">
        <f t="shared" si="180"/>
        <v>0</v>
      </c>
      <c r="S6030" s="47">
        <v>202304</v>
      </c>
      <c r="T6030" s="97" t="s">
        <v>7671</v>
      </c>
      <c r="U6030" s="97"/>
      <c r="V6030" s="97"/>
      <c r="W6030" s="97"/>
      <c r="X6030" s="493">
        <v>44743</v>
      </c>
      <c r="Y6030" s="493">
        <v>45046</v>
      </c>
    </row>
    <row r="6031" s="5" customFormat="1" customHeight="1" spans="1:25">
      <c r="A6031" s="24" t="s">
        <v>152</v>
      </c>
      <c r="B6031" s="22" t="s">
        <v>7422</v>
      </c>
      <c r="C6031" s="22" t="s">
        <v>153</v>
      </c>
      <c r="D6031" s="22" t="s">
        <v>7585</v>
      </c>
      <c r="E6031" s="46" t="s">
        <v>7631</v>
      </c>
      <c r="F6031" s="22" t="s">
        <v>7632</v>
      </c>
      <c r="G6031" s="24" t="s">
        <v>31</v>
      </c>
      <c r="H6031" s="22" t="s">
        <v>7664</v>
      </c>
      <c r="I6031" s="46" t="e">
        <f>VLOOKUP(H6031,'合同高级查询数据-4月返'!A:A,1,FALSE)</f>
        <v>#N/A</v>
      </c>
      <c r="J6031" s="47" t="s">
        <v>33</v>
      </c>
      <c r="K6031" s="22" t="s">
        <v>7665</v>
      </c>
      <c r="L6031" s="22" t="s">
        <v>7666</v>
      </c>
      <c r="M6031" s="22" t="s">
        <v>7667</v>
      </c>
      <c r="N6031" s="50">
        <v>44773</v>
      </c>
      <c r="O6031" s="22" t="s">
        <v>179</v>
      </c>
      <c r="P6031" s="501">
        <v>0</v>
      </c>
      <c r="Q6031" s="486">
        <v>-1</v>
      </c>
      <c r="R6031" s="52">
        <f t="shared" si="180"/>
        <v>0</v>
      </c>
      <c r="S6031" s="47">
        <v>202304</v>
      </c>
      <c r="T6031" s="97" t="s">
        <v>7672</v>
      </c>
      <c r="U6031" s="97"/>
      <c r="V6031" s="97"/>
      <c r="W6031" s="97"/>
      <c r="X6031" s="493">
        <v>44743</v>
      </c>
      <c r="Y6031" s="493">
        <v>45046</v>
      </c>
    </row>
    <row r="6032" s="5" customFormat="1" customHeight="1" spans="1:25">
      <c r="A6032" s="24" t="s">
        <v>152</v>
      </c>
      <c r="B6032" s="22" t="s">
        <v>7422</v>
      </c>
      <c r="C6032" s="22" t="s">
        <v>153</v>
      </c>
      <c r="D6032" s="22" t="s">
        <v>7585</v>
      </c>
      <c r="E6032" s="46" t="s">
        <v>7631</v>
      </c>
      <c r="F6032" s="22" t="s">
        <v>7632</v>
      </c>
      <c r="G6032" s="24" t="s">
        <v>88</v>
      </c>
      <c r="H6032" s="22" t="s">
        <v>7664</v>
      </c>
      <c r="I6032" s="46" t="e">
        <f>VLOOKUP(H6032,'合同高级查询数据-4月返'!A:A,1,FALSE)</f>
        <v>#N/A</v>
      </c>
      <c r="J6032" s="47" t="s">
        <v>162</v>
      </c>
      <c r="K6032" s="22" t="s">
        <v>7665</v>
      </c>
      <c r="L6032" s="22" t="s">
        <v>7666</v>
      </c>
      <c r="M6032" s="22" t="s">
        <v>7667</v>
      </c>
      <c r="N6032" s="50">
        <v>44682</v>
      </c>
      <c r="O6032" s="22" t="s">
        <v>503</v>
      </c>
      <c r="P6032" s="501">
        <v>4500</v>
      </c>
      <c r="Q6032" s="486">
        <v>2</v>
      </c>
      <c r="R6032" s="52">
        <f t="shared" si="180"/>
        <v>9000</v>
      </c>
      <c r="S6032" s="47">
        <v>202304</v>
      </c>
      <c r="T6032" s="97" t="s">
        <v>7673</v>
      </c>
      <c r="U6032" s="97"/>
      <c r="V6032" s="97"/>
      <c r="W6032" s="97"/>
      <c r="X6032" s="493">
        <v>44743</v>
      </c>
      <c r="Y6032" s="493">
        <v>45046</v>
      </c>
    </row>
    <row r="6033" s="5" customFormat="1" customHeight="1" spans="1:25">
      <c r="A6033" s="24" t="s">
        <v>152</v>
      </c>
      <c r="B6033" s="22" t="s">
        <v>7422</v>
      </c>
      <c r="C6033" s="22" t="s">
        <v>153</v>
      </c>
      <c r="D6033" s="22" t="s">
        <v>7585</v>
      </c>
      <c r="E6033" s="46" t="s">
        <v>7631</v>
      </c>
      <c r="F6033" s="22" t="s">
        <v>7632</v>
      </c>
      <c r="G6033" s="24" t="s">
        <v>88</v>
      </c>
      <c r="H6033" s="22" t="s">
        <v>7664</v>
      </c>
      <c r="I6033" s="46" t="e">
        <f>VLOOKUP(H6033,'合同高级查询数据-4月返'!A:A,1,FALSE)</f>
        <v>#N/A</v>
      </c>
      <c r="J6033" s="47" t="s">
        <v>162</v>
      </c>
      <c r="K6033" s="22" t="s">
        <v>7665</v>
      </c>
      <c r="L6033" s="22" t="s">
        <v>7666</v>
      </c>
      <c r="M6033" s="22" t="s">
        <v>7667</v>
      </c>
      <c r="N6033" s="50">
        <v>44682</v>
      </c>
      <c r="O6033" s="22" t="s">
        <v>503</v>
      </c>
      <c r="P6033" s="501">
        <v>4500</v>
      </c>
      <c r="Q6033" s="486">
        <v>2</v>
      </c>
      <c r="R6033" s="52">
        <f t="shared" si="180"/>
        <v>9000</v>
      </c>
      <c r="S6033" s="47">
        <v>202304</v>
      </c>
      <c r="T6033" s="97" t="s">
        <v>7674</v>
      </c>
      <c r="U6033" s="97"/>
      <c r="V6033" s="97"/>
      <c r="W6033" s="97"/>
      <c r="X6033" s="493">
        <v>44743</v>
      </c>
      <c r="Y6033" s="493">
        <v>45046</v>
      </c>
    </row>
    <row r="6034" s="5" customFormat="1" customHeight="1" spans="1:25">
      <c r="A6034" s="24" t="s">
        <v>152</v>
      </c>
      <c r="B6034" s="22" t="s">
        <v>7422</v>
      </c>
      <c r="C6034" s="22" t="s">
        <v>153</v>
      </c>
      <c r="D6034" s="22" t="s">
        <v>7585</v>
      </c>
      <c r="E6034" s="46" t="s">
        <v>7631</v>
      </c>
      <c r="F6034" s="22" t="s">
        <v>7632</v>
      </c>
      <c r="G6034" s="24" t="s">
        <v>88</v>
      </c>
      <c r="H6034" s="22" t="s">
        <v>7664</v>
      </c>
      <c r="I6034" s="46" t="e">
        <f>VLOOKUP(H6034,'合同高级查询数据-4月返'!A:A,1,FALSE)</f>
        <v>#N/A</v>
      </c>
      <c r="J6034" s="47" t="s">
        <v>162</v>
      </c>
      <c r="K6034" s="22" t="s">
        <v>7665</v>
      </c>
      <c r="L6034" s="22" t="s">
        <v>7666</v>
      </c>
      <c r="M6034" s="22" t="s">
        <v>7667</v>
      </c>
      <c r="N6034" s="50">
        <v>44773</v>
      </c>
      <c r="O6034" s="22" t="s">
        <v>503</v>
      </c>
      <c r="P6034" s="501">
        <v>4500</v>
      </c>
      <c r="Q6034" s="486">
        <v>-2</v>
      </c>
      <c r="R6034" s="52">
        <f t="shared" si="180"/>
        <v>-9000</v>
      </c>
      <c r="S6034" s="47">
        <v>202304</v>
      </c>
      <c r="T6034" s="97" t="s">
        <v>7675</v>
      </c>
      <c r="U6034" s="97"/>
      <c r="V6034" s="97"/>
      <c r="W6034" s="97"/>
      <c r="X6034" s="493">
        <v>44743</v>
      </c>
      <c r="Y6034" s="493">
        <v>45046</v>
      </c>
    </row>
    <row r="6035" s="5" customFormat="1" customHeight="1" spans="1:25">
      <c r="A6035" s="24" t="s">
        <v>152</v>
      </c>
      <c r="B6035" s="22" t="s">
        <v>7422</v>
      </c>
      <c r="C6035" s="22" t="s">
        <v>153</v>
      </c>
      <c r="D6035" s="22" t="s">
        <v>7585</v>
      </c>
      <c r="E6035" s="46" t="s">
        <v>7631</v>
      </c>
      <c r="F6035" s="22" t="s">
        <v>7632</v>
      </c>
      <c r="G6035" s="24" t="s">
        <v>88</v>
      </c>
      <c r="H6035" s="22" t="s">
        <v>7664</v>
      </c>
      <c r="I6035" s="46" t="e">
        <f>VLOOKUP(H6035,'合同高级查询数据-4月返'!A:A,1,FALSE)</f>
        <v>#N/A</v>
      </c>
      <c r="J6035" s="47" t="s">
        <v>162</v>
      </c>
      <c r="K6035" s="22" t="s">
        <v>7665</v>
      </c>
      <c r="L6035" s="22" t="s">
        <v>7666</v>
      </c>
      <c r="M6035" s="22" t="s">
        <v>7667</v>
      </c>
      <c r="N6035" s="50">
        <v>44774</v>
      </c>
      <c r="O6035" s="22" t="s">
        <v>503</v>
      </c>
      <c r="P6035" s="501">
        <v>4500</v>
      </c>
      <c r="Q6035" s="486">
        <v>2</v>
      </c>
      <c r="R6035" s="52">
        <f t="shared" si="180"/>
        <v>9000</v>
      </c>
      <c r="S6035" s="47">
        <v>202304</v>
      </c>
      <c r="T6035" s="97" t="s">
        <v>7676</v>
      </c>
      <c r="U6035" s="97"/>
      <c r="V6035" s="97"/>
      <c r="W6035" s="97"/>
      <c r="X6035" s="493">
        <v>44743</v>
      </c>
      <c r="Y6035" s="493">
        <v>45046</v>
      </c>
    </row>
    <row r="6036" s="5" customFormat="1" customHeight="1" spans="1:25">
      <c r="A6036" s="24" t="s">
        <v>109</v>
      </c>
      <c r="B6036" s="24" t="s">
        <v>7422</v>
      </c>
      <c r="C6036" s="24" t="s">
        <v>3237</v>
      </c>
      <c r="D6036" s="22" t="s">
        <v>7585</v>
      </c>
      <c r="E6036" s="23" t="s">
        <v>7677</v>
      </c>
      <c r="F6036" s="24" t="s">
        <v>7678</v>
      </c>
      <c r="G6036" s="24" t="s">
        <v>31</v>
      </c>
      <c r="H6036" s="25" t="s">
        <v>7679</v>
      </c>
      <c r="I6036" s="46" t="e">
        <f>VLOOKUP(H6036,'合同高级查询数据-4月返'!A:A,1,FALSE)</f>
        <v>#N/A</v>
      </c>
      <c r="J6036" s="47" t="s">
        <v>33</v>
      </c>
      <c r="K6036" s="24" t="s">
        <v>6704</v>
      </c>
      <c r="L6036" s="109" t="s">
        <v>7680</v>
      </c>
      <c r="M6036" s="49" t="s">
        <v>7681</v>
      </c>
      <c r="N6036" s="493">
        <v>43490</v>
      </c>
      <c r="O6036" s="493" t="s">
        <v>37</v>
      </c>
      <c r="P6036" s="52">
        <v>0</v>
      </c>
      <c r="Q6036" s="70">
        <v>288</v>
      </c>
      <c r="R6036" s="52">
        <f t="shared" si="180"/>
        <v>0</v>
      </c>
      <c r="S6036" s="47">
        <v>202304</v>
      </c>
      <c r="T6036" s="123" t="s">
        <v>7682</v>
      </c>
      <c r="U6036" s="48"/>
      <c r="V6036" s="48"/>
      <c r="W6036" s="48"/>
      <c r="X6036" s="50">
        <v>44378</v>
      </c>
      <c r="Y6036" s="50">
        <v>44742</v>
      </c>
    </row>
    <row r="6037" s="5" customFormat="1" customHeight="1" spans="1:25">
      <c r="A6037" s="24" t="s">
        <v>109</v>
      </c>
      <c r="B6037" s="24" t="s">
        <v>7422</v>
      </c>
      <c r="C6037" s="24" t="s">
        <v>3237</v>
      </c>
      <c r="D6037" s="22" t="s">
        <v>7585</v>
      </c>
      <c r="E6037" s="23" t="s">
        <v>7677</v>
      </c>
      <c r="F6037" s="24" t="s">
        <v>7678</v>
      </c>
      <c r="G6037" s="24" t="s">
        <v>31</v>
      </c>
      <c r="H6037" s="25" t="s">
        <v>7679</v>
      </c>
      <c r="I6037" s="46" t="e">
        <f>VLOOKUP(H6037,'合同高级查询数据-4月返'!A:A,1,FALSE)</f>
        <v>#N/A</v>
      </c>
      <c r="J6037" s="47" t="s">
        <v>33</v>
      </c>
      <c r="K6037" s="24" t="s">
        <v>6704</v>
      </c>
      <c r="L6037" s="109" t="s">
        <v>7680</v>
      </c>
      <c r="M6037" s="49" t="s">
        <v>7681</v>
      </c>
      <c r="N6037" s="493">
        <v>44500</v>
      </c>
      <c r="O6037" s="493" t="s">
        <v>37</v>
      </c>
      <c r="P6037" s="52">
        <v>0</v>
      </c>
      <c r="Q6037" s="70">
        <v>-288</v>
      </c>
      <c r="R6037" s="52">
        <f t="shared" si="180"/>
        <v>0</v>
      </c>
      <c r="S6037" s="47">
        <v>202304</v>
      </c>
      <c r="T6037" s="123" t="s">
        <v>7683</v>
      </c>
      <c r="U6037" s="48"/>
      <c r="V6037" s="48"/>
      <c r="W6037" s="48"/>
      <c r="X6037" s="50">
        <v>44378</v>
      </c>
      <c r="Y6037" s="50">
        <v>44742</v>
      </c>
    </row>
    <row r="6038" s="5" customFormat="1" customHeight="1" spans="1:25">
      <c r="A6038" s="24" t="s">
        <v>109</v>
      </c>
      <c r="B6038" s="24" t="s">
        <v>7422</v>
      </c>
      <c r="C6038" s="24" t="s">
        <v>3237</v>
      </c>
      <c r="D6038" s="22" t="s">
        <v>7585</v>
      </c>
      <c r="E6038" s="23" t="s">
        <v>7677</v>
      </c>
      <c r="F6038" s="24" t="s">
        <v>7678</v>
      </c>
      <c r="G6038" s="24" t="s">
        <v>31</v>
      </c>
      <c r="H6038" s="25" t="s">
        <v>7679</v>
      </c>
      <c r="I6038" s="46" t="e">
        <f>VLOOKUP(H6038,'合同高级查询数据-4月返'!A:A,1,FALSE)</f>
        <v>#N/A</v>
      </c>
      <c r="J6038" s="47" t="s">
        <v>33</v>
      </c>
      <c r="K6038" s="24" t="s">
        <v>6704</v>
      </c>
      <c r="L6038" s="109" t="s">
        <v>7680</v>
      </c>
      <c r="M6038" s="49" t="s">
        <v>7681</v>
      </c>
      <c r="N6038" s="493"/>
      <c r="O6038" s="22" t="s">
        <v>179</v>
      </c>
      <c r="P6038" s="52">
        <v>0</v>
      </c>
      <c r="Q6038" s="70">
        <v>0</v>
      </c>
      <c r="R6038" s="52">
        <f t="shared" ref="R6038:R6101" si="181">ROUND(P6038*Q6038,2)</f>
        <v>0</v>
      </c>
      <c r="S6038" s="47">
        <v>202304</v>
      </c>
      <c r="T6038" s="123" t="s">
        <v>7684</v>
      </c>
      <c r="U6038" s="48"/>
      <c r="V6038" s="48"/>
      <c r="W6038" s="48"/>
      <c r="X6038" s="50">
        <v>44378</v>
      </c>
      <c r="Y6038" s="50">
        <v>44742</v>
      </c>
    </row>
    <row r="6039" s="5" customFormat="1" customHeight="1" spans="1:25">
      <c r="A6039" s="24" t="s">
        <v>109</v>
      </c>
      <c r="B6039" s="24" t="s">
        <v>7422</v>
      </c>
      <c r="C6039" s="24" t="s">
        <v>3237</v>
      </c>
      <c r="D6039" s="22" t="s">
        <v>7585</v>
      </c>
      <c r="E6039" s="23" t="s">
        <v>7677</v>
      </c>
      <c r="F6039" s="24" t="s">
        <v>7678</v>
      </c>
      <c r="G6039" s="24" t="s">
        <v>88</v>
      </c>
      <c r="H6039" s="25" t="s">
        <v>7679</v>
      </c>
      <c r="I6039" s="46" t="e">
        <f>VLOOKUP(H6039,'合同高级查询数据-4月返'!A:A,1,FALSE)</f>
        <v>#N/A</v>
      </c>
      <c r="J6039" s="47" t="s">
        <v>162</v>
      </c>
      <c r="K6039" s="24" t="s">
        <v>6704</v>
      </c>
      <c r="L6039" s="109" t="s">
        <v>7680</v>
      </c>
      <c r="M6039" s="49" t="s">
        <v>7681</v>
      </c>
      <c r="N6039" s="493">
        <v>43490</v>
      </c>
      <c r="O6039" s="493" t="s">
        <v>92</v>
      </c>
      <c r="P6039" s="52">
        <v>5000</v>
      </c>
      <c r="Q6039" s="70">
        <v>6</v>
      </c>
      <c r="R6039" s="52">
        <f t="shared" si="181"/>
        <v>30000</v>
      </c>
      <c r="S6039" s="47">
        <v>202304</v>
      </c>
      <c r="T6039" s="123" t="s">
        <v>7685</v>
      </c>
      <c r="U6039" s="48"/>
      <c r="V6039" s="48"/>
      <c r="W6039" s="48"/>
      <c r="X6039" s="50">
        <v>44378</v>
      </c>
      <c r="Y6039" s="50">
        <v>44742</v>
      </c>
    </row>
    <row r="6040" s="5" customFormat="1" customHeight="1" spans="1:25">
      <c r="A6040" s="24" t="s">
        <v>109</v>
      </c>
      <c r="B6040" s="24" t="s">
        <v>7422</v>
      </c>
      <c r="C6040" s="24" t="s">
        <v>3237</v>
      </c>
      <c r="D6040" s="22" t="s">
        <v>7585</v>
      </c>
      <c r="E6040" s="23" t="s">
        <v>7677</v>
      </c>
      <c r="F6040" s="24" t="s">
        <v>7678</v>
      </c>
      <c r="G6040" s="24" t="s">
        <v>88</v>
      </c>
      <c r="H6040" s="25" t="s">
        <v>7679</v>
      </c>
      <c r="I6040" s="46" t="e">
        <f>VLOOKUP(H6040,'合同高级查询数据-4月返'!A:A,1,FALSE)</f>
        <v>#N/A</v>
      </c>
      <c r="J6040" s="47" t="s">
        <v>162</v>
      </c>
      <c r="K6040" s="24" t="s">
        <v>6704</v>
      </c>
      <c r="L6040" s="109" t="s">
        <v>7680</v>
      </c>
      <c r="M6040" s="49" t="s">
        <v>7681</v>
      </c>
      <c r="N6040" s="493">
        <v>44500</v>
      </c>
      <c r="O6040" s="493" t="s">
        <v>92</v>
      </c>
      <c r="P6040" s="52">
        <v>5000</v>
      </c>
      <c r="Q6040" s="70">
        <v>-6</v>
      </c>
      <c r="R6040" s="52">
        <f t="shared" si="181"/>
        <v>-30000</v>
      </c>
      <c r="S6040" s="47">
        <v>202304</v>
      </c>
      <c r="T6040" s="123" t="s">
        <v>7686</v>
      </c>
      <c r="U6040" s="48"/>
      <c r="V6040" s="48"/>
      <c r="W6040" s="48"/>
      <c r="X6040" s="50">
        <v>44378</v>
      </c>
      <c r="Y6040" s="50">
        <v>44742</v>
      </c>
    </row>
    <row r="6041" s="5" customFormat="1" customHeight="1" spans="1:25">
      <c r="A6041" s="24" t="s">
        <v>109</v>
      </c>
      <c r="B6041" s="24" t="s">
        <v>7422</v>
      </c>
      <c r="C6041" s="24" t="s">
        <v>3237</v>
      </c>
      <c r="D6041" s="22" t="s">
        <v>7585</v>
      </c>
      <c r="E6041" s="23" t="s">
        <v>7677</v>
      </c>
      <c r="F6041" s="24" t="s">
        <v>7678</v>
      </c>
      <c r="G6041" s="24" t="s">
        <v>31</v>
      </c>
      <c r="H6041" s="25" t="s">
        <v>7687</v>
      </c>
      <c r="I6041" s="46" t="e">
        <f>VLOOKUP(H6041,'合同高级查询数据-4月返'!A:A,1,FALSE)</f>
        <v>#N/A</v>
      </c>
      <c r="J6041" s="47" t="s">
        <v>33</v>
      </c>
      <c r="K6041" s="24" t="s">
        <v>7622</v>
      </c>
      <c r="L6041" s="109" t="s">
        <v>7688</v>
      </c>
      <c r="M6041" s="49" t="s">
        <v>7689</v>
      </c>
      <c r="N6041" s="493">
        <v>44501</v>
      </c>
      <c r="O6041" s="493" t="s">
        <v>37</v>
      </c>
      <c r="P6041" s="52">
        <v>0</v>
      </c>
      <c r="Q6041" s="70">
        <v>288</v>
      </c>
      <c r="R6041" s="52">
        <f t="shared" si="181"/>
        <v>0</v>
      </c>
      <c r="S6041" s="47">
        <v>202304</v>
      </c>
      <c r="T6041" s="123" t="s">
        <v>7690</v>
      </c>
      <c r="U6041" s="48"/>
      <c r="V6041" s="48"/>
      <c r="W6041" s="48"/>
      <c r="X6041" s="50">
        <v>44866</v>
      </c>
      <c r="Y6041" s="73">
        <v>45230</v>
      </c>
    </row>
    <row r="6042" s="5" customFormat="1" customHeight="1" spans="1:25">
      <c r="A6042" s="24" t="s">
        <v>109</v>
      </c>
      <c r="B6042" s="24" t="s">
        <v>7422</v>
      </c>
      <c r="C6042" s="24" t="s">
        <v>3237</v>
      </c>
      <c r="D6042" s="22" t="s">
        <v>7585</v>
      </c>
      <c r="E6042" s="23" t="s">
        <v>7677</v>
      </c>
      <c r="F6042" s="24" t="s">
        <v>7678</v>
      </c>
      <c r="G6042" s="24" t="s">
        <v>31</v>
      </c>
      <c r="H6042" s="25" t="s">
        <v>7687</v>
      </c>
      <c r="I6042" s="46" t="e">
        <f>VLOOKUP(H6042,'合同高级查询数据-4月返'!A:A,1,FALSE)</f>
        <v>#N/A</v>
      </c>
      <c r="J6042" s="47" t="s">
        <v>33</v>
      </c>
      <c r="K6042" s="24" t="s">
        <v>7622</v>
      </c>
      <c r="L6042" s="109" t="s">
        <v>7688</v>
      </c>
      <c r="M6042" s="49" t="s">
        <v>7689</v>
      </c>
      <c r="N6042" s="493">
        <v>44985</v>
      </c>
      <c r="O6042" s="493" t="s">
        <v>37</v>
      </c>
      <c r="P6042" s="52">
        <v>0</v>
      </c>
      <c r="Q6042" s="70">
        <v>-288</v>
      </c>
      <c r="R6042" s="52">
        <f t="shared" si="181"/>
        <v>0</v>
      </c>
      <c r="S6042" s="47">
        <v>202304</v>
      </c>
      <c r="T6042" s="123" t="s">
        <v>7691</v>
      </c>
      <c r="U6042" s="48"/>
      <c r="V6042" s="48"/>
      <c r="W6042" s="48"/>
      <c r="X6042" s="50">
        <v>44866</v>
      </c>
      <c r="Y6042" s="73">
        <v>45230</v>
      </c>
    </row>
    <row r="6043" s="5" customFormat="1" customHeight="1" spans="1:25">
      <c r="A6043" s="24" t="s">
        <v>109</v>
      </c>
      <c r="B6043" s="24" t="s">
        <v>7422</v>
      </c>
      <c r="C6043" s="24" t="s">
        <v>3237</v>
      </c>
      <c r="D6043" s="22" t="s">
        <v>7585</v>
      </c>
      <c r="E6043" s="23" t="s">
        <v>7677</v>
      </c>
      <c r="F6043" s="24" t="s">
        <v>7678</v>
      </c>
      <c r="G6043" s="24" t="s">
        <v>31</v>
      </c>
      <c r="H6043" s="25" t="s">
        <v>7687</v>
      </c>
      <c r="I6043" s="46" t="e">
        <f>VLOOKUP(H6043,'合同高级查询数据-4月返'!A:A,1,FALSE)</f>
        <v>#N/A</v>
      </c>
      <c r="J6043" s="47" t="s">
        <v>33</v>
      </c>
      <c r="K6043" s="24" t="s">
        <v>7622</v>
      </c>
      <c r="L6043" s="109" t="s">
        <v>7688</v>
      </c>
      <c r="M6043" s="49" t="s">
        <v>7689</v>
      </c>
      <c r="N6043" s="493"/>
      <c r="O6043" s="493" t="s">
        <v>179</v>
      </c>
      <c r="P6043" s="52">
        <v>0</v>
      </c>
      <c r="Q6043" s="52">
        <v>0</v>
      </c>
      <c r="R6043" s="52">
        <f t="shared" si="181"/>
        <v>0</v>
      </c>
      <c r="S6043" s="47">
        <v>202304</v>
      </c>
      <c r="T6043" s="123" t="s">
        <v>7692</v>
      </c>
      <c r="U6043" s="48"/>
      <c r="V6043" s="48"/>
      <c r="W6043" s="48"/>
      <c r="X6043" s="50">
        <v>44866</v>
      </c>
      <c r="Y6043" s="73">
        <v>45230</v>
      </c>
    </row>
    <row r="6044" s="5" customFormat="1" customHeight="1" spans="1:25">
      <c r="A6044" s="24" t="s">
        <v>109</v>
      </c>
      <c r="B6044" s="24" t="s">
        <v>7422</v>
      </c>
      <c r="C6044" s="24" t="s">
        <v>3237</v>
      </c>
      <c r="D6044" s="22" t="s">
        <v>7585</v>
      </c>
      <c r="E6044" s="23" t="s">
        <v>7677</v>
      </c>
      <c r="F6044" s="24" t="s">
        <v>7678</v>
      </c>
      <c r="G6044" s="24" t="s">
        <v>88</v>
      </c>
      <c r="H6044" s="25" t="s">
        <v>7687</v>
      </c>
      <c r="I6044" s="46" t="e">
        <f>VLOOKUP(H6044,'合同高级查询数据-4月返'!A:A,1,FALSE)</f>
        <v>#N/A</v>
      </c>
      <c r="J6044" s="47" t="s">
        <v>162</v>
      </c>
      <c r="K6044" s="24" t="s">
        <v>7622</v>
      </c>
      <c r="L6044" s="109" t="s">
        <v>7688</v>
      </c>
      <c r="M6044" s="49" t="s">
        <v>7689</v>
      </c>
      <c r="N6044" s="493">
        <v>44501</v>
      </c>
      <c r="O6044" s="493" t="s">
        <v>92</v>
      </c>
      <c r="P6044" s="52">
        <v>5000</v>
      </c>
      <c r="Q6044" s="70">
        <v>8</v>
      </c>
      <c r="R6044" s="52">
        <f t="shared" si="181"/>
        <v>40000</v>
      </c>
      <c r="S6044" s="47">
        <v>202304</v>
      </c>
      <c r="T6044" s="123" t="s">
        <v>7693</v>
      </c>
      <c r="U6044" s="48"/>
      <c r="V6044" s="48"/>
      <c r="W6044" s="48"/>
      <c r="X6044" s="50">
        <v>44866</v>
      </c>
      <c r="Y6044" s="73">
        <v>45230</v>
      </c>
    </row>
    <row r="6045" s="5" customFormat="1" customHeight="1" spans="1:25">
      <c r="A6045" s="24" t="s">
        <v>109</v>
      </c>
      <c r="B6045" s="24" t="s">
        <v>7422</v>
      </c>
      <c r="C6045" s="24" t="s">
        <v>3237</v>
      </c>
      <c r="D6045" s="22" t="s">
        <v>7585</v>
      </c>
      <c r="E6045" s="23" t="s">
        <v>7677</v>
      </c>
      <c r="F6045" s="24" t="s">
        <v>7678</v>
      </c>
      <c r="G6045" s="24" t="s">
        <v>88</v>
      </c>
      <c r="H6045" s="25" t="s">
        <v>7687</v>
      </c>
      <c r="I6045" s="46" t="e">
        <f>VLOOKUP(H6045,'合同高级查询数据-4月返'!A:A,1,FALSE)</f>
        <v>#N/A</v>
      </c>
      <c r="J6045" s="47" t="s">
        <v>162</v>
      </c>
      <c r="K6045" s="24" t="s">
        <v>7622</v>
      </c>
      <c r="L6045" s="109" t="s">
        <v>7688</v>
      </c>
      <c r="M6045" s="49" t="s">
        <v>7689</v>
      </c>
      <c r="N6045" s="493">
        <v>44804</v>
      </c>
      <c r="O6045" s="493" t="s">
        <v>92</v>
      </c>
      <c r="P6045" s="52">
        <v>5000</v>
      </c>
      <c r="Q6045" s="70">
        <v>-4</v>
      </c>
      <c r="R6045" s="52">
        <f t="shared" si="181"/>
        <v>-20000</v>
      </c>
      <c r="S6045" s="47">
        <v>202304</v>
      </c>
      <c r="T6045" s="123" t="s">
        <v>7694</v>
      </c>
      <c r="U6045" s="48"/>
      <c r="V6045" s="48"/>
      <c r="W6045" s="48"/>
      <c r="X6045" s="50">
        <v>44866</v>
      </c>
      <c r="Y6045" s="73">
        <v>45230</v>
      </c>
    </row>
    <row r="6046" s="5" customFormat="1" customHeight="1" spans="1:25">
      <c r="A6046" s="24" t="s">
        <v>109</v>
      </c>
      <c r="B6046" s="24" t="s">
        <v>7422</v>
      </c>
      <c r="C6046" s="24" t="s">
        <v>3237</v>
      </c>
      <c r="D6046" s="22" t="s">
        <v>7585</v>
      </c>
      <c r="E6046" s="23" t="s">
        <v>7677</v>
      </c>
      <c r="F6046" s="24" t="s">
        <v>7678</v>
      </c>
      <c r="G6046" s="24" t="s">
        <v>88</v>
      </c>
      <c r="H6046" s="25" t="s">
        <v>7687</v>
      </c>
      <c r="I6046" s="46" t="e">
        <f>VLOOKUP(H6046,'合同高级查询数据-4月返'!A:A,1,FALSE)</f>
        <v>#N/A</v>
      </c>
      <c r="J6046" s="47" t="s">
        <v>162</v>
      </c>
      <c r="K6046" s="24" t="s">
        <v>7622</v>
      </c>
      <c r="L6046" s="109" t="s">
        <v>7688</v>
      </c>
      <c r="M6046" s="49" t="s">
        <v>7689</v>
      </c>
      <c r="N6046" s="493">
        <v>44985</v>
      </c>
      <c r="O6046" s="493" t="s">
        <v>92</v>
      </c>
      <c r="P6046" s="52">
        <v>5000</v>
      </c>
      <c r="Q6046" s="70">
        <v>-4</v>
      </c>
      <c r="R6046" s="52">
        <f t="shared" si="181"/>
        <v>-20000</v>
      </c>
      <c r="S6046" s="47">
        <v>202304</v>
      </c>
      <c r="T6046" s="123" t="s">
        <v>7691</v>
      </c>
      <c r="U6046" s="48"/>
      <c r="V6046" s="48"/>
      <c r="W6046" s="48"/>
      <c r="X6046" s="50">
        <v>44866</v>
      </c>
      <c r="Y6046" s="73">
        <v>45230</v>
      </c>
    </row>
    <row r="6047" s="3" customFormat="1" customHeight="1" spans="1:25">
      <c r="A6047" s="11" t="s">
        <v>109</v>
      </c>
      <c r="B6047" s="11" t="s">
        <v>7422</v>
      </c>
      <c r="C6047" s="11" t="s">
        <v>3237</v>
      </c>
      <c r="D6047" s="35" t="s">
        <v>7585</v>
      </c>
      <c r="E6047" s="13" t="s">
        <v>7677</v>
      </c>
      <c r="F6047" s="11" t="s">
        <v>7678</v>
      </c>
      <c r="G6047" s="11" t="s">
        <v>31</v>
      </c>
      <c r="H6047" s="110" t="s">
        <v>7695</v>
      </c>
      <c r="I6047" s="30" t="e">
        <f>VLOOKUP(H6047,'合同高级查询数据-4月返'!A:A,1,FALSE)</f>
        <v>#N/A</v>
      </c>
      <c r="J6047" s="31" t="s">
        <v>33</v>
      </c>
      <c r="K6047" s="11" t="s">
        <v>6704</v>
      </c>
      <c r="L6047" s="32" t="s">
        <v>7696</v>
      </c>
      <c r="M6047" s="113" t="s">
        <v>7697</v>
      </c>
      <c r="N6047" s="500">
        <v>44986</v>
      </c>
      <c r="O6047" s="500" t="s">
        <v>37</v>
      </c>
      <c r="P6047" s="465">
        <v>0</v>
      </c>
      <c r="Q6047" s="459">
        <v>288</v>
      </c>
      <c r="R6047" s="465">
        <f t="shared" si="181"/>
        <v>0</v>
      </c>
      <c r="S6047" s="31">
        <v>202304</v>
      </c>
      <c r="T6047" s="60" t="s">
        <v>7698</v>
      </c>
      <c r="U6047" s="411"/>
      <c r="V6047" s="411"/>
      <c r="W6047" s="411"/>
      <c r="X6047" s="34"/>
      <c r="Y6047" s="146"/>
    </row>
    <row r="6048" s="3" customFormat="1" customHeight="1" spans="1:25">
      <c r="A6048" s="11" t="s">
        <v>109</v>
      </c>
      <c r="B6048" s="11" t="s">
        <v>7422</v>
      </c>
      <c r="C6048" s="11" t="s">
        <v>3237</v>
      </c>
      <c r="D6048" s="35" t="s">
        <v>7585</v>
      </c>
      <c r="E6048" s="13" t="s">
        <v>7677</v>
      </c>
      <c r="F6048" s="11" t="s">
        <v>7678</v>
      </c>
      <c r="G6048" s="11" t="s">
        <v>88</v>
      </c>
      <c r="H6048" s="110" t="s">
        <v>7695</v>
      </c>
      <c r="I6048" s="30" t="e">
        <f>VLOOKUP(H6048,'合同高级查询数据-4月返'!A:A,1,FALSE)</f>
        <v>#N/A</v>
      </c>
      <c r="J6048" s="31" t="s">
        <v>162</v>
      </c>
      <c r="K6048" s="11" t="s">
        <v>6704</v>
      </c>
      <c r="L6048" s="32" t="s">
        <v>7696</v>
      </c>
      <c r="M6048" s="113" t="s">
        <v>7697</v>
      </c>
      <c r="N6048" s="500">
        <v>44986</v>
      </c>
      <c r="O6048" s="500" t="s">
        <v>163</v>
      </c>
      <c r="P6048" s="465">
        <v>5000</v>
      </c>
      <c r="Q6048" s="459">
        <v>4</v>
      </c>
      <c r="R6048" s="465">
        <f t="shared" si="181"/>
        <v>20000</v>
      </c>
      <c r="S6048" s="31">
        <v>202304</v>
      </c>
      <c r="T6048" s="60" t="s">
        <v>7699</v>
      </c>
      <c r="U6048" s="411"/>
      <c r="V6048" s="411"/>
      <c r="W6048" s="411"/>
      <c r="X6048" s="34"/>
      <c r="Y6048" s="146"/>
    </row>
    <row r="6049" s="5" customFormat="1" customHeight="1" spans="1:25">
      <c r="A6049" s="21" t="s">
        <v>25</v>
      </c>
      <c r="B6049" s="22" t="s">
        <v>7422</v>
      </c>
      <c r="C6049" s="22" t="s">
        <v>144</v>
      </c>
      <c r="D6049" s="22" t="s">
        <v>28</v>
      </c>
      <c r="E6049" s="23" t="s">
        <v>7700</v>
      </c>
      <c r="F6049" s="24" t="s">
        <v>7701</v>
      </c>
      <c r="G6049" s="24" t="s">
        <v>31</v>
      </c>
      <c r="H6049" s="25" t="s">
        <v>7702</v>
      </c>
      <c r="I6049" s="46" t="e">
        <f>VLOOKUP(H6049,'合同高级查询数据-4月返'!A:A,1,FALSE)</f>
        <v>#N/A</v>
      </c>
      <c r="J6049" s="47" t="s">
        <v>33</v>
      </c>
      <c r="K6049" s="24" t="s">
        <v>3471</v>
      </c>
      <c r="L6049" s="109" t="s">
        <v>7703</v>
      </c>
      <c r="M6049" s="49" t="s">
        <v>7704</v>
      </c>
      <c r="N6049" s="50">
        <v>44234</v>
      </c>
      <c r="O6049" s="487" t="s">
        <v>37</v>
      </c>
      <c r="P6049" s="52">
        <v>0</v>
      </c>
      <c r="Q6049" s="70">
        <v>448</v>
      </c>
      <c r="R6049" s="52">
        <f t="shared" si="181"/>
        <v>0</v>
      </c>
      <c r="S6049" s="47">
        <v>202304</v>
      </c>
      <c r="T6049" s="123" t="s">
        <v>7705</v>
      </c>
      <c r="U6049" s="97"/>
      <c r="V6049" s="453"/>
      <c r="W6049" s="453"/>
      <c r="X6049" s="50">
        <v>44958</v>
      </c>
      <c r="Y6049" s="50">
        <v>45322</v>
      </c>
    </row>
    <row r="6050" s="5" customFormat="1" customHeight="1" spans="1:25">
      <c r="A6050" s="21" t="s">
        <v>25</v>
      </c>
      <c r="B6050" s="22" t="s">
        <v>7422</v>
      </c>
      <c r="C6050" s="22" t="s">
        <v>144</v>
      </c>
      <c r="D6050" s="22" t="s">
        <v>28</v>
      </c>
      <c r="E6050" s="23" t="s">
        <v>7700</v>
      </c>
      <c r="F6050" s="24" t="s">
        <v>7701</v>
      </c>
      <c r="G6050" s="24" t="s">
        <v>31</v>
      </c>
      <c r="H6050" s="25" t="s">
        <v>7702</v>
      </c>
      <c r="I6050" s="46" t="e">
        <f>VLOOKUP(H6050,'合同高级查询数据-4月返'!A:A,1,FALSE)</f>
        <v>#N/A</v>
      </c>
      <c r="J6050" s="47" t="s">
        <v>33</v>
      </c>
      <c r="K6050" s="24" t="s">
        <v>3471</v>
      </c>
      <c r="L6050" s="109" t="s">
        <v>7706</v>
      </c>
      <c r="M6050" s="49" t="s">
        <v>7704</v>
      </c>
      <c r="N6050" s="50">
        <v>44287</v>
      </c>
      <c r="O6050" s="22" t="s">
        <v>37</v>
      </c>
      <c r="P6050" s="52">
        <v>0</v>
      </c>
      <c r="Q6050" s="70">
        <v>416</v>
      </c>
      <c r="R6050" s="52">
        <f t="shared" si="181"/>
        <v>0</v>
      </c>
      <c r="S6050" s="47">
        <v>202304</v>
      </c>
      <c r="T6050" s="123" t="s">
        <v>7707</v>
      </c>
      <c r="U6050" s="97"/>
      <c r="V6050" s="453"/>
      <c r="W6050" s="453"/>
      <c r="X6050" s="50">
        <v>44958</v>
      </c>
      <c r="Y6050" s="50">
        <v>45322</v>
      </c>
    </row>
    <row r="6051" s="5" customFormat="1" customHeight="1" spans="1:25">
      <c r="A6051" s="21" t="s">
        <v>25</v>
      </c>
      <c r="B6051" s="22" t="s">
        <v>7422</v>
      </c>
      <c r="C6051" s="22" t="s">
        <v>144</v>
      </c>
      <c r="D6051" s="22" t="s">
        <v>28</v>
      </c>
      <c r="E6051" s="23" t="s">
        <v>7700</v>
      </c>
      <c r="F6051" s="24" t="s">
        <v>7701</v>
      </c>
      <c r="G6051" s="24" t="s">
        <v>31</v>
      </c>
      <c r="H6051" s="25" t="s">
        <v>7702</v>
      </c>
      <c r="I6051" s="46" t="e">
        <f>VLOOKUP(H6051,'合同高级查询数据-4月返'!A:A,1,FALSE)</f>
        <v>#N/A</v>
      </c>
      <c r="J6051" s="47" t="s">
        <v>33</v>
      </c>
      <c r="K6051" s="24" t="s">
        <v>3471</v>
      </c>
      <c r="L6051" s="109" t="s">
        <v>7708</v>
      </c>
      <c r="M6051" s="49" t="s">
        <v>7704</v>
      </c>
      <c r="N6051" s="50"/>
      <c r="O6051" s="22" t="s">
        <v>179</v>
      </c>
      <c r="P6051" s="52">
        <v>0</v>
      </c>
      <c r="Q6051" s="70">
        <v>0</v>
      </c>
      <c r="R6051" s="52">
        <f t="shared" si="181"/>
        <v>0</v>
      </c>
      <c r="S6051" s="47">
        <v>202304</v>
      </c>
      <c r="T6051" s="123" t="s">
        <v>7709</v>
      </c>
      <c r="U6051" s="97"/>
      <c r="V6051" s="453"/>
      <c r="W6051" s="453"/>
      <c r="X6051" s="50">
        <v>44958</v>
      </c>
      <c r="Y6051" s="50">
        <v>45322</v>
      </c>
    </row>
    <row r="6052" s="5" customFormat="1" customHeight="1" spans="1:25">
      <c r="A6052" s="21" t="s">
        <v>25</v>
      </c>
      <c r="B6052" s="22" t="s">
        <v>7422</v>
      </c>
      <c r="C6052" s="22" t="s">
        <v>144</v>
      </c>
      <c r="D6052" s="22" t="s">
        <v>28</v>
      </c>
      <c r="E6052" s="23" t="s">
        <v>7700</v>
      </c>
      <c r="F6052" s="24" t="s">
        <v>7701</v>
      </c>
      <c r="G6052" s="24" t="s">
        <v>88</v>
      </c>
      <c r="H6052" s="25" t="s">
        <v>7702</v>
      </c>
      <c r="I6052" s="46" t="e">
        <f>VLOOKUP(H6052,'合同高级查询数据-4月返'!A:A,1,FALSE)</f>
        <v>#N/A</v>
      </c>
      <c r="J6052" s="47" t="s">
        <v>162</v>
      </c>
      <c r="K6052" s="24" t="s">
        <v>3471</v>
      </c>
      <c r="L6052" s="109" t="s">
        <v>7703</v>
      </c>
      <c r="M6052" s="49" t="s">
        <v>7704</v>
      </c>
      <c r="N6052" s="50">
        <v>44234</v>
      </c>
      <c r="O6052" s="487" t="s">
        <v>92</v>
      </c>
      <c r="P6052" s="52">
        <v>0</v>
      </c>
      <c r="Q6052" s="70">
        <v>3</v>
      </c>
      <c r="R6052" s="52">
        <f t="shared" si="181"/>
        <v>0</v>
      </c>
      <c r="S6052" s="47">
        <v>202304</v>
      </c>
      <c r="T6052" s="123" t="s">
        <v>7710</v>
      </c>
      <c r="U6052" s="97"/>
      <c r="V6052" s="453"/>
      <c r="W6052" s="453"/>
      <c r="X6052" s="50">
        <v>44958</v>
      </c>
      <c r="Y6052" s="50">
        <v>45322</v>
      </c>
    </row>
    <row r="6053" s="5" customFormat="1" customHeight="1" spans="1:25">
      <c r="A6053" s="21" t="s">
        <v>25</v>
      </c>
      <c r="B6053" s="22" t="s">
        <v>7422</v>
      </c>
      <c r="C6053" s="22" t="s">
        <v>144</v>
      </c>
      <c r="D6053" s="22" t="s">
        <v>28</v>
      </c>
      <c r="E6053" s="23" t="s">
        <v>7700</v>
      </c>
      <c r="F6053" s="24" t="s">
        <v>7701</v>
      </c>
      <c r="G6053" s="24" t="s">
        <v>88</v>
      </c>
      <c r="H6053" s="25" t="s">
        <v>7702</v>
      </c>
      <c r="I6053" s="46" t="e">
        <f>VLOOKUP(H6053,'合同高级查询数据-4月返'!A:A,1,FALSE)</f>
        <v>#N/A</v>
      </c>
      <c r="J6053" s="47" t="s">
        <v>162</v>
      </c>
      <c r="K6053" s="24" t="s">
        <v>3471</v>
      </c>
      <c r="L6053" s="109" t="s">
        <v>7703</v>
      </c>
      <c r="M6053" s="49" t="s">
        <v>7704</v>
      </c>
      <c r="N6053" s="50">
        <v>44348</v>
      </c>
      <c r="O6053" s="22" t="s">
        <v>92</v>
      </c>
      <c r="P6053" s="52">
        <v>0</v>
      </c>
      <c r="Q6053" s="70">
        <v>4</v>
      </c>
      <c r="R6053" s="52">
        <f t="shared" si="181"/>
        <v>0</v>
      </c>
      <c r="S6053" s="47">
        <v>202304</v>
      </c>
      <c r="T6053" s="123" t="s">
        <v>7711</v>
      </c>
      <c r="U6053" s="97"/>
      <c r="V6053" s="453"/>
      <c r="W6053" s="453"/>
      <c r="X6053" s="50">
        <v>44958</v>
      </c>
      <c r="Y6053" s="50">
        <v>45322</v>
      </c>
    </row>
    <row r="6054" s="5" customFormat="1" customHeight="1" spans="1:25">
      <c r="A6054" s="21" t="s">
        <v>25</v>
      </c>
      <c r="B6054" s="22" t="s">
        <v>7422</v>
      </c>
      <c r="C6054" s="22" t="s">
        <v>144</v>
      </c>
      <c r="D6054" s="22" t="s">
        <v>28</v>
      </c>
      <c r="E6054" s="23" t="s">
        <v>7700</v>
      </c>
      <c r="F6054" s="24" t="s">
        <v>7701</v>
      </c>
      <c r="G6054" s="24" t="s">
        <v>88</v>
      </c>
      <c r="H6054" s="25" t="s">
        <v>7702</v>
      </c>
      <c r="I6054" s="46" t="e">
        <f>VLOOKUP(H6054,'合同高级查询数据-4月返'!A:A,1,FALSE)</f>
        <v>#N/A</v>
      </c>
      <c r="J6054" s="47" t="s">
        <v>162</v>
      </c>
      <c r="K6054" s="24" t="s">
        <v>3471</v>
      </c>
      <c r="L6054" s="109" t="s">
        <v>7706</v>
      </c>
      <c r="M6054" s="49" t="s">
        <v>7704</v>
      </c>
      <c r="N6054" s="50">
        <v>44287</v>
      </c>
      <c r="O6054" s="22" t="s">
        <v>92</v>
      </c>
      <c r="P6054" s="52">
        <v>0</v>
      </c>
      <c r="Q6054" s="70">
        <v>4</v>
      </c>
      <c r="R6054" s="52">
        <f t="shared" si="181"/>
        <v>0</v>
      </c>
      <c r="S6054" s="47">
        <v>202304</v>
      </c>
      <c r="T6054" s="123" t="s">
        <v>7712</v>
      </c>
      <c r="U6054" s="97"/>
      <c r="V6054" s="453"/>
      <c r="W6054" s="453"/>
      <c r="X6054" s="50">
        <v>44958</v>
      </c>
      <c r="Y6054" s="50">
        <v>45322</v>
      </c>
    </row>
    <row r="6055" s="5" customFormat="1" customHeight="1" spans="1:25">
      <c r="A6055" s="21" t="s">
        <v>25</v>
      </c>
      <c r="B6055" s="22" t="s">
        <v>7422</v>
      </c>
      <c r="C6055" s="22" t="s">
        <v>144</v>
      </c>
      <c r="D6055" s="22" t="s">
        <v>28</v>
      </c>
      <c r="E6055" s="23" t="s">
        <v>7700</v>
      </c>
      <c r="F6055" s="24" t="s">
        <v>7701</v>
      </c>
      <c r="G6055" s="24" t="s">
        <v>88</v>
      </c>
      <c r="H6055" s="25" t="s">
        <v>7702</v>
      </c>
      <c r="I6055" s="46" t="e">
        <f>VLOOKUP(H6055,'合同高级查询数据-4月返'!A:A,1,FALSE)</f>
        <v>#N/A</v>
      </c>
      <c r="J6055" s="47" t="s">
        <v>162</v>
      </c>
      <c r="K6055" s="24" t="s">
        <v>3471</v>
      </c>
      <c r="L6055" s="109" t="s">
        <v>7706</v>
      </c>
      <c r="M6055" s="49" t="s">
        <v>7704</v>
      </c>
      <c r="N6055" s="50">
        <v>44469</v>
      </c>
      <c r="O6055" s="22" t="s">
        <v>92</v>
      </c>
      <c r="P6055" s="52">
        <v>0</v>
      </c>
      <c r="Q6055" s="70">
        <v>-4</v>
      </c>
      <c r="R6055" s="52">
        <f t="shared" si="181"/>
        <v>0</v>
      </c>
      <c r="S6055" s="47">
        <v>202304</v>
      </c>
      <c r="T6055" s="123" t="s">
        <v>7713</v>
      </c>
      <c r="U6055" s="97"/>
      <c r="V6055" s="453"/>
      <c r="W6055" s="453"/>
      <c r="X6055" s="50">
        <v>44958</v>
      </c>
      <c r="Y6055" s="50">
        <v>45322</v>
      </c>
    </row>
    <row r="6056" s="5" customFormat="1" customHeight="1" spans="1:25">
      <c r="A6056" s="21" t="s">
        <v>25</v>
      </c>
      <c r="B6056" s="22" t="s">
        <v>7422</v>
      </c>
      <c r="C6056" s="22" t="s">
        <v>144</v>
      </c>
      <c r="D6056" s="22" t="s">
        <v>28</v>
      </c>
      <c r="E6056" s="23" t="s">
        <v>7700</v>
      </c>
      <c r="F6056" s="24" t="s">
        <v>7701</v>
      </c>
      <c r="G6056" s="24" t="s">
        <v>88</v>
      </c>
      <c r="H6056" s="25" t="s">
        <v>7702</v>
      </c>
      <c r="I6056" s="46" t="e">
        <f>VLOOKUP(H6056,'合同高级查询数据-4月返'!A:A,1,FALSE)</f>
        <v>#N/A</v>
      </c>
      <c r="J6056" s="47" t="s">
        <v>162</v>
      </c>
      <c r="K6056" s="24" t="s">
        <v>3471</v>
      </c>
      <c r="L6056" s="109" t="s">
        <v>7706</v>
      </c>
      <c r="M6056" s="49" t="s">
        <v>7704</v>
      </c>
      <c r="N6056" s="50">
        <v>44470</v>
      </c>
      <c r="O6056" s="22" t="s">
        <v>92</v>
      </c>
      <c r="P6056" s="52">
        <v>0</v>
      </c>
      <c r="Q6056" s="70">
        <v>4</v>
      </c>
      <c r="R6056" s="52">
        <f t="shared" si="181"/>
        <v>0</v>
      </c>
      <c r="S6056" s="47">
        <v>202304</v>
      </c>
      <c r="T6056" s="123" t="s">
        <v>7713</v>
      </c>
      <c r="U6056" s="97"/>
      <c r="V6056" s="453"/>
      <c r="W6056" s="453"/>
      <c r="X6056" s="50">
        <v>44958</v>
      </c>
      <c r="Y6056" s="50">
        <v>45322</v>
      </c>
    </row>
    <row r="6057" s="5" customFormat="1" customHeight="1" spans="1:25">
      <c r="A6057" s="21" t="s">
        <v>25</v>
      </c>
      <c r="B6057" s="22" t="s">
        <v>7422</v>
      </c>
      <c r="C6057" s="22" t="s">
        <v>144</v>
      </c>
      <c r="D6057" s="22" t="s">
        <v>28</v>
      </c>
      <c r="E6057" s="23" t="s">
        <v>7700</v>
      </c>
      <c r="F6057" s="24" t="s">
        <v>7701</v>
      </c>
      <c r="G6057" s="24" t="s">
        <v>88</v>
      </c>
      <c r="H6057" s="25" t="s">
        <v>7702</v>
      </c>
      <c r="I6057" s="46" t="e">
        <f>VLOOKUP(H6057,'合同高级查询数据-4月返'!A:A,1,FALSE)</f>
        <v>#N/A</v>
      </c>
      <c r="J6057" s="47" t="s">
        <v>162</v>
      </c>
      <c r="K6057" s="24" t="s">
        <v>3471</v>
      </c>
      <c r="L6057" s="109" t="s">
        <v>7706</v>
      </c>
      <c r="M6057" s="49" t="s">
        <v>7704</v>
      </c>
      <c r="N6057" s="50">
        <v>44470</v>
      </c>
      <c r="O6057" s="22" t="s">
        <v>92</v>
      </c>
      <c r="P6057" s="52">
        <v>0</v>
      </c>
      <c r="Q6057" s="70">
        <v>3</v>
      </c>
      <c r="R6057" s="52">
        <f t="shared" si="181"/>
        <v>0</v>
      </c>
      <c r="S6057" s="47">
        <v>202304</v>
      </c>
      <c r="T6057" s="123" t="s">
        <v>7714</v>
      </c>
      <c r="U6057" s="97"/>
      <c r="V6057" s="453"/>
      <c r="W6057" s="453"/>
      <c r="X6057" s="50">
        <v>44958</v>
      </c>
      <c r="Y6057" s="50">
        <v>45322</v>
      </c>
    </row>
    <row r="6058" s="5" customFormat="1" customHeight="1" spans="1:25">
      <c r="A6058" s="21" t="s">
        <v>25</v>
      </c>
      <c r="B6058" s="22" t="s">
        <v>7422</v>
      </c>
      <c r="C6058" s="22" t="s">
        <v>144</v>
      </c>
      <c r="D6058" s="22" t="s">
        <v>28</v>
      </c>
      <c r="E6058" s="23" t="s">
        <v>7700</v>
      </c>
      <c r="F6058" s="24" t="s">
        <v>7701</v>
      </c>
      <c r="G6058" s="24" t="s">
        <v>88</v>
      </c>
      <c r="H6058" s="25" t="s">
        <v>7702</v>
      </c>
      <c r="I6058" s="46" t="e">
        <f>VLOOKUP(H6058,'合同高级查询数据-4月返'!A:A,1,FALSE)</f>
        <v>#N/A</v>
      </c>
      <c r="J6058" s="47" t="s">
        <v>162</v>
      </c>
      <c r="K6058" s="24" t="s">
        <v>3471</v>
      </c>
      <c r="L6058" s="109" t="s">
        <v>7703</v>
      </c>
      <c r="M6058" s="49" t="s">
        <v>7704</v>
      </c>
      <c r="N6058" s="50">
        <v>44585</v>
      </c>
      <c r="O6058" s="22" t="s">
        <v>92</v>
      </c>
      <c r="P6058" s="52">
        <v>0</v>
      </c>
      <c r="Q6058" s="70">
        <v>1</v>
      </c>
      <c r="R6058" s="52">
        <f t="shared" si="181"/>
        <v>0</v>
      </c>
      <c r="S6058" s="47">
        <v>202304</v>
      </c>
      <c r="T6058" s="123" t="s">
        <v>7715</v>
      </c>
      <c r="U6058" s="97"/>
      <c r="V6058" s="453"/>
      <c r="W6058" s="453"/>
      <c r="X6058" s="50">
        <v>44958</v>
      </c>
      <c r="Y6058" s="50">
        <v>45322</v>
      </c>
    </row>
    <row r="6059" s="5" customFormat="1" customHeight="1" spans="1:25">
      <c r="A6059" s="21" t="s">
        <v>25</v>
      </c>
      <c r="B6059" s="22" t="s">
        <v>7422</v>
      </c>
      <c r="C6059" s="22" t="s">
        <v>144</v>
      </c>
      <c r="D6059" s="22" t="s">
        <v>28</v>
      </c>
      <c r="E6059" s="23" t="s">
        <v>7700</v>
      </c>
      <c r="F6059" s="24" t="s">
        <v>7701</v>
      </c>
      <c r="G6059" s="24" t="s">
        <v>88</v>
      </c>
      <c r="H6059" s="25" t="s">
        <v>7702</v>
      </c>
      <c r="I6059" s="46" t="e">
        <f>VLOOKUP(H6059,'合同高级查询数据-4月返'!A:A,1,FALSE)</f>
        <v>#N/A</v>
      </c>
      <c r="J6059" s="47" t="s">
        <v>162</v>
      </c>
      <c r="K6059" s="24" t="s">
        <v>3471</v>
      </c>
      <c r="L6059" s="109" t="s">
        <v>7703</v>
      </c>
      <c r="M6059" s="49" t="s">
        <v>7704</v>
      </c>
      <c r="N6059" s="50">
        <v>44834</v>
      </c>
      <c r="O6059" s="22" t="s">
        <v>92</v>
      </c>
      <c r="P6059" s="52">
        <v>0</v>
      </c>
      <c r="Q6059" s="70">
        <v>-2</v>
      </c>
      <c r="R6059" s="52">
        <f t="shared" si="181"/>
        <v>0</v>
      </c>
      <c r="S6059" s="47">
        <v>202304</v>
      </c>
      <c r="T6059" s="123" t="s">
        <v>7716</v>
      </c>
      <c r="U6059" s="97"/>
      <c r="V6059" s="453"/>
      <c r="W6059" s="453"/>
      <c r="X6059" s="50">
        <v>44958</v>
      </c>
      <c r="Y6059" s="50">
        <v>45322</v>
      </c>
    </row>
    <row r="6060" s="5" customFormat="1" customHeight="1" spans="1:25">
      <c r="A6060" s="21" t="s">
        <v>25</v>
      </c>
      <c r="B6060" s="22" t="s">
        <v>7422</v>
      </c>
      <c r="C6060" s="22" t="s">
        <v>144</v>
      </c>
      <c r="D6060" s="22" t="s">
        <v>28</v>
      </c>
      <c r="E6060" s="23" t="s">
        <v>7700</v>
      </c>
      <c r="F6060" s="24" t="s">
        <v>7701</v>
      </c>
      <c r="G6060" s="24" t="s">
        <v>88</v>
      </c>
      <c r="H6060" s="25" t="s">
        <v>7702</v>
      </c>
      <c r="I6060" s="46" t="e">
        <f>VLOOKUP(H6060,'合同高级查询数据-4月返'!A:A,1,FALSE)</f>
        <v>#N/A</v>
      </c>
      <c r="J6060" s="47" t="s">
        <v>162</v>
      </c>
      <c r="K6060" s="24" t="s">
        <v>3471</v>
      </c>
      <c r="L6060" s="109" t="s">
        <v>7706</v>
      </c>
      <c r="M6060" s="49" t="s">
        <v>7704</v>
      </c>
      <c r="N6060" s="50">
        <v>44834</v>
      </c>
      <c r="O6060" s="22" t="s">
        <v>92</v>
      </c>
      <c r="P6060" s="52">
        <v>0</v>
      </c>
      <c r="Q6060" s="70">
        <v>-1</v>
      </c>
      <c r="R6060" s="52">
        <f t="shared" si="181"/>
        <v>0</v>
      </c>
      <c r="S6060" s="47">
        <v>202304</v>
      </c>
      <c r="T6060" s="123" t="s">
        <v>7717</v>
      </c>
      <c r="U6060" s="97"/>
      <c r="V6060" s="453"/>
      <c r="W6060" s="453"/>
      <c r="X6060" s="50">
        <v>44958</v>
      </c>
      <c r="Y6060" s="50">
        <v>45322</v>
      </c>
    </row>
    <row r="6061" s="5" customFormat="1" customHeight="1" spans="1:25">
      <c r="A6061" s="24" t="s">
        <v>152</v>
      </c>
      <c r="B6061" s="22" t="s">
        <v>7422</v>
      </c>
      <c r="C6061" s="22" t="s">
        <v>153</v>
      </c>
      <c r="D6061" s="22" t="s">
        <v>7585</v>
      </c>
      <c r="E6061" s="23" t="s">
        <v>7700</v>
      </c>
      <c r="F6061" s="24" t="s">
        <v>7701</v>
      </c>
      <c r="G6061" s="24" t="s">
        <v>31</v>
      </c>
      <c r="H6061" s="25" t="s">
        <v>7718</v>
      </c>
      <c r="I6061" s="46" t="e">
        <f>VLOOKUP(H6061,'合同高级查询数据-4月返'!A:A,1,FALSE)</f>
        <v>#N/A</v>
      </c>
      <c r="J6061" s="47" t="s">
        <v>33</v>
      </c>
      <c r="K6061" s="24" t="s">
        <v>3021</v>
      </c>
      <c r="L6061" s="109" t="s">
        <v>7719</v>
      </c>
      <c r="M6061" s="49" t="s">
        <v>7720</v>
      </c>
      <c r="N6061" s="509">
        <v>44593</v>
      </c>
      <c r="O6061" s="22" t="s">
        <v>37</v>
      </c>
      <c r="P6061" s="52">
        <v>0</v>
      </c>
      <c r="Q6061" s="70">
        <v>640</v>
      </c>
      <c r="R6061" s="52">
        <f t="shared" si="181"/>
        <v>0</v>
      </c>
      <c r="S6061" s="47">
        <v>202304</v>
      </c>
      <c r="T6061" s="123" t="s">
        <v>7721</v>
      </c>
      <c r="U6061" s="97"/>
      <c r="V6061" s="453"/>
      <c r="W6061" s="453"/>
      <c r="X6061" s="50">
        <v>44652</v>
      </c>
      <c r="Y6061" s="50">
        <v>45016</v>
      </c>
    </row>
    <row r="6062" s="5" customFormat="1" customHeight="1" spans="1:25">
      <c r="A6062" s="24" t="s">
        <v>152</v>
      </c>
      <c r="B6062" s="22" t="s">
        <v>7422</v>
      </c>
      <c r="C6062" s="22" t="s">
        <v>153</v>
      </c>
      <c r="D6062" s="22" t="s">
        <v>7585</v>
      </c>
      <c r="E6062" s="23" t="s">
        <v>7700</v>
      </c>
      <c r="F6062" s="24" t="s">
        <v>7701</v>
      </c>
      <c r="G6062" s="24" t="s">
        <v>31</v>
      </c>
      <c r="H6062" s="25" t="s">
        <v>7718</v>
      </c>
      <c r="I6062" s="46" t="e">
        <f>VLOOKUP(H6062,'合同高级查询数据-4月返'!A:A,1,FALSE)</f>
        <v>#N/A</v>
      </c>
      <c r="J6062" s="47" t="s">
        <v>33</v>
      </c>
      <c r="K6062" s="24" t="s">
        <v>3021</v>
      </c>
      <c r="L6062" s="109" t="s">
        <v>7719</v>
      </c>
      <c r="M6062" s="49" t="s">
        <v>7720</v>
      </c>
      <c r="N6062" s="50"/>
      <c r="O6062" s="22" t="s">
        <v>179</v>
      </c>
      <c r="P6062" s="52">
        <v>0</v>
      </c>
      <c r="Q6062" s="52">
        <v>0</v>
      </c>
      <c r="R6062" s="52">
        <f t="shared" si="181"/>
        <v>0</v>
      </c>
      <c r="S6062" s="47">
        <v>202304</v>
      </c>
      <c r="T6062" s="123" t="s">
        <v>7722</v>
      </c>
      <c r="U6062" s="97"/>
      <c r="V6062" s="453"/>
      <c r="W6062" s="453"/>
      <c r="X6062" s="50">
        <v>44652</v>
      </c>
      <c r="Y6062" s="50">
        <v>45016</v>
      </c>
    </row>
    <row r="6063" s="5" customFormat="1" customHeight="1" spans="1:25">
      <c r="A6063" s="24" t="s">
        <v>152</v>
      </c>
      <c r="B6063" s="22" t="s">
        <v>7422</v>
      </c>
      <c r="C6063" s="22" t="s">
        <v>153</v>
      </c>
      <c r="D6063" s="22" t="s">
        <v>7585</v>
      </c>
      <c r="E6063" s="23" t="s">
        <v>7700</v>
      </c>
      <c r="F6063" s="24" t="s">
        <v>7701</v>
      </c>
      <c r="G6063" s="24" t="s">
        <v>88</v>
      </c>
      <c r="H6063" s="25" t="s">
        <v>7718</v>
      </c>
      <c r="I6063" s="46" t="e">
        <f>VLOOKUP(H6063,'合同高级查询数据-4月返'!A:A,1,FALSE)</f>
        <v>#N/A</v>
      </c>
      <c r="J6063" s="47" t="s">
        <v>162</v>
      </c>
      <c r="K6063" s="24" t="s">
        <v>3021</v>
      </c>
      <c r="L6063" s="109" t="s">
        <v>7719</v>
      </c>
      <c r="M6063" s="49" t="s">
        <v>7720</v>
      </c>
      <c r="N6063" s="509">
        <v>44593</v>
      </c>
      <c r="O6063" s="22" t="s">
        <v>92</v>
      </c>
      <c r="P6063" s="52">
        <v>4200</v>
      </c>
      <c r="Q6063" s="70">
        <v>8</v>
      </c>
      <c r="R6063" s="52">
        <f t="shared" si="181"/>
        <v>33600</v>
      </c>
      <c r="S6063" s="47">
        <v>202304</v>
      </c>
      <c r="T6063" s="123" t="s">
        <v>7723</v>
      </c>
      <c r="U6063" s="97"/>
      <c r="V6063" s="453"/>
      <c r="W6063" s="453"/>
      <c r="X6063" s="50">
        <v>44652</v>
      </c>
      <c r="Y6063" s="50">
        <v>45016</v>
      </c>
    </row>
    <row r="6064" s="5" customFormat="1" customHeight="1" spans="1:25">
      <c r="A6064" s="24" t="s">
        <v>152</v>
      </c>
      <c r="B6064" s="22" t="s">
        <v>7422</v>
      </c>
      <c r="C6064" s="22" t="s">
        <v>153</v>
      </c>
      <c r="D6064" s="22" t="s">
        <v>7585</v>
      </c>
      <c r="E6064" s="23" t="s">
        <v>7700</v>
      </c>
      <c r="F6064" s="24" t="s">
        <v>7701</v>
      </c>
      <c r="G6064" s="24" t="s">
        <v>88</v>
      </c>
      <c r="H6064" s="25" t="s">
        <v>7718</v>
      </c>
      <c r="I6064" s="46" t="e">
        <f>VLOOKUP(H6064,'合同高级查询数据-4月返'!A:A,1,FALSE)</f>
        <v>#N/A</v>
      </c>
      <c r="J6064" s="47" t="s">
        <v>162</v>
      </c>
      <c r="K6064" s="24" t="s">
        <v>3021</v>
      </c>
      <c r="L6064" s="109" t="s">
        <v>7724</v>
      </c>
      <c r="M6064" s="49" t="s">
        <v>7720</v>
      </c>
      <c r="N6064" s="509">
        <v>44865</v>
      </c>
      <c r="O6064" s="22" t="s">
        <v>92</v>
      </c>
      <c r="P6064" s="52">
        <v>4200</v>
      </c>
      <c r="Q6064" s="70">
        <v>-4</v>
      </c>
      <c r="R6064" s="52">
        <f t="shared" si="181"/>
        <v>-16800</v>
      </c>
      <c r="S6064" s="47">
        <v>202304</v>
      </c>
      <c r="T6064" s="123" t="s">
        <v>7725</v>
      </c>
      <c r="U6064" s="97"/>
      <c r="V6064" s="453"/>
      <c r="W6064" s="453"/>
      <c r="X6064" s="50">
        <v>44652</v>
      </c>
      <c r="Y6064" s="50">
        <v>45016</v>
      </c>
    </row>
    <row r="6065" s="5" customFormat="1" customHeight="1" spans="1:25">
      <c r="A6065" s="24" t="s">
        <v>152</v>
      </c>
      <c r="B6065" s="22" t="s">
        <v>7422</v>
      </c>
      <c r="C6065" s="22" t="s">
        <v>153</v>
      </c>
      <c r="D6065" s="22" t="s">
        <v>7585</v>
      </c>
      <c r="E6065" s="23" t="s">
        <v>7700</v>
      </c>
      <c r="F6065" s="24" t="s">
        <v>7701</v>
      </c>
      <c r="G6065" s="24" t="s">
        <v>88</v>
      </c>
      <c r="H6065" s="25" t="s">
        <v>7718</v>
      </c>
      <c r="I6065" s="46" t="e">
        <f>VLOOKUP(H6065,'合同高级查询数据-4月返'!A:A,1,FALSE)</f>
        <v>#N/A</v>
      </c>
      <c r="J6065" s="47" t="s">
        <v>162</v>
      </c>
      <c r="K6065" s="24" t="s">
        <v>3021</v>
      </c>
      <c r="L6065" s="109" t="s">
        <v>7724</v>
      </c>
      <c r="M6065" s="49" t="s">
        <v>7720</v>
      </c>
      <c r="N6065" s="509">
        <v>44895</v>
      </c>
      <c r="O6065" s="22" t="s">
        <v>92</v>
      </c>
      <c r="P6065" s="52">
        <v>4200</v>
      </c>
      <c r="Q6065" s="70">
        <v>-4</v>
      </c>
      <c r="R6065" s="52">
        <f t="shared" si="181"/>
        <v>-16800</v>
      </c>
      <c r="S6065" s="47">
        <v>202304</v>
      </c>
      <c r="T6065" s="123" t="s">
        <v>7726</v>
      </c>
      <c r="U6065" s="97"/>
      <c r="V6065" s="453"/>
      <c r="W6065" s="453"/>
      <c r="X6065" s="50">
        <v>44652</v>
      </c>
      <c r="Y6065" s="50">
        <v>45016</v>
      </c>
    </row>
    <row r="6066" s="5" customFormat="1" customHeight="1" spans="1:25">
      <c r="A6066" s="24" t="s">
        <v>152</v>
      </c>
      <c r="B6066" s="22" t="s">
        <v>7422</v>
      </c>
      <c r="C6066" s="22" t="s">
        <v>153</v>
      </c>
      <c r="D6066" s="22" t="s">
        <v>7585</v>
      </c>
      <c r="E6066" s="23" t="s">
        <v>7700</v>
      </c>
      <c r="F6066" s="24" t="s">
        <v>7701</v>
      </c>
      <c r="G6066" s="24" t="s">
        <v>31</v>
      </c>
      <c r="H6066" s="25" t="s">
        <v>7727</v>
      </c>
      <c r="I6066" s="46" t="e">
        <f>VLOOKUP(H6066,'合同高级查询数据-4月返'!A:A,1,FALSE)</f>
        <v>#N/A</v>
      </c>
      <c r="J6066" s="47" t="s">
        <v>33</v>
      </c>
      <c r="K6066" s="24" t="s">
        <v>247</v>
      </c>
      <c r="L6066" s="109" t="s">
        <v>7728</v>
      </c>
      <c r="M6066" s="49" t="s">
        <v>7729</v>
      </c>
      <c r="N6066" s="509">
        <v>44866</v>
      </c>
      <c r="O6066" s="22" t="s">
        <v>37</v>
      </c>
      <c r="P6066" s="52">
        <v>0</v>
      </c>
      <c r="Q6066" s="70">
        <v>288</v>
      </c>
      <c r="R6066" s="52">
        <f t="shared" si="181"/>
        <v>0</v>
      </c>
      <c r="S6066" s="47">
        <v>202304</v>
      </c>
      <c r="T6066" s="123" t="s">
        <v>7730</v>
      </c>
      <c r="U6066" s="97"/>
      <c r="V6066" s="453"/>
      <c r="W6066" s="453"/>
      <c r="X6066" s="50">
        <v>44866</v>
      </c>
      <c r="Y6066" s="50">
        <v>45230</v>
      </c>
    </row>
    <row r="6067" s="5" customFormat="1" customHeight="1" spans="1:25">
      <c r="A6067" s="24" t="s">
        <v>152</v>
      </c>
      <c r="B6067" s="22" t="s">
        <v>7422</v>
      </c>
      <c r="C6067" s="22" t="s">
        <v>153</v>
      </c>
      <c r="D6067" s="22" t="s">
        <v>7585</v>
      </c>
      <c r="E6067" s="23" t="s">
        <v>7700</v>
      </c>
      <c r="F6067" s="24" t="s">
        <v>7701</v>
      </c>
      <c r="G6067" s="24" t="s">
        <v>31</v>
      </c>
      <c r="H6067" s="25" t="s">
        <v>7727</v>
      </c>
      <c r="I6067" s="46" t="e">
        <f>VLOOKUP(H6067,'合同高级查询数据-4月返'!A:A,1,FALSE)</f>
        <v>#N/A</v>
      </c>
      <c r="J6067" s="47" t="s">
        <v>33</v>
      </c>
      <c r="K6067" s="24" t="s">
        <v>247</v>
      </c>
      <c r="L6067" s="109" t="s">
        <v>7728</v>
      </c>
      <c r="M6067" s="49" t="s">
        <v>7729</v>
      </c>
      <c r="N6067" s="509">
        <v>44926</v>
      </c>
      <c r="O6067" s="22" t="s">
        <v>37</v>
      </c>
      <c r="P6067" s="52">
        <v>0</v>
      </c>
      <c r="Q6067" s="70">
        <v>-288</v>
      </c>
      <c r="R6067" s="52">
        <f t="shared" si="181"/>
        <v>0</v>
      </c>
      <c r="S6067" s="47">
        <v>202304</v>
      </c>
      <c r="T6067" s="123" t="s">
        <v>7731</v>
      </c>
      <c r="U6067" s="97"/>
      <c r="V6067" s="453"/>
      <c r="W6067" s="453"/>
      <c r="X6067" s="50">
        <v>44866</v>
      </c>
      <c r="Y6067" s="50">
        <v>45230</v>
      </c>
    </row>
    <row r="6068" s="5" customFormat="1" customHeight="1" spans="1:25">
      <c r="A6068" s="24" t="s">
        <v>152</v>
      </c>
      <c r="B6068" s="22" t="s">
        <v>7422</v>
      </c>
      <c r="C6068" s="22" t="s">
        <v>153</v>
      </c>
      <c r="D6068" s="22" t="s">
        <v>7585</v>
      </c>
      <c r="E6068" s="23" t="s">
        <v>7700</v>
      </c>
      <c r="F6068" s="24" t="s">
        <v>7701</v>
      </c>
      <c r="G6068" s="24" t="s">
        <v>88</v>
      </c>
      <c r="H6068" s="25" t="s">
        <v>7727</v>
      </c>
      <c r="I6068" s="46" t="e">
        <f>VLOOKUP(H6068,'合同高级查询数据-4月返'!A:A,1,FALSE)</f>
        <v>#N/A</v>
      </c>
      <c r="J6068" s="47" t="s">
        <v>162</v>
      </c>
      <c r="K6068" s="24" t="s">
        <v>247</v>
      </c>
      <c r="L6068" s="109" t="s">
        <v>7728</v>
      </c>
      <c r="M6068" s="49" t="s">
        <v>7729</v>
      </c>
      <c r="N6068" s="509">
        <v>44866</v>
      </c>
      <c r="O6068" s="22" t="s">
        <v>92</v>
      </c>
      <c r="P6068" s="52">
        <v>4200</v>
      </c>
      <c r="Q6068" s="70">
        <v>5</v>
      </c>
      <c r="R6068" s="52">
        <f t="shared" si="181"/>
        <v>21000</v>
      </c>
      <c r="S6068" s="47">
        <v>202304</v>
      </c>
      <c r="T6068" s="123" t="s">
        <v>7732</v>
      </c>
      <c r="U6068" s="97"/>
      <c r="V6068" s="453"/>
      <c r="W6068" s="453"/>
      <c r="X6068" s="50">
        <v>44866</v>
      </c>
      <c r="Y6068" s="50">
        <v>45230</v>
      </c>
    </row>
    <row r="6069" s="5" customFormat="1" customHeight="1" spans="1:25">
      <c r="A6069" s="24" t="s">
        <v>152</v>
      </c>
      <c r="B6069" s="22" t="s">
        <v>7422</v>
      </c>
      <c r="C6069" s="22" t="s">
        <v>153</v>
      </c>
      <c r="D6069" s="22" t="s">
        <v>7585</v>
      </c>
      <c r="E6069" s="23" t="s">
        <v>7700</v>
      </c>
      <c r="F6069" s="24" t="s">
        <v>7701</v>
      </c>
      <c r="G6069" s="24" t="s">
        <v>88</v>
      </c>
      <c r="H6069" s="25" t="s">
        <v>7727</v>
      </c>
      <c r="I6069" s="46" t="e">
        <f>VLOOKUP(H6069,'合同高级查询数据-4月返'!A:A,1,FALSE)</f>
        <v>#N/A</v>
      </c>
      <c r="J6069" s="47" t="s">
        <v>162</v>
      </c>
      <c r="K6069" s="24" t="s">
        <v>247</v>
      </c>
      <c r="L6069" s="109" t="s">
        <v>7728</v>
      </c>
      <c r="M6069" s="49" t="s">
        <v>7729</v>
      </c>
      <c r="N6069" s="509">
        <v>44926</v>
      </c>
      <c r="O6069" s="22" t="s">
        <v>92</v>
      </c>
      <c r="P6069" s="52">
        <v>4200</v>
      </c>
      <c r="Q6069" s="70">
        <v>-5</v>
      </c>
      <c r="R6069" s="52">
        <f t="shared" si="181"/>
        <v>-21000</v>
      </c>
      <c r="S6069" s="47">
        <v>202304</v>
      </c>
      <c r="T6069" s="123" t="s">
        <v>7733</v>
      </c>
      <c r="U6069" s="97"/>
      <c r="V6069" s="453"/>
      <c r="W6069" s="453"/>
      <c r="X6069" s="50">
        <v>44866</v>
      </c>
      <c r="Y6069" s="50">
        <v>45230</v>
      </c>
    </row>
    <row r="6070" s="5" customFormat="1" customHeight="1" spans="1:25">
      <c r="A6070" s="24" t="s">
        <v>152</v>
      </c>
      <c r="B6070" s="22" t="s">
        <v>7422</v>
      </c>
      <c r="C6070" s="22" t="s">
        <v>153</v>
      </c>
      <c r="D6070" s="22" t="s">
        <v>7585</v>
      </c>
      <c r="E6070" s="23" t="s">
        <v>7700</v>
      </c>
      <c r="F6070" s="24" t="s">
        <v>7701</v>
      </c>
      <c r="G6070" s="24" t="s">
        <v>31</v>
      </c>
      <c r="H6070" s="25" t="s">
        <v>7727</v>
      </c>
      <c r="I6070" s="46" t="e">
        <f>VLOOKUP(H6070,'合同高级查询数据-4月返'!A:A,1,FALSE)</f>
        <v>#N/A</v>
      </c>
      <c r="J6070" s="47" t="s">
        <v>33</v>
      </c>
      <c r="K6070" s="24" t="s">
        <v>247</v>
      </c>
      <c r="L6070" s="109" t="s">
        <v>7734</v>
      </c>
      <c r="M6070" s="49" t="s">
        <v>7729</v>
      </c>
      <c r="N6070" s="509">
        <v>44896</v>
      </c>
      <c r="O6070" s="22" t="s">
        <v>37</v>
      </c>
      <c r="P6070" s="52">
        <v>0</v>
      </c>
      <c r="Q6070" s="70">
        <v>288</v>
      </c>
      <c r="R6070" s="52">
        <f t="shared" si="181"/>
        <v>0</v>
      </c>
      <c r="S6070" s="47">
        <v>202304</v>
      </c>
      <c r="T6070" s="123" t="s">
        <v>7735</v>
      </c>
      <c r="U6070" s="97"/>
      <c r="V6070" s="453"/>
      <c r="W6070" s="453"/>
      <c r="X6070" s="50">
        <v>44866</v>
      </c>
      <c r="Y6070" s="50">
        <v>45230</v>
      </c>
    </row>
    <row r="6071" s="5" customFormat="1" customHeight="1" spans="1:25">
      <c r="A6071" s="24" t="s">
        <v>152</v>
      </c>
      <c r="B6071" s="22" t="s">
        <v>7422</v>
      </c>
      <c r="C6071" s="22" t="s">
        <v>153</v>
      </c>
      <c r="D6071" s="22" t="s">
        <v>7585</v>
      </c>
      <c r="E6071" s="23" t="s">
        <v>7700</v>
      </c>
      <c r="F6071" s="24" t="s">
        <v>7701</v>
      </c>
      <c r="G6071" s="24" t="s">
        <v>31</v>
      </c>
      <c r="H6071" s="25" t="s">
        <v>7727</v>
      </c>
      <c r="I6071" s="46" t="e">
        <f>VLOOKUP(H6071,'合同高级查询数据-4月返'!A:A,1,FALSE)</f>
        <v>#N/A</v>
      </c>
      <c r="J6071" s="47" t="s">
        <v>33</v>
      </c>
      <c r="K6071" s="24" t="s">
        <v>247</v>
      </c>
      <c r="L6071" s="109" t="s">
        <v>7734</v>
      </c>
      <c r="M6071" s="49" t="s">
        <v>7729</v>
      </c>
      <c r="N6071" s="509">
        <v>44936</v>
      </c>
      <c r="O6071" s="22" t="s">
        <v>37</v>
      </c>
      <c r="P6071" s="52">
        <v>0</v>
      </c>
      <c r="Q6071" s="70">
        <v>-288</v>
      </c>
      <c r="R6071" s="52">
        <f t="shared" si="181"/>
        <v>0</v>
      </c>
      <c r="S6071" s="47">
        <v>202304</v>
      </c>
      <c r="T6071" s="123" t="s">
        <v>7736</v>
      </c>
      <c r="U6071" s="97"/>
      <c r="V6071" s="453"/>
      <c r="W6071" s="453"/>
      <c r="X6071" s="50">
        <v>44866</v>
      </c>
      <c r="Y6071" s="50">
        <v>45230</v>
      </c>
    </row>
    <row r="6072" s="5" customFormat="1" customHeight="1" spans="1:25">
      <c r="A6072" s="24" t="s">
        <v>152</v>
      </c>
      <c r="B6072" s="22" t="s">
        <v>7422</v>
      </c>
      <c r="C6072" s="22" t="s">
        <v>153</v>
      </c>
      <c r="D6072" s="22" t="s">
        <v>7585</v>
      </c>
      <c r="E6072" s="23" t="s">
        <v>7700</v>
      </c>
      <c r="F6072" s="24" t="s">
        <v>7701</v>
      </c>
      <c r="G6072" s="24" t="s">
        <v>31</v>
      </c>
      <c r="H6072" s="25" t="s">
        <v>7727</v>
      </c>
      <c r="I6072" s="46" t="e">
        <f>VLOOKUP(H6072,'合同高级查询数据-4月返'!A:A,1,FALSE)</f>
        <v>#N/A</v>
      </c>
      <c r="J6072" s="47" t="s">
        <v>33</v>
      </c>
      <c r="K6072" s="24" t="s">
        <v>247</v>
      </c>
      <c r="L6072" s="109" t="s">
        <v>7734</v>
      </c>
      <c r="M6072" s="49" t="s">
        <v>7729</v>
      </c>
      <c r="N6072" s="509">
        <v>44927</v>
      </c>
      <c r="O6072" s="22" t="s">
        <v>37</v>
      </c>
      <c r="P6072" s="52">
        <v>0</v>
      </c>
      <c r="Q6072" s="70">
        <v>288</v>
      </c>
      <c r="R6072" s="52">
        <f t="shared" si="181"/>
        <v>0</v>
      </c>
      <c r="S6072" s="47">
        <v>202304</v>
      </c>
      <c r="T6072" s="123" t="s">
        <v>7737</v>
      </c>
      <c r="U6072" s="97"/>
      <c r="V6072" s="453"/>
      <c r="W6072" s="453"/>
      <c r="X6072" s="50">
        <v>44866</v>
      </c>
      <c r="Y6072" s="50">
        <v>45230</v>
      </c>
    </row>
    <row r="6073" s="5" customFormat="1" customHeight="1" spans="1:25">
      <c r="A6073" s="24" t="s">
        <v>152</v>
      </c>
      <c r="B6073" s="22" t="s">
        <v>7422</v>
      </c>
      <c r="C6073" s="22" t="s">
        <v>153</v>
      </c>
      <c r="D6073" s="22" t="s">
        <v>7585</v>
      </c>
      <c r="E6073" s="23" t="s">
        <v>7700</v>
      </c>
      <c r="F6073" s="24" t="s">
        <v>7701</v>
      </c>
      <c r="G6073" s="24" t="s">
        <v>31</v>
      </c>
      <c r="H6073" s="25" t="s">
        <v>7727</v>
      </c>
      <c r="I6073" s="46" t="e">
        <f>VLOOKUP(H6073,'合同高级查询数据-4月返'!A:A,1,FALSE)</f>
        <v>#N/A</v>
      </c>
      <c r="J6073" s="47" t="s">
        <v>33</v>
      </c>
      <c r="K6073" s="24" t="s">
        <v>247</v>
      </c>
      <c r="L6073" s="109" t="s">
        <v>7738</v>
      </c>
      <c r="M6073" s="49" t="s">
        <v>7729</v>
      </c>
      <c r="N6073" s="509"/>
      <c r="O6073" s="22" t="s">
        <v>179</v>
      </c>
      <c r="P6073" s="52">
        <v>0</v>
      </c>
      <c r="Q6073" s="70">
        <v>0</v>
      </c>
      <c r="R6073" s="52">
        <f t="shared" si="181"/>
        <v>0</v>
      </c>
      <c r="S6073" s="47">
        <v>202304</v>
      </c>
      <c r="T6073" s="123" t="s">
        <v>7739</v>
      </c>
      <c r="U6073" s="97"/>
      <c r="V6073" s="453"/>
      <c r="W6073" s="453"/>
      <c r="X6073" s="50">
        <v>44866</v>
      </c>
      <c r="Y6073" s="50">
        <v>45230</v>
      </c>
    </row>
    <row r="6074" s="5" customFormat="1" customHeight="1" spans="1:25">
      <c r="A6074" s="24" t="s">
        <v>152</v>
      </c>
      <c r="B6074" s="22" t="s">
        <v>7422</v>
      </c>
      <c r="C6074" s="22" t="s">
        <v>153</v>
      </c>
      <c r="D6074" s="22" t="s">
        <v>7585</v>
      </c>
      <c r="E6074" s="23" t="s">
        <v>7700</v>
      </c>
      <c r="F6074" s="24" t="s">
        <v>7701</v>
      </c>
      <c r="G6074" s="24" t="s">
        <v>88</v>
      </c>
      <c r="H6074" s="25" t="s">
        <v>7727</v>
      </c>
      <c r="I6074" s="46" t="e">
        <f>VLOOKUP(H6074,'合同高级查询数据-4月返'!A:A,1,FALSE)</f>
        <v>#N/A</v>
      </c>
      <c r="J6074" s="47" t="s">
        <v>162</v>
      </c>
      <c r="K6074" s="24" t="s">
        <v>247</v>
      </c>
      <c r="L6074" s="109" t="s">
        <v>7734</v>
      </c>
      <c r="M6074" s="49" t="s">
        <v>7729</v>
      </c>
      <c r="N6074" s="509">
        <v>44896</v>
      </c>
      <c r="O6074" s="22" t="s">
        <v>92</v>
      </c>
      <c r="P6074" s="52">
        <v>4200</v>
      </c>
      <c r="Q6074" s="70">
        <v>5</v>
      </c>
      <c r="R6074" s="52">
        <f t="shared" si="181"/>
        <v>21000</v>
      </c>
      <c r="S6074" s="47">
        <v>202304</v>
      </c>
      <c r="T6074" s="123" t="s">
        <v>7740</v>
      </c>
      <c r="U6074" s="97"/>
      <c r="V6074" s="453"/>
      <c r="W6074" s="453"/>
      <c r="X6074" s="50">
        <v>44866</v>
      </c>
      <c r="Y6074" s="50">
        <v>45230</v>
      </c>
    </row>
    <row r="6075" s="5" customFormat="1" customHeight="1" spans="1:25">
      <c r="A6075" s="24" t="s">
        <v>152</v>
      </c>
      <c r="B6075" s="22" t="s">
        <v>7422</v>
      </c>
      <c r="C6075" s="22" t="s">
        <v>153</v>
      </c>
      <c r="D6075" s="22" t="s">
        <v>7585</v>
      </c>
      <c r="E6075" s="23" t="s">
        <v>7700</v>
      </c>
      <c r="F6075" s="24" t="s">
        <v>7701</v>
      </c>
      <c r="G6075" s="24" t="s">
        <v>88</v>
      </c>
      <c r="H6075" s="25" t="s">
        <v>7727</v>
      </c>
      <c r="I6075" s="46" t="e">
        <f>VLOOKUP(H6075,'合同高级查询数据-4月返'!A:A,1,FALSE)</f>
        <v>#N/A</v>
      </c>
      <c r="J6075" s="47" t="s">
        <v>162</v>
      </c>
      <c r="K6075" s="24" t="s">
        <v>247</v>
      </c>
      <c r="L6075" s="109" t="s">
        <v>7734</v>
      </c>
      <c r="M6075" s="49" t="s">
        <v>7729</v>
      </c>
      <c r="N6075" s="509">
        <v>44926</v>
      </c>
      <c r="O6075" s="22" t="s">
        <v>92</v>
      </c>
      <c r="P6075" s="52">
        <v>4200</v>
      </c>
      <c r="Q6075" s="70">
        <v>-2</v>
      </c>
      <c r="R6075" s="52">
        <f t="shared" si="181"/>
        <v>-8400</v>
      </c>
      <c r="S6075" s="47">
        <v>202304</v>
      </c>
      <c r="T6075" s="123" t="s">
        <v>7741</v>
      </c>
      <c r="U6075" s="97"/>
      <c r="V6075" s="453"/>
      <c r="W6075" s="453"/>
      <c r="X6075" s="50">
        <v>44866</v>
      </c>
      <c r="Y6075" s="50">
        <v>45230</v>
      </c>
    </row>
    <row r="6076" s="5" customFormat="1" customHeight="1" spans="1:25">
      <c r="A6076" s="24" t="s">
        <v>152</v>
      </c>
      <c r="B6076" s="22" t="s">
        <v>7422</v>
      </c>
      <c r="C6076" s="22" t="s">
        <v>153</v>
      </c>
      <c r="D6076" s="22" t="s">
        <v>7585</v>
      </c>
      <c r="E6076" s="23" t="s">
        <v>7700</v>
      </c>
      <c r="F6076" s="24" t="s">
        <v>7701</v>
      </c>
      <c r="G6076" s="24" t="s">
        <v>88</v>
      </c>
      <c r="H6076" s="25" t="s">
        <v>7727</v>
      </c>
      <c r="I6076" s="46" t="e">
        <f>VLOOKUP(H6076,'合同高级查询数据-4月返'!A:A,1,FALSE)</f>
        <v>#N/A</v>
      </c>
      <c r="J6076" s="47" t="s">
        <v>162</v>
      </c>
      <c r="K6076" s="24" t="s">
        <v>247</v>
      </c>
      <c r="L6076" s="109" t="s">
        <v>7734</v>
      </c>
      <c r="M6076" s="49" t="s">
        <v>7729</v>
      </c>
      <c r="N6076" s="509">
        <v>44936</v>
      </c>
      <c r="O6076" s="22" t="s">
        <v>92</v>
      </c>
      <c r="P6076" s="52">
        <v>4200</v>
      </c>
      <c r="Q6076" s="70">
        <v>-3</v>
      </c>
      <c r="R6076" s="52">
        <f t="shared" si="181"/>
        <v>-12600</v>
      </c>
      <c r="S6076" s="47">
        <v>202304</v>
      </c>
      <c r="T6076" s="123" t="s">
        <v>7742</v>
      </c>
      <c r="U6076" s="97"/>
      <c r="V6076" s="453"/>
      <c r="W6076" s="453"/>
      <c r="X6076" s="50">
        <v>44866</v>
      </c>
      <c r="Y6076" s="50">
        <v>45230</v>
      </c>
    </row>
    <row r="6077" s="5" customFormat="1" customHeight="1" spans="1:25">
      <c r="A6077" s="24" t="s">
        <v>152</v>
      </c>
      <c r="B6077" s="22" t="s">
        <v>7422</v>
      </c>
      <c r="C6077" s="22" t="s">
        <v>153</v>
      </c>
      <c r="D6077" s="22" t="s">
        <v>7585</v>
      </c>
      <c r="E6077" s="23" t="s">
        <v>7700</v>
      </c>
      <c r="F6077" s="24" t="s">
        <v>7701</v>
      </c>
      <c r="G6077" s="24" t="s">
        <v>88</v>
      </c>
      <c r="H6077" s="25" t="s">
        <v>7727</v>
      </c>
      <c r="I6077" s="46" t="e">
        <f>VLOOKUP(H6077,'合同高级查询数据-4月返'!A:A,1,FALSE)</f>
        <v>#N/A</v>
      </c>
      <c r="J6077" s="47" t="s">
        <v>162</v>
      </c>
      <c r="K6077" s="24" t="s">
        <v>247</v>
      </c>
      <c r="L6077" s="109" t="s">
        <v>7734</v>
      </c>
      <c r="M6077" s="49" t="s">
        <v>7729</v>
      </c>
      <c r="N6077" s="509">
        <v>44927</v>
      </c>
      <c r="O6077" s="22" t="s">
        <v>92</v>
      </c>
      <c r="P6077" s="52">
        <v>4200</v>
      </c>
      <c r="Q6077" s="70">
        <v>14</v>
      </c>
      <c r="R6077" s="52">
        <f t="shared" si="181"/>
        <v>58800</v>
      </c>
      <c r="S6077" s="47">
        <v>202304</v>
      </c>
      <c r="T6077" s="123" t="s">
        <v>7743</v>
      </c>
      <c r="U6077" s="97"/>
      <c r="V6077" s="453"/>
      <c r="W6077" s="453"/>
      <c r="X6077" s="50">
        <v>44866</v>
      </c>
      <c r="Y6077" s="50">
        <v>45230</v>
      </c>
    </row>
    <row r="6078" s="5" customFormat="1" customHeight="1" spans="1:25">
      <c r="A6078" s="24" t="s">
        <v>152</v>
      </c>
      <c r="B6078" s="22" t="s">
        <v>7422</v>
      </c>
      <c r="C6078" s="22" t="s">
        <v>120</v>
      </c>
      <c r="D6078" s="22" t="s">
        <v>7585</v>
      </c>
      <c r="E6078" s="23" t="s">
        <v>7744</v>
      </c>
      <c r="F6078" s="24" t="s">
        <v>7745</v>
      </c>
      <c r="G6078" s="24" t="s">
        <v>31</v>
      </c>
      <c r="H6078" s="25" t="s">
        <v>7746</v>
      </c>
      <c r="I6078" s="46" t="e">
        <f>VLOOKUP(H6078,'合同高级查询数据-4月返'!A:A,1,FALSE)</f>
        <v>#N/A</v>
      </c>
      <c r="J6078" s="47" t="s">
        <v>33</v>
      </c>
      <c r="K6078" s="24" t="s">
        <v>6322</v>
      </c>
      <c r="L6078" s="109" t="s">
        <v>7747</v>
      </c>
      <c r="M6078" s="49" t="s">
        <v>7748</v>
      </c>
      <c r="N6078" s="50">
        <v>44013</v>
      </c>
      <c r="O6078" s="22" t="s">
        <v>37</v>
      </c>
      <c r="P6078" s="52">
        <v>0</v>
      </c>
      <c r="Q6078" s="70">
        <v>320</v>
      </c>
      <c r="R6078" s="52">
        <f t="shared" si="181"/>
        <v>0</v>
      </c>
      <c r="S6078" s="47">
        <v>202304</v>
      </c>
      <c r="T6078" s="123" t="s">
        <v>7749</v>
      </c>
      <c r="U6078" s="97"/>
      <c r="V6078" s="453"/>
      <c r="W6078" s="97"/>
      <c r="X6078" s="50">
        <v>44378</v>
      </c>
      <c r="Y6078" s="50">
        <v>44742</v>
      </c>
    </row>
    <row r="6079" s="5" customFormat="1" customHeight="1" spans="1:25">
      <c r="A6079" s="24" t="s">
        <v>152</v>
      </c>
      <c r="B6079" s="22" t="s">
        <v>7422</v>
      </c>
      <c r="C6079" s="22" t="s">
        <v>120</v>
      </c>
      <c r="D6079" s="22" t="s">
        <v>7585</v>
      </c>
      <c r="E6079" s="23" t="s">
        <v>7744</v>
      </c>
      <c r="F6079" s="24" t="s">
        <v>7745</v>
      </c>
      <c r="G6079" s="24" t="s">
        <v>31</v>
      </c>
      <c r="H6079" s="25" t="s">
        <v>7746</v>
      </c>
      <c r="I6079" s="46" t="e">
        <f>VLOOKUP(H6079,'合同高级查询数据-4月返'!A:A,1,FALSE)</f>
        <v>#N/A</v>
      </c>
      <c r="J6079" s="47" t="s">
        <v>33</v>
      </c>
      <c r="K6079" s="24" t="s">
        <v>6322</v>
      </c>
      <c r="L6079" s="109" t="s">
        <v>7747</v>
      </c>
      <c r="M6079" s="49" t="s">
        <v>7748</v>
      </c>
      <c r="N6079" s="50"/>
      <c r="O6079" s="22" t="s">
        <v>179</v>
      </c>
      <c r="P6079" s="52">
        <v>0</v>
      </c>
      <c r="Q6079" s="70">
        <v>0</v>
      </c>
      <c r="R6079" s="52">
        <f t="shared" si="181"/>
        <v>0</v>
      </c>
      <c r="S6079" s="47">
        <v>202304</v>
      </c>
      <c r="T6079" s="123" t="s">
        <v>7750</v>
      </c>
      <c r="U6079" s="97"/>
      <c r="V6079" s="453"/>
      <c r="W6079" s="97"/>
      <c r="X6079" s="50">
        <v>44378</v>
      </c>
      <c r="Y6079" s="50">
        <v>44742</v>
      </c>
    </row>
    <row r="6080" s="5" customFormat="1" customHeight="1" spans="1:25">
      <c r="A6080" s="24" t="s">
        <v>152</v>
      </c>
      <c r="B6080" s="22" t="s">
        <v>7422</v>
      </c>
      <c r="C6080" s="22" t="s">
        <v>120</v>
      </c>
      <c r="D6080" s="22" t="s">
        <v>7585</v>
      </c>
      <c r="E6080" s="23" t="s">
        <v>7744</v>
      </c>
      <c r="F6080" s="24" t="s">
        <v>7745</v>
      </c>
      <c r="G6080" s="24" t="s">
        <v>88</v>
      </c>
      <c r="H6080" s="25" t="s">
        <v>7746</v>
      </c>
      <c r="I6080" s="46" t="e">
        <f>VLOOKUP(H6080,'合同高级查询数据-4月返'!A:A,1,FALSE)</f>
        <v>#N/A</v>
      </c>
      <c r="J6080" s="47" t="s">
        <v>162</v>
      </c>
      <c r="K6080" s="24" t="s">
        <v>6322</v>
      </c>
      <c r="L6080" s="109" t="s">
        <v>7747</v>
      </c>
      <c r="M6080" s="49" t="s">
        <v>7748</v>
      </c>
      <c r="N6080" s="50">
        <v>44013</v>
      </c>
      <c r="O6080" s="22" t="s">
        <v>702</v>
      </c>
      <c r="P6080" s="52">
        <v>0</v>
      </c>
      <c r="Q6080" s="70">
        <v>5</v>
      </c>
      <c r="R6080" s="52">
        <f t="shared" si="181"/>
        <v>0</v>
      </c>
      <c r="S6080" s="47">
        <v>202304</v>
      </c>
      <c r="T6080" s="123" t="s">
        <v>7751</v>
      </c>
      <c r="U6080" s="97"/>
      <c r="V6080" s="453"/>
      <c r="W6080" s="97"/>
      <c r="X6080" s="50">
        <v>44378</v>
      </c>
      <c r="Y6080" s="50">
        <v>44742</v>
      </c>
    </row>
    <row r="6081" s="5" customFormat="1" customHeight="1" spans="1:25">
      <c r="A6081" s="24" t="s">
        <v>152</v>
      </c>
      <c r="B6081" s="22" t="s">
        <v>7422</v>
      </c>
      <c r="C6081" s="22" t="s">
        <v>120</v>
      </c>
      <c r="D6081" s="22" t="s">
        <v>7585</v>
      </c>
      <c r="E6081" s="23" t="s">
        <v>7744</v>
      </c>
      <c r="F6081" s="24" t="s">
        <v>7745</v>
      </c>
      <c r="G6081" s="24" t="s">
        <v>88</v>
      </c>
      <c r="H6081" s="25" t="s">
        <v>7746</v>
      </c>
      <c r="I6081" s="46" t="e">
        <f>VLOOKUP(H6081,'合同高级查询数据-4月返'!A:A,1,FALSE)</f>
        <v>#N/A</v>
      </c>
      <c r="J6081" s="47" t="s">
        <v>162</v>
      </c>
      <c r="K6081" s="24" t="s">
        <v>6322</v>
      </c>
      <c r="L6081" s="109" t="s">
        <v>7747</v>
      </c>
      <c r="M6081" s="49" t="s">
        <v>7748</v>
      </c>
      <c r="N6081" s="50">
        <v>44561</v>
      </c>
      <c r="O6081" s="22" t="s">
        <v>702</v>
      </c>
      <c r="P6081" s="52">
        <v>0</v>
      </c>
      <c r="Q6081" s="70">
        <v>-5</v>
      </c>
      <c r="R6081" s="52">
        <f t="shared" si="181"/>
        <v>0</v>
      </c>
      <c r="S6081" s="47">
        <v>202304</v>
      </c>
      <c r="T6081" s="123" t="s">
        <v>7752</v>
      </c>
      <c r="U6081" s="97"/>
      <c r="V6081" s="453"/>
      <c r="W6081" s="97"/>
      <c r="X6081" s="50">
        <v>44378</v>
      </c>
      <c r="Y6081" s="50">
        <v>44742</v>
      </c>
    </row>
    <row r="6082" s="5" customFormat="1" customHeight="1" spans="1:25">
      <c r="A6082" s="24" t="s">
        <v>152</v>
      </c>
      <c r="B6082" s="22" t="s">
        <v>7422</v>
      </c>
      <c r="C6082" s="22" t="s">
        <v>275</v>
      </c>
      <c r="D6082" s="22" t="s">
        <v>28</v>
      </c>
      <c r="E6082" s="23" t="s">
        <v>7744</v>
      </c>
      <c r="F6082" s="24" t="s">
        <v>7745</v>
      </c>
      <c r="G6082" s="24" t="s">
        <v>31</v>
      </c>
      <c r="H6082" s="25" t="s">
        <v>7753</v>
      </c>
      <c r="I6082" s="46" t="e">
        <f>VLOOKUP(H6082,'合同高级查询数据-4月返'!A:A,1,FALSE)</f>
        <v>#N/A</v>
      </c>
      <c r="J6082" s="47" t="s">
        <v>33</v>
      </c>
      <c r="K6082" s="24" t="s">
        <v>7754</v>
      </c>
      <c r="L6082" s="109" t="s">
        <v>7755</v>
      </c>
      <c r="M6082" s="49" t="s">
        <v>7756</v>
      </c>
      <c r="N6082" s="50">
        <v>44242</v>
      </c>
      <c r="O6082" s="22" t="s">
        <v>37</v>
      </c>
      <c r="P6082" s="52">
        <v>0</v>
      </c>
      <c r="Q6082" s="70">
        <v>288</v>
      </c>
      <c r="R6082" s="52">
        <f t="shared" si="181"/>
        <v>0</v>
      </c>
      <c r="S6082" s="47">
        <v>202304</v>
      </c>
      <c r="T6082" s="123" t="s">
        <v>7757</v>
      </c>
      <c r="U6082" s="97"/>
      <c r="V6082" s="453"/>
      <c r="W6082" s="453"/>
      <c r="X6082" s="50">
        <v>44228</v>
      </c>
      <c r="Y6082" s="50">
        <v>44592</v>
      </c>
    </row>
    <row r="6083" s="5" customFormat="1" customHeight="1" spans="1:25">
      <c r="A6083" s="24" t="s">
        <v>152</v>
      </c>
      <c r="B6083" s="22" t="s">
        <v>7422</v>
      </c>
      <c r="C6083" s="22" t="s">
        <v>275</v>
      </c>
      <c r="D6083" s="22" t="s">
        <v>28</v>
      </c>
      <c r="E6083" s="23" t="s">
        <v>7744</v>
      </c>
      <c r="F6083" s="24" t="s">
        <v>7745</v>
      </c>
      <c r="G6083" s="24" t="s">
        <v>31</v>
      </c>
      <c r="H6083" s="25" t="s">
        <v>7753</v>
      </c>
      <c r="I6083" s="46" t="e">
        <f>VLOOKUP(H6083,'合同高级查询数据-4月返'!A:A,1,FALSE)</f>
        <v>#N/A</v>
      </c>
      <c r="J6083" s="47" t="s">
        <v>33</v>
      </c>
      <c r="K6083" s="24" t="s">
        <v>7754</v>
      </c>
      <c r="L6083" s="109" t="s">
        <v>7755</v>
      </c>
      <c r="M6083" s="49" t="s">
        <v>7756</v>
      </c>
      <c r="N6083" s="50">
        <v>44561</v>
      </c>
      <c r="O6083" s="22" t="s">
        <v>37</v>
      </c>
      <c r="P6083" s="52">
        <v>0</v>
      </c>
      <c r="Q6083" s="70">
        <v>-288</v>
      </c>
      <c r="R6083" s="52">
        <f t="shared" si="181"/>
        <v>0</v>
      </c>
      <c r="S6083" s="47">
        <v>202304</v>
      </c>
      <c r="T6083" s="123" t="s">
        <v>7758</v>
      </c>
      <c r="U6083" s="97"/>
      <c r="V6083" s="453"/>
      <c r="W6083" s="453"/>
      <c r="X6083" s="50">
        <v>44228</v>
      </c>
      <c r="Y6083" s="50">
        <v>44592</v>
      </c>
    </row>
    <row r="6084" s="5" customFormat="1" customHeight="1" spans="1:25">
      <c r="A6084" s="24" t="s">
        <v>152</v>
      </c>
      <c r="B6084" s="22" t="s">
        <v>7422</v>
      </c>
      <c r="C6084" s="22" t="s">
        <v>275</v>
      </c>
      <c r="D6084" s="22" t="s">
        <v>28</v>
      </c>
      <c r="E6084" s="23" t="s">
        <v>7744</v>
      </c>
      <c r="F6084" s="24" t="s">
        <v>7745</v>
      </c>
      <c r="G6084" s="24" t="s">
        <v>31</v>
      </c>
      <c r="H6084" s="25" t="s">
        <v>7753</v>
      </c>
      <c r="I6084" s="46" t="e">
        <f>VLOOKUP(H6084,'合同高级查询数据-4月返'!A:A,1,FALSE)</f>
        <v>#N/A</v>
      </c>
      <c r="J6084" s="47" t="s">
        <v>33</v>
      </c>
      <c r="K6084" s="24" t="s">
        <v>7754</v>
      </c>
      <c r="L6084" s="109" t="s">
        <v>7755</v>
      </c>
      <c r="M6084" s="49" t="s">
        <v>7756</v>
      </c>
      <c r="N6084" s="50"/>
      <c r="O6084" s="22" t="s">
        <v>179</v>
      </c>
      <c r="P6084" s="52">
        <v>0</v>
      </c>
      <c r="Q6084" s="70">
        <v>0</v>
      </c>
      <c r="R6084" s="52">
        <f t="shared" si="181"/>
        <v>0</v>
      </c>
      <c r="S6084" s="47">
        <v>202304</v>
      </c>
      <c r="T6084" s="123" t="s">
        <v>7759</v>
      </c>
      <c r="U6084" s="97"/>
      <c r="V6084" s="453"/>
      <c r="W6084" s="453"/>
      <c r="X6084" s="50">
        <v>44228</v>
      </c>
      <c r="Y6084" s="50">
        <v>44592</v>
      </c>
    </row>
    <row r="6085" s="5" customFormat="1" customHeight="1" spans="1:25">
      <c r="A6085" s="24" t="s">
        <v>152</v>
      </c>
      <c r="B6085" s="22" t="s">
        <v>7422</v>
      </c>
      <c r="C6085" s="22" t="s">
        <v>275</v>
      </c>
      <c r="D6085" s="22" t="s">
        <v>28</v>
      </c>
      <c r="E6085" s="23" t="s">
        <v>7744</v>
      </c>
      <c r="F6085" s="24" t="s">
        <v>7745</v>
      </c>
      <c r="G6085" s="24" t="s">
        <v>88</v>
      </c>
      <c r="H6085" s="25" t="s">
        <v>7753</v>
      </c>
      <c r="I6085" s="46" t="e">
        <f>VLOOKUP(H6085,'合同高级查询数据-4月返'!A:A,1,FALSE)</f>
        <v>#N/A</v>
      </c>
      <c r="J6085" s="47" t="s">
        <v>162</v>
      </c>
      <c r="K6085" s="24" t="s">
        <v>7754</v>
      </c>
      <c r="L6085" s="109" t="s">
        <v>7755</v>
      </c>
      <c r="M6085" s="49" t="s">
        <v>7756</v>
      </c>
      <c r="N6085" s="50">
        <v>44228</v>
      </c>
      <c r="O6085" s="22" t="s">
        <v>163</v>
      </c>
      <c r="P6085" s="52">
        <v>4000</v>
      </c>
      <c r="Q6085" s="70">
        <v>4</v>
      </c>
      <c r="R6085" s="52">
        <f t="shared" si="181"/>
        <v>16000</v>
      </c>
      <c r="S6085" s="47">
        <v>202304</v>
      </c>
      <c r="T6085" s="123" t="s">
        <v>7760</v>
      </c>
      <c r="U6085" s="97"/>
      <c r="V6085" s="453"/>
      <c r="W6085" s="453"/>
      <c r="X6085" s="50">
        <v>44228</v>
      </c>
      <c r="Y6085" s="50">
        <v>44592</v>
      </c>
    </row>
    <row r="6086" s="5" customFormat="1" customHeight="1" spans="1:25">
      <c r="A6086" s="24" t="s">
        <v>152</v>
      </c>
      <c r="B6086" s="22" t="s">
        <v>7422</v>
      </c>
      <c r="C6086" s="22" t="s">
        <v>275</v>
      </c>
      <c r="D6086" s="22" t="s">
        <v>28</v>
      </c>
      <c r="E6086" s="23" t="s">
        <v>7744</v>
      </c>
      <c r="F6086" s="24" t="s">
        <v>7745</v>
      </c>
      <c r="G6086" s="24" t="s">
        <v>88</v>
      </c>
      <c r="H6086" s="25" t="s">
        <v>7753</v>
      </c>
      <c r="I6086" s="46" t="e">
        <f>VLOOKUP(H6086,'合同高级查询数据-4月返'!A:A,1,FALSE)</f>
        <v>#N/A</v>
      </c>
      <c r="J6086" s="47" t="s">
        <v>162</v>
      </c>
      <c r="K6086" s="24" t="s">
        <v>7754</v>
      </c>
      <c r="L6086" s="109" t="s">
        <v>7755</v>
      </c>
      <c r="M6086" s="49" t="s">
        <v>7756</v>
      </c>
      <c r="N6086" s="50">
        <v>44561</v>
      </c>
      <c r="O6086" s="22" t="s">
        <v>163</v>
      </c>
      <c r="P6086" s="52">
        <v>4000</v>
      </c>
      <c r="Q6086" s="70">
        <v>-4</v>
      </c>
      <c r="R6086" s="52">
        <f t="shared" si="181"/>
        <v>-16000</v>
      </c>
      <c r="S6086" s="47">
        <v>202304</v>
      </c>
      <c r="T6086" s="123" t="s">
        <v>7761</v>
      </c>
      <c r="U6086" s="97"/>
      <c r="V6086" s="453"/>
      <c r="W6086" s="453"/>
      <c r="X6086" s="50">
        <v>44228</v>
      </c>
      <c r="Y6086" s="50">
        <v>44592</v>
      </c>
    </row>
    <row r="6087" s="5" customFormat="1" customHeight="1" spans="1:25">
      <c r="A6087" s="24" t="s">
        <v>152</v>
      </c>
      <c r="B6087" s="22" t="s">
        <v>7422</v>
      </c>
      <c r="C6087" s="22" t="s">
        <v>120</v>
      </c>
      <c r="D6087" s="22" t="s">
        <v>7585</v>
      </c>
      <c r="E6087" s="23" t="s">
        <v>7762</v>
      </c>
      <c r="F6087" s="24" t="s">
        <v>7763</v>
      </c>
      <c r="G6087" s="24" t="s">
        <v>31</v>
      </c>
      <c r="H6087" s="25" t="s">
        <v>7764</v>
      </c>
      <c r="I6087" s="46" t="e">
        <f>VLOOKUP(H6087,'合同高级查询数据-4月返'!A:A,1,FALSE)</f>
        <v>#N/A</v>
      </c>
      <c r="J6087" s="47" t="s">
        <v>33</v>
      </c>
      <c r="K6087" s="24" t="s">
        <v>7765</v>
      </c>
      <c r="L6087" s="109" t="s">
        <v>7766</v>
      </c>
      <c r="M6087" s="49" t="s">
        <v>7767</v>
      </c>
      <c r="N6087" s="50">
        <v>43852</v>
      </c>
      <c r="O6087" s="22" t="s">
        <v>37</v>
      </c>
      <c r="P6087" s="501">
        <v>0</v>
      </c>
      <c r="Q6087" s="52">
        <v>384</v>
      </c>
      <c r="R6087" s="52">
        <f t="shared" si="181"/>
        <v>0</v>
      </c>
      <c r="S6087" s="47">
        <v>202304</v>
      </c>
      <c r="T6087" s="123" t="s">
        <v>7768</v>
      </c>
      <c r="U6087" s="97"/>
      <c r="V6087" s="453"/>
      <c r="W6087" s="97"/>
      <c r="X6087" s="50">
        <v>44470</v>
      </c>
      <c r="Y6087" s="50">
        <v>44834</v>
      </c>
    </row>
    <row r="6088" s="5" customFormat="1" customHeight="1" spans="1:25">
      <c r="A6088" s="24" t="s">
        <v>152</v>
      </c>
      <c r="B6088" s="22" t="s">
        <v>7422</v>
      </c>
      <c r="C6088" s="22" t="s">
        <v>120</v>
      </c>
      <c r="D6088" s="22" t="s">
        <v>7585</v>
      </c>
      <c r="E6088" s="23" t="s">
        <v>7762</v>
      </c>
      <c r="F6088" s="24" t="s">
        <v>7763</v>
      </c>
      <c r="G6088" s="24" t="s">
        <v>88</v>
      </c>
      <c r="H6088" s="25" t="s">
        <v>7764</v>
      </c>
      <c r="I6088" s="46" t="e">
        <f>VLOOKUP(H6088,'合同高级查询数据-4月返'!A:A,1,FALSE)</f>
        <v>#N/A</v>
      </c>
      <c r="J6088" s="47" t="s">
        <v>162</v>
      </c>
      <c r="K6088" s="24" t="s">
        <v>7765</v>
      </c>
      <c r="L6088" s="109" t="s">
        <v>7766</v>
      </c>
      <c r="M6088" s="49" t="s">
        <v>7767</v>
      </c>
      <c r="N6088" s="50">
        <v>43852</v>
      </c>
      <c r="O6088" s="22" t="s">
        <v>702</v>
      </c>
      <c r="P6088" s="501">
        <v>4000</v>
      </c>
      <c r="Q6088" s="52">
        <v>8</v>
      </c>
      <c r="R6088" s="52">
        <f t="shared" si="181"/>
        <v>32000</v>
      </c>
      <c r="S6088" s="47">
        <v>202304</v>
      </c>
      <c r="T6088" s="123" t="s">
        <v>7769</v>
      </c>
      <c r="U6088" s="97"/>
      <c r="V6088" s="453"/>
      <c r="W6088" s="97"/>
      <c r="X6088" s="50">
        <v>44470</v>
      </c>
      <c r="Y6088" s="50">
        <v>44834</v>
      </c>
    </row>
    <row r="6089" s="5" customFormat="1" customHeight="1" spans="1:25">
      <c r="A6089" s="24" t="s">
        <v>152</v>
      </c>
      <c r="B6089" s="22" t="s">
        <v>7422</v>
      </c>
      <c r="C6089" s="22" t="s">
        <v>120</v>
      </c>
      <c r="D6089" s="22" t="s">
        <v>7585</v>
      </c>
      <c r="E6089" s="23" t="s">
        <v>7762</v>
      </c>
      <c r="F6089" s="24" t="s">
        <v>7763</v>
      </c>
      <c r="G6089" s="24" t="s">
        <v>88</v>
      </c>
      <c r="H6089" s="25" t="s">
        <v>7764</v>
      </c>
      <c r="I6089" s="46" t="e">
        <f>VLOOKUP(H6089,'合同高级查询数据-4月返'!A:A,1,FALSE)</f>
        <v>#N/A</v>
      </c>
      <c r="J6089" s="47" t="s">
        <v>162</v>
      </c>
      <c r="K6089" s="24" t="s">
        <v>7765</v>
      </c>
      <c r="L6089" s="109" t="s">
        <v>7766</v>
      </c>
      <c r="M6089" s="49" t="s">
        <v>7767</v>
      </c>
      <c r="N6089" s="50">
        <v>44377</v>
      </c>
      <c r="O6089" s="22" t="s">
        <v>702</v>
      </c>
      <c r="P6089" s="501">
        <v>4000</v>
      </c>
      <c r="Q6089" s="52">
        <v>-1</v>
      </c>
      <c r="R6089" s="52">
        <f t="shared" si="181"/>
        <v>-4000</v>
      </c>
      <c r="S6089" s="47">
        <v>202304</v>
      </c>
      <c r="T6089" s="123" t="s">
        <v>7770</v>
      </c>
      <c r="U6089" s="97"/>
      <c r="V6089" s="453"/>
      <c r="W6089" s="97"/>
      <c r="X6089" s="50">
        <v>44470</v>
      </c>
      <c r="Y6089" s="50">
        <v>44834</v>
      </c>
    </row>
    <row r="6090" s="5" customFormat="1" customHeight="1" spans="1:25">
      <c r="A6090" s="24" t="s">
        <v>152</v>
      </c>
      <c r="B6090" s="22" t="s">
        <v>7422</v>
      </c>
      <c r="C6090" s="22" t="s">
        <v>120</v>
      </c>
      <c r="D6090" s="22" t="s">
        <v>7585</v>
      </c>
      <c r="E6090" s="23" t="s">
        <v>7762</v>
      </c>
      <c r="F6090" s="24" t="s">
        <v>7763</v>
      </c>
      <c r="G6090" s="24" t="s">
        <v>88</v>
      </c>
      <c r="H6090" s="25" t="s">
        <v>7764</v>
      </c>
      <c r="I6090" s="46" t="e">
        <f>VLOOKUP(H6090,'合同高级查询数据-4月返'!A:A,1,FALSE)</f>
        <v>#N/A</v>
      </c>
      <c r="J6090" s="47" t="s">
        <v>162</v>
      </c>
      <c r="K6090" s="24" t="s">
        <v>7765</v>
      </c>
      <c r="L6090" s="109" t="s">
        <v>7766</v>
      </c>
      <c r="M6090" s="49" t="s">
        <v>7767</v>
      </c>
      <c r="N6090" s="50">
        <v>44592</v>
      </c>
      <c r="O6090" s="22" t="s">
        <v>702</v>
      </c>
      <c r="P6090" s="501">
        <v>4000</v>
      </c>
      <c r="Q6090" s="52">
        <v>-7</v>
      </c>
      <c r="R6090" s="52">
        <f t="shared" si="181"/>
        <v>-28000</v>
      </c>
      <c r="S6090" s="47">
        <v>202304</v>
      </c>
      <c r="T6090" s="123" t="s">
        <v>7771</v>
      </c>
      <c r="U6090" s="97"/>
      <c r="V6090" s="453"/>
      <c r="W6090" s="97"/>
      <c r="X6090" s="50">
        <v>44470</v>
      </c>
      <c r="Y6090" s="50">
        <v>44834</v>
      </c>
    </row>
    <row r="6091" s="5" customFormat="1" customHeight="1" spans="1:25">
      <c r="A6091" s="24" t="s">
        <v>152</v>
      </c>
      <c r="B6091" s="22" t="s">
        <v>7422</v>
      </c>
      <c r="C6091" s="22" t="s">
        <v>120</v>
      </c>
      <c r="D6091" s="22" t="s">
        <v>7585</v>
      </c>
      <c r="E6091" s="23" t="s">
        <v>7762</v>
      </c>
      <c r="F6091" s="24" t="s">
        <v>7763</v>
      </c>
      <c r="G6091" s="24" t="s">
        <v>31</v>
      </c>
      <c r="H6091" s="25" t="s">
        <v>7764</v>
      </c>
      <c r="I6091" s="46" t="e">
        <f>VLOOKUP(H6091,'合同高级查询数据-4月返'!A:A,1,FALSE)</f>
        <v>#N/A</v>
      </c>
      <c r="J6091" s="47" t="s">
        <v>33</v>
      </c>
      <c r="K6091" s="24" t="s">
        <v>121</v>
      </c>
      <c r="L6091" s="109" t="s">
        <v>7772</v>
      </c>
      <c r="M6091" s="49" t="s">
        <v>7773</v>
      </c>
      <c r="N6091" s="50">
        <v>43901</v>
      </c>
      <c r="O6091" s="22" t="s">
        <v>37</v>
      </c>
      <c r="P6091" s="501">
        <v>0</v>
      </c>
      <c r="Q6091" s="52">
        <v>320</v>
      </c>
      <c r="R6091" s="52">
        <f t="shared" si="181"/>
        <v>0</v>
      </c>
      <c r="S6091" s="47">
        <v>202304</v>
      </c>
      <c r="T6091" s="123" t="s">
        <v>7774</v>
      </c>
      <c r="U6091" s="97"/>
      <c r="V6091" s="453"/>
      <c r="W6091" s="97"/>
      <c r="X6091" s="50">
        <v>44470</v>
      </c>
      <c r="Y6091" s="50">
        <v>44834</v>
      </c>
    </row>
    <row r="6092" s="5" customFormat="1" customHeight="1" spans="1:25">
      <c r="A6092" s="24" t="s">
        <v>152</v>
      </c>
      <c r="B6092" s="22" t="s">
        <v>7422</v>
      </c>
      <c r="C6092" s="22" t="s">
        <v>120</v>
      </c>
      <c r="D6092" s="22" t="s">
        <v>7585</v>
      </c>
      <c r="E6092" s="23" t="s">
        <v>7762</v>
      </c>
      <c r="F6092" s="24" t="s">
        <v>7763</v>
      </c>
      <c r="G6092" s="24" t="s">
        <v>88</v>
      </c>
      <c r="H6092" s="25" t="s">
        <v>7764</v>
      </c>
      <c r="I6092" s="46" t="e">
        <f>VLOOKUP(H6092,'合同高级查询数据-4月返'!A:A,1,FALSE)</f>
        <v>#N/A</v>
      </c>
      <c r="J6092" s="47" t="s">
        <v>162</v>
      </c>
      <c r="K6092" s="24" t="s">
        <v>121</v>
      </c>
      <c r="L6092" s="109" t="s">
        <v>7772</v>
      </c>
      <c r="M6092" s="49" t="s">
        <v>7773</v>
      </c>
      <c r="N6092" s="50">
        <v>43901</v>
      </c>
      <c r="O6092" s="22" t="s">
        <v>702</v>
      </c>
      <c r="P6092" s="501">
        <v>4000</v>
      </c>
      <c r="Q6092" s="52">
        <v>5</v>
      </c>
      <c r="R6092" s="52">
        <f t="shared" si="181"/>
        <v>20000</v>
      </c>
      <c r="S6092" s="47">
        <v>202304</v>
      </c>
      <c r="T6092" s="123" t="s">
        <v>7775</v>
      </c>
      <c r="U6092" s="97"/>
      <c r="V6092" s="453"/>
      <c r="W6092" s="97"/>
      <c r="X6092" s="50">
        <v>44470</v>
      </c>
      <c r="Y6092" s="50">
        <v>44834</v>
      </c>
    </row>
    <row r="6093" s="5" customFormat="1" customHeight="1" spans="1:25">
      <c r="A6093" s="24" t="s">
        <v>152</v>
      </c>
      <c r="B6093" s="22" t="s">
        <v>7422</v>
      </c>
      <c r="C6093" s="22" t="s">
        <v>120</v>
      </c>
      <c r="D6093" s="22" t="s">
        <v>7585</v>
      </c>
      <c r="E6093" s="23" t="s">
        <v>7762</v>
      </c>
      <c r="F6093" s="24" t="s">
        <v>7763</v>
      </c>
      <c r="G6093" s="24" t="s">
        <v>88</v>
      </c>
      <c r="H6093" s="25" t="s">
        <v>7764</v>
      </c>
      <c r="I6093" s="46" t="e">
        <f>VLOOKUP(H6093,'合同高级查询数据-4月返'!A:A,1,FALSE)</f>
        <v>#N/A</v>
      </c>
      <c r="J6093" s="47" t="s">
        <v>162</v>
      </c>
      <c r="K6093" s="24" t="s">
        <v>121</v>
      </c>
      <c r="L6093" s="109" t="s">
        <v>7772</v>
      </c>
      <c r="M6093" s="49" t="s">
        <v>7773</v>
      </c>
      <c r="N6093" s="50">
        <v>44773</v>
      </c>
      <c r="O6093" s="22" t="s">
        <v>702</v>
      </c>
      <c r="P6093" s="501">
        <v>4000</v>
      </c>
      <c r="Q6093" s="52">
        <v>-5</v>
      </c>
      <c r="R6093" s="52">
        <f t="shared" si="181"/>
        <v>-20000</v>
      </c>
      <c r="S6093" s="47">
        <v>202304</v>
      </c>
      <c r="T6093" s="123" t="s">
        <v>7776</v>
      </c>
      <c r="U6093" s="97"/>
      <c r="V6093" s="453"/>
      <c r="W6093" s="97"/>
      <c r="X6093" s="50">
        <v>44470</v>
      </c>
      <c r="Y6093" s="50">
        <v>44834</v>
      </c>
    </row>
    <row r="6094" s="5" customFormat="1" customHeight="1" spans="1:25">
      <c r="A6094" s="21" t="s">
        <v>25</v>
      </c>
      <c r="B6094" s="22" t="s">
        <v>7422</v>
      </c>
      <c r="C6094" s="22" t="s">
        <v>330</v>
      </c>
      <c r="D6094" s="22" t="s">
        <v>7585</v>
      </c>
      <c r="E6094" s="23" t="s">
        <v>7762</v>
      </c>
      <c r="F6094" s="24" t="s">
        <v>7763</v>
      </c>
      <c r="G6094" s="24" t="s">
        <v>31</v>
      </c>
      <c r="H6094" s="25" t="s">
        <v>7777</v>
      </c>
      <c r="I6094" s="46" t="e">
        <f>VLOOKUP(H6094,'合同高级查询数据-4月返'!A:A,1,FALSE)</f>
        <v>#N/A</v>
      </c>
      <c r="J6094" s="47" t="s">
        <v>33</v>
      </c>
      <c r="K6094" s="24" t="s">
        <v>5063</v>
      </c>
      <c r="L6094" s="109" t="s">
        <v>7778</v>
      </c>
      <c r="M6094" s="49" t="s">
        <v>7779</v>
      </c>
      <c r="N6094" s="50">
        <v>44136</v>
      </c>
      <c r="O6094" s="22" t="s">
        <v>37</v>
      </c>
      <c r="P6094" s="501">
        <v>0</v>
      </c>
      <c r="Q6094" s="52">
        <v>544</v>
      </c>
      <c r="R6094" s="52">
        <f t="shared" si="181"/>
        <v>0</v>
      </c>
      <c r="S6094" s="47">
        <v>202304</v>
      </c>
      <c r="T6094" s="123" t="s">
        <v>7780</v>
      </c>
      <c r="U6094" s="97"/>
      <c r="V6094" s="453"/>
      <c r="W6094" s="97"/>
      <c r="X6094" s="50">
        <v>44713</v>
      </c>
      <c r="Y6094" s="50">
        <v>45077</v>
      </c>
    </row>
    <row r="6095" s="5" customFormat="1" customHeight="1" spans="1:25">
      <c r="A6095" s="21" t="s">
        <v>25</v>
      </c>
      <c r="B6095" s="22" t="s">
        <v>7422</v>
      </c>
      <c r="C6095" s="22" t="s">
        <v>330</v>
      </c>
      <c r="D6095" s="22" t="s">
        <v>7585</v>
      </c>
      <c r="E6095" s="23" t="s">
        <v>7762</v>
      </c>
      <c r="F6095" s="24" t="s">
        <v>7763</v>
      </c>
      <c r="G6095" s="24" t="s">
        <v>88</v>
      </c>
      <c r="H6095" s="25" t="s">
        <v>7777</v>
      </c>
      <c r="I6095" s="46" t="e">
        <f>VLOOKUP(H6095,'合同高级查询数据-4月返'!A:A,1,FALSE)</f>
        <v>#N/A</v>
      </c>
      <c r="J6095" s="47" t="s">
        <v>162</v>
      </c>
      <c r="K6095" s="24" t="s">
        <v>5063</v>
      </c>
      <c r="L6095" s="109" t="s">
        <v>7778</v>
      </c>
      <c r="M6095" s="49" t="s">
        <v>7779</v>
      </c>
      <c r="N6095" s="50">
        <v>44136</v>
      </c>
      <c r="O6095" s="22" t="s">
        <v>92</v>
      </c>
      <c r="P6095" s="501">
        <v>4500</v>
      </c>
      <c r="Q6095" s="52">
        <v>4</v>
      </c>
      <c r="R6095" s="52">
        <f t="shared" si="181"/>
        <v>18000</v>
      </c>
      <c r="S6095" s="47">
        <v>202304</v>
      </c>
      <c r="T6095" s="123" t="s">
        <v>7781</v>
      </c>
      <c r="U6095" s="97"/>
      <c r="V6095" s="453"/>
      <c r="W6095" s="97"/>
      <c r="X6095" s="50">
        <v>44713</v>
      </c>
      <c r="Y6095" s="50">
        <v>45077</v>
      </c>
    </row>
    <row r="6096" s="5" customFormat="1" customHeight="1" spans="1:25">
      <c r="A6096" s="21" t="s">
        <v>25</v>
      </c>
      <c r="B6096" s="22" t="s">
        <v>7422</v>
      </c>
      <c r="C6096" s="22" t="s">
        <v>330</v>
      </c>
      <c r="D6096" s="22" t="s">
        <v>7585</v>
      </c>
      <c r="E6096" s="23" t="s">
        <v>7762</v>
      </c>
      <c r="F6096" s="24" t="s">
        <v>7763</v>
      </c>
      <c r="G6096" s="24" t="s">
        <v>88</v>
      </c>
      <c r="H6096" s="25" t="s">
        <v>7777</v>
      </c>
      <c r="I6096" s="46" t="e">
        <f>VLOOKUP(H6096,'合同高级查询数据-4月返'!A:A,1,FALSE)</f>
        <v>#N/A</v>
      </c>
      <c r="J6096" s="47" t="s">
        <v>162</v>
      </c>
      <c r="K6096" s="24" t="s">
        <v>5063</v>
      </c>
      <c r="L6096" s="109" t="s">
        <v>7778</v>
      </c>
      <c r="M6096" s="49" t="s">
        <v>7779</v>
      </c>
      <c r="N6096" s="50">
        <v>44228</v>
      </c>
      <c r="O6096" s="22" t="s">
        <v>92</v>
      </c>
      <c r="P6096" s="501">
        <v>4500</v>
      </c>
      <c r="Q6096" s="52">
        <v>4</v>
      </c>
      <c r="R6096" s="52">
        <f t="shared" si="181"/>
        <v>18000</v>
      </c>
      <c r="S6096" s="47">
        <v>202304</v>
      </c>
      <c r="T6096" s="123" t="s">
        <v>7782</v>
      </c>
      <c r="U6096" s="97"/>
      <c r="V6096" s="453"/>
      <c r="W6096" s="97"/>
      <c r="X6096" s="50">
        <v>44713</v>
      </c>
      <c r="Y6096" s="50">
        <v>45077</v>
      </c>
    </row>
    <row r="6097" s="5" customFormat="1" customHeight="1" spans="1:25">
      <c r="A6097" s="21" t="s">
        <v>25</v>
      </c>
      <c r="B6097" s="22" t="s">
        <v>7422</v>
      </c>
      <c r="C6097" s="22" t="s">
        <v>330</v>
      </c>
      <c r="D6097" s="22" t="s">
        <v>7585</v>
      </c>
      <c r="E6097" s="23" t="s">
        <v>7762</v>
      </c>
      <c r="F6097" s="24" t="s">
        <v>7763</v>
      </c>
      <c r="G6097" s="24" t="s">
        <v>88</v>
      </c>
      <c r="H6097" s="25" t="s">
        <v>7777</v>
      </c>
      <c r="I6097" s="46" t="e">
        <f>VLOOKUP(H6097,'合同高级查询数据-4月返'!A:A,1,FALSE)</f>
        <v>#N/A</v>
      </c>
      <c r="J6097" s="47" t="s">
        <v>162</v>
      </c>
      <c r="K6097" s="24" t="s">
        <v>5063</v>
      </c>
      <c r="L6097" s="109" t="s">
        <v>7778</v>
      </c>
      <c r="M6097" s="49" t="s">
        <v>7779</v>
      </c>
      <c r="N6097" s="50">
        <v>44440</v>
      </c>
      <c r="O6097" s="22" t="s">
        <v>92</v>
      </c>
      <c r="P6097" s="501">
        <v>4500</v>
      </c>
      <c r="Q6097" s="52">
        <v>2</v>
      </c>
      <c r="R6097" s="52">
        <f t="shared" si="181"/>
        <v>9000</v>
      </c>
      <c r="S6097" s="47">
        <v>202304</v>
      </c>
      <c r="T6097" s="123" t="s">
        <v>7783</v>
      </c>
      <c r="U6097" s="97"/>
      <c r="V6097" s="453"/>
      <c r="W6097" s="97"/>
      <c r="X6097" s="50">
        <v>44713</v>
      </c>
      <c r="Y6097" s="50">
        <v>45077</v>
      </c>
    </row>
    <row r="6098" s="5" customFormat="1" customHeight="1" spans="1:25">
      <c r="A6098" s="21" t="s">
        <v>25</v>
      </c>
      <c r="B6098" s="22" t="s">
        <v>7422</v>
      </c>
      <c r="C6098" s="22" t="s">
        <v>330</v>
      </c>
      <c r="D6098" s="22" t="s">
        <v>7585</v>
      </c>
      <c r="E6098" s="23" t="s">
        <v>7762</v>
      </c>
      <c r="F6098" s="24" t="s">
        <v>7763</v>
      </c>
      <c r="G6098" s="24" t="s">
        <v>31</v>
      </c>
      <c r="H6098" s="25" t="s">
        <v>7777</v>
      </c>
      <c r="I6098" s="46" t="e">
        <f>VLOOKUP(H6098,'合同高级查询数据-4月返'!A:A,1,FALSE)</f>
        <v>#N/A</v>
      </c>
      <c r="J6098" s="47" t="s">
        <v>33</v>
      </c>
      <c r="K6098" s="24" t="s">
        <v>5063</v>
      </c>
      <c r="L6098" s="109" t="s">
        <v>7784</v>
      </c>
      <c r="M6098" s="49" t="s">
        <v>7779</v>
      </c>
      <c r="N6098" s="50">
        <v>44470</v>
      </c>
      <c r="O6098" s="22" t="s">
        <v>37</v>
      </c>
      <c r="P6098" s="501">
        <v>0</v>
      </c>
      <c r="Q6098" s="52">
        <v>288</v>
      </c>
      <c r="R6098" s="52">
        <f t="shared" si="181"/>
        <v>0</v>
      </c>
      <c r="S6098" s="47">
        <v>202304</v>
      </c>
      <c r="T6098" s="123" t="s">
        <v>7785</v>
      </c>
      <c r="U6098" s="97"/>
      <c r="V6098" s="453"/>
      <c r="W6098" s="97"/>
      <c r="X6098" s="50">
        <v>44713</v>
      </c>
      <c r="Y6098" s="50">
        <v>45077</v>
      </c>
    </row>
    <row r="6099" s="5" customFormat="1" customHeight="1" spans="1:25">
      <c r="A6099" s="21" t="s">
        <v>25</v>
      </c>
      <c r="B6099" s="22" t="s">
        <v>7422</v>
      </c>
      <c r="C6099" s="22" t="s">
        <v>330</v>
      </c>
      <c r="D6099" s="22" t="s">
        <v>7585</v>
      </c>
      <c r="E6099" s="23" t="s">
        <v>7762</v>
      </c>
      <c r="F6099" s="24" t="s">
        <v>7763</v>
      </c>
      <c r="G6099" s="24" t="s">
        <v>31</v>
      </c>
      <c r="H6099" s="25" t="s">
        <v>7777</v>
      </c>
      <c r="I6099" s="46" t="e">
        <f>VLOOKUP(H6099,'合同高级查询数据-4月返'!A:A,1,FALSE)</f>
        <v>#N/A</v>
      </c>
      <c r="J6099" s="47" t="s">
        <v>33</v>
      </c>
      <c r="K6099" s="24" t="s">
        <v>5063</v>
      </c>
      <c r="L6099" s="109" t="s">
        <v>7786</v>
      </c>
      <c r="M6099" s="49" t="s">
        <v>7779</v>
      </c>
      <c r="N6099" s="50"/>
      <c r="O6099" s="22" t="s">
        <v>179</v>
      </c>
      <c r="P6099" s="501">
        <v>0</v>
      </c>
      <c r="Q6099" s="52">
        <v>0</v>
      </c>
      <c r="R6099" s="52">
        <f t="shared" si="181"/>
        <v>0</v>
      </c>
      <c r="S6099" s="47">
        <v>202304</v>
      </c>
      <c r="T6099" s="123" t="s">
        <v>7787</v>
      </c>
      <c r="U6099" s="97"/>
      <c r="V6099" s="453"/>
      <c r="W6099" s="97"/>
      <c r="X6099" s="50">
        <v>44713</v>
      </c>
      <c r="Y6099" s="50">
        <v>45077</v>
      </c>
    </row>
    <row r="6100" s="5" customFormat="1" customHeight="1" spans="1:25">
      <c r="A6100" s="21" t="s">
        <v>25</v>
      </c>
      <c r="B6100" s="22" t="s">
        <v>7422</v>
      </c>
      <c r="C6100" s="22" t="s">
        <v>330</v>
      </c>
      <c r="D6100" s="22" t="s">
        <v>7585</v>
      </c>
      <c r="E6100" s="23" t="s">
        <v>7762</v>
      </c>
      <c r="F6100" s="24" t="s">
        <v>7763</v>
      </c>
      <c r="G6100" s="24" t="s">
        <v>88</v>
      </c>
      <c r="H6100" s="25" t="s">
        <v>7777</v>
      </c>
      <c r="I6100" s="46" t="e">
        <f>VLOOKUP(H6100,'合同高级查询数据-4月返'!A:A,1,FALSE)</f>
        <v>#N/A</v>
      </c>
      <c r="J6100" s="47" t="s">
        <v>162</v>
      </c>
      <c r="K6100" s="24" t="s">
        <v>5063</v>
      </c>
      <c r="L6100" s="109" t="s">
        <v>7784</v>
      </c>
      <c r="M6100" s="49" t="s">
        <v>7779</v>
      </c>
      <c r="N6100" s="50">
        <v>44470</v>
      </c>
      <c r="O6100" s="72" t="s">
        <v>92</v>
      </c>
      <c r="P6100" s="501">
        <v>4500</v>
      </c>
      <c r="Q6100" s="52">
        <v>3</v>
      </c>
      <c r="R6100" s="52">
        <f t="shared" si="181"/>
        <v>13500</v>
      </c>
      <c r="S6100" s="47">
        <v>202304</v>
      </c>
      <c r="T6100" s="123" t="s">
        <v>7788</v>
      </c>
      <c r="U6100" s="97"/>
      <c r="V6100" s="453"/>
      <c r="W6100" s="97"/>
      <c r="X6100" s="50">
        <v>44713</v>
      </c>
      <c r="Y6100" s="50">
        <v>45077</v>
      </c>
    </row>
    <row r="6101" s="5" customFormat="1" customHeight="1" spans="1:25">
      <c r="A6101" s="21" t="s">
        <v>25</v>
      </c>
      <c r="B6101" s="22" t="s">
        <v>7422</v>
      </c>
      <c r="C6101" s="22" t="s">
        <v>120</v>
      </c>
      <c r="D6101" s="22" t="s">
        <v>7585</v>
      </c>
      <c r="E6101" s="23" t="s">
        <v>7762</v>
      </c>
      <c r="F6101" s="24" t="s">
        <v>7763</v>
      </c>
      <c r="G6101" s="24" t="s">
        <v>31</v>
      </c>
      <c r="H6101" s="25" t="s">
        <v>7789</v>
      </c>
      <c r="I6101" s="46" t="e">
        <f>VLOOKUP(H6101,'合同高级查询数据-4月返'!A:A,1,FALSE)</f>
        <v>#N/A</v>
      </c>
      <c r="J6101" s="47" t="s">
        <v>33</v>
      </c>
      <c r="K6101" s="24" t="s">
        <v>7765</v>
      </c>
      <c r="L6101" s="109" t="s">
        <v>7790</v>
      </c>
      <c r="M6101" s="49" t="s">
        <v>7791</v>
      </c>
      <c r="N6101" s="50">
        <v>44470</v>
      </c>
      <c r="O6101" s="72" t="s">
        <v>37</v>
      </c>
      <c r="P6101" s="501">
        <v>0</v>
      </c>
      <c r="Q6101" s="52">
        <v>544</v>
      </c>
      <c r="R6101" s="52">
        <f t="shared" si="181"/>
        <v>0</v>
      </c>
      <c r="S6101" s="47">
        <v>202304</v>
      </c>
      <c r="T6101" s="123" t="s">
        <v>7792</v>
      </c>
      <c r="U6101" s="97"/>
      <c r="V6101" s="453"/>
      <c r="W6101" s="97"/>
      <c r="X6101" s="50">
        <v>44743</v>
      </c>
      <c r="Y6101" s="50">
        <v>45077</v>
      </c>
    </row>
    <row r="6102" s="5" customFormat="1" customHeight="1" spans="1:25">
      <c r="A6102" s="21" t="s">
        <v>25</v>
      </c>
      <c r="B6102" s="22" t="s">
        <v>7422</v>
      </c>
      <c r="C6102" s="22" t="s">
        <v>120</v>
      </c>
      <c r="D6102" s="22" t="s">
        <v>7585</v>
      </c>
      <c r="E6102" s="23" t="s">
        <v>7762</v>
      </c>
      <c r="F6102" s="24" t="s">
        <v>7763</v>
      </c>
      <c r="G6102" s="24" t="s">
        <v>31</v>
      </c>
      <c r="H6102" s="25" t="s">
        <v>7793</v>
      </c>
      <c r="I6102" s="46" t="e">
        <f>VLOOKUP(H6102,'合同高级查询数据-4月返'!A:A,1,FALSE)</f>
        <v>#N/A</v>
      </c>
      <c r="J6102" s="47" t="s">
        <v>33</v>
      </c>
      <c r="K6102" s="24" t="s">
        <v>7765</v>
      </c>
      <c r="L6102" s="109" t="s">
        <v>7790</v>
      </c>
      <c r="M6102" s="49" t="s">
        <v>7791</v>
      </c>
      <c r="N6102" s="50">
        <v>44887</v>
      </c>
      <c r="O6102" s="72" t="s">
        <v>37</v>
      </c>
      <c r="P6102" s="501">
        <v>0</v>
      </c>
      <c r="Q6102" s="52">
        <v>16</v>
      </c>
      <c r="R6102" s="52">
        <f t="shared" ref="R6102:R6114" si="182">ROUND(P6102*Q6102,2)</f>
        <v>0</v>
      </c>
      <c r="S6102" s="47">
        <v>202304</v>
      </c>
      <c r="T6102" s="123" t="s">
        <v>7794</v>
      </c>
      <c r="U6102" s="97"/>
      <c r="V6102" s="453"/>
      <c r="W6102" s="97"/>
      <c r="X6102" s="50">
        <v>44887</v>
      </c>
      <c r="Y6102" s="50">
        <v>45077</v>
      </c>
    </row>
    <row r="6103" s="5" customFormat="1" customHeight="1" spans="1:25">
      <c r="A6103" s="21" t="s">
        <v>25</v>
      </c>
      <c r="B6103" s="22" t="s">
        <v>7422</v>
      </c>
      <c r="C6103" s="22" t="s">
        <v>120</v>
      </c>
      <c r="D6103" s="22" t="s">
        <v>7585</v>
      </c>
      <c r="E6103" s="23" t="s">
        <v>7762</v>
      </c>
      <c r="F6103" s="24" t="s">
        <v>7763</v>
      </c>
      <c r="G6103" s="24" t="s">
        <v>31</v>
      </c>
      <c r="H6103" s="25" t="s">
        <v>7789</v>
      </c>
      <c r="I6103" s="46" t="e">
        <f>VLOOKUP(H6103,'合同高级查询数据-4月返'!A:A,1,FALSE)</f>
        <v>#N/A</v>
      </c>
      <c r="J6103" s="47" t="s">
        <v>33</v>
      </c>
      <c r="K6103" s="24" t="s">
        <v>7765</v>
      </c>
      <c r="L6103" s="109" t="s">
        <v>7790</v>
      </c>
      <c r="M6103" s="49" t="s">
        <v>7791</v>
      </c>
      <c r="N6103" s="50"/>
      <c r="O6103" s="72" t="s">
        <v>179</v>
      </c>
      <c r="P6103" s="501">
        <v>0</v>
      </c>
      <c r="Q6103" s="501">
        <v>0</v>
      </c>
      <c r="R6103" s="52">
        <f t="shared" si="182"/>
        <v>0</v>
      </c>
      <c r="S6103" s="47">
        <v>202304</v>
      </c>
      <c r="T6103" s="123" t="s">
        <v>7795</v>
      </c>
      <c r="U6103" s="97"/>
      <c r="V6103" s="453"/>
      <c r="W6103" s="97"/>
      <c r="X6103" s="50">
        <v>44743</v>
      </c>
      <c r="Y6103" s="50">
        <v>45077</v>
      </c>
    </row>
    <row r="6104" s="5" customFormat="1" customHeight="1" spans="1:25">
      <c r="A6104" s="21" t="s">
        <v>25</v>
      </c>
      <c r="B6104" s="22" t="s">
        <v>7422</v>
      </c>
      <c r="C6104" s="22" t="s">
        <v>120</v>
      </c>
      <c r="D6104" s="22" t="s">
        <v>7585</v>
      </c>
      <c r="E6104" s="23" t="s">
        <v>7762</v>
      </c>
      <c r="F6104" s="24" t="s">
        <v>7763</v>
      </c>
      <c r="G6104" s="24" t="s">
        <v>88</v>
      </c>
      <c r="H6104" s="25" t="s">
        <v>7789</v>
      </c>
      <c r="I6104" s="46" t="e">
        <f>VLOOKUP(H6104,'合同高级查询数据-4月返'!A:A,1,FALSE)</f>
        <v>#N/A</v>
      </c>
      <c r="J6104" s="47" t="s">
        <v>162</v>
      </c>
      <c r="K6104" s="24" t="s">
        <v>7765</v>
      </c>
      <c r="L6104" s="109" t="s">
        <v>7790</v>
      </c>
      <c r="M6104" s="49" t="s">
        <v>7791</v>
      </c>
      <c r="N6104" s="50">
        <v>44470</v>
      </c>
      <c r="O6104" s="72" t="s">
        <v>702</v>
      </c>
      <c r="P6104" s="501">
        <v>4000</v>
      </c>
      <c r="Q6104" s="52">
        <v>7</v>
      </c>
      <c r="R6104" s="52">
        <f t="shared" si="182"/>
        <v>28000</v>
      </c>
      <c r="S6104" s="47">
        <v>202304</v>
      </c>
      <c r="T6104" s="123" t="s">
        <v>7796</v>
      </c>
      <c r="U6104" s="97"/>
      <c r="V6104" s="453"/>
      <c r="W6104" s="97"/>
      <c r="X6104" s="50">
        <v>44743</v>
      </c>
      <c r="Y6104" s="50">
        <v>45077</v>
      </c>
    </row>
    <row r="6105" s="5" customFormat="1" customHeight="1" spans="1:25">
      <c r="A6105" s="21" t="s">
        <v>25</v>
      </c>
      <c r="B6105" s="22" t="s">
        <v>7422</v>
      </c>
      <c r="C6105" s="22" t="s">
        <v>120</v>
      </c>
      <c r="D6105" s="22" t="s">
        <v>7585</v>
      </c>
      <c r="E6105" s="23" t="s">
        <v>7762</v>
      </c>
      <c r="F6105" s="24" t="s">
        <v>7763</v>
      </c>
      <c r="G6105" s="24" t="s">
        <v>88</v>
      </c>
      <c r="H6105" s="25" t="s">
        <v>7789</v>
      </c>
      <c r="I6105" s="46" t="e">
        <f>VLOOKUP(H6105,'合同高级查询数据-4月返'!A:A,1,FALSE)</f>
        <v>#N/A</v>
      </c>
      <c r="J6105" s="47" t="s">
        <v>162</v>
      </c>
      <c r="K6105" s="24" t="s">
        <v>7765</v>
      </c>
      <c r="L6105" s="109" t="s">
        <v>7790</v>
      </c>
      <c r="M6105" s="49" t="s">
        <v>7791</v>
      </c>
      <c r="N6105" s="50">
        <v>44501</v>
      </c>
      <c r="O6105" s="72" t="s">
        <v>702</v>
      </c>
      <c r="P6105" s="501">
        <v>4000</v>
      </c>
      <c r="Q6105" s="52">
        <v>1</v>
      </c>
      <c r="R6105" s="52">
        <f t="shared" si="182"/>
        <v>4000</v>
      </c>
      <c r="S6105" s="47">
        <v>202304</v>
      </c>
      <c r="T6105" s="123" t="s">
        <v>7797</v>
      </c>
      <c r="U6105" s="97"/>
      <c r="V6105" s="453"/>
      <c r="W6105" s="97"/>
      <c r="X6105" s="50">
        <v>44743</v>
      </c>
      <c r="Y6105" s="50">
        <v>45077</v>
      </c>
    </row>
    <row r="6106" s="5" customFormat="1" customHeight="1" spans="1:25">
      <c r="A6106" s="21" t="s">
        <v>25</v>
      </c>
      <c r="B6106" s="22" t="s">
        <v>7422</v>
      </c>
      <c r="C6106" s="22" t="s">
        <v>120</v>
      </c>
      <c r="D6106" s="22" t="s">
        <v>7585</v>
      </c>
      <c r="E6106" s="23" t="s">
        <v>7762</v>
      </c>
      <c r="F6106" s="24" t="s">
        <v>7763</v>
      </c>
      <c r="G6106" s="24" t="s">
        <v>88</v>
      </c>
      <c r="H6106" s="25" t="s">
        <v>7793</v>
      </c>
      <c r="I6106" s="46" t="e">
        <f>VLOOKUP(H6106,'合同高级查询数据-4月返'!A:A,1,FALSE)</f>
        <v>#N/A</v>
      </c>
      <c r="J6106" s="47" t="s">
        <v>162</v>
      </c>
      <c r="K6106" s="24" t="s">
        <v>7765</v>
      </c>
      <c r="L6106" s="109" t="s">
        <v>7790</v>
      </c>
      <c r="M6106" s="49" t="s">
        <v>7791</v>
      </c>
      <c r="N6106" s="50">
        <v>44887</v>
      </c>
      <c r="O6106" s="72" t="s">
        <v>702</v>
      </c>
      <c r="P6106" s="501">
        <v>4000</v>
      </c>
      <c r="Q6106" s="52">
        <v>1</v>
      </c>
      <c r="R6106" s="52">
        <f t="shared" si="182"/>
        <v>4000</v>
      </c>
      <c r="S6106" s="47">
        <v>202304</v>
      </c>
      <c r="T6106" s="123" t="s">
        <v>7798</v>
      </c>
      <c r="U6106" s="97"/>
      <c r="V6106" s="453"/>
      <c r="W6106" s="97"/>
      <c r="X6106" s="50">
        <v>44887</v>
      </c>
      <c r="Y6106" s="50">
        <v>45077</v>
      </c>
    </row>
    <row r="6107" s="3" customFormat="1" customHeight="1" spans="1:25">
      <c r="A6107" s="11" t="s">
        <v>152</v>
      </c>
      <c r="B6107" s="35" t="s">
        <v>7422</v>
      </c>
      <c r="C6107" s="35" t="s">
        <v>120</v>
      </c>
      <c r="D6107" s="35" t="s">
        <v>7585</v>
      </c>
      <c r="E6107" s="13" t="s">
        <v>7762</v>
      </c>
      <c r="F6107" s="11" t="s">
        <v>7763</v>
      </c>
      <c r="G6107" s="11" t="s">
        <v>31</v>
      </c>
      <c r="H6107" s="110" t="s">
        <v>7799</v>
      </c>
      <c r="I6107" s="30" t="e">
        <f>VLOOKUP(H6107,'合同高级查询数据-4月返'!A:A,1,FALSE)</f>
        <v>#N/A</v>
      </c>
      <c r="J6107" s="31" t="s">
        <v>33</v>
      </c>
      <c r="K6107" s="11" t="s">
        <v>6315</v>
      </c>
      <c r="L6107" s="32" t="s">
        <v>7800</v>
      </c>
      <c r="M6107" s="113" t="s">
        <v>7801</v>
      </c>
      <c r="N6107" s="482">
        <v>44593</v>
      </c>
      <c r="O6107" s="494" t="s">
        <v>37</v>
      </c>
      <c r="P6107" s="508">
        <v>0</v>
      </c>
      <c r="Q6107" s="465">
        <v>704</v>
      </c>
      <c r="R6107" s="465">
        <f t="shared" si="182"/>
        <v>0</v>
      </c>
      <c r="S6107" s="31">
        <v>202304</v>
      </c>
      <c r="T6107" s="60" t="s">
        <v>7802</v>
      </c>
      <c r="U6107" s="104"/>
      <c r="V6107" s="438"/>
      <c r="W6107" s="104"/>
      <c r="X6107" s="34"/>
      <c r="Y6107" s="34"/>
    </row>
    <row r="6108" s="3" customFormat="1" customHeight="1" spans="1:25">
      <c r="A6108" s="11" t="s">
        <v>152</v>
      </c>
      <c r="B6108" s="35" t="s">
        <v>7422</v>
      </c>
      <c r="C6108" s="35" t="s">
        <v>120</v>
      </c>
      <c r="D6108" s="35" t="s">
        <v>7585</v>
      </c>
      <c r="E6108" s="13" t="s">
        <v>7762</v>
      </c>
      <c r="F6108" s="11" t="s">
        <v>7763</v>
      </c>
      <c r="G6108" s="11" t="s">
        <v>31</v>
      </c>
      <c r="H6108" s="110" t="s">
        <v>7799</v>
      </c>
      <c r="I6108" s="30" t="e">
        <f>VLOOKUP(H6108,'合同高级查询数据-4月返'!A:A,1,FALSE)</f>
        <v>#N/A</v>
      </c>
      <c r="J6108" s="31" t="s">
        <v>33</v>
      </c>
      <c r="K6108" s="11" t="s">
        <v>6315</v>
      </c>
      <c r="L6108" s="32" t="s">
        <v>7800</v>
      </c>
      <c r="M6108" s="113" t="s">
        <v>7801</v>
      </c>
      <c r="N6108" s="482"/>
      <c r="O6108" s="494" t="s">
        <v>179</v>
      </c>
      <c r="P6108" s="508">
        <v>0</v>
      </c>
      <c r="Q6108" s="508">
        <v>0</v>
      </c>
      <c r="R6108" s="465">
        <f t="shared" si="182"/>
        <v>0</v>
      </c>
      <c r="S6108" s="31">
        <v>202304</v>
      </c>
      <c r="T6108" s="60" t="s">
        <v>7795</v>
      </c>
      <c r="U6108" s="104"/>
      <c r="V6108" s="438"/>
      <c r="W6108" s="104"/>
      <c r="X6108" s="34"/>
      <c r="Y6108" s="34"/>
    </row>
    <row r="6109" s="3" customFormat="1" customHeight="1" spans="1:25">
      <c r="A6109" s="11" t="s">
        <v>152</v>
      </c>
      <c r="B6109" s="35" t="s">
        <v>7422</v>
      </c>
      <c r="C6109" s="35" t="s">
        <v>120</v>
      </c>
      <c r="D6109" s="35" t="s">
        <v>7585</v>
      </c>
      <c r="E6109" s="13" t="s">
        <v>7762</v>
      </c>
      <c r="F6109" s="11" t="s">
        <v>7763</v>
      </c>
      <c r="G6109" s="11" t="s">
        <v>88</v>
      </c>
      <c r="H6109" s="110" t="s">
        <v>7799</v>
      </c>
      <c r="I6109" s="30" t="e">
        <f>VLOOKUP(H6109,'合同高级查询数据-4月返'!A:A,1,FALSE)</f>
        <v>#N/A</v>
      </c>
      <c r="J6109" s="31" t="s">
        <v>162</v>
      </c>
      <c r="K6109" s="11" t="s">
        <v>6315</v>
      </c>
      <c r="L6109" s="32" t="s">
        <v>7800</v>
      </c>
      <c r="M6109" s="113" t="s">
        <v>7801</v>
      </c>
      <c r="N6109" s="482">
        <v>44593</v>
      </c>
      <c r="O6109" s="494" t="s">
        <v>92</v>
      </c>
      <c r="P6109" s="508">
        <v>3500</v>
      </c>
      <c r="Q6109" s="465">
        <v>8</v>
      </c>
      <c r="R6109" s="465">
        <f t="shared" si="182"/>
        <v>28000</v>
      </c>
      <c r="S6109" s="31">
        <v>202304</v>
      </c>
      <c r="T6109" s="60" t="s">
        <v>7803</v>
      </c>
      <c r="U6109" s="104"/>
      <c r="V6109" s="438"/>
      <c r="W6109" s="104"/>
      <c r="X6109" s="34"/>
      <c r="Y6109" s="34"/>
    </row>
    <row r="6110" s="5" customFormat="1" customHeight="1" spans="1:25">
      <c r="A6110" s="24" t="s">
        <v>152</v>
      </c>
      <c r="B6110" s="22" t="s">
        <v>7422</v>
      </c>
      <c r="C6110" s="22" t="s">
        <v>330</v>
      </c>
      <c r="D6110" s="22" t="s">
        <v>7585</v>
      </c>
      <c r="E6110" s="23" t="s">
        <v>7762</v>
      </c>
      <c r="F6110" s="24" t="s">
        <v>7763</v>
      </c>
      <c r="G6110" s="24" t="s">
        <v>31</v>
      </c>
      <c r="H6110" s="25" t="s">
        <v>7804</v>
      </c>
      <c r="I6110" s="46" t="e">
        <f>VLOOKUP(H6110,'合同高级查询数据-4月返'!A:A,1,FALSE)</f>
        <v>#N/A</v>
      </c>
      <c r="J6110" s="47" t="s">
        <v>33</v>
      </c>
      <c r="K6110" s="24" t="s">
        <v>5063</v>
      </c>
      <c r="L6110" s="109" t="s">
        <v>7805</v>
      </c>
      <c r="M6110" s="49" t="s">
        <v>7806</v>
      </c>
      <c r="N6110" s="509">
        <v>44713</v>
      </c>
      <c r="O6110" s="72" t="s">
        <v>37</v>
      </c>
      <c r="P6110" s="501">
        <v>0</v>
      </c>
      <c r="Q6110" s="52">
        <v>480</v>
      </c>
      <c r="R6110" s="52">
        <f t="shared" si="182"/>
        <v>0</v>
      </c>
      <c r="S6110" s="47">
        <v>202304</v>
      </c>
      <c r="T6110" s="123" t="s">
        <v>7807</v>
      </c>
      <c r="U6110" s="97"/>
      <c r="V6110" s="453"/>
      <c r="W6110" s="97"/>
      <c r="X6110" s="50">
        <v>44713</v>
      </c>
      <c r="Y6110" s="50">
        <v>45077</v>
      </c>
    </row>
    <row r="6111" s="5" customFormat="1" customHeight="1" spans="1:25">
      <c r="A6111" s="24" t="s">
        <v>152</v>
      </c>
      <c r="B6111" s="22" t="s">
        <v>7422</v>
      </c>
      <c r="C6111" s="22" t="s">
        <v>330</v>
      </c>
      <c r="D6111" s="22" t="s">
        <v>7585</v>
      </c>
      <c r="E6111" s="23" t="s">
        <v>7762</v>
      </c>
      <c r="F6111" s="24" t="s">
        <v>7763</v>
      </c>
      <c r="G6111" s="24" t="s">
        <v>31</v>
      </c>
      <c r="H6111" s="25" t="s">
        <v>7804</v>
      </c>
      <c r="I6111" s="46" t="e">
        <f>VLOOKUP(H6111,'合同高级查询数据-4月返'!A:A,1,FALSE)</f>
        <v>#N/A</v>
      </c>
      <c r="J6111" s="47" t="s">
        <v>33</v>
      </c>
      <c r="K6111" s="24" t="s">
        <v>5063</v>
      </c>
      <c r="L6111" s="109" t="s">
        <v>7805</v>
      </c>
      <c r="M6111" s="49" t="s">
        <v>7806</v>
      </c>
      <c r="N6111" s="509">
        <v>44713</v>
      </c>
      <c r="O6111" s="72" t="s">
        <v>37</v>
      </c>
      <c r="P6111" s="501">
        <v>50</v>
      </c>
      <c r="Q6111" s="52">
        <v>64</v>
      </c>
      <c r="R6111" s="52">
        <f t="shared" si="182"/>
        <v>3200</v>
      </c>
      <c r="S6111" s="47">
        <v>202304</v>
      </c>
      <c r="T6111" s="123" t="s">
        <v>7807</v>
      </c>
      <c r="U6111" s="97"/>
      <c r="V6111" s="453"/>
      <c r="W6111" s="97"/>
      <c r="X6111" s="50">
        <v>44713</v>
      </c>
      <c r="Y6111" s="50">
        <v>45077</v>
      </c>
    </row>
    <row r="6112" s="5" customFormat="1" customHeight="1" spans="1:25">
      <c r="A6112" s="24" t="s">
        <v>152</v>
      </c>
      <c r="B6112" s="22" t="s">
        <v>7422</v>
      </c>
      <c r="C6112" s="22" t="s">
        <v>330</v>
      </c>
      <c r="D6112" s="22" t="s">
        <v>7585</v>
      </c>
      <c r="E6112" s="23" t="s">
        <v>7762</v>
      </c>
      <c r="F6112" s="24" t="s">
        <v>7763</v>
      </c>
      <c r="G6112" s="24" t="s">
        <v>31</v>
      </c>
      <c r="H6112" s="25" t="s">
        <v>7804</v>
      </c>
      <c r="I6112" s="46" t="e">
        <f>VLOOKUP(H6112,'合同高级查询数据-4月返'!A:A,1,FALSE)</f>
        <v>#N/A</v>
      </c>
      <c r="J6112" s="47" t="s">
        <v>33</v>
      </c>
      <c r="K6112" s="24" t="s">
        <v>5063</v>
      </c>
      <c r="L6112" s="109" t="s">
        <v>7805</v>
      </c>
      <c r="M6112" s="49" t="s">
        <v>7806</v>
      </c>
      <c r="N6112" s="509">
        <v>44734</v>
      </c>
      <c r="O6112" s="72" t="s">
        <v>37</v>
      </c>
      <c r="P6112" s="501">
        <v>50</v>
      </c>
      <c r="Q6112" s="52">
        <v>256</v>
      </c>
      <c r="R6112" s="52">
        <f t="shared" si="182"/>
        <v>12800</v>
      </c>
      <c r="S6112" s="47">
        <v>202304</v>
      </c>
      <c r="T6112" s="123" t="s">
        <v>7808</v>
      </c>
      <c r="U6112" s="97"/>
      <c r="V6112" s="453"/>
      <c r="W6112" s="97"/>
      <c r="X6112" s="50">
        <v>44713</v>
      </c>
      <c r="Y6112" s="50">
        <v>45077</v>
      </c>
    </row>
    <row r="6113" s="5" customFormat="1" customHeight="1" spans="1:25">
      <c r="A6113" s="24" t="s">
        <v>152</v>
      </c>
      <c r="B6113" s="22" t="s">
        <v>7422</v>
      </c>
      <c r="C6113" s="22" t="s">
        <v>330</v>
      </c>
      <c r="D6113" s="22" t="s">
        <v>7585</v>
      </c>
      <c r="E6113" s="23" t="s">
        <v>7762</v>
      </c>
      <c r="F6113" s="24" t="s">
        <v>7763</v>
      </c>
      <c r="G6113" s="24" t="s">
        <v>31</v>
      </c>
      <c r="H6113" s="25" t="s">
        <v>7804</v>
      </c>
      <c r="I6113" s="46" t="e">
        <f>VLOOKUP(H6113,'合同高级查询数据-4月返'!A:A,1,FALSE)</f>
        <v>#N/A</v>
      </c>
      <c r="J6113" s="47" t="s">
        <v>33</v>
      </c>
      <c r="K6113" s="24" t="s">
        <v>5063</v>
      </c>
      <c r="L6113" s="109" t="s">
        <v>7805</v>
      </c>
      <c r="M6113" s="49" t="s">
        <v>7806</v>
      </c>
      <c r="N6113" s="509">
        <v>44907</v>
      </c>
      <c r="O6113" s="72" t="s">
        <v>37</v>
      </c>
      <c r="P6113" s="501">
        <v>50</v>
      </c>
      <c r="Q6113" s="52">
        <v>-256</v>
      </c>
      <c r="R6113" s="52">
        <f t="shared" si="182"/>
        <v>-12800</v>
      </c>
      <c r="S6113" s="47">
        <v>202304</v>
      </c>
      <c r="T6113" s="123" t="s">
        <v>7809</v>
      </c>
      <c r="U6113" s="97"/>
      <c r="V6113" s="453"/>
      <c r="W6113" s="97"/>
      <c r="X6113" s="50">
        <v>44713</v>
      </c>
      <c r="Y6113" s="50">
        <v>45077</v>
      </c>
    </row>
    <row r="6114" s="5" customFormat="1" customHeight="1" spans="1:25">
      <c r="A6114" s="24" t="s">
        <v>152</v>
      </c>
      <c r="B6114" s="22" t="s">
        <v>7422</v>
      </c>
      <c r="C6114" s="22" t="s">
        <v>330</v>
      </c>
      <c r="D6114" s="22" t="s">
        <v>7585</v>
      </c>
      <c r="E6114" s="23" t="s">
        <v>7762</v>
      </c>
      <c r="F6114" s="24" t="s">
        <v>7763</v>
      </c>
      <c r="G6114" s="24" t="s">
        <v>31</v>
      </c>
      <c r="H6114" s="25" t="s">
        <v>7804</v>
      </c>
      <c r="I6114" s="46" t="e">
        <f>VLOOKUP(H6114,'合同高级查询数据-4月返'!A:A,1,FALSE)</f>
        <v>#N/A</v>
      </c>
      <c r="J6114" s="47" t="s">
        <v>33</v>
      </c>
      <c r="K6114" s="24" t="s">
        <v>5063</v>
      </c>
      <c r="L6114" s="109" t="s">
        <v>7805</v>
      </c>
      <c r="M6114" s="49" t="s">
        <v>7806</v>
      </c>
      <c r="N6114" s="509">
        <v>45002</v>
      </c>
      <c r="O6114" s="72" t="s">
        <v>37</v>
      </c>
      <c r="P6114" s="501">
        <v>50</v>
      </c>
      <c r="Q6114" s="52">
        <v>-64</v>
      </c>
      <c r="R6114" s="52">
        <f t="shared" si="182"/>
        <v>-3200</v>
      </c>
      <c r="S6114" s="47">
        <v>202304</v>
      </c>
      <c r="T6114" s="123" t="s">
        <v>7810</v>
      </c>
      <c r="U6114" s="97"/>
      <c r="V6114" s="453"/>
      <c r="W6114" s="97"/>
      <c r="X6114" s="50">
        <v>44713</v>
      </c>
      <c r="Y6114" s="50">
        <v>45077</v>
      </c>
    </row>
    <row r="6115" s="5" customFormat="1" customHeight="1" spans="1:25">
      <c r="A6115" s="24" t="s">
        <v>152</v>
      </c>
      <c r="B6115" s="22" t="s">
        <v>7422</v>
      </c>
      <c r="C6115" s="22" t="s">
        <v>330</v>
      </c>
      <c r="D6115" s="22" t="s">
        <v>7585</v>
      </c>
      <c r="E6115" s="23" t="s">
        <v>7762</v>
      </c>
      <c r="F6115" s="24" t="s">
        <v>7763</v>
      </c>
      <c r="G6115" s="24" t="s">
        <v>31</v>
      </c>
      <c r="H6115" s="25" t="s">
        <v>7804</v>
      </c>
      <c r="I6115" s="46" t="e">
        <f>VLOOKUP(H6115,'合同高级查询数据-4月返'!A:A,1,FALSE)</f>
        <v>#N/A</v>
      </c>
      <c r="J6115" s="47" t="s">
        <v>33</v>
      </c>
      <c r="K6115" s="24" t="s">
        <v>5063</v>
      </c>
      <c r="L6115" s="109" t="s">
        <v>7805</v>
      </c>
      <c r="M6115" s="49" t="s">
        <v>7806</v>
      </c>
      <c r="N6115" s="509">
        <v>45002</v>
      </c>
      <c r="O6115" s="72" t="s">
        <v>37</v>
      </c>
      <c r="P6115" s="501">
        <v>0</v>
      </c>
      <c r="Q6115" s="52">
        <v>-64</v>
      </c>
      <c r="R6115" s="52">
        <f>ROUND(P6115*Q6115*14/31,2)</f>
        <v>0</v>
      </c>
      <c r="S6115" s="47">
        <v>202304</v>
      </c>
      <c r="T6115" s="123"/>
      <c r="U6115" s="97"/>
      <c r="V6115" s="453"/>
      <c r="W6115" s="97"/>
      <c r="X6115" s="50">
        <v>44713</v>
      </c>
      <c r="Y6115" s="50">
        <v>45077</v>
      </c>
    </row>
    <row r="6116" s="5" customFormat="1" customHeight="1" spans="1:25">
      <c r="A6116" s="24" t="s">
        <v>152</v>
      </c>
      <c r="B6116" s="22" t="s">
        <v>7422</v>
      </c>
      <c r="C6116" s="22" t="s">
        <v>330</v>
      </c>
      <c r="D6116" s="22" t="s">
        <v>7585</v>
      </c>
      <c r="E6116" s="23" t="s">
        <v>7762</v>
      </c>
      <c r="F6116" s="24" t="s">
        <v>7763</v>
      </c>
      <c r="G6116" s="24" t="s">
        <v>31</v>
      </c>
      <c r="H6116" s="25" t="s">
        <v>7804</v>
      </c>
      <c r="I6116" s="46" t="e">
        <f>VLOOKUP(H6116,'合同高级查询数据-4月返'!A:A,1,FALSE)</f>
        <v>#N/A</v>
      </c>
      <c r="J6116" s="47" t="s">
        <v>33</v>
      </c>
      <c r="K6116" s="24" t="s">
        <v>5063</v>
      </c>
      <c r="L6116" s="109" t="s">
        <v>7805</v>
      </c>
      <c r="M6116" s="49" t="s">
        <v>7806</v>
      </c>
      <c r="N6116" s="509">
        <v>44734</v>
      </c>
      <c r="O6116" s="72" t="s">
        <v>179</v>
      </c>
      <c r="P6116" s="501">
        <v>0</v>
      </c>
      <c r="Q6116" s="501">
        <v>0</v>
      </c>
      <c r="R6116" s="52">
        <f t="shared" ref="R6116:R6122" si="183">ROUND(P6116*Q6116,2)</f>
        <v>0</v>
      </c>
      <c r="S6116" s="47">
        <v>202304</v>
      </c>
      <c r="T6116" s="123" t="s">
        <v>7811</v>
      </c>
      <c r="U6116" s="97"/>
      <c r="V6116" s="453"/>
      <c r="W6116" s="97"/>
      <c r="X6116" s="50">
        <v>44713</v>
      </c>
      <c r="Y6116" s="50">
        <v>45077</v>
      </c>
    </row>
    <row r="6117" s="5" customFormat="1" customHeight="1" spans="1:25">
      <c r="A6117" s="24" t="s">
        <v>152</v>
      </c>
      <c r="B6117" s="22" t="s">
        <v>7422</v>
      </c>
      <c r="C6117" s="22" t="s">
        <v>330</v>
      </c>
      <c r="D6117" s="22" t="s">
        <v>7585</v>
      </c>
      <c r="E6117" s="23" t="s">
        <v>7762</v>
      </c>
      <c r="F6117" s="24" t="s">
        <v>7763</v>
      </c>
      <c r="G6117" s="24" t="s">
        <v>88</v>
      </c>
      <c r="H6117" s="25" t="s">
        <v>7804</v>
      </c>
      <c r="I6117" s="46" t="e">
        <f>VLOOKUP(H6117,'合同高级查询数据-4月返'!A:A,1,FALSE)</f>
        <v>#N/A</v>
      </c>
      <c r="J6117" s="47" t="s">
        <v>162</v>
      </c>
      <c r="K6117" s="24" t="s">
        <v>5063</v>
      </c>
      <c r="L6117" s="109" t="s">
        <v>7805</v>
      </c>
      <c r="M6117" s="49" t="s">
        <v>7806</v>
      </c>
      <c r="N6117" s="509">
        <v>44713</v>
      </c>
      <c r="O6117" s="72" t="s">
        <v>4123</v>
      </c>
      <c r="P6117" s="501">
        <v>5000</v>
      </c>
      <c r="Q6117" s="52">
        <v>4</v>
      </c>
      <c r="R6117" s="52">
        <f t="shared" si="183"/>
        <v>20000</v>
      </c>
      <c r="S6117" s="47">
        <v>202304</v>
      </c>
      <c r="T6117" s="123" t="s">
        <v>7812</v>
      </c>
      <c r="U6117" s="97"/>
      <c r="V6117" s="453"/>
      <c r="W6117" s="97"/>
      <c r="X6117" s="50">
        <v>44713</v>
      </c>
      <c r="Y6117" s="50">
        <v>45077</v>
      </c>
    </row>
    <row r="6118" s="5" customFormat="1" customHeight="1" spans="1:25">
      <c r="A6118" s="24" t="s">
        <v>152</v>
      </c>
      <c r="B6118" s="22" t="s">
        <v>7422</v>
      </c>
      <c r="C6118" s="22" t="s">
        <v>330</v>
      </c>
      <c r="D6118" s="22" t="s">
        <v>7585</v>
      </c>
      <c r="E6118" s="23" t="s">
        <v>7762</v>
      </c>
      <c r="F6118" s="24" t="s">
        <v>7763</v>
      </c>
      <c r="G6118" s="24" t="s">
        <v>88</v>
      </c>
      <c r="H6118" s="25" t="s">
        <v>7804</v>
      </c>
      <c r="I6118" s="46" t="e">
        <f>VLOOKUP(H6118,'合同高级查询数据-4月返'!A:A,1,FALSE)</f>
        <v>#N/A</v>
      </c>
      <c r="J6118" s="47" t="s">
        <v>162</v>
      </c>
      <c r="K6118" s="24" t="s">
        <v>5063</v>
      </c>
      <c r="L6118" s="109" t="s">
        <v>7805</v>
      </c>
      <c r="M6118" s="49" t="s">
        <v>7806</v>
      </c>
      <c r="N6118" s="509">
        <v>44734</v>
      </c>
      <c r="O6118" s="72" t="s">
        <v>4123</v>
      </c>
      <c r="P6118" s="501">
        <v>5000</v>
      </c>
      <c r="Q6118" s="52">
        <v>5</v>
      </c>
      <c r="R6118" s="52">
        <f t="shared" si="183"/>
        <v>25000</v>
      </c>
      <c r="S6118" s="47">
        <v>202304</v>
      </c>
      <c r="T6118" s="123" t="s">
        <v>7813</v>
      </c>
      <c r="U6118" s="97"/>
      <c r="V6118" s="453"/>
      <c r="W6118" s="97"/>
      <c r="X6118" s="50">
        <v>44713</v>
      </c>
      <c r="Y6118" s="50">
        <v>45077</v>
      </c>
    </row>
    <row r="6119" s="5" customFormat="1" customHeight="1" spans="1:25">
      <c r="A6119" s="24" t="s">
        <v>152</v>
      </c>
      <c r="B6119" s="22" t="s">
        <v>7422</v>
      </c>
      <c r="C6119" s="22" t="s">
        <v>120</v>
      </c>
      <c r="D6119" s="22" t="s">
        <v>7585</v>
      </c>
      <c r="E6119" s="23" t="s">
        <v>7762</v>
      </c>
      <c r="F6119" s="24" t="s">
        <v>7763</v>
      </c>
      <c r="G6119" s="24" t="s">
        <v>31</v>
      </c>
      <c r="H6119" s="25" t="s">
        <v>7814</v>
      </c>
      <c r="I6119" s="46" t="e">
        <f>VLOOKUP(H6119,'合同高级查询数据-4月返'!A:A,1,FALSE)</f>
        <v>#N/A</v>
      </c>
      <c r="J6119" s="47" t="s">
        <v>33</v>
      </c>
      <c r="K6119" s="24" t="s">
        <v>6315</v>
      </c>
      <c r="L6119" s="109" t="s">
        <v>7815</v>
      </c>
      <c r="M6119" s="49" t="s">
        <v>7801</v>
      </c>
      <c r="N6119" s="509">
        <v>44775</v>
      </c>
      <c r="O6119" s="72" t="s">
        <v>37</v>
      </c>
      <c r="P6119" s="501">
        <v>0</v>
      </c>
      <c r="Q6119" s="52">
        <v>320</v>
      </c>
      <c r="R6119" s="52">
        <f t="shared" si="183"/>
        <v>0</v>
      </c>
      <c r="S6119" s="47">
        <v>202304</v>
      </c>
      <c r="T6119" s="123" t="s">
        <v>7816</v>
      </c>
      <c r="U6119" s="97"/>
      <c r="V6119" s="453"/>
      <c r="W6119" s="97"/>
      <c r="X6119" s="50">
        <v>44775</v>
      </c>
      <c r="Y6119" s="50">
        <v>45077</v>
      </c>
    </row>
    <row r="6120" s="5" customFormat="1" customHeight="1" spans="1:25">
      <c r="A6120" s="24" t="s">
        <v>152</v>
      </c>
      <c r="B6120" s="22" t="s">
        <v>7422</v>
      </c>
      <c r="C6120" s="22" t="s">
        <v>120</v>
      </c>
      <c r="D6120" s="22" t="s">
        <v>7585</v>
      </c>
      <c r="E6120" s="23" t="s">
        <v>7762</v>
      </c>
      <c r="F6120" s="24" t="s">
        <v>7763</v>
      </c>
      <c r="G6120" s="24" t="s">
        <v>31</v>
      </c>
      <c r="H6120" s="25" t="s">
        <v>7814</v>
      </c>
      <c r="I6120" s="46" t="e">
        <f>VLOOKUP(H6120,'合同高级查询数据-4月返'!A:A,1,FALSE)</f>
        <v>#N/A</v>
      </c>
      <c r="J6120" s="47" t="s">
        <v>33</v>
      </c>
      <c r="K6120" s="24" t="s">
        <v>6315</v>
      </c>
      <c r="L6120" s="109" t="s">
        <v>7815</v>
      </c>
      <c r="M6120" s="49" t="s">
        <v>7801</v>
      </c>
      <c r="N6120" s="509"/>
      <c r="O6120" s="72" t="s">
        <v>179</v>
      </c>
      <c r="P6120" s="501">
        <v>0</v>
      </c>
      <c r="Q6120" s="501">
        <v>0</v>
      </c>
      <c r="R6120" s="52">
        <f t="shared" si="183"/>
        <v>0</v>
      </c>
      <c r="S6120" s="47">
        <v>202304</v>
      </c>
      <c r="T6120" s="123" t="s">
        <v>7817</v>
      </c>
      <c r="U6120" s="97"/>
      <c r="V6120" s="453"/>
      <c r="W6120" s="97"/>
      <c r="X6120" s="50">
        <v>44775</v>
      </c>
      <c r="Y6120" s="50">
        <v>45077</v>
      </c>
    </row>
    <row r="6121" s="5" customFormat="1" customHeight="1" spans="1:25">
      <c r="A6121" s="24" t="s">
        <v>152</v>
      </c>
      <c r="B6121" s="22" t="s">
        <v>7422</v>
      </c>
      <c r="C6121" s="22" t="s">
        <v>120</v>
      </c>
      <c r="D6121" s="22" t="s">
        <v>7585</v>
      </c>
      <c r="E6121" s="23" t="s">
        <v>7762</v>
      </c>
      <c r="F6121" s="24" t="s">
        <v>7763</v>
      </c>
      <c r="G6121" s="24" t="s">
        <v>88</v>
      </c>
      <c r="H6121" s="25" t="s">
        <v>7814</v>
      </c>
      <c r="I6121" s="46" t="e">
        <f>VLOOKUP(H6121,'合同高级查询数据-4月返'!A:A,1,FALSE)</f>
        <v>#N/A</v>
      </c>
      <c r="J6121" s="47" t="s">
        <v>162</v>
      </c>
      <c r="K6121" s="24" t="s">
        <v>6315</v>
      </c>
      <c r="L6121" s="109" t="s">
        <v>7815</v>
      </c>
      <c r="M6121" s="49" t="s">
        <v>7801</v>
      </c>
      <c r="N6121" s="509">
        <v>44775</v>
      </c>
      <c r="O6121" s="72" t="s">
        <v>92</v>
      </c>
      <c r="P6121" s="501">
        <v>4000</v>
      </c>
      <c r="Q6121" s="52">
        <v>6</v>
      </c>
      <c r="R6121" s="52">
        <f t="shared" si="183"/>
        <v>24000</v>
      </c>
      <c r="S6121" s="47">
        <v>202304</v>
      </c>
      <c r="T6121" s="123" t="s">
        <v>7818</v>
      </c>
      <c r="U6121" s="97"/>
      <c r="V6121" s="453"/>
      <c r="W6121" s="97"/>
      <c r="X6121" s="50">
        <v>44775</v>
      </c>
      <c r="Y6121" s="50">
        <v>45077</v>
      </c>
    </row>
    <row r="6122" s="3" customFormat="1" customHeight="1" spans="1:25">
      <c r="A6122" s="11" t="s">
        <v>109</v>
      </c>
      <c r="B6122" s="35" t="s">
        <v>7422</v>
      </c>
      <c r="C6122" s="35" t="s">
        <v>136</v>
      </c>
      <c r="D6122" s="35" t="s">
        <v>7585</v>
      </c>
      <c r="E6122" s="13" t="s">
        <v>7762</v>
      </c>
      <c r="F6122" s="11" t="s">
        <v>7763</v>
      </c>
      <c r="G6122" s="11" t="s">
        <v>31</v>
      </c>
      <c r="H6122" s="110" t="s">
        <v>7819</v>
      </c>
      <c r="I6122" s="30" t="e">
        <f>VLOOKUP(H6122,'合同高级查询数据-4月返'!A:A,1,FALSE)</f>
        <v>#N/A</v>
      </c>
      <c r="J6122" s="31" t="s">
        <v>33</v>
      </c>
      <c r="K6122" s="11" t="s">
        <v>136</v>
      </c>
      <c r="L6122" s="32" t="s">
        <v>7820</v>
      </c>
      <c r="M6122" s="113" t="s">
        <v>7821</v>
      </c>
      <c r="N6122" s="482">
        <v>44987</v>
      </c>
      <c r="O6122" s="494" t="s">
        <v>37</v>
      </c>
      <c r="P6122" s="508">
        <v>0</v>
      </c>
      <c r="Q6122" s="465">
        <v>64</v>
      </c>
      <c r="R6122" s="465">
        <f t="shared" si="183"/>
        <v>0</v>
      </c>
      <c r="S6122" s="31">
        <v>202304</v>
      </c>
      <c r="T6122" s="60" t="s">
        <v>7822</v>
      </c>
      <c r="U6122" s="104"/>
      <c r="V6122" s="438"/>
      <c r="W6122" s="104"/>
      <c r="X6122" s="34"/>
      <c r="Y6122" s="34"/>
    </row>
    <row r="6123" s="3" customFormat="1" customHeight="1" spans="1:25">
      <c r="A6123" s="11" t="s">
        <v>109</v>
      </c>
      <c r="B6123" s="35" t="s">
        <v>7422</v>
      </c>
      <c r="C6123" s="35" t="s">
        <v>136</v>
      </c>
      <c r="D6123" s="35" t="s">
        <v>7585</v>
      </c>
      <c r="E6123" s="13" t="s">
        <v>7762</v>
      </c>
      <c r="F6123" s="11" t="s">
        <v>7763</v>
      </c>
      <c r="G6123" s="11" t="s">
        <v>31</v>
      </c>
      <c r="H6123" s="110" t="s">
        <v>7819</v>
      </c>
      <c r="I6123" s="30" t="e">
        <f>VLOOKUP(H6123,'合同高级查询数据-4月返'!A:A,1,FALSE)</f>
        <v>#N/A</v>
      </c>
      <c r="J6123" s="31" t="s">
        <v>33</v>
      </c>
      <c r="K6123" s="11" t="s">
        <v>136</v>
      </c>
      <c r="L6123" s="32" t="s">
        <v>7820</v>
      </c>
      <c r="M6123" s="113" t="s">
        <v>7821</v>
      </c>
      <c r="N6123" s="482">
        <v>44987</v>
      </c>
      <c r="O6123" s="494" t="s">
        <v>37</v>
      </c>
      <c r="P6123" s="508">
        <v>50</v>
      </c>
      <c r="Q6123" s="465">
        <v>64</v>
      </c>
      <c r="R6123" s="465">
        <v>0</v>
      </c>
      <c r="S6123" s="31">
        <v>202304</v>
      </c>
      <c r="T6123" s="60" t="s">
        <v>7822</v>
      </c>
      <c r="U6123" s="104"/>
      <c r="V6123" s="438"/>
      <c r="W6123" s="104"/>
      <c r="X6123" s="34"/>
      <c r="Y6123" s="34"/>
    </row>
    <row r="6124" s="3" customFormat="1" customHeight="1" spans="1:25">
      <c r="A6124" s="11" t="s">
        <v>109</v>
      </c>
      <c r="B6124" s="35" t="s">
        <v>7422</v>
      </c>
      <c r="C6124" s="35" t="s">
        <v>136</v>
      </c>
      <c r="D6124" s="35" t="s">
        <v>7585</v>
      </c>
      <c r="E6124" s="13" t="s">
        <v>7762</v>
      </c>
      <c r="F6124" s="11" t="s">
        <v>7763</v>
      </c>
      <c r="G6124" s="11" t="s">
        <v>88</v>
      </c>
      <c r="H6124" s="110" t="s">
        <v>7819</v>
      </c>
      <c r="I6124" s="30" t="e">
        <f>VLOOKUP(H6124,'合同高级查询数据-4月返'!A:A,1,FALSE)</f>
        <v>#N/A</v>
      </c>
      <c r="J6124" s="31" t="s">
        <v>162</v>
      </c>
      <c r="K6124" s="11" t="s">
        <v>136</v>
      </c>
      <c r="L6124" s="32" t="s">
        <v>7820</v>
      </c>
      <c r="M6124" s="113" t="s">
        <v>7821</v>
      </c>
      <c r="N6124" s="482">
        <v>44987</v>
      </c>
      <c r="O6124" s="494" t="s">
        <v>92</v>
      </c>
      <c r="P6124" s="508">
        <v>5000</v>
      </c>
      <c r="Q6124" s="465">
        <v>3</v>
      </c>
      <c r="R6124" s="465">
        <v>0</v>
      </c>
      <c r="S6124" s="31">
        <v>202304</v>
      </c>
      <c r="T6124" s="60" t="s">
        <v>7823</v>
      </c>
      <c r="U6124" s="104"/>
      <c r="V6124" s="438"/>
      <c r="W6124" s="104"/>
      <c r="X6124" s="34"/>
      <c r="Y6124" s="34"/>
    </row>
    <row r="6125" s="3" customFormat="1" customHeight="1" spans="1:25">
      <c r="A6125" s="11" t="s">
        <v>109</v>
      </c>
      <c r="B6125" s="35" t="s">
        <v>7422</v>
      </c>
      <c r="C6125" s="35" t="s">
        <v>136</v>
      </c>
      <c r="D6125" s="35" t="s">
        <v>7585</v>
      </c>
      <c r="E6125" s="13" t="s">
        <v>7762</v>
      </c>
      <c r="F6125" s="11" t="s">
        <v>7763</v>
      </c>
      <c r="G6125" s="11" t="s">
        <v>31</v>
      </c>
      <c r="H6125" s="110" t="s">
        <v>7819</v>
      </c>
      <c r="I6125" s="30" t="e">
        <f>VLOOKUP(H6125,'合同高级查询数据-4月返'!A:A,1,FALSE)</f>
        <v>#N/A</v>
      </c>
      <c r="J6125" s="31" t="s">
        <v>33</v>
      </c>
      <c r="K6125" s="11" t="s">
        <v>136</v>
      </c>
      <c r="L6125" s="32" t="s">
        <v>7820</v>
      </c>
      <c r="M6125" s="113" t="s">
        <v>7821</v>
      </c>
      <c r="N6125" s="482">
        <v>44987</v>
      </c>
      <c r="O6125" s="494" t="s">
        <v>37</v>
      </c>
      <c r="P6125" s="508">
        <v>50</v>
      </c>
      <c r="Q6125" s="465">
        <v>64</v>
      </c>
      <c r="R6125" s="465">
        <f>ROUND(P6125*Q6125*30/31,2)</f>
        <v>3096.77</v>
      </c>
      <c r="S6125" s="31">
        <v>202303</v>
      </c>
      <c r="T6125" s="60" t="s">
        <v>7824</v>
      </c>
      <c r="U6125" s="104"/>
      <c r="V6125" s="438"/>
      <c r="W6125" s="104"/>
      <c r="X6125" s="34"/>
      <c r="Y6125" s="34"/>
    </row>
    <row r="6126" s="5" customFormat="1" customHeight="1" spans="1:25">
      <c r="A6126" s="24" t="s">
        <v>109</v>
      </c>
      <c r="B6126" s="24" t="s">
        <v>7422</v>
      </c>
      <c r="C6126" s="24" t="s">
        <v>3237</v>
      </c>
      <c r="D6126" s="22" t="s">
        <v>7585</v>
      </c>
      <c r="E6126" s="23" t="s">
        <v>7825</v>
      </c>
      <c r="F6126" s="24" t="s">
        <v>7826</v>
      </c>
      <c r="G6126" s="24" t="s">
        <v>31</v>
      </c>
      <c r="H6126" s="25" t="s">
        <v>7827</v>
      </c>
      <c r="I6126" s="46" t="e">
        <f>VLOOKUP(H6126,'合同高级查询数据-4月返'!A:A,1,FALSE)</f>
        <v>#N/A</v>
      </c>
      <c r="J6126" s="47" t="s">
        <v>33</v>
      </c>
      <c r="K6126" s="24" t="s">
        <v>7353</v>
      </c>
      <c r="L6126" s="109" t="s">
        <v>7828</v>
      </c>
      <c r="M6126" s="49" t="s">
        <v>7829</v>
      </c>
      <c r="N6126" s="493">
        <v>43490</v>
      </c>
      <c r="O6126" s="493" t="s">
        <v>37</v>
      </c>
      <c r="P6126" s="52">
        <v>0</v>
      </c>
      <c r="Q6126" s="70">
        <v>112</v>
      </c>
      <c r="R6126" s="52">
        <f t="shared" ref="R6126:R6189" si="184">ROUND(P6126*Q6126,2)</f>
        <v>0</v>
      </c>
      <c r="S6126" s="47">
        <v>202304</v>
      </c>
      <c r="T6126" s="123" t="s">
        <v>7830</v>
      </c>
      <c r="U6126" s="48"/>
      <c r="V6126" s="48"/>
      <c r="W6126" s="48"/>
      <c r="X6126" s="50">
        <v>44835</v>
      </c>
      <c r="Y6126" s="73">
        <v>45199</v>
      </c>
    </row>
    <row r="6127" s="5" customFormat="1" customHeight="1" spans="1:25">
      <c r="A6127" s="24" t="s">
        <v>109</v>
      </c>
      <c r="B6127" s="24" t="s">
        <v>7422</v>
      </c>
      <c r="C6127" s="24" t="s">
        <v>3237</v>
      </c>
      <c r="D6127" s="22" t="s">
        <v>7585</v>
      </c>
      <c r="E6127" s="23" t="s">
        <v>7825</v>
      </c>
      <c r="F6127" s="24" t="s">
        <v>7826</v>
      </c>
      <c r="G6127" s="24" t="s">
        <v>31</v>
      </c>
      <c r="H6127" s="25" t="s">
        <v>7827</v>
      </c>
      <c r="I6127" s="46" t="e">
        <f>VLOOKUP(H6127,'合同高级查询数据-4月返'!A:A,1,FALSE)</f>
        <v>#N/A</v>
      </c>
      <c r="J6127" s="47" t="s">
        <v>33</v>
      </c>
      <c r="K6127" s="24" t="s">
        <v>7353</v>
      </c>
      <c r="L6127" s="109" t="s">
        <v>7828</v>
      </c>
      <c r="M6127" s="49" t="s">
        <v>7829</v>
      </c>
      <c r="N6127" s="493">
        <v>43490</v>
      </c>
      <c r="O6127" s="493" t="s">
        <v>37</v>
      </c>
      <c r="P6127" s="52">
        <v>25</v>
      </c>
      <c r="Q6127" s="70">
        <v>176</v>
      </c>
      <c r="R6127" s="52">
        <f t="shared" si="184"/>
        <v>4400</v>
      </c>
      <c r="S6127" s="47">
        <v>202304</v>
      </c>
      <c r="T6127" s="123" t="s">
        <v>7831</v>
      </c>
      <c r="U6127" s="48"/>
      <c r="V6127" s="48"/>
      <c r="W6127" s="48"/>
      <c r="X6127" s="50">
        <v>44835</v>
      </c>
      <c r="Y6127" s="73">
        <v>45199</v>
      </c>
    </row>
    <row r="6128" s="5" customFormat="1" customHeight="1" spans="1:25">
      <c r="A6128" s="24" t="s">
        <v>109</v>
      </c>
      <c r="B6128" s="24" t="s">
        <v>7422</v>
      </c>
      <c r="C6128" s="24" t="s">
        <v>3237</v>
      </c>
      <c r="D6128" s="22" t="s">
        <v>7585</v>
      </c>
      <c r="E6128" s="23" t="s">
        <v>7825</v>
      </c>
      <c r="F6128" s="24" t="s">
        <v>7826</v>
      </c>
      <c r="G6128" s="24" t="s">
        <v>31</v>
      </c>
      <c r="H6128" s="25" t="s">
        <v>7827</v>
      </c>
      <c r="I6128" s="46" t="e">
        <f>VLOOKUP(H6128,'合同高级查询数据-4月返'!A:A,1,FALSE)</f>
        <v>#N/A</v>
      </c>
      <c r="J6128" s="47" t="s">
        <v>33</v>
      </c>
      <c r="K6128" s="24" t="s">
        <v>7353</v>
      </c>
      <c r="L6128" s="109" t="s">
        <v>7828</v>
      </c>
      <c r="M6128" s="49" t="s">
        <v>7829</v>
      </c>
      <c r="N6128" s="493">
        <v>44887</v>
      </c>
      <c r="O6128" s="493" t="s">
        <v>37</v>
      </c>
      <c r="P6128" s="52">
        <v>25</v>
      </c>
      <c r="Q6128" s="70">
        <v>-112</v>
      </c>
      <c r="R6128" s="52">
        <f t="shared" si="184"/>
        <v>-2800</v>
      </c>
      <c r="S6128" s="47">
        <v>202304</v>
      </c>
      <c r="T6128" s="123"/>
      <c r="U6128" s="48"/>
      <c r="V6128" s="48"/>
      <c r="W6128" s="48"/>
      <c r="X6128" s="50">
        <v>44835</v>
      </c>
      <c r="Y6128" s="73">
        <v>45199</v>
      </c>
    </row>
    <row r="6129" s="5" customFormat="1" customHeight="1" spans="1:25">
      <c r="A6129" s="24" t="s">
        <v>109</v>
      </c>
      <c r="B6129" s="24" t="s">
        <v>7422</v>
      </c>
      <c r="C6129" s="24" t="s">
        <v>3237</v>
      </c>
      <c r="D6129" s="22" t="s">
        <v>7585</v>
      </c>
      <c r="E6129" s="23" t="s">
        <v>7825</v>
      </c>
      <c r="F6129" s="24" t="s">
        <v>7826</v>
      </c>
      <c r="G6129" s="24" t="s">
        <v>31</v>
      </c>
      <c r="H6129" s="25" t="s">
        <v>7827</v>
      </c>
      <c r="I6129" s="46" t="e">
        <f>VLOOKUP(H6129,'合同高级查询数据-4月返'!A:A,1,FALSE)</f>
        <v>#N/A</v>
      </c>
      <c r="J6129" s="47" t="s">
        <v>33</v>
      </c>
      <c r="K6129" s="24" t="s">
        <v>7353</v>
      </c>
      <c r="L6129" s="109" t="s">
        <v>7828</v>
      </c>
      <c r="M6129" s="49" t="s">
        <v>7829</v>
      </c>
      <c r="N6129" s="493">
        <v>44887</v>
      </c>
      <c r="O6129" s="493" t="s">
        <v>37</v>
      </c>
      <c r="P6129" s="52">
        <v>0</v>
      </c>
      <c r="Q6129" s="70">
        <v>-16</v>
      </c>
      <c r="R6129" s="52">
        <f t="shared" si="184"/>
        <v>0</v>
      </c>
      <c r="S6129" s="47">
        <v>202304</v>
      </c>
      <c r="T6129" s="123" t="s">
        <v>7832</v>
      </c>
      <c r="U6129" s="48"/>
      <c r="V6129" s="48"/>
      <c r="W6129" s="48"/>
      <c r="X6129" s="50">
        <v>44835</v>
      </c>
      <c r="Y6129" s="73">
        <v>45199</v>
      </c>
    </row>
    <row r="6130" s="5" customFormat="1" customHeight="1" spans="1:25">
      <c r="A6130" s="24" t="s">
        <v>109</v>
      </c>
      <c r="B6130" s="24" t="s">
        <v>7422</v>
      </c>
      <c r="C6130" s="24" t="s">
        <v>3237</v>
      </c>
      <c r="D6130" s="22" t="s">
        <v>7585</v>
      </c>
      <c r="E6130" s="23" t="s">
        <v>7825</v>
      </c>
      <c r="F6130" s="24" t="s">
        <v>7826</v>
      </c>
      <c r="G6130" s="24" t="s">
        <v>88</v>
      </c>
      <c r="H6130" s="25" t="s">
        <v>7827</v>
      </c>
      <c r="I6130" s="46" t="e">
        <f>VLOOKUP(H6130,'合同高级查询数据-4月返'!A:A,1,FALSE)</f>
        <v>#N/A</v>
      </c>
      <c r="J6130" s="47" t="s">
        <v>162</v>
      </c>
      <c r="K6130" s="24" t="s">
        <v>7353</v>
      </c>
      <c r="L6130" s="109" t="s">
        <v>7828</v>
      </c>
      <c r="M6130" s="49" t="s">
        <v>7829</v>
      </c>
      <c r="N6130" s="493">
        <v>43490</v>
      </c>
      <c r="O6130" s="493" t="s">
        <v>92</v>
      </c>
      <c r="P6130" s="52">
        <v>5000</v>
      </c>
      <c r="Q6130" s="70">
        <v>7</v>
      </c>
      <c r="R6130" s="52">
        <f t="shared" si="184"/>
        <v>35000</v>
      </c>
      <c r="S6130" s="47">
        <v>202304</v>
      </c>
      <c r="T6130" s="123" t="s">
        <v>7833</v>
      </c>
      <c r="U6130" s="48"/>
      <c r="V6130" s="48"/>
      <c r="W6130" s="48"/>
      <c r="X6130" s="50">
        <v>44835</v>
      </c>
      <c r="Y6130" s="73">
        <v>45199</v>
      </c>
    </row>
    <row r="6131" s="5" customFormat="1" customHeight="1" spans="1:25">
      <c r="A6131" s="24" t="s">
        <v>109</v>
      </c>
      <c r="B6131" s="24" t="s">
        <v>7422</v>
      </c>
      <c r="C6131" s="24" t="s">
        <v>3237</v>
      </c>
      <c r="D6131" s="22" t="s">
        <v>7585</v>
      </c>
      <c r="E6131" s="23" t="s">
        <v>7825</v>
      </c>
      <c r="F6131" s="24" t="s">
        <v>7826</v>
      </c>
      <c r="G6131" s="24" t="s">
        <v>88</v>
      </c>
      <c r="H6131" s="25" t="s">
        <v>7827</v>
      </c>
      <c r="I6131" s="46" t="e">
        <f>VLOOKUP(H6131,'合同高级查询数据-4月返'!A:A,1,FALSE)</f>
        <v>#N/A</v>
      </c>
      <c r="J6131" s="47" t="s">
        <v>162</v>
      </c>
      <c r="K6131" s="24" t="s">
        <v>7353</v>
      </c>
      <c r="L6131" s="109" t="s">
        <v>7828</v>
      </c>
      <c r="M6131" s="49" t="s">
        <v>7829</v>
      </c>
      <c r="N6131" s="493">
        <v>44887</v>
      </c>
      <c r="O6131" s="493" t="s">
        <v>92</v>
      </c>
      <c r="P6131" s="52">
        <v>5000</v>
      </c>
      <c r="Q6131" s="70">
        <v>-1</v>
      </c>
      <c r="R6131" s="52">
        <f t="shared" si="184"/>
        <v>-5000</v>
      </c>
      <c r="S6131" s="47">
        <v>202304</v>
      </c>
      <c r="T6131" s="123" t="s">
        <v>7834</v>
      </c>
      <c r="U6131" s="48"/>
      <c r="V6131" s="48"/>
      <c r="W6131" s="48"/>
      <c r="X6131" s="50">
        <v>44835</v>
      </c>
      <c r="Y6131" s="73">
        <v>45199</v>
      </c>
    </row>
    <row r="6132" s="3" customFormat="1" customHeight="1" spans="1:25">
      <c r="A6132" s="11" t="s">
        <v>152</v>
      </c>
      <c r="B6132" s="11" t="s">
        <v>7422</v>
      </c>
      <c r="C6132" s="11" t="s">
        <v>238</v>
      </c>
      <c r="D6132" s="35" t="s">
        <v>7585</v>
      </c>
      <c r="E6132" s="13" t="s">
        <v>7825</v>
      </c>
      <c r="F6132" s="11" t="s">
        <v>7826</v>
      </c>
      <c r="G6132" s="11" t="s">
        <v>31</v>
      </c>
      <c r="H6132" s="110" t="s">
        <v>7835</v>
      </c>
      <c r="I6132" s="30" t="e">
        <f>VLOOKUP(H6132,'合同高级查询数据-4月返'!A:A,1,FALSE)</f>
        <v>#N/A</v>
      </c>
      <c r="J6132" s="31" t="s">
        <v>33</v>
      </c>
      <c r="K6132" s="11" t="s">
        <v>2335</v>
      </c>
      <c r="L6132" s="35" t="s">
        <v>2142</v>
      </c>
      <c r="M6132" s="113" t="s">
        <v>7836</v>
      </c>
      <c r="N6132" s="500">
        <v>43739</v>
      </c>
      <c r="O6132" s="500" t="s">
        <v>37</v>
      </c>
      <c r="P6132" s="465">
        <v>0</v>
      </c>
      <c r="Q6132" s="459">
        <v>256</v>
      </c>
      <c r="R6132" s="465">
        <f t="shared" si="184"/>
        <v>0</v>
      </c>
      <c r="S6132" s="31">
        <v>202304</v>
      </c>
      <c r="T6132" s="60" t="s">
        <v>7837</v>
      </c>
      <c r="U6132" s="411"/>
      <c r="V6132" s="411"/>
      <c r="W6132" s="411"/>
      <c r="X6132" s="34"/>
      <c r="Y6132" s="34"/>
    </row>
    <row r="6133" s="3" customFormat="1" customHeight="1" spans="1:25">
      <c r="A6133" s="11" t="s">
        <v>152</v>
      </c>
      <c r="B6133" s="11" t="s">
        <v>7422</v>
      </c>
      <c r="C6133" s="11" t="s">
        <v>238</v>
      </c>
      <c r="D6133" s="35" t="s">
        <v>7585</v>
      </c>
      <c r="E6133" s="13" t="s">
        <v>7825</v>
      </c>
      <c r="F6133" s="11" t="s">
        <v>7826</v>
      </c>
      <c r="G6133" s="11" t="s">
        <v>31</v>
      </c>
      <c r="H6133" s="110" t="s">
        <v>7835</v>
      </c>
      <c r="I6133" s="30" t="e">
        <f>VLOOKUP(H6133,'合同高级查询数据-4月返'!A:A,1,FALSE)</f>
        <v>#N/A</v>
      </c>
      <c r="J6133" s="31" t="s">
        <v>33</v>
      </c>
      <c r="K6133" s="11" t="s">
        <v>2335</v>
      </c>
      <c r="L6133" s="35" t="s">
        <v>2142</v>
      </c>
      <c r="M6133" s="113" t="s">
        <v>7836</v>
      </c>
      <c r="N6133" s="500">
        <v>43739</v>
      </c>
      <c r="O6133" s="500" t="s">
        <v>37</v>
      </c>
      <c r="P6133" s="465">
        <v>50</v>
      </c>
      <c r="Q6133" s="459">
        <v>224</v>
      </c>
      <c r="R6133" s="465">
        <f t="shared" si="184"/>
        <v>11200</v>
      </c>
      <c r="S6133" s="31">
        <v>202304</v>
      </c>
      <c r="T6133" s="60" t="s">
        <v>7838</v>
      </c>
      <c r="U6133" s="411"/>
      <c r="V6133" s="411"/>
      <c r="W6133" s="411"/>
      <c r="X6133" s="34"/>
      <c r="Y6133" s="34"/>
    </row>
    <row r="6134" s="3" customFormat="1" customHeight="1" spans="1:25">
      <c r="A6134" s="11" t="s">
        <v>152</v>
      </c>
      <c r="B6134" s="11" t="s">
        <v>7422</v>
      </c>
      <c r="C6134" s="11" t="s">
        <v>238</v>
      </c>
      <c r="D6134" s="35" t="s">
        <v>7585</v>
      </c>
      <c r="E6134" s="13" t="s">
        <v>7825</v>
      </c>
      <c r="F6134" s="11" t="s">
        <v>7826</v>
      </c>
      <c r="G6134" s="11" t="s">
        <v>31</v>
      </c>
      <c r="H6134" s="110" t="s">
        <v>7835</v>
      </c>
      <c r="I6134" s="30" t="e">
        <f>VLOOKUP(H6134,'合同高级查询数据-4月返'!A:A,1,FALSE)</f>
        <v>#N/A</v>
      </c>
      <c r="J6134" s="31" t="s">
        <v>33</v>
      </c>
      <c r="K6134" s="11" t="s">
        <v>2335</v>
      </c>
      <c r="L6134" s="35" t="s">
        <v>2142</v>
      </c>
      <c r="M6134" s="113" t="s">
        <v>7836</v>
      </c>
      <c r="N6134" s="500">
        <v>44165</v>
      </c>
      <c r="O6134" s="500" t="s">
        <v>37</v>
      </c>
      <c r="P6134" s="465">
        <v>0</v>
      </c>
      <c r="Q6134" s="459">
        <v>-64</v>
      </c>
      <c r="R6134" s="465">
        <f t="shared" si="184"/>
        <v>0</v>
      </c>
      <c r="S6134" s="31">
        <v>202304</v>
      </c>
      <c r="T6134" s="60" t="s">
        <v>7839</v>
      </c>
      <c r="U6134" s="411"/>
      <c r="V6134" s="411"/>
      <c r="W6134" s="411"/>
      <c r="X6134" s="34"/>
      <c r="Y6134" s="34"/>
    </row>
    <row r="6135" s="3" customFormat="1" customHeight="1" spans="1:25">
      <c r="A6135" s="11" t="s">
        <v>152</v>
      </c>
      <c r="B6135" s="11" t="s">
        <v>7422</v>
      </c>
      <c r="C6135" s="11" t="s">
        <v>238</v>
      </c>
      <c r="D6135" s="35" t="s">
        <v>7585</v>
      </c>
      <c r="E6135" s="13" t="s">
        <v>7825</v>
      </c>
      <c r="F6135" s="11" t="s">
        <v>7826</v>
      </c>
      <c r="G6135" s="11" t="s">
        <v>31</v>
      </c>
      <c r="H6135" s="110" t="s">
        <v>7835</v>
      </c>
      <c r="I6135" s="30" t="e">
        <f>VLOOKUP(H6135,'合同高级查询数据-4月返'!A:A,1,FALSE)</f>
        <v>#N/A</v>
      </c>
      <c r="J6135" s="31" t="s">
        <v>33</v>
      </c>
      <c r="K6135" s="11" t="s">
        <v>2335</v>
      </c>
      <c r="L6135" s="35" t="s">
        <v>2142</v>
      </c>
      <c r="M6135" s="113" t="s">
        <v>7836</v>
      </c>
      <c r="N6135" s="500">
        <v>44572</v>
      </c>
      <c r="O6135" s="500" t="s">
        <v>37</v>
      </c>
      <c r="P6135" s="465">
        <v>0</v>
      </c>
      <c r="Q6135" s="459">
        <v>96</v>
      </c>
      <c r="R6135" s="465">
        <f t="shared" si="184"/>
        <v>0</v>
      </c>
      <c r="S6135" s="31">
        <v>202304</v>
      </c>
      <c r="T6135" s="60" t="s">
        <v>7840</v>
      </c>
      <c r="U6135" s="411"/>
      <c r="V6135" s="411"/>
      <c r="W6135" s="411"/>
      <c r="X6135" s="34"/>
      <c r="Y6135" s="34"/>
    </row>
    <row r="6136" s="3" customFormat="1" customHeight="1" spans="1:25">
      <c r="A6136" s="11" t="s">
        <v>152</v>
      </c>
      <c r="B6136" s="11" t="s">
        <v>7422</v>
      </c>
      <c r="C6136" s="11" t="s">
        <v>238</v>
      </c>
      <c r="D6136" s="35" t="s">
        <v>7585</v>
      </c>
      <c r="E6136" s="13" t="s">
        <v>7825</v>
      </c>
      <c r="F6136" s="11" t="s">
        <v>7826</v>
      </c>
      <c r="G6136" s="11" t="s">
        <v>31</v>
      </c>
      <c r="H6136" s="110" t="s">
        <v>7835</v>
      </c>
      <c r="I6136" s="30" t="e">
        <f>VLOOKUP(H6136,'合同高级查询数据-4月返'!A:A,1,FALSE)</f>
        <v>#N/A</v>
      </c>
      <c r="J6136" s="31" t="s">
        <v>33</v>
      </c>
      <c r="K6136" s="11" t="s">
        <v>2335</v>
      </c>
      <c r="L6136" s="35" t="s">
        <v>2142</v>
      </c>
      <c r="M6136" s="113" t="s">
        <v>7836</v>
      </c>
      <c r="N6136" s="500">
        <v>44572</v>
      </c>
      <c r="O6136" s="500" t="s">
        <v>37</v>
      </c>
      <c r="P6136" s="465">
        <v>0</v>
      </c>
      <c r="Q6136" s="459">
        <v>32</v>
      </c>
      <c r="R6136" s="465">
        <f t="shared" si="184"/>
        <v>0</v>
      </c>
      <c r="S6136" s="31">
        <v>202304</v>
      </c>
      <c r="T6136" s="60" t="s">
        <v>7840</v>
      </c>
      <c r="U6136" s="411"/>
      <c r="V6136" s="411"/>
      <c r="W6136" s="411"/>
      <c r="X6136" s="34"/>
      <c r="Y6136" s="34"/>
    </row>
    <row r="6137" s="3" customFormat="1" customHeight="1" spans="1:25">
      <c r="A6137" s="11" t="s">
        <v>152</v>
      </c>
      <c r="B6137" s="11" t="s">
        <v>7422</v>
      </c>
      <c r="C6137" s="11" t="s">
        <v>238</v>
      </c>
      <c r="D6137" s="35" t="s">
        <v>7585</v>
      </c>
      <c r="E6137" s="13" t="s">
        <v>7825</v>
      </c>
      <c r="F6137" s="11" t="s">
        <v>7826</v>
      </c>
      <c r="G6137" s="11" t="s">
        <v>31</v>
      </c>
      <c r="H6137" s="110" t="s">
        <v>7835</v>
      </c>
      <c r="I6137" s="30" t="e">
        <f>VLOOKUP(H6137,'合同高级查询数据-4月返'!A:A,1,FALSE)</f>
        <v>#N/A</v>
      </c>
      <c r="J6137" s="31" t="s">
        <v>33</v>
      </c>
      <c r="K6137" s="11" t="s">
        <v>2335</v>
      </c>
      <c r="L6137" s="35" t="s">
        <v>2142</v>
      </c>
      <c r="M6137" s="113" t="s">
        <v>7836</v>
      </c>
      <c r="N6137" s="500">
        <v>44628</v>
      </c>
      <c r="O6137" s="500" t="s">
        <v>37</v>
      </c>
      <c r="P6137" s="465">
        <v>0</v>
      </c>
      <c r="Q6137" s="459">
        <v>128</v>
      </c>
      <c r="R6137" s="465">
        <f t="shared" si="184"/>
        <v>0</v>
      </c>
      <c r="S6137" s="31">
        <v>202304</v>
      </c>
      <c r="T6137" s="60" t="s">
        <v>7841</v>
      </c>
      <c r="U6137" s="411"/>
      <c r="V6137" s="411"/>
      <c r="W6137" s="411"/>
      <c r="X6137" s="34"/>
      <c r="Y6137" s="34"/>
    </row>
    <row r="6138" s="3" customFormat="1" customHeight="1" spans="1:25">
      <c r="A6138" s="11" t="s">
        <v>152</v>
      </c>
      <c r="B6138" s="11" t="s">
        <v>7422</v>
      </c>
      <c r="C6138" s="11" t="s">
        <v>238</v>
      </c>
      <c r="D6138" s="35" t="s">
        <v>7585</v>
      </c>
      <c r="E6138" s="13" t="s">
        <v>7825</v>
      </c>
      <c r="F6138" s="11" t="s">
        <v>7826</v>
      </c>
      <c r="G6138" s="11" t="s">
        <v>31</v>
      </c>
      <c r="H6138" s="110" t="s">
        <v>7835</v>
      </c>
      <c r="I6138" s="30" t="e">
        <f>VLOOKUP(H6138,'合同高级查询数据-4月返'!A:A,1,FALSE)</f>
        <v>#N/A</v>
      </c>
      <c r="J6138" s="31" t="s">
        <v>33</v>
      </c>
      <c r="K6138" s="11" t="s">
        <v>2335</v>
      </c>
      <c r="L6138" s="35" t="s">
        <v>2142</v>
      </c>
      <c r="M6138" s="113" t="s">
        <v>7836</v>
      </c>
      <c r="N6138" s="500">
        <v>44790</v>
      </c>
      <c r="O6138" s="500" t="s">
        <v>37</v>
      </c>
      <c r="P6138" s="465">
        <v>0</v>
      </c>
      <c r="Q6138" s="459">
        <v>-128</v>
      </c>
      <c r="R6138" s="465">
        <f t="shared" si="184"/>
        <v>0</v>
      </c>
      <c r="S6138" s="31">
        <v>202304</v>
      </c>
      <c r="T6138" s="60" t="s">
        <v>7842</v>
      </c>
      <c r="U6138" s="411"/>
      <c r="V6138" s="411"/>
      <c r="W6138" s="411"/>
      <c r="X6138" s="34"/>
      <c r="Y6138" s="34"/>
    </row>
    <row r="6139" s="3" customFormat="1" customHeight="1" spans="1:25">
      <c r="A6139" s="11" t="s">
        <v>152</v>
      </c>
      <c r="B6139" s="11" t="s">
        <v>7422</v>
      </c>
      <c r="C6139" s="11" t="s">
        <v>238</v>
      </c>
      <c r="D6139" s="35" t="s">
        <v>7585</v>
      </c>
      <c r="E6139" s="13" t="s">
        <v>7825</v>
      </c>
      <c r="F6139" s="11" t="s">
        <v>7826</v>
      </c>
      <c r="G6139" s="11" t="s">
        <v>88</v>
      </c>
      <c r="H6139" s="110" t="s">
        <v>7835</v>
      </c>
      <c r="I6139" s="30" t="e">
        <f>VLOOKUP(H6139,'合同高级查询数据-4月返'!A:A,1,FALSE)</f>
        <v>#N/A</v>
      </c>
      <c r="J6139" s="31" t="s">
        <v>162</v>
      </c>
      <c r="K6139" s="11" t="s">
        <v>2335</v>
      </c>
      <c r="L6139" s="35" t="s">
        <v>2142</v>
      </c>
      <c r="M6139" s="113" t="s">
        <v>7836</v>
      </c>
      <c r="N6139" s="500">
        <v>43739</v>
      </c>
      <c r="O6139" s="500" t="s">
        <v>702</v>
      </c>
      <c r="P6139" s="465">
        <v>4000</v>
      </c>
      <c r="Q6139" s="459">
        <v>8</v>
      </c>
      <c r="R6139" s="465">
        <f t="shared" si="184"/>
        <v>32000</v>
      </c>
      <c r="S6139" s="31">
        <v>202304</v>
      </c>
      <c r="T6139" s="60" t="s">
        <v>7843</v>
      </c>
      <c r="U6139" s="411"/>
      <c r="V6139" s="411"/>
      <c r="W6139" s="411"/>
      <c r="X6139" s="34"/>
      <c r="Y6139" s="34"/>
    </row>
    <row r="6140" s="3" customFormat="1" customHeight="1" spans="1:25">
      <c r="A6140" s="11" t="s">
        <v>152</v>
      </c>
      <c r="B6140" s="11" t="s">
        <v>7422</v>
      </c>
      <c r="C6140" s="11" t="s">
        <v>238</v>
      </c>
      <c r="D6140" s="35" t="s">
        <v>7585</v>
      </c>
      <c r="E6140" s="13" t="s">
        <v>7825</v>
      </c>
      <c r="F6140" s="11" t="s">
        <v>7826</v>
      </c>
      <c r="G6140" s="11" t="s">
        <v>88</v>
      </c>
      <c r="H6140" s="110" t="s">
        <v>7835</v>
      </c>
      <c r="I6140" s="30" t="e">
        <f>VLOOKUP(H6140,'合同高级查询数据-4月返'!A:A,1,FALSE)</f>
        <v>#N/A</v>
      </c>
      <c r="J6140" s="31" t="s">
        <v>162</v>
      </c>
      <c r="K6140" s="11" t="s">
        <v>2335</v>
      </c>
      <c r="L6140" s="35" t="s">
        <v>2142</v>
      </c>
      <c r="M6140" s="113" t="s">
        <v>7836</v>
      </c>
      <c r="N6140" s="500">
        <v>43755</v>
      </c>
      <c r="O6140" s="500" t="s">
        <v>702</v>
      </c>
      <c r="P6140" s="465">
        <v>4000</v>
      </c>
      <c r="Q6140" s="459">
        <v>2</v>
      </c>
      <c r="R6140" s="465">
        <f t="shared" si="184"/>
        <v>8000</v>
      </c>
      <c r="S6140" s="31">
        <v>202304</v>
      </c>
      <c r="T6140" s="60" t="s">
        <v>7844</v>
      </c>
      <c r="U6140" s="411"/>
      <c r="V6140" s="411"/>
      <c r="W6140" s="411"/>
      <c r="X6140" s="34"/>
      <c r="Y6140" s="34"/>
    </row>
    <row r="6141" s="3" customFormat="1" customHeight="1" spans="1:25">
      <c r="A6141" s="11" t="s">
        <v>152</v>
      </c>
      <c r="B6141" s="11" t="s">
        <v>7422</v>
      </c>
      <c r="C6141" s="11" t="s">
        <v>238</v>
      </c>
      <c r="D6141" s="35" t="s">
        <v>7585</v>
      </c>
      <c r="E6141" s="13" t="s">
        <v>7825</v>
      </c>
      <c r="F6141" s="11" t="s">
        <v>7826</v>
      </c>
      <c r="G6141" s="11" t="s">
        <v>88</v>
      </c>
      <c r="H6141" s="110" t="s">
        <v>7835</v>
      </c>
      <c r="I6141" s="30" t="e">
        <f>VLOOKUP(H6141,'合同高级查询数据-4月返'!A:A,1,FALSE)</f>
        <v>#N/A</v>
      </c>
      <c r="J6141" s="31" t="s">
        <v>162</v>
      </c>
      <c r="K6141" s="11" t="s">
        <v>2335</v>
      </c>
      <c r="L6141" s="35" t="s">
        <v>2142</v>
      </c>
      <c r="M6141" s="113" t="s">
        <v>7836</v>
      </c>
      <c r="N6141" s="500">
        <v>44572</v>
      </c>
      <c r="O6141" s="500" t="s">
        <v>702</v>
      </c>
      <c r="P6141" s="465">
        <v>4000</v>
      </c>
      <c r="Q6141" s="459">
        <v>1</v>
      </c>
      <c r="R6141" s="465">
        <f t="shared" si="184"/>
        <v>4000</v>
      </c>
      <c r="S6141" s="31">
        <v>202304</v>
      </c>
      <c r="T6141" s="60" t="s">
        <v>7845</v>
      </c>
      <c r="U6141" s="411"/>
      <c r="V6141" s="411"/>
      <c r="W6141" s="411"/>
      <c r="X6141" s="34"/>
      <c r="Y6141" s="34"/>
    </row>
    <row r="6142" s="3" customFormat="1" customHeight="1" spans="1:25">
      <c r="A6142" s="11" t="s">
        <v>152</v>
      </c>
      <c r="B6142" s="11" t="s">
        <v>7422</v>
      </c>
      <c r="C6142" s="11" t="s">
        <v>238</v>
      </c>
      <c r="D6142" s="35" t="s">
        <v>7585</v>
      </c>
      <c r="E6142" s="13" t="s">
        <v>7825</v>
      </c>
      <c r="F6142" s="11" t="s">
        <v>7826</v>
      </c>
      <c r="G6142" s="11" t="s">
        <v>88</v>
      </c>
      <c r="H6142" s="110" t="s">
        <v>7835</v>
      </c>
      <c r="I6142" s="30" t="e">
        <f>VLOOKUP(H6142,'合同高级查询数据-4月返'!A:A,1,FALSE)</f>
        <v>#N/A</v>
      </c>
      <c r="J6142" s="31" t="s">
        <v>162</v>
      </c>
      <c r="K6142" s="11" t="s">
        <v>2335</v>
      </c>
      <c r="L6142" s="35" t="s">
        <v>2142</v>
      </c>
      <c r="M6142" s="113" t="s">
        <v>7836</v>
      </c>
      <c r="N6142" s="500">
        <v>44609</v>
      </c>
      <c r="O6142" s="500" t="s">
        <v>702</v>
      </c>
      <c r="P6142" s="465">
        <v>4000</v>
      </c>
      <c r="Q6142" s="459">
        <v>-2</v>
      </c>
      <c r="R6142" s="465">
        <f t="shared" si="184"/>
        <v>-8000</v>
      </c>
      <c r="S6142" s="31">
        <v>202304</v>
      </c>
      <c r="T6142" s="60" t="s">
        <v>7846</v>
      </c>
      <c r="U6142" s="411"/>
      <c r="V6142" s="411"/>
      <c r="W6142" s="411"/>
      <c r="X6142" s="34"/>
      <c r="Y6142" s="34"/>
    </row>
    <row r="6143" s="3" customFormat="1" customHeight="1" spans="1:25">
      <c r="A6143" s="11" t="s">
        <v>152</v>
      </c>
      <c r="B6143" s="11" t="s">
        <v>7422</v>
      </c>
      <c r="C6143" s="11" t="s">
        <v>238</v>
      </c>
      <c r="D6143" s="35" t="s">
        <v>7585</v>
      </c>
      <c r="E6143" s="13" t="s">
        <v>7825</v>
      </c>
      <c r="F6143" s="11" t="s">
        <v>7826</v>
      </c>
      <c r="G6143" s="11" t="s">
        <v>88</v>
      </c>
      <c r="H6143" s="110" t="s">
        <v>7835</v>
      </c>
      <c r="I6143" s="30" t="e">
        <f>VLOOKUP(H6143,'合同高级查询数据-4月返'!A:A,1,FALSE)</f>
        <v>#N/A</v>
      </c>
      <c r="J6143" s="31" t="s">
        <v>162</v>
      </c>
      <c r="K6143" s="11" t="s">
        <v>2335</v>
      </c>
      <c r="L6143" s="35" t="s">
        <v>2142</v>
      </c>
      <c r="M6143" s="113" t="s">
        <v>7836</v>
      </c>
      <c r="N6143" s="500">
        <v>44628</v>
      </c>
      <c r="O6143" s="500" t="s">
        <v>702</v>
      </c>
      <c r="P6143" s="465">
        <v>4000</v>
      </c>
      <c r="Q6143" s="459">
        <v>2</v>
      </c>
      <c r="R6143" s="465">
        <f t="shared" si="184"/>
        <v>8000</v>
      </c>
      <c r="S6143" s="31">
        <v>202304</v>
      </c>
      <c r="T6143" s="60" t="s">
        <v>7847</v>
      </c>
      <c r="U6143" s="411"/>
      <c r="V6143" s="411"/>
      <c r="W6143" s="411"/>
      <c r="X6143" s="34"/>
      <c r="Y6143" s="34"/>
    </row>
    <row r="6144" s="3" customFormat="1" customHeight="1" spans="1:25">
      <c r="A6144" s="11" t="s">
        <v>152</v>
      </c>
      <c r="B6144" s="11" t="s">
        <v>7422</v>
      </c>
      <c r="C6144" s="11" t="s">
        <v>238</v>
      </c>
      <c r="D6144" s="35" t="s">
        <v>7585</v>
      </c>
      <c r="E6144" s="13" t="s">
        <v>7825</v>
      </c>
      <c r="F6144" s="11" t="s">
        <v>7826</v>
      </c>
      <c r="G6144" s="11" t="s">
        <v>88</v>
      </c>
      <c r="H6144" s="110" t="s">
        <v>7835</v>
      </c>
      <c r="I6144" s="30" t="e">
        <f>VLOOKUP(H6144,'合同高级查询数据-4月返'!A:A,1,FALSE)</f>
        <v>#N/A</v>
      </c>
      <c r="J6144" s="31" t="s">
        <v>162</v>
      </c>
      <c r="K6144" s="11" t="s">
        <v>2335</v>
      </c>
      <c r="L6144" s="35" t="s">
        <v>2142</v>
      </c>
      <c r="M6144" s="113" t="s">
        <v>7836</v>
      </c>
      <c r="N6144" s="500">
        <v>44706</v>
      </c>
      <c r="O6144" s="500" t="s">
        <v>702</v>
      </c>
      <c r="P6144" s="465">
        <v>4000</v>
      </c>
      <c r="Q6144" s="459">
        <v>5</v>
      </c>
      <c r="R6144" s="465">
        <f t="shared" si="184"/>
        <v>20000</v>
      </c>
      <c r="S6144" s="31">
        <v>202304</v>
      </c>
      <c r="T6144" s="60" t="s">
        <v>7848</v>
      </c>
      <c r="U6144" s="411"/>
      <c r="V6144" s="411"/>
      <c r="W6144" s="411"/>
      <c r="X6144" s="34"/>
      <c r="Y6144" s="34"/>
    </row>
    <row r="6145" s="3" customFormat="1" customHeight="1" spans="1:25">
      <c r="A6145" s="11" t="s">
        <v>152</v>
      </c>
      <c r="B6145" s="11" t="s">
        <v>7422</v>
      </c>
      <c r="C6145" s="11" t="s">
        <v>238</v>
      </c>
      <c r="D6145" s="35" t="s">
        <v>7585</v>
      </c>
      <c r="E6145" s="13" t="s">
        <v>7825</v>
      </c>
      <c r="F6145" s="11" t="s">
        <v>7826</v>
      </c>
      <c r="G6145" s="11" t="s">
        <v>88</v>
      </c>
      <c r="H6145" s="110" t="s">
        <v>7835</v>
      </c>
      <c r="I6145" s="30" t="e">
        <f>VLOOKUP(H6145,'合同高级查询数据-4月返'!A:A,1,FALSE)</f>
        <v>#N/A</v>
      </c>
      <c r="J6145" s="31" t="s">
        <v>162</v>
      </c>
      <c r="K6145" s="11" t="s">
        <v>2335</v>
      </c>
      <c r="L6145" s="35" t="s">
        <v>2142</v>
      </c>
      <c r="M6145" s="113" t="s">
        <v>7836</v>
      </c>
      <c r="N6145" s="500">
        <v>44778</v>
      </c>
      <c r="O6145" s="500" t="s">
        <v>702</v>
      </c>
      <c r="P6145" s="465">
        <v>4000</v>
      </c>
      <c r="Q6145" s="459">
        <v>-3</v>
      </c>
      <c r="R6145" s="465">
        <f t="shared" si="184"/>
        <v>-12000</v>
      </c>
      <c r="S6145" s="31">
        <v>202304</v>
      </c>
      <c r="T6145" s="60" t="s">
        <v>7849</v>
      </c>
      <c r="U6145" s="411"/>
      <c r="V6145" s="411"/>
      <c r="W6145" s="411"/>
      <c r="X6145" s="34"/>
      <c r="Y6145" s="34"/>
    </row>
    <row r="6146" s="5" customFormat="1" customHeight="1" spans="1:25">
      <c r="A6146" s="24" t="s">
        <v>25</v>
      </c>
      <c r="B6146" s="24" t="s">
        <v>7422</v>
      </c>
      <c r="C6146" s="24" t="s">
        <v>6468</v>
      </c>
      <c r="D6146" s="22" t="s">
        <v>7655</v>
      </c>
      <c r="E6146" s="23" t="s">
        <v>7825</v>
      </c>
      <c r="F6146" s="24" t="s">
        <v>7826</v>
      </c>
      <c r="G6146" s="24" t="s">
        <v>31</v>
      </c>
      <c r="H6146" s="25" t="s">
        <v>7850</v>
      </c>
      <c r="I6146" s="46" t="e">
        <f>VLOOKUP(H6146,'合同高级查询数据-4月返'!A:A,1,FALSE)</f>
        <v>#N/A</v>
      </c>
      <c r="J6146" s="47" t="s">
        <v>33</v>
      </c>
      <c r="K6146" s="24" t="s">
        <v>6897</v>
      </c>
      <c r="L6146" s="24" t="s">
        <v>7851</v>
      </c>
      <c r="M6146" s="49" t="s">
        <v>7852</v>
      </c>
      <c r="N6146" s="493">
        <v>43739</v>
      </c>
      <c r="O6146" s="493" t="s">
        <v>37</v>
      </c>
      <c r="P6146" s="52">
        <v>0</v>
      </c>
      <c r="Q6146" s="70">
        <v>288</v>
      </c>
      <c r="R6146" s="52">
        <f t="shared" si="184"/>
        <v>0</v>
      </c>
      <c r="S6146" s="47">
        <v>202304</v>
      </c>
      <c r="T6146" s="123" t="s">
        <v>7853</v>
      </c>
      <c r="U6146" s="48"/>
      <c r="V6146" s="48"/>
      <c r="W6146" s="48"/>
      <c r="X6146" s="50">
        <v>44835</v>
      </c>
      <c r="Y6146" s="73">
        <v>45199</v>
      </c>
    </row>
    <row r="6147" s="5" customFormat="1" customHeight="1" spans="1:25">
      <c r="A6147" s="24" t="s">
        <v>25</v>
      </c>
      <c r="B6147" s="24" t="s">
        <v>7422</v>
      </c>
      <c r="C6147" s="24" t="s">
        <v>6468</v>
      </c>
      <c r="D6147" s="22" t="s">
        <v>7655</v>
      </c>
      <c r="E6147" s="23" t="s">
        <v>7825</v>
      </c>
      <c r="F6147" s="24" t="s">
        <v>7826</v>
      </c>
      <c r="G6147" s="24" t="s">
        <v>88</v>
      </c>
      <c r="H6147" s="25" t="s">
        <v>7850</v>
      </c>
      <c r="I6147" s="46" t="e">
        <f>VLOOKUP(H6147,'合同高级查询数据-4月返'!A:A,1,FALSE)</f>
        <v>#N/A</v>
      </c>
      <c r="J6147" s="47" t="s">
        <v>162</v>
      </c>
      <c r="K6147" s="24" t="s">
        <v>6897</v>
      </c>
      <c r="L6147" s="24" t="s">
        <v>7851</v>
      </c>
      <c r="M6147" s="49" t="s">
        <v>7852</v>
      </c>
      <c r="N6147" s="493">
        <v>43739</v>
      </c>
      <c r="O6147" s="493" t="s">
        <v>503</v>
      </c>
      <c r="P6147" s="52">
        <v>6000</v>
      </c>
      <c r="Q6147" s="70">
        <v>6</v>
      </c>
      <c r="R6147" s="52">
        <f t="shared" si="184"/>
        <v>36000</v>
      </c>
      <c r="S6147" s="47">
        <v>202304</v>
      </c>
      <c r="T6147" s="123" t="s">
        <v>7854</v>
      </c>
      <c r="U6147" s="48"/>
      <c r="V6147" s="48"/>
      <c r="W6147" s="48"/>
      <c r="X6147" s="50">
        <v>44835</v>
      </c>
      <c r="Y6147" s="73">
        <v>45199</v>
      </c>
    </row>
    <row r="6148" s="5" customFormat="1" customHeight="1" spans="1:25">
      <c r="A6148" s="24" t="s">
        <v>25</v>
      </c>
      <c r="B6148" s="24" t="s">
        <v>7422</v>
      </c>
      <c r="C6148" s="24" t="s">
        <v>6468</v>
      </c>
      <c r="D6148" s="22" t="s">
        <v>7655</v>
      </c>
      <c r="E6148" s="23" t="s">
        <v>7825</v>
      </c>
      <c r="F6148" s="24" t="s">
        <v>7826</v>
      </c>
      <c r="G6148" s="24" t="s">
        <v>88</v>
      </c>
      <c r="H6148" s="25" t="s">
        <v>7850</v>
      </c>
      <c r="I6148" s="46" t="e">
        <f>VLOOKUP(H6148,'合同高级查询数据-4月返'!A:A,1,FALSE)</f>
        <v>#N/A</v>
      </c>
      <c r="J6148" s="47" t="s">
        <v>162</v>
      </c>
      <c r="K6148" s="24" t="s">
        <v>6897</v>
      </c>
      <c r="L6148" s="24" t="s">
        <v>7851</v>
      </c>
      <c r="M6148" s="49" t="s">
        <v>7852</v>
      </c>
      <c r="N6148" s="493">
        <v>44286</v>
      </c>
      <c r="O6148" s="493" t="s">
        <v>503</v>
      </c>
      <c r="P6148" s="52">
        <v>6000</v>
      </c>
      <c r="Q6148" s="70">
        <v>-2</v>
      </c>
      <c r="R6148" s="52">
        <f t="shared" si="184"/>
        <v>-12000</v>
      </c>
      <c r="S6148" s="47">
        <v>202304</v>
      </c>
      <c r="T6148" s="123" t="s">
        <v>7855</v>
      </c>
      <c r="U6148" s="48"/>
      <c r="V6148" s="48"/>
      <c r="W6148" s="48"/>
      <c r="X6148" s="50">
        <v>44835</v>
      </c>
      <c r="Y6148" s="73">
        <v>45199</v>
      </c>
    </row>
    <row r="6149" s="5" customFormat="1" customHeight="1" spans="1:25">
      <c r="A6149" s="24" t="s">
        <v>25</v>
      </c>
      <c r="B6149" s="24" t="s">
        <v>7422</v>
      </c>
      <c r="C6149" s="24" t="s">
        <v>6468</v>
      </c>
      <c r="D6149" s="22" t="s">
        <v>7655</v>
      </c>
      <c r="E6149" s="23" t="s">
        <v>7825</v>
      </c>
      <c r="F6149" s="24" t="s">
        <v>7826</v>
      </c>
      <c r="G6149" s="24" t="s">
        <v>31</v>
      </c>
      <c r="H6149" s="25" t="s">
        <v>7850</v>
      </c>
      <c r="I6149" s="46" t="e">
        <f>VLOOKUP(H6149,'合同高级查询数据-4月返'!A:A,1,FALSE)</f>
        <v>#N/A</v>
      </c>
      <c r="J6149" s="47" t="s">
        <v>33</v>
      </c>
      <c r="K6149" s="24" t="s">
        <v>6897</v>
      </c>
      <c r="L6149" s="24" t="s">
        <v>7856</v>
      </c>
      <c r="M6149" s="49" t="s">
        <v>7857</v>
      </c>
      <c r="N6149" s="493">
        <v>43847</v>
      </c>
      <c r="O6149" s="493" t="s">
        <v>37</v>
      </c>
      <c r="P6149" s="52">
        <v>0</v>
      </c>
      <c r="Q6149" s="70">
        <v>288</v>
      </c>
      <c r="R6149" s="52">
        <f t="shared" si="184"/>
        <v>0</v>
      </c>
      <c r="S6149" s="47">
        <v>202304</v>
      </c>
      <c r="T6149" s="123" t="s">
        <v>7858</v>
      </c>
      <c r="U6149" s="48"/>
      <c r="V6149" s="48"/>
      <c r="W6149" s="48"/>
      <c r="X6149" s="50">
        <v>44835</v>
      </c>
      <c r="Y6149" s="73">
        <v>45199</v>
      </c>
    </row>
    <row r="6150" s="5" customFormat="1" customHeight="1" spans="1:25">
      <c r="A6150" s="24" t="s">
        <v>25</v>
      </c>
      <c r="B6150" s="24" t="s">
        <v>7422</v>
      </c>
      <c r="C6150" s="24" t="s">
        <v>6468</v>
      </c>
      <c r="D6150" s="22" t="s">
        <v>7655</v>
      </c>
      <c r="E6150" s="23" t="s">
        <v>7825</v>
      </c>
      <c r="F6150" s="24" t="s">
        <v>7826</v>
      </c>
      <c r="G6150" s="24" t="s">
        <v>31</v>
      </c>
      <c r="H6150" s="25" t="s">
        <v>7850</v>
      </c>
      <c r="I6150" s="46" t="e">
        <f>VLOOKUP(H6150,'合同高级查询数据-4月返'!A:A,1,FALSE)</f>
        <v>#N/A</v>
      </c>
      <c r="J6150" s="47" t="s">
        <v>33</v>
      </c>
      <c r="K6150" s="24" t="s">
        <v>6897</v>
      </c>
      <c r="L6150" s="24" t="s">
        <v>7859</v>
      </c>
      <c r="M6150" s="49" t="s">
        <v>7857</v>
      </c>
      <c r="N6150" s="493"/>
      <c r="O6150" s="493" t="s">
        <v>179</v>
      </c>
      <c r="P6150" s="52">
        <v>0</v>
      </c>
      <c r="Q6150" s="70">
        <v>0</v>
      </c>
      <c r="R6150" s="52">
        <f t="shared" si="184"/>
        <v>0</v>
      </c>
      <c r="S6150" s="47">
        <v>202304</v>
      </c>
      <c r="T6150" s="123" t="s">
        <v>7860</v>
      </c>
      <c r="U6150" s="48"/>
      <c r="V6150" s="48"/>
      <c r="W6150" s="48"/>
      <c r="X6150" s="50">
        <v>44835</v>
      </c>
      <c r="Y6150" s="73">
        <v>45199</v>
      </c>
    </row>
    <row r="6151" s="5" customFormat="1" customHeight="1" spans="1:25">
      <c r="A6151" s="24" t="s">
        <v>25</v>
      </c>
      <c r="B6151" s="24" t="s">
        <v>7422</v>
      </c>
      <c r="C6151" s="24" t="s">
        <v>6468</v>
      </c>
      <c r="D6151" s="22" t="s">
        <v>7655</v>
      </c>
      <c r="E6151" s="23" t="s">
        <v>7825</v>
      </c>
      <c r="F6151" s="24" t="s">
        <v>7826</v>
      </c>
      <c r="G6151" s="24" t="s">
        <v>88</v>
      </c>
      <c r="H6151" s="25" t="s">
        <v>7850</v>
      </c>
      <c r="I6151" s="46" t="e">
        <f>VLOOKUP(H6151,'合同高级查询数据-4月返'!A:A,1,FALSE)</f>
        <v>#N/A</v>
      </c>
      <c r="J6151" s="47" t="s">
        <v>162</v>
      </c>
      <c r="K6151" s="24" t="s">
        <v>6897</v>
      </c>
      <c r="L6151" s="24" t="s">
        <v>7856</v>
      </c>
      <c r="M6151" s="49" t="s">
        <v>7857</v>
      </c>
      <c r="N6151" s="493">
        <v>43847</v>
      </c>
      <c r="O6151" s="493" t="s">
        <v>503</v>
      </c>
      <c r="P6151" s="52">
        <v>6000</v>
      </c>
      <c r="Q6151" s="70">
        <v>5</v>
      </c>
      <c r="R6151" s="52">
        <f t="shared" si="184"/>
        <v>30000</v>
      </c>
      <c r="S6151" s="47">
        <v>202304</v>
      </c>
      <c r="T6151" s="123" t="s">
        <v>7861</v>
      </c>
      <c r="U6151" s="48"/>
      <c r="V6151" s="48"/>
      <c r="W6151" s="48"/>
      <c r="X6151" s="50">
        <v>44835</v>
      </c>
      <c r="Y6151" s="73">
        <v>45199</v>
      </c>
    </row>
    <row r="6152" s="5" customFormat="1" customHeight="1" spans="1:25">
      <c r="A6152" s="24" t="s">
        <v>25</v>
      </c>
      <c r="B6152" s="24" t="s">
        <v>7422</v>
      </c>
      <c r="C6152" s="24" t="s">
        <v>6468</v>
      </c>
      <c r="D6152" s="22" t="s">
        <v>7655</v>
      </c>
      <c r="E6152" s="23" t="s">
        <v>7825</v>
      </c>
      <c r="F6152" s="24" t="s">
        <v>7826</v>
      </c>
      <c r="G6152" s="24" t="s">
        <v>88</v>
      </c>
      <c r="H6152" s="25" t="s">
        <v>7862</v>
      </c>
      <c r="I6152" s="46" t="e">
        <f>VLOOKUP(H6152,'合同高级查询数据-4月返'!A:A,1,FALSE)</f>
        <v>#N/A</v>
      </c>
      <c r="J6152" s="47" t="s">
        <v>162</v>
      </c>
      <c r="K6152" s="24" t="s">
        <v>6897</v>
      </c>
      <c r="L6152" s="24" t="s">
        <v>7856</v>
      </c>
      <c r="M6152" s="49" t="s">
        <v>7857</v>
      </c>
      <c r="N6152" s="493">
        <v>44882</v>
      </c>
      <c r="O6152" s="493" t="s">
        <v>503</v>
      </c>
      <c r="P6152" s="52">
        <v>6000</v>
      </c>
      <c r="Q6152" s="70">
        <v>1</v>
      </c>
      <c r="R6152" s="52">
        <f t="shared" si="184"/>
        <v>6000</v>
      </c>
      <c r="S6152" s="47">
        <v>202304</v>
      </c>
      <c r="T6152" s="123" t="s">
        <v>7863</v>
      </c>
      <c r="U6152" s="48"/>
      <c r="V6152" s="48"/>
      <c r="W6152" s="48"/>
      <c r="X6152" s="50">
        <v>44882</v>
      </c>
      <c r="Y6152" s="50">
        <v>45199</v>
      </c>
    </row>
    <row r="6153" s="3" customFormat="1" customHeight="1" spans="1:25">
      <c r="A6153" s="11" t="s">
        <v>25</v>
      </c>
      <c r="B6153" s="11" t="s">
        <v>7422</v>
      </c>
      <c r="C6153" s="11" t="s">
        <v>1987</v>
      </c>
      <c r="D6153" s="35" t="s">
        <v>7585</v>
      </c>
      <c r="E6153" s="13" t="s">
        <v>7825</v>
      </c>
      <c r="F6153" s="11" t="s">
        <v>7826</v>
      </c>
      <c r="G6153" s="11" t="s">
        <v>31</v>
      </c>
      <c r="H6153" s="110" t="s">
        <v>7864</v>
      </c>
      <c r="I6153" s="30" t="e">
        <f>VLOOKUP(H6153,'合同高级查询数据-4月返'!A:A,1,FALSE)</f>
        <v>#N/A</v>
      </c>
      <c r="J6153" s="31" t="s">
        <v>33</v>
      </c>
      <c r="K6153" s="32" t="s">
        <v>7865</v>
      </c>
      <c r="L6153" s="32" t="s">
        <v>7866</v>
      </c>
      <c r="M6153" s="113" t="s">
        <v>7867</v>
      </c>
      <c r="N6153" s="34">
        <v>43983</v>
      </c>
      <c r="O6153" s="35" t="s">
        <v>37</v>
      </c>
      <c r="P6153" s="465">
        <v>0</v>
      </c>
      <c r="Q6153" s="459">
        <v>288</v>
      </c>
      <c r="R6153" s="465">
        <f t="shared" si="184"/>
        <v>0</v>
      </c>
      <c r="S6153" s="31">
        <v>202304</v>
      </c>
      <c r="T6153" s="60" t="s">
        <v>7868</v>
      </c>
      <c r="U6153" s="104"/>
      <c r="V6153" s="438"/>
      <c r="W6153" s="104"/>
      <c r="X6153" s="500"/>
      <c r="Y6153" s="500"/>
    </row>
    <row r="6154" s="3" customFormat="1" customHeight="1" spans="1:25">
      <c r="A6154" s="11" t="s">
        <v>25</v>
      </c>
      <c r="B6154" s="11" t="s">
        <v>7422</v>
      </c>
      <c r="C6154" s="11" t="s">
        <v>1987</v>
      </c>
      <c r="D6154" s="35" t="s">
        <v>7585</v>
      </c>
      <c r="E6154" s="13" t="s">
        <v>7825</v>
      </c>
      <c r="F6154" s="11" t="s">
        <v>7826</v>
      </c>
      <c r="G6154" s="11" t="s">
        <v>31</v>
      </c>
      <c r="H6154" s="110" t="s">
        <v>7864</v>
      </c>
      <c r="I6154" s="30" t="e">
        <f>VLOOKUP(H6154,'合同高级查询数据-4月返'!A:A,1,FALSE)</f>
        <v>#N/A</v>
      </c>
      <c r="J6154" s="31" t="s">
        <v>33</v>
      </c>
      <c r="K6154" s="32" t="s">
        <v>7865</v>
      </c>
      <c r="L6154" s="32" t="s">
        <v>7866</v>
      </c>
      <c r="M6154" s="113" t="s">
        <v>7867</v>
      </c>
      <c r="N6154" s="34">
        <v>44773</v>
      </c>
      <c r="O6154" s="35" t="s">
        <v>37</v>
      </c>
      <c r="P6154" s="465">
        <v>0</v>
      </c>
      <c r="Q6154" s="459">
        <v>-128</v>
      </c>
      <c r="R6154" s="465">
        <f t="shared" si="184"/>
        <v>0</v>
      </c>
      <c r="S6154" s="31">
        <v>202304</v>
      </c>
      <c r="T6154" s="60" t="s">
        <v>7869</v>
      </c>
      <c r="U6154" s="104"/>
      <c r="V6154" s="438"/>
      <c r="W6154" s="104"/>
      <c r="X6154" s="34"/>
      <c r="Y6154" s="34"/>
    </row>
    <row r="6155" s="3" customFormat="1" customHeight="1" spans="1:25">
      <c r="A6155" s="11" t="s">
        <v>25</v>
      </c>
      <c r="B6155" s="11" t="s">
        <v>7422</v>
      </c>
      <c r="C6155" s="11" t="s">
        <v>1987</v>
      </c>
      <c r="D6155" s="35" t="s">
        <v>7585</v>
      </c>
      <c r="E6155" s="13" t="s">
        <v>7825</v>
      </c>
      <c r="F6155" s="11" t="s">
        <v>7826</v>
      </c>
      <c r="G6155" s="11" t="s">
        <v>31</v>
      </c>
      <c r="H6155" s="110" t="s">
        <v>7864</v>
      </c>
      <c r="I6155" s="30" t="e">
        <f>VLOOKUP(H6155,'合同高级查询数据-4月返'!A:A,1,FALSE)</f>
        <v>#N/A</v>
      </c>
      <c r="J6155" s="31" t="s">
        <v>33</v>
      </c>
      <c r="K6155" s="32" t="s">
        <v>7865</v>
      </c>
      <c r="L6155" s="32" t="s">
        <v>7866</v>
      </c>
      <c r="M6155" s="113" t="s">
        <v>7867</v>
      </c>
      <c r="N6155" s="34"/>
      <c r="O6155" s="500" t="s">
        <v>179</v>
      </c>
      <c r="P6155" s="465">
        <v>0</v>
      </c>
      <c r="Q6155" s="459">
        <v>0</v>
      </c>
      <c r="R6155" s="465">
        <f t="shared" si="184"/>
        <v>0</v>
      </c>
      <c r="S6155" s="31">
        <v>202304</v>
      </c>
      <c r="T6155" s="60" t="s">
        <v>7870</v>
      </c>
      <c r="U6155" s="104"/>
      <c r="V6155" s="438"/>
      <c r="W6155" s="104"/>
      <c r="X6155" s="500"/>
      <c r="Y6155" s="500"/>
    </row>
    <row r="6156" s="3" customFormat="1" customHeight="1" spans="1:25">
      <c r="A6156" s="11" t="s">
        <v>25</v>
      </c>
      <c r="B6156" s="11" t="s">
        <v>7422</v>
      </c>
      <c r="C6156" s="11" t="s">
        <v>1987</v>
      </c>
      <c r="D6156" s="35" t="s">
        <v>7585</v>
      </c>
      <c r="E6156" s="13" t="s">
        <v>7825</v>
      </c>
      <c r="F6156" s="11" t="s">
        <v>7826</v>
      </c>
      <c r="G6156" s="11" t="s">
        <v>88</v>
      </c>
      <c r="H6156" s="110" t="s">
        <v>7864</v>
      </c>
      <c r="I6156" s="30" t="e">
        <f>VLOOKUP(H6156,'合同高级查询数据-4月返'!A:A,1,FALSE)</f>
        <v>#N/A</v>
      </c>
      <c r="J6156" s="31" t="s">
        <v>162</v>
      </c>
      <c r="K6156" s="32" t="s">
        <v>7865</v>
      </c>
      <c r="L6156" s="32" t="s">
        <v>7866</v>
      </c>
      <c r="M6156" s="113" t="s">
        <v>7867</v>
      </c>
      <c r="N6156" s="34">
        <v>43983</v>
      </c>
      <c r="O6156" s="35" t="s">
        <v>702</v>
      </c>
      <c r="P6156" s="465">
        <v>4200</v>
      </c>
      <c r="Q6156" s="459">
        <v>3</v>
      </c>
      <c r="R6156" s="465">
        <f t="shared" si="184"/>
        <v>12600</v>
      </c>
      <c r="S6156" s="31">
        <v>202304</v>
      </c>
      <c r="T6156" s="60" t="s">
        <v>7871</v>
      </c>
      <c r="U6156" s="104"/>
      <c r="V6156" s="438"/>
      <c r="W6156" s="104"/>
      <c r="X6156" s="500"/>
      <c r="Y6156" s="500"/>
    </row>
    <row r="6157" s="3" customFormat="1" customHeight="1" spans="1:25">
      <c r="A6157" s="11" t="s">
        <v>25</v>
      </c>
      <c r="B6157" s="11" t="s">
        <v>7422</v>
      </c>
      <c r="C6157" s="11" t="s">
        <v>1987</v>
      </c>
      <c r="D6157" s="35" t="s">
        <v>7585</v>
      </c>
      <c r="E6157" s="13" t="s">
        <v>7825</v>
      </c>
      <c r="F6157" s="11" t="s">
        <v>7826</v>
      </c>
      <c r="G6157" s="11" t="s">
        <v>88</v>
      </c>
      <c r="H6157" s="110" t="s">
        <v>7864</v>
      </c>
      <c r="I6157" s="30" t="e">
        <f>VLOOKUP(H6157,'合同高级查询数据-4月返'!A:A,1,FALSE)</f>
        <v>#N/A</v>
      </c>
      <c r="J6157" s="31" t="s">
        <v>162</v>
      </c>
      <c r="K6157" s="32" t="s">
        <v>7865</v>
      </c>
      <c r="L6157" s="32" t="s">
        <v>7866</v>
      </c>
      <c r="M6157" s="113" t="s">
        <v>7867</v>
      </c>
      <c r="N6157" s="34">
        <v>44166</v>
      </c>
      <c r="O6157" s="35" t="s">
        <v>702</v>
      </c>
      <c r="P6157" s="465">
        <v>4200</v>
      </c>
      <c r="Q6157" s="459">
        <v>1</v>
      </c>
      <c r="R6157" s="465">
        <f t="shared" si="184"/>
        <v>4200</v>
      </c>
      <c r="S6157" s="31">
        <v>202304</v>
      </c>
      <c r="T6157" s="60" t="s">
        <v>7872</v>
      </c>
      <c r="U6157" s="104"/>
      <c r="V6157" s="438"/>
      <c r="W6157" s="104"/>
      <c r="X6157" s="500"/>
      <c r="Y6157" s="500"/>
    </row>
    <row r="6158" s="3" customFormat="1" customHeight="1" spans="1:25">
      <c r="A6158" s="11" t="s">
        <v>25</v>
      </c>
      <c r="B6158" s="11" t="s">
        <v>7422</v>
      </c>
      <c r="C6158" s="11" t="s">
        <v>1987</v>
      </c>
      <c r="D6158" s="35" t="s">
        <v>7585</v>
      </c>
      <c r="E6158" s="13" t="s">
        <v>7825</v>
      </c>
      <c r="F6158" s="11" t="s">
        <v>7826</v>
      </c>
      <c r="G6158" s="11" t="s">
        <v>88</v>
      </c>
      <c r="H6158" s="110" t="s">
        <v>7864</v>
      </c>
      <c r="I6158" s="30" t="e">
        <f>VLOOKUP(H6158,'合同高级查询数据-4月返'!A:A,1,FALSE)</f>
        <v>#N/A</v>
      </c>
      <c r="J6158" s="31" t="s">
        <v>162</v>
      </c>
      <c r="K6158" s="32" t="s">
        <v>7865</v>
      </c>
      <c r="L6158" s="32" t="s">
        <v>7866</v>
      </c>
      <c r="M6158" s="113" t="s">
        <v>7867</v>
      </c>
      <c r="N6158" s="34">
        <v>44216</v>
      </c>
      <c r="O6158" s="35" t="s">
        <v>702</v>
      </c>
      <c r="P6158" s="465">
        <v>4200</v>
      </c>
      <c r="Q6158" s="459">
        <v>1</v>
      </c>
      <c r="R6158" s="465">
        <f t="shared" si="184"/>
        <v>4200</v>
      </c>
      <c r="S6158" s="31">
        <v>202304</v>
      </c>
      <c r="T6158" s="60" t="s">
        <v>7873</v>
      </c>
      <c r="U6158" s="104"/>
      <c r="V6158" s="438"/>
      <c r="W6158" s="104"/>
      <c r="X6158" s="500"/>
      <c r="Y6158" s="500"/>
    </row>
    <row r="6159" s="3" customFormat="1" customHeight="1" spans="1:25">
      <c r="A6159" s="11" t="s">
        <v>25</v>
      </c>
      <c r="B6159" s="11" t="s">
        <v>7422</v>
      </c>
      <c r="C6159" s="11" t="s">
        <v>1987</v>
      </c>
      <c r="D6159" s="35" t="s">
        <v>7585</v>
      </c>
      <c r="E6159" s="13" t="s">
        <v>7825</v>
      </c>
      <c r="F6159" s="11" t="s">
        <v>7826</v>
      </c>
      <c r="G6159" s="11" t="s">
        <v>88</v>
      </c>
      <c r="H6159" s="110" t="s">
        <v>7864</v>
      </c>
      <c r="I6159" s="30" t="e">
        <f>VLOOKUP(H6159,'合同高级查询数据-4月返'!A:A,1,FALSE)</f>
        <v>#N/A</v>
      </c>
      <c r="J6159" s="31" t="s">
        <v>162</v>
      </c>
      <c r="K6159" s="32" t="s">
        <v>7865</v>
      </c>
      <c r="L6159" s="32" t="s">
        <v>7866</v>
      </c>
      <c r="M6159" s="113" t="s">
        <v>7867</v>
      </c>
      <c r="N6159" s="34">
        <v>44393</v>
      </c>
      <c r="O6159" s="35" t="s">
        <v>702</v>
      </c>
      <c r="P6159" s="465">
        <v>4200</v>
      </c>
      <c r="Q6159" s="459">
        <v>1</v>
      </c>
      <c r="R6159" s="465">
        <f t="shared" si="184"/>
        <v>4200</v>
      </c>
      <c r="S6159" s="31">
        <v>202304</v>
      </c>
      <c r="T6159" s="60" t="s">
        <v>7874</v>
      </c>
      <c r="U6159" s="104"/>
      <c r="V6159" s="438"/>
      <c r="W6159" s="104"/>
      <c r="X6159" s="500"/>
      <c r="Y6159" s="500"/>
    </row>
    <row r="6160" s="3" customFormat="1" customHeight="1" spans="1:25">
      <c r="A6160" s="11" t="s">
        <v>25</v>
      </c>
      <c r="B6160" s="11" t="s">
        <v>7422</v>
      </c>
      <c r="C6160" s="11" t="s">
        <v>1987</v>
      </c>
      <c r="D6160" s="35" t="s">
        <v>7585</v>
      </c>
      <c r="E6160" s="13" t="s">
        <v>7825</v>
      </c>
      <c r="F6160" s="11" t="s">
        <v>7826</v>
      </c>
      <c r="G6160" s="11" t="s">
        <v>88</v>
      </c>
      <c r="H6160" s="110" t="s">
        <v>7864</v>
      </c>
      <c r="I6160" s="30" t="e">
        <f>VLOOKUP(H6160,'合同高级查询数据-4月返'!A:A,1,FALSE)</f>
        <v>#N/A</v>
      </c>
      <c r="J6160" s="31" t="s">
        <v>162</v>
      </c>
      <c r="K6160" s="32" t="s">
        <v>7865</v>
      </c>
      <c r="L6160" s="32" t="s">
        <v>7866</v>
      </c>
      <c r="M6160" s="113" t="s">
        <v>7867</v>
      </c>
      <c r="N6160" s="34">
        <v>44773</v>
      </c>
      <c r="O6160" s="35" t="s">
        <v>702</v>
      </c>
      <c r="P6160" s="465">
        <v>4200</v>
      </c>
      <c r="Q6160" s="459">
        <v>-3</v>
      </c>
      <c r="R6160" s="465">
        <f t="shared" si="184"/>
        <v>-12600</v>
      </c>
      <c r="S6160" s="31">
        <v>202304</v>
      </c>
      <c r="T6160" s="60" t="s">
        <v>7875</v>
      </c>
      <c r="U6160" s="104"/>
      <c r="V6160" s="438"/>
      <c r="W6160" s="104"/>
      <c r="X6160" s="34"/>
      <c r="Y6160" s="34"/>
    </row>
    <row r="6161" s="5" customFormat="1" customHeight="1" spans="1:25">
      <c r="A6161" s="21" t="s">
        <v>25</v>
      </c>
      <c r="B6161" s="22" t="s">
        <v>7422</v>
      </c>
      <c r="C6161" s="22" t="s">
        <v>188</v>
      </c>
      <c r="D6161" s="22" t="s">
        <v>28</v>
      </c>
      <c r="E6161" s="23" t="s">
        <v>7825</v>
      </c>
      <c r="F6161" s="24" t="s">
        <v>7826</v>
      </c>
      <c r="G6161" s="24" t="s">
        <v>31</v>
      </c>
      <c r="H6161" s="25" t="s">
        <v>7876</v>
      </c>
      <c r="I6161" s="46" t="e">
        <f>VLOOKUP(H6161,'合同高级查询数据-4月返'!A:A,1,FALSE)</f>
        <v>#N/A</v>
      </c>
      <c r="J6161" s="47" t="s">
        <v>33</v>
      </c>
      <c r="K6161" s="24" t="s">
        <v>7877</v>
      </c>
      <c r="L6161" s="109" t="s">
        <v>7878</v>
      </c>
      <c r="M6161" s="49" t="s">
        <v>7879</v>
      </c>
      <c r="N6161" s="50">
        <v>44288</v>
      </c>
      <c r="O6161" s="22" t="s">
        <v>37</v>
      </c>
      <c r="P6161" s="52">
        <v>0</v>
      </c>
      <c r="Q6161" s="70">
        <v>320</v>
      </c>
      <c r="R6161" s="52">
        <f t="shared" si="184"/>
        <v>0</v>
      </c>
      <c r="S6161" s="47">
        <v>202304</v>
      </c>
      <c r="T6161" s="123" t="s">
        <v>7880</v>
      </c>
      <c r="U6161" s="97"/>
      <c r="V6161" s="453"/>
      <c r="W6161" s="453"/>
      <c r="X6161" s="50">
        <v>44652</v>
      </c>
      <c r="Y6161" s="50">
        <v>44681</v>
      </c>
    </row>
    <row r="6162" s="5" customFormat="1" customHeight="1" spans="1:25">
      <c r="A6162" s="21" t="s">
        <v>25</v>
      </c>
      <c r="B6162" s="22" t="s">
        <v>7422</v>
      </c>
      <c r="C6162" s="22" t="s">
        <v>188</v>
      </c>
      <c r="D6162" s="22" t="s">
        <v>28</v>
      </c>
      <c r="E6162" s="23" t="s">
        <v>7825</v>
      </c>
      <c r="F6162" s="24" t="s">
        <v>7826</v>
      </c>
      <c r="G6162" s="24" t="s">
        <v>31</v>
      </c>
      <c r="H6162" s="25" t="s">
        <v>7876</v>
      </c>
      <c r="I6162" s="46" t="e">
        <f>VLOOKUP(H6162,'合同高级查询数据-4月返'!A:A,1,FALSE)</f>
        <v>#N/A</v>
      </c>
      <c r="J6162" s="47" t="s">
        <v>33</v>
      </c>
      <c r="K6162" s="24" t="s">
        <v>7877</v>
      </c>
      <c r="L6162" s="109" t="s">
        <v>7878</v>
      </c>
      <c r="M6162" s="49" t="s">
        <v>7879</v>
      </c>
      <c r="N6162" s="50"/>
      <c r="O6162" s="22" t="s">
        <v>179</v>
      </c>
      <c r="P6162" s="52">
        <v>0</v>
      </c>
      <c r="Q6162" s="70">
        <v>0</v>
      </c>
      <c r="R6162" s="52">
        <f t="shared" si="184"/>
        <v>0</v>
      </c>
      <c r="S6162" s="47">
        <v>202304</v>
      </c>
      <c r="T6162" s="123" t="s">
        <v>7881</v>
      </c>
      <c r="U6162" s="97"/>
      <c r="V6162" s="453"/>
      <c r="W6162" s="453"/>
      <c r="X6162" s="50">
        <v>44652</v>
      </c>
      <c r="Y6162" s="50">
        <v>44681</v>
      </c>
    </row>
    <row r="6163" s="5" customFormat="1" customHeight="1" spans="1:25">
      <c r="A6163" s="21" t="s">
        <v>25</v>
      </c>
      <c r="B6163" s="22" t="s">
        <v>7422</v>
      </c>
      <c r="C6163" s="22" t="s">
        <v>188</v>
      </c>
      <c r="D6163" s="22" t="s">
        <v>28</v>
      </c>
      <c r="E6163" s="23" t="s">
        <v>7825</v>
      </c>
      <c r="F6163" s="24" t="s">
        <v>7826</v>
      </c>
      <c r="G6163" s="24" t="s">
        <v>88</v>
      </c>
      <c r="H6163" s="25" t="s">
        <v>7876</v>
      </c>
      <c r="I6163" s="46" t="e">
        <f>VLOOKUP(H6163,'合同高级查询数据-4月返'!A:A,1,FALSE)</f>
        <v>#N/A</v>
      </c>
      <c r="J6163" s="47" t="s">
        <v>162</v>
      </c>
      <c r="K6163" s="24" t="s">
        <v>7877</v>
      </c>
      <c r="L6163" s="109" t="s">
        <v>7878</v>
      </c>
      <c r="M6163" s="49" t="s">
        <v>7879</v>
      </c>
      <c r="N6163" s="50">
        <v>44288</v>
      </c>
      <c r="O6163" s="22" t="s">
        <v>702</v>
      </c>
      <c r="P6163" s="52">
        <v>4000</v>
      </c>
      <c r="Q6163" s="70">
        <v>3</v>
      </c>
      <c r="R6163" s="52">
        <f t="shared" si="184"/>
        <v>12000</v>
      </c>
      <c r="S6163" s="47">
        <v>202304</v>
      </c>
      <c r="T6163" s="123" t="s">
        <v>7882</v>
      </c>
      <c r="U6163" s="97"/>
      <c r="V6163" s="453"/>
      <c r="W6163" s="453"/>
      <c r="X6163" s="50">
        <v>44652</v>
      </c>
      <c r="Y6163" s="50">
        <v>44681</v>
      </c>
    </row>
    <row r="6164" s="5" customFormat="1" customHeight="1" spans="1:25">
      <c r="A6164" s="21" t="s">
        <v>25</v>
      </c>
      <c r="B6164" s="22" t="s">
        <v>7422</v>
      </c>
      <c r="C6164" s="22" t="s">
        <v>188</v>
      </c>
      <c r="D6164" s="22" t="s">
        <v>28</v>
      </c>
      <c r="E6164" s="23" t="s">
        <v>7825</v>
      </c>
      <c r="F6164" s="24" t="s">
        <v>7826</v>
      </c>
      <c r="G6164" s="24" t="s">
        <v>88</v>
      </c>
      <c r="H6164" s="25" t="s">
        <v>7876</v>
      </c>
      <c r="I6164" s="46" t="e">
        <f>VLOOKUP(H6164,'合同高级查询数据-4月返'!A:A,1,FALSE)</f>
        <v>#N/A</v>
      </c>
      <c r="J6164" s="47" t="s">
        <v>162</v>
      </c>
      <c r="K6164" s="24" t="s">
        <v>7877</v>
      </c>
      <c r="L6164" s="109" t="s">
        <v>7878</v>
      </c>
      <c r="M6164" s="49" t="s">
        <v>7879</v>
      </c>
      <c r="N6164" s="50">
        <v>44681</v>
      </c>
      <c r="O6164" s="22" t="s">
        <v>702</v>
      </c>
      <c r="P6164" s="52">
        <v>4000</v>
      </c>
      <c r="Q6164" s="70">
        <v>-3</v>
      </c>
      <c r="R6164" s="52">
        <f t="shared" si="184"/>
        <v>-12000</v>
      </c>
      <c r="S6164" s="47">
        <v>202304</v>
      </c>
      <c r="T6164" s="123" t="s">
        <v>7883</v>
      </c>
      <c r="U6164" s="97"/>
      <c r="V6164" s="453"/>
      <c r="W6164" s="453"/>
      <c r="X6164" s="50">
        <v>44652</v>
      </c>
      <c r="Y6164" s="50">
        <v>44681</v>
      </c>
    </row>
    <row r="6165" s="5" customFormat="1" customHeight="1" spans="1:25">
      <c r="A6165" s="21" t="s">
        <v>25</v>
      </c>
      <c r="B6165" s="96" t="s">
        <v>7422</v>
      </c>
      <c r="C6165" s="22" t="s">
        <v>6468</v>
      </c>
      <c r="D6165" s="22" t="s">
        <v>7655</v>
      </c>
      <c r="E6165" s="23" t="s">
        <v>7825</v>
      </c>
      <c r="F6165" s="24" t="s">
        <v>7826</v>
      </c>
      <c r="G6165" s="24" t="s">
        <v>31</v>
      </c>
      <c r="H6165" s="25" t="s">
        <v>7884</v>
      </c>
      <c r="I6165" s="46" t="e">
        <f>VLOOKUP(H6165,'合同高级查询数据-4月返'!A:A,1,FALSE)</f>
        <v>#N/A</v>
      </c>
      <c r="J6165" s="47" t="s">
        <v>33</v>
      </c>
      <c r="K6165" s="24" t="s">
        <v>6897</v>
      </c>
      <c r="L6165" s="109" t="s">
        <v>7885</v>
      </c>
      <c r="M6165" s="49" t="s">
        <v>7886</v>
      </c>
      <c r="N6165" s="50">
        <v>44410</v>
      </c>
      <c r="O6165" s="22" t="s">
        <v>37</v>
      </c>
      <c r="P6165" s="52">
        <v>0</v>
      </c>
      <c r="Q6165" s="70">
        <v>480</v>
      </c>
      <c r="R6165" s="52">
        <f t="shared" si="184"/>
        <v>0</v>
      </c>
      <c r="S6165" s="47">
        <v>202304</v>
      </c>
      <c r="T6165" s="123" t="s">
        <v>7887</v>
      </c>
      <c r="U6165" s="97"/>
      <c r="V6165" s="453"/>
      <c r="W6165" s="453"/>
      <c r="X6165" s="50">
        <v>44470</v>
      </c>
      <c r="Y6165" s="50">
        <v>44834</v>
      </c>
    </row>
    <row r="6166" s="5" customFormat="1" customHeight="1" spans="1:25">
      <c r="A6166" s="21" t="s">
        <v>25</v>
      </c>
      <c r="B6166" s="96" t="s">
        <v>7422</v>
      </c>
      <c r="C6166" s="22" t="s">
        <v>6468</v>
      </c>
      <c r="D6166" s="22" t="s">
        <v>7655</v>
      </c>
      <c r="E6166" s="23" t="s">
        <v>7825</v>
      </c>
      <c r="F6166" s="24" t="s">
        <v>7826</v>
      </c>
      <c r="G6166" s="24" t="s">
        <v>31</v>
      </c>
      <c r="H6166" s="25" t="s">
        <v>7884</v>
      </c>
      <c r="I6166" s="46" t="e">
        <f>VLOOKUP(H6166,'合同高级查询数据-4月返'!A:A,1,FALSE)</f>
        <v>#N/A</v>
      </c>
      <c r="J6166" s="47" t="s">
        <v>33</v>
      </c>
      <c r="K6166" s="24" t="s">
        <v>6897</v>
      </c>
      <c r="L6166" s="109" t="s">
        <v>7885</v>
      </c>
      <c r="M6166" s="49" t="s">
        <v>7886</v>
      </c>
      <c r="N6166" s="50"/>
      <c r="O6166" s="22" t="s">
        <v>179</v>
      </c>
      <c r="P6166" s="52">
        <v>0</v>
      </c>
      <c r="Q6166" s="52">
        <v>0</v>
      </c>
      <c r="R6166" s="52">
        <f t="shared" si="184"/>
        <v>0</v>
      </c>
      <c r="S6166" s="47">
        <v>202304</v>
      </c>
      <c r="T6166" s="123" t="s">
        <v>7888</v>
      </c>
      <c r="U6166" s="97"/>
      <c r="V6166" s="453"/>
      <c r="W6166" s="453"/>
      <c r="X6166" s="50">
        <v>44470</v>
      </c>
      <c r="Y6166" s="50">
        <v>44834</v>
      </c>
    </row>
    <row r="6167" s="5" customFormat="1" customHeight="1" spans="1:25">
      <c r="A6167" s="21" t="s">
        <v>25</v>
      </c>
      <c r="B6167" s="96" t="s">
        <v>7422</v>
      </c>
      <c r="C6167" s="22" t="s">
        <v>6468</v>
      </c>
      <c r="D6167" s="22" t="s">
        <v>7655</v>
      </c>
      <c r="E6167" s="23" t="s">
        <v>7825</v>
      </c>
      <c r="F6167" s="24" t="s">
        <v>7826</v>
      </c>
      <c r="G6167" s="24" t="s">
        <v>88</v>
      </c>
      <c r="H6167" s="25" t="s">
        <v>7884</v>
      </c>
      <c r="I6167" s="46" t="e">
        <f>VLOOKUP(H6167,'合同高级查询数据-4月返'!A:A,1,FALSE)</f>
        <v>#N/A</v>
      </c>
      <c r="J6167" s="47" t="s">
        <v>162</v>
      </c>
      <c r="K6167" s="24" t="s">
        <v>6897</v>
      </c>
      <c r="L6167" s="109" t="s">
        <v>7885</v>
      </c>
      <c r="M6167" s="49" t="s">
        <v>7886</v>
      </c>
      <c r="N6167" s="50">
        <v>44410</v>
      </c>
      <c r="O6167" s="22" t="s">
        <v>1306</v>
      </c>
      <c r="P6167" s="52">
        <v>6000</v>
      </c>
      <c r="Q6167" s="70">
        <v>3</v>
      </c>
      <c r="R6167" s="52">
        <f t="shared" si="184"/>
        <v>18000</v>
      </c>
      <c r="S6167" s="47">
        <v>202304</v>
      </c>
      <c r="T6167" s="123" t="s">
        <v>7889</v>
      </c>
      <c r="U6167" s="97"/>
      <c r="V6167" s="453"/>
      <c r="W6167" s="453"/>
      <c r="X6167" s="50">
        <v>44470</v>
      </c>
      <c r="Y6167" s="50">
        <v>44834</v>
      </c>
    </row>
    <row r="6168" s="5" customFormat="1" customHeight="1" spans="1:25">
      <c r="A6168" s="21" t="s">
        <v>25</v>
      </c>
      <c r="B6168" s="96" t="s">
        <v>7422</v>
      </c>
      <c r="C6168" s="22" t="s">
        <v>6468</v>
      </c>
      <c r="D6168" s="22" t="s">
        <v>7655</v>
      </c>
      <c r="E6168" s="23" t="s">
        <v>7825</v>
      </c>
      <c r="F6168" s="24" t="s">
        <v>7826</v>
      </c>
      <c r="G6168" s="24" t="s">
        <v>88</v>
      </c>
      <c r="H6168" s="25" t="s">
        <v>7884</v>
      </c>
      <c r="I6168" s="46" t="e">
        <f>VLOOKUP(H6168,'合同高级查询数据-4月返'!A:A,1,FALSE)</f>
        <v>#N/A</v>
      </c>
      <c r="J6168" s="47" t="s">
        <v>162</v>
      </c>
      <c r="K6168" s="24" t="s">
        <v>6897</v>
      </c>
      <c r="L6168" s="109" t="s">
        <v>7885</v>
      </c>
      <c r="M6168" s="49" t="s">
        <v>7886</v>
      </c>
      <c r="N6168" s="50">
        <v>44500</v>
      </c>
      <c r="O6168" s="22" t="s">
        <v>1306</v>
      </c>
      <c r="P6168" s="52">
        <v>6000</v>
      </c>
      <c r="Q6168" s="70">
        <v>-3</v>
      </c>
      <c r="R6168" s="52">
        <f t="shared" si="184"/>
        <v>-18000</v>
      </c>
      <c r="S6168" s="47">
        <v>202304</v>
      </c>
      <c r="T6168" s="123" t="s">
        <v>7890</v>
      </c>
      <c r="U6168" s="97"/>
      <c r="V6168" s="453"/>
      <c r="W6168" s="453"/>
      <c r="X6168" s="50">
        <v>44470</v>
      </c>
      <c r="Y6168" s="50">
        <v>44834</v>
      </c>
    </row>
    <row r="6169" s="5" customFormat="1" customHeight="1" spans="1:25">
      <c r="A6169" s="21" t="s">
        <v>25</v>
      </c>
      <c r="B6169" s="96" t="s">
        <v>7422</v>
      </c>
      <c r="C6169" s="22" t="s">
        <v>6468</v>
      </c>
      <c r="D6169" s="22" t="s">
        <v>7655</v>
      </c>
      <c r="E6169" s="23" t="s">
        <v>7825</v>
      </c>
      <c r="F6169" s="24" t="s">
        <v>7826</v>
      </c>
      <c r="G6169" s="24" t="s">
        <v>88</v>
      </c>
      <c r="H6169" s="25" t="s">
        <v>7884</v>
      </c>
      <c r="I6169" s="46" t="e">
        <f>VLOOKUP(H6169,'合同高级查询数据-4月返'!A:A,1,FALSE)</f>
        <v>#N/A</v>
      </c>
      <c r="J6169" s="47" t="s">
        <v>162</v>
      </c>
      <c r="K6169" s="24" t="s">
        <v>6897</v>
      </c>
      <c r="L6169" s="109" t="s">
        <v>7885</v>
      </c>
      <c r="M6169" s="49" t="s">
        <v>7886</v>
      </c>
      <c r="N6169" s="50">
        <v>44501</v>
      </c>
      <c r="O6169" s="22" t="s">
        <v>1306</v>
      </c>
      <c r="P6169" s="52">
        <v>6000</v>
      </c>
      <c r="Q6169" s="70">
        <v>3</v>
      </c>
      <c r="R6169" s="52">
        <f t="shared" si="184"/>
        <v>18000</v>
      </c>
      <c r="S6169" s="47">
        <v>202304</v>
      </c>
      <c r="T6169" s="123" t="s">
        <v>7890</v>
      </c>
      <c r="U6169" s="97"/>
      <c r="V6169" s="453"/>
      <c r="W6169" s="453"/>
      <c r="X6169" s="50">
        <v>44470</v>
      </c>
      <c r="Y6169" s="50">
        <v>44834</v>
      </c>
    </row>
    <row r="6170" s="5" customFormat="1" customHeight="1" spans="1:25">
      <c r="A6170" s="21" t="s">
        <v>25</v>
      </c>
      <c r="B6170" s="96" t="s">
        <v>7422</v>
      </c>
      <c r="C6170" s="22" t="s">
        <v>6468</v>
      </c>
      <c r="D6170" s="22" t="s">
        <v>7655</v>
      </c>
      <c r="E6170" s="23" t="s">
        <v>7825</v>
      </c>
      <c r="F6170" s="24" t="s">
        <v>7826</v>
      </c>
      <c r="G6170" s="24" t="s">
        <v>88</v>
      </c>
      <c r="H6170" s="25" t="s">
        <v>7884</v>
      </c>
      <c r="I6170" s="46" t="e">
        <f>VLOOKUP(H6170,'合同高级查询数据-4月返'!A:A,1,FALSE)</f>
        <v>#N/A</v>
      </c>
      <c r="J6170" s="47" t="s">
        <v>162</v>
      </c>
      <c r="K6170" s="24" t="s">
        <v>6897</v>
      </c>
      <c r="L6170" s="109" t="s">
        <v>7885</v>
      </c>
      <c r="M6170" s="49" t="s">
        <v>7886</v>
      </c>
      <c r="N6170" s="50">
        <v>44470</v>
      </c>
      <c r="O6170" s="22" t="s">
        <v>1306</v>
      </c>
      <c r="P6170" s="52">
        <v>6000</v>
      </c>
      <c r="Q6170" s="70">
        <v>3</v>
      </c>
      <c r="R6170" s="52">
        <f t="shared" si="184"/>
        <v>18000</v>
      </c>
      <c r="S6170" s="47">
        <v>202304</v>
      </c>
      <c r="T6170" s="123" t="s">
        <v>7891</v>
      </c>
      <c r="U6170" s="97"/>
      <c r="V6170" s="453"/>
      <c r="W6170" s="453"/>
      <c r="X6170" s="50">
        <v>44470</v>
      </c>
      <c r="Y6170" s="50">
        <v>44834</v>
      </c>
    </row>
    <row r="6171" s="5" customFormat="1" customHeight="1" spans="1:25">
      <c r="A6171" s="21" t="s">
        <v>25</v>
      </c>
      <c r="B6171" s="96" t="s">
        <v>7422</v>
      </c>
      <c r="C6171" s="22" t="s">
        <v>6468</v>
      </c>
      <c r="D6171" s="22" t="s">
        <v>7655</v>
      </c>
      <c r="E6171" s="23" t="s">
        <v>7825</v>
      </c>
      <c r="F6171" s="24" t="s">
        <v>7826</v>
      </c>
      <c r="G6171" s="24" t="s">
        <v>88</v>
      </c>
      <c r="H6171" s="25" t="s">
        <v>7884</v>
      </c>
      <c r="I6171" s="46" t="e">
        <f>VLOOKUP(H6171,'合同高级查询数据-4月返'!A:A,1,FALSE)</f>
        <v>#N/A</v>
      </c>
      <c r="J6171" s="47" t="s">
        <v>162</v>
      </c>
      <c r="K6171" s="24" t="s">
        <v>6897</v>
      </c>
      <c r="L6171" s="109" t="s">
        <v>7885</v>
      </c>
      <c r="M6171" s="49" t="s">
        <v>7886</v>
      </c>
      <c r="N6171" s="50">
        <v>44470</v>
      </c>
      <c r="O6171" s="22" t="s">
        <v>1306</v>
      </c>
      <c r="P6171" s="52">
        <v>6000</v>
      </c>
      <c r="Q6171" s="70">
        <v>-3</v>
      </c>
      <c r="R6171" s="52">
        <f t="shared" si="184"/>
        <v>-18000</v>
      </c>
      <c r="S6171" s="47">
        <v>202304</v>
      </c>
      <c r="T6171" s="123" t="s">
        <v>7892</v>
      </c>
      <c r="U6171" s="97"/>
      <c r="V6171" s="453"/>
      <c r="W6171" s="453"/>
      <c r="X6171" s="50">
        <v>44470</v>
      </c>
      <c r="Y6171" s="50">
        <v>44834</v>
      </c>
    </row>
    <row r="6172" s="5" customFormat="1" customHeight="1" spans="1:25">
      <c r="A6172" s="21" t="s">
        <v>25</v>
      </c>
      <c r="B6172" s="96" t="s">
        <v>7422</v>
      </c>
      <c r="C6172" s="22" t="s">
        <v>6468</v>
      </c>
      <c r="D6172" s="22" t="s">
        <v>7655</v>
      </c>
      <c r="E6172" s="23" t="s">
        <v>7825</v>
      </c>
      <c r="F6172" s="24" t="s">
        <v>7826</v>
      </c>
      <c r="G6172" s="24" t="s">
        <v>88</v>
      </c>
      <c r="H6172" s="25" t="s">
        <v>7884</v>
      </c>
      <c r="I6172" s="46" t="e">
        <f>VLOOKUP(H6172,'合同高级查询数据-4月返'!A:A,1,FALSE)</f>
        <v>#N/A</v>
      </c>
      <c r="J6172" s="47" t="s">
        <v>162</v>
      </c>
      <c r="K6172" s="24" t="s">
        <v>6897</v>
      </c>
      <c r="L6172" s="109" t="s">
        <v>7885</v>
      </c>
      <c r="M6172" s="49" t="s">
        <v>7886</v>
      </c>
      <c r="N6172" s="50">
        <v>44470</v>
      </c>
      <c r="O6172" s="22" t="s">
        <v>1306</v>
      </c>
      <c r="P6172" s="52">
        <v>6000</v>
      </c>
      <c r="Q6172" s="70">
        <v>2</v>
      </c>
      <c r="R6172" s="52">
        <f t="shared" si="184"/>
        <v>12000</v>
      </c>
      <c r="S6172" s="47">
        <v>202304</v>
      </c>
      <c r="T6172" s="123" t="s">
        <v>7893</v>
      </c>
      <c r="U6172" s="97"/>
      <c r="V6172" s="453"/>
      <c r="W6172" s="453"/>
      <c r="X6172" s="50">
        <v>44470</v>
      </c>
      <c r="Y6172" s="50">
        <v>44834</v>
      </c>
    </row>
    <row r="6173" s="5" customFormat="1" customHeight="1" spans="1:25">
      <c r="A6173" s="21" t="s">
        <v>25</v>
      </c>
      <c r="B6173" s="96" t="s">
        <v>7422</v>
      </c>
      <c r="C6173" s="22" t="s">
        <v>6468</v>
      </c>
      <c r="D6173" s="22" t="s">
        <v>7655</v>
      </c>
      <c r="E6173" s="23" t="s">
        <v>7825</v>
      </c>
      <c r="F6173" s="24" t="s">
        <v>7826</v>
      </c>
      <c r="G6173" s="24" t="s">
        <v>88</v>
      </c>
      <c r="H6173" s="25" t="s">
        <v>7884</v>
      </c>
      <c r="I6173" s="46" t="e">
        <f>VLOOKUP(H6173,'合同高级查询数据-4月返'!A:A,1,FALSE)</f>
        <v>#N/A</v>
      </c>
      <c r="J6173" s="47" t="s">
        <v>162</v>
      </c>
      <c r="K6173" s="24" t="s">
        <v>6897</v>
      </c>
      <c r="L6173" s="109" t="s">
        <v>7885</v>
      </c>
      <c r="M6173" s="49" t="s">
        <v>7886</v>
      </c>
      <c r="N6173" s="50">
        <v>44834</v>
      </c>
      <c r="O6173" s="22" t="s">
        <v>1306</v>
      </c>
      <c r="P6173" s="52">
        <v>6000</v>
      </c>
      <c r="Q6173" s="70">
        <v>-5</v>
      </c>
      <c r="R6173" s="52">
        <f t="shared" si="184"/>
        <v>-30000</v>
      </c>
      <c r="S6173" s="47">
        <v>202304</v>
      </c>
      <c r="T6173" s="123" t="s">
        <v>7894</v>
      </c>
      <c r="U6173" s="97"/>
      <c r="V6173" s="453"/>
      <c r="W6173" s="453"/>
      <c r="X6173" s="50">
        <v>44470</v>
      </c>
      <c r="Y6173" s="50">
        <v>44834</v>
      </c>
    </row>
    <row r="6174" s="5" customFormat="1" customHeight="1" spans="1:25">
      <c r="A6174" s="21" t="s">
        <v>25</v>
      </c>
      <c r="B6174" s="96" t="s">
        <v>7422</v>
      </c>
      <c r="C6174" s="22" t="s">
        <v>44</v>
      </c>
      <c r="D6174" s="22" t="s">
        <v>7585</v>
      </c>
      <c r="E6174" s="23" t="s">
        <v>7825</v>
      </c>
      <c r="F6174" s="24" t="s">
        <v>7826</v>
      </c>
      <c r="G6174" s="24" t="s">
        <v>31</v>
      </c>
      <c r="H6174" s="25" t="s">
        <v>7895</v>
      </c>
      <c r="I6174" s="46" t="e">
        <f>VLOOKUP(H6174,'合同高级查询数据-4月返'!A:A,1,FALSE)</f>
        <v>#N/A</v>
      </c>
      <c r="J6174" s="47" t="s">
        <v>33</v>
      </c>
      <c r="K6174" s="24" t="s">
        <v>7896</v>
      </c>
      <c r="L6174" s="109" t="s">
        <v>7897</v>
      </c>
      <c r="M6174" s="49" t="s">
        <v>7898</v>
      </c>
      <c r="N6174" s="50">
        <v>44470</v>
      </c>
      <c r="O6174" s="22" t="s">
        <v>37</v>
      </c>
      <c r="P6174" s="52">
        <v>0</v>
      </c>
      <c r="Q6174" s="70">
        <v>320</v>
      </c>
      <c r="R6174" s="52">
        <f t="shared" si="184"/>
        <v>0</v>
      </c>
      <c r="S6174" s="47">
        <v>202304</v>
      </c>
      <c r="T6174" s="123" t="s">
        <v>7899</v>
      </c>
      <c r="U6174" s="97"/>
      <c r="V6174" s="453"/>
      <c r="W6174" s="453"/>
      <c r="X6174" s="50">
        <v>44835</v>
      </c>
      <c r="Y6174" s="73">
        <v>45199</v>
      </c>
    </row>
    <row r="6175" s="5" customFormat="1" customHeight="1" spans="1:25">
      <c r="A6175" s="21" t="s">
        <v>25</v>
      </c>
      <c r="B6175" s="96" t="s">
        <v>7422</v>
      </c>
      <c r="C6175" s="22" t="s">
        <v>44</v>
      </c>
      <c r="D6175" s="22" t="s">
        <v>7585</v>
      </c>
      <c r="E6175" s="23" t="s">
        <v>7825</v>
      </c>
      <c r="F6175" s="24" t="s">
        <v>7826</v>
      </c>
      <c r="G6175" s="24" t="s">
        <v>31</v>
      </c>
      <c r="H6175" s="25" t="s">
        <v>7895</v>
      </c>
      <c r="I6175" s="46" t="e">
        <f>VLOOKUP(H6175,'合同高级查询数据-4月返'!A:A,1,FALSE)</f>
        <v>#N/A</v>
      </c>
      <c r="J6175" s="47" t="s">
        <v>33</v>
      </c>
      <c r="K6175" s="24" t="s">
        <v>7896</v>
      </c>
      <c r="L6175" s="109" t="s">
        <v>7897</v>
      </c>
      <c r="M6175" s="49" t="s">
        <v>7898</v>
      </c>
      <c r="N6175" s="50"/>
      <c r="O6175" s="22" t="s">
        <v>179</v>
      </c>
      <c r="P6175" s="52">
        <v>0</v>
      </c>
      <c r="Q6175" s="52">
        <v>0</v>
      </c>
      <c r="R6175" s="52">
        <f t="shared" si="184"/>
        <v>0</v>
      </c>
      <c r="S6175" s="47">
        <v>202304</v>
      </c>
      <c r="T6175" s="123" t="s">
        <v>7900</v>
      </c>
      <c r="U6175" s="97"/>
      <c r="V6175" s="453"/>
      <c r="W6175" s="453"/>
      <c r="X6175" s="50">
        <v>44835</v>
      </c>
      <c r="Y6175" s="73">
        <v>45199</v>
      </c>
    </row>
    <row r="6176" s="5" customFormat="1" customHeight="1" spans="1:25">
      <c r="A6176" s="21" t="s">
        <v>25</v>
      </c>
      <c r="B6176" s="96" t="s">
        <v>7422</v>
      </c>
      <c r="C6176" s="22" t="s">
        <v>44</v>
      </c>
      <c r="D6176" s="22" t="s">
        <v>7585</v>
      </c>
      <c r="E6176" s="23" t="s">
        <v>7825</v>
      </c>
      <c r="F6176" s="24" t="s">
        <v>7826</v>
      </c>
      <c r="G6176" s="24" t="s">
        <v>88</v>
      </c>
      <c r="H6176" s="25" t="s">
        <v>7895</v>
      </c>
      <c r="I6176" s="46" t="e">
        <f>VLOOKUP(H6176,'合同高级查询数据-4月返'!A:A,1,FALSE)</f>
        <v>#N/A</v>
      </c>
      <c r="J6176" s="47" t="s">
        <v>162</v>
      </c>
      <c r="K6176" s="24" t="s">
        <v>7896</v>
      </c>
      <c r="L6176" s="109" t="s">
        <v>7897</v>
      </c>
      <c r="M6176" s="49" t="s">
        <v>7898</v>
      </c>
      <c r="N6176" s="50">
        <v>44470</v>
      </c>
      <c r="O6176" s="22" t="s">
        <v>702</v>
      </c>
      <c r="P6176" s="52">
        <v>4000</v>
      </c>
      <c r="Q6176" s="70">
        <v>6</v>
      </c>
      <c r="R6176" s="52">
        <f t="shared" si="184"/>
        <v>24000</v>
      </c>
      <c r="S6176" s="47">
        <v>202304</v>
      </c>
      <c r="T6176" s="123" t="s">
        <v>7901</v>
      </c>
      <c r="U6176" s="97"/>
      <c r="V6176" s="453"/>
      <c r="W6176" s="453"/>
      <c r="X6176" s="50">
        <v>44835</v>
      </c>
      <c r="Y6176" s="73">
        <v>45199</v>
      </c>
    </row>
    <row r="6177" s="5" customFormat="1" customHeight="1" spans="1:25">
      <c r="A6177" s="21" t="s">
        <v>152</v>
      </c>
      <c r="B6177" s="96" t="s">
        <v>7422</v>
      </c>
      <c r="C6177" s="22" t="s">
        <v>6083</v>
      </c>
      <c r="D6177" s="22" t="s">
        <v>7585</v>
      </c>
      <c r="E6177" s="23" t="s">
        <v>7825</v>
      </c>
      <c r="F6177" s="24" t="s">
        <v>7826</v>
      </c>
      <c r="G6177" s="24" t="s">
        <v>31</v>
      </c>
      <c r="H6177" s="25" t="s">
        <v>7902</v>
      </c>
      <c r="I6177" s="46" t="e">
        <f>VLOOKUP(H6177,'合同高级查询数据-4月返'!A:A,1,FALSE)</f>
        <v>#N/A</v>
      </c>
      <c r="J6177" s="47" t="s">
        <v>33</v>
      </c>
      <c r="K6177" s="24" t="s">
        <v>7903</v>
      </c>
      <c r="L6177" s="109" t="s">
        <v>7904</v>
      </c>
      <c r="M6177" s="49" t="s">
        <v>7905</v>
      </c>
      <c r="N6177" s="50">
        <v>44532</v>
      </c>
      <c r="O6177" s="22" t="s">
        <v>37</v>
      </c>
      <c r="P6177" s="52">
        <v>0</v>
      </c>
      <c r="Q6177" s="70">
        <v>224</v>
      </c>
      <c r="R6177" s="52">
        <f t="shared" si="184"/>
        <v>0</v>
      </c>
      <c r="S6177" s="47">
        <v>202304</v>
      </c>
      <c r="T6177" s="123" t="s">
        <v>7906</v>
      </c>
      <c r="U6177" s="97"/>
      <c r="V6177" s="453"/>
      <c r="W6177" s="453"/>
      <c r="X6177" s="50">
        <v>44896</v>
      </c>
      <c r="Y6177" s="50">
        <v>45260</v>
      </c>
    </row>
    <row r="6178" s="5" customFormat="1" customHeight="1" spans="1:25">
      <c r="A6178" s="21" t="s">
        <v>152</v>
      </c>
      <c r="B6178" s="96" t="s">
        <v>7422</v>
      </c>
      <c r="C6178" s="22" t="s">
        <v>6083</v>
      </c>
      <c r="D6178" s="22" t="s">
        <v>7585</v>
      </c>
      <c r="E6178" s="23" t="s">
        <v>7825</v>
      </c>
      <c r="F6178" s="24" t="s">
        <v>7826</v>
      </c>
      <c r="G6178" s="24" t="s">
        <v>31</v>
      </c>
      <c r="H6178" s="25" t="s">
        <v>7902</v>
      </c>
      <c r="I6178" s="46" t="e">
        <f>VLOOKUP(H6178,'合同高级查询数据-4月返'!A:A,1,FALSE)</f>
        <v>#N/A</v>
      </c>
      <c r="J6178" s="47" t="s">
        <v>33</v>
      </c>
      <c r="K6178" s="24" t="s">
        <v>7903</v>
      </c>
      <c r="L6178" s="109" t="s">
        <v>7904</v>
      </c>
      <c r="M6178" s="49" t="s">
        <v>7905</v>
      </c>
      <c r="N6178" s="50">
        <v>44532</v>
      </c>
      <c r="O6178" s="22" t="s">
        <v>37</v>
      </c>
      <c r="P6178" s="52">
        <v>50</v>
      </c>
      <c r="Q6178" s="70">
        <v>32</v>
      </c>
      <c r="R6178" s="52">
        <f t="shared" si="184"/>
        <v>1600</v>
      </c>
      <c r="S6178" s="47">
        <v>202304</v>
      </c>
      <c r="T6178" s="123" t="s">
        <v>7906</v>
      </c>
      <c r="U6178" s="97"/>
      <c r="V6178" s="453"/>
      <c r="W6178" s="453"/>
      <c r="X6178" s="50">
        <v>44896</v>
      </c>
      <c r="Y6178" s="50">
        <v>45260</v>
      </c>
    </row>
    <row r="6179" s="5" customFormat="1" customHeight="1" spans="1:25">
      <c r="A6179" s="21" t="s">
        <v>152</v>
      </c>
      <c r="B6179" s="96" t="s">
        <v>7422</v>
      </c>
      <c r="C6179" s="22" t="s">
        <v>6083</v>
      </c>
      <c r="D6179" s="22" t="s">
        <v>7585</v>
      </c>
      <c r="E6179" s="23" t="s">
        <v>7825</v>
      </c>
      <c r="F6179" s="24" t="s">
        <v>7826</v>
      </c>
      <c r="G6179" s="24" t="s">
        <v>31</v>
      </c>
      <c r="H6179" s="25" t="s">
        <v>7902</v>
      </c>
      <c r="I6179" s="46" t="e">
        <f>VLOOKUP(H6179,'合同高级查询数据-4月返'!A:A,1,FALSE)</f>
        <v>#N/A</v>
      </c>
      <c r="J6179" s="47" t="s">
        <v>33</v>
      </c>
      <c r="K6179" s="24" t="s">
        <v>7903</v>
      </c>
      <c r="L6179" s="109" t="s">
        <v>7904</v>
      </c>
      <c r="M6179" s="49" t="s">
        <v>7905</v>
      </c>
      <c r="N6179" s="50">
        <v>44889</v>
      </c>
      <c r="O6179" s="22" t="s">
        <v>37</v>
      </c>
      <c r="P6179" s="52">
        <v>50</v>
      </c>
      <c r="Q6179" s="70">
        <v>-32</v>
      </c>
      <c r="R6179" s="52">
        <f t="shared" si="184"/>
        <v>-1600</v>
      </c>
      <c r="S6179" s="47">
        <v>202304</v>
      </c>
      <c r="T6179" s="123" t="s">
        <v>7907</v>
      </c>
      <c r="U6179" s="97"/>
      <c r="V6179" s="453"/>
      <c r="W6179" s="453"/>
      <c r="X6179" s="50">
        <v>44896</v>
      </c>
      <c r="Y6179" s="50">
        <v>45260</v>
      </c>
    </row>
    <row r="6180" s="5" customFormat="1" customHeight="1" spans="1:25">
      <c r="A6180" s="21" t="s">
        <v>152</v>
      </c>
      <c r="B6180" s="96" t="s">
        <v>7422</v>
      </c>
      <c r="C6180" s="22" t="s">
        <v>6083</v>
      </c>
      <c r="D6180" s="22" t="s">
        <v>7585</v>
      </c>
      <c r="E6180" s="23" t="s">
        <v>7825</v>
      </c>
      <c r="F6180" s="24" t="s">
        <v>7826</v>
      </c>
      <c r="G6180" s="24" t="s">
        <v>31</v>
      </c>
      <c r="H6180" s="25" t="s">
        <v>7902</v>
      </c>
      <c r="I6180" s="46" t="e">
        <f>VLOOKUP(H6180,'合同高级查询数据-4月返'!A:A,1,FALSE)</f>
        <v>#N/A</v>
      </c>
      <c r="J6180" s="47" t="s">
        <v>33</v>
      </c>
      <c r="K6180" s="24" t="s">
        <v>7903</v>
      </c>
      <c r="L6180" s="109" t="s">
        <v>7904</v>
      </c>
      <c r="M6180" s="49" t="s">
        <v>7905</v>
      </c>
      <c r="N6180" s="50">
        <v>44889</v>
      </c>
      <c r="O6180" s="22" t="s">
        <v>37</v>
      </c>
      <c r="P6180" s="52">
        <v>0</v>
      </c>
      <c r="Q6180" s="70">
        <v>-64</v>
      </c>
      <c r="R6180" s="52">
        <f t="shared" si="184"/>
        <v>0</v>
      </c>
      <c r="S6180" s="47">
        <v>202304</v>
      </c>
      <c r="T6180" s="123" t="s">
        <v>7908</v>
      </c>
      <c r="U6180" s="97"/>
      <c r="V6180" s="453"/>
      <c r="W6180" s="453"/>
      <c r="X6180" s="50">
        <v>44896</v>
      </c>
      <c r="Y6180" s="50">
        <v>45260</v>
      </c>
    </row>
    <row r="6181" s="5" customFormat="1" customHeight="1" spans="1:25">
      <c r="A6181" s="21" t="s">
        <v>152</v>
      </c>
      <c r="B6181" s="96" t="s">
        <v>7422</v>
      </c>
      <c r="C6181" s="22" t="s">
        <v>6083</v>
      </c>
      <c r="D6181" s="22" t="s">
        <v>7585</v>
      </c>
      <c r="E6181" s="23" t="s">
        <v>7825</v>
      </c>
      <c r="F6181" s="24" t="s">
        <v>7826</v>
      </c>
      <c r="G6181" s="24" t="s">
        <v>31</v>
      </c>
      <c r="H6181" s="25" t="s">
        <v>7902</v>
      </c>
      <c r="I6181" s="46" t="e">
        <f>VLOOKUP(H6181,'合同高级查询数据-4月返'!A:A,1,FALSE)</f>
        <v>#N/A</v>
      </c>
      <c r="J6181" s="47" t="s">
        <v>33</v>
      </c>
      <c r="K6181" s="24" t="s">
        <v>7903</v>
      </c>
      <c r="L6181" s="109" t="s">
        <v>7904</v>
      </c>
      <c r="M6181" s="49" t="s">
        <v>7905</v>
      </c>
      <c r="N6181" s="22"/>
      <c r="O6181" s="22" t="s">
        <v>179</v>
      </c>
      <c r="P6181" s="52">
        <v>0</v>
      </c>
      <c r="Q6181" s="52">
        <v>0</v>
      </c>
      <c r="R6181" s="52">
        <f t="shared" si="184"/>
        <v>0</v>
      </c>
      <c r="S6181" s="47">
        <v>202304</v>
      </c>
      <c r="T6181" s="123" t="s">
        <v>7909</v>
      </c>
      <c r="U6181" s="97"/>
      <c r="V6181" s="453"/>
      <c r="W6181" s="453"/>
      <c r="X6181" s="50">
        <v>44896</v>
      </c>
      <c r="Y6181" s="50">
        <v>45260</v>
      </c>
    </row>
    <row r="6182" s="5" customFormat="1" customHeight="1" spans="1:25">
      <c r="A6182" s="21" t="s">
        <v>152</v>
      </c>
      <c r="B6182" s="96" t="s">
        <v>7422</v>
      </c>
      <c r="C6182" s="22" t="s">
        <v>6083</v>
      </c>
      <c r="D6182" s="22" t="s">
        <v>7585</v>
      </c>
      <c r="E6182" s="23" t="s">
        <v>7825</v>
      </c>
      <c r="F6182" s="24" t="s">
        <v>7826</v>
      </c>
      <c r="G6182" s="24" t="s">
        <v>88</v>
      </c>
      <c r="H6182" s="25" t="s">
        <v>7902</v>
      </c>
      <c r="I6182" s="46" t="e">
        <f>VLOOKUP(H6182,'合同高级查询数据-4月返'!A:A,1,FALSE)</f>
        <v>#N/A</v>
      </c>
      <c r="J6182" s="47" t="s">
        <v>162</v>
      </c>
      <c r="K6182" s="24" t="s">
        <v>7903</v>
      </c>
      <c r="L6182" s="109" t="s">
        <v>7904</v>
      </c>
      <c r="M6182" s="49" t="s">
        <v>7905</v>
      </c>
      <c r="N6182" s="50">
        <v>44532</v>
      </c>
      <c r="O6182" s="22" t="s">
        <v>92</v>
      </c>
      <c r="P6182" s="52">
        <v>4000</v>
      </c>
      <c r="Q6182" s="70">
        <v>3</v>
      </c>
      <c r="R6182" s="52">
        <f t="shared" si="184"/>
        <v>12000</v>
      </c>
      <c r="S6182" s="47">
        <v>202304</v>
      </c>
      <c r="T6182" s="123" t="s">
        <v>7910</v>
      </c>
      <c r="U6182" s="97"/>
      <c r="V6182" s="453"/>
      <c r="W6182" s="453"/>
      <c r="X6182" s="50">
        <v>44896</v>
      </c>
      <c r="Y6182" s="50">
        <v>45260</v>
      </c>
    </row>
    <row r="6183" s="5" customFormat="1" customHeight="1" spans="1:25">
      <c r="A6183" s="24" t="s">
        <v>25</v>
      </c>
      <c r="B6183" s="22" t="s">
        <v>7422</v>
      </c>
      <c r="C6183" s="22" t="s">
        <v>144</v>
      </c>
      <c r="D6183" s="22" t="s">
        <v>28</v>
      </c>
      <c r="E6183" s="23" t="s">
        <v>7825</v>
      </c>
      <c r="F6183" s="24" t="s">
        <v>7826</v>
      </c>
      <c r="G6183" s="24" t="s">
        <v>31</v>
      </c>
      <c r="H6183" s="47" t="s">
        <v>7911</v>
      </c>
      <c r="I6183" s="46" t="e">
        <f>VLOOKUP(H6183,'合同高级查询数据-4月返'!A:A,1,FALSE)</f>
        <v>#N/A</v>
      </c>
      <c r="J6183" s="47" t="s">
        <v>33</v>
      </c>
      <c r="K6183" s="22" t="s">
        <v>3429</v>
      </c>
      <c r="L6183" s="22" t="s">
        <v>7912</v>
      </c>
      <c r="M6183" s="22" t="s">
        <v>7913</v>
      </c>
      <c r="N6183" s="50">
        <v>44593</v>
      </c>
      <c r="O6183" s="22" t="s">
        <v>37</v>
      </c>
      <c r="P6183" s="486">
        <v>0</v>
      </c>
      <c r="Q6183" s="486">
        <v>320</v>
      </c>
      <c r="R6183" s="52">
        <f t="shared" si="184"/>
        <v>0</v>
      </c>
      <c r="S6183" s="47">
        <v>202304</v>
      </c>
      <c r="T6183" s="46" t="s">
        <v>7914</v>
      </c>
      <c r="U6183" s="22"/>
      <c r="V6183" s="72"/>
      <c r="W6183" s="22"/>
      <c r="X6183" s="50">
        <v>44593</v>
      </c>
      <c r="Y6183" s="50">
        <v>44957</v>
      </c>
    </row>
    <row r="6184" s="5" customFormat="1" customHeight="1" spans="1:25">
      <c r="A6184" s="24" t="s">
        <v>25</v>
      </c>
      <c r="B6184" s="22" t="s">
        <v>7422</v>
      </c>
      <c r="C6184" s="22" t="s">
        <v>144</v>
      </c>
      <c r="D6184" s="22" t="s">
        <v>28</v>
      </c>
      <c r="E6184" s="23" t="s">
        <v>7825</v>
      </c>
      <c r="F6184" s="24" t="s">
        <v>7826</v>
      </c>
      <c r="G6184" s="24" t="s">
        <v>31</v>
      </c>
      <c r="H6184" s="47" t="s">
        <v>7911</v>
      </c>
      <c r="I6184" s="46" t="e">
        <f>VLOOKUP(H6184,'合同高级查询数据-4月返'!A:A,1,FALSE)</f>
        <v>#N/A</v>
      </c>
      <c r="J6184" s="47" t="s">
        <v>33</v>
      </c>
      <c r="K6184" s="22" t="s">
        <v>3429</v>
      </c>
      <c r="L6184" s="22" t="s">
        <v>7912</v>
      </c>
      <c r="M6184" s="22" t="s">
        <v>7913</v>
      </c>
      <c r="N6184" s="50"/>
      <c r="O6184" s="22" t="s">
        <v>179</v>
      </c>
      <c r="P6184" s="52">
        <v>0</v>
      </c>
      <c r="Q6184" s="52">
        <v>0</v>
      </c>
      <c r="R6184" s="52">
        <f t="shared" si="184"/>
        <v>0</v>
      </c>
      <c r="S6184" s="47">
        <v>202304</v>
      </c>
      <c r="T6184" s="46" t="s">
        <v>7795</v>
      </c>
      <c r="U6184" s="22"/>
      <c r="V6184" s="72"/>
      <c r="W6184" s="22"/>
      <c r="X6184" s="50">
        <v>44593</v>
      </c>
      <c r="Y6184" s="50">
        <v>44957</v>
      </c>
    </row>
    <row r="6185" s="5" customFormat="1" customHeight="1" spans="1:25">
      <c r="A6185" s="24" t="s">
        <v>25</v>
      </c>
      <c r="B6185" s="22" t="s">
        <v>7422</v>
      </c>
      <c r="C6185" s="22" t="s">
        <v>144</v>
      </c>
      <c r="D6185" s="22" t="s">
        <v>28</v>
      </c>
      <c r="E6185" s="23" t="s">
        <v>7825</v>
      </c>
      <c r="F6185" s="24" t="s">
        <v>7826</v>
      </c>
      <c r="G6185" s="24" t="s">
        <v>88</v>
      </c>
      <c r="H6185" s="47" t="s">
        <v>7911</v>
      </c>
      <c r="I6185" s="46" t="e">
        <f>VLOOKUP(H6185,'合同高级查询数据-4月返'!A:A,1,FALSE)</f>
        <v>#N/A</v>
      </c>
      <c r="J6185" s="47" t="s">
        <v>162</v>
      </c>
      <c r="K6185" s="22" t="s">
        <v>3429</v>
      </c>
      <c r="L6185" s="22" t="s">
        <v>7912</v>
      </c>
      <c r="M6185" s="22" t="s">
        <v>7913</v>
      </c>
      <c r="N6185" s="50">
        <v>44593</v>
      </c>
      <c r="O6185" s="22" t="s">
        <v>4123</v>
      </c>
      <c r="P6185" s="486">
        <v>5000</v>
      </c>
      <c r="Q6185" s="486">
        <v>3</v>
      </c>
      <c r="R6185" s="52">
        <f t="shared" si="184"/>
        <v>15000</v>
      </c>
      <c r="S6185" s="47">
        <v>202304</v>
      </c>
      <c r="T6185" s="46" t="s">
        <v>7915</v>
      </c>
      <c r="U6185" s="22"/>
      <c r="V6185" s="72"/>
      <c r="W6185" s="22"/>
      <c r="X6185" s="50">
        <v>44593</v>
      </c>
      <c r="Y6185" s="50">
        <v>44957</v>
      </c>
    </row>
    <row r="6186" s="5" customFormat="1" customHeight="1" spans="1:25">
      <c r="A6186" s="24" t="s">
        <v>25</v>
      </c>
      <c r="B6186" s="22" t="s">
        <v>7422</v>
      </c>
      <c r="C6186" s="22" t="s">
        <v>144</v>
      </c>
      <c r="D6186" s="22" t="s">
        <v>28</v>
      </c>
      <c r="E6186" s="23" t="s">
        <v>7825</v>
      </c>
      <c r="F6186" s="24" t="s">
        <v>7826</v>
      </c>
      <c r="G6186" s="24" t="s">
        <v>88</v>
      </c>
      <c r="H6186" s="47" t="s">
        <v>7911</v>
      </c>
      <c r="I6186" s="46" t="e">
        <f>VLOOKUP(H6186,'合同高级查询数据-4月返'!A:A,1,FALSE)</f>
        <v>#N/A</v>
      </c>
      <c r="J6186" s="47" t="s">
        <v>162</v>
      </c>
      <c r="K6186" s="22" t="s">
        <v>3429</v>
      </c>
      <c r="L6186" s="22" t="s">
        <v>7912</v>
      </c>
      <c r="M6186" s="22" t="s">
        <v>7913</v>
      </c>
      <c r="N6186" s="50">
        <v>44742</v>
      </c>
      <c r="O6186" s="22" t="s">
        <v>4123</v>
      </c>
      <c r="P6186" s="486">
        <v>5000</v>
      </c>
      <c r="Q6186" s="486">
        <v>-3</v>
      </c>
      <c r="R6186" s="52">
        <f t="shared" si="184"/>
        <v>-15000</v>
      </c>
      <c r="S6186" s="47">
        <v>202304</v>
      </c>
      <c r="T6186" s="46" t="s">
        <v>7916</v>
      </c>
      <c r="U6186" s="22"/>
      <c r="V6186" s="72"/>
      <c r="W6186" s="22"/>
      <c r="X6186" s="50">
        <v>44593</v>
      </c>
      <c r="Y6186" s="50">
        <v>44957</v>
      </c>
    </row>
    <row r="6187" s="3" customFormat="1" customHeight="1" spans="1:25">
      <c r="A6187" s="11" t="s">
        <v>25</v>
      </c>
      <c r="B6187" s="35" t="s">
        <v>7422</v>
      </c>
      <c r="C6187" s="35" t="s">
        <v>238</v>
      </c>
      <c r="D6187" s="35" t="s">
        <v>7585</v>
      </c>
      <c r="E6187" s="13" t="s">
        <v>7825</v>
      </c>
      <c r="F6187" s="11" t="s">
        <v>7826</v>
      </c>
      <c r="G6187" s="11" t="s">
        <v>31</v>
      </c>
      <c r="H6187" s="31" t="s">
        <v>7917</v>
      </c>
      <c r="I6187" s="30" t="e">
        <f>VLOOKUP(H6187,'合同高级查询数据-4月返'!A:A,1,FALSE)</f>
        <v>#N/A</v>
      </c>
      <c r="J6187" s="31" t="s">
        <v>33</v>
      </c>
      <c r="K6187" s="35" t="s">
        <v>7918</v>
      </c>
      <c r="L6187" s="35" t="s">
        <v>7919</v>
      </c>
      <c r="M6187" s="35" t="s">
        <v>7920</v>
      </c>
      <c r="N6187" s="34">
        <v>44805</v>
      </c>
      <c r="O6187" s="35" t="s">
        <v>37</v>
      </c>
      <c r="P6187" s="488">
        <v>0</v>
      </c>
      <c r="Q6187" s="488">
        <v>160</v>
      </c>
      <c r="R6187" s="465">
        <f t="shared" si="184"/>
        <v>0</v>
      </c>
      <c r="S6187" s="31">
        <v>202304</v>
      </c>
      <c r="T6187" s="30" t="s">
        <v>7921</v>
      </c>
      <c r="U6187" s="35"/>
      <c r="V6187" s="494"/>
      <c r="W6187" s="35"/>
      <c r="X6187" s="34"/>
      <c r="Y6187" s="34"/>
    </row>
    <row r="6188" s="3" customFormat="1" customHeight="1" spans="1:25">
      <c r="A6188" s="11" t="s">
        <v>25</v>
      </c>
      <c r="B6188" s="35" t="s">
        <v>7422</v>
      </c>
      <c r="C6188" s="35" t="s">
        <v>238</v>
      </c>
      <c r="D6188" s="35" t="s">
        <v>7585</v>
      </c>
      <c r="E6188" s="13" t="s">
        <v>7825</v>
      </c>
      <c r="F6188" s="11" t="s">
        <v>7826</v>
      </c>
      <c r="G6188" s="11" t="s">
        <v>31</v>
      </c>
      <c r="H6188" s="31" t="s">
        <v>7917</v>
      </c>
      <c r="I6188" s="30" t="e">
        <f>VLOOKUP(H6188,'合同高级查询数据-4月返'!A:A,1,FALSE)</f>
        <v>#N/A</v>
      </c>
      <c r="J6188" s="31" t="s">
        <v>33</v>
      </c>
      <c r="K6188" s="35" t="s">
        <v>7918</v>
      </c>
      <c r="L6188" s="35" t="s">
        <v>7919</v>
      </c>
      <c r="M6188" s="35" t="s">
        <v>7920</v>
      </c>
      <c r="N6188" s="34">
        <v>44805</v>
      </c>
      <c r="O6188" s="35" t="s">
        <v>37</v>
      </c>
      <c r="P6188" s="488">
        <v>50</v>
      </c>
      <c r="Q6188" s="488">
        <v>128</v>
      </c>
      <c r="R6188" s="465">
        <f t="shared" si="184"/>
        <v>6400</v>
      </c>
      <c r="S6188" s="31">
        <v>202304</v>
      </c>
      <c r="T6188" s="30" t="s">
        <v>7921</v>
      </c>
      <c r="U6188" s="35"/>
      <c r="V6188" s="494"/>
      <c r="W6188" s="35"/>
      <c r="X6188" s="34"/>
      <c r="Y6188" s="34"/>
    </row>
    <row r="6189" s="3" customFormat="1" customHeight="1" spans="1:25">
      <c r="A6189" s="11" t="s">
        <v>25</v>
      </c>
      <c r="B6189" s="35" t="s">
        <v>7422</v>
      </c>
      <c r="C6189" s="35" t="s">
        <v>238</v>
      </c>
      <c r="D6189" s="35" t="s">
        <v>7585</v>
      </c>
      <c r="E6189" s="13" t="s">
        <v>7825</v>
      </c>
      <c r="F6189" s="11" t="s">
        <v>7826</v>
      </c>
      <c r="G6189" s="11" t="s">
        <v>31</v>
      </c>
      <c r="H6189" s="31" t="s">
        <v>7917</v>
      </c>
      <c r="I6189" s="30" t="e">
        <f>VLOOKUP(H6189,'合同高级查询数据-4月返'!A:A,1,FALSE)</f>
        <v>#N/A</v>
      </c>
      <c r="J6189" s="31" t="s">
        <v>33</v>
      </c>
      <c r="K6189" s="35" t="s">
        <v>7918</v>
      </c>
      <c r="L6189" s="35" t="s">
        <v>7919</v>
      </c>
      <c r="M6189" s="35" t="s">
        <v>7920</v>
      </c>
      <c r="N6189" s="34">
        <v>44868</v>
      </c>
      <c r="O6189" s="35" t="s">
        <v>37</v>
      </c>
      <c r="P6189" s="488">
        <v>50</v>
      </c>
      <c r="Q6189" s="488">
        <v>-128</v>
      </c>
      <c r="R6189" s="465">
        <f t="shared" si="184"/>
        <v>-6400</v>
      </c>
      <c r="S6189" s="31">
        <v>202304</v>
      </c>
      <c r="T6189" s="30" t="s">
        <v>7922</v>
      </c>
      <c r="U6189" s="35"/>
      <c r="V6189" s="494"/>
      <c r="W6189" s="35"/>
      <c r="X6189" s="34"/>
      <c r="Y6189" s="34"/>
    </row>
    <row r="6190" s="3" customFormat="1" customHeight="1" spans="1:25">
      <c r="A6190" s="11" t="s">
        <v>25</v>
      </c>
      <c r="B6190" s="35" t="s">
        <v>7422</v>
      </c>
      <c r="C6190" s="35" t="s">
        <v>238</v>
      </c>
      <c r="D6190" s="35" t="s">
        <v>7585</v>
      </c>
      <c r="E6190" s="13" t="s">
        <v>7825</v>
      </c>
      <c r="F6190" s="11" t="s">
        <v>7826</v>
      </c>
      <c r="G6190" s="11" t="s">
        <v>31</v>
      </c>
      <c r="H6190" s="31" t="s">
        <v>7923</v>
      </c>
      <c r="I6190" s="30" t="e">
        <f>VLOOKUP(H6190,'合同高级查询数据-4月返'!A:A,1,FALSE)</f>
        <v>#N/A</v>
      </c>
      <c r="J6190" s="31" t="s">
        <v>33</v>
      </c>
      <c r="K6190" s="35" t="s">
        <v>7918</v>
      </c>
      <c r="L6190" s="35" t="s">
        <v>7919</v>
      </c>
      <c r="M6190" s="35" t="s">
        <v>7920</v>
      </c>
      <c r="N6190" s="34">
        <v>45008</v>
      </c>
      <c r="O6190" s="35" t="s">
        <v>37</v>
      </c>
      <c r="P6190" s="488">
        <v>50</v>
      </c>
      <c r="Q6190" s="488">
        <v>128</v>
      </c>
      <c r="R6190" s="465">
        <f t="shared" ref="R6190:R6197" si="185">ROUND(P6190*Q6190,2)</f>
        <v>6400</v>
      </c>
      <c r="S6190" s="31">
        <v>202304</v>
      </c>
      <c r="T6190" s="30" t="s">
        <v>7924</v>
      </c>
      <c r="U6190" s="35"/>
      <c r="V6190" s="494"/>
      <c r="W6190" s="35"/>
      <c r="X6190" s="34"/>
      <c r="Y6190" s="34"/>
    </row>
    <row r="6191" s="3" customFormat="1" customHeight="1" spans="1:25">
      <c r="A6191" s="11" t="s">
        <v>25</v>
      </c>
      <c r="B6191" s="35" t="s">
        <v>7422</v>
      </c>
      <c r="C6191" s="35" t="s">
        <v>238</v>
      </c>
      <c r="D6191" s="35" t="s">
        <v>7585</v>
      </c>
      <c r="E6191" s="13" t="s">
        <v>7825</v>
      </c>
      <c r="F6191" s="11" t="s">
        <v>7826</v>
      </c>
      <c r="G6191" s="11" t="s">
        <v>31</v>
      </c>
      <c r="H6191" s="31" t="s">
        <v>7917</v>
      </c>
      <c r="I6191" s="30" t="e">
        <f>VLOOKUP(H6191,'合同高级查询数据-4月返'!A:A,1,FALSE)</f>
        <v>#N/A</v>
      </c>
      <c r="J6191" s="31" t="s">
        <v>33</v>
      </c>
      <c r="K6191" s="35" t="s">
        <v>7918</v>
      </c>
      <c r="L6191" s="35" t="s">
        <v>7919</v>
      </c>
      <c r="M6191" s="35" t="s">
        <v>7920</v>
      </c>
      <c r="N6191" s="34"/>
      <c r="O6191" s="35" t="s">
        <v>179</v>
      </c>
      <c r="P6191" s="465">
        <v>0</v>
      </c>
      <c r="Q6191" s="465">
        <v>0</v>
      </c>
      <c r="R6191" s="465">
        <f t="shared" si="185"/>
        <v>0</v>
      </c>
      <c r="S6191" s="31">
        <v>202304</v>
      </c>
      <c r="T6191" s="30" t="s">
        <v>7925</v>
      </c>
      <c r="U6191" s="35"/>
      <c r="V6191" s="494"/>
      <c r="W6191" s="35"/>
      <c r="X6191" s="34"/>
      <c r="Y6191" s="34"/>
    </row>
    <row r="6192" s="3" customFormat="1" customHeight="1" spans="1:25">
      <c r="A6192" s="11" t="s">
        <v>25</v>
      </c>
      <c r="B6192" s="35" t="s">
        <v>7422</v>
      </c>
      <c r="C6192" s="35" t="s">
        <v>238</v>
      </c>
      <c r="D6192" s="35" t="s">
        <v>7585</v>
      </c>
      <c r="E6192" s="13" t="s">
        <v>7825</v>
      </c>
      <c r="F6192" s="11" t="s">
        <v>7826</v>
      </c>
      <c r="G6192" s="11" t="s">
        <v>31</v>
      </c>
      <c r="H6192" s="31" t="s">
        <v>7923</v>
      </c>
      <c r="I6192" s="30" t="e">
        <f>VLOOKUP(H6192,'合同高级查询数据-4月返'!A:A,1,FALSE)</f>
        <v>#N/A</v>
      </c>
      <c r="J6192" s="31" t="s">
        <v>33</v>
      </c>
      <c r="K6192" s="35" t="s">
        <v>7918</v>
      </c>
      <c r="L6192" s="35" t="s">
        <v>7919</v>
      </c>
      <c r="M6192" s="35" t="s">
        <v>7920</v>
      </c>
      <c r="N6192" s="34">
        <v>45008</v>
      </c>
      <c r="O6192" s="35" t="s">
        <v>179</v>
      </c>
      <c r="P6192" s="465">
        <v>0</v>
      </c>
      <c r="Q6192" s="465">
        <v>0</v>
      </c>
      <c r="R6192" s="465">
        <f t="shared" si="185"/>
        <v>0</v>
      </c>
      <c r="S6192" s="31">
        <v>202304</v>
      </c>
      <c r="T6192" s="30" t="s">
        <v>7926</v>
      </c>
      <c r="U6192" s="35"/>
      <c r="V6192" s="494"/>
      <c r="W6192" s="35"/>
      <c r="X6192" s="34"/>
      <c r="Y6192" s="34"/>
    </row>
    <row r="6193" s="3" customFormat="1" customHeight="1" spans="1:25">
      <c r="A6193" s="11" t="s">
        <v>25</v>
      </c>
      <c r="B6193" s="35" t="s">
        <v>7422</v>
      </c>
      <c r="C6193" s="35" t="s">
        <v>238</v>
      </c>
      <c r="D6193" s="35" t="s">
        <v>7585</v>
      </c>
      <c r="E6193" s="13" t="s">
        <v>7825</v>
      </c>
      <c r="F6193" s="11" t="s">
        <v>7826</v>
      </c>
      <c r="G6193" s="11" t="s">
        <v>88</v>
      </c>
      <c r="H6193" s="31" t="s">
        <v>7917</v>
      </c>
      <c r="I6193" s="30" t="e">
        <f>VLOOKUP(H6193,'合同高级查询数据-4月返'!A:A,1,FALSE)</f>
        <v>#N/A</v>
      </c>
      <c r="J6193" s="31" t="s">
        <v>162</v>
      </c>
      <c r="K6193" s="35" t="s">
        <v>7918</v>
      </c>
      <c r="L6193" s="35" t="s">
        <v>7919</v>
      </c>
      <c r="M6193" s="35" t="s">
        <v>7920</v>
      </c>
      <c r="N6193" s="34">
        <v>44805</v>
      </c>
      <c r="O6193" s="35" t="s">
        <v>3012</v>
      </c>
      <c r="P6193" s="488">
        <v>5000</v>
      </c>
      <c r="Q6193" s="488">
        <v>3</v>
      </c>
      <c r="R6193" s="465">
        <f t="shared" si="185"/>
        <v>15000</v>
      </c>
      <c r="S6193" s="31">
        <v>202304</v>
      </c>
      <c r="T6193" s="30" t="s">
        <v>7927</v>
      </c>
      <c r="U6193" s="35"/>
      <c r="V6193" s="494"/>
      <c r="W6193" s="35"/>
      <c r="X6193" s="34"/>
      <c r="Y6193" s="34"/>
    </row>
    <row r="6194" s="3" customFormat="1" customHeight="1" spans="1:25">
      <c r="A6194" s="11" t="s">
        <v>25</v>
      </c>
      <c r="B6194" s="35" t="s">
        <v>7422</v>
      </c>
      <c r="C6194" s="35" t="s">
        <v>238</v>
      </c>
      <c r="D6194" s="35" t="s">
        <v>7585</v>
      </c>
      <c r="E6194" s="13" t="s">
        <v>7825</v>
      </c>
      <c r="F6194" s="11" t="s">
        <v>7826</v>
      </c>
      <c r="G6194" s="11" t="s">
        <v>88</v>
      </c>
      <c r="H6194" s="31" t="s">
        <v>7923</v>
      </c>
      <c r="I6194" s="30" t="e">
        <f>VLOOKUP(H6194,'合同高级查询数据-4月返'!A:A,1,FALSE)</f>
        <v>#N/A</v>
      </c>
      <c r="J6194" s="31" t="s">
        <v>162</v>
      </c>
      <c r="K6194" s="35" t="s">
        <v>7918</v>
      </c>
      <c r="L6194" s="35" t="s">
        <v>7919</v>
      </c>
      <c r="M6194" s="35" t="s">
        <v>7920</v>
      </c>
      <c r="N6194" s="34">
        <v>45008</v>
      </c>
      <c r="O6194" s="35" t="s">
        <v>702</v>
      </c>
      <c r="P6194" s="488">
        <v>5000</v>
      </c>
      <c r="Q6194" s="488">
        <v>3</v>
      </c>
      <c r="R6194" s="465">
        <f t="shared" si="185"/>
        <v>15000</v>
      </c>
      <c r="S6194" s="31">
        <v>202304</v>
      </c>
      <c r="T6194" s="30" t="s">
        <v>7928</v>
      </c>
      <c r="U6194" s="35"/>
      <c r="V6194" s="494"/>
      <c r="W6194" s="35"/>
      <c r="X6194" s="34"/>
      <c r="Y6194" s="34"/>
    </row>
    <row r="6195" s="5" customFormat="1" customHeight="1" spans="1:25">
      <c r="A6195" s="24" t="s">
        <v>25</v>
      </c>
      <c r="B6195" s="22" t="s">
        <v>7422</v>
      </c>
      <c r="C6195" s="22" t="s">
        <v>50</v>
      </c>
      <c r="D6195" s="22" t="s">
        <v>7655</v>
      </c>
      <c r="E6195" s="23" t="s">
        <v>7825</v>
      </c>
      <c r="F6195" s="24" t="s">
        <v>7826</v>
      </c>
      <c r="G6195" s="24" t="s">
        <v>31</v>
      </c>
      <c r="H6195" s="47" t="s">
        <v>7929</v>
      </c>
      <c r="I6195" s="46" t="e">
        <f>VLOOKUP(H6195,'合同高级查询数据-4月返'!A:A,1,FALSE)</f>
        <v>#N/A</v>
      </c>
      <c r="J6195" s="47" t="s">
        <v>33</v>
      </c>
      <c r="K6195" s="22" t="s">
        <v>51</v>
      </c>
      <c r="L6195" s="22" t="s">
        <v>7930</v>
      </c>
      <c r="M6195" s="22" t="s">
        <v>7931</v>
      </c>
      <c r="N6195" s="50">
        <v>44866</v>
      </c>
      <c r="O6195" s="22" t="s">
        <v>37</v>
      </c>
      <c r="P6195" s="486">
        <v>0</v>
      </c>
      <c r="Q6195" s="486">
        <v>320</v>
      </c>
      <c r="R6195" s="52">
        <f t="shared" si="185"/>
        <v>0</v>
      </c>
      <c r="S6195" s="47">
        <v>202304</v>
      </c>
      <c r="T6195" s="46" t="s">
        <v>7932</v>
      </c>
      <c r="U6195" s="22"/>
      <c r="V6195" s="72"/>
      <c r="W6195" s="22"/>
      <c r="X6195" s="50">
        <v>44866</v>
      </c>
      <c r="Y6195" s="50">
        <v>45230</v>
      </c>
    </row>
    <row r="6196" s="5" customFormat="1" customHeight="1" spans="1:25">
      <c r="A6196" s="24" t="s">
        <v>25</v>
      </c>
      <c r="B6196" s="22" t="s">
        <v>7422</v>
      </c>
      <c r="C6196" s="22" t="s">
        <v>50</v>
      </c>
      <c r="D6196" s="22" t="s">
        <v>7655</v>
      </c>
      <c r="E6196" s="23" t="s">
        <v>7825</v>
      </c>
      <c r="F6196" s="24" t="s">
        <v>7826</v>
      </c>
      <c r="G6196" s="24" t="s">
        <v>31</v>
      </c>
      <c r="H6196" s="47" t="s">
        <v>7929</v>
      </c>
      <c r="I6196" s="46" t="e">
        <f>VLOOKUP(H6196,'合同高级查询数据-4月返'!A:A,1,FALSE)</f>
        <v>#N/A</v>
      </c>
      <c r="J6196" s="47" t="s">
        <v>33</v>
      </c>
      <c r="K6196" s="22" t="s">
        <v>51</v>
      </c>
      <c r="L6196" s="22" t="s">
        <v>7930</v>
      </c>
      <c r="M6196" s="22" t="s">
        <v>7931</v>
      </c>
      <c r="N6196" s="50"/>
      <c r="O6196" s="72" t="s">
        <v>179</v>
      </c>
      <c r="P6196" s="486">
        <v>0</v>
      </c>
      <c r="Q6196" s="486">
        <v>0</v>
      </c>
      <c r="R6196" s="52">
        <f t="shared" si="185"/>
        <v>0</v>
      </c>
      <c r="S6196" s="47">
        <v>202304</v>
      </c>
      <c r="T6196" s="46" t="s">
        <v>7925</v>
      </c>
      <c r="U6196" s="22"/>
      <c r="V6196" s="72"/>
      <c r="W6196" s="22"/>
      <c r="X6196" s="50">
        <v>44866</v>
      </c>
      <c r="Y6196" s="50">
        <v>45230</v>
      </c>
    </row>
    <row r="6197" s="5" customFormat="1" customHeight="1" spans="1:25">
      <c r="A6197" s="24" t="s">
        <v>25</v>
      </c>
      <c r="B6197" s="22" t="s">
        <v>7422</v>
      </c>
      <c r="C6197" s="22" t="s">
        <v>50</v>
      </c>
      <c r="D6197" s="22" t="s">
        <v>7655</v>
      </c>
      <c r="E6197" s="23" t="s">
        <v>7825</v>
      </c>
      <c r="F6197" s="24" t="s">
        <v>7826</v>
      </c>
      <c r="G6197" s="24" t="s">
        <v>88</v>
      </c>
      <c r="H6197" s="47" t="s">
        <v>7929</v>
      </c>
      <c r="I6197" s="46" t="e">
        <f>VLOOKUP(H6197,'合同高级查询数据-4月返'!A:A,1,FALSE)</f>
        <v>#N/A</v>
      </c>
      <c r="J6197" s="47" t="s">
        <v>162</v>
      </c>
      <c r="K6197" s="22" t="s">
        <v>51</v>
      </c>
      <c r="L6197" s="22" t="s">
        <v>7930</v>
      </c>
      <c r="M6197" s="22" t="s">
        <v>7931</v>
      </c>
      <c r="N6197" s="50">
        <v>44866</v>
      </c>
      <c r="O6197" s="22" t="s">
        <v>92</v>
      </c>
      <c r="P6197" s="486">
        <v>4800</v>
      </c>
      <c r="Q6197" s="486">
        <v>6</v>
      </c>
      <c r="R6197" s="52">
        <f t="shared" si="185"/>
        <v>28800</v>
      </c>
      <c r="S6197" s="47">
        <v>202304</v>
      </c>
      <c r="T6197" s="46" t="s">
        <v>7933</v>
      </c>
      <c r="U6197" s="22"/>
      <c r="V6197" s="72"/>
      <c r="W6197" s="22"/>
      <c r="X6197" s="50">
        <v>44866</v>
      </c>
      <c r="Y6197" s="50">
        <v>45230</v>
      </c>
    </row>
    <row r="6198" s="3" customFormat="1" customHeight="1" spans="1:25">
      <c r="A6198" s="11" t="s">
        <v>25</v>
      </c>
      <c r="B6198" s="35" t="s">
        <v>7422</v>
      </c>
      <c r="C6198" s="35" t="s">
        <v>238</v>
      </c>
      <c r="D6198" s="35" t="s">
        <v>7585</v>
      </c>
      <c r="E6198" s="13" t="s">
        <v>7825</v>
      </c>
      <c r="F6198" s="11" t="s">
        <v>7826</v>
      </c>
      <c r="G6198" s="11" t="s">
        <v>31</v>
      </c>
      <c r="H6198" s="31" t="s">
        <v>7923</v>
      </c>
      <c r="I6198" s="30" t="e">
        <f>VLOOKUP(H6198,'合同高级查询数据-4月返'!A:A,1,FALSE)</f>
        <v>#N/A</v>
      </c>
      <c r="J6198" s="31" t="s">
        <v>33</v>
      </c>
      <c r="K6198" s="35" t="s">
        <v>7918</v>
      </c>
      <c r="L6198" s="35" t="s">
        <v>7919</v>
      </c>
      <c r="M6198" s="35" t="s">
        <v>7920</v>
      </c>
      <c r="N6198" s="34">
        <v>45008</v>
      </c>
      <c r="O6198" s="35" t="s">
        <v>37</v>
      </c>
      <c r="P6198" s="488">
        <v>50</v>
      </c>
      <c r="Q6198" s="488">
        <v>128</v>
      </c>
      <c r="R6198" s="465">
        <f>ROUND(P6198*Q6198*9/31,2)</f>
        <v>1858.06</v>
      </c>
      <c r="S6198" s="31">
        <v>202303</v>
      </c>
      <c r="T6198" s="30" t="s">
        <v>7934</v>
      </c>
      <c r="U6198" s="35"/>
      <c r="V6198" s="494"/>
      <c r="W6198" s="35"/>
      <c r="X6198" s="34"/>
      <c r="Y6198" s="34"/>
    </row>
    <row r="6199" s="5" customFormat="1" customHeight="1" spans="1:25">
      <c r="A6199" s="21" t="s">
        <v>25</v>
      </c>
      <c r="B6199" s="24" t="s">
        <v>7422</v>
      </c>
      <c r="C6199" s="24" t="s">
        <v>3237</v>
      </c>
      <c r="D6199" s="22" t="s">
        <v>7585</v>
      </c>
      <c r="E6199" s="46" t="s">
        <v>7935</v>
      </c>
      <c r="F6199" s="22" t="s">
        <v>7936</v>
      </c>
      <c r="G6199" s="24" t="s">
        <v>31</v>
      </c>
      <c r="H6199" s="22" t="s">
        <v>7937</v>
      </c>
      <c r="I6199" s="46" t="e">
        <f>VLOOKUP(H6199,'合同高级查询数据-4月返'!A:A,1,FALSE)</f>
        <v>#N/A</v>
      </c>
      <c r="J6199" s="47" t="s">
        <v>33</v>
      </c>
      <c r="K6199" s="22" t="s">
        <v>7622</v>
      </c>
      <c r="L6199" s="22" t="s">
        <v>7938</v>
      </c>
      <c r="M6199" s="22" t="s">
        <v>7939</v>
      </c>
      <c r="N6199" s="50">
        <v>43709</v>
      </c>
      <c r="O6199" s="22" t="s">
        <v>37</v>
      </c>
      <c r="P6199" s="486">
        <v>0</v>
      </c>
      <c r="Q6199" s="486">
        <v>576</v>
      </c>
      <c r="R6199" s="52">
        <f t="shared" ref="R6199:R6262" si="186">ROUND(P6199*Q6199,2)</f>
        <v>0</v>
      </c>
      <c r="S6199" s="47">
        <v>202304</v>
      </c>
      <c r="T6199" s="123" t="s">
        <v>7940</v>
      </c>
      <c r="U6199" s="48"/>
      <c r="V6199" s="48"/>
      <c r="W6199" s="48"/>
      <c r="X6199" s="50">
        <v>44197</v>
      </c>
      <c r="Y6199" s="50">
        <v>44561</v>
      </c>
    </row>
    <row r="6200" s="5" customFormat="1" customHeight="1" spans="1:25">
      <c r="A6200" s="21" t="s">
        <v>25</v>
      </c>
      <c r="B6200" s="24" t="s">
        <v>7422</v>
      </c>
      <c r="C6200" s="24" t="s">
        <v>3237</v>
      </c>
      <c r="D6200" s="22" t="s">
        <v>7585</v>
      </c>
      <c r="E6200" s="46" t="s">
        <v>7935</v>
      </c>
      <c r="F6200" s="22" t="s">
        <v>7936</v>
      </c>
      <c r="G6200" s="24" t="s">
        <v>31</v>
      </c>
      <c r="H6200" s="22" t="s">
        <v>7937</v>
      </c>
      <c r="I6200" s="46" t="e">
        <f>VLOOKUP(H6200,'合同高级查询数据-4月返'!A:A,1,FALSE)</f>
        <v>#N/A</v>
      </c>
      <c r="J6200" s="47" t="s">
        <v>33</v>
      </c>
      <c r="K6200" s="22" t="s">
        <v>7622</v>
      </c>
      <c r="L6200" s="22" t="s">
        <v>7938</v>
      </c>
      <c r="M6200" s="22" t="s">
        <v>7939</v>
      </c>
      <c r="N6200" s="50"/>
      <c r="O6200" s="22" t="s">
        <v>179</v>
      </c>
      <c r="P6200" s="486">
        <v>0</v>
      </c>
      <c r="Q6200" s="70">
        <v>0</v>
      </c>
      <c r="R6200" s="52">
        <f t="shared" si="186"/>
        <v>0</v>
      </c>
      <c r="S6200" s="47">
        <v>202304</v>
      </c>
      <c r="T6200" s="123" t="s">
        <v>7941</v>
      </c>
      <c r="U6200" s="48"/>
      <c r="V6200" s="48"/>
      <c r="W6200" s="48"/>
      <c r="X6200" s="50">
        <v>44197</v>
      </c>
      <c r="Y6200" s="50">
        <v>44561</v>
      </c>
    </row>
    <row r="6201" s="5" customFormat="1" customHeight="1" spans="1:25">
      <c r="A6201" s="21" t="s">
        <v>25</v>
      </c>
      <c r="B6201" s="96" t="s">
        <v>7422</v>
      </c>
      <c r="C6201" s="22" t="s">
        <v>3237</v>
      </c>
      <c r="D6201" s="22" t="s">
        <v>7585</v>
      </c>
      <c r="E6201" s="46" t="s">
        <v>7935</v>
      </c>
      <c r="F6201" s="22" t="s">
        <v>7936</v>
      </c>
      <c r="G6201" s="24" t="s">
        <v>31</v>
      </c>
      <c r="H6201" s="25" t="s">
        <v>7937</v>
      </c>
      <c r="I6201" s="46" t="e">
        <f>VLOOKUP(H6201,'合同高级查询数据-4月返'!A:A,1,FALSE)</f>
        <v>#N/A</v>
      </c>
      <c r="J6201" s="47" t="s">
        <v>33</v>
      </c>
      <c r="K6201" s="24" t="s">
        <v>7622</v>
      </c>
      <c r="L6201" s="109" t="s">
        <v>7942</v>
      </c>
      <c r="M6201" s="49" t="s">
        <v>7943</v>
      </c>
      <c r="N6201" s="50">
        <v>44228</v>
      </c>
      <c r="O6201" s="22" t="s">
        <v>37</v>
      </c>
      <c r="P6201" s="52">
        <v>0</v>
      </c>
      <c r="Q6201" s="70">
        <v>256</v>
      </c>
      <c r="R6201" s="52">
        <f t="shared" si="186"/>
        <v>0</v>
      </c>
      <c r="S6201" s="47">
        <v>202304</v>
      </c>
      <c r="T6201" s="123" t="s">
        <v>7944</v>
      </c>
      <c r="U6201" s="97"/>
      <c r="V6201" s="453"/>
      <c r="W6201" s="453"/>
      <c r="X6201" s="50">
        <v>44197</v>
      </c>
      <c r="Y6201" s="50">
        <v>44561</v>
      </c>
    </row>
    <row r="6202" s="5" customFormat="1" customHeight="1" spans="1:25">
      <c r="A6202" s="21" t="s">
        <v>25</v>
      </c>
      <c r="B6202" s="24" t="s">
        <v>7422</v>
      </c>
      <c r="C6202" s="24" t="s">
        <v>3237</v>
      </c>
      <c r="D6202" s="22" t="s">
        <v>7585</v>
      </c>
      <c r="E6202" s="46" t="s">
        <v>7935</v>
      </c>
      <c r="F6202" s="22" t="s">
        <v>7936</v>
      </c>
      <c r="G6202" s="24" t="s">
        <v>88</v>
      </c>
      <c r="H6202" s="22" t="s">
        <v>7937</v>
      </c>
      <c r="I6202" s="46" t="e">
        <f>VLOOKUP(H6202,'合同高级查询数据-4月返'!A:A,1,FALSE)</f>
        <v>#N/A</v>
      </c>
      <c r="J6202" s="47" t="s">
        <v>162</v>
      </c>
      <c r="K6202" s="22" t="s">
        <v>7622</v>
      </c>
      <c r="L6202" s="22" t="s">
        <v>7938</v>
      </c>
      <c r="M6202" s="22" t="s">
        <v>7943</v>
      </c>
      <c r="N6202" s="50">
        <v>43709</v>
      </c>
      <c r="O6202" s="22" t="s">
        <v>702</v>
      </c>
      <c r="P6202" s="486">
        <v>4500</v>
      </c>
      <c r="Q6202" s="486">
        <v>5</v>
      </c>
      <c r="R6202" s="486">
        <f t="shared" si="186"/>
        <v>22500</v>
      </c>
      <c r="S6202" s="47">
        <v>202304</v>
      </c>
      <c r="T6202" s="123" t="s">
        <v>7945</v>
      </c>
      <c r="U6202" s="48"/>
      <c r="V6202" s="48"/>
      <c r="W6202" s="48"/>
      <c r="X6202" s="50">
        <v>44197</v>
      </c>
      <c r="Y6202" s="50">
        <v>44561</v>
      </c>
    </row>
    <row r="6203" s="5" customFormat="1" customHeight="1" spans="1:25">
      <c r="A6203" s="21" t="s">
        <v>25</v>
      </c>
      <c r="B6203" s="24" t="s">
        <v>7422</v>
      </c>
      <c r="C6203" s="24" t="s">
        <v>3237</v>
      </c>
      <c r="D6203" s="22" t="s">
        <v>7585</v>
      </c>
      <c r="E6203" s="46" t="s">
        <v>7935</v>
      </c>
      <c r="F6203" s="22" t="s">
        <v>7936</v>
      </c>
      <c r="G6203" s="24" t="s">
        <v>88</v>
      </c>
      <c r="H6203" s="22" t="s">
        <v>7937</v>
      </c>
      <c r="I6203" s="46" t="e">
        <f>VLOOKUP(H6203,'合同高级查询数据-4月返'!A:A,1,FALSE)</f>
        <v>#N/A</v>
      </c>
      <c r="J6203" s="47" t="s">
        <v>162</v>
      </c>
      <c r="K6203" s="22" t="s">
        <v>7622</v>
      </c>
      <c r="L6203" s="22" t="s">
        <v>7938</v>
      </c>
      <c r="M6203" s="22" t="s">
        <v>7943</v>
      </c>
      <c r="N6203" s="50">
        <v>43800</v>
      </c>
      <c r="O6203" s="22" t="s">
        <v>702</v>
      </c>
      <c r="P6203" s="486">
        <v>4500</v>
      </c>
      <c r="Q6203" s="486">
        <v>3</v>
      </c>
      <c r="R6203" s="486">
        <f t="shared" si="186"/>
        <v>13500</v>
      </c>
      <c r="S6203" s="47">
        <v>202304</v>
      </c>
      <c r="T6203" s="123" t="s">
        <v>7946</v>
      </c>
      <c r="U6203" s="48"/>
      <c r="V6203" s="48"/>
      <c r="W6203" s="48"/>
      <c r="X6203" s="50">
        <v>44197</v>
      </c>
      <c r="Y6203" s="50">
        <v>44561</v>
      </c>
    </row>
    <row r="6204" s="5" customFormat="1" customHeight="1" spans="1:25">
      <c r="A6204" s="21" t="s">
        <v>25</v>
      </c>
      <c r="B6204" s="24" t="s">
        <v>7422</v>
      </c>
      <c r="C6204" s="24" t="s">
        <v>3237</v>
      </c>
      <c r="D6204" s="22" t="s">
        <v>7585</v>
      </c>
      <c r="E6204" s="46" t="s">
        <v>7935</v>
      </c>
      <c r="F6204" s="22" t="s">
        <v>7936</v>
      </c>
      <c r="G6204" s="24" t="s">
        <v>88</v>
      </c>
      <c r="H6204" s="22" t="s">
        <v>7937</v>
      </c>
      <c r="I6204" s="46" t="e">
        <f>VLOOKUP(H6204,'合同高级查询数据-4月返'!A:A,1,FALSE)</f>
        <v>#N/A</v>
      </c>
      <c r="J6204" s="47" t="s">
        <v>162</v>
      </c>
      <c r="K6204" s="22" t="s">
        <v>7622</v>
      </c>
      <c r="L6204" s="22" t="s">
        <v>7938</v>
      </c>
      <c r="M6204" s="22" t="s">
        <v>7943</v>
      </c>
      <c r="N6204" s="50">
        <v>44232</v>
      </c>
      <c r="O6204" s="22" t="s">
        <v>702</v>
      </c>
      <c r="P6204" s="486">
        <v>4500</v>
      </c>
      <c r="Q6204" s="486">
        <v>-1</v>
      </c>
      <c r="R6204" s="486">
        <f t="shared" si="186"/>
        <v>-4500</v>
      </c>
      <c r="S6204" s="47">
        <v>202304</v>
      </c>
      <c r="T6204" s="123" t="s">
        <v>7947</v>
      </c>
      <c r="U6204" s="48"/>
      <c r="V6204" s="48"/>
      <c r="W6204" s="48"/>
      <c r="X6204" s="50">
        <v>44197</v>
      </c>
      <c r="Y6204" s="50">
        <v>44561</v>
      </c>
    </row>
    <row r="6205" s="5" customFormat="1" customHeight="1" spans="1:25">
      <c r="A6205" s="21" t="s">
        <v>25</v>
      </c>
      <c r="B6205" s="96" t="s">
        <v>7422</v>
      </c>
      <c r="C6205" s="22" t="s">
        <v>3237</v>
      </c>
      <c r="D6205" s="22" t="s">
        <v>7585</v>
      </c>
      <c r="E6205" s="46" t="s">
        <v>7935</v>
      </c>
      <c r="F6205" s="22" t="s">
        <v>7936</v>
      </c>
      <c r="G6205" s="24" t="s">
        <v>88</v>
      </c>
      <c r="H6205" s="25" t="s">
        <v>7937</v>
      </c>
      <c r="I6205" s="46" t="e">
        <f>VLOOKUP(H6205,'合同高级查询数据-4月返'!A:A,1,FALSE)</f>
        <v>#N/A</v>
      </c>
      <c r="J6205" s="47" t="s">
        <v>162</v>
      </c>
      <c r="K6205" s="24" t="s">
        <v>7622</v>
      </c>
      <c r="L6205" s="109" t="s">
        <v>7942</v>
      </c>
      <c r="M6205" s="49" t="s">
        <v>7943</v>
      </c>
      <c r="N6205" s="50">
        <v>44228</v>
      </c>
      <c r="O6205" s="22" t="s">
        <v>702</v>
      </c>
      <c r="P6205" s="52">
        <v>4500</v>
      </c>
      <c r="Q6205" s="70">
        <v>4</v>
      </c>
      <c r="R6205" s="52">
        <f t="shared" si="186"/>
        <v>18000</v>
      </c>
      <c r="S6205" s="47">
        <v>202304</v>
      </c>
      <c r="T6205" s="123" t="s">
        <v>7948</v>
      </c>
      <c r="U6205" s="97"/>
      <c r="V6205" s="453"/>
      <c r="W6205" s="453"/>
      <c r="X6205" s="50">
        <v>44197</v>
      </c>
      <c r="Y6205" s="50">
        <v>44561</v>
      </c>
    </row>
    <row r="6206" s="5" customFormat="1" customHeight="1" spans="1:25">
      <c r="A6206" s="21" t="s">
        <v>25</v>
      </c>
      <c r="B6206" s="24" t="s">
        <v>7422</v>
      </c>
      <c r="C6206" s="24" t="s">
        <v>3237</v>
      </c>
      <c r="D6206" s="22" t="s">
        <v>7585</v>
      </c>
      <c r="E6206" s="46" t="s">
        <v>7935</v>
      </c>
      <c r="F6206" s="22" t="s">
        <v>7936</v>
      </c>
      <c r="G6206" s="24" t="s">
        <v>88</v>
      </c>
      <c r="H6206" s="22" t="s">
        <v>7937</v>
      </c>
      <c r="I6206" s="46" t="e">
        <f>VLOOKUP(H6206,'合同高级查询数据-4月返'!A:A,1,FALSE)</f>
        <v>#N/A</v>
      </c>
      <c r="J6206" s="47" t="s">
        <v>162</v>
      </c>
      <c r="K6206" s="22" t="s">
        <v>7622</v>
      </c>
      <c r="L6206" s="22" t="s">
        <v>7938</v>
      </c>
      <c r="M6206" s="49" t="s">
        <v>7943</v>
      </c>
      <c r="N6206" s="50">
        <v>44469</v>
      </c>
      <c r="O6206" s="22" t="s">
        <v>702</v>
      </c>
      <c r="P6206" s="52">
        <v>4500</v>
      </c>
      <c r="Q6206" s="70">
        <v>-7</v>
      </c>
      <c r="R6206" s="52">
        <f t="shared" si="186"/>
        <v>-31500</v>
      </c>
      <c r="S6206" s="47">
        <v>202304</v>
      </c>
      <c r="T6206" s="123" t="s">
        <v>7949</v>
      </c>
      <c r="U6206" s="97"/>
      <c r="V6206" s="453"/>
      <c r="W6206" s="453"/>
      <c r="X6206" s="50">
        <v>44197</v>
      </c>
      <c r="Y6206" s="50">
        <v>44561</v>
      </c>
    </row>
    <row r="6207" s="5" customFormat="1" customHeight="1" spans="1:25">
      <c r="A6207" s="21" t="s">
        <v>25</v>
      </c>
      <c r="B6207" s="96" t="s">
        <v>7422</v>
      </c>
      <c r="C6207" s="22" t="s">
        <v>3237</v>
      </c>
      <c r="D6207" s="22" t="s">
        <v>7585</v>
      </c>
      <c r="E6207" s="46" t="s">
        <v>7935</v>
      </c>
      <c r="F6207" s="22" t="s">
        <v>7936</v>
      </c>
      <c r="G6207" s="24" t="s">
        <v>88</v>
      </c>
      <c r="H6207" s="25" t="s">
        <v>7937</v>
      </c>
      <c r="I6207" s="46" t="e">
        <f>VLOOKUP(H6207,'合同高级查询数据-4月返'!A:A,1,FALSE)</f>
        <v>#N/A</v>
      </c>
      <c r="J6207" s="47" t="s">
        <v>162</v>
      </c>
      <c r="K6207" s="24" t="s">
        <v>7622</v>
      </c>
      <c r="L6207" s="109" t="s">
        <v>7942</v>
      </c>
      <c r="M6207" s="49" t="s">
        <v>7943</v>
      </c>
      <c r="N6207" s="50">
        <v>44469</v>
      </c>
      <c r="O6207" s="22" t="s">
        <v>702</v>
      </c>
      <c r="P6207" s="52">
        <v>4500</v>
      </c>
      <c r="Q6207" s="70">
        <v>-4</v>
      </c>
      <c r="R6207" s="52">
        <f t="shared" si="186"/>
        <v>-18000</v>
      </c>
      <c r="S6207" s="47">
        <v>202304</v>
      </c>
      <c r="T6207" s="123" t="s">
        <v>7949</v>
      </c>
      <c r="U6207" s="97"/>
      <c r="V6207" s="453"/>
      <c r="W6207" s="453"/>
      <c r="X6207" s="50">
        <v>44197</v>
      </c>
      <c r="Y6207" s="50">
        <v>44561</v>
      </c>
    </row>
    <row r="6208" s="5" customFormat="1" customHeight="1" spans="1:25">
      <c r="A6208" s="24" t="s">
        <v>152</v>
      </c>
      <c r="B6208" s="24" t="s">
        <v>7422</v>
      </c>
      <c r="C6208" s="24" t="s">
        <v>3237</v>
      </c>
      <c r="D6208" s="22" t="s">
        <v>7585</v>
      </c>
      <c r="E6208" s="46" t="s">
        <v>7935</v>
      </c>
      <c r="F6208" s="22" t="s">
        <v>7936</v>
      </c>
      <c r="G6208" s="24" t="s">
        <v>31</v>
      </c>
      <c r="H6208" s="22" t="s">
        <v>7950</v>
      </c>
      <c r="I6208" s="46" t="e">
        <f>VLOOKUP(H6208,'合同高级查询数据-4月返'!A:A,1,FALSE)</f>
        <v>#N/A</v>
      </c>
      <c r="J6208" s="47" t="s">
        <v>33</v>
      </c>
      <c r="K6208" s="22" t="s">
        <v>6391</v>
      </c>
      <c r="L6208" s="22" t="s">
        <v>7951</v>
      </c>
      <c r="M6208" s="22" t="s">
        <v>7952</v>
      </c>
      <c r="N6208" s="50">
        <v>43733</v>
      </c>
      <c r="O6208" s="22" t="s">
        <v>37</v>
      </c>
      <c r="P6208" s="486">
        <v>0</v>
      </c>
      <c r="Q6208" s="486">
        <v>288</v>
      </c>
      <c r="R6208" s="52">
        <f t="shared" si="186"/>
        <v>0</v>
      </c>
      <c r="S6208" s="47">
        <v>202304</v>
      </c>
      <c r="T6208" s="123" t="s">
        <v>7953</v>
      </c>
      <c r="U6208" s="48"/>
      <c r="V6208" s="48"/>
      <c r="W6208" s="48"/>
      <c r="X6208" s="50">
        <v>44197</v>
      </c>
      <c r="Y6208" s="50">
        <v>44255</v>
      </c>
    </row>
    <row r="6209" s="5" customFormat="1" customHeight="1" spans="1:25">
      <c r="A6209" s="24" t="s">
        <v>152</v>
      </c>
      <c r="B6209" s="24" t="s">
        <v>7422</v>
      </c>
      <c r="C6209" s="24" t="s">
        <v>3237</v>
      </c>
      <c r="D6209" s="22" t="s">
        <v>7585</v>
      </c>
      <c r="E6209" s="46" t="s">
        <v>7935</v>
      </c>
      <c r="F6209" s="22" t="s">
        <v>7936</v>
      </c>
      <c r="G6209" s="24" t="s">
        <v>31</v>
      </c>
      <c r="H6209" s="22" t="s">
        <v>7950</v>
      </c>
      <c r="I6209" s="46" t="e">
        <f>VLOOKUP(H6209,'合同高级查询数据-4月返'!A:A,1,FALSE)</f>
        <v>#N/A</v>
      </c>
      <c r="J6209" s="47" t="s">
        <v>33</v>
      </c>
      <c r="K6209" s="22" t="s">
        <v>6391</v>
      </c>
      <c r="L6209" s="22" t="s">
        <v>7951</v>
      </c>
      <c r="M6209" s="22" t="s">
        <v>7952</v>
      </c>
      <c r="N6209" s="50">
        <v>44255</v>
      </c>
      <c r="O6209" s="22" t="s">
        <v>37</v>
      </c>
      <c r="P6209" s="486">
        <v>0</v>
      </c>
      <c r="Q6209" s="486">
        <v>-288</v>
      </c>
      <c r="R6209" s="52">
        <f t="shared" si="186"/>
        <v>0</v>
      </c>
      <c r="S6209" s="47">
        <v>202304</v>
      </c>
      <c r="T6209" s="123" t="s">
        <v>7954</v>
      </c>
      <c r="U6209" s="48"/>
      <c r="V6209" s="48"/>
      <c r="W6209" s="48"/>
      <c r="X6209" s="50">
        <v>44197</v>
      </c>
      <c r="Y6209" s="50">
        <v>44255</v>
      </c>
    </row>
    <row r="6210" s="5" customFormat="1" customHeight="1" spans="1:25">
      <c r="A6210" s="24" t="s">
        <v>152</v>
      </c>
      <c r="B6210" s="24" t="s">
        <v>7422</v>
      </c>
      <c r="C6210" s="24" t="s">
        <v>3237</v>
      </c>
      <c r="D6210" s="22" t="s">
        <v>7585</v>
      </c>
      <c r="E6210" s="46" t="s">
        <v>7935</v>
      </c>
      <c r="F6210" s="22" t="s">
        <v>7936</v>
      </c>
      <c r="G6210" s="24" t="s">
        <v>31</v>
      </c>
      <c r="H6210" s="22" t="s">
        <v>7950</v>
      </c>
      <c r="I6210" s="46" t="e">
        <f>VLOOKUP(H6210,'合同高级查询数据-4月返'!A:A,1,FALSE)</f>
        <v>#N/A</v>
      </c>
      <c r="J6210" s="47" t="s">
        <v>33</v>
      </c>
      <c r="K6210" s="22" t="s">
        <v>6391</v>
      </c>
      <c r="L6210" s="22" t="s">
        <v>7951</v>
      </c>
      <c r="M6210" s="22" t="s">
        <v>7952</v>
      </c>
      <c r="N6210" s="50"/>
      <c r="O6210" s="22" t="s">
        <v>179</v>
      </c>
      <c r="P6210" s="486">
        <v>0</v>
      </c>
      <c r="Q6210" s="70">
        <v>0</v>
      </c>
      <c r="R6210" s="52">
        <f t="shared" si="186"/>
        <v>0</v>
      </c>
      <c r="S6210" s="47">
        <v>202304</v>
      </c>
      <c r="T6210" s="123" t="s">
        <v>7955</v>
      </c>
      <c r="U6210" s="48"/>
      <c r="V6210" s="48"/>
      <c r="W6210" s="48"/>
      <c r="X6210" s="50">
        <v>44197</v>
      </c>
      <c r="Y6210" s="50">
        <v>44255</v>
      </c>
    </row>
    <row r="6211" s="5" customFormat="1" customHeight="1" spans="1:25">
      <c r="A6211" s="24" t="s">
        <v>152</v>
      </c>
      <c r="B6211" s="24" t="s">
        <v>7422</v>
      </c>
      <c r="C6211" s="24" t="s">
        <v>3237</v>
      </c>
      <c r="D6211" s="22" t="s">
        <v>7585</v>
      </c>
      <c r="E6211" s="46" t="s">
        <v>7935</v>
      </c>
      <c r="F6211" s="22" t="s">
        <v>7936</v>
      </c>
      <c r="G6211" s="24" t="s">
        <v>88</v>
      </c>
      <c r="H6211" s="22" t="s">
        <v>7950</v>
      </c>
      <c r="I6211" s="46" t="e">
        <f>VLOOKUP(H6211,'合同高级查询数据-4月返'!A:A,1,FALSE)</f>
        <v>#N/A</v>
      </c>
      <c r="J6211" s="47" t="s">
        <v>162</v>
      </c>
      <c r="K6211" s="22" t="s">
        <v>6391</v>
      </c>
      <c r="L6211" s="22" t="s">
        <v>7951</v>
      </c>
      <c r="M6211" s="22" t="s">
        <v>7952</v>
      </c>
      <c r="N6211" s="50">
        <v>43733</v>
      </c>
      <c r="O6211" s="22" t="s">
        <v>702</v>
      </c>
      <c r="P6211" s="486">
        <v>4500</v>
      </c>
      <c r="Q6211" s="486">
        <v>5</v>
      </c>
      <c r="R6211" s="486">
        <f t="shared" si="186"/>
        <v>22500</v>
      </c>
      <c r="S6211" s="47">
        <v>202304</v>
      </c>
      <c r="T6211" s="123" t="s">
        <v>7956</v>
      </c>
      <c r="U6211" s="48"/>
      <c r="V6211" s="48"/>
      <c r="W6211" s="48"/>
      <c r="X6211" s="50">
        <v>44197</v>
      </c>
      <c r="Y6211" s="50">
        <v>44255</v>
      </c>
    </row>
    <row r="6212" s="5" customFormat="1" customHeight="1" spans="1:25">
      <c r="A6212" s="24" t="s">
        <v>152</v>
      </c>
      <c r="B6212" s="24" t="s">
        <v>7422</v>
      </c>
      <c r="C6212" s="24" t="s">
        <v>3237</v>
      </c>
      <c r="D6212" s="22" t="s">
        <v>7585</v>
      </c>
      <c r="E6212" s="46" t="s">
        <v>7935</v>
      </c>
      <c r="F6212" s="22" t="s">
        <v>7936</v>
      </c>
      <c r="G6212" s="24" t="s">
        <v>88</v>
      </c>
      <c r="H6212" s="22" t="s">
        <v>7950</v>
      </c>
      <c r="I6212" s="46" t="e">
        <f>VLOOKUP(H6212,'合同高级查询数据-4月返'!A:A,1,FALSE)</f>
        <v>#N/A</v>
      </c>
      <c r="J6212" s="47" t="s">
        <v>162</v>
      </c>
      <c r="K6212" s="22" t="s">
        <v>6391</v>
      </c>
      <c r="L6212" s="22" t="s">
        <v>7951</v>
      </c>
      <c r="M6212" s="22" t="s">
        <v>7952</v>
      </c>
      <c r="N6212" s="50">
        <v>44255</v>
      </c>
      <c r="O6212" s="22" t="s">
        <v>702</v>
      </c>
      <c r="P6212" s="486">
        <v>4500</v>
      </c>
      <c r="Q6212" s="486">
        <v>-5</v>
      </c>
      <c r="R6212" s="486">
        <f t="shared" si="186"/>
        <v>-22500</v>
      </c>
      <c r="S6212" s="47">
        <v>202304</v>
      </c>
      <c r="T6212" s="123" t="s">
        <v>7957</v>
      </c>
      <c r="U6212" s="48"/>
      <c r="V6212" s="48"/>
      <c r="W6212" s="48"/>
      <c r="X6212" s="50">
        <v>44197</v>
      </c>
      <c r="Y6212" s="50">
        <v>44255</v>
      </c>
    </row>
    <row r="6213" s="5" customFormat="1" customHeight="1" spans="1:25">
      <c r="A6213" s="24" t="s">
        <v>152</v>
      </c>
      <c r="B6213" s="24" t="s">
        <v>7422</v>
      </c>
      <c r="C6213" s="24" t="s">
        <v>3237</v>
      </c>
      <c r="D6213" s="22" t="s">
        <v>7585</v>
      </c>
      <c r="E6213" s="46" t="s">
        <v>7935</v>
      </c>
      <c r="F6213" s="22" t="s">
        <v>7936</v>
      </c>
      <c r="G6213" s="24" t="s">
        <v>31</v>
      </c>
      <c r="H6213" s="22" t="s">
        <v>7950</v>
      </c>
      <c r="I6213" s="46" t="e">
        <f>VLOOKUP(H6213,'合同高级查询数据-4月返'!A:A,1,FALSE)</f>
        <v>#N/A</v>
      </c>
      <c r="J6213" s="47" t="s">
        <v>33</v>
      </c>
      <c r="K6213" s="22" t="s">
        <v>7958</v>
      </c>
      <c r="L6213" s="22" t="s">
        <v>7959</v>
      </c>
      <c r="M6213" s="22" t="s">
        <v>7960</v>
      </c>
      <c r="N6213" s="50">
        <v>43952</v>
      </c>
      <c r="O6213" s="22" t="s">
        <v>37</v>
      </c>
      <c r="P6213" s="486">
        <v>0</v>
      </c>
      <c r="Q6213" s="486">
        <v>288</v>
      </c>
      <c r="R6213" s="52">
        <f t="shared" si="186"/>
        <v>0</v>
      </c>
      <c r="S6213" s="47">
        <v>202304</v>
      </c>
      <c r="T6213" s="123" t="s">
        <v>7961</v>
      </c>
      <c r="U6213" s="48"/>
      <c r="V6213" s="48"/>
      <c r="W6213" s="48"/>
      <c r="X6213" s="50">
        <v>44197</v>
      </c>
      <c r="Y6213" s="50">
        <v>44255</v>
      </c>
    </row>
    <row r="6214" s="5" customFormat="1" customHeight="1" spans="1:25">
      <c r="A6214" s="24" t="s">
        <v>152</v>
      </c>
      <c r="B6214" s="24" t="s">
        <v>7422</v>
      </c>
      <c r="C6214" s="24" t="s">
        <v>3237</v>
      </c>
      <c r="D6214" s="22" t="s">
        <v>7585</v>
      </c>
      <c r="E6214" s="46" t="s">
        <v>7935</v>
      </c>
      <c r="F6214" s="22" t="s">
        <v>7936</v>
      </c>
      <c r="G6214" s="24" t="s">
        <v>31</v>
      </c>
      <c r="H6214" s="22" t="s">
        <v>7950</v>
      </c>
      <c r="I6214" s="46" t="e">
        <f>VLOOKUP(H6214,'合同高级查询数据-4月返'!A:A,1,FALSE)</f>
        <v>#N/A</v>
      </c>
      <c r="J6214" s="47" t="s">
        <v>33</v>
      </c>
      <c r="K6214" s="22" t="s">
        <v>7958</v>
      </c>
      <c r="L6214" s="22" t="s">
        <v>7959</v>
      </c>
      <c r="M6214" s="22" t="s">
        <v>7960</v>
      </c>
      <c r="N6214" s="50">
        <v>44227</v>
      </c>
      <c r="O6214" s="22" t="s">
        <v>37</v>
      </c>
      <c r="P6214" s="486">
        <v>0</v>
      </c>
      <c r="Q6214" s="486">
        <v>-288</v>
      </c>
      <c r="R6214" s="52">
        <f t="shared" si="186"/>
        <v>0</v>
      </c>
      <c r="S6214" s="47">
        <v>202304</v>
      </c>
      <c r="T6214" s="123" t="s">
        <v>7962</v>
      </c>
      <c r="U6214" s="48"/>
      <c r="V6214" s="48"/>
      <c r="W6214" s="48"/>
      <c r="X6214" s="50">
        <v>44197</v>
      </c>
      <c r="Y6214" s="50">
        <v>44255</v>
      </c>
    </row>
    <row r="6215" s="5" customFormat="1" customHeight="1" spans="1:25">
      <c r="A6215" s="24" t="s">
        <v>152</v>
      </c>
      <c r="B6215" s="24" t="s">
        <v>7422</v>
      </c>
      <c r="C6215" s="24" t="s">
        <v>3237</v>
      </c>
      <c r="D6215" s="22" t="s">
        <v>7585</v>
      </c>
      <c r="E6215" s="46" t="s">
        <v>7935</v>
      </c>
      <c r="F6215" s="22" t="s">
        <v>7936</v>
      </c>
      <c r="G6215" s="24" t="s">
        <v>31</v>
      </c>
      <c r="H6215" s="22" t="s">
        <v>7950</v>
      </c>
      <c r="I6215" s="46" t="e">
        <f>VLOOKUP(H6215,'合同高级查询数据-4月返'!A:A,1,FALSE)</f>
        <v>#N/A</v>
      </c>
      <c r="J6215" s="47" t="s">
        <v>33</v>
      </c>
      <c r="K6215" s="22" t="s">
        <v>7958</v>
      </c>
      <c r="L6215" s="22" t="s">
        <v>7959</v>
      </c>
      <c r="M6215" s="22" t="s">
        <v>7960</v>
      </c>
      <c r="N6215" s="50"/>
      <c r="O6215" s="22" t="s">
        <v>179</v>
      </c>
      <c r="P6215" s="486">
        <v>0</v>
      </c>
      <c r="Q6215" s="70">
        <v>0</v>
      </c>
      <c r="R6215" s="52">
        <f t="shared" si="186"/>
        <v>0</v>
      </c>
      <c r="S6215" s="47">
        <v>202304</v>
      </c>
      <c r="T6215" s="123" t="s">
        <v>7963</v>
      </c>
      <c r="U6215" s="48"/>
      <c r="V6215" s="48"/>
      <c r="W6215" s="48"/>
      <c r="X6215" s="50">
        <v>44197</v>
      </c>
      <c r="Y6215" s="50">
        <v>44255</v>
      </c>
    </row>
    <row r="6216" s="5" customFormat="1" customHeight="1" spans="1:25">
      <c r="A6216" s="24" t="s">
        <v>152</v>
      </c>
      <c r="B6216" s="24" t="s">
        <v>7422</v>
      </c>
      <c r="C6216" s="24" t="s">
        <v>3237</v>
      </c>
      <c r="D6216" s="22" t="s">
        <v>7585</v>
      </c>
      <c r="E6216" s="46" t="s">
        <v>7935</v>
      </c>
      <c r="F6216" s="22" t="s">
        <v>7936</v>
      </c>
      <c r="G6216" s="24" t="s">
        <v>88</v>
      </c>
      <c r="H6216" s="22" t="s">
        <v>7950</v>
      </c>
      <c r="I6216" s="46" t="e">
        <f>VLOOKUP(H6216,'合同高级查询数据-4月返'!A:A,1,FALSE)</f>
        <v>#N/A</v>
      </c>
      <c r="J6216" s="47" t="s">
        <v>162</v>
      </c>
      <c r="K6216" s="22" t="s">
        <v>7958</v>
      </c>
      <c r="L6216" s="22" t="s">
        <v>7959</v>
      </c>
      <c r="M6216" s="22" t="s">
        <v>7960</v>
      </c>
      <c r="N6216" s="50">
        <v>43936</v>
      </c>
      <c r="O6216" s="22" t="s">
        <v>702</v>
      </c>
      <c r="P6216" s="486">
        <v>4000</v>
      </c>
      <c r="Q6216" s="486">
        <v>7</v>
      </c>
      <c r="R6216" s="52">
        <f t="shared" si="186"/>
        <v>28000</v>
      </c>
      <c r="S6216" s="47">
        <v>202304</v>
      </c>
      <c r="T6216" s="123" t="s">
        <v>7964</v>
      </c>
      <c r="U6216" s="48"/>
      <c r="V6216" s="48"/>
      <c r="W6216" s="48"/>
      <c r="X6216" s="50">
        <v>44197</v>
      </c>
      <c r="Y6216" s="50">
        <v>44255</v>
      </c>
    </row>
    <row r="6217" s="5" customFormat="1" customHeight="1" spans="1:25">
      <c r="A6217" s="24" t="s">
        <v>152</v>
      </c>
      <c r="B6217" s="24" t="s">
        <v>7422</v>
      </c>
      <c r="C6217" s="24" t="s">
        <v>3237</v>
      </c>
      <c r="D6217" s="22" t="s">
        <v>7585</v>
      </c>
      <c r="E6217" s="46" t="s">
        <v>7935</v>
      </c>
      <c r="F6217" s="22" t="s">
        <v>7936</v>
      </c>
      <c r="G6217" s="24" t="s">
        <v>88</v>
      </c>
      <c r="H6217" s="22" t="s">
        <v>7950</v>
      </c>
      <c r="I6217" s="46" t="e">
        <f>VLOOKUP(H6217,'合同高级查询数据-4月返'!A:A,1,FALSE)</f>
        <v>#N/A</v>
      </c>
      <c r="J6217" s="47" t="s">
        <v>162</v>
      </c>
      <c r="K6217" s="22" t="s">
        <v>7958</v>
      </c>
      <c r="L6217" s="22" t="s">
        <v>7959</v>
      </c>
      <c r="M6217" s="22" t="s">
        <v>7960</v>
      </c>
      <c r="N6217" s="50">
        <v>44227</v>
      </c>
      <c r="O6217" s="22" t="s">
        <v>702</v>
      </c>
      <c r="P6217" s="486">
        <v>4000</v>
      </c>
      <c r="Q6217" s="486">
        <v>-7</v>
      </c>
      <c r="R6217" s="52">
        <f t="shared" si="186"/>
        <v>-28000</v>
      </c>
      <c r="S6217" s="47">
        <v>202304</v>
      </c>
      <c r="T6217" s="123" t="s">
        <v>7962</v>
      </c>
      <c r="U6217" s="48"/>
      <c r="V6217" s="48"/>
      <c r="W6217" s="48"/>
      <c r="X6217" s="50">
        <v>44197</v>
      </c>
      <c r="Y6217" s="50">
        <v>44255</v>
      </c>
    </row>
    <row r="6218" s="5" customFormat="1" customHeight="1" spans="1:25">
      <c r="A6218" s="24" t="s">
        <v>109</v>
      </c>
      <c r="B6218" s="24" t="s">
        <v>7422</v>
      </c>
      <c r="C6218" s="24" t="s">
        <v>3237</v>
      </c>
      <c r="D6218" s="22" t="s">
        <v>7585</v>
      </c>
      <c r="E6218" s="46" t="s">
        <v>7935</v>
      </c>
      <c r="F6218" s="22" t="s">
        <v>7936</v>
      </c>
      <c r="G6218" s="24" t="s">
        <v>31</v>
      </c>
      <c r="H6218" s="22" t="s">
        <v>7965</v>
      </c>
      <c r="I6218" s="46" t="e">
        <f>VLOOKUP(H6218,'合同高级查询数据-4月返'!A:A,1,FALSE)</f>
        <v>#N/A</v>
      </c>
      <c r="J6218" s="47" t="s">
        <v>33</v>
      </c>
      <c r="K6218" s="22" t="s">
        <v>7353</v>
      </c>
      <c r="L6218" s="22" t="s">
        <v>7966</v>
      </c>
      <c r="M6218" s="22" t="s">
        <v>7967</v>
      </c>
      <c r="N6218" s="50">
        <v>43831</v>
      </c>
      <c r="O6218" s="22" t="s">
        <v>37</v>
      </c>
      <c r="P6218" s="486">
        <v>50</v>
      </c>
      <c r="Q6218" s="486">
        <v>32</v>
      </c>
      <c r="R6218" s="52">
        <f t="shared" si="186"/>
        <v>1600</v>
      </c>
      <c r="S6218" s="47">
        <v>202304</v>
      </c>
      <c r="T6218" s="123" t="s">
        <v>7968</v>
      </c>
      <c r="U6218" s="48"/>
      <c r="V6218" s="48"/>
      <c r="W6218" s="48"/>
      <c r="X6218" s="50">
        <v>44927</v>
      </c>
      <c r="Y6218" s="50">
        <v>45291</v>
      </c>
    </row>
    <row r="6219" s="5" customFormat="1" customHeight="1" spans="1:25">
      <c r="A6219" s="24" t="s">
        <v>109</v>
      </c>
      <c r="B6219" s="24" t="s">
        <v>7422</v>
      </c>
      <c r="C6219" s="24" t="s">
        <v>3237</v>
      </c>
      <c r="D6219" s="22" t="s">
        <v>7585</v>
      </c>
      <c r="E6219" s="46" t="s">
        <v>7935</v>
      </c>
      <c r="F6219" s="22" t="s">
        <v>7936</v>
      </c>
      <c r="G6219" s="24" t="s">
        <v>31</v>
      </c>
      <c r="H6219" s="22" t="s">
        <v>7965</v>
      </c>
      <c r="I6219" s="46" t="e">
        <f>VLOOKUP(H6219,'合同高级查询数据-4月返'!A:A,1,FALSE)</f>
        <v>#N/A</v>
      </c>
      <c r="J6219" s="47" t="s">
        <v>33</v>
      </c>
      <c r="K6219" s="22" t="s">
        <v>7353</v>
      </c>
      <c r="L6219" s="22" t="s">
        <v>7966</v>
      </c>
      <c r="M6219" s="22" t="s">
        <v>7967</v>
      </c>
      <c r="N6219" s="50">
        <v>43831</v>
      </c>
      <c r="O6219" s="22" t="s">
        <v>37</v>
      </c>
      <c r="P6219" s="486">
        <v>0</v>
      </c>
      <c r="Q6219" s="486">
        <v>256</v>
      </c>
      <c r="R6219" s="52">
        <f t="shared" si="186"/>
        <v>0</v>
      </c>
      <c r="S6219" s="47">
        <v>202304</v>
      </c>
      <c r="T6219" s="123" t="s">
        <v>7969</v>
      </c>
      <c r="U6219" s="48"/>
      <c r="V6219" s="48"/>
      <c r="W6219" s="48"/>
      <c r="X6219" s="50">
        <v>44927</v>
      </c>
      <c r="Y6219" s="50">
        <v>45291</v>
      </c>
    </row>
    <row r="6220" s="5" customFormat="1" customHeight="1" spans="1:25">
      <c r="A6220" s="24" t="s">
        <v>109</v>
      </c>
      <c r="B6220" s="24" t="s">
        <v>7422</v>
      </c>
      <c r="C6220" s="24" t="s">
        <v>3237</v>
      </c>
      <c r="D6220" s="22" t="s">
        <v>7585</v>
      </c>
      <c r="E6220" s="46" t="s">
        <v>7935</v>
      </c>
      <c r="F6220" s="22" t="s">
        <v>7936</v>
      </c>
      <c r="G6220" s="24" t="s">
        <v>31</v>
      </c>
      <c r="H6220" s="22" t="s">
        <v>7965</v>
      </c>
      <c r="I6220" s="46" t="e">
        <f>VLOOKUP(H6220,'合同高级查询数据-4月返'!A:A,1,FALSE)</f>
        <v>#N/A</v>
      </c>
      <c r="J6220" s="47" t="s">
        <v>33</v>
      </c>
      <c r="K6220" s="22" t="s">
        <v>7353</v>
      </c>
      <c r="L6220" s="22" t="s">
        <v>7966</v>
      </c>
      <c r="M6220" s="22" t="s">
        <v>7967</v>
      </c>
      <c r="N6220" s="50">
        <v>44868</v>
      </c>
      <c r="O6220" s="22" t="s">
        <v>37</v>
      </c>
      <c r="P6220" s="486">
        <v>50</v>
      </c>
      <c r="Q6220" s="486">
        <v>-32</v>
      </c>
      <c r="R6220" s="52">
        <f t="shared" si="186"/>
        <v>-1600</v>
      </c>
      <c r="S6220" s="47">
        <v>202304</v>
      </c>
      <c r="T6220" s="123" t="s">
        <v>7970</v>
      </c>
      <c r="U6220" s="48"/>
      <c r="V6220" s="48"/>
      <c r="W6220" s="48"/>
      <c r="X6220" s="50">
        <v>44927</v>
      </c>
      <c r="Y6220" s="50">
        <v>45291</v>
      </c>
    </row>
    <row r="6221" s="5" customFormat="1" customHeight="1" spans="1:25">
      <c r="A6221" s="24" t="s">
        <v>109</v>
      </c>
      <c r="B6221" s="24" t="s">
        <v>7422</v>
      </c>
      <c r="C6221" s="24" t="s">
        <v>3237</v>
      </c>
      <c r="D6221" s="22" t="s">
        <v>7585</v>
      </c>
      <c r="E6221" s="46" t="s">
        <v>7935</v>
      </c>
      <c r="F6221" s="22" t="s">
        <v>7936</v>
      </c>
      <c r="G6221" s="24" t="s">
        <v>31</v>
      </c>
      <c r="H6221" s="22" t="s">
        <v>7965</v>
      </c>
      <c r="I6221" s="46" t="e">
        <f>VLOOKUP(H6221,'合同高级查询数据-4月返'!A:A,1,FALSE)</f>
        <v>#N/A</v>
      </c>
      <c r="J6221" s="47" t="s">
        <v>33</v>
      </c>
      <c r="K6221" s="22" t="s">
        <v>7353</v>
      </c>
      <c r="L6221" s="22" t="s">
        <v>7966</v>
      </c>
      <c r="M6221" s="22" t="s">
        <v>7967</v>
      </c>
      <c r="N6221" s="50">
        <v>44868</v>
      </c>
      <c r="O6221" s="22" t="s">
        <v>37</v>
      </c>
      <c r="P6221" s="486">
        <v>0</v>
      </c>
      <c r="Q6221" s="486">
        <v>-96</v>
      </c>
      <c r="R6221" s="52">
        <f t="shared" si="186"/>
        <v>0</v>
      </c>
      <c r="S6221" s="47">
        <v>202304</v>
      </c>
      <c r="T6221" s="123"/>
      <c r="U6221" s="48"/>
      <c r="V6221" s="48"/>
      <c r="W6221" s="48"/>
      <c r="X6221" s="50">
        <v>44927</v>
      </c>
      <c r="Y6221" s="50">
        <v>45291</v>
      </c>
    </row>
    <row r="6222" s="5" customFormat="1" customHeight="1" spans="1:25">
      <c r="A6222" s="24" t="s">
        <v>109</v>
      </c>
      <c r="B6222" s="24" t="s">
        <v>7422</v>
      </c>
      <c r="C6222" s="24" t="s">
        <v>3237</v>
      </c>
      <c r="D6222" s="22" t="s">
        <v>7585</v>
      </c>
      <c r="E6222" s="46" t="s">
        <v>7935</v>
      </c>
      <c r="F6222" s="22" t="s">
        <v>7936</v>
      </c>
      <c r="G6222" s="24" t="s">
        <v>31</v>
      </c>
      <c r="H6222" s="22" t="s">
        <v>7965</v>
      </c>
      <c r="I6222" s="46" t="e">
        <f>VLOOKUP(H6222,'合同高级查询数据-4月返'!A:A,1,FALSE)</f>
        <v>#N/A</v>
      </c>
      <c r="J6222" s="47" t="s">
        <v>33</v>
      </c>
      <c r="K6222" s="22" t="s">
        <v>7353</v>
      </c>
      <c r="L6222" s="22" t="s">
        <v>7966</v>
      </c>
      <c r="M6222" s="22" t="s">
        <v>7967</v>
      </c>
      <c r="N6222" s="50"/>
      <c r="O6222" s="22" t="s">
        <v>179</v>
      </c>
      <c r="P6222" s="486">
        <v>0</v>
      </c>
      <c r="Q6222" s="70">
        <v>0</v>
      </c>
      <c r="R6222" s="52">
        <f t="shared" si="186"/>
        <v>0</v>
      </c>
      <c r="S6222" s="47">
        <v>202304</v>
      </c>
      <c r="T6222" s="123" t="s">
        <v>7955</v>
      </c>
      <c r="U6222" s="48"/>
      <c r="V6222" s="48"/>
      <c r="W6222" s="48"/>
      <c r="X6222" s="50">
        <v>44927</v>
      </c>
      <c r="Y6222" s="50">
        <v>45291</v>
      </c>
    </row>
    <row r="6223" s="5" customFormat="1" customHeight="1" spans="1:25">
      <c r="A6223" s="24" t="s">
        <v>109</v>
      </c>
      <c r="B6223" s="24" t="s">
        <v>7422</v>
      </c>
      <c r="C6223" s="24" t="s">
        <v>3237</v>
      </c>
      <c r="D6223" s="22" t="s">
        <v>7585</v>
      </c>
      <c r="E6223" s="46" t="s">
        <v>7935</v>
      </c>
      <c r="F6223" s="22" t="s">
        <v>7936</v>
      </c>
      <c r="G6223" s="24" t="s">
        <v>88</v>
      </c>
      <c r="H6223" s="22" t="s">
        <v>7965</v>
      </c>
      <c r="I6223" s="46" t="e">
        <f>VLOOKUP(H6223,'合同高级查询数据-4月返'!A:A,1,FALSE)</f>
        <v>#N/A</v>
      </c>
      <c r="J6223" s="47" t="s">
        <v>162</v>
      </c>
      <c r="K6223" s="22" t="s">
        <v>7353</v>
      </c>
      <c r="L6223" s="22" t="s">
        <v>7966</v>
      </c>
      <c r="M6223" s="22" t="s">
        <v>7967</v>
      </c>
      <c r="N6223" s="50">
        <v>43831</v>
      </c>
      <c r="O6223" s="22" t="s">
        <v>702</v>
      </c>
      <c r="P6223" s="486">
        <v>5000</v>
      </c>
      <c r="Q6223" s="486">
        <v>5</v>
      </c>
      <c r="R6223" s="52">
        <f t="shared" si="186"/>
        <v>25000</v>
      </c>
      <c r="S6223" s="47">
        <v>202304</v>
      </c>
      <c r="T6223" s="123" t="s">
        <v>7971</v>
      </c>
      <c r="U6223" s="48"/>
      <c r="V6223" s="48"/>
      <c r="W6223" s="48"/>
      <c r="X6223" s="50">
        <v>44927</v>
      </c>
      <c r="Y6223" s="50">
        <v>45291</v>
      </c>
    </row>
    <row r="6224" s="5" customFormat="1" customHeight="1" spans="1:25">
      <c r="A6224" s="24" t="s">
        <v>109</v>
      </c>
      <c r="B6224" s="24" t="s">
        <v>7422</v>
      </c>
      <c r="C6224" s="24" t="s">
        <v>3237</v>
      </c>
      <c r="D6224" s="22" t="s">
        <v>7585</v>
      </c>
      <c r="E6224" s="46" t="s">
        <v>7935</v>
      </c>
      <c r="F6224" s="22" t="s">
        <v>7936</v>
      </c>
      <c r="G6224" s="24" t="s">
        <v>88</v>
      </c>
      <c r="H6224" s="22" t="s">
        <v>7965</v>
      </c>
      <c r="I6224" s="46" t="e">
        <f>VLOOKUP(H6224,'合同高级查询数据-4月返'!A:A,1,FALSE)</f>
        <v>#N/A</v>
      </c>
      <c r="J6224" s="47" t="s">
        <v>162</v>
      </c>
      <c r="K6224" s="22" t="s">
        <v>7353</v>
      </c>
      <c r="L6224" s="22" t="s">
        <v>7966</v>
      </c>
      <c r="M6224" s="22" t="s">
        <v>7967</v>
      </c>
      <c r="N6224" s="50">
        <v>44889</v>
      </c>
      <c r="O6224" s="22" t="s">
        <v>702</v>
      </c>
      <c r="P6224" s="486">
        <v>5000</v>
      </c>
      <c r="Q6224" s="486">
        <v>-1</v>
      </c>
      <c r="R6224" s="52">
        <f t="shared" si="186"/>
        <v>-5000</v>
      </c>
      <c r="S6224" s="47">
        <v>202304</v>
      </c>
      <c r="T6224" s="123" t="s">
        <v>7972</v>
      </c>
      <c r="U6224" s="48"/>
      <c r="V6224" s="48"/>
      <c r="W6224" s="48"/>
      <c r="X6224" s="50">
        <v>44927</v>
      </c>
      <c r="Y6224" s="50">
        <v>45291</v>
      </c>
    </row>
    <row r="6225" s="5" customFormat="1" customHeight="1" spans="1:25">
      <c r="A6225" s="24" t="s">
        <v>109</v>
      </c>
      <c r="B6225" s="24" t="s">
        <v>7422</v>
      </c>
      <c r="C6225" s="24" t="s">
        <v>3237</v>
      </c>
      <c r="D6225" s="22" t="s">
        <v>7585</v>
      </c>
      <c r="E6225" s="46" t="s">
        <v>7935</v>
      </c>
      <c r="F6225" s="22" t="s">
        <v>7936</v>
      </c>
      <c r="G6225" s="24" t="s">
        <v>88</v>
      </c>
      <c r="H6225" s="22" t="s">
        <v>7965</v>
      </c>
      <c r="I6225" s="46" t="e">
        <f>VLOOKUP(H6225,'合同高级查询数据-4月返'!A:A,1,FALSE)</f>
        <v>#N/A</v>
      </c>
      <c r="J6225" s="47" t="s">
        <v>162</v>
      </c>
      <c r="K6225" s="22" t="s">
        <v>7353</v>
      </c>
      <c r="L6225" s="22" t="s">
        <v>7966</v>
      </c>
      <c r="M6225" s="22" t="s">
        <v>7967</v>
      </c>
      <c r="N6225" s="50">
        <v>44936</v>
      </c>
      <c r="O6225" s="22" t="s">
        <v>702</v>
      </c>
      <c r="P6225" s="486">
        <v>5000</v>
      </c>
      <c r="Q6225" s="486">
        <v>1</v>
      </c>
      <c r="R6225" s="52">
        <f t="shared" si="186"/>
        <v>5000</v>
      </c>
      <c r="S6225" s="47">
        <v>202304</v>
      </c>
      <c r="T6225" s="123" t="s">
        <v>7973</v>
      </c>
      <c r="U6225" s="48"/>
      <c r="V6225" s="48"/>
      <c r="W6225" s="48"/>
      <c r="X6225" s="50">
        <v>44927</v>
      </c>
      <c r="Y6225" s="50">
        <v>45291</v>
      </c>
    </row>
    <row r="6226" s="5" customFormat="1" customHeight="1" spans="1:25">
      <c r="A6226" s="24" t="s">
        <v>109</v>
      </c>
      <c r="B6226" s="22" t="s">
        <v>7422</v>
      </c>
      <c r="C6226" s="24" t="s">
        <v>3237</v>
      </c>
      <c r="D6226" s="22" t="s">
        <v>7585</v>
      </c>
      <c r="E6226" s="46" t="s">
        <v>7974</v>
      </c>
      <c r="F6226" s="22" t="s">
        <v>7975</v>
      </c>
      <c r="G6226" s="24" t="s">
        <v>31</v>
      </c>
      <c r="H6226" s="22" t="s">
        <v>7976</v>
      </c>
      <c r="I6226" s="46" t="e">
        <f>VLOOKUP(H6226,'合同高级查询数据-4月返'!A:A,1,FALSE)</f>
        <v>#N/A</v>
      </c>
      <c r="J6226" s="47" t="s">
        <v>33</v>
      </c>
      <c r="K6226" s="22" t="s">
        <v>6873</v>
      </c>
      <c r="L6226" s="22" t="s">
        <v>7977</v>
      </c>
      <c r="M6226" s="22" t="s">
        <v>7978</v>
      </c>
      <c r="N6226" s="50">
        <v>43956</v>
      </c>
      <c r="O6226" s="22" t="s">
        <v>37</v>
      </c>
      <c r="P6226" s="501">
        <v>0</v>
      </c>
      <c r="Q6226" s="70">
        <v>288</v>
      </c>
      <c r="R6226" s="52">
        <f t="shared" si="186"/>
        <v>0</v>
      </c>
      <c r="S6226" s="47">
        <v>202304</v>
      </c>
      <c r="T6226" s="123" t="s">
        <v>7979</v>
      </c>
      <c r="U6226" s="97"/>
      <c r="V6226" s="453"/>
      <c r="W6226" s="97"/>
      <c r="X6226" s="50">
        <v>44105</v>
      </c>
      <c r="Y6226" s="50">
        <v>44469</v>
      </c>
    </row>
    <row r="6227" s="5" customFormat="1" customHeight="1" spans="1:25">
      <c r="A6227" s="24" t="s">
        <v>109</v>
      </c>
      <c r="B6227" s="22" t="s">
        <v>7422</v>
      </c>
      <c r="C6227" s="24" t="s">
        <v>3237</v>
      </c>
      <c r="D6227" s="22" t="s">
        <v>7585</v>
      </c>
      <c r="E6227" s="46" t="s">
        <v>7974</v>
      </c>
      <c r="F6227" s="22" t="s">
        <v>7975</v>
      </c>
      <c r="G6227" s="24" t="s">
        <v>31</v>
      </c>
      <c r="H6227" s="22" t="s">
        <v>7976</v>
      </c>
      <c r="I6227" s="46" t="e">
        <f>VLOOKUP(H6227,'合同高级查询数据-4月返'!A:A,1,FALSE)</f>
        <v>#N/A</v>
      </c>
      <c r="J6227" s="47" t="s">
        <v>33</v>
      </c>
      <c r="K6227" s="22" t="s">
        <v>6873</v>
      </c>
      <c r="L6227" s="22" t="s">
        <v>7977</v>
      </c>
      <c r="M6227" s="22" t="s">
        <v>7978</v>
      </c>
      <c r="N6227" s="50">
        <v>44377</v>
      </c>
      <c r="O6227" s="22" t="s">
        <v>37</v>
      </c>
      <c r="P6227" s="501">
        <v>0</v>
      </c>
      <c r="Q6227" s="70">
        <v>-288</v>
      </c>
      <c r="R6227" s="52">
        <f t="shared" si="186"/>
        <v>0</v>
      </c>
      <c r="S6227" s="47">
        <v>202304</v>
      </c>
      <c r="T6227" s="123" t="s">
        <v>7980</v>
      </c>
      <c r="U6227" s="97"/>
      <c r="V6227" s="453"/>
      <c r="W6227" s="97"/>
      <c r="X6227" s="50">
        <v>44105</v>
      </c>
      <c r="Y6227" s="50">
        <v>44469</v>
      </c>
    </row>
    <row r="6228" s="5" customFormat="1" customHeight="1" spans="1:25">
      <c r="A6228" s="24" t="s">
        <v>109</v>
      </c>
      <c r="B6228" s="22" t="s">
        <v>7422</v>
      </c>
      <c r="C6228" s="24" t="s">
        <v>3237</v>
      </c>
      <c r="D6228" s="22" t="s">
        <v>7585</v>
      </c>
      <c r="E6228" s="46" t="s">
        <v>7974</v>
      </c>
      <c r="F6228" s="22" t="s">
        <v>7975</v>
      </c>
      <c r="G6228" s="24" t="s">
        <v>88</v>
      </c>
      <c r="H6228" s="22" t="s">
        <v>7976</v>
      </c>
      <c r="I6228" s="46" t="e">
        <f>VLOOKUP(H6228,'合同高级查询数据-4月返'!A:A,1,FALSE)</f>
        <v>#N/A</v>
      </c>
      <c r="J6228" s="47" t="s">
        <v>162</v>
      </c>
      <c r="K6228" s="22" t="s">
        <v>6873</v>
      </c>
      <c r="L6228" s="22" t="s">
        <v>7977</v>
      </c>
      <c r="M6228" s="22" t="s">
        <v>7978</v>
      </c>
      <c r="N6228" s="50">
        <v>43952</v>
      </c>
      <c r="O6228" s="493" t="s">
        <v>163</v>
      </c>
      <c r="P6228" s="501">
        <v>4500</v>
      </c>
      <c r="Q6228" s="70">
        <v>3</v>
      </c>
      <c r="R6228" s="52">
        <f t="shared" si="186"/>
        <v>13500</v>
      </c>
      <c r="S6228" s="47">
        <v>202304</v>
      </c>
      <c r="T6228" s="123" t="s">
        <v>7981</v>
      </c>
      <c r="U6228" s="97"/>
      <c r="V6228" s="453"/>
      <c r="W6228" s="97"/>
      <c r="X6228" s="50">
        <v>44105</v>
      </c>
      <c r="Y6228" s="50">
        <v>44469</v>
      </c>
    </row>
    <row r="6229" s="5" customFormat="1" customHeight="1" spans="1:25">
      <c r="A6229" s="24" t="s">
        <v>109</v>
      </c>
      <c r="B6229" s="22" t="s">
        <v>7422</v>
      </c>
      <c r="C6229" s="24" t="s">
        <v>3237</v>
      </c>
      <c r="D6229" s="22" t="s">
        <v>7585</v>
      </c>
      <c r="E6229" s="46" t="s">
        <v>7974</v>
      </c>
      <c r="F6229" s="22" t="s">
        <v>7975</v>
      </c>
      <c r="G6229" s="24" t="s">
        <v>88</v>
      </c>
      <c r="H6229" s="22" t="s">
        <v>7976</v>
      </c>
      <c r="I6229" s="46" t="e">
        <f>VLOOKUP(H6229,'合同高级查询数据-4月返'!A:A,1,FALSE)</f>
        <v>#N/A</v>
      </c>
      <c r="J6229" s="47" t="s">
        <v>162</v>
      </c>
      <c r="K6229" s="22" t="s">
        <v>6873</v>
      </c>
      <c r="L6229" s="22" t="s">
        <v>7977</v>
      </c>
      <c r="M6229" s="22" t="s">
        <v>7978</v>
      </c>
      <c r="N6229" s="50">
        <v>44105</v>
      </c>
      <c r="O6229" s="493" t="s">
        <v>163</v>
      </c>
      <c r="P6229" s="501">
        <v>4500</v>
      </c>
      <c r="Q6229" s="70">
        <v>3</v>
      </c>
      <c r="R6229" s="52">
        <f t="shared" si="186"/>
        <v>13500</v>
      </c>
      <c r="S6229" s="47">
        <v>202304</v>
      </c>
      <c r="T6229" s="123" t="s">
        <v>7982</v>
      </c>
      <c r="U6229" s="97"/>
      <c r="V6229" s="453"/>
      <c r="W6229" s="97"/>
      <c r="X6229" s="50">
        <v>44105</v>
      </c>
      <c r="Y6229" s="50">
        <v>44469</v>
      </c>
    </row>
    <row r="6230" s="5" customFormat="1" customHeight="1" spans="1:25">
      <c r="A6230" s="24" t="s">
        <v>109</v>
      </c>
      <c r="B6230" s="22" t="s">
        <v>7422</v>
      </c>
      <c r="C6230" s="24" t="s">
        <v>3237</v>
      </c>
      <c r="D6230" s="22" t="s">
        <v>7585</v>
      </c>
      <c r="E6230" s="46" t="s">
        <v>7974</v>
      </c>
      <c r="F6230" s="22" t="s">
        <v>7975</v>
      </c>
      <c r="G6230" s="24" t="s">
        <v>88</v>
      </c>
      <c r="H6230" s="22" t="s">
        <v>7976</v>
      </c>
      <c r="I6230" s="46" t="e">
        <f>VLOOKUP(H6230,'合同高级查询数据-4月返'!A:A,1,FALSE)</f>
        <v>#N/A</v>
      </c>
      <c r="J6230" s="47" t="s">
        <v>162</v>
      </c>
      <c r="K6230" s="22" t="s">
        <v>6873</v>
      </c>
      <c r="L6230" s="22" t="s">
        <v>7977</v>
      </c>
      <c r="M6230" s="22" t="s">
        <v>7978</v>
      </c>
      <c r="N6230" s="50">
        <v>44377</v>
      </c>
      <c r="O6230" s="493" t="s">
        <v>163</v>
      </c>
      <c r="P6230" s="501">
        <v>4500</v>
      </c>
      <c r="Q6230" s="70">
        <v>-6</v>
      </c>
      <c r="R6230" s="52">
        <f t="shared" si="186"/>
        <v>-27000</v>
      </c>
      <c r="S6230" s="47">
        <v>202304</v>
      </c>
      <c r="T6230" s="123" t="s">
        <v>7983</v>
      </c>
      <c r="U6230" s="97"/>
      <c r="V6230" s="453"/>
      <c r="W6230" s="97"/>
      <c r="X6230" s="50">
        <v>44105</v>
      </c>
      <c r="Y6230" s="50">
        <v>44469</v>
      </c>
    </row>
    <row r="6231" s="5" customFormat="1" customHeight="1" spans="1:25">
      <c r="A6231" s="24" t="s">
        <v>109</v>
      </c>
      <c r="B6231" s="22" t="s">
        <v>7422</v>
      </c>
      <c r="C6231" s="22" t="s">
        <v>216</v>
      </c>
      <c r="D6231" s="22" t="s">
        <v>7585</v>
      </c>
      <c r="E6231" s="46" t="s">
        <v>7974</v>
      </c>
      <c r="F6231" s="22" t="s">
        <v>7975</v>
      </c>
      <c r="G6231" s="24" t="s">
        <v>31</v>
      </c>
      <c r="H6231" s="25" t="s">
        <v>7984</v>
      </c>
      <c r="I6231" s="46" t="e">
        <f>VLOOKUP(H6231,'合同高级查询数据-4月返'!A:A,1,FALSE)</f>
        <v>#N/A</v>
      </c>
      <c r="J6231" s="47" t="s">
        <v>33</v>
      </c>
      <c r="K6231" s="24" t="s">
        <v>5150</v>
      </c>
      <c r="L6231" s="109" t="s">
        <v>7985</v>
      </c>
      <c r="M6231" s="109" t="s">
        <v>7986</v>
      </c>
      <c r="N6231" s="50">
        <v>43952</v>
      </c>
      <c r="O6231" s="22" t="s">
        <v>37</v>
      </c>
      <c r="P6231" s="452">
        <v>0</v>
      </c>
      <c r="Q6231" s="52">
        <v>320</v>
      </c>
      <c r="R6231" s="52">
        <f t="shared" si="186"/>
        <v>0</v>
      </c>
      <c r="S6231" s="47">
        <v>202304</v>
      </c>
      <c r="T6231" s="123" t="s">
        <v>7987</v>
      </c>
      <c r="U6231" s="97"/>
      <c r="V6231" s="453"/>
      <c r="W6231" s="97"/>
      <c r="X6231" s="50">
        <v>44228</v>
      </c>
      <c r="Y6231" s="50">
        <v>44592</v>
      </c>
    </row>
    <row r="6232" s="5" customFormat="1" customHeight="1" spans="1:25">
      <c r="A6232" s="24" t="s">
        <v>109</v>
      </c>
      <c r="B6232" s="22" t="s">
        <v>7422</v>
      </c>
      <c r="C6232" s="22" t="s">
        <v>216</v>
      </c>
      <c r="D6232" s="22" t="s">
        <v>7585</v>
      </c>
      <c r="E6232" s="46" t="s">
        <v>7974</v>
      </c>
      <c r="F6232" s="22" t="s">
        <v>7975</v>
      </c>
      <c r="G6232" s="24" t="s">
        <v>88</v>
      </c>
      <c r="H6232" s="25" t="s">
        <v>7984</v>
      </c>
      <c r="I6232" s="46" t="e">
        <f>VLOOKUP(H6232,'合同高级查询数据-4月返'!A:A,1,FALSE)</f>
        <v>#N/A</v>
      </c>
      <c r="J6232" s="47" t="s">
        <v>162</v>
      </c>
      <c r="K6232" s="24" t="s">
        <v>5150</v>
      </c>
      <c r="L6232" s="109" t="s">
        <v>7985</v>
      </c>
      <c r="M6232" s="109" t="s">
        <v>7986</v>
      </c>
      <c r="N6232" s="50">
        <v>43952</v>
      </c>
      <c r="O6232" s="22" t="s">
        <v>163</v>
      </c>
      <c r="P6232" s="52">
        <v>4500</v>
      </c>
      <c r="Q6232" s="70">
        <v>3</v>
      </c>
      <c r="R6232" s="52">
        <f t="shared" si="186"/>
        <v>13500</v>
      </c>
      <c r="S6232" s="47">
        <v>202304</v>
      </c>
      <c r="T6232" s="123" t="s">
        <v>7988</v>
      </c>
      <c r="U6232" s="97"/>
      <c r="V6232" s="453"/>
      <c r="W6232" s="97"/>
      <c r="X6232" s="50">
        <v>44228</v>
      </c>
      <c r="Y6232" s="50">
        <v>44592</v>
      </c>
    </row>
    <row r="6233" s="5" customFormat="1" customHeight="1" spans="1:25">
      <c r="A6233" s="24" t="s">
        <v>109</v>
      </c>
      <c r="B6233" s="22" t="s">
        <v>7422</v>
      </c>
      <c r="C6233" s="22" t="s">
        <v>216</v>
      </c>
      <c r="D6233" s="22" t="s">
        <v>7585</v>
      </c>
      <c r="E6233" s="46" t="s">
        <v>7974</v>
      </c>
      <c r="F6233" s="22" t="s">
        <v>7975</v>
      </c>
      <c r="G6233" s="24" t="s">
        <v>88</v>
      </c>
      <c r="H6233" s="25" t="s">
        <v>7984</v>
      </c>
      <c r="I6233" s="46" t="e">
        <f>VLOOKUP(H6233,'合同高级查询数据-4月返'!A:A,1,FALSE)</f>
        <v>#N/A</v>
      </c>
      <c r="J6233" s="47" t="s">
        <v>162</v>
      </c>
      <c r="K6233" s="24" t="s">
        <v>5150</v>
      </c>
      <c r="L6233" s="109" t="s">
        <v>7985</v>
      </c>
      <c r="M6233" s="109" t="s">
        <v>7986</v>
      </c>
      <c r="N6233" s="50">
        <v>44347</v>
      </c>
      <c r="O6233" s="22" t="s">
        <v>163</v>
      </c>
      <c r="P6233" s="52">
        <v>4500</v>
      </c>
      <c r="Q6233" s="70">
        <v>-3</v>
      </c>
      <c r="R6233" s="52">
        <f t="shared" si="186"/>
        <v>-13500</v>
      </c>
      <c r="S6233" s="47">
        <v>202304</v>
      </c>
      <c r="T6233" s="123" t="s">
        <v>7989</v>
      </c>
      <c r="U6233" s="97"/>
      <c r="V6233" s="453"/>
      <c r="W6233" s="97"/>
      <c r="X6233" s="50">
        <v>44228</v>
      </c>
      <c r="Y6233" s="50">
        <v>44592</v>
      </c>
    </row>
    <row r="6234" s="5" customFormat="1" customHeight="1" spans="1:25">
      <c r="A6234" s="21" t="s">
        <v>25</v>
      </c>
      <c r="B6234" s="24" t="s">
        <v>7422</v>
      </c>
      <c r="C6234" s="24" t="s">
        <v>3237</v>
      </c>
      <c r="D6234" s="22" t="s">
        <v>7585</v>
      </c>
      <c r="E6234" s="46" t="s">
        <v>7974</v>
      </c>
      <c r="F6234" s="22" t="s">
        <v>7975</v>
      </c>
      <c r="G6234" s="98" t="s">
        <v>31</v>
      </c>
      <c r="H6234" s="22" t="s">
        <v>7990</v>
      </c>
      <c r="I6234" s="46" t="e">
        <f>VLOOKUP(H6234,'合同高级查询数据-4月返'!A:A,1,FALSE)</f>
        <v>#N/A</v>
      </c>
      <c r="J6234" s="47" t="s">
        <v>33</v>
      </c>
      <c r="K6234" s="98" t="s">
        <v>6391</v>
      </c>
      <c r="L6234" s="163" t="s">
        <v>7991</v>
      </c>
      <c r="M6234" s="49" t="s">
        <v>7992</v>
      </c>
      <c r="N6234" s="267">
        <v>44105</v>
      </c>
      <c r="O6234" s="160" t="s">
        <v>37</v>
      </c>
      <c r="P6234" s="52">
        <v>0</v>
      </c>
      <c r="Q6234" s="70">
        <v>288</v>
      </c>
      <c r="R6234" s="52">
        <f t="shared" si="186"/>
        <v>0</v>
      </c>
      <c r="S6234" s="47">
        <v>202304</v>
      </c>
      <c r="T6234" s="510" t="s">
        <v>7993</v>
      </c>
      <c r="U6234" s="160"/>
      <c r="V6234" s="72"/>
      <c r="W6234" s="160"/>
      <c r="X6234" s="50">
        <v>44256</v>
      </c>
      <c r="Y6234" s="50">
        <v>44469</v>
      </c>
    </row>
    <row r="6235" s="5" customFormat="1" customHeight="1" spans="1:25">
      <c r="A6235" s="21" t="s">
        <v>25</v>
      </c>
      <c r="B6235" s="24" t="s">
        <v>7422</v>
      </c>
      <c r="C6235" s="24" t="s">
        <v>3237</v>
      </c>
      <c r="D6235" s="22" t="s">
        <v>7585</v>
      </c>
      <c r="E6235" s="46" t="s">
        <v>7974</v>
      </c>
      <c r="F6235" s="22" t="s">
        <v>7975</v>
      </c>
      <c r="G6235" s="98" t="s">
        <v>31</v>
      </c>
      <c r="H6235" s="22" t="s">
        <v>7990</v>
      </c>
      <c r="I6235" s="46" t="e">
        <f>VLOOKUP(H6235,'合同高级查询数据-4月返'!A:A,1,FALSE)</f>
        <v>#N/A</v>
      </c>
      <c r="J6235" s="47" t="s">
        <v>33</v>
      </c>
      <c r="K6235" s="98" t="s">
        <v>6391</v>
      </c>
      <c r="L6235" s="163" t="s">
        <v>7991</v>
      </c>
      <c r="M6235" s="49" t="s">
        <v>7992</v>
      </c>
      <c r="N6235" s="267">
        <v>44469</v>
      </c>
      <c r="O6235" s="160" t="s">
        <v>37</v>
      </c>
      <c r="P6235" s="52">
        <v>0</v>
      </c>
      <c r="Q6235" s="70">
        <v>-288</v>
      </c>
      <c r="R6235" s="52">
        <f t="shared" si="186"/>
        <v>0</v>
      </c>
      <c r="S6235" s="47">
        <v>202304</v>
      </c>
      <c r="T6235" s="123" t="s">
        <v>7949</v>
      </c>
      <c r="U6235" s="160"/>
      <c r="V6235" s="72"/>
      <c r="W6235" s="160"/>
      <c r="X6235" s="50">
        <v>44256</v>
      </c>
      <c r="Y6235" s="50">
        <v>44469</v>
      </c>
    </row>
    <row r="6236" s="5" customFormat="1" customHeight="1" spans="1:25">
      <c r="A6236" s="21" t="s">
        <v>25</v>
      </c>
      <c r="B6236" s="24" t="s">
        <v>7422</v>
      </c>
      <c r="C6236" s="24" t="s">
        <v>3237</v>
      </c>
      <c r="D6236" s="22" t="s">
        <v>7585</v>
      </c>
      <c r="E6236" s="46" t="s">
        <v>7974</v>
      </c>
      <c r="F6236" s="22" t="s">
        <v>7975</v>
      </c>
      <c r="G6236" s="98" t="s">
        <v>31</v>
      </c>
      <c r="H6236" s="22" t="s">
        <v>7990</v>
      </c>
      <c r="I6236" s="46" t="e">
        <f>VLOOKUP(H6236,'合同高级查询数据-4月返'!A:A,1,FALSE)</f>
        <v>#N/A</v>
      </c>
      <c r="J6236" s="47" t="s">
        <v>33</v>
      </c>
      <c r="K6236" s="98" t="s">
        <v>6391</v>
      </c>
      <c r="L6236" s="163" t="s">
        <v>7991</v>
      </c>
      <c r="M6236" s="49" t="s">
        <v>7992</v>
      </c>
      <c r="N6236" s="267"/>
      <c r="O6236" s="22" t="s">
        <v>179</v>
      </c>
      <c r="P6236" s="52">
        <v>0</v>
      </c>
      <c r="Q6236" s="52">
        <v>0</v>
      </c>
      <c r="R6236" s="52">
        <f t="shared" si="186"/>
        <v>0</v>
      </c>
      <c r="S6236" s="47">
        <v>202304</v>
      </c>
      <c r="T6236" s="510" t="s">
        <v>7994</v>
      </c>
      <c r="U6236" s="160"/>
      <c r="V6236" s="72"/>
      <c r="W6236" s="160"/>
      <c r="X6236" s="50">
        <v>44256</v>
      </c>
      <c r="Y6236" s="50">
        <v>44469</v>
      </c>
    </row>
    <row r="6237" s="5" customFormat="1" customHeight="1" spans="1:25">
      <c r="A6237" s="21" t="s">
        <v>25</v>
      </c>
      <c r="B6237" s="24" t="s">
        <v>7422</v>
      </c>
      <c r="C6237" s="24" t="s">
        <v>3237</v>
      </c>
      <c r="D6237" s="22" t="s">
        <v>7585</v>
      </c>
      <c r="E6237" s="46" t="s">
        <v>7974</v>
      </c>
      <c r="F6237" s="22" t="s">
        <v>7975</v>
      </c>
      <c r="G6237" s="24" t="s">
        <v>88</v>
      </c>
      <c r="H6237" s="22" t="s">
        <v>7990</v>
      </c>
      <c r="I6237" s="46" t="e">
        <f>VLOOKUP(H6237,'合同高级查询数据-4月返'!A:A,1,FALSE)</f>
        <v>#N/A</v>
      </c>
      <c r="J6237" s="47" t="s">
        <v>162</v>
      </c>
      <c r="K6237" s="98" t="s">
        <v>6391</v>
      </c>
      <c r="L6237" s="163" t="s">
        <v>7991</v>
      </c>
      <c r="M6237" s="49" t="s">
        <v>7992</v>
      </c>
      <c r="N6237" s="267">
        <v>44105</v>
      </c>
      <c r="O6237" s="160" t="s">
        <v>92</v>
      </c>
      <c r="P6237" s="52">
        <v>4500</v>
      </c>
      <c r="Q6237" s="70">
        <v>3</v>
      </c>
      <c r="R6237" s="52">
        <f t="shared" si="186"/>
        <v>13500</v>
      </c>
      <c r="S6237" s="47">
        <v>202304</v>
      </c>
      <c r="T6237" s="510" t="s">
        <v>7995</v>
      </c>
      <c r="U6237" s="160"/>
      <c r="V6237" s="72"/>
      <c r="W6237" s="160"/>
      <c r="X6237" s="50">
        <v>44256</v>
      </c>
      <c r="Y6237" s="50">
        <v>44469</v>
      </c>
    </row>
    <row r="6238" s="5" customFormat="1" customHeight="1" spans="1:25">
      <c r="A6238" s="21" t="s">
        <v>25</v>
      </c>
      <c r="B6238" s="24" t="s">
        <v>7422</v>
      </c>
      <c r="C6238" s="24" t="s">
        <v>3237</v>
      </c>
      <c r="D6238" s="22" t="s">
        <v>7585</v>
      </c>
      <c r="E6238" s="46" t="s">
        <v>7974</v>
      </c>
      <c r="F6238" s="22" t="s">
        <v>7975</v>
      </c>
      <c r="G6238" s="24" t="s">
        <v>88</v>
      </c>
      <c r="H6238" s="22" t="s">
        <v>7990</v>
      </c>
      <c r="I6238" s="46" t="e">
        <f>VLOOKUP(H6238,'合同高级查询数据-4月返'!A:A,1,FALSE)</f>
        <v>#N/A</v>
      </c>
      <c r="J6238" s="47" t="s">
        <v>162</v>
      </c>
      <c r="K6238" s="98" t="s">
        <v>6391</v>
      </c>
      <c r="L6238" s="163" t="s">
        <v>7991</v>
      </c>
      <c r="M6238" s="49" t="s">
        <v>7992</v>
      </c>
      <c r="N6238" s="267">
        <v>44469</v>
      </c>
      <c r="O6238" s="160" t="s">
        <v>92</v>
      </c>
      <c r="P6238" s="52">
        <v>4500</v>
      </c>
      <c r="Q6238" s="70">
        <v>-3</v>
      </c>
      <c r="R6238" s="52">
        <f t="shared" si="186"/>
        <v>-13500</v>
      </c>
      <c r="S6238" s="47">
        <v>202304</v>
      </c>
      <c r="T6238" s="510" t="s">
        <v>7949</v>
      </c>
      <c r="U6238" s="160"/>
      <c r="V6238" s="72"/>
      <c r="W6238" s="160"/>
      <c r="X6238" s="50">
        <v>44256</v>
      </c>
      <c r="Y6238" s="50">
        <v>44469</v>
      </c>
    </row>
    <row r="6239" s="5" customFormat="1" customHeight="1" spans="1:25">
      <c r="A6239" s="24" t="s">
        <v>152</v>
      </c>
      <c r="B6239" s="24" t="s">
        <v>7422</v>
      </c>
      <c r="C6239" s="160" t="s">
        <v>330</v>
      </c>
      <c r="D6239" s="22" t="s">
        <v>7585</v>
      </c>
      <c r="E6239" s="46" t="s">
        <v>7974</v>
      </c>
      <c r="F6239" s="22" t="s">
        <v>7975</v>
      </c>
      <c r="G6239" s="98" t="s">
        <v>31</v>
      </c>
      <c r="H6239" s="25" t="s">
        <v>7996</v>
      </c>
      <c r="I6239" s="46" t="e">
        <f>VLOOKUP(H6239,'合同高级查询数据-4月返'!A:A,1,FALSE)</f>
        <v>#N/A</v>
      </c>
      <c r="J6239" s="47" t="s">
        <v>33</v>
      </c>
      <c r="K6239" s="98" t="s">
        <v>7997</v>
      </c>
      <c r="L6239" s="163" t="s">
        <v>7998</v>
      </c>
      <c r="M6239" s="49" t="s">
        <v>7999</v>
      </c>
      <c r="N6239" s="267">
        <v>44076</v>
      </c>
      <c r="O6239" s="160" t="s">
        <v>37</v>
      </c>
      <c r="P6239" s="52">
        <v>0</v>
      </c>
      <c r="Q6239" s="70">
        <v>288</v>
      </c>
      <c r="R6239" s="52">
        <f t="shared" si="186"/>
        <v>0</v>
      </c>
      <c r="S6239" s="47">
        <v>202304</v>
      </c>
      <c r="T6239" s="510" t="s">
        <v>8000</v>
      </c>
      <c r="U6239" s="160"/>
      <c r="V6239" s="72"/>
      <c r="W6239" s="160"/>
      <c r="X6239" s="267">
        <v>44440</v>
      </c>
      <c r="Y6239" s="267">
        <v>44804</v>
      </c>
    </row>
    <row r="6240" s="5" customFormat="1" customHeight="1" spans="1:25">
      <c r="A6240" s="24" t="s">
        <v>152</v>
      </c>
      <c r="B6240" s="24" t="s">
        <v>7422</v>
      </c>
      <c r="C6240" s="160" t="s">
        <v>330</v>
      </c>
      <c r="D6240" s="22" t="s">
        <v>7585</v>
      </c>
      <c r="E6240" s="46" t="s">
        <v>7974</v>
      </c>
      <c r="F6240" s="22" t="s">
        <v>7975</v>
      </c>
      <c r="G6240" s="98" t="s">
        <v>31</v>
      </c>
      <c r="H6240" s="25" t="s">
        <v>7996</v>
      </c>
      <c r="I6240" s="46" t="e">
        <f>VLOOKUP(H6240,'合同高级查询数据-4月返'!A:A,1,FALSE)</f>
        <v>#N/A</v>
      </c>
      <c r="J6240" s="47" t="s">
        <v>33</v>
      </c>
      <c r="K6240" s="98" t="s">
        <v>7997</v>
      </c>
      <c r="L6240" s="163" t="s">
        <v>7998</v>
      </c>
      <c r="M6240" s="49" t="s">
        <v>7999</v>
      </c>
      <c r="N6240" s="267">
        <v>44712</v>
      </c>
      <c r="O6240" s="160" t="s">
        <v>37</v>
      </c>
      <c r="P6240" s="52">
        <v>0</v>
      </c>
      <c r="Q6240" s="70">
        <v>-288</v>
      </c>
      <c r="R6240" s="52">
        <f t="shared" si="186"/>
        <v>0</v>
      </c>
      <c r="S6240" s="47">
        <v>202304</v>
      </c>
      <c r="T6240" s="510" t="s">
        <v>8001</v>
      </c>
      <c r="U6240" s="160"/>
      <c r="V6240" s="72"/>
      <c r="W6240" s="160"/>
      <c r="X6240" s="267">
        <v>44440</v>
      </c>
      <c r="Y6240" s="73">
        <v>44804</v>
      </c>
    </row>
    <row r="6241" s="5" customFormat="1" customHeight="1" spans="1:25">
      <c r="A6241" s="24" t="s">
        <v>152</v>
      </c>
      <c r="B6241" s="24" t="s">
        <v>7422</v>
      </c>
      <c r="C6241" s="160" t="s">
        <v>330</v>
      </c>
      <c r="D6241" s="22" t="s">
        <v>7585</v>
      </c>
      <c r="E6241" s="46" t="s">
        <v>7974</v>
      </c>
      <c r="F6241" s="22" t="s">
        <v>7975</v>
      </c>
      <c r="G6241" s="98" t="s">
        <v>31</v>
      </c>
      <c r="H6241" s="25" t="s">
        <v>7996</v>
      </c>
      <c r="I6241" s="46" t="e">
        <f>VLOOKUP(H6241,'合同高级查询数据-4月返'!A:A,1,FALSE)</f>
        <v>#N/A</v>
      </c>
      <c r="J6241" s="47" t="s">
        <v>33</v>
      </c>
      <c r="K6241" s="98" t="s">
        <v>7997</v>
      </c>
      <c r="L6241" s="163" t="s">
        <v>7998</v>
      </c>
      <c r="M6241" s="49" t="s">
        <v>7999</v>
      </c>
      <c r="N6241" s="267"/>
      <c r="O6241" s="22" t="s">
        <v>179</v>
      </c>
      <c r="P6241" s="52">
        <v>0</v>
      </c>
      <c r="Q6241" s="70">
        <v>0</v>
      </c>
      <c r="R6241" s="52">
        <f t="shared" si="186"/>
        <v>0</v>
      </c>
      <c r="S6241" s="47">
        <v>202304</v>
      </c>
      <c r="T6241" s="510" t="s">
        <v>8002</v>
      </c>
      <c r="U6241" s="160"/>
      <c r="V6241" s="72"/>
      <c r="W6241" s="160"/>
      <c r="X6241" s="267">
        <v>44440</v>
      </c>
      <c r="Y6241" s="267">
        <v>44804</v>
      </c>
    </row>
    <row r="6242" s="5" customFormat="1" customHeight="1" spans="1:25">
      <c r="A6242" s="24" t="s">
        <v>152</v>
      </c>
      <c r="B6242" s="24" t="s">
        <v>7422</v>
      </c>
      <c r="C6242" s="160" t="s">
        <v>330</v>
      </c>
      <c r="D6242" s="22" t="s">
        <v>7585</v>
      </c>
      <c r="E6242" s="46" t="s">
        <v>7974</v>
      </c>
      <c r="F6242" s="22" t="s">
        <v>7975</v>
      </c>
      <c r="G6242" s="24" t="s">
        <v>88</v>
      </c>
      <c r="H6242" s="25" t="s">
        <v>7996</v>
      </c>
      <c r="I6242" s="46" t="e">
        <f>VLOOKUP(H6242,'合同高级查询数据-4月返'!A:A,1,FALSE)</f>
        <v>#N/A</v>
      </c>
      <c r="J6242" s="47" t="s">
        <v>162</v>
      </c>
      <c r="K6242" s="98" t="s">
        <v>7997</v>
      </c>
      <c r="L6242" s="163" t="s">
        <v>7998</v>
      </c>
      <c r="M6242" s="49" t="s">
        <v>7999</v>
      </c>
      <c r="N6242" s="267">
        <v>44076</v>
      </c>
      <c r="O6242" s="160" t="s">
        <v>92</v>
      </c>
      <c r="P6242" s="52">
        <v>4000</v>
      </c>
      <c r="Q6242" s="70">
        <v>6</v>
      </c>
      <c r="R6242" s="52">
        <f t="shared" si="186"/>
        <v>24000</v>
      </c>
      <c r="S6242" s="47">
        <v>202304</v>
      </c>
      <c r="T6242" s="510" t="s">
        <v>8003</v>
      </c>
      <c r="U6242" s="160"/>
      <c r="V6242" s="72"/>
      <c r="W6242" s="160"/>
      <c r="X6242" s="267">
        <v>44440</v>
      </c>
      <c r="Y6242" s="267">
        <v>44804</v>
      </c>
    </row>
    <row r="6243" s="5" customFormat="1" customHeight="1" spans="1:25">
      <c r="A6243" s="24" t="s">
        <v>152</v>
      </c>
      <c r="B6243" s="24" t="s">
        <v>7422</v>
      </c>
      <c r="C6243" s="160" t="s">
        <v>330</v>
      </c>
      <c r="D6243" s="22" t="s">
        <v>7585</v>
      </c>
      <c r="E6243" s="46" t="s">
        <v>7974</v>
      </c>
      <c r="F6243" s="22" t="s">
        <v>7975</v>
      </c>
      <c r="G6243" s="24" t="s">
        <v>88</v>
      </c>
      <c r="H6243" s="25" t="s">
        <v>7996</v>
      </c>
      <c r="I6243" s="46" t="e">
        <f>VLOOKUP(H6243,'合同高级查询数据-4月返'!A:A,1,FALSE)</f>
        <v>#N/A</v>
      </c>
      <c r="J6243" s="47" t="s">
        <v>162</v>
      </c>
      <c r="K6243" s="98" t="s">
        <v>7997</v>
      </c>
      <c r="L6243" s="163" t="s">
        <v>7998</v>
      </c>
      <c r="M6243" s="49" t="s">
        <v>7999</v>
      </c>
      <c r="N6243" s="267">
        <v>44554</v>
      </c>
      <c r="O6243" s="160" t="s">
        <v>92</v>
      </c>
      <c r="P6243" s="52">
        <v>4000</v>
      </c>
      <c r="Q6243" s="70">
        <v>-2</v>
      </c>
      <c r="R6243" s="52">
        <f t="shared" si="186"/>
        <v>-8000</v>
      </c>
      <c r="S6243" s="47">
        <v>202304</v>
      </c>
      <c r="T6243" s="510" t="s">
        <v>8004</v>
      </c>
      <c r="U6243" s="160"/>
      <c r="V6243" s="72"/>
      <c r="W6243" s="160"/>
      <c r="X6243" s="267">
        <v>44440</v>
      </c>
      <c r="Y6243" s="267">
        <v>44804</v>
      </c>
    </row>
    <row r="6244" s="5" customFormat="1" customHeight="1" spans="1:25">
      <c r="A6244" s="24" t="s">
        <v>152</v>
      </c>
      <c r="B6244" s="24" t="s">
        <v>7422</v>
      </c>
      <c r="C6244" s="160" t="s">
        <v>330</v>
      </c>
      <c r="D6244" s="22" t="s">
        <v>7585</v>
      </c>
      <c r="E6244" s="46" t="s">
        <v>7974</v>
      </c>
      <c r="F6244" s="22" t="s">
        <v>7975</v>
      </c>
      <c r="G6244" s="24" t="s">
        <v>88</v>
      </c>
      <c r="H6244" s="25" t="s">
        <v>7996</v>
      </c>
      <c r="I6244" s="46" t="e">
        <f>VLOOKUP(H6244,'合同高级查询数据-4月返'!A:A,1,FALSE)</f>
        <v>#N/A</v>
      </c>
      <c r="J6244" s="47" t="s">
        <v>162</v>
      </c>
      <c r="K6244" s="98" t="s">
        <v>7997</v>
      </c>
      <c r="L6244" s="163" t="s">
        <v>7998</v>
      </c>
      <c r="M6244" s="49" t="s">
        <v>7999</v>
      </c>
      <c r="N6244" s="267">
        <v>44712</v>
      </c>
      <c r="O6244" s="160" t="s">
        <v>92</v>
      </c>
      <c r="P6244" s="52">
        <v>4000</v>
      </c>
      <c r="Q6244" s="70">
        <v>-4</v>
      </c>
      <c r="R6244" s="52">
        <f t="shared" si="186"/>
        <v>-16000</v>
      </c>
      <c r="S6244" s="47">
        <v>202304</v>
      </c>
      <c r="T6244" s="510" t="s">
        <v>8005</v>
      </c>
      <c r="U6244" s="160"/>
      <c r="V6244" s="72"/>
      <c r="W6244" s="160"/>
      <c r="X6244" s="267">
        <v>44440</v>
      </c>
      <c r="Y6244" s="73">
        <v>44804</v>
      </c>
    </row>
    <row r="6245" s="5" customFormat="1" customHeight="1" spans="1:25">
      <c r="A6245" s="24" t="s">
        <v>152</v>
      </c>
      <c r="B6245" s="24" t="s">
        <v>7422</v>
      </c>
      <c r="C6245" s="24" t="s">
        <v>3237</v>
      </c>
      <c r="D6245" s="22" t="s">
        <v>7585</v>
      </c>
      <c r="E6245" s="46" t="s">
        <v>7974</v>
      </c>
      <c r="F6245" s="22" t="s">
        <v>7975</v>
      </c>
      <c r="G6245" s="24" t="s">
        <v>31</v>
      </c>
      <c r="H6245" s="22" t="s">
        <v>8006</v>
      </c>
      <c r="I6245" s="46" t="e">
        <f>VLOOKUP(H6245,'合同高级查询数据-4月返'!A:A,1,FALSE)</f>
        <v>#N/A</v>
      </c>
      <c r="J6245" s="47" t="s">
        <v>33</v>
      </c>
      <c r="K6245" s="22" t="s">
        <v>7958</v>
      </c>
      <c r="L6245" s="22" t="s">
        <v>7959</v>
      </c>
      <c r="M6245" s="22" t="s">
        <v>7960</v>
      </c>
      <c r="N6245" s="50">
        <v>44228</v>
      </c>
      <c r="O6245" s="22" t="s">
        <v>37</v>
      </c>
      <c r="P6245" s="486">
        <v>0</v>
      </c>
      <c r="Q6245" s="486">
        <v>288</v>
      </c>
      <c r="R6245" s="52">
        <f t="shared" si="186"/>
        <v>0</v>
      </c>
      <c r="S6245" s="47">
        <v>202304</v>
      </c>
      <c r="T6245" s="510" t="s">
        <v>8007</v>
      </c>
      <c r="U6245" s="160"/>
      <c r="V6245" s="72"/>
      <c r="W6245" s="160"/>
      <c r="X6245" s="50">
        <v>44593</v>
      </c>
      <c r="Y6245" s="50">
        <v>44957</v>
      </c>
    </row>
    <row r="6246" s="5" customFormat="1" customHeight="1" spans="1:25">
      <c r="A6246" s="24" t="s">
        <v>152</v>
      </c>
      <c r="B6246" s="24" t="s">
        <v>7422</v>
      </c>
      <c r="C6246" s="24" t="s">
        <v>3237</v>
      </c>
      <c r="D6246" s="22" t="s">
        <v>7585</v>
      </c>
      <c r="E6246" s="46" t="s">
        <v>7974</v>
      </c>
      <c r="F6246" s="22" t="s">
        <v>7975</v>
      </c>
      <c r="G6246" s="24" t="s">
        <v>31</v>
      </c>
      <c r="H6246" s="22" t="s">
        <v>8006</v>
      </c>
      <c r="I6246" s="46" t="e">
        <f>VLOOKUP(H6246,'合同高级查询数据-4月返'!A:A,1,FALSE)</f>
        <v>#N/A</v>
      </c>
      <c r="J6246" s="47" t="s">
        <v>33</v>
      </c>
      <c r="K6246" s="22" t="s">
        <v>7958</v>
      </c>
      <c r="L6246" s="22" t="s">
        <v>7959</v>
      </c>
      <c r="M6246" s="22" t="s">
        <v>7960</v>
      </c>
      <c r="N6246" s="50">
        <v>44681</v>
      </c>
      <c r="O6246" s="22" t="s">
        <v>37</v>
      </c>
      <c r="P6246" s="486">
        <v>0</v>
      </c>
      <c r="Q6246" s="486">
        <v>-288</v>
      </c>
      <c r="R6246" s="52">
        <f t="shared" si="186"/>
        <v>0</v>
      </c>
      <c r="S6246" s="47">
        <v>202304</v>
      </c>
      <c r="T6246" s="510" t="s">
        <v>8008</v>
      </c>
      <c r="U6246" s="160"/>
      <c r="V6246" s="72"/>
      <c r="W6246" s="160"/>
      <c r="X6246" s="50">
        <v>44593</v>
      </c>
      <c r="Y6246" s="50">
        <v>44957</v>
      </c>
    </row>
    <row r="6247" s="5" customFormat="1" customHeight="1" spans="1:25">
      <c r="A6247" s="24" t="s">
        <v>152</v>
      </c>
      <c r="B6247" s="24" t="s">
        <v>7422</v>
      </c>
      <c r="C6247" s="24" t="s">
        <v>3237</v>
      </c>
      <c r="D6247" s="22" t="s">
        <v>7585</v>
      </c>
      <c r="E6247" s="46" t="s">
        <v>7974</v>
      </c>
      <c r="F6247" s="22" t="s">
        <v>7975</v>
      </c>
      <c r="G6247" s="24" t="s">
        <v>31</v>
      </c>
      <c r="H6247" s="22" t="s">
        <v>8006</v>
      </c>
      <c r="I6247" s="46" t="e">
        <f>VLOOKUP(H6247,'合同高级查询数据-4月返'!A:A,1,FALSE)</f>
        <v>#N/A</v>
      </c>
      <c r="J6247" s="47" t="s">
        <v>33</v>
      </c>
      <c r="K6247" s="22" t="s">
        <v>7958</v>
      </c>
      <c r="L6247" s="22" t="s">
        <v>7959</v>
      </c>
      <c r="M6247" s="22" t="s">
        <v>7960</v>
      </c>
      <c r="N6247" s="50"/>
      <c r="O6247" s="22" t="s">
        <v>179</v>
      </c>
      <c r="P6247" s="486">
        <v>0</v>
      </c>
      <c r="Q6247" s="70">
        <v>0</v>
      </c>
      <c r="R6247" s="52">
        <f t="shared" si="186"/>
        <v>0</v>
      </c>
      <c r="S6247" s="47">
        <v>202304</v>
      </c>
      <c r="T6247" s="510" t="s">
        <v>8009</v>
      </c>
      <c r="U6247" s="160"/>
      <c r="V6247" s="72"/>
      <c r="W6247" s="160"/>
      <c r="X6247" s="50">
        <v>44593</v>
      </c>
      <c r="Y6247" s="50">
        <v>44957</v>
      </c>
    </row>
    <row r="6248" s="5" customFormat="1" customHeight="1" spans="1:25">
      <c r="A6248" s="24" t="s">
        <v>152</v>
      </c>
      <c r="B6248" s="24" t="s">
        <v>7422</v>
      </c>
      <c r="C6248" s="24" t="s">
        <v>3237</v>
      </c>
      <c r="D6248" s="22" t="s">
        <v>7585</v>
      </c>
      <c r="E6248" s="46" t="s">
        <v>7974</v>
      </c>
      <c r="F6248" s="22" t="s">
        <v>7975</v>
      </c>
      <c r="G6248" s="24" t="s">
        <v>88</v>
      </c>
      <c r="H6248" s="22" t="s">
        <v>8006</v>
      </c>
      <c r="I6248" s="46" t="e">
        <f>VLOOKUP(H6248,'合同高级查询数据-4月返'!A:A,1,FALSE)</f>
        <v>#N/A</v>
      </c>
      <c r="J6248" s="47" t="s">
        <v>162</v>
      </c>
      <c r="K6248" s="22" t="s">
        <v>7958</v>
      </c>
      <c r="L6248" s="22" t="s">
        <v>7959</v>
      </c>
      <c r="M6248" s="22" t="s">
        <v>7960</v>
      </c>
      <c r="N6248" s="50">
        <v>44228</v>
      </c>
      <c r="O6248" s="22" t="s">
        <v>92</v>
      </c>
      <c r="P6248" s="486">
        <v>4000</v>
      </c>
      <c r="Q6248" s="486">
        <v>7</v>
      </c>
      <c r="R6248" s="52">
        <f t="shared" si="186"/>
        <v>28000</v>
      </c>
      <c r="S6248" s="47">
        <v>202304</v>
      </c>
      <c r="T6248" s="510" t="s">
        <v>8010</v>
      </c>
      <c r="U6248" s="160"/>
      <c r="V6248" s="72"/>
      <c r="W6248" s="160"/>
      <c r="X6248" s="50">
        <v>44593</v>
      </c>
      <c r="Y6248" s="50">
        <v>44957</v>
      </c>
    </row>
    <row r="6249" s="5" customFormat="1" customHeight="1" spans="1:25">
      <c r="A6249" s="24" t="s">
        <v>152</v>
      </c>
      <c r="B6249" s="24" t="s">
        <v>7422</v>
      </c>
      <c r="C6249" s="24" t="s">
        <v>3237</v>
      </c>
      <c r="D6249" s="22" t="s">
        <v>7585</v>
      </c>
      <c r="E6249" s="46" t="s">
        <v>7974</v>
      </c>
      <c r="F6249" s="22" t="s">
        <v>7975</v>
      </c>
      <c r="G6249" s="24" t="s">
        <v>88</v>
      </c>
      <c r="H6249" s="22" t="s">
        <v>8006</v>
      </c>
      <c r="I6249" s="46" t="e">
        <f>VLOOKUP(H6249,'合同高级查询数据-4月返'!A:A,1,FALSE)</f>
        <v>#N/A</v>
      </c>
      <c r="J6249" s="47" t="s">
        <v>162</v>
      </c>
      <c r="K6249" s="22" t="s">
        <v>7958</v>
      </c>
      <c r="L6249" s="22" t="s">
        <v>7959</v>
      </c>
      <c r="M6249" s="22" t="s">
        <v>7960</v>
      </c>
      <c r="N6249" s="50">
        <v>44561</v>
      </c>
      <c r="O6249" s="22" t="s">
        <v>92</v>
      </c>
      <c r="P6249" s="486">
        <v>4000</v>
      </c>
      <c r="Q6249" s="486">
        <v>-7</v>
      </c>
      <c r="R6249" s="52">
        <f t="shared" si="186"/>
        <v>-28000</v>
      </c>
      <c r="S6249" s="47">
        <v>202304</v>
      </c>
      <c r="T6249" s="510" t="s">
        <v>8011</v>
      </c>
      <c r="U6249" s="160"/>
      <c r="V6249" s="72"/>
      <c r="W6249" s="160"/>
      <c r="X6249" s="50">
        <v>44593</v>
      </c>
      <c r="Y6249" s="50">
        <v>44957</v>
      </c>
    </row>
    <row r="6250" s="5" customFormat="1" customHeight="1" spans="1:25">
      <c r="A6250" s="24" t="s">
        <v>152</v>
      </c>
      <c r="B6250" s="24" t="s">
        <v>7422</v>
      </c>
      <c r="C6250" s="24" t="s">
        <v>3237</v>
      </c>
      <c r="D6250" s="22" t="s">
        <v>7585</v>
      </c>
      <c r="E6250" s="46" t="s">
        <v>7974</v>
      </c>
      <c r="F6250" s="22" t="s">
        <v>7975</v>
      </c>
      <c r="G6250" s="24" t="s">
        <v>88</v>
      </c>
      <c r="H6250" s="22" t="s">
        <v>8006</v>
      </c>
      <c r="I6250" s="46" t="e">
        <f>VLOOKUP(H6250,'合同高级查询数据-4月返'!A:A,1,FALSE)</f>
        <v>#N/A</v>
      </c>
      <c r="J6250" s="47" t="s">
        <v>162</v>
      </c>
      <c r="K6250" s="22" t="s">
        <v>7958</v>
      </c>
      <c r="L6250" s="22" t="s">
        <v>7959</v>
      </c>
      <c r="M6250" s="22" t="s">
        <v>7960</v>
      </c>
      <c r="N6250" s="50">
        <v>44562</v>
      </c>
      <c r="O6250" s="22" t="s">
        <v>92</v>
      </c>
      <c r="P6250" s="486">
        <v>4000</v>
      </c>
      <c r="Q6250" s="486">
        <v>7</v>
      </c>
      <c r="R6250" s="52">
        <f t="shared" si="186"/>
        <v>28000</v>
      </c>
      <c r="S6250" s="47">
        <v>202304</v>
      </c>
      <c r="T6250" s="510" t="s">
        <v>8011</v>
      </c>
      <c r="U6250" s="160"/>
      <c r="V6250" s="72"/>
      <c r="W6250" s="160"/>
      <c r="X6250" s="50">
        <v>44593</v>
      </c>
      <c r="Y6250" s="50">
        <v>44957</v>
      </c>
    </row>
    <row r="6251" s="5" customFormat="1" customHeight="1" spans="1:25">
      <c r="A6251" s="24" t="s">
        <v>152</v>
      </c>
      <c r="B6251" s="24" t="s">
        <v>7422</v>
      </c>
      <c r="C6251" s="24" t="s">
        <v>3237</v>
      </c>
      <c r="D6251" s="22" t="s">
        <v>7585</v>
      </c>
      <c r="E6251" s="46" t="s">
        <v>7974</v>
      </c>
      <c r="F6251" s="22" t="s">
        <v>7975</v>
      </c>
      <c r="G6251" s="24" t="s">
        <v>88</v>
      </c>
      <c r="H6251" s="22" t="s">
        <v>8006</v>
      </c>
      <c r="I6251" s="46" t="e">
        <f>VLOOKUP(H6251,'合同高级查询数据-4月返'!A:A,1,FALSE)</f>
        <v>#N/A</v>
      </c>
      <c r="J6251" s="47" t="s">
        <v>162</v>
      </c>
      <c r="K6251" s="22" t="s">
        <v>7958</v>
      </c>
      <c r="L6251" s="22" t="s">
        <v>7959</v>
      </c>
      <c r="M6251" s="22" t="s">
        <v>7960</v>
      </c>
      <c r="N6251" s="50">
        <v>44580</v>
      </c>
      <c r="O6251" s="22" t="s">
        <v>92</v>
      </c>
      <c r="P6251" s="486">
        <v>4000</v>
      </c>
      <c r="Q6251" s="486">
        <v>-2</v>
      </c>
      <c r="R6251" s="52">
        <f t="shared" si="186"/>
        <v>-8000</v>
      </c>
      <c r="S6251" s="47">
        <v>202304</v>
      </c>
      <c r="T6251" s="510" t="s">
        <v>8012</v>
      </c>
      <c r="U6251" s="160"/>
      <c r="V6251" s="72"/>
      <c r="W6251" s="160"/>
      <c r="X6251" s="50">
        <v>44593</v>
      </c>
      <c r="Y6251" s="50">
        <v>44957</v>
      </c>
    </row>
    <row r="6252" s="5" customFormat="1" customHeight="1" spans="1:25">
      <c r="A6252" s="24" t="s">
        <v>152</v>
      </c>
      <c r="B6252" s="24" t="s">
        <v>7422</v>
      </c>
      <c r="C6252" s="24" t="s">
        <v>3237</v>
      </c>
      <c r="D6252" s="22" t="s">
        <v>7585</v>
      </c>
      <c r="E6252" s="46" t="s">
        <v>7974</v>
      </c>
      <c r="F6252" s="22" t="s">
        <v>7975</v>
      </c>
      <c r="G6252" s="24" t="s">
        <v>88</v>
      </c>
      <c r="H6252" s="22" t="s">
        <v>8006</v>
      </c>
      <c r="I6252" s="46" t="e">
        <f>VLOOKUP(H6252,'合同高级查询数据-4月返'!A:A,1,FALSE)</f>
        <v>#N/A</v>
      </c>
      <c r="J6252" s="47" t="s">
        <v>162</v>
      </c>
      <c r="K6252" s="22" t="s">
        <v>7958</v>
      </c>
      <c r="L6252" s="22" t="s">
        <v>7959</v>
      </c>
      <c r="M6252" s="22" t="s">
        <v>7960</v>
      </c>
      <c r="N6252" s="50">
        <v>44681</v>
      </c>
      <c r="O6252" s="22" t="s">
        <v>92</v>
      </c>
      <c r="P6252" s="486">
        <v>4000</v>
      </c>
      <c r="Q6252" s="486">
        <v>-5</v>
      </c>
      <c r="R6252" s="52">
        <f t="shared" si="186"/>
        <v>-20000</v>
      </c>
      <c r="S6252" s="47">
        <v>202304</v>
      </c>
      <c r="T6252" s="510" t="s">
        <v>8013</v>
      </c>
      <c r="U6252" s="160"/>
      <c r="V6252" s="72"/>
      <c r="W6252" s="160"/>
      <c r="X6252" s="50">
        <v>44593</v>
      </c>
      <c r="Y6252" s="50">
        <v>44957</v>
      </c>
    </row>
    <row r="6253" s="5" customFormat="1" customHeight="1" spans="1:25">
      <c r="A6253" s="24" t="s">
        <v>152</v>
      </c>
      <c r="B6253" s="24" t="s">
        <v>7422</v>
      </c>
      <c r="C6253" s="24" t="s">
        <v>3237</v>
      </c>
      <c r="D6253" s="22" t="s">
        <v>7585</v>
      </c>
      <c r="E6253" s="46" t="s">
        <v>7974</v>
      </c>
      <c r="F6253" s="22" t="s">
        <v>7975</v>
      </c>
      <c r="G6253" s="98" t="s">
        <v>31</v>
      </c>
      <c r="H6253" s="22" t="s">
        <v>8014</v>
      </c>
      <c r="I6253" s="46" t="e">
        <f>VLOOKUP(H6253,'合同高级查询数据-4月返'!A:A,1,FALSE)</f>
        <v>#N/A</v>
      </c>
      <c r="J6253" s="47" t="s">
        <v>33</v>
      </c>
      <c r="K6253" s="22" t="s">
        <v>8015</v>
      </c>
      <c r="L6253" s="22" t="s">
        <v>8016</v>
      </c>
      <c r="M6253" s="475" t="s">
        <v>8017</v>
      </c>
      <c r="N6253" s="50">
        <v>44257</v>
      </c>
      <c r="O6253" s="73" t="s">
        <v>37</v>
      </c>
      <c r="P6253" s="486">
        <v>0</v>
      </c>
      <c r="Q6253" s="70">
        <v>288</v>
      </c>
      <c r="R6253" s="52">
        <f t="shared" si="186"/>
        <v>0</v>
      </c>
      <c r="S6253" s="47">
        <v>202304</v>
      </c>
      <c r="T6253" s="510" t="s">
        <v>8018</v>
      </c>
      <c r="U6253" s="160"/>
      <c r="V6253" s="72"/>
      <c r="W6253" s="160"/>
      <c r="X6253" s="50">
        <v>44621</v>
      </c>
      <c r="Y6253" s="50">
        <v>44985</v>
      </c>
    </row>
    <row r="6254" s="5" customFormat="1" customHeight="1" spans="1:25">
      <c r="A6254" s="24" t="s">
        <v>152</v>
      </c>
      <c r="B6254" s="24" t="s">
        <v>7422</v>
      </c>
      <c r="C6254" s="24" t="s">
        <v>3237</v>
      </c>
      <c r="D6254" s="22" t="s">
        <v>7585</v>
      </c>
      <c r="E6254" s="46" t="s">
        <v>7974</v>
      </c>
      <c r="F6254" s="22" t="s">
        <v>7975</v>
      </c>
      <c r="G6254" s="98" t="s">
        <v>31</v>
      </c>
      <c r="H6254" s="22" t="s">
        <v>8014</v>
      </c>
      <c r="I6254" s="46" t="e">
        <f>VLOOKUP(H6254,'合同高级查询数据-4月返'!A:A,1,FALSE)</f>
        <v>#N/A</v>
      </c>
      <c r="J6254" s="47" t="s">
        <v>33</v>
      </c>
      <c r="K6254" s="22" t="s">
        <v>8015</v>
      </c>
      <c r="L6254" s="22" t="s">
        <v>8016</v>
      </c>
      <c r="M6254" s="475" t="s">
        <v>8017</v>
      </c>
      <c r="N6254" s="50">
        <v>44742</v>
      </c>
      <c r="O6254" s="73" t="s">
        <v>37</v>
      </c>
      <c r="P6254" s="486">
        <v>0</v>
      </c>
      <c r="Q6254" s="70">
        <v>-288</v>
      </c>
      <c r="R6254" s="52">
        <f t="shared" si="186"/>
        <v>0</v>
      </c>
      <c r="S6254" s="47">
        <v>202304</v>
      </c>
      <c r="T6254" s="510" t="s">
        <v>8019</v>
      </c>
      <c r="U6254" s="160"/>
      <c r="V6254" s="72"/>
      <c r="W6254" s="160"/>
      <c r="X6254" s="50">
        <v>44621</v>
      </c>
      <c r="Y6254" s="50">
        <v>44985</v>
      </c>
    </row>
    <row r="6255" s="5" customFormat="1" customHeight="1" spans="1:25">
      <c r="A6255" s="24" t="s">
        <v>152</v>
      </c>
      <c r="B6255" s="24" t="s">
        <v>7422</v>
      </c>
      <c r="C6255" s="24" t="s">
        <v>3237</v>
      </c>
      <c r="D6255" s="22" t="s">
        <v>7585</v>
      </c>
      <c r="E6255" s="46" t="s">
        <v>7974</v>
      </c>
      <c r="F6255" s="22" t="s">
        <v>7975</v>
      </c>
      <c r="G6255" s="98" t="s">
        <v>31</v>
      </c>
      <c r="H6255" s="22" t="s">
        <v>8014</v>
      </c>
      <c r="I6255" s="46" t="e">
        <f>VLOOKUP(H6255,'合同高级查询数据-4月返'!A:A,1,FALSE)</f>
        <v>#N/A</v>
      </c>
      <c r="J6255" s="47" t="s">
        <v>33</v>
      </c>
      <c r="K6255" s="22" t="s">
        <v>8015</v>
      </c>
      <c r="L6255" s="22" t="s">
        <v>8016</v>
      </c>
      <c r="M6255" s="475" t="s">
        <v>8017</v>
      </c>
      <c r="N6255" s="50"/>
      <c r="O6255" s="22" t="s">
        <v>179</v>
      </c>
      <c r="P6255" s="486">
        <v>0</v>
      </c>
      <c r="Q6255" s="70">
        <v>0</v>
      </c>
      <c r="R6255" s="52">
        <f t="shared" si="186"/>
        <v>0</v>
      </c>
      <c r="S6255" s="47">
        <v>202304</v>
      </c>
      <c r="T6255" s="510" t="s">
        <v>8020</v>
      </c>
      <c r="U6255" s="160"/>
      <c r="V6255" s="72"/>
      <c r="W6255" s="160"/>
      <c r="X6255" s="50">
        <v>44621</v>
      </c>
      <c r="Y6255" s="50">
        <v>44985</v>
      </c>
    </row>
    <row r="6256" s="5" customFormat="1" customHeight="1" spans="1:25">
      <c r="A6256" s="24" t="s">
        <v>152</v>
      </c>
      <c r="B6256" s="24" t="s">
        <v>7422</v>
      </c>
      <c r="C6256" s="24" t="s">
        <v>3237</v>
      </c>
      <c r="D6256" s="22" t="s">
        <v>7585</v>
      </c>
      <c r="E6256" s="46" t="s">
        <v>7974</v>
      </c>
      <c r="F6256" s="22" t="s">
        <v>7975</v>
      </c>
      <c r="G6256" s="24" t="s">
        <v>88</v>
      </c>
      <c r="H6256" s="22" t="s">
        <v>8014</v>
      </c>
      <c r="I6256" s="46" t="e">
        <f>VLOOKUP(H6256,'合同高级查询数据-4月返'!A:A,1,FALSE)</f>
        <v>#N/A</v>
      </c>
      <c r="J6256" s="47" t="s">
        <v>162</v>
      </c>
      <c r="K6256" s="22" t="s">
        <v>8015</v>
      </c>
      <c r="L6256" s="22" t="s">
        <v>8016</v>
      </c>
      <c r="M6256" s="475" t="s">
        <v>8017</v>
      </c>
      <c r="N6256" s="50">
        <v>44257</v>
      </c>
      <c r="O6256" s="73" t="s">
        <v>92</v>
      </c>
      <c r="P6256" s="486">
        <v>4000</v>
      </c>
      <c r="Q6256" s="70">
        <v>4</v>
      </c>
      <c r="R6256" s="52">
        <f t="shared" si="186"/>
        <v>16000</v>
      </c>
      <c r="S6256" s="47">
        <v>202304</v>
      </c>
      <c r="T6256" s="510" t="s">
        <v>8021</v>
      </c>
      <c r="U6256" s="160"/>
      <c r="V6256" s="72"/>
      <c r="W6256" s="160"/>
      <c r="X6256" s="50">
        <v>44621</v>
      </c>
      <c r="Y6256" s="50">
        <v>44985</v>
      </c>
    </row>
    <row r="6257" s="5" customFormat="1" customHeight="1" spans="1:25">
      <c r="A6257" s="24" t="s">
        <v>152</v>
      </c>
      <c r="B6257" s="24" t="s">
        <v>7422</v>
      </c>
      <c r="C6257" s="24" t="s">
        <v>3237</v>
      </c>
      <c r="D6257" s="22" t="s">
        <v>7585</v>
      </c>
      <c r="E6257" s="46" t="s">
        <v>7974</v>
      </c>
      <c r="F6257" s="22" t="s">
        <v>7975</v>
      </c>
      <c r="G6257" s="24" t="s">
        <v>88</v>
      </c>
      <c r="H6257" s="22" t="s">
        <v>8014</v>
      </c>
      <c r="I6257" s="46" t="e">
        <f>VLOOKUP(H6257,'合同高级查询数据-4月返'!A:A,1,FALSE)</f>
        <v>#N/A</v>
      </c>
      <c r="J6257" s="47" t="s">
        <v>162</v>
      </c>
      <c r="K6257" s="22" t="s">
        <v>8015</v>
      </c>
      <c r="L6257" s="22" t="s">
        <v>8016</v>
      </c>
      <c r="M6257" s="475" t="s">
        <v>8017</v>
      </c>
      <c r="N6257" s="50">
        <v>44742</v>
      </c>
      <c r="O6257" s="73" t="s">
        <v>92</v>
      </c>
      <c r="P6257" s="486">
        <v>4000</v>
      </c>
      <c r="Q6257" s="70">
        <v>-4</v>
      </c>
      <c r="R6257" s="52">
        <f t="shared" si="186"/>
        <v>-16000</v>
      </c>
      <c r="S6257" s="47">
        <v>202304</v>
      </c>
      <c r="T6257" s="510" t="s">
        <v>8022</v>
      </c>
      <c r="U6257" s="160"/>
      <c r="V6257" s="72"/>
      <c r="W6257" s="160"/>
      <c r="X6257" s="50">
        <v>44621</v>
      </c>
      <c r="Y6257" s="50">
        <v>44985</v>
      </c>
    </row>
    <row r="6258" s="5" customFormat="1" customHeight="1" spans="1:25">
      <c r="A6258" s="21" t="s">
        <v>25</v>
      </c>
      <c r="B6258" s="22" t="s">
        <v>7422</v>
      </c>
      <c r="C6258" s="22" t="s">
        <v>3237</v>
      </c>
      <c r="D6258" s="22" t="s">
        <v>7585</v>
      </c>
      <c r="E6258" s="23" t="s">
        <v>7974</v>
      </c>
      <c r="F6258" s="24" t="s">
        <v>7975</v>
      </c>
      <c r="G6258" s="24" t="s">
        <v>31</v>
      </c>
      <c r="H6258" s="25" t="s">
        <v>8023</v>
      </c>
      <c r="I6258" s="46" t="e">
        <f>VLOOKUP(H6258,'合同高级查询数据-4月返'!A:A,1,FALSE)</f>
        <v>#N/A</v>
      </c>
      <c r="J6258" s="47" t="s">
        <v>33</v>
      </c>
      <c r="K6258" s="24" t="s">
        <v>6882</v>
      </c>
      <c r="L6258" s="109" t="s">
        <v>8024</v>
      </c>
      <c r="M6258" s="49" t="s">
        <v>8025</v>
      </c>
      <c r="N6258" s="50">
        <v>44288</v>
      </c>
      <c r="O6258" s="22" t="s">
        <v>37</v>
      </c>
      <c r="P6258" s="52">
        <v>0</v>
      </c>
      <c r="Q6258" s="70">
        <v>288</v>
      </c>
      <c r="R6258" s="52">
        <f t="shared" si="186"/>
        <v>0</v>
      </c>
      <c r="S6258" s="47">
        <v>202304</v>
      </c>
      <c r="T6258" s="123" t="s">
        <v>8026</v>
      </c>
      <c r="U6258" s="97"/>
      <c r="V6258" s="453"/>
      <c r="W6258" s="453"/>
      <c r="X6258" s="50">
        <v>44501</v>
      </c>
      <c r="Y6258" s="50">
        <v>44957</v>
      </c>
    </row>
    <row r="6259" s="5" customFormat="1" customHeight="1" spans="1:25">
      <c r="A6259" s="21" t="s">
        <v>25</v>
      </c>
      <c r="B6259" s="22" t="s">
        <v>7422</v>
      </c>
      <c r="C6259" s="22" t="s">
        <v>3237</v>
      </c>
      <c r="D6259" s="22" t="s">
        <v>7585</v>
      </c>
      <c r="E6259" s="23" t="s">
        <v>7974</v>
      </c>
      <c r="F6259" s="24" t="s">
        <v>7975</v>
      </c>
      <c r="G6259" s="24" t="s">
        <v>31</v>
      </c>
      <c r="H6259" s="25" t="s">
        <v>8023</v>
      </c>
      <c r="I6259" s="46" t="e">
        <f>VLOOKUP(H6259,'合同高级查询数据-4月返'!A:A,1,FALSE)</f>
        <v>#N/A</v>
      </c>
      <c r="J6259" s="47" t="s">
        <v>33</v>
      </c>
      <c r="K6259" s="24" t="s">
        <v>6882</v>
      </c>
      <c r="L6259" s="109" t="s">
        <v>8024</v>
      </c>
      <c r="M6259" s="49" t="s">
        <v>8025</v>
      </c>
      <c r="N6259" s="50">
        <v>44561</v>
      </c>
      <c r="O6259" s="22" t="s">
        <v>37</v>
      </c>
      <c r="P6259" s="52">
        <v>0</v>
      </c>
      <c r="Q6259" s="70">
        <v>-288</v>
      </c>
      <c r="R6259" s="52">
        <f t="shared" si="186"/>
        <v>0</v>
      </c>
      <c r="S6259" s="47">
        <v>202304</v>
      </c>
      <c r="T6259" s="123" t="s">
        <v>7758</v>
      </c>
      <c r="U6259" s="97"/>
      <c r="V6259" s="453"/>
      <c r="W6259" s="453"/>
      <c r="X6259" s="50">
        <v>44501</v>
      </c>
      <c r="Y6259" s="50">
        <v>44957</v>
      </c>
    </row>
    <row r="6260" s="5" customFormat="1" customHeight="1" spans="1:25">
      <c r="A6260" s="21" t="s">
        <v>25</v>
      </c>
      <c r="B6260" s="22" t="s">
        <v>7422</v>
      </c>
      <c r="C6260" s="22" t="s">
        <v>3237</v>
      </c>
      <c r="D6260" s="22" t="s">
        <v>7585</v>
      </c>
      <c r="E6260" s="23" t="s">
        <v>7974</v>
      </c>
      <c r="F6260" s="24" t="s">
        <v>7975</v>
      </c>
      <c r="G6260" s="24" t="s">
        <v>31</v>
      </c>
      <c r="H6260" s="25" t="s">
        <v>8023</v>
      </c>
      <c r="I6260" s="46" t="e">
        <f>VLOOKUP(H6260,'合同高级查询数据-4月返'!A:A,1,FALSE)</f>
        <v>#N/A</v>
      </c>
      <c r="J6260" s="47" t="s">
        <v>33</v>
      </c>
      <c r="K6260" s="24" t="s">
        <v>6882</v>
      </c>
      <c r="L6260" s="109" t="s">
        <v>8024</v>
      </c>
      <c r="M6260" s="49" t="s">
        <v>8025</v>
      </c>
      <c r="N6260" s="50"/>
      <c r="O6260" s="22" t="s">
        <v>179</v>
      </c>
      <c r="P6260" s="52">
        <v>0</v>
      </c>
      <c r="Q6260" s="70">
        <v>0</v>
      </c>
      <c r="R6260" s="52">
        <f t="shared" si="186"/>
        <v>0</v>
      </c>
      <c r="S6260" s="47">
        <v>202304</v>
      </c>
      <c r="T6260" s="123" t="s">
        <v>8027</v>
      </c>
      <c r="U6260" s="97"/>
      <c r="V6260" s="453"/>
      <c r="W6260" s="453"/>
      <c r="X6260" s="50">
        <v>44501</v>
      </c>
      <c r="Y6260" s="50">
        <v>44957</v>
      </c>
    </row>
    <row r="6261" s="5" customFormat="1" customHeight="1" spans="1:25">
      <c r="A6261" s="21" t="s">
        <v>25</v>
      </c>
      <c r="B6261" s="22" t="s">
        <v>7422</v>
      </c>
      <c r="C6261" s="22" t="s">
        <v>3237</v>
      </c>
      <c r="D6261" s="22" t="s">
        <v>7585</v>
      </c>
      <c r="E6261" s="23" t="s">
        <v>7974</v>
      </c>
      <c r="F6261" s="24" t="s">
        <v>7975</v>
      </c>
      <c r="G6261" s="24" t="s">
        <v>88</v>
      </c>
      <c r="H6261" s="25" t="s">
        <v>8023</v>
      </c>
      <c r="I6261" s="46" t="e">
        <f>VLOOKUP(H6261,'合同高级查询数据-4月返'!A:A,1,FALSE)</f>
        <v>#N/A</v>
      </c>
      <c r="J6261" s="47" t="s">
        <v>162</v>
      </c>
      <c r="K6261" s="24" t="s">
        <v>6882</v>
      </c>
      <c r="L6261" s="109" t="s">
        <v>8024</v>
      </c>
      <c r="M6261" s="49" t="s">
        <v>8025</v>
      </c>
      <c r="N6261" s="50">
        <v>44288</v>
      </c>
      <c r="O6261" s="22" t="s">
        <v>92</v>
      </c>
      <c r="P6261" s="52">
        <v>4500</v>
      </c>
      <c r="Q6261" s="70">
        <v>6</v>
      </c>
      <c r="R6261" s="52">
        <f t="shared" si="186"/>
        <v>27000</v>
      </c>
      <c r="S6261" s="47">
        <v>202304</v>
      </c>
      <c r="T6261" s="123" t="s">
        <v>8028</v>
      </c>
      <c r="U6261" s="97"/>
      <c r="V6261" s="453"/>
      <c r="W6261" s="453"/>
      <c r="X6261" s="50">
        <v>44501</v>
      </c>
      <c r="Y6261" s="50">
        <v>44957</v>
      </c>
    </row>
    <row r="6262" s="5" customFormat="1" customHeight="1" spans="1:25">
      <c r="A6262" s="21" t="s">
        <v>25</v>
      </c>
      <c r="B6262" s="22" t="s">
        <v>7422</v>
      </c>
      <c r="C6262" s="22" t="s">
        <v>3237</v>
      </c>
      <c r="D6262" s="22" t="s">
        <v>7585</v>
      </c>
      <c r="E6262" s="23" t="s">
        <v>7974</v>
      </c>
      <c r="F6262" s="24" t="s">
        <v>7975</v>
      </c>
      <c r="G6262" s="24" t="s">
        <v>88</v>
      </c>
      <c r="H6262" s="25" t="s">
        <v>8023</v>
      </c>
      <c r="I6262" s="46" t="e">
        <f>VLOOKUP(H6262,'合同高级查询数据-4月返'!A:A,1,FALSE)</f>
        <v>#N/A</v>
      </c>
      <c r="J6262" s="47" t="s">
        <v>162</v>
      </c>
      <c r="K6262" s="24" t="s">
        <v>6882</v>
      </c>
      <c r="L6262" s="109" t="s">
        <v>8024</v>
      </c>
      <c r="M6262" s="49" t="s">
        <v>8025</v>
      </c>
      <c r="N6262" s="50">
        <v>44561</v>
      </c>
      <c r="O6262" s="22" t="s">
        <v>92</v>
      </c>
      <c r="P6262" s="52">
        <v>4500</v>
      </c>
      <c r="Q6262" s="70">
        <v>-6</v>
      </c>
      <c r="R6262" s="52">
        <f t="shared" si="186"/>
        <v>-27000</v>
      </c>
      <c r="S6262" s="47">
        <v>202304</v>
      </c>
      <c r="T6262" s="123" t="s">
        <v>8029</v>
      </c>
      <c r="U6262" s="97"/>
      <c r="V6262" s="453"/>
      <c r="W6262" s="453"/>
      <c r="X6262" s="50">
        <v>44501</v>
      </c>
      <c r="Y6262" s="50">
        <v>44957</v>
      </c>
    </row>
    <row r="6263" s="5" customFormat="1" customHeight="1" spans="1:25">
      <c r="A6263" s="21" t="s">
        <v>25</v>
      </c>
      <c r="B6263" s="22" t="s">
        <v>7422</v>
      </c>
      <c r="C6263" s="22" t="s">
        <v>1987</v>
      </c>
      <c r="D6263" s="22" t="s">
        <v>7585</v>
      </c>
      <c r="E6263" s="23" t="s">
        <v>7974</v>
      </c>
      <c r="F6263" s="24" t="s">
        <v>7975</v>
      </c>
      <c r="G6263" s="24" t="s">
        <v>31</v>
      </c>
      <c r="H6263" s="25" t="s">
        <v>8030</v>
      </c>
      <c r="I6263" s="46" t="e">
        <f>VLOOKUP(H6263,'合同高级查询数据-4月返'!A:A,1,FALSE)</f>
        <v>#N/A</v>
      </c>
      <c r="J6263" s="47" t="s">
        <v>33</v>
      </c>
      <c r="K6263" s="24" t="s">
        <v>8031</v>
      </c>
      <c r="L6263" s="109" t="s">
        <v>8032</v>
      </c>
      <c r="M6263" s="49" t="s">
        <v>8033</v>
      </c>
      <c r="N6263" s="50">
        <v>44287</v>
      </c>
      <c r="O6263" s="22" t="s">
        <v>37</v>
      </c>
      <c r="P6263" s="52">
        <v>0</v>
      </c>
      <c r="Q6263" s="70">
        <v>288</v>
      </c>
      <c r="R6263" s="52">
        <f t="shared" ref="R6263:R6326" si="187">ROUND(P6263*Q6263,2)</f>
        <v>0</v>
      </c>
      <c r="S6263" s="47">
        <v>202304</v>
      </c>
      <c r="T6263" s="123" t="s">
        <v>8034</v>
      </c>
      <c r="U6263" s="97"/>
      <c r="V6263" s="453"/>
      <c r="W6263" s="453"/>
      <c r="X6263" s="50">
        <v>44835</v>
      </c>
      <c r="Y6263" s="50">
        <v>44957</v>
      </c>
    </row>
    <row r="6264" s="5" customFormat="1" customHeight="1" spans="1:25">
      <c r="A6264" s="21" t="s">
        <v>25</v>
      </c>
      <c r="B6264" s="22" t="s">
        <v>7422</v>
      </c>
      <c r="C6264" s="22" t="s">
        <v>1987</v>
      </c>
      <c r="D6264" s="22" t="s">
        <v>7585</v>
      </c>
      <c r="E6264" s="23" t="s">
        <v>7974</v>
      </c>
      <c r="F6264" s="24" t="s">
        <v>7975</v>
      </c>
      <c r="G6264" s="24" t="s">
        <v>31</v>
      </c>
      <c r="H6264" s="25" t="s">
        <v>8030</v>
      </c>
      <c r="I6264" s="46" t="e">
        <f>VLOOKUP(H6264,'合同高级查询数据-4月返'!A:A,1,FALSE)</f>
        <v>#N/A</v>
      </c>
      <c r="J6264" s="47" t="s">
        <v>33</v>
      </c>
      <c r="K6264" s="24" t="s">
        <v>8031</v>
      </c>
      <c r="L6264" s="109" t="s">
        <v>8032</v>
      </c>
      <c r="M6264" s="49" t="s">
        <v>8033</v>
      </c>
      <c r="N6264" s="50">
        <v>44957</v>
      </c>
      <c r="O6264" s="22" t="s">
        <v>37</v>
      </c>
      <c r="P6264" s="52">
        <v>0</v>
      </c>
      <c r="Q6264" s="70">
        <v>-288</v>
      </c>
      <c r="R6264" s="52">
        <f t="shared" si="187"/>
        <v>0</v>
      </c>
      <c r="S6264" s="47">
        <v>202304</v>
      </c>
      <c r="T6264" s="123" t="s">
        <v>8035</v>
      </c>
      <c r="U6264" s="97"/>
      <c r="V6264" s="453"/>
      <c r="W6264" s="453"/>
      <c r="X6264" s="50">
        <v>44835</v>
      </c>
      <c r="Y6264" s="50">
        <v>44957</v>
      </c>
    </row>
    <row r="6265" s="5" customFormat="1" customHeight="1" spans="1:25">
      <c r="A6265" s="21" t="s">
        <v>25</v>
      </c>
      <c r="B6265" s="22" t="s">
        <v>7422</v>
      </c>
      <c r="C6265" s="22" t="s">
        <v>1987</v>
      </c>
      <c r="D6265" s="22" t="s">
        <v>7585</v>
      </c>
      <c r="E6265" s="23" t="s">
        <v>7974</v>
      </c>
      <c r="F6265" s="24" t="s">
        <v>7975</v>
      </c>
      <c r="G6265" s="24" t="s">
        <v>31</v>
      </c>
      <c r="H6265" s="25" t="s">
        <v>8030</v>
      </c>
      <c r="I6265" s="46" t="e">
        <f>VLOOKUP(H6265,'合同高级查询数据-4月返'!A:A,1,FALSE)</f>
        <v>#N/A</v>
      </c>
      <c r="J6265" s="47" t="s">
        <v>33</v>
      </c>
      <c r="K6265" s="24" t="s">
        <v>8031</v>
      </c>
      <c r="L6265" s="109" t="s">
        <v>8032</v>
      </c>
      <c r="M6265" s="49" t="s">
        <v>8033</v>
      </c>
      <c r="N6265" s="50"/>
      <c r="O6265" s="22" t="s">
        <v>179</v>
      </c>
      <c r="P6265" s="52">
        <v>0</v>
      </c>
      <c r="Q6265" s="70">
        <v>0</v>
      </c>
      <c r="R6265" s="52">
        <f t="shared" si="187"/>
        <v>0</v>
      </c>
      <c r="S6265" s="47">
        <v>202304</v>
      </c>
      <c r="T6265" s="123" t="s">
        <v>8036</v>
      </c>
      <c r="U6265" s="97"/>
      <c r="V6265" s="453"/>
      <c r="W6265" s="453"/>
      <c r="X6265" s="50">
        <v>44835</v>
      </c>
      <c r="Y6265" s="50">
        <v>44957</v>
      </c>
    </row>
    <row r="6266" s="5" customFormat="1" customHeight="1" spans="1:25">
      <c r="A6266" s="21" t="s">
        <v>25</v>
      </c>
      <c r="B6266" s="22" t="s">
        <v>7422</v>
      </c>
      <c r="C6266" s="22" t="s">
        <v>1987</v>
      </c>
      <c r="D6266" s="22" t="s">
        <v>7585</v>
      </c>
      <c r="E6266" s="23" t="s">
        <v>7974</v>
      </c>
      <c r="F6266" s="24" t="s">
        <v>7975</v>
      </c>
      <c r="G6266" s="24" t="s">
        <v>88</v>
      </c>
      <c r="H6266" s="25" t="s">
        <v>8030</v>
      </c>
      <c r="I6266" s="46" t="e">
        <f>VLOOKUP(H6266,'合同高级查询数据-4月返'!A:A,1,FALSE)</f>
        <v>#N/A</v>
      </c>
      <c r="J6266" s="47" t="s">
        <v>162</v>
      </c>
      <c r="K6266" s="24" t="s">
        <v>8031</v>
      </c>
      <c r="L6266" s="109" t="s">
        <v>8032</v>
      </c>
      <c r="M6266" s="49" t="s">
        <v>8033</v>
      </c>
      <c r="N6266" s="50">
        <v>44287</v>
      </c>
      <c r="O6266" s="22" t="s">
        <v>92</v>
      </c>
      <c r="P6266" s="52">
        <v>4500</v>
      </c>
      <c r="Q6266" s="70">
        <v>4</v>
      </c>
      <c r="R6266" s="52">
        <f t="shared" si="187"/>
        <v>18000</v>
      </c>
      <c r="S6266" s="47">
        <v>202304</v>
      </c>
      <c r="T6266" s="123" t="s">
        <v>8037</v>
      </c>
      <c r="U6266" s="97"/>
      <c r="V6266" s="453"/>
      <c r="W6266" s="453"/>
      <c r="X6266" s="50">
        <v>44835</v>
      </c>
      <c r="Y6266" s="50">
        <v>44957</v>
      </c>
    </row>
    <row r="6267" s="5" customFormat="1" customHeight="1" spans="1:25">
      <c r="A6267" s="21" t="s">
        <v>25</v>
      </c>
      <c r="B6267" s="22" t="s">
        <v>7422</v>
      </c>
      <c r="C6267" s="22" t="s">
        <v>1987</v>
      </c>
      <c r="D6267" s="22" t="s">
        <v>7585</v>
      </c>
      <c r="E6267" s="23" t="s">
        <v>7974</v>
      </c>
      <c r="F6267" s="24" t="s">
        <v>7975</v>
      </c>
      <c r="G6267" s="24" t="s">
        <v>88</v>
      </c>
      <c r="H6267" s="25" t="s">
        <v>8030</v>
      </c>
      <c r="I6267" s="46" t="e">
        <f>VLOOKUP(H6267,'合同高级查询数据-4月返'!A:A,1,FALSE)</f>
        <v>#N/A</v>
      </c>
      <c r="J6267" s="47" t="s">
        <v>162</v>
      </c>
      <c r="K6267" s="24" t="s">
        <v>8031</v>
      </c>
      <c r="L6267" s="109" t="s">
        <v>8032</v>
      </c>
      <c r="M6267" s="49" t="s">
        <v>8033</v>
      </c>
      <c r="N6267" s="50">
        <v>44957</v>
      </c>
      <c r="O6267" s="22" t="s">
        <v>92</v>
      </c>
      <c r="P6267" s="52">
        <v>4500</v>
      </c>
      <c r="Q6267" s="70">
        <v>-4</v>
      </c>
      <c r="R6267" s="52">
        <f t="shared" si="187"/>
        <v>-18000</v>
      </c>
      <c r="S6267" s="47">
        <v>202304</v>
      </c>
      <c r="T6267" s="123" t="s">
        <v>8035</v>
      </c>
      <c r="U6267" s="97"/>
      <c r="V6267" s="453"/>
      <c r="W6267" s="453"/>
      <c r="X6267" s="50">
        <v>44835</v>
      </c>
      <c r="Y6267" s="50">
        <v>44957</v>
      </c>
    </row>
    <row r="6268" s="5" customFormat="1" customHeight="1" spans="1:25">
      <c r="A6268" s="21" t="s">
        <v>25</v>
      </c>
      <c r="B6268" s="22" t="s">
        <v>7422</v>
      </c>
      <c r="C6268" s="22" t="s">
        <v>44</v>
      </c>
      <c r="D6268" s="22" t="s">
        <v>7585</v>
      </c>
      <c r="E6268" s="23" t="s">
        <v>7974</v>
      </c>
      <c r="F6268" s="24" t="s">
        <v>7975</v>
      </c>
      <c r="G6268" s="24" t="s">
        <v>31</v>
      </c>
      <c r="H6268" s="25" t="s">
        <v>8038</v>
      </c>
      <c r="I6268" s="46" t="e">
        <f>VLOOKUP(H6268,'合同高级查询数据-4月返'!A:A,1,FALSE)</f>
        <v>#N/A</v>
      </c>
      <c r="J6268" s="47" t="s">
        <v>33</v>
      </c>
      <c r="K6268" s="24" t="s">
        <v>296</v>
      </c>
      <c r="L6268" s="109" t="s">
        <v>8039</v>
      </c>
      <c r="M6268" s="49" t="s">
        <v>8040</v>
      </c>
      <c r="N6268" s="50">
        <v>44287</v>
      </c>
      <c r="O6268" s="22" t="s">
        <v>37</v>
      </c>
      <c r="P6268" s="486">
        <v>0</v>
      </c>
      <c r="Q6268" s="70">
        <v>288</v>
      </c>
      <c r="R6268" s="52">
        <f t="shared" si="187"/>
        <v>0</v>
      </c>
      <c r="S6268" s="47">
        <v>202304</v>
      </c>
      <c r="T6268" s="123" t="s">
        <v>8041</v>
      </c>
      <c r="U6268" s="97"/>
      <c r="V6268" s="453"/>
      <c r="W6268" s="453"/>
      <c r="X6268" s="50">
        <v>44835</v>
      </c>
      <c r="Y6268" s="50">
        <v>44957</v>
      </c>
    </row>
    <row r="6269" s="5" customFormat="1" customHeight="1" spans="1:25">
      <c r="A6269" s="21" t="s">
        <v>25</v>
      </c>
      <c r="B6269" s="22" t="s">
        <v>7422</v>
      </c>
      <c r="C6269" s="22" t="s">
        <v>44</v>
      </c>
      <c r="D6269" s="22" t="s">
        <v>7585</v>
      </c>
      <c r="E6269" s="23" t="s">
        <v>7974</v>
      </c>
      <c r="F6269" s="24" t="s">
        <v>7975</v>
      </c>
      <c r="G6269" s="24" t="s">
        <v>31</v>
      </c>
      <c r="H6269" s="25" t="s">
        <v>8038</v>
      </c>
      <c r="I6269" s="46" t="e">
        <f>VLOOKUP(H6269,'合同高级查询数据-4月返'!A:A,1,FALSE)</f>
        <v>#N/A</v>
      </c>
      <c r="J6269" s="47" t="s">
        <v>33</v>
      </c>
      <c r="K6269" s="24" t="s">
        <v>296</v>
      </c>
      <c r="L6269" s="109" t="s">
        <v>8039</v>
      </c>
      <c r="M6269" s="49" t="s">
        <v>8040</v>
      </c>
      <c r="N6269" s="50">
        <v>44957</v>
      </c>
      <c r="O6269" s="22" t="s">
        <v>37</v>
      </c>
      <c r="P6269" s="486">
        <v>0</v>
      </c>
      <c r="Q6269" s="70">
        <v>-288</v>
      </c>
      <c r="R6269" s="52">
        <f t="shared" si="187"/>
        <v>0</v>
      </c>
      <c r="S6269" s="47">
        <v>202304</v>
      </c>
      <c r="T6269" s="123" t="s">
        <v>8035</v>
      </c>
      <c r="U6269" s="97"/>
      <c r="V6269" s="453"/>
      <c r="W6269" s="453"/>
      <c r="X6269" s="50">
        <v>44835</v>
      </c>
      <c r="Y6269" s="50">
        <v>44957</v>
      </c>
    </row>
    <row r="6270" s="5" customFormat="1" customHeight="1" spans="1:25">
      <c r="A6270" s="21" t="s">
        <v>25</v>
      </c>
      <c r="B6270" s="22" t="s">
        <v>7422</v>
      </c>
      <c r="C6270" s="22" t="s">
        <v>44</v>
      </c>
      <c r="D6270" s="22" t="s">
        <v>7585</v>
      </c>
      <c r="E6270" s="23" t="s">
        <v>7974</v>
      </c>
      <c r="F6270" s="24" t="s">
        <v>7975</v>
      </c>
      <c r="G6270" s="24" t="s">
        <v>31</v>
      </c>
      <c r="H6270" s="25" t="s">
        <v>8038</v>
      </c>
      <c r="I6270" s="46" t="e">
        <f>VLOOKUP(H6270,'合同高级查询数据-4月返'!A:A,1,FALSE)</f>
        <v>#N/A</v>
      </c>
      <c r="J6270" s="47" t="s">
        <v>33</v>
      </c>
      <c r="K6270" s="24" t="s">
        <v>296</v>
      </c>
      <c r="L6270" s="109" t="s">
        <v>8039</v>
      </c>
      <c r="M6270" s="49" t="s">
        <v>8040</v>
      </c>
      <c r="N6270" s="50"/>
      <c r="O6270" s="22" t="s">
        <v>179</v>
      </c>
      <c r="P6270" s="486">
        <v>0</v>
      </c>
      <c r="Q6270" s="70">
        <v>0</v>
      </c>
      <c r="R6270" s="52">
        <f t="shared" si="187"/>
        <v>0</v>
      </c>
      <c r="S6270" s="47">
        <v>202304</v>
      </c>
      <c r="T6270" s="123" t="s">
        <v>8042</v>
      </c>
      <c r="U6270" s="97"/>
      <c r="V6270" s="453"/>
      <c r="W6270" s="453"/>
      <c r="X6270" s="50">
        <v>44835</v>
      </c>
      <c r="Y6270" s="50">
        <v>44957</v>
      </c>
    </row>
    <row r="6271" s="5" customFormat="1" customHeight="1" spans="1:25">
      <c r="A6271" s="21" t="s">
        <v>25</v>
      </c>
      <c r="B6271" s="22" t="s">
        <v>7422</v>
      </c>
      <c r="C6271" s="22" t="s">
        <v>44</v>
      </c>
      <c r="D6271" s="22" t="s">
        <v>7585</v>
      </c>
      <c r="E6271" s="23" t="s">
        <v>7974</v>
      </c>
      <c r="F6271" s="24" t="s">
        <v>7975</v>
      </c>
      <c r="G6271" s="24" t="s">
        <v>88</v>
      </c>
      <c r="H6271" s="25" t="s">
        <v>8038</v>
      </c>
      <c r="I6271" s="46" t="e">
        <f>VLOOKUP(H6271,'合同高级查询数据-4月返'!A:A,1,FALSE)</f>
        <v>#N/A</v>
      </c>
      <c r="J6271" s="47" t="s">
        <v>162</v>
      </c>
      <c r="K6271" s="24" t="s">
        <v>296</v>
      </c>
      <c r="L6271" s="109" t="s">
        <v>8039</v>
      </c>
      <c r="M6271" s="49" t="s">
        <v>8040</v>
      </c>
      <c r="N6271" s="50">
        <v>44287</v>
      </c>
      <c r="O6271" s="22" t="s">
        <v>92</v>
      </c>
      <c r="P6271" s="52">
        <v>4500</v>
      </c>
      <c r="Q6271" s="70">
        <v>5</v>
      </c>
      <c r="R6271" s="52">
        <f t="shared" si="187"/>
        <v>22500</v>
      </c>
      <c r="S6271" s="47">
        <v>202304</v>
      </c>
      <c r="T6271" s="123" t="s">
        <v>8043</v>
      </c>
      <c r="U6271" s="97"/>
      <c r="V6271" s="453"/>
      <c r="W6271" s="453"/>
      <c r="X6271" s="50">
        <v>44835</v>
      </c>
      <c r="Y6271" s="50">
        <v>44957</v>
      </c>
    </row>
    <row r="6272" s="3" customFormat="1" customHeight="1" spans="1:25">
      <c r="A6272" s="101" t="s">
        <v>25</v>
      </c>
      <c r="B6272" s="35" t="s">
        <v>7422</v>
      </c>
      <c r="C6272" s="35" t="s">
        <v>44</v>
      </c>
      <c r="D6272" s="35" t="s">
        <v>7585</v>
      </c>
      <c r="E6272" s="13" t="s">
        <v>7974</v>
      </c>
      <c r="F6272" s="11" t="s">
        <v>7975</v>
      </c>
      <c r="G6272" s="11" t="s">
        <v>88</v>
      </c>
      <c r="H6272" s="110" t="s">
        <v>8044</v>
      </c>
      <c r="I6272" s="30" t="e">
        <f>VLOOKUP(H6272,'合同高级查询数据-4月返'!A:A,1,FALSE)</f>
        <v>#N/A</v>
      </c>
      <c r="J6272" s="31" t="s">
        <v>162</v>
      </c>
      <c r="K6272" s="11" t="s">
        <v>296</v>
      </c>
      <c r="L6272" s="32" t="s">
        <v>8039</v>
      </c>
      <c r="M6272" s="113" t="s">
        <v>8040</v>
      </c>
      <c r="N6272" s="34">
        <v>44936</v>
      </c>
      <c r="O6272" s="35" t="s">
        <v>92</v>
      </c>
      <c r="P6272" s="465">
        <v>4500</v>
      </c>
      <c r="Q6272" s="459">
        <v>1</v>
      </c>
      <c r="R6272" s="465">
        <f t="shared" si="187"/>
        <v>4500</v>
      </c>
      <c r="S6272" s="31">
        <v>202304</v>
      </c>
      <c r="T6272" s="60" t="s">
        <v>8045</v>
      </c>
      <c r="U6272" s="104"/>
      <c r="V6272" s="438"/>
      <c r="W6272" s="438"/>
      <c r="X6272" s="34"/>
      <c r="Y6272" s="34"/>
    </row>
    <row r="6273" s="5" customFormat="1" customHeight="1" spans="1:25">
      <c r="A6273" s="21" t="s">
        <v>25</v>
      </c>
      <c r="B6273" s="22" t="s">
        <v>7422</v>
      </c>
      <c r="C6273" s="22" t="s">
        <v>44</v>
      </c>
      <c r="D6273" s="22" t="s">
        <v>7585</v>
      </c>
      <c r="E6273" s="23" t="s">
        <v>7974</v>
      </c>
      <c r="F6273" s="24" t="s">
        <v>7975</v>
      </c>
      <c r="G6273" s="24" t="s">
        <v>88</v>
      </c>
      <c r="H6273" s="25" t="s">
        <v>8038</v>
      </c>
      <c r="I6273" s="46" t="e">
        <f>VLOOKUP(H6273,'合同高级查询数据-4月返'!A:A,1,FALSE)</f>
        <v>#N/A</v>
      </c>
      <c r="J6273" s="47" t="s">
        <v>162</v>
      </c>
      <c r="K6273" s="24" t="s">
        <v>296</v>
      </c>
      <c r="L6273" s="109" t="s">
        <v>8039</v>
      </c>
      <c r="M6273" s="49" t="s">
        <v>8040</v>
      </c>
      <c r="N6273" s="50">
        <v>44957</v>
      </c>
      <c r="O6273" s="22" t="s">
        <v>92</v>
      </c>
      <c r="P6273" s="52">
        <v>4500</v>
      </c>
      <c r="Q6273" s="70">
        <v>-5</v>
      </c>
      <c r="R6273" s="52">
        <f t="shared" si="187"/>
        <v>-22500</v>
      </c>
      <c r="S6273" s="47">
        <v>202304</v>
      </c>
      <c r="T6273" s="123" t="s">
        <v>8035</v>
      </c>
      <c r="U6273" s="97"/>
      <c r="V6273" s="453"/>
      <c r="W6273" s="453"/>
      <c r="X6273" s="50">
        <v>44835</v>
      </c>
      <c r="Y6273" s="50">
        <v>44957</v>
      </c>
    </row>
    <row r="6274" s="3" customFormat="1" customHeight="1" spans="1:25">
      <c r="A6274" s="101" t="s">
        <v>25</v>
      </c>
      <c r="B6274" s="35" t="s">
        <v>7422</v>
      </c>
      <c r="C6274" s="35" t="s">
        <v>44</v>
      </c>
      <c r="D6274" s="35" t="s">
        <v>7585</v>
      </c>
      <c r="E6274" s="13" t="s">
        <v>7974</v>
      </c>
      <c r="F6274" s="11" t="s">
        <v>7975</v>
      </c>
      <c r="G6274" s="11" t="s">
        <v>88</v>
      </c>
      <c r="H6274" s="110" t="s">
        <v>8044</v>
      </c>
      <c r="I6274" s="30" t="e">
        <f>VLOOKUP(H6274,'合同高级查询数据-4月返'!A:A,1,FALSE)</f>
        <v>#N/A</v>
      </c>
      <c r="J6274" s="31" t="s">
        <v>162</v>
      </c>
      <c r="K6274" s="11" t="s">
        <v>296</v>
      </c>
      <c r="L6274" s="32" t="s">
        <v>8039</v>
      </c>
      <c r="M6274" s="113" t="s">
        <v>8040</v>
      </c>
      <c r="N6274" s="34">
        <v>44957</v>
      </c>
      <c r="O6274" s="35" t="s">
        <v>92</v>
      </c>
      <c r="P6274" s="465">
        <v>4500</v>
      </c>
      <c r="Q6274" s="459">
        <v>-1</v>
      </c>
      <c r="R6274" s="465">
        <f t="shared" si="187"/>
        <v>-4500</v>
      </c>
      <c r="S6274" s="31">
        <v>202304</v>
      </c>
      <c r="T6274" s="60" t="s">
        <v>8035</v>
      </c>
      <c r="U6274" s="104"/>
      <c r="V6274" s="438"/>
      <c r="W6274" s="438"/>
      <c r="X6274" s="34"/>
      <c r="Y6274" s="34"/>
    </row>
    <row r="6275" s="5" customFormat="1" customHeight="1" spans="1:25">
      <c r="A6275" s="24" t="s">
        <v>152</v>
      </c>
      <c r="B6275" s="22" t="s">
        <v>7422</v>
      </c>
      <c r="C6275" s="22" t="s">
        <v>330</v>
      </c>
      <c r="D6275" s="22" t="s">
        <v>7585</v>
      </c>
      <c r="E6275" s="23" t="s">
        <v>7974</v>
      </c>
      <c r="F6275" s="24" t="s">
        <v>7975</v>
      </c>
      <c r="G6275" s="24" t="s">
        <v>31</v>
      </c>
      <c r="H6275" s="25" t="s">
        <v>8046</v>
      </c>
      <c r="I6275" s="46" t="e">
        <f>VLOOKUP(H6275,'合同高级查询数据-4月返'!A:A,1,FALSE)</f>
        <v>#N/A</v>
      </c>
      <c r="J6275" s="47" t="s">
        <v>33</v>
      </c>
      <c r="K6275" s="24" t="s">
        <v>5222</v>
      </c>
      <c r="L6275" s="109" t="s">
        <v>8047</v>
      </c>
      <c r="M6275" s="49" t="s">
        <v>8048</v>
      </c>
      <c r="N6275" s="50">
        <v>44470</v>
      </c>
      <c r="O6275" s="22" t="s">
        <v>37</v>
      </c>
      <c r="P6275" s="52">
        <v>0</v>
      </c>
      <c r="Q6275" s="70">
        <v>288</v>
      </c>
      <c r="R6275" s="52">
        <f t="shared" si="187"/>
        <v>0</v>
      </c>
      <c r="S6275" s="47">
        <v>202304</v>
      </c>
      <c r="T6275" s="123" t="s">
        <v>8049</v>
      </c>
      <c r="U6275" s="97"/>
      <c r="V6275" s="453"/>
      <c r="W6275" s="453"/>
      <c r="X6275" s="50">
        <v>44470</v>
      </c>
      <c r="Y6275" s="50">
        <v>44834</v>
      </c>
    </row>
    <row r="6276" s="5" customFormat="1" customHeight="1" spans="1:25">
      <c r="A6276" s="24" t="s">
        <v>152</v>
      </c>
      <c r="B6276" s="22" t="s">
        <v>7422</v>
      </c>
      <c r="C6276" s="22" t="s">
        <v>330</v>
      </c>
      <c r="D6276" s="22" t="s">
        <v>7585</v>
      </c>
      <c r="E6276" s="23" t="s">
        <v>7974</v>
      </c>
      <c r="F6276" s="24" t="s">
        <v>7975</v>
      </c>
      <c r="G6276" s="24" t="s">
        <v>31</v>
      </c>
      <c r="H6276" s="25" t="s">
        <v>8046</v>
      </c>
      <c r="I6276" s="46" t="e">
        <f>VLOOKUP(H6276,'合同高级查询数据-4月返'!A:A,1,FALSE)</f>
        <v>#N/A</v>
      </c>
      <c r="J6276" s="47" t="s">
        <v>33</v>
      </c>
      <c r="K6276" s="24" t="s">
        <v>5222</v>
      </c>
      <c r="L6276" s="109" t="s">
        <v>8047</v>
      </c>
      <c r="M6276" s="49" t="s">
        <v>8048</v>
      </c>
      <c r="N6276" s="50">
        <v>44712</v>
      </c>
      <c r="O6276" s="22" t="s">
        <v>37</v>
      </c>
      <c r="P6276" s="52">
        <v>0</v>
      </c>
      <c r="Q6276" s="70">
        <v>-288</v>
      </c>
      <c r="R6276" s="52">
        <f t="shared" si="187"/>
        <v>0</v>
      </c>
      <c r="S6276" s="47">
        <v>202304</v>
      </c>
      <c r="T6276" s="123" t="s">
        <v>8050</v>
      </c>
      <c r="U6276" s="97"/>
      <c r="V6276" s="453"/>
      <c r="W6276" s="453"/>
      <c r="X6276" s="267">
        <v>44470</v>
      </c>
      <c r="Y6276" s="73">
        <v>44834</v>
      </c>
    </row>
    <row r="6277" s="5" customFormat="1" customHeight="1" spans="1:25">
      <c r="A6277" s="24" t="s">
        <v>152</v>
      </c>
      <c r="B6277" s="22" t="s">
        <v>7422</v>
      </c>
      <c r="C6277" s="22" t="s">
        <v>330</v>
      </c>
      <c r="D6277" s="22" t="s">
        <v>7585</v>
      </c>
      <c r="E6277" s="23" t="s">
        <v>7974</v>
      </c>
      <c r="F6277" s="24" t="s">
        <v>7975</v>
      </c>
      <c r="G6277" s="24" t="s">
        <v>31</v>
      </c>
      <c r="H6277" s="25" t="s">
        <v>8046</v>
      </c>
      <c r="I6277" s="46" t="e">
        <f>VLOOKUP(H6277,'合同高级查询数据-4月返'!A:A,1,FALSE)</f>
        <v>#N/A</v>
      </c>
      <c r="J6277" s="47" t="s">
        <v>33</v>
      </c>
      <c r="K6277" s="24" t="s">
        <v>5222</v>
      </c>
      <c r="L6277" s="109" t="s">
        <v>8047</v>
      </c>
      <c r="M6277" s="49" t="s">
        <v>8048</v>
      </c>
      <c r="N6277" s="50"/>
      <c r="O6277" s="22" t="s">
        <v>179</v>
      </c>
      <c r="P6277" s="52">
        <v>0</v>
      </c>
      <c r="Q6277" s="70">
        <v>0</v>
      </c>
      <c r="R6277" s="52">
        <f t="shared" si="187"/>
        <v>0</v>
      </c>
      <c r="S6277" s="47">
        <v>202304</v>
      </c>
      <c r="T6277" s="123" t="s">
        <v>8051</v>
      </c>
      <c r="U6277" s="97"/>
      <c r="V6277" s="453"/>
      <c r="W6277" s="453"/>
      <c r="X6277" s="50">
        <v>44470</v>
      </c>
      <c r="Y6277" s="50">
        <v>44834</v>
      </c>
    </row>
    <row r="6278" s="5" customFormat="1" customHeight="1" spans="1:25">
      <c r="A6278" s="24" t="s">
        <v>152</v>
      </c>
      <c r="B6278" s="22" t="s">
        <v>7422</v>
      </c>
      <c r="C6278" s="22" t="s">
        <v>330</v>
      </c>
      <c r="D6278" s="22" t="s">
        <v>7585</v>
      </c>
      <c r="E6278" s="23" t="s">
        <v>7974</v>
      </c>
      <c r="F6278" s="24" t="s">
        <v>7975</v>
      </c>
      <c r="G6278" s="24" t="s">
        <v>88</v>
      </c>
      <c r="H6278" s="25" t="s">
        <v>8046</v>
      </c>
      <c r="I6278" s="46" t="e">
        <f>VLOOKUP(H6278,'合同高级查询数据-4月返'!A:A,1,FALSE)</f>
        <v>#N/A</v>
      </c>
      <c r="J6278" s="47" t="s">
        <v>162</v>
      </c>
      <c r="K6278" s="24" t="s">
        <v>5222</v>
      </c>
      <c r="L6278" s="109" t="s">
        <v>8047</v>
      </c>
      <c r="M6278" s="49" t="s">
        <v>8048</v>
      </c>
      <c r="N6278" s="50">
        <v>44470</v>
      </c>
      <c r="O6278" s="22" t="s">
        <v>92</v>
      </c>
      <c r="P6278" s="52">
        <v>4000</v>
      </c>
      <c r="Q6278" s="70">
        <v>3</v>
      </c>
      <c r="R6278" s="52">
        <f t="shared" si="187"/>
        <v>12000</v>
      </c>
      <c r="S6278" s="47">
        <v>202304</v>
      </c>
      <c r="T6278" s="123" t="s">
        <v>8052</v>
      </c>
      <c r="U6278" s="97"/>
      <c r="V6278" s="453"/>
      <c r="W6278" s="453"/>
      <c r="X6278" s="50">
        <v>44470</v>
      </c>
      <c r="Y6278" s="50">
        <v>44834</v>
      </c>
    </row>
    <row r="6279" s="5" customFormat="1" customHeight="1" spans="1:25">
      <c r="A6279" s="24" t="s">
        <v>152</v>
      </c>
      <c r="B6279" s="22" t="s">
        <v>7422</v>
      </c>
      <c r="C6279" s="22" t="s">
        <v>330</v>
      </c>
      <c r="D6279" s="22" t="s">
        <v>7585</v>
      </c>
      <c r="E6279" s="23" t="s">
        <v>7974</v>
      </c>
      <c r="F6279" s="24" t="s">
        <v>7975</v>
      </c>
      <c r="G6279" s="24" t="s">
        <v>88</v>
      </c>
      <c r="H6279" s="25" t="s">
        <v>8046</v>
      </c>
      <c r="I6279" s="46" t="e">
        <f>VLOOKUP(H6279,'合同高级查询数据-4月返'!A:A,1,FALSE)</f>
        <v>#N/A</v>
      </c>
      <c r="J6279" s="47" t="s">
        <v>162</v>
      </c>
      <c r="K6279" s="24" t="s">
        <v>5222</v>
      </c>
      <c r="L6279" s="109" t="s">
        <v>8047</v>
      </c>
      <c r="M6279" s="49" t="s">
        <v>8048</v>
      </c>
      <c r="N6279" s="50">
        <v>44712</v>
      </c>
      <c r="O6279" s="22" t="s">
        <v>92</v>
      </c>
      <c r="P6279" s="52">
        <v>4000</v>
      </c>
      <c r="Q6279" s="70">
        <v>-3</v>
      </c>
      <c r="R6279" s="52">
        <f t="shared" si="187"/>
        <v>-12000</v>
      </c>
      <c r="S6279" s="47">
        <v>202304</v>
      </c>
      <c r="T6279" s="123" t="s">
        <v>8053</v>
      </c>
      <c r="U6279" s="97"/>
      <c r="V6279" s="453"/>
      <c r="W6279" s="453"/>
      <c r="X6279" s="267">
        <v>44470</v>
      </c>
      <c r="Y6279" s="73">
        <v>44834</v>
      </c>
    </row>
    <row r="6280" s="5" customFormat="1" customHeight="1" spans="1:25">
      <c r="A6280" s="21" t="s">
        <v>25</v>
      </c>
      <c r="B6280" s="22" t="s">
        <v>7422</v>
      </c>
      <c r="C6280" s="22" t="s">
        <v>3237</v>
      </c>
      <c r="D6280" s="22" t="s">
        <v>7585</v>
      </c>
      <c r="E6280" s="23" t="s">
        <v>7974</v>
      </c>
      <c r="F6280" s="24" t="s">
        <v>7975</v>
      </c>
      <c r="G6280" s="24" t="s">
        <v>31</v>
      </c>
      <c r="H6280" s="25" t="s">
        <v>8023</v>
      </c>
      <c r="I6280" s="46" t="e">
        <f>VLOOKUP(H6280,'合同高级查询数据-4月返'!A:A,1,FALSE)</f>
        <v>#N/A</v>
      </c>
      <c r="J6280" s="47" t="s">
        <v>33</v>
      </c>
      <c r="K6280" s="24" t="s">
        <v>6391</v>
      </c>
      <c r="L6280" s="109" t="s">
        <v>8054</v>
      </c>
      <c r="M6280" s="49" t="s">
        <v>8055</v>
      </c>
      <c r="N6280" s="50">
        <v>44562</v>
      </c>
      <c r="O6280" s="22" t="s">
        <v>37</v>
      </c>
      <c r="P6280" s="52">
        <v>0</v>
      </c>
      <c r="Q6280" s="70">
        <v>288</v>
      </c>
      <c r="R6280" s="52">
        <f t="shared" si="187"/>
        <v>0</v>
      </c>
      <c r="S6280" s="47">
        <v>202304</v>
      </c>
      <c r="T6280" s="123" t="s">
        <v>8056</v>
      </c>
      <c r="U6280" s="97"/>
      <c r="V6280" s="453"/>
      <c r="W6280" s="453"/>
      <c r="X6280" s="50">
        <v>44501</v>
      </c>
      <c r="Y6280" s="50">
        <v>44957</v>
      </c>
    </row>
    <row r="6281" s="5" customFormat="1" customHeight="1" spans="1:25">
      <c r="A6281" s="21" t="s">
        <v>25</v>
      </c>
      <c r="B6281" s="22" t="s">
        <v>7422</v>
      </c>
      <c r="C6281" s="22" t="s">
        <v>3237</v>
      </c>
      <c r="D6281" s="22" t="s">
        <v>7585</v>
      </c>
      <c r="E6281" s="23" t="s">
        <v>7974</v>
      </c>
      <c r="F6281" s="24" t="s">
        <v>7975</v>
      </c>
      <c r="G6281" s="24" t="s">
        <v>31</v>
      </c>
      <c r="H6281" s="25" t="s">
        <v>8023</v>
      </c>
      <c r="I6281" s="46" t="e">
        <f>VLOOKUP(H6281,'合同高级查询数据-4月返'!A:A,1,FALSE)</f>
        <v>#N/A</v>
      </c>
      <c r="J6281" s="47" t="s">
        <v>33</v>
      </c>
      <c r="K6281" s="24" t="s">
        <v>6391</v>
      </c>
      <c r="L6281" s="109" t="s">
        <v>8054</v>
      </c>
      <c r="M6281" s="49" t="s">
        <v>8055</v>
      </c>
      <c r="N6281" s="50">
        <v>44811</v>
      </c>
      <c r="O6281" s="22" t="s">
        <v>37</v>
      </c>
      <c r="P6281" s="52">
        <v>0</v>
      </c>
      <c r="Q6281" s="70">
        <v>-128</v>
      </c>
      <c r="R6281" s="52">
        <f t="shared" si="187"/>
        <v>0</v>
      </c>
      <c r="S6281" s="47">
        <v>202304</v>
      </c>
      <c r="T6281" s="123" t="s">
        <v>8057</v>
      </c>
      <c r="U6281" s="97"/>
      <c r="V6281" s="453"/>
      <c r="W6281" s="453"/>
      <c r="X6281" s="50">
        <v>44501</v>
      </c>
      <c r="Y6281" s="50">
        <v>44957</v>
      </c>
    </row>
    <row r="6282" s="5" customFormat="1" customHeight="1" spans="1:25">
      <c r="A6282" s="21" t="s">
        <v>25</v>
      </c>
      <c r="B6282" s="22" t="s">
        <v>7422</v>
      </c>
      <c r="C6282" s="22" t="s">
        <v>3237</v>
      </c>
      <c r="D6282" s="22" t="s">
        <v>7585</v>
      </c>
      <c r="E6282" s="23" t="s">
        <v>7974</v>
      </c>
      <c r="F6282" s="24" t="s">
        <v>7975</v>
      </c>
      <c r="G6282" s="24" t="s">
        <v>31</v>
      </c>
      <c r="H6282" s="25" t="s">
        <v>8023</v>
      </c>
      <c r="I6282" s="46" t="e">
        <f>VLOOKUP(H6282,'合同高级查询数据-4月返'!A:A,1,FALSE)</f>
        <v>#N/A</v>
      </c>
      <c r="J6282" s="47" t="s">
        <v>33</v>
      </c>
      <c r="K6282" s="24" t="s">
        <v>6391</v>
      </c>
      <c r="L6282" s="109" t="s">
        <v>8054</v>
      </c>
      <c r="M6282" s="49" t="s">
        <v>8055</v>
      </c>
      <c r="N6282" s="50">
        <v>44957</v>
      </c>
      <c r="O6282" s="22" t="s">
        <v>37</v>
      </c>
      <c r="P6282" s="52">
        <v>0</v>
      </c>
      <c r="Q6282" s="70">
        <v>-160</v>
      </c>
      <c r="R6282" s="52">
        <f t="shared" si="187"/>
        <v>0</v>
      </c>
      <c r="S6282" s="47">
        <v>202304</v>
      </c>
      <c r="T6282" s="123" t="s">
        <v>8058</v>
      </c>
      <c r="U6282" s="97"/>
      <c r="V6282" s="453"/>
      <c r="W6282" s="453"/>
      <c r="X6282" s="50">
        <v>44501</v>
      </c>
      <c r="Y6282" s="50">
        <v>44957</v>
      </c>
    </row>
    <row r="6283" s="5" customFormat="1" customHeight="1" spans="1:25">
      <c r="A6283" s="21" t="s">
        <v>25</v>
      </c>
      <c r="B6283" s="22" t="s">
        <v>7422</v>
      </c>
      <c r="C6283" s="22" t="s">
        <v>3237</v>
      </c>
      <c r="D6283" s="22" t="s">
        <v>7585</v>
      </c>
      <c r="E6283" s="23" t="s">
        <v>7974</v>
      </c>
      <c r="F6283" s="24" t="s">
        <v>7975</v>
      </c>
      <c r="G6283" s="24" t="s">
        <v>88</v>
      </c>
      <c r="H6283" s="25" t="s">
        <v>8023</v>
      </c>
      <c r="I6283" s="46" t="e">
        <f>VLOOKUP(H6283,'合同高级查询数据-4月返'!A:A,1,FALSE)</f>
        <v>#N/A</v>
      </c>
      <c r="J6283" s="47" t="s">
        <v>162</v>
      </c>
      <c r="K6283" s="24" t="s">
        <v>6391</v>
      </c>
      <c r="L6283" s="109" t="s">
        <v>8054</v>
      </c>
      <c r="M6283" s="49" t="s">
        <v>8055</v>
      </c>
      <c r="N6283" s="50">
        <v>44562</v>
      </c>
      <c r="O6283" s="22" t="s">
        <v>92</v>
      </c>
      <c r="P6283" s="52">
        <v>4500</v>
      </c>
      <c r="Q6283" s="70">
        <v>5</v>
      </c>
      <c r="R6283" s="52">
        <f t="shared" si="187"/>
        <v>22500</v>
      </c>
      <c r="S6283" s="47">
        <v>202304</v>
      </c>
      <c r="T6283" s="123" t="s">
        <v>8059</v>
      </c>
      <c r="U6283" s="97"/>
      <c r="V6283" s="453"/>
      <c r="W6283" s="453"/>
      <c r="X6283" s="50">
        <v>44501</v>
      </c>
      <c r="Y6283" s="50">
        <v>44957</v>
      </c>
    </row>
    <row r="6284" s="5" customFormat="1" customHeight="1" spans="1:25">
      <c r="A6284" s="21" t="s">
        <v>25</v>
      </c>
      <c r="B6284" s="22" t="s">
        <v>7422</v>
      </c>
      <c r="C6284" s="22" t="s">
        <v>3237</v>
      </c>
      <c r="D6284" s="22" t="s">
        <v>7585</v>
      </c>
      <c r="E6284" s="23" t="s">
        <v>7974</v>
      </c>
      <c r="F6284" s="24" t="s">
        <v>7975</v>
      </c>
      <c r="G6284" s="24" t="s">
        <v>88</v>
      </c>
      <c r="H6284" s="25" t="s">
        <v>8023</v>
      </c>
      <c r="I6284" s="46" t="e">
        <f>VLOOKUP(H6284,'合同高级查询数据-4月返'!A:A,1,FALSE)</f>
        <v>#N/A</v>
      </c>
      <c r="J6284" s="47" t="s">
        <v>162</v>
      </c>
      <c r="K6284" s="24" t="s">
        <v>6391</v>
      </c>
      <c r="L6284" s="109" t="s">
        <v>8054</v>
      </c>
      <c r="M6284" s="49" t="s">
        <v>8055</v>
      </c>
      <c r="N6284" s="50">
        <v>44811</v>
      </c>
      <c r="O6284" s="22" t="s">
        <v>92</v>
      </c>
      <c r="P6284" s="52">
        <v>4500</v>
      </c>
      <c r="Q6284" s="70">
        <v>-2</v>
      </c>
      <c r="R6284" s="52">
        <f t="shared" si="187"/>
        <v>-9000</v>
      </c>
      <c r="S6284" s="47">
        <v>202304</v>
      </c>
      <c r="T6284" s="123" t="s">
        <v>8060</v>
      </c>
      <c r="U6284" s="97"/>
      <c r="V6284" s="453"/>
      <c r="W6284" s="453"/>
      <c r="X6284" s="50">
        <v>44501</v>
      </c>
      <c r="Y6284" s="50">
        <v>44957</v>
      </c>
    </row>
    <row r="6285" s="5" customFormat="1" customHeight="1" spans="1:25">
      <c r="A6285" s="21" t="s">
        <v>25</v>
      </c>
      <c r="B6285" s="22" t="s">
        <v>7422</v>
      </c>
      <c r="C6285" s="22" t="s">
        <v>3237</v>
      </c>
      <c r="D6285" s="22" t="s">
        <v>7585</v>
      </c>
      <c r="E6285" s="23" t="s">
        <v>7974</v>
      </c>
      <c r="F6285" s="24" t="s">
        <v>7975</v>
      </c>
      <c r="G6285" s="24" t="s">
        <v>88</v>
      </c>
      <c r="H6285" s="25" t="s">
        <v>8023</v>
      </c>
      <c r="I6285" s="46" t="e">
        <f>VLOOKUP(H6285,'合同高级查询数据-4月返'!A:A,1,FALSE)</f>
        <v>#N/A</v>
      </c>
      <c r="J6285" s="47" t="s">
        <v>162</v>
      </c>
      <c r="K6285" s="24" t="s">
        <v>6391</v>
      </c>
      <c r="L6285" s="109" t="s">
        <v>8054</v>
      </c>
      <c r="M6285" s="49" t="s">
        <v>8055</v>
      </c>
      <c r="N6285" s="50">
        <v>44957</v>
      </c>
      <c r="O6285" s="22" t="s">
        <v>92</v>
      </c>
      <c r="P6285" s="52">
        <v>4500</v>
      </c>
      <c r="Q6285" s="70">
        <v>-3</v>
      </c>
      <c r="R6285" s="52">
        <f t="shared" si="187"/>
        <v>-13500</v>
      </c>
      <c r="S6285" s="47">
        <v>202304</v>
      </c>
      <c r="T6285" s="123" t="s">
        <v>8058</v>
      </c>
      <c r="U6285" s="97"/>
      <c r="V6285" s="453"/>
      <c r="W6285" s="453"/>
      <c r="X6285" s="50">
        <v>44501</v>
      </c>
      <c r="Y6285" s="50">
        <v>44957</v>
      </c>
    </row>
    <row r="6286" s="5" customFormat="1" customHeight="1" spans="1:25">
      <c r="A6286" s="24" t="s">
        <v>109</v>
      </c>
      <c r="B6286" s="22" t="s">
        <v>7422</v>
      </c>
      <c r="C6286" s="22" t="s">
        <v>188</v>
      </c>
      <c r="D6286" s="22" t="s">
        <v>28</v>
      </c>
      <c r="E6286" s="23" t="s">
        <v>8061</v>
      </c>
      <c r="F6286" s="24" t="s">
        <v>8062</v>
      </c>
      <c r="G6286" s="24" t="s">
        <v>31</v>
      </c>
      <c r="H6286" s="25" t="s">
        <v>8063</v>
      </c>
      <c r="I6286" s="46" t="e">
        <f>VLOOKUP(H6286,'合同高级查询数据-4月返'!A:A,1,FALSE)</f>
        <v>#N/A</v>
      </c>
      <c r="J6286" s="47" t="s">
        <v>33</v>
      </c>
      <c r="K6286" s="24" t="s">
        <v>7877</v>
      </c>
      <c r="L6286" s="109" t="s">
        <v>8064</v>
      </c>
      <c r="M6286" s="49" t="s">
        <v>8065</v>
      </c>
      <c r="N6286" s="50">
        <v>44236</v>
      </c>
      <c r="O6286" s="22" t="s">
        <v>37</v>
      </c>
      <c r="P6286" s="52">
        <v>0</v>
      </c>
      <c r="Q6286" s="70">
        <v>288</v>
      </c>
      <c r="R6286" s="52">
        <f t="shared" si="187"/>
        <v>0</v>
      </c>
      <c r="S6286" s="47">
        <v>202304</v>
      </c>
      <c r="T6286" s="123" t="s">
        <v>8066</v>
      </c>
      <c r="U6286" s="97"/>
      <c r="V6286" s="453"/>
      <c r="W6286" s="453"/>
      <c r="X6286" s="267">
        <v>44440</v>
      </c>
      <c r="Y6286" s="267">
        <v>44742</v>
      </c>
    </row>
    <row r="6287" s="5" customFormat="1" customHeight="1" spans="1:25">
      <c r="A6287" s="24" t="s">
        <v>109</v>
      </c>
      <c r="B6287" s="22" t="s">
        <v>7422</v>
      </c>
      <c r="C6287" s="22" t="s">
        <v>188</v>
      </c>
      <c r="D6287" s="22" t="s">
        <v>28</v>
      </c>
      <c r="E6287" s="23" t="s">
        <v>8061</v>
      </c>
      <c r="F6287" s="24" t="s">
        <v>8062</v>
      </c>
      <c r="G6287" s="24" t="s">
        <v>31</v>
      </c>
      <c r="H6287" s="25" t="s">
        <v>8063</v>
      </c>
      <c r="I6287" s="46" t="e">
        <f>VLOOKUP(H6287,'合同高级查询数据-4月返'!A:A,1,FALSE)</f>
        <v>#N/A</v>
      </c>
      <c r="J6287" s="47" t="s">
        <v>33</v>
      </c>
      <c r="K6287" s="24" t="s">
        <v>7877</v>
      </c>
      <c r="L6287" s="109" t="s">
        <v>8064</v>
      </c>
      <c r="M6287" s="49" t="s">
        <v>8065</v>
      </c>
      <c r="N6287" s="50">
        <v>44561</v>
      </c>
      <c r="O6287" s="22" t="s">
        <v>37</v>
      </c>
      <c r="P6287" s="52">
        <v>0</v>
      </c>
      <c r="Q6287" s="70">
        <v>-288</v>
      </c>
      <c r="R6287" s="52">
        <f t="shared" si="187"/>
        <v>0</v>
      </c>
      <c r="S6287" s="47">
        <v>202304</v>
      </c>
      <c r="T6287" s="123" t="s">
        <v>7758</v>
      </c>
      <c r="U6287" s="97"/>
      <c r="V6287" s="453"/>
      <c r="W6287" s="453"/>
      <c r="X6287" s="267">
        <v>44440</v>
      </c>
      <c r="Y6287" s="267">
        <v>44742</v>
      </c>
    </row>
    <row r="6288" s="5" customFormat="1" customHeight="1" spans="1:25">
      <c r="A6288" s="24" t="s">
        <v>109</v>
      </c>
      <c r="B6288" s="22" t="s">
        <v>7422</v>
      </c>
      <c r="C6288" s="22" t="s">
        <v>188</v>
      </c>
      <c r="D6288" s="22" t="s">
        <v>28</v>
      </c>
      <c r="E6288" s="23" t="s">
        <v>8061</v>
      </c>
      <c r="F6288" s="24" t="s">
        <v>8062</v>
      </c>
      <c r="G6288" s="24" t="s">
        <v>31</v>
      </c>
      <c r="H6288" s="25" t="s">
        <v>8063</v>
      </c>
      <c r="I6288" s="46" t="e">
        <f>VLOOKUP(H6288,'合同高级查询数据-4月返'!A:A,1,FALSE)</f>
        <v>#N/A</v>
      </c>
      <c r="J6288" s="47" t="s">
        <v>33</v>
      </c>
      <c r="K6288" s="24" t="s">
        <v>7877</v>
      </c>
      <c r="L6288" s="109" t="s">
        <v>8064</v>
      </c>
      <c r="M6288" s="49" t="s">
        <v>8065</v>
      </c>
      <c r="N6288" s="50"/>
      <c r="O6288" s="22" t="s">
        <v>179</v>
      </c>
      <c r="P6288" s="52">
        <v>0</v>
      </c>
      <c r="Q6288" s="70">
        <v>0</v>
      </c>
      <c r="R6288" s="52">
        <f t="shared" si="187"/>
        <v>0</v>
      </c>
      <c r="S6288" s="47">
        <v>202304</v>
      </c>
      <c r="T6288" s="123" t="s">
        <v>8067</v>
      </c>
      <c r="U6288" s="97"/>
      <c r="V6288" s="453"/>
      <c r="W6288" s="453"/>
      <c r="X6288" s="267">
        <v>44440</v>
      </c>
      <c r="Y6288" s="267">
        <v>44742</v>
      </c>
    </row>
    <row r="6289" s="5" customFormat="1" customHeight="1" spans="1:25">
      <c r="A6289" s="24" t="s">
        <v>109</v>
      </c>
      <c r="B6289" s="22" t="s">
        <v>7422</v>
      </c>
      <c r="C6289" s="22" t="s">
        <v>188</v>
      </c>
      <c r="D6289" s="22" t="s">
        <v>28</v>
      </c>
      <c r="E6289" s="23" t="s">
        <v>8061</v>
      </c>
      <c r="F6289" s="24" t="s">
        <v>8062</v>
      </c>
      <c r="G6289" s="24" t="s">
        <v>88</v>
      </c>
      <c r="H6289" s="25" t="s">
        <v>8063</v>
      </c>
      <c r="I6289" s="46" t="e">
        <f>VLOOKUP(H6289,'合同高级查询数据-4月返'!A:A,1,FALSE)</f>
        <v>#N/A</v>
      </c>
      <c r="J6289" s="47" t="s">
        <v>162</v>
      </c>
      <c r="K6289" s="24" t="s">
        <v>7877</v>
      </c>
      <c r="L6289" s="109" t="s">
        <v>8064</v>
      </c>
      <c r="M6289" s="49" t="s">
        <v>8065</v>
      </c>
      <c r="N6289" s="50">
        <v>44236</v>
      </c>
      <c r="O6289" s="22" t="s">
        <v>163</v>
      </c>
      <c r="P6289" s="52">
        <v>5500</v>
      </c>
      <c r="Q6289" s="70">
        <v>7</v>
      </c>
      <c r="R6289" s="52">
        <f t="shared" si="187"/>
        <v>38500</v>
      </c>
      <c r="S6289" s="47">
        <v>202304</v>
      </c>
      <c r="T6289" s="123" t="s">
        <v>8068</v>
      </c>
      <c r="U6289" s="97"/>
      <c r="V6289" s="453"/>
      <c r="W6289" s="453"/>
      <c r="X6289" s="267">
        <v>44440</v>
      </c>
      <c r="Y6289" s="267">
        <v>44742</v>
      </c>
    </row>
    <row r="6290" s="5" customFormat="1" customHeight="1" spans="1:25">
      <c r="A6290" s="24" t="s">
        <v>109</v>
      </c>
      <c r="B6290" s="22" t="s">
        <v>7422</v>
      </c>
      <c r="C6290" s="22" t="s">
        <v>188</v>
      </c>
      <c r="D6290" s="22" t="s">
        <v>28</v>
      </c>
      <c r="E6290" s="23" t="s">
        <v>8061</v>
      </c>
      <c r="F6290" s="24" t="s">
        <v>8062</v>
      </c>
      <c r="G6290" s="24" t="s">
        <v>88</v>
      </c>
      <c r="H6290" s="25" t="s">
        <v>8063</v>
      </c>
      <c r="I6290" s="46" t="e">
        <f>VLOOKUP(H6290,'合同高级查询数据-4月返'!A:A,1,FALSE)</f>
        <v>#N/A</v>
      </c>
      <c r="J6290" s="47" t="s">
        <v>162</v>
      </c>
      <c r="K6290" s="24" t="s">
        <v>7877</v>
      </c>
      <c r="L6290" s="109" t="s">
        <v>8064</v>
      </c>
      <c r="M6290" s="49" t="s">
        <v>8065</v>
      </c>
      <c r="N6290" s="50">
        <v>44561</v>
      </c>
      <c r="O6290" s="22" t="s">
        <v>163</v>
      </c>
      <c r="P6290" s="52">
        <v>5500</v>
      </c>
      <c r="Q6290" s="70">
        <v>-7</v>
      </c>
      <c r="R6290" s="52">
        <f t="shared" si="187"/>
        <v>-38500</v>
      </c>
      <c r="S6290" s="47">
        <v>202304</v>
      </c>
      <c r="T6290" s="123" t="s">
        <v>8069</v>
      </c>
      <c r="U6290" s="97"/>
      <c r="V6290" s="453"/>
      <c r="W6290" s="453"/>
      <c r="X6290" s="267">
        <v>44440</v>
      </c>
      <c r="Y6290" s="267">
        <v>44742</v>
      </c>
    </row>
    <row r="6291" s="5" customFormat="1" customHeight="1" spans="1:25">
      <c r="A6291" s="21" t="s">
        <v>25</v>
      </c>
      <c r="B6291" s="24" t="s">
        <v>7422</v>
      </c>
      <c r="C6291" s="24" t="s">
        <v>275</v>
      </c>
      <c r="D6291" s="22" t="s">
        <v>28</v>
      </c>
      <c r="E6291" s="23" t="s">
        <v>8070</v>
      </c>
      <c r="F6291" s="24" t="s">
        <v>8071</v>
      </c>
      <c r="G6291" s="24" t="s">
        <v>31</v>
      </c>
      <c r="H6291" s="25" t="s">
        <v>8072</v>
      </c>
      <c r="I6291" s="46" t="str">
        <f>VLOOKUP(H6291,'合同高级查询数据-4月返'!A:A,1,FALSE)</f>
        <v>182315IDC00160</v>
      </c>
      <c r="J6291" s="47" t="s">
        <v>33</v>
      </c>
      <c r="K6291" s="24" t="s">
        <v>4145</v>
      </c>
      <c r="L6291" s="511" t="s">
        <v>8073</v>
      </c>
      <c r="M6291" s="49" t="s">
        <v>8074</v>
      </c>
      <c r="N6291" s="50">
        <v>43774</v>
      </c>
      <c r="O6291" s="22" t="s">
        <v>37</v>
      </c>
      <c r="P6291" s="52">
        <v>0</v>
      </c>
      <c r="Q6291" s="70">
        <v>288</v>
      </c>
      <c r="R6291" s="52">
        <f t="shared" si="187"/>
        <v>0</v>
      </c>
      <c r="S6291" s="47">
        <v>202304</v>
      </c>
      <c r="T6291" s="123" t="s">
        <v>8075</v>
      </c>
      <c r="U6291" s="97"/>
      <c r="V6291" s="453"/>
      <c r="W6291" s="97"/>
      <c r="X6291" s="50">
        <v>44986</v>
      </c>
      <c r="Y6291" s="50">
        <v>45351</v>
      </c>
    </row>
    <row r="6292" s="5" customFormat="1" customHeight="1" spans="1:25">
      <c r="A6292" s="21" t="s">
        <v>25</v>
      </c>
      <c r="B6292" s="24" t="s">
        <v>7422</v>
      </c>
      <c r="C6292" s="24" t="s">
        <v>275</v>
      </c>
      <c r="D6292" s="22" t="s">
        <v>28</v>
      </c>
      <c r="E6292" s="23" t="s">
        <v>8070</v>
      </c>
      <c r="F6292" s="24" t="s">
        <v>8071</v>
      </c>
      <c r="G6292" s="24" t="s">
        <v>31</v>
      </c>
      <c r="H6292" s="25" t="s">
        <v>8072</v>
      </c>
      <c r="I6292" s="46" t="str">
        <f>VLOOKUP(H6292,'合同高级查询数据-4月返'!A:A,1,FALSE)</f>
        <v>182315IDC00160</v>
      </c>
      <c r="J6292" s="47" t="s">
        <v>33</v>
      </c>
      <c r="K6292" s="24" t="s">
        <v>4145</v>
      </c>
      <c r="L6292" s="511" t="s">
        <v>8073</v>
      </c>
      <c r="M6292" s="49" t="s">
        <v>8074</v>
      </c>
      <c r="N6292" s="50">
        <v>44790</v>
      </c>
      <c r="O6292" s="22" t="s">
        <v>37</v>
      </c>
      <c r="P6292" s="52">
        <v>0</v>
      </c>
      <c r="Q6292" s="70">
        <v>128</v>
      </c>
      <c r="R6292" s="52">
        <f t="shared" si="187"/>
        <v>0</v>
      </c>
      <c r="S6292" s="47">
        <v>202304</v>
      </c>
      <c r="T6292" s="123" t="s">
        <v>8076</v>
      </c>
      <c r="U6292" s="97"/>
      <c r="V6292" s="453"/>
      <c r="W6292" s="97"/>
      <c r="X6292" s="50">
        <v>44986</v>
      </c>
      <c r="Y6292" s="50">
        <v>45351</v>
      </c>
    </row>
    <row r="6293" s="5" customFormat="1" customHeight="1" spans="1:25">
      <c r="A6293" s="21" t="s">
        <v>25</v>
      </c>
      <c r="B6293" s="24" t="s">
        <v>7422</v>
      </c>
      <c r="C6293" s="24" t="s">
        <v>275</v>
      </c>
      <c r="D6293" s="22" t="s">
        <v>28</v>
      </c>
      <c r="E6293" s="23" t="s">
        <v>8070</v>
      </c>
      <c r="F6293" s="24" t="s">
        <v>8071</v>
      </c>
      <c r="G6293" s="24" t="s">
        <v>31</v>
      </c>
      <c r="H6293" s="25" t="s">
        <v>8072</v>
      </c>
      <c r="I6293" s="46" t="str">
        <f>VLOOKUP(H6293,'合同高级查询数据-4月返'!A:A,1,FALSE)</f>
        <v>182315IDC00160</v>
      </c>
      <c r="J6293" s="47" t="s">
        <v>33</v>
      </c>
      <c r="K6293" s="24" t="s">
        <v>4145</v>
      </c>
      <c r="L6293" s="511" t="s">
        <v>8073</v>
      </c>
      <c r="M6293" s="49" t="s">
        <v>8074</v>
      </c>
      <c r="N6293" s="50">
        <v>44985</v>
      </c>
      <c r="O6293" s="22" t="s">
        <v>37</v>
      </c>
      <c r="P6293" s="52">
        <v>0</v>
      </c>
      <c r="Q6293" s="70">
        <v>-128</v>
      </c>
      <c r="R6293" s="52">
        <f t="shared" si="187"/>
        <v>0</v>
      </c>
      <c r="S6293" s="47">
        <v>202304</v>
      </c>
      <c r="T6293" s="123" t="s">
        <v>8077</v>
      </c>
      <c r="U6293" s="97"/>
      <c r="V6293" s="453"/>
      <c r="W6293" s="97"/>
      <c r="X6293" s="50">
        <v>44986</v>
      </c>
      <c r="Y6293" s="50">
        <v>45351</v>
      </c>
    </row>
    <row r="6294" s="5" customFormat="1" customHeight="1" spans="1:25">
      <c r="A6294" s="21" t="s">
        <v>25</v>
      </c>
      <c r="B6294" s="24" t="s">
        <v>7422</v>
      </c>
      <c r="C6294" s="24" t="s">
        <v>275</v>
      </c>
      <c r="D6294" s="22" t="s">
        <v>28</v>
      </c>
      <c r="E6294" s="23" t="s">
        <v>8070</v>
      </c>
      <c r="F6294" s="24" t="s">
        <v>8071</v>
      </c>
      <c r="G6294" s="24" t="s">
        <v>31</v>
      </c>
      <c r="H6294" s="25" t="s">
        <v>8072</v>
      </c>
      <c r="I6294" s="46" t="str">
        <f>VLOOKUP(H6294,'合同高级查询数据-4月返'!A:A,1,FALSE)</f>
        <v>182315IDC00160</v>
      </c>
      <c r="J6294" s="47" t="s">
        <v>33</v>
      </c>
      <c r="K6294" s="24" t="s">
        <v>4145</v>
      </c>
      <c r="L6294" s="511" t="s">
        <v>8073</v>
      </c>
      <c r="M6294" s="49" t="s">
        <v>8074</v>
      </c>
      <c r="N6294" s="50"/>
      <c r="O6294" s="22" t="s">
        <v>179</v>
      </c>
      <c r="P6294" s="52">
        <v>0</v>
      </c>
      <c r="Q6294" s="52">
        <v>0</v>
      </c>
      <c r="R6294" s="52">
        <f t="shared" si="187"/>
        <v>0</v>
      </c>
      <c r="S6294" s="47">
        <v>202304</v>
      </c>
      <c r="T6294" s="123" t="s">
        <v>8078</v>
      </c>
      <c r="U6294" s="97"/>
      <c r="V6294" s="453"/>
      <c r="W6294" s="97"/>
      <c r="X6294" s="50">
        <v>44986</v>
      </c>
      <c r="Y6294" s="50">
        <v>45351</v>
      </c>
    </row>
    <row r="6295" s="5" customFormat="1" customHeight="1" spans="1:25">
      <c r="A6295" s="21" t="s">
        <v>25</v>
      </c>
      <c r="B6295" s="24" t="s">
        <v>7422</v>
      </c>
      <c r="C6295" s="24" t="s">
        <v>275</v>
      </c>
      <c r="D6295" s="22" t="s">
        <v>28</v>
      </c>
      <c r="E6295" s="23" t="s">
        <v>8070</v>
      </c>
      <c r="F6295" s="24" t="s">
        <v>8071</v>
      </c>
      <c r="G6295" s="24" t="s">
        <v>31</v>
      </c>
      <c r="H6295" s="25" t="s">
        <v>8072</v>
      </c>
      <c r="I6295" s="46" t="str">
        <f>VLOOKUP(H6295,'合同高级查询数据-4月返'!A:A,1,FALSE)</f>
        <v>182315IDC00160</v>
      </c>
      <c r="J6295" s="47" t="s">
        <v>33</v>
      </c>
      <c r="K6295" s="24" t="s">
        <v>4145</v>
      </c>
      <c r="L6295" s="511" t="s">
        <v>8073</v>
      </c>
      <c r="M6295" s="49" t="s">
        <v>8074</v>
      </c>
      <c r="N6295" s="50">
        <v>44790</v>
      </c>
      <c r="O6295" s="22" t="s">
        <v>179</v>
      </c>
      <c r="P6295" s="52">
        <v>0</v>
      </c>
      <c r="Q6295" s="52">
        <v>1</v>
      </c>
      <c r="R6295" s="52">
        <f t="shared" si="187"/>
        <v>0</v>
      </c>
      <c r="S6295" s="47">
        <v>202304</v>
      </c>
      <c r="T6295" s="123" t="s">
        <v>8079</v>
      </c>
      <c r="U6295" s="97"/>
      <c r="V6295" s="453"/>
      <c r="W6295" s="97"/>
      <c r="X6295" s="50">
        <v>44986</v>
      </c>
      <c r="Y6295" s="50">
        <v>45351</v>
      </c>
    </row>
    <row r="6296" s="5" customFormat="1" customHeight="1" spans="1:25">
      <c r="A6296" s="21" t="s">
        <v>25</v>
      </c>
      <c r="B6296" s="24" t="s">
        <v>7422</v>
      </c>
      <c r="C6296" s="24" t="s">
        <v>275</v>
      </c>
      <c r="D6296" s="22" t="s">
        <v>28</v>
      </c>
      <c r="E6296" s="23" t="s">
        <v>8070</v>
      </c>
      <c r="F6296" s="24" t="s">
        <v>8071</v>
      </c>
      <c r="G6296" s="24" t="s">
        <v>31</v>
      </c>
      <c r="H6296" s="25" t="s">
        <v>8072</v>
      </c>
      <c r="I6296" s="46" t="str">
        <f>VLOOKUP(H6296,'合同高级查询数据-4月返'!A:A,1,FALSE)</f>
        <v>182315IDC00160</v>
      </c>
      <c r="J6296" s="47" t="s">
        <v>33</v>
      </c>
      <c r="K6296" s="24" t="s">
        <v>4145</v>
      </c>
      <c r="L6296" s="511" t="s">
        <v>8073</v>
      </c>
      <c r="M6296" s="49" t="s">
        <v>8074</v>
      </c>
      <c r="N6296" s="50">
        <v>44831</v>
      </c>
      <c r="O6296" s="22" t="s">
        <v>179</v>
      </c>
      <c r="P6296" s="52">
        <v>0</v>
      </c>
      <c r="Q6296" s="52">
        <v>1</v>
      </c>
      <c r="R6296" s="52">
        <f t="shared" si="187"/>
        <v>0</v>
      </c>
      <c r="S6296" s="47">
        <v>202304</v>
      </c>
      <c r="T6296" s="123" t="s">
        <v>8080</v>
      </c>
      <c r="U6296" s="97"/>
      <c r="V6296" s="453"/>
      <c r="W6296" s="97"/>
      <c r="X6296" s="50">
        <v>44986</v>
      </c>
      <c r="Y6296" s="50">
        <v>45351</v>
      </c>
    </row>
    <row r="6297" s="5" customFormat="1" customHeight="1" spans="1:25">
      <c r="A6297" s="21" t="s">
        <v>25</v>
      </c>
      <c r="B6297" s="24" t="s">
        <v>7422</v>
      </c>
      <c r="C6297" s="24" t="s">
        <v>275</v>
      </c>
      <c r="D6297" s="22" t="s">
        <v>28</v>
      </c>
      <c r="E6297" s="23" t="s">
        <v>8070</v>
      </c>
      <c r="F6297" s="24" t="s">
        <v>8071</v>
      </c>
      <c r="G6297" s="24" t="s">
        <v>88</v>
      </c>
      <c r="H6297" s="25" t="s">
        <v>8072</v>
      </c>
      <c r="I6297" s="46" t="str">
        <f>VLOOKUP(H6297,'合同高级查询数据-4月返'!A:A,1,FALSE)</f>
        <v>182315IDC00160</v>
      </c>
      <c r="J6297" s="47" t="s">
        <v>162</v>
      </c>
      <c r="K6297" s="24" t="s">
        <v>4145</v>
      </c>
      <c r="L6297" s="511" t="s">
        <v>8073</v>
      </c>
      <c r="M6297" s="49" t="s">
        <v>8074</v>
      </c>
      <c r="N6297" s="50">
        <v>43774</v>
      </c>
      <c r="O6297" s="22" t="s">
        <v>92</v>
      </c>
      <c r="P6297" s="52">
        <v>0</v>
      </c>
      <c r="Q6297" s="70">
        <v>5</v>
      </c>
      <c r="R6297" s="52">
        <f t="shared" si="187"/>
        <v>0</v>
      </c>
      <c r="S6297" s="47">
        <v>202304</v>
      </c>
      <c r="T6297" s="123" t="s">
        <v>8081</v>
      </c>
      <c r="U6297" s="97"/>
      <c r="V6297" s="453"/>
      <c r="W6297" s="97"/>
      <c r="X6297" s="50">
        <v>44986</v>
      </c>
      <c r="Y6297" s="50">
        <v>45351</v>
      </c>
    </row>
    <row r="6298" s="5" customFormat="1" customHeight="1" spans="1:25">
      <c r="A6298" s="21" t="s">
        <v>25</v>
      </c>
      <c r="B6298" s="24" t="s">
        <v>7422</v>
      </c>
      <c r="C6298" s="24" t="s">
        <v>275</v>
      </c>
      <c r="D6298" s="22" t="s">
        <v>28</v>
      </c>
      <c r="E6298" s="23" t="s">
        <v>8070</v>
      </c>
      <c r="F6298" s="24" t="s">
        <v>8071</v>
      </c>
      <c r="G6298" s="24" t="s">
        <v>88</v>
      </c>
      <c r="H6298" s="25" t="s">
        <v>8072</v>
      </c>
      <c r="I6298" s="46" t="str">
        <f>VLOOKUP(H6298,'合同高级查询数据-4月返'!A:A,1,FALSE)</f>
        <v>182315IDC00160</v>
      </c>
      <c r="J6298" s="47" t="s">
        <v>162</v>
      </c>
      <c r="K6298" s="24" t="s">
        <v>4145</v>
      </c>
      <c r="L6298" s="511" t="s">
        <v>8073</v>
      </c>
      <c r="M6298" s="49" t="s">
        <v>8074</v>
      </c>
      <c r="N6298" s="50">
        <v>44140</v>
      </c>
      <c r="O6298" s="22" t="s">
        <v>92</v>
      </c>
      <c r="P6298" s="52">
        <v>0</v>
      </c>
      <c r="Q6298" s="70">
        <v>2</v>
      </c>
      <c r="R6298" s="52">
        <f t="shared" si="187"/>
        <v>0</v>
      </c>
      <c r="S6298" s="47">
        <v>202304</v>
      </c>
      <c r="T6298" s="123" t="s">
        <v>8082</v>
      </c>
      <c r="U6298" s="97"/>
      <c r="V6298" s="453"/>
      <c r="W6298" s="97"/>
      <c r="X6298" s="50">
        <v>44986</v>
      </c>
      <c r="Y6298" s="50">
        <v>45351</v>
      </c>
    </row>
    <row r="6299" s="5" customFormat="1" customHeight="1" spans="1:25">
      <c r="A6299" s="21" t="s">
        <v>25</v>
      </c>
      <c r="B6299" s="24" t="s">
        <v>7422</v>
      </c>
      <c r="C6299" s="24" t="s">
        <v>275</v>
      </c>
      <c r="D6299" s="22" t="s">
        <v>28</v>
      </c>
      <c r="E6299" s="23" t="s">
        <v>8070</v>
      </c>
      <c r="F6299" s="24" t="s">
        <v>8071</v>
      </c>
      <c r="G6299" s="24" t="s">
        <v>88</v>
      </c>
      <c r="H6299" s="25" t="s">
        <v>8072</v>
      </c>
      <c r="I6299" s="46" t="str">
        <f>VLOOKUP(H6299,'合同高级查询数据-4月返'!A:A,1,FALSE)</f>
        <v>182315IDC00160</v>
      </c>
      <c r="J6299" s="47" t="s">
        <v>162</v>
      </c>
      <c r="K6299" s="24" t="s">
        <v>4145</v>
      </c>
      <c r="L6299" s="511" t="s">
        <v>8073</v>
      </c>
      <c r="M6299" s="49" t="s">
        <v>8074</v>
      </c>
      <c r="N6299" s="50">
        <v>44396</v>
      </c>
      <c r="O6299" s="22" t="s">
        <v>92</v>
      </c>
      <c r="P6299" s="52">
        <v>0</v>
      </c>
      <c r="Q6299" s="70">
        <v>-1</v>
      </c>
      <c r="R6299" s="52">
        <f t="shared" si="187"/>
        <v>0</v>
      </c>
      <c r="S6299" s="47">
        <v>202304</v>
      </c>
      <c r="T6299" s="123" t="s">
        <v>8083</v>
      </c>
      <c r="U6299" s="97"/>
      <c r="V6299" s="453"/>
      <c r="W6299" s="97"/>
      <c r="X6299" s="50">
        <v>44986</v>
      </c>
      <c r="Y6299" s="50">
        <v>45351</v>
      </c>
    </row>
    <row r="6300" s="5" customFormat="1" customHeight="1" spans="1:25">
      <c r="A6300" s="21" t="s">
        <v>25</v>
      </c>
      <c r="B6300" s="24" t="s">
        <v>7422</v>
      </c>
      <c r="C6300" s="24" t="s">
        <v>275</v>
      </c>
      <c r="D6300" s="22" t="s">
        <v>28</v>
      </c>
      <c r="E6300" s="23" t="s">
        <v>8070</v>
      </c>
      <c r="F6300" s="24" t="s">
        <v>8071</v>
      </c>
      <c r="G6300" s="24" t="s">
        <v>88</v>
      </c>
      <c r="H6300" s="25" t="s">
        <v>8072</v>
      </c>
      <c r="I6300" s="46" t="str">
        <f>VLOOKUP(H6300,'合同高级查询数据-4月返'!A:A,1,FALSE)</f>
        <v>182315IDC00160</v>
      </c>
      <c r="J6300" s="47" t="s">
        <v>162</v>
      </c>
      <c r="K6300" s="24" t="s">
        <v>4145</v>
      </c>
      <c r="L6300" s="511" t="s">
        <v>8073</v>
      </c>
      <c r="M6300" s="49" t="s">
        <v>8074</v>
      </c>
      <c r="N6300" s="50">
        <v>44790</v>
      </c>
      <c r="O6300" s="22" t="s">
        <v>92</v>
      </c>
      <c r="P6300" s="52">
        <v>0</v>
      </c>
      <c r="Q6300" s="70">
        <v>2</v>
      </c>
      <c r="R6300" s="52">
        <f t="shared" si="187"/>
        <v>0</v>
      </c>
      <c r="S6300" s="47">
        <v>202304</v>
      </c>
      <c r="T6300" s="123" t="s">
        <v>8084</v>
      </c>
      <c r="U6300" s="97"/>
      <c r="V6300" s="453"/>
      <c r="W6300" s="97"/>
      <c r="X6300" s="50">
        <v>44986</v>
      </c>
      <c r="Y6300" s="50">
        <v>45351</v>
      </c>
    </row>
    <row r="6301" s="5" customFormat="1" customHeight="1" spans="1:25">
      <c r="A6301" s="21" t="s">
        <v>25</v>
      </c>
      <c r="B6301" s="24" t="s">
        <v>7422</v>
      </c>
      <c r="C6301" s="24" t="s">
        <v>275</v>
      </c>
      <c r="D6301" s="22" t="s">
        <v>28</v>
      </c>
      <c r="E6301" s="23" t="s">
        <v>8070</v>
      </c>
      <c r="F6301" s="24" t="s">
        <v>8071</v>
      </c>
      <c r="G6301" s="24" t="s">
        <v>88</v>
      </c>
      <c r="H6301" s="25" t="s">
        <v>8072</v>
      </c>
      <c r="I6301" s="46" t="str">
        <f>VLOOKUP(H6301,'合同高级查询数据-4月返'!A:A,1,FALSE)</f>
        <v>182315IDC00160</v>
      </c>
      <c r="J6301" s="47" t="s">
        <v>162</v>
      </c>
      <c r="K6301" s="24" t="s">
        <v>4145</v>
      </c>
      <c r="L6301" s="511" t="s">
        <v>8073</v>
      </c>
      <c r="M6301" s="49" t="s">
        <v>8074</v>
      </c>
      <c r="N6301" s="50">
        <v>44831</v>
      </c>
      <c r="O6301" s="22" t="s">
        <v>92</v>
      </c>
      <c r="P6301" s="52">
        <v>0</v>
      </c>
      <c r="Q6301" s="70">
        <v>1</v>
      </c>
      <c r="R6301" s="52">
        <f t="shared" si="187"/>
        <v>0</v>
      </c>
      <c r="S6301" s="47">
        <v>202304</v>
      </c>
      <c r="T6301" s="123" t="s">
        <v>8085</v>
      </c>
      <c r="U6301" s="97"/>
      <c r="V6301" s="453"/>
      <c r="W6301" s="97"/>
      <c r="X6301" s="50">
        <v>44986</v>
      </c>
      <c r="Y6301" s="50">
        <v>45351</v>
      </c>
    </row>
    <row r="6302" s="5" customFormat="1" customHeight="1" spans="1:25">
      <c r="A6302" s="21" t="s">
        <v>25</v>
      </c>
      <c r="B6302" s="24" t="s">
        <v>7422</v>
      </c>
      <c r="C6302" s="24" t="s">
        <v>275</v>
      </c>
      <c r="D6302" s="22" t="s">
        <v>28</v>
      </c>
      <c r="E6302" s="23" t="s">
        <v>8070</v>
      </c>
      <c r="F6302" s="24" t="s">
        <v>8071</v>
      </c>
      <c r="G6302" s="24" t="s">
        <v>88</v>
      </c>
      <c r="H6302" s="25" t="s">
        <v>8072</v>
      </c>
      <c r="I6302" s="46" t="str">
        <f>VLOOKUP(H6302,'合同高级查询数据-4月返'!A:A,1,FALSE)</f>
        <v>182315IDC00160</v>
      </c>
      <c r="J6302" s="47" t="s">
        <v>162</v>
      </c>
      <c r="K6302" s="24" t="s">
        <v>4145</v>
      </c>
      <c r="L6302" s="511" t="s">
        <v>8073</v>
      </c>
      <c r="M6302" s="49" t="s">
        <v>8074</v>
      </c>
      <c r="N6302" s="50">
        <v>44985</v>
      </c>
      <c r="O6302" s="22" t="s">
        <v>92</v>
      </c>
      <c r="P6302" s="52">
        <v>0</v>
      </c>
      <c r="Q6302" s="70">
        <v>-3</v>
      </c>
      <c r="R6302" s="52">
        <f t="shared" si="187"/>
        <v>0</v>
      </c>
      <c r="S6302" s="47">
        <v>202304</v>
      </c>
      <c r="T6302" s="123" t="s">
        <v>8086</v>
      </c>
      <c r="U6302" s="97"/>
      <c r="V6302" s="453"/>
      <c r="W6302" s="97"/>
      <c r="X6302" s="50">
        <v>44986</v>
      </c>
      <c r="Y6302" s="50">
        <v>45351</v>
      </c>
    </row>
    <row r="6303" s="3" customFormat="1" customHeight="1" spans="1:25">
      <c r="A6303" s="11" t="s">
        <v>25</v>
      </c>
      <c r="B6303" s="11" t="s">
        <v>7422</v>
      </c>
      <c r="C6303" s="11" t="s">
        <v>44</v>
      </c>
      <c r="D6303" s="35" t="s">
        <v>7585</v>
      </c>
      <c r="E6303" s="13" t="s">
        <v>8087</v>
      </c>
      <c r="F6303" s="11" t="s">
        <v>8088</v>
      </c>
      <c r="G6303" s="11" t="s">
        <v>31</v>
      </c>
      <c r="H6303" s="110" t="s">
        <v>8089</v>
      </c>
      <c r="I6303" s="30" t="e">
        <f>VLOOKUP(H6303,'合同高级查询数据-4月返'!A:A,1,FALSE)</f>
        <v>#N/A</v>
      </c>
      <c r="J6303" s="31" t="s">
        <v>33</v>
      </c>
      <c r="K6303" s="11" t="s">
        <v>8090</v>
      </c>
      <c r="L6303" s="32" t="s">
        <v>8091</v>
      </c>
      <c r="M6303" s="113" t="s">
        <v>8092</v>
      </c>
      <c r="N6303" s="34">
        <v>43282</v>
      </c>
      <c r="O6303" s="500" t="s">
        <v>37</v>
      </c>
      <c r="P6303" s="465">
        <v>0</v>
      </c>
      <c r="Q6303" s="459">
        <v>288</v>
      </c>
      <c r="R6303" s="465">
        <f t="shared" si="187"/>
        <v>0</v>
      </c>
      <c r="S6303" s="31">
        <v>202304</v>
      </c>
      <c r="T6303" s="60" t="s">
        <v>8093</v>
      </c>
      <c r="U6303" s="411"/>
      <c r="V6303" s="411"/>
      <c r="W6303" s="411"/>
      <c r="X6303" s="482"/>
      <c r="Y6303" s="500"/>
    </row>
    <row r="6304" s="3" customFormat="1" customHeight="1" spans="1:25">
      <c r="A6304" s="11" t="s">
        <v>25</v>
      </c>
      <c r="B6304" s="11" t="s">
        <v>7422</v>
      </c>
      <c r="C6304" s="11" t="s">
        <v>44</v>
      </c>
      <c r="D6304" s="35" t="s">
        <v>7585</v>
      </c>
      <c r="E6304" s="13" t="s">
        <v>8087</v>
      </c>
      <c r="F6304" s="11" t="s">
        <v>8088</v>
      </c>
      <c r="G6304" s="11" t="s">
        <v>31</v>
      </c>
      <c r="H6304" s="110" t="s">
        <v>8089</v>
      </c>
      <c r="I6304" s="30" t="e">
        <f>VLOOKUP(H6304,'合同高级查询数据-4月返'!A:A,1,FALSE)</f>
        <v>#N/A</v>
      </c>
      <c r="J6304" s="31" t="s">
        <v>33</v>
      </c>
      <c r="K6304" s="11" t="s">
        <v>8090</v>
      </c>
      <c r="L6304" s="32" t="s">
        <v>8091</v>
      </c>
      <c r="M6304" s="113" t="s">
        <v>8092</v>
      </c>
      <c r="N6304" s="411"/>
      <c r="O6304" s="35" t="s">
        <v>179</v>
      </c>
      <c r="P6304" s="465">
        <v>0</v>
      </c>
      <c r="Q6304" s="459">
        <v>0</v>
      </c>
      <c r="R6304" s="465">
        <f t="shared" si="187"/>
        <v>0</v>
      </c>
      <c r="S6304" s="31">
        <v>202304</v>
      </c>
      <c r="T6304" s="60" t="s">
        <v>7595</v>
      </c>
      <c r="U6304" s="411"/>
      <c r="V6304" s="411"/>
      <c r="W6304" s="411"/>
      <c r="X6304" s="482"/>
      <c r="Y6304" s="500"/>
    </row>
    <row r="6305" s="3" customFormat="1" customHeight="1" spans="1:25">
      <c r="A6305" s="11" t="s">
        <v>25</v>
      </c>
      <c r="B6305" s="11" t="s">
        <v>7422</v>
      </c>
      <c r="C6305" s="11" t="s">
        <v>44</v>
      </c>
      <c r="D6305" s="35" t="s">
        <v>7585</v>
      </c>
      <c r="E6305" s="13" t="s">
        <v>8087</v>
      </c>
      <c r="F6305" s="11" t="s">
        <v>8088</v>
      </c>
      <c r="G6305" s="11" t="s">
        <v>88</v>
      </c>
      <c r="H6305" s="110" t="s">
        <v>8089</v>
      </c>
      <c r="I6305" s="30" t="e">
        <f>VLOOKUP(H6305,'合同高级查询数据-4月返'!A:A,1,FALSE)</f>
        <v>#N/A</v>
      </c>
      <c r="J6305" s="31" t="s">
        <v>162</v>
      </c>
      <c r="K6305" s="11" t="s">
        <v>8090</v>
      </c>
      <c r="L6305" s="32" t="s">
        <v>8091</v>
      </c>
      <c r="M6305" s="113" t="s">
        <v>8092</v>
      </c>
      <c r="N6305" s="34">
        <v>43282</v>
      </c>
      <c r="O6305" s="500" t="s">
        <v>92</v>
      </c>
      <c r="P6305" s="465">
        <v>0</v>
      </c>
      <c r="Q6305" s="459">
        <v>4</v>
      </c>
      <c r="R6305" s="465">
        <f t="shared" si="187"/>
        <v>0</v>
      </c>
      <c r="S6305" s="31">
        <v>202304</v>
      </c>
      <c r="T6305" s="60" t="s">
        <v>8094</v>
      </c>
      <c r="U6305" s="411"/>
      <c r="V6305" s="411"/>
      <c r="W6305" s="411"/>
      <c r="X6305" s="482"/>
      <c r="Y6305" s="500"/>
    </row>
    <row r="6306" s="3" customFormat="1" customHeight="1" spans="1:25">
      <c r="A6306" s="11" t="s">
        <v>25</v>
      </c>
      <c r="B6306" s="11" t="s">
        <v>7422</v>
      </c>
      <c r="C6306" s="11" t="s">
        <v>44</v>
      </c>
      <c r="D6306" s="35" t="s">
        <v>7585</v>
      </c>
      <c r="E6306" s="13" t="s">
        <v>8087</v>
      </c>
      <c r="F6306" s="11" t="s">
        <v>8088</v>
      </c>
      <c r="G6306" s="11" t="s">
        <v>31</v>
      </c>
      <c r="H6306" s="110" t="s">
        <v>8095</v>
      </c>
      <c r="I6306" s="30" t="e">
        <f>VLOOKUP(H6306,'合同高级查询数据-4月返'!A:A,1,FALSE)</f>
        <v>#N/A</v>
      </c>
      <c r="J6306" s="31" t="s">
        <v>33</v>
      </c>
      <c r="K6306" s="11" t="s">
        <v>46</v>
      </c>
      <c r="L6306" s="32" t="s">
        <v>8096</v>
      </c>
      <c r="M6306" s="113" t="s">
        <v>8097</v>
      </c>
      <c r="N6306" s="34">
        <v>43282</v>
      </c>
      <c r="O6306" s="500" t="s">
        <v>37</v>
      </c>
      <c r="P6306" s="465">
        <v>0</v>
      </c>
      <c r="Q6306" s="459">
        <v>288</v>
      </c>
      <c r="R6306" s="465">
        <f t="shared" si="187"/>
        <v>0</v>
      </c>
      <c r="S6306" s="31">
        <v>202304</v>
      </c>
      <c r="T6306" s="60" t="s">
        <v>8098</v>
      </c>
      <c r="U6306" s="411"/>
      <c r="V6306" s="411"/>
      <c r="W6306" s="411"/>
      <c r="X6306" s="482"/>
      <c r="Y6306" s="500"/>
    </row>
    <row r="6307" s="3" customFormat="1" customHeight="1" spans="1:25">
      <c r="A6307" s="11" t="s">
        <v>25</v>
      </c>
      <c r="B6307" s="11" t="s">
        <v>7422</v>
      </c>
      <c r="C6307" s="11" t="s">
        <v>44</v>
      </c>
      <c r="D6307" s="35" t="s">
        <v>7585</v>
      </c>
      <c r="E6307" s="13" t="s">
        <v>8087</v>
      </c>
      <c r="F6307" s="11" t="s">
        <v>8088</v>
      </c>
      <c r="G6307" s="11" t="s">
        <v>31</v>
      </c>
      <c r="H6307" s="110" t="s">
        <v>8095</v>
      </c>
      <c r="I6307" s="30" t="e">
        <f>VLOOKUP(H6307,'合同高级查询数据-4月返'!A:A,1,FALSE)</f>
        <v>#N/A</v>
      </c>
      <c r="J6307" s="31" t="s">
        <v>33</v>
      </c>
      <c r="K6307" s="11" t="s">
        <v>46</v>
      </c>
      <c r="L6307" s="32" t="s">
        <v>8096</v>
      </c>
      <c r="M6307" s="113" t="s">
        <v>8097</v>
      </c>
      <c r="N6307" s="411"/>
      <c r="O6307" s="35" t="s">
        <v>179</v>
      </c>
      <c r="P6307" s="465">
        <v>0</v>
      </c>
      <c r="Q6307" s="459">
        <v>0</v>
      </c>
      <c r="R6307" s="465">
        <f t="shared" si="187"/>
        <v>0</v>
      </c>
      <c r="S6307" s="31">
        <v>202304</v>
      </c>
      <c r="T6307" s="60" t="s">
        <v>7595</v>
      </c>
      <c r="U6307" s="411"/>
      <c r="V6307" s="411"/>
      <c r="W6307" s="411"/>
      <c r="X6307" s="482"/>
      <c r="Y6307" s="500"/>
    </row>
    <row r="6308" s="3" customFormat="1" customHeight="1" spans="1:25">
      <c r="A6308" s="11" t="s">
        <v>25</v>
      </c>
      <c r="B6308" s="11" t="s">
        <v>7422</v>
      </c>
      <c r="C6308" s="11" t="s">
        <v>44</v>
      </c>
      <c r="D6308" s="35" t="s">
        <v>7585</v>
      </c>
      <c r="E6308" s="13" t="s">
        <v>8087</v>
      </c>
      <c r="F6308" s="11" t="s">
        <v>8088</v>
      </c>
      <c r="G6308" s="11" t="s">
        <v>88</v>
      </c>
      <c r="H6308" s="110" t="s">
        <v>8095</v>
      </c>
      <c r="I6308" s="30" t="e">
        <f>VLOOKUP(H6308,'合同高级查询数据-4月返'!A:A,1,FALSE)</f>
        <v>#N/A</v>
      </c>
      <c r="J6308" s="31" t="s">
        <v>162</v>
      </c>
      <c r="K6308" s="11" t="s">
        <v>46</v>
      </c>
      <c r="L6308" s="32" t="s">
        <v>8096</v>
      </c>
      <c r="M6308" s="113" t="s">
        <v>8097</v>
      </c>
      <c r="N6308" s="34">
        <v>43282</v>
      </c>
      <c r="O6308" s="500" t="s">
        <v>92</v>
      </c>
      <c r="P6308" s="465">
        <v>0</v>
      </c>
      <c r="Q6308" s="459">
        <v>4</v>
      </c>
      <c r="R6308" s="465">
        <f t="shared" si="187"/>
        <v>0</v>
      </c>
      <c r="S6308" s="31">
        <v>202304</v>
      </c>
      <c r="T6308" s="60" t="s">
        <v>8099</v>
      </c>
      <c r="U6308" s="411"/>
      <c r="V6308" s="411"/>
      <c r="W6308" s="411"/>
      <c r="X6308" s="482"/>
      <c r="Y6308" s="500"/>
    </row>
    <row r="6309" s="3" customFormat="1" customHeight="1" spans="1:25">
      <c r="A6309" s="11" t="s">
        <v>109</v>
      </c>
      <c r="B6309" s="35" t="s">
        <v>7422</v>
      </c>
      <c r="C6309" s="35" t="s">
        <v>44</v>
      </c>
      <c r="D6309" s="35" t="s">
        <v>7585</v>
      </c>
      <c r="E6309" s="13" t="s">
        <v>8087</v>
      </c>
      <c r="F6309" s="11" t="s">
        <v>8088</v>
      </c>
      <c r="G6309" s="11" t="s">
        <v>31</v>
      </c>
      <c r="H6309" s="110" t="s">
        <v>8100</v>
      </c>
      <c r="I6309" s="30" t="e">
        <f>VLOOKUP(H6309,'合同高级查询数据-4月返'!A:A,1,FALSE)</f>
        <v>#N/A</v>
      </c>
      <c r="J6309" s="31" t="s">
        <v>33</v>
      </c>
      <c r="K6309" s="11" t="s">
        <v>8090</v>
      </c>
      <c r="L6309" s="32" t="s">
        <v>8101</v>
      </c>
      <c r="M6309" s="113" t="s">
        <v>8102</v>
      </c>
      <c r="N6309" s="34">
        <v>44287</v>
      </c>
      <c r="O6309" s="35" t="s">
        <v>37</v>
      </c>
      <c r="P6309" s="465">
        <v>0</v>
      </c>
      <c r="Q6309" s="459">
        <v>288</v>
      </c>
      <c r="R6309" s="465">
        <f t="shared" si="187"/>
        <v>0</v>
      </c>
      <c r="S6309" s="31">
        <v>202304</v>
      </c>
      <c r="T6309" s="60" t="s">
        <v>8103</v>
      </c>
      <c r="U6309" s="104"/>
      <c r="V6309" s="438"/>
      <c r="W6309" s="438"/>
      <c r="X6309" s="34"/>
      <c r="Y6309" s="34"/>
    </row>
    <row r="6310" s="3" customFormat="1" customHeight="1" spans="1:25">
      <c r="A6310" s="11" t="s">
        <v>109</v>
      </c>
      <c r="B6310" s="35" t="s">
        <v>7422</v>
      </c>
      <c r="C6310" s="35" t="s">
        <v>44</v>
      </c>
      <c r="D6310" s="35" t="s">
        <v>7585</v>
      </c>
      <c r="E6310" s="13" t="s">
        <v>8087</v>
      </c>
      <c r="F6310" s="11" t="s">
        <v>8088</v>
      </c>
      <c r="G6310" s="11" t="s">
        <v>31</v>
      </c>
      <c r="H6310" s="110" t="s">
        <v>8104</v>
      </c>
      <c r="I6310" s="30" t="e">
        <f>VLOOKUP(H6310,'合同高级查询数据-4月返'!A:A,1,FALSE)</f>
        <v>#N/A</v>
      </c>
      <c r="J6310" s="31" t="s">
        <v>33</v>
      </c>
      <c r="K6310" s="11" t="s">
        <v>8090</v>
      </c>
      <c r="L6310" s="32" t="s">
        <v>8101</v>
      </c>
      <c r="M6310" s="113" t="s">
        <v>8102</v>
      </c>
      <c r="N6310" s="34">
        <v>44733</v>
      </c>
      <c r="O6310" s="35" t="s">
        <v>37</v>
      </c>
      <c r="P6310" s="465">
        <v>0</v>
      </c>
      <c r="Q6310" s="459">
        <v>32</v>
      </c>
      <c r="R6310" s="465">
        <f t="shared" si="187"/>
        <v>0</v>
      </c>
      <c r="S6310" s="31">
        <v>202304</v>
      </c>
      <c r="T6310" s="60" t="s">
        <v>8105</v>
      </c>
      <c r="U6310" s="104"/>
      <c r="V6310" s="438"/>
      <c r="W6310" s="438"/>
      <c r="X6310" s="34"/>
      <c r="Y6310" s="34"/>
    </row>
    <row r="6311" s="3" customFormat="1" customHeight="1" spans="1:25">
      <c r="A6311" s="11" t="s">
        <v>109</v>
      </c>
      <c r="B6311" s="35" t="s">
        <v>7422</v>
      </c>
      <c r="C6311" s="35" t="s">
        <v>44</v>
      </c>
      <c r="D6311" s="35" t="s">
        <v>7585</v>
      </c>
      <c r="E6311" s="13" t="s">
        <v>8087</v>
      </c>
      <c r="F6311" s="11" t="s">
        <v>8088</v>
      </c>
      <c r="G6311" s="11" t="s">
        <v>31</v>
      </c>
      <c r="H6311" s="110" t="s">
        <v>8104</v>
      </c>
      <c r="I6311" s="30" t="e">
        <f>VLOOKUP(H6311,'合同高级查询数据-4月返'!A:A,1,FALSE)</f>
        <v>#N/A</v>
      </c>
      <c r="J6311" s="31" t="s">
        <v>33</v>
      </c>
      <c r="K6311" s="11" t="s">
        <v>8090</v>
      </c>
      <c r="L6311" s="32" t="s">
        <v>8101</v>
      </c>
      <c r="M6311" s="113" t="s">
        <v>8102</v>
      </c>
      <c r="N6311" s="34">
        <v>44733</v>
      </c>
      <c r="O6311" s="35" t="s">
        <v>37</v>
      </c>
      <c r="P6311" s="465">
        <v>50</v>
      </c>
      <c r="Q6311" s="459">
        <v>224</v>
      </c>
      <c r="R6311" s="465">
        <f t="shared" si="187"/>
        <v>11200</v>
      </c>
      <c r="S6311" s="31">
        <v>202304</v>
      </c>
      <c r="T6311" s="60" t="s">
        <v>8106</v>
      </c>
      <c r="U6311" s="104"/>
      <c r="V6311" s="438"/>
      <c r="W6311" s="438"/>
      <c r="X6311" s="34"/>
      <c r="Y6311" s="34"/>
    </row>
    <row r="6312" s="3" customFormat="1" customHeight="1" spans="1:25">
      <c r="A6312" s="11" t="s">
        <v>109</v>
      </c>
      <c r="B6312" s="35" t="s">
        <v>7422</v>
      </c>
      <c r="C6312" s="35" t="s">
        <v>44</v>
      </c>
      <c r="D6312" s="35" t="s">
        <v>7585</v>
      </c>
      <c r="E6312" s="13" t="s">
        <v>8087</v>
      </c>
      <c r="F6312" s="11" t="s">
        <v>8088</v>
      </c>
      <c r="G6312" s="11" t="s">
        <v>31</v>
      </c>
      <c r="H6312" s="110" t="s">
        <v>8104</v>
      </c>
      <c r="I6312" s="30" t="e">
        <f>VLOOKUP(H6312,'合同高级查询数据-4月返'!A:A,1,FALSE)</f>
        <v>#N/A</v>
      </c>
      <c r="J6312" s="31" t="s">
        <v>33</v>
      </c>
      <c r="K6312" s="11" t="s">
        <v>8090</v>
      </c>
      <c r="L6312" s="32" t="s">
        <v>8101</v>
      </c>
      <c r="M6312" s="113" t="s">
        <v>8102</v>
      </c>
      <c r="N6312" s="34">
        <v>44739</v>
      </c>
      <c r="O6312" s="35" t="s">
        <v>37</v>
      </c>
      <c r="P6312" s="465">
        <v>0</v>
      </c>
      <c r="Q6312" s="459">
        <v>128</v>
      </c>
      <c r="R6312" s="465">
        <f t="shared" si="187"/>
        <v>0</v>
      </c>
      <c r="S6312" s="31">
        <v>202304</v>
      </c>
      <c r="T6312" s="60" t="s">
        <v>8107</v>
      </c>
      <c r="U6312" s="104"/>
      <c r="V6312" s="438"/>
      <c r="W6312" s="438"/>
      <c r="X6312" s="34"/>
      <c r="Y6312" s="34"/>
    </row>
    <row r="6313" s="3" customFormat="1" customHeight="1" spans="1:25">
      <c r="A6313" s="11" t="s">
        <v>109</v>
      </c>
      <c r="B6313" s="35" t="s">
        <v>7422</v>
      </c>
      <c r="C6313" s="35" t="s">
        <v>44</v>
      </c>
      <c r="D6313" s="35" t="s">
        <v>7585</v>
      </c>
      <c r="E6313" s="13" t="s">
        <v>8087</v>
      </c>
      <c r="F6313" s="11" t="s">
        <v>8088</v>
      </c>
      <c r="G6313" s="11" t="s">
        <v>31</v>
      </c>
      <c r="H6313" s="110" t="s">
        <v>8100</v>
      </c>
      <c r="I6313" s="30" t="e">
        <f>VLOOKUP(H6313,'合同高级查询数据-4月返'!A:A,1,FALSE)</f>
        <v>#N/A</v>
      </c>
      <c r="J6313" s="31" t="s">
        <v>33</v>
      </c>
      <c r="K6313" s="11" t="s">
        <v>8090</v>
      </c>
      <c r="L6313" s="32" t="s">
        <v>8101</v>
      </c>
      <c r="M6313" s="113" t="s">
        <v>8102</v>
      </c>
      <c r="N6313" s="34">
        <v>44888</v>
      </c>
      <c r="O6313" s="35" t="s">
        <v>37</v>
      </c>
      <c r="P6313" s="465">
        <v>0</v>
      </c>
      <c r="Q6313" s="459">
        <v>-128</v>
      </c>
      <c r="R6313" s="465">
        <f t="shared" si="187"/>
        <v>0</v>
      </c>
      <c r="S6313" s="31">
        <v>202304</v>
      </c>
      <c r="T6313" s="60" t="s">
        <v>8108</v>
      </c>
      <c r="U6313" s="104"/>
      <c r="V6313" s="438"/>
      <c r="W6313" s="438"/>
      <c r="X6313" s="34"/>
      <c r="Y6313" s="34"/>
    </row>
    <row r="6314" s="3" customFormat="1" customHeight="1" spans="1:25">
      <c r="A6314" s="11" t="s">
        <v>109</v>
      </c>
      <c r="B6314" s="35" t="s">
        <v>7422</v>
      </c>
      <c r="C6314" s="35" t="s">
        <v>44</v>
      </c>
      <c r="D6314" s="35" t="s">
        <v>7585</v>
      </c>
      <c r="E6314" s="13" t="s">
        <v>8087</v>
      </c>
      <c r="F6314" s="11" t="s">
        <v>8088</v>
      </c>
      <c r="G6314" s="11" t="s">
        <v>31</v>
      </c>
      <c r="H6314" s="110" t="s">
        <v>8100</v>
      </c>
      <c r="I6314" s="30" t="e">
        <f>VLOOKUP(H6314,'合同高级查询数据-4月返'!A:A,1,FALSE)</f>
        <v>#N/A</v>
      </c>
      <c r="J6314" s="31" t="s">
        <v>33</v>
      </c>
      <c r="K6314" s="11" t="s">
        <v>8090</v>
      </c>
      <c r="L6314" s="32" t="s">
        <v>8101</v>
      </c>
      <c r="M6314" s="113" t="s">
        <v>8102</v>
      </c>
      <c r="N6314" s="34"/>
      <c r="O6314" s="35" t="s">
        <v>179</v>
      </c>
      <c r="P6314" s="465">
        <v>0</v>
      </c>
      <c r="Q6314" s="459">
        <v>0</v>
      </c>
      <c r="R6314" s="465">
        <f t="shared" si="187"/>
        <v>0</v>
      </c>
      <c r="S6314" s="31">
        <v>202304</v>
      </c>
      <c r="T6314" s="60" t="s">
        <v>8109</v>
      </c>
      <c r="U6314" s="104"/>
      <c r="V6314" s="438"/>
      <c r="W6314" s="438"/>
      <c r="X6314" s="34"/>
      <c r="Y6314" s="34"/>
    </row>
    <row r="6315" s="3" customFormat="1" customHeight="1" spans="1:25">
      <c r="A6315" s="11" t="s">
        <v>109</v>
      </c>
      <c r="B6315" s="35" t="s">
        <v>7422</v>
      </c>
      <c r="C6315" s="35" t="s">
        <v>44</v>
      </c>
      <c r="D6315" s="35" t="s">
        <v>7585</v>
      </c>
      <c r="E6315" s="13" t="s">
        <v>8087</v>
      </c>
      <c r="F6315" s="11" t="s">
        <v>8088</v>
      </c>
      <c r="G6315" s="11" t="s">
        <v>31</v>
      </c>
      <c r="H6315" s="110" t="s">
        <v>8104</v>
      </c>
      <c r="I6315" s="30" t="e">
        <f>VLOOKUP(H6315,'合同高级查询数据-4月返'!A:A,1,FALSE)</f>
        <v>#N/A</v>
      </c>
      <c r="J6315" s="31" t="s">
        <v>33</v>
      </c>
      <c r="K6315" s="11" t="s">
        <v>8090</v>
      </c>
      <c r="L6315" s="32" t="s">
        <v>8101</v>
      </c>
      <c r="M6315" s="113" t="s">
        <v>8102</v>
      </c>
      <c r="N6315" s="34">
        <v>44733</v>
      </c>
      <c r="O6315" s="35" t="s">
        <v>179</v>
      </c>
      <c r="P6315" s="465">
        <v>0</v>
      </c>
      <c r="Q6315" s="459">
        <v>0</v>
      </c>
      <c r="R6315" s="465">
        <f t="shared" si="187"/>
        <v>0</v>
      </c>
      <c r="S6315" s="31">
        <v>202304</v>
      </c>
      <c r="T6315" s="60" t="s">
        <v>8110</v>
      </c>
      <c r="U6315" s="104"/>
      <c r="V6315" s="438"/>
      <c r="W6315" s="438"/>
      <c r="X6315" s="34"/>
      <c r="Y6315" s="34"/>
    </row>
    <row r="6316" s="3" customFormat="1" customHeight="1" spans="1:25">
      <c r="A6316" s="11" t="s">
        <v>109</v>
      </c>
      <c r="B6316" s="35" t="s">
        <v>7422</v>
      </c>
      <c r="C6316" s="35" t="s">
        <v>44</v>
      </c>
      <c r="D6316" s="35" t="s">
        <v>7585</v>
      </c>
      <c r="E6316" s="13" t="s">
        <v>8087</v>
      </c>
      <c r="F6316" s="11" t="s">
        <v>8088</v>
      </c>
      <c r="G6316" s="11" t="s">
        <v>31</v>
      </c>
      <c r="H6316" s="110" t="s">
        <v>8104</v>
      </c>
      <c r="I6316" s="30" t="e">
        <f>VLOOKUP(H6316,'合同高级查询数据-4月返'!A:A,1,FALSE)</f>
        <v>#N/A</v>
      </c>
      <c r="J6316" s="31" t="s">
        <v>33</v>
      </c>
      <c r="K6316" s="11" t="s">
        <v>8090</v>
      </c>
      <c r="L6316" s="32" t="s">
        <v>8101</v>
      </c>
      <c r="M6316" s="113" t="s">
        <v>8102</v>
      </c>
      <c r="N6316" s="34">
        <v>44739</v>
      </c>
      <c r="O6316" s="35" t="s">
        <v>179</v>
      </c>
      <c r="P6316" s="465">
        <v>0</v>
      </c>
      <c r="Q6316" s="459">
        <v>0</v>
      </c>
      <c r="R6316" s="465">
        <f t="shared" si="187"/>
        <v>0</v>
      </c>
      <c r="S6316" s="31">
        <v>202304</v>
      </c>
      <c r="T6316" s="60" t="s">
        <v>8111</v>
      </c>
      <c r="U6316" s="104"/>
      <c r="V6316" s="438"/>
      <c r="W6316" s="438"/>
      <c r="X6316" s="34"/>
      <c r="Y6316" s="34"/>
    </row>
    <row r="6317" s="3" customFormat="1" customHeight="1" spans="1:25">
      <c r="A6317" s="11" t="s">
        <v>109</v>
      </c>
      <c r="B6317" s="35" t="s">
        <v>7422</v>
      </c>
      <c r="C6317" s="35" t="s">
        <v>44</v>
      </c>
      <c r="D6317" s="35" t="s">
        <v>7585</v>
      </c>
      <c r="E6317" s="13" t="s">
        <v>8087</v>
      </c>
      <c r="F6317" s="11" t="s">
        <v>8088</v>
      </c>
      <c r="G6317" s="11" t="s">
        <v>88</v>
      </c>
      <c r="H6317" s="110" t="s">
        <v>8100</v>
      </c>
      <c r="I6317" s="30" t="e">
        <f>VLOOKUP(H6317,'合同高级查询数据-4月返'!A:A,1,FALSE)</f>
        <v>#N/A</v>
      </c>
      <c r="J6317" s="31" t="s">
        <v>162</v>
      </c>
      <c r="K6317" s="11" t="s">
        <v>8090</v>
      </c>
      <c r="L6317" s="32" t="s">
        <v>8101</v>
      </c>
      <c r="M6317" s="113" t="s">
        <v>8102</v>
      </c>
      <c r="N6317" s="34">
        <v>44287</v>
      </c>
      <c r="O6317" s="35" t="s">
        <v>92</v>
      </c>
      <c r="P6317" s="465">
        <v>4500</v>
      </c>
      <c r="Q6317" s="459">
        <v>5</v>
      </c>
      <c r="R6317" s="465">
        <f t="shared" si="187"/>
        <v>22500</v>
      </c>
      <c r="S6317" s="31">
        <v>202304</v>
      </c>
      <c r="T6317" s="60" t="s">
        <v>8112</v>
      </c>
      <c r="U6317" s="104"/>
      <c r="V6317" s="438"/>
      <c r="W6317" s="438"/>
      <c r="X6317" s="34"/>
      <c r="Y6317" s="34"/>
    </row>
    <row r="6318" s="3" customFormat="1" customHeight="1" spans="1:25">
      <c r="A6318" s="11" t="s">
        <v>109</v>
      </c>
      <c r="B6318" s="35" t="s">
        <v>7422</v>
      </c>
      <c r="C6318" s="35" t="s">
        <v>44</v>
      </c>
      <c r="D6318" s="35" t="s">
        <v>7585</v>
      </c>
      <c r="E6318" s="13" t="s">
        <v>8087</v>
      </c>
      <c r="F6318" s="11" t="s">
        <v>8088</v>
      </c>
      <c r="G6318" s="11" t="s">
        <v>88</v>
      </c>
      <c r="H6318" s="110" t="s">
        <v>8104</v>
      </c>
      <c r="I6318" s="30" t="e">
        <f>VLOOKUP(H6318,'合同高级查询数据-4月返'!A:A,1,FALSE)</f>
        <v>#N/A</v>
      </c>
      <c r="J6318" s="31" t="s">
        <v>162</v>
      </c>
      <c r="K6318" s="11" t="s">
        <v>8090</v>
      </c>
      <c r="L6318" s="32" t="s">
        <v>8101</v>
      </c>
      <c r="M6318" s="113" t="s">
        <v>8102</v>
      </c>
      <c r="N6318" s="34">
        <v>44733</v>
      </c>
      <c r="O6318" s="35" t="s">
        <v>92</v>
      </c>
      <c r="P6318" s="465">
        <v>4500</v>
      </c>
      <c r="Q6318" s="459">
        <v>7</v>
      </c>
      <c r="R6318" s="465">
        <f t="shared" si="187"/>
        <v>31500</v>
      </c>
      <c r="S6318" s="31">
        <v>202304</v>
      </c>
      <c r="T6318" s="60" t="s">
        <v>8113</v>
      </c>
      <c r="U6318" s="104"/>
      <c r="V6318" s="438"/>
      <c r="W6318" s="438"/>
      <c r="X6318" s="34"/>
      <c r="Y6318" s="34"/>
    </row>
    <row r="6319" s="3" customFormat="1" customHeight="1" spans="1:25">
      <c r="A6319" s="11" t="s">
        <v>109</v>
      </c>
      <c r="B6319" s="35" t="s">
        <v>7422</v>
      </c>
      <c r="C6319" s="35" t="s">
        <v>44</v>
      </c>
      <c r="D6319" s="35" t="s">
        <v>7585</v>
      </c>
      <c r="E6319" s="13" t="s">
        <v>8087</v>
      </c>
      <c r="F6319" s="11" t="s">
        <v>8088</v>
      </c>
      <c r="G6319" s="11" t="s">
        <v>88</v>
      </c>
      <c r="H6319" s="110" t="s">
        <v>8104</v>
      </c>
      <c r="I6319" s="30" t="e">
        <f>VLOOKUP(H6319,'合同高级查询数据-4月返'!A:A,1,FALSE)</f>
        <v>#N/A</v>
      </c>
      <c r="J6319" s="31" t="s">
        <v>162</v>
      </c>
      <c r="K6319" s="11" t="s">
        <v>8090</v>
      </c>
      <c r="L6319" s="32" t="s">
        <v>8101</v>
      </c>
      <c r="M6319" s="113" t="s">
        <v>8102</v>
      </c>
      <c r="N6319" s="34">
        <v>44739</v>
      </c>
      <c r="O6319" s="35" t="s">
        <v>92</v>
      </c>
      <c r="P6319" s="465">
        <v>4500</v>
      </c>
      <c r="Q6319" s="459">
        <v>2</v>
      </c>
      <c r="R6319" s="465">
        <f t="shared" si="187"/>
        <v>9000</v>
      </c>
      <c r="S6319" s="31">
        <v>202304</v>
      </c>
      <c r="T6319" s="60" t="s">
        <v>8114</v>
      </c>
      <c r="U6319" s="104"/>
      <c r="V6319" s="438"/>
      <c r="W6319" s="438"/>
      <c r="X6319" s="34"/>
      <c r="Y6319" s="34"/>
    </row>
    <row r="6320" s="3" customFormat="1" customHeight="1" spans="1:25">
      <c r="A6320" s="11" t="s">
        <v>109</v>
      </c>
      <c r="B6320" s="35" t="s">
        <v>7422</v>
      </c>
      <c r="C6320" s="35" t="s">
        <v>44</v>
      </c>
      <c r="D6320" s="35" t="s">
        <v>7585</v>
      </c>
      <c r="E6320" s="13" t="s">
        <v>8087</v>
      </c>
      <c r="F6320" s="11" t="s">
        <v>8088</v>
      </c>
      <c r="G6320" s="11" t="s">
        <v>88</v>
      </c>
      <c r="H6320" s="110" t="s">
        <v>8115</v>
      </c>
      <c r="I6320" s="30" t="e">
        <f>VLOOKUP(H6320,'合同高级查询数据-4月返'!A:A,1,FALSE)</f>
        <v>#N/A</v>
      </c>
      <c r="J6320" s="31" t="s">
        <v>162</v>
      </c>
      <c r="K6320" s="11" t="s">
        <v>8090</v>
      </c>
      <c r="L6320" s="32" t="s">
        <v>8101</v>
      </c>
      <c r="M6320" s="113" t="s">
        <v>8102</v>
      </c>
      <c r="N6320" s="34">
        <v>44830</v>
      </c>
      <c r="O6320" s="35" t="s">
        <v>524</v>
      </c>
      <c r="P6320" s="465">
        <v>4500</v>
      </c>
      <c r="Q6320" s="459">
        <v>1</v>
      </c>
      <c r="R6320" s="465">
        <f t="shared" si="187"/>
        <v>4500</v>
      </c>
      <c r="S6320" s="31">
        <v>202304</v>
      </c>
      <c r="T6320" s="60" t="s">
        <v>8116</v>
      </c>
      <c r="U6320" s="104"/>
      <c r="V6320" s="438"/>
      <c r="W6320" s="438"/>
      <c r="X6320" s="34"/>
      <c r="Y6320" s="34"/>
    </row>
    <row r="6321" s="5" customFormat="1" customHeight="1" spans="1:25">
      <c r="A6321" s="21" t="s">
        <v>25</v>
      </c>
      <c r="B6321" s="22" t="s">
        <v>7422</v>
      </c>
      <c r="C6321" s="22" t="s">
        <v>44</v>
      </c>
      <c r="D6321" s="22" t="s">
        <v>7585</v>
      </c>
      <c r="E6321" s="23" t="s">
        <v>8117</v>
      </c>
      <c r="F6321" s="24" t="s">
        <v>8118</v>
      </c>
      <c r="G6321" s="24" t="s">
        <v>31</v>
      </c>
      <c r="H6321" s="25" t="s">
        <v>8119</v>
      </c>
      <c r="I6321" s="46" t="e">
        <f>VLOOKUP(H6321,'合同高级查询数据-4月返'!A:A,1,FALSE)</f>
        <v>#N/A</v>
      </c>
      <c r="J6321" s="47" t="s">
        <v>33</v>
      </c>
      <c r="K6321" s="24" t="s">
        <v>8120</v>
      </c>
      <c r="L6321" s="109" t="s">
        <v>8121</v>
      </c>
      <c r="M6321" s="49" t="s">
        <v>8122</v>
      </c>
      <c r="N6321" s="50">
        <v>43922</v>
      </c>
      <c r="O6321" s="512" t="s">
        <v>37</v>
      </c>
      <c r="P6321" s="452">
        <v>0</v>
      </c>
      <c r="Q6321" s="52">
        <v>320</v>
      </c>
      <c r="R6321" s="52">
        <f t="shared" si="187"/>
        <v>0</v>
      </c>
      <c r="S6321" s="47">
        <v>202304</v>
      </c>
      <c r="T6321" s="123" t="s">
        <v>8123</v>
      </c>
      <c r="U6321" s="97"/>
      <c r="V6321" s="453"/>
      <c r="W6321" s="97"/>
      <c r="X6321" s="50">
        <v>44713</v>
      </c>
      <c r="Y6321" s="50">
        <v>45077</v>
      </c>
    </row>
    <row r="6322" s="5" customFormat="1" customHeight="1" spans="1:25">
      <c r="A6322" s="21" t="s">
        <v>25</v>
      </c>
      <c r="B6322" s="22" t="s">
        <v>7422</v>
      </c>
      <c r="C6322" s="22" t="s">
        <v>44</v>
      </c>
      <c r="D6322" s="22" t="s">
        <v>7585</v>
      </c>
      <c r="E6322" s="23" t="s">
        <v>8117</v>
      </c>
      <c r="F6322" s="24" t="s">
        <v>8118</v>
      </c>
      <c r="G6322" s="24" t="s">
        <v>31</v>
      </c>
      <c r="H6322" s="25" t="s">
        <v>8119</v>
      </c>
      <c r="I6322" s="46" t="e">
        <f>VLOOKUP(H6322,'合同高级查询数据-4月返'!A:A,1,FALSE)</f>
        <v>#N/A</v>
      </c>
      <c r="J6322" s="47" t="s">
        <v>33</v>
      </c>
      <c r="K6322" s="24" t="s">
        <v>8120</v>
      </c>
      <c r="L6322" s="109" t="s">
        <v>8121</v>
      </c>
      <c r="M6322" s="49" t="s">
        <v>8122</v>
      </c>
      <c r="N6322" s="22"/>
      <c r="O6322" s="22" t="s">
        <v>179</v>
      </c>
      <c r="P6322" s="70">
        <v>0</v>
      </c>
      <c r="Q6322" s="70">
        <v>0</v>
      </c>
      <c r="R6322" s="52">
        <f t="shared" si="187"/>
        <v>0</v>
      </c>
      <c r="S6322" s="47">
        <v>202304</v>
      </c>
      <c r="T6322" s="123" t="s">
        <v>8124</v>
      </c>
      <c r="U6322" s="97"/>
      <c r="V6322" s="453"/>
      <c r="W6322" s="97"/>
      <c r="X6322" s="50">
        <v>44713</v>
      </c>
      <c r="Y6322" s="50">
        <v>45077</v>
      </c>
    </row>
    <row r="6323" s="5" customFormat="1" customHeight="1" spans="1:25">
      <c r="A6323" s="21" t="s">
        <v>25</v>
      </c>
      <c r="B6323" s="22" t="s">
        <v>7422</v>
      </c>
      <c r="C6323" s="22" t="s">
        <v>44</v>
      </c>
      <c r="D6323" s="22" t="s">
        <v>7585</v>
      </c>
      <c r="E6323" s="23" t="s">
        <v>8117</v>
      </c>
      <c r="F6323" s="24" t="s">
        <v>8118</v>
      </c>
      <c r="G6323" s="24" t="s">
        <v>88</v>
      </c>
      <c r="H6323" s="25" t="s">
        <v>8119</v>
      </c>
      <c r="I6323" s="46" t="e">
        <f>VLOOKUP(H6323,'合同高级查询数据-4月返'!A:A,1,FALSE)</f>
        <v>#N/A</v>
      </c>
      <c r="J6323" s="47" t="s">
        <v>162</v>
      </c>
      <c r="K6323" s="24" t="s">
        <v>8120</v>
      </c>
      <c r="L6323" s="109" t="s">
        <v>8121</v>
      </c>
      <c r="M6323" s="49" t="s">
        <v>8122</v>
      </c>
      <c r="N6323" s="50">
        <v>43922</v>
      </c>
      <c r="O6323" s="51" t="s">
        <v>92</v>
      </c>
      <c r="P6323" s="452">
        <v>5000</v>
      </c>
      <c r="Q6323" s="52">
        <v>4</v>
      </c>
      <c r="R6323" s="52">
        <f t="shared" si="187"/>
        <v>20000</v>
      </c>
      <c r="S6323" s="47">
        <v>202304</v>
      </c>
      <c r="T6323" s="123" t="s">
        <v>8125</v>
      </c>
      <c r="U6323" s="97"/>
      <c r="V6323" s="453"/>
      <c r="W6323" s="97"/>
      <c r="X6323" s="50">
        <v>44713</v>
      </c>
      <c r="Y6323" s="50">
        <v>45077</v>
      </c>
    </row>
    <row r="6324" s="5" customFormat="1" customHeight="1" spans="1:25">
      <c r="A6324" s="24" t="s">
        <v>109</v>
      </c>
      <c r="B6324" s="22" t="s">
        <v>7422</v>
      </c>
      <c r="C6324" s="22" t="s">
        <v>44</v>
      </c>
      <c r="D6324" s="22" t="s">
        <v>7585</v>
      </c>
      <c r="E6324" s="23" t="s">
        <v>8117</v>
      </c>
      <c r="F6324" s="24" t="s">
        <v>8118</v>
      </c>
      <c r="G6324" s="24" t="s">
        <v>31</v>
      </c>
      <c r="H6324" s="25" t="s">
        <v>8126</v>
      </c>
      <c r="I6324" s="46" t="e">
        <f>VLOOKUP(H6324,'合同高级查询数据-4月返'!A:A,1,FALSE)</f>
        <v>#N/A</v>
      </c>
      <c r="J6324" s="47" t="s">
        <v>33</v>
      </c>
      <c r="K6324" s="24" t="s">
        <v>46</v>
      </c>
      <c r="L6324" s="48" t="s">
        <v>8127</v>
      </c>
      <c r="M6324" s="49" t="s">
        <v>8128</v>
      </c>
      <c r="N6324" s="50">
        <v>43922</v>
      </c>
      <c r="O6324" s="512" t="s">
        <v>37</v>
      </c>
      <c r="P6324" s="452">
        <v>0</v>
      </c>
      <c r="Q6324" s="52">
        <v>320</v>
      </c>
      <c r="R6324" s="52">
        <f t="shared" si="187"/>
        <v>0</v>
      </c>
      <c r="S6324" s="47">
        <v>202304</v>
      </c>
      <c r="T6324" s="123" t="s">
        <v>8129</v>
      </c>
      <c r="U6324" s="97"/>
      <c r="V6324" s="453"/>
      <c r="W6324" s="97"/>
      <c r="X6324" s="50">
        <v>44958</v>
      </c>
      <c r="Y6324" s="50">
        <v>45322</v>
      </c>
    </row>
    <row r="6325" s="5" customFormat="1" customHeight="1" spans="1:25">
      <c r="A6325" s="24" t="s">
        <v>109</v>
      </c>
      <c r="B6325" s="22" t="s">
        <v>7422</v>
      </c>
      <c r="C6325" s="22" t="s">
        <v>44</v>
      </c>
      <c r="D6325" s="22" t="s">
        <v>7585</v>
      </c>
      <c r="E6325" s="23" t="s">
        <v>8117</v>
      </c>
      <c r="F6325" s="24" t="s">
        <v>8118</v>
      </c>
      <c r="G6325" s="24" t="s">
        <v>31</v>
      </c>
      <c r="H6325" s="25" t="s">
        <v>8126</v>
      </c>
      <c r="I6325" s="46" t="e">
        <f>VLOOKUP(H6325,'合同高级查询数据-4月返'!A:A,1,FALSE)</f>
        <v>#N/A</v>
      </c>
      <c r="J6325" s="47" t="s">
        <v>33</v>
      </c>
      <c r="K6325" s="24" t="s">
        <v>46</v>
      </c>
      <c r="L6325" s="48" t="s">
        <v>8127</v>
      </c>
      <c r="M6325" s="49" t="s">
        <v>8128</v>
      </c>
      <c r="N6325" s="22"/>
      <c r="O6325" s="22" t="s">
        <v>179</v>
      </c>
      <c r="P6325" s="70">
        <v>0</v>
      </c>
      <c r="Q6325" s="70">
        <v>0</v>
      </c>
      <c r="R6325" s="52">
        <f t="shared" si="187"/>
        <v>0</v>
      </c>
      <c r="S6325" s="47">
        <v>202304</v>
      </c>
      <c r="T6325" s="123" t="s">
        <v>8124</v>
      </c>
      <c r="U6325" s="97"/>
      <c r="V6325" s="453"/>
      <c r="W6325" s="97"/>
      <c r="X6325" s="50">
        <v>44958</v>
      </c>
      <c r="Y6325" s="50">
        <v>45322</v>
      </c>
    </row>
    <row r="6326" s="5" customFormat="1" customHeight="1" spans="1:25">
      <c r="A6326" s="24" t="s">
        <v>109</v>
      </c>
      <c r="B6326" s="22" t="s">
        <v>7422</v>
      </c>
      <c r="C6326" s="22" t="s">
        <v>44</v>
      </c>
      <c r="D6326" s="22" t="s">
        <v>7585</v>
      </c>
      <c r="E6326" s="23" t="s">
        <v>8117</v>
      </c>
      <c r="F6326" s="24" t="s">
        <v>8118</v>
      </c>
      <c r="G6326" s="24" t="s">
        <v>88</v>
      </c>
      <c r="H6326" s="25" t="s">
        <v>8126</v>
      </c>
      <c r="I6326" s="46" t="e">
        <f>VLOOKUP(H6326,'合同高级查询数据-4月返'!A:A,1,FALSE)</f>
        <v>#N/A</v>
      </c>
      <c r="J6326" s="47" t="s">
        <v>162</v>
      </c>
      <c r="K6326" s="24" t="s">
        <v>46</v>
      </c>
      <c r="L6326" s="48" t="s">
        <v>8127</v>
      </c>
      <c r="M6326" s="49" t="s">
        <v>8128</v>
      </c>
      <c r="N6326" s="50">
        <v>43922</v>
      </c>
      <c r="O6326" s="51" t="s">
        <v>92</v>
      </c>
      <c r="P6326" s="452">
        <v>4166.67</v>
      </c>
      <c r="Q6326" s="70">
        <v>5</v>
      </c>
      <c r="R6326" s="52">
        <f t="shared" si="187"/>
        <v>20833.35</v>
      </c>
      <c r="S6326" s="47">
        <v>202304</v>
      </c>
      <c r="T6326" s="123" t="s">
        <v>8130</v>
      </c>
      <c r="U6326" s="97"/>
      <c r="V6326" s="453"/>
      <c r="W6326" s="97"/>
      <c r="X6326" s="50">
        <v>44958</v>
      </c>
      <c r="Y6326" s="50">
        <v>45322</v>
      </c>
    </row>
    <row r="6327" s="5" customFormat="1" customHeight="1" spans="1:25">
      <c r="A6327" s="24" t="s">
        <v>109</v>
      </c>
      <c r="B6327" s="22" t="s">
        <v>7422</v>
      </c>
      <c r="C6327" s="22" t="s">
        <v>44</v>
      </c>
      <c r="D6327" s="22" t="s">
        <v>7585</v>
      </c>
      <c r="E6327" s="23" t="s">
        <v>8131</v>
      </c>
      <c r="F6327" s="24" t="s">
        <v>8132</v>
      </c>
      <c r="G6327" s="24" t="s">
        <v>31</v>
      </c>
      <c r="H6327" s="25" t="s">
        <v>8133</v>
      </c>
      <c r="I6327" s="46" t="e">
        <f>VLOOKUP(H6327,'合同高级查询数据-4月返'!A:A,1,FALSE)</f>
        <v>#N/A</v>
      </c>
      <c r="J6327" s="47" t="s">
        <v>33</v>
      </c>
      <c r="K6327" s="24" t="s">
        <v>7896</v>
      </c>
      <c r="L6327" s="48" t="s">
        <v>8134</v>
      </c>
      <c r="M6327" s="49" t="s">
        <v>8135</v>
      </c>
      <c r="N6327" s="50">
        <v>43936</v>
      </c>
      <c r="O6327" s="51" t="s">
        <v>37</v>
      </c>
      <c r="P6327" s="52">
        <v>0</v>
      </c>
      <c r="Q6327" s="52">
        <v>288</v>
      </c>
      <c r="R6327" s="52">
        <f t="shared" ref="R6327:R6390" si="188">ROUND(P6327*Q6327,2)</f>
        <v>0</v>
      </c>
      <c r="S6327" s="47">
        <v>202304</v>
      </c>
      <c r="T6327" s="123" t="s">
        <v>8136</v>
      </c>
      <c r="U6327" s="22"/>
      <c r="V6327" s="72"/>
      <c r="W6327" s="22"/>
      <c r="X6327" s="50">
        <v>44682</v>
      </c>
      <c r="Y6327" s="50">
        <v>45046</v>
      </c>
    </row>
    <row r="6328" s="5" customFormat="1" customHeight="1" spans="1:25">
      <c r="A6328" s="24" t="s">
        <v>109</v>
      </c>
      <c r="B6328" s="22" t="s">
        <v>7422</v>
      </c>
      <c r="C6328" s="22" t="s">
        <v>44</v>
      </c>
      <c r="D6328" s="22" t="s">
        <v>7585</v>
      </c>
      <c r="E6328" s="23" t="s">
        <v>8131</v>
      </c>
      <c r="F6328" s="24" t="s">
        <v>8132</v>
      </c>
      <c r="G6328" s="24" t="s">
        <v>31</v>
      </c>
      <c r="H6328" s="25" t="s">
        <v>8133</v>
      </c>
      <c r="I6328" s="46" t="e">
        <f>VLOOKUP(H6328,'合同高级查询数据-4月返'!A:A,1,FALSE)</f>
        <v>#N/A</v>
      </c>
      <c r="J6328" s="47" t="s">
        <v>33</v>
      </c>
      <c r="K6328" s="24" t="s">
        <v>7896</v>
      </c>
      <c r="L6328" s="48" t="s">
        <v>8134</v>
      </c>
      <c r="M6328" s="49" t="s">
        <v>8135</v>
      </c>
      <c r="N6328" s="50">
        <v>44926</v>
      </c>
      <c r="O6328" s="51" t="s">
        <v>37</v>
      </c>
      <c r="P6328" s="52">
        <v>0</v>
      </c>
      <c r="Q6328" s="52">
        <v>-288</v>
      </c>
      <c r="R6328" s="52">
        <f t="shared" si="188"/>
        <v>0</v>
      </c>
      <c r="S6328" s="47">
        <v>202304</v>
      </c>
      <c r="T6328" s="123" t="s">
        <v>8137</v>
      </c>
      <c r="U6328" s="22"/>
      <c r="V6328" s="72"/>
      <c r="W6328" s="22"/>
      <c r="X6328" s="50">
        <v>44682</v>
      </c>
      <c r="Y6328" s="50">
        <v>45046</v>
      </c>
    </row>
    <row r="6329" s="5" customFormat="1" customHeight="1" spans="1:25">
      <c r="A6329" s="24" t="s">
        <v>109</v>
      </c>
      <c r="B6329" s="22" t="s">
        <v>7422</v>
      </c>
      <c r="C6329" s="22" t="s">
        <v>44</v>
      </c>
      <c r="D6329" s="22" t="s">
        <v>7585</v>
      </c>
      <c r="E6329" s="23" t="s">
        <v>8131</v>
      </c>
      <c r="F6329" s="24" t="s">
        <v>8132</v>
      </c>
      <c r="G6329" s="24" t="s">
        <v>31</v>
      </c>
      <c r="H6329" s="25" t="s">
        <v>8133</v>
      </c>
      <c r="I6329" s="46" t="e">
        <f>VLOOKUP(H6329,'合同高级查询数据-4月返'!A:A,1,FALSE)</f>
        <v>#N/A</v>
      </c>
      <c r="J6329" s="47" t="s">
        <v>33</v>
      </c>
      <c r="K6329" s="24" t="s">
        <v>7896</v>
      </c>
      <c r="L6329" s="48" t="s">
        <v>8134</v>
      </c>
      <c r="M6329" s="49" t="s">
        <v>8135</v>
      </c>
      <c r="N6329" s="50"/>
      <c r="O6329" s="22" t="s">
        <v>179</v>
      </c>
      <c r="P6329" s="52">
        <v>0</v>
      </c>
      <c r="Q6329" s="70">
        <v>0</v>
      </c>
      <c r="R6329" s="52">
        <f t="shared" si="188"/>
        <v>0</v>
      </c>
      <c r="S6329" s="47">
        <v>202304</v>
      </c>
      <c r="T6329" s="123" t="s">
        <v>8138</v>
      </c>
      <c r="U6329" s="22"/>
      <c r="V6329" s="72"/>
      <c r="W6329" s="22"/>
      <c r="X6329" s="50">
        <v>44682</v>
      </c>
      <c r="Y6329" s="50">
        <v>45046</v>
      </c>
    </row>
    <row r="6330" s="5" customFormat="1" customHeight="1" spans="1:25">
      <c r="A6330" s="24" t="s">
        <v>109</v>
      </c>
      <c r="B6330" s="22" t="s">
        <v>7422</v>
      </c>
      <c r="C6330" s="22" t="s">
        <v>44</v>
      </c>
      <c r="D6330" s="22" t="s">
        <v>7585</v>
      </c>
      <c r="E6330" s="23" t="s">
        <v>8131</v>
      </c>
      <c r="F6330" s="24" t="s">
        <v>8132</v>
      </c>
      <c r="G6330" s="24" t="s">
        <v>88</v>
      </c>
      <c r="H6330" s="25" t="s">
        <v>8133</v>
      </c>
      <c r="I6330" s="46" t="e">
        <f>VLOOKUP(H6330,'合同高级查询数据-4月返'!A:A,1,FALSE)</f>
        <v>#N/A</v>
      </c>
      <c r="J6330" s="47" t="s">
        <v>162</v>
      </c>
      <c r="K6330" s="24" t="s">
        <v>7896</v>
      </c>
      <c r="L6330" s="48" t="s">
        <v>8134</v>
      </c>
      <c r="M6330" s="49" t="s">
        <v>8135</v>
      </c>
      <c r="N6330" s="50">
        <v>43936</v>
      </c>
      <c r="O6330" s="51" t="s">
        <v>702</v>
      </c>
      <c r="P6330" s="52">
        <v>4583</v>
      </c>
      <c r="Q6330" s="70">
        <v>4</v>
      </c>
      <c r="R6330" s="52">
        <f t="shared" si="188"/>
        <v>18332</v>
      </c>
      <c r="S6330" s="47">
        <v>202304</v>
      </c>
      <c r="T6330" s="123" t="s">
        <v>8139</v>
      </c>
      <c r="U6330" s="22"/>
      <c r="V6330" s="72"/>
      <c r="W6330" s="22"/>
      <c r="X6330" s="50">
        <v>44682</v>
      </c>
      <c r="Y6330" s="50">
        <v>45046</v>
      </c>
    </row>
    <row r="6331" s="5" customFormat="1" customHeight="1" spans="1:25">
      <c r="A6331" s="24" t="s">
        <v>109</v>
      </c>
      <c r="B6331" s="22" t="s">
        <v>7422</v>
      </c>
      <c r="C6331" s="22" t="s">
        <v>44</v>
      </c>
      <c r="D6331" s="22" t="s">
        <v>7585</v>
      </c>
      <c r="E6331" s="23" t="s">
        <v>8131</v>
      </c>
      <c r="F6331" s="24" t="s">
        <v>8132</v>
      </c>
      <c r="G6331" s="24" t="s">
        <v>88</v>
      </c>
      <c r="H6331" s="25" t="s">
        <v>8133</v>
      </c>
      <c r="I6331" s="46" t="e">
        <f>VLOOKUP(H6331,'合同高级查询数据-4月返'!A:A,1,FALSE)</f>
        <v>#N/A</v>
      </c>
      <c r="J6331" s="47" t="s">
        <v>162</v>
      </c>
      <c r="K6331" s="24" t="s">
        <v>7896</v>
      </c>
      <c r="L6331" s="48" t="s">
        <v>8134</v>
      </c>
      <c r="M6331" s="49" t="s">
        <v>8135</v>
      </c>
      <c r="N6331" s="50">
        <v>44926</v>
      </c>
      <c r="O6331" s="51" t="s">
        <v>702</v>
      </c>
      <c r="P6331" s="52">
        <v>4583</v>
      </c>
      <c r="Q6331" s="70">
        <v>-4</v>
      </c>
      <c r="R6331" s="52">
        <f t="shared" si="188"/>
        <v>-18332</v>
      </c>
      <c r="S6331" s="47">
        <v>202304</v>
      </c>
      <c r="T6331" s="123" t="s">
        <v>8140</v>
      </c>
      <c r="U6331" s="22"/>
      <c r="V6331" s="72"/>
      <c r="W6331" s="22"/>
      <c r="X6331" s="50">
        <v>44682</v>
      </c>
      <c r="Y6331" s="50">
        <v>45046</v>
      </c>
    </row>
    <row r="6332" s="5" customFormat="1" customHeight="1" spans="1:25">
      <c r="A6332" s="24" t="s">
        <v>152</v>
      </c>
      <c r="B6332" s="22" t="s">
        <v>7422</v>
      </c>
      <c r="C6332" s="22" t="s">
        <v>3951</v>
      </c>
      <c r="D6332" s="22" t="s">
        <v>28</v>
      </c>
      <c r="E6332" s="23" t="s">
        <v>8131</v>
      </c>
      <c r="F6332" s="24" t="s">
        <v>8132</v>
      </c>
      <c r="G6332" s="24" t="s">
        <v>31</v>
      </c>
      <c r="H6332" s="25" t="s">
        <v>8141</v>
      </c>
      <c r="I6332" s="46" t="e">
        <f>VLOOKUP(H6332,'合同高级查询数据-4月返'!A:A,1,FALSE)</f>
        <v>#N/A</v>
      </c>
      <c r="J6332" s="47" t="s">
        <v>33</v>
      </c>
      <c r="K6332" s="22" t="s">
        <v>3951</v>
      </c>
      <c r="L6332" s="48" t="s">
        <v>8142</v>
      </c>
      <c r="M6332" s="49" t="s">
        <v>8143</v>
      </c>
      <c r="N6332" s="50">
        <v>44138</v>
      </c>
      <c r="O6332" s="51" t="s">
        <v>37</v>
      </c>
      <c r="P6332" s="52">
        <v>0</v>
      </c>
      <c r="Q6332" s="70">
        <v>288</v>
      </c>
      <c r="R6332" s="52">
        <f t="shared" si="188"/>
        <v>0</v>
      </c>
      <c r="S6332" s="47">
        <v>202304</v>
      </c>
      <c r="T6332" s="123" t="s">
        <v>8144</v>
      </c>
      <c r="U6332" s="22"/>
      <c r="V6332" s="72"/>
      <c r="W6332" s="22"/>
      <c r="X6332" s="50">
        <v>44927</v>
      </c>
      <c r="Y6332" s="50">
        <v>45291</v>
      </c>
    </row>
    <row r="6333" s="5" customFormat="1" customHeight="1" spans="1:25">
      <c r="A6333" s="24" t="s">
        <v>152</v>
      </c>
      <c r="B6333" s="22" t="s">
        <v>7422</v>
      </c>
      <c r="C6333" s="22" t="s">
        <v>3951</v>
      </c>
      <c r="D6333" s="22" t="s">
        <v>28</v>
      </c>
      <c r="E6333" s="23" t="s">
        <v>8131</v>
      </c>
      <c r="F6333" s="24" t="s">
        <v>8132</v>
      </c>
      <c r="G6333" s="24" t="s">
        <v>31</v>
      </c>
      <c r="H6333" s="25" t="s">
        <v>8141</v>
      </c>
      <c r="I6333" s="46" t="e">
        <f>VLOOKUP(H6333,'合同高级查询数据-4月返'!A:A,1,FALSE)</f>
        <v>#N/A</v>
      </c>
      <c r="J6333" s="47" t="s">
        <v>33</v>
      </c>
      <c r="K6333" s="22" t="s">
        <v>3951</v>
      </c>
      <c r="L6333" s="48" t="s">
        <v>8142</v>
      </c>
      <c r="M6333" s="49" t="s">
        <v>8143</v>
      </c>
      <c r="N6333" s="50"/>
      <c r="O6333" s="22" t="s">
        <v>179</v>
      </c>
      <c r="P6333" s="52">
        <v>0</v>
      </c>
      <c r="Q6333" s="70">
        <v>0</v>
      </c>
      <c r="R6333" s="52">
        <f t="shared" si="188"/>
        <v>0</v>
      </c>
      <c r="S6333" s="47">
        <v>202304</v>
      </c>
      <c r="T6333" s="123" t="s">
        <v>8145</v>
      </c>
      <c r="U6333" s="22"/>
      <c r="V6333" s="72"/>
      <c r="W6333" s="22"/>
      <c r="X6333" s="50">
        <v>44927</v>
      </c>
      <c r="Y6333" s="50">
        <v>45291</v>
      </c>
    </row>
    <row r="6334" s="5" customFormat="1" customHeight="1" spans="1:25">
      <c r="A6334" s="24" t="s">
        <v>152</v>
      </c>
      <c r="B6334" s="22" t="s">
        <v>7422</v>
      </c>
      <c r="C6334" s="22" t="s">
        <v>3951</v>
      </c>
      <c r="D6334" s="22" t="s">
        <v>28</v>
      </c>
      <c r="E6334" s="23" t="s">
        <v>8131</v>
      </c>
      <c r="F6334" s="24" t="s">
        <v>8132</v>
      </c>
      <c r="G6334" s="24" t="s">
        <v>88</v>
      </c>
      <c r="H6334" s="25" t="s">
        <v>8141</v>
      </c>
      <c r="I6334" s="46" t="e">
        <f>VLOOKUP(H6334,'合同高级查询数据-4月返'!A:A,1,FALSE)</f>
        <v>#N/A</v>
      </c>
      <c r="J6334" s="47" t="s">
        <v>162</v>
      </c>
      <c r="K6334" s="22" t="s">
        <v>3951</v>
      </c>
      <c r="L6334" s="48" t="s">
        <v>8142</v>
      </c>
      <c r="M6334" s="49" t="s">
        <v>8143</v>
      </c>
      <c r="N6334" s="50">
        <v>44138</v>
      </c>
      <c r="O6334" s="51" t="s">
        <v>702</v>
      </c>
      <c r="P6334" s="52">
        <v>4166.67</v>
      </c>
      <c r="Q6334" s="70">
        <v>4</v>
      </c>
      <c r="R6334" s="52">
        <f t="shared" si="188"/>
        <v>16666.68</v>
      </c>
      <c r="S6334" s="47">
        <v>202304</v>
      </c>
      <c r="T6334" s="123" t="s">
        <v>8146</v>
      </c>
      <c r="U6334" s="22"/>
      <c r="V6334" s="72"/>
      <c r="W6334" s="22"/>
      <c r="X6334" s="50">
        <v>44927</v>
      </c>
      <c r="Y6334" s="50">
        <v>45291</v>
      </c>
    </row>
    <row r="6335" s="5" customFormat="1" customHeight="1" spans="1:25">
      <c r="A6335" s="24" t="s">
        <v>152</v>
      </c>
      <c r="B6335" s="22" t="s">
        <v>7422</v>
      </c>
      <c r="C6335" s="22" t="s">
        <v>3951</v>
      </c>
      <c r="D6335" s="22" t="s">
        <v>28</v>
      </c>
      <c r="E6335" s="23" t="s">
        <v>8131</v>
      </c>
      <c r="F6335" s="24" t="s">
        <v>8132</v>
      </c>
      <c r="G6335" s="24" t="s">
        <v>88</v>
      </c>
      <c r="H6335" s="25" t="s">
        <v>8141</v>
      </c>
      <c r="I6335" s="46" t="e">
        <f>VLOOKUP(H6335,'合同高级查询数据-4月返'!A:A,1,FALSE)</f>
        <v>#N/A</v>
      </c>
      <c r="J6335" s="47" t="s">
        <v>162</v>
      </c>
      <c r="K6335" s="22" t="s">
        <v>3951</v>
      </c>
      <c r="L6335" s="48" t="s">
        <v>8142</v>
      </c>
      <c r="M6335" s="49" t="s">
        <v>8143</v>
      </c>
      <c r="N6335" s="50">
        <v>44197</v>
      </c>
      <c r="O6335" s="51" t="s">
        <v>702</v>
      </c>
      <c r="P6335" s="52">
        <v>4166.67</v>
      </c>
      <c r="Q6335" s="70">
        <v>2</v>
      </c>
      <c r="R6335" s="52">
        <f t="shared" si="188"/>
        <v>8333.34</v>
      </c>
      <c r="S6335" s="47">
        <v>202304</v>
      </c>
      <c r="T6335" s="123" t="s">
        <v>8147</v>
      </c>
      <c r="U6335" s="22"/>
      <c r="V6335" s="72"/>
      <c r="W6335" s="22"/>
      <c r="X6335" s="50">
        <v>44927</v>
      </c>
      <c r="Y6335" s="50">
        <v>45291</v>
      </c>
    </row>
    <row r="6336" s="5" customFormat="1" customHeight="1" spans="1:25">
      <c r="A6336" s="24" t="s">
        <v>152</v>
      </c>
      <c r="B6336" s="22" t="s">
        <v>7422</v>
      </c>
      <c r="C6336" s="22" t="s">
        <v>3951</v>
      </c>
      <c r="D6336" s="22" t="s">
        <v>28</v>
      </c>
      <c r="E6336" s="23" t="s">
        <v>8131</v>
      </c>
      <c r="F6336" s="24" t="s">
        <v>8132</v>
      </c>
      <c r="G6336" s="24" t="s">
        <v>88</v>
      </c>
      <c r="H6336" s="25" t="s">
        <v>8141</v>
      </c>
      <c r="I6336" s="46" t="e">
        <f>VLOOKUP(H6336,'合同高级查询数据-4月返'!A:A,1,FALSE)</f>
        <v>#N/A</v>
      </c>
      <c r="J6336" s="47" t="s">
        <v>162</v>
      </c>
      <c r="K6336" s="22" t="s">
        <v>3951</v>
      </c>
      <c r="L6336" s="48" t="s">
        <v>8142</v>
      </c>
      <c r="M6336" s="49" t="s">
        <v>8143</v>
      </c>
      <c r="N6336" s="50">
        <v>44939</v>
      </c>
      <c r="O6336" s="51" t="s">
        <v>702</v>
      </c>
      <c r="P6336" s="52">
        <v>4166.67</v>
      </c>
      <c r="Q6336" s="70">
        <v>1</v>
      </c>
      <c r="R6336" s="52">
        <f t="shared" si="188"/>
        <v>4166.67</v>
      </c>
      <c r="S6336" s="47">
        <v>202304</v>
      </c>
      <c r="T6336" s="123" t="s">
        <v>8148</v>
      </c>
      <c r="U6336" s="22"/>
      <c r="V6336" s="72"/>
      <c r="W6336" s="22"/>
      <c r="X6336" s="50">
        <v>44927</v>
      </c>
      <c r="Y6336" s="50">
        <v>45291</v>
      </c>
    </row>
    <row r="6337" s="5" customFormat="1" customHeight="1" spans="1:25">
      <c r="A6337" s="24" t="s">
        <v>109</v>
      </c>
      <c r="B6337" s="22" t="s">
        <v>7422</v>
      </c>
      <c r="C6337" s="22" t="s">
        <v>44</v>
      </c>
      <c r="D6337" s="22" t="s">
        <v>7585</v>
      </c>
      <c r="E6337" s="23" t="s">
        <v>8131</v>
      </c>
      <c r="F6337" s="24" t="s">
        <v>8132</v>
      </c>
      <c r="G6337" s="24" t="s">
        <v>31</v>
      </c>
      <c r="H6337" s="25" t="s">
        <v>8149</v>
      </c>
      <c r="I6337" s="46" t="e">
        <f>VLOOKUP(H6337,'合同高级查询数据-4月返'!A:A,1,FALSE)</f>
        <v>#N/A</v>
      </c>
      <c r="J6337" s="47" t="s">
        <v>33</v>
      </c>
      <c r="K6337" s="22" t="s">
        <v>203</v>
      </c>
      <c r="L6337" s="48" t="s">
        <v>8150</v>
      </c>
      <c r="M6337" s="49" t="s">
        <v>8151</v>
      </c>
      <c r="N6337" s="50">
        <v>44348</v>
      </c>
      <c r="O6337" s="51" t="s">
        <v>37</v>
      </c>
      <c r="P6337" s="52">
        <v>0</v>
      </c>
      <c r="Q6337" s="70">
        <v>288</v>
      </c>
      <c r="R6337" s="52">
        <f t="shared" si="188"/>
        <v>0</v>
      </c>
      <c r="S6337" s="47">
        <v>202304</v>
      </c>
      <c r="T6337" s="123" t="s">
        <v>8152</v>
      </c>
      <c r="U6337" s="22"/>
      <c r="V6337" s="72"/>
      <c r="W6337" s="22"/>
      <c r="X6337" s="50">
        <v>44713</v>
      </c>
      <c r="Y6337" s="50">
        <v>45046</v>
      </c>
    </row>
    <row r="6338" s="5" customFormat="1" customHeight="1" spans="1:25">
      <c r="A6338" s="24" t="s">
        <v>109</v>
      </c>
      <c r="B6338" s="22" t="s">
        <v>7422</v>
      </c>
      <c r="C6338" s="22" t="s">
        <v>44</v>
      </c>
      <c r="D6338" s="22" t="s">
        <v>7585</v>
      </c>
      <c r="E6338" s="23" t="s">
        <v>8131</v>
      </c>
      <c r="F6338" s="24" t="s">
        <v>8132</v>
      </c>
      <c r="G6338" s="24" t="s">
        <v>31</v>
      </c>
      <c r="H6338" s="25" t="s">
        <v>8149</v>
      </c>
      <c r="I6338" s="46" t="e">
        <f>VLOOKUP(H6338,'合同高级查询数据-4月返'!A:A,1,FALSE)</f>
        <v>#N/A</v>
      </c>
      <c r="J6338" s="47" t="s">
        <v>33</v>
      </c>
      <c r="K6338" s="22" t="s">
        <v>203</v>
      </c>
      <c r="L6338" s="48" t="s">
        <v>8150</v>
      </c>
      <c r="M6338" s="49" t="s">
        <v>8151</v>
      </c>
      <c r="N6338" s="50"/>
      <c r="O6338" s="51" t="s">
        <v>179</v>
      </c>
      <c r="P6338" s="52">
        <v>0</v>
      </c>
      <c r="Q6338" s="70">
        <v>0</v>
      </c>
      <c r="R6338" s="52">
        <f t="shared" si="188"/>
        <v>0</v>
      </c>
      <c r="S6338" s="47">
        <v>202304</v>
      </c>
      <c r="T6338" s="123" t="s">
        <v>8153</v>
      </c>
      <c r="U6338" s="22"/>
      <c r="V6338" s="72"/>
      <c r="W6338" s="22"/>
      <c r="X6338" s="50">
        <v>44713</v>
      </c>
      <c r="Y6338" s="50">
        <v>45046</v>
      </c>
    </row>
    <row r="6339" s="5" customFormat="1" customHeight="1" spans="1:25">
      <c r="A6339" s="24" t="s">
        <v>109</v>
      </c>
      <c r="B6339" s="22" t="s">
        <v>7422</v>
      </c>
      <c r="C6339" s="22" t="s">
        <v>44</v>
      </c>
      <c r="D6339" s="22" t="s">
        <v>7585</v>
      </c>
      <c r="E6339" s="23" t="s">
        <v>8131</v>
      </c>
      <c r="F6339" s="24" t="s">
        <v>8132</v>
      </c>
      <c r="G6339" s="24" t="s">
        <v>88</v>
      </c>
      <c r="H6339" s="25" t="s">
        <v>8149</v>
      </c>
      <c r="I6339" s="46" t="e">
        <f>VLOOKUP(H6339,'合同高级查询数据-4月返'!A:A,1,FALSE)</f>
        <v>#N/A</v>
      </c>
      <c r="J6339" s="47" t="s">
        <v>162</v>
      </c>
      <c r="K6339" s="22" t="s">
        <v>203</v>
      </c>
      <c r="L6339" s="48" t="s">
        <v>8150</v>
      </c>
      <c r="M6339" s="49" t="s">
        <v>8151</v>
      </c>
      <c r="N6339" s="50">
        <v>44348</v>
      </c>
      <c r="O6339" s="51" t="s">
        <v>1306</v>
      </c>
      <c r="P6339" s="52">
        <v>6666.67</v>
      </c>
      <c r="Q6339" s="70">
        <v>4</v>
      </c>
      <c r="R6339" s="52">
        <f t="shared" si="188"/>
        <v>26666.68</v>
      </c>
      <c r="S6339" s="47">
        <v>202304</v>
      </c>
      <c r="T6339" s="123" t="s">
        <v>8154</v>
      </c>
      <c r="U6339" s="22"/>
      <c r="V6339" s="72"/>
      <c r="W6339" s="22"/>
      <c r="X6339" s="50">
        <v>44713</v>
      </c>
      <c r="Y6339" s="50">
        <v>45046</v>
      </c>
    </row>
    <row r="6340" s="5" customFormat="1" customHeight="1" spans="1:25">
      <c r="A6340" s="21" t="s">
        <v>25</v>
      </c>
      <c r="B6340" s="22" t="s">
        <v>7422</v>
      </c>
      <c r="C6340" s="22" t="s">
        <v>44</v>
      </c>
      <c r="D6340" s="22" t="s">
        <v>7585</v>
      </c>
      <c r="E6340" s="23" t="s">
        <v>8131</v>
      </c>
      <c r="F6340" s="24" t="s">
        <v>8132</v>
      </c>
      <c r="G6340" s="24" t="s">
        <v>31</v>
      </c>
      <c r="H6340" s="25" t="s">
        <v>8155</v>
      </c>
      <c r="I6340" s="46" t="e">
        <f>VLOOKUP(H6340,'合同高级查询数据-4月返'!A:A,1,FALSE)</f>
        <v>#N/A</v>
      </c>
      <c r="J6340" s="47" t="s">
        <v>33</v>
      </c>
      <c r="K6340" s="22" t="s">
        <v>296</v>
      </c>
      <c r="L6340" s="48" t="s">
        <v>8156</v>
      </c>
      <c r="M6340" s="49" t="s">
        <v>8157</v>
      </c>
      <c r="N6340" s="50">
        <v>44835</v>
      </c>
      <c r="O6340" s="51" t="s">
        <v>37</v>
      </c>
      <c r="P6340" s="52">
        <v>0</v>
      </c>
      <c r="Q6340" s="70">
        <v>288</v>
      </c>
      <c r="R6340" s="52">
        <f t="shared" si="188"/>
        <v>0</v>
      </c>
      <c r="S6340" s="47">
        <v>202304</v>
      </c>
      <c r="T6340" s="123" t="s">
        <v>8158</v>
      </c>
      <c r="U6340" s="22"/>
      <c r="V6340" s="72"/>
      <c r="W6340" s="22"/>
      <c r="X6340" s="50">
        <v>44835</v>
      </c>
      <c r="Y6340" s="73">
        <v>45199</v>
      </c>
    </row>
    <row r="6341" s="5" customFormat="1" customHeight="1" spans="1:25">
      <c r="A6341" s="21" t="s">
        <v>25</v>
      </c>
      <c r="B6341" s="22" t="s">
        <v>7422</v>
      </c>
      <c r="C6341" s="22" t="s">
        <v>44</v>
      </c>
      <c r="D6341" s="22" t="s">
        <v>7585</v>
      </c>
      <c r="E6341" s="23" t="s">
        <v>8131</v>
      </c>
      <c r="F6341" s="24" t="s">
        <v>8132</v>
      </c>
      <c r="G6341" s="24" t="s">
        <v>31</v>
      </c>
      <c r="H6341" s="25" t="s">
        <v>8155</v>
      </c>
      <c r="I6341" s="46" t="e">
        <f>VLOOKUP(H6341,'合同高级查询数据-4月返'!A:A,1,FALSE)</f>
        <v>#N/A</v>
      </c>
      <c r="J6341" s="47" t="s">
        <v>33</v>
      </c>
      <c r="K6341" s="22" t="s">
        <v>296</v>
      </c>
      <c r="L6341" s="48" t="s">
        <v>8156</v>
      </c>
      <c r="M6341" s="49" t="s">
        <v>8157</v>
      </c>
      <c r="N6341" s="50">
        <v>45006</v>
      </c>
      <c r="O6341" s="51" t="s">
        <v>37</v>
      </c>
      <c r="P6341" s="52">
        <v>0</v>
      </c>
      <c r="Q6341" s="70">
        <v>-128</v>
      </c>
      <c r="R6341" s="52">
        <f t="shared" si="188"/>
        <v>0</v>
      </c>
      <c r="S6341" s="47">
        <v>202304</v>
      </c>
      <c r="T6341" s="123" t="s">
        <v>8159</v>
      </c>
      <c r="U6341" s="22"/>
      <c r="V6341" s="72"/>
      <c r="W6341" s="22"/>
      <c r="X6341" s="50">
        <v>44835</v>
      </c>
      <c r="Y6341" s="73">
        <v>45199</v>
      </c>
    </row>
    <row r="6342" s="5" customFormat="1" customHeight="1" spans="1:25">
      <c r="A6342" s="21" t="s">
        <v>25</v>
      </c>
      <c r="B6342" s="22" t="s">
        <v>7422</v>
      </c>
      <c r="C6342" s="22" t="s">
        <v>44</v>
      </c>
      <c r="D6342" s="22" t="s">
        <v>7585</v>
      </c>
      <c r="E6342" s="23" t="s">
        <v>8131</v>
      </c>
      <c r="F6342" s="24" t="s">
        <v>8132</v>
      </c>
      <c r="G6342" s="24" t="s">
        <v>31</v>
      </c>
      <c r="H6342" s="25" t="s">
        <v>8155</v>
      </c>
      <c r="I6342" s="46" t="e">
        <f>VLOOKUP(H6342,'合同高级查询数据-4月返'!A:A,1,FALSE)</f>
        <v>#N/A</v>
      </c>
      <c r="J6342" s="47" t="s">
        <v>33</v>
      </c>
      <c r="K6342" s="22" t="s">
        <v>296</v>
      </c>
      <c r="L6342" s="48" t="s">
        <v>8156</v>
      </c>
      <c r="M6342" s="49" t="s">
        <v>8157</v>
      </c>
      <c r="N6342" s="50">
        <v>45009</v>
      </c>
      <c r="O6342" s="51" t="s">
        <v>37</v>
      </c>
      <c r="P6342" s="52">
        <v>0</v>
      </c>
      <c r="Q6342" s="70">
        <v>128</v>
      </c>
      <c r="R6342" s="52">
        <f t="shared" si="188"/>
        <v>0</v>
      </c>
      <c r="S6342" s="47">
        <v>202304</v>
      </c>
      <c r="T6342" s="123" t="s">
        <v>8160</v>
      </c>
      <c r="U6342" s="22"/>
      <c r="V6342" s="72"/>
      <c r="W6342" s="22"/>
      <c r="X6342" s="50">
        <v>44835</v>
      </c>
      <c r="Y6342" s="73">
        <v>45199</v>
      </c>
    </row>
    <row r="6343" s="5" customFormat="1" customHeight="1" spans="1:25">
      <c r="A6343" s="21" t="s">
        <v>25</v>
      </c>
      <c r="B6343" s="22" t="s">
        <v>7422</v>
      </c>
      <c r="C6343" s="22" t="s">
        <v>44</v>
      </c>
      <c r="D6343" s="22" t="s">
        <v>7585</v>
      </c>
      <c r="E6343" s="23" t="s">
        <v>8131</v>
      </c>
      <c r="F6343" s="24" t="s">
        <v>8132</v>
      </c>
      <c r="G6343" s="24" t="s">
        <v>31</v>
      </c>
      <c r="H6343" s="25" t="s">
        <v>8155</v>
      </c>
      <c r="I6343" s="46" t="e">
        <f>VLOOKUP(H6343,'合同高级查询数据-4月返'!A:A,1,FALSE)</f>
        <v>#N/A</v>
      </c>
      <c r="J6343" s="47" t="s">
        <v>33</v>
      </c>
      <c r="K6343" s="22" t="s">
        <v>296</v>
      </c>
      <c r="L6343" s="48" t="s">
        <v>8156</v>
      </c>
      <c r="M6343" s="49" t="s">
        <v>8157</v>
      </c>
      <c r="N6343" s="50"/>
      <c r="O6343" s="51" t="s">
        <v>179</v>
      </c>
      <c r="P6343" s="52">
        <v>0</v>
      </c>
      <c r="Q6343" s="70">
        <v>0</v>
      </c>
      <c r="R6343" s="52">
        <f t="shared" si="188"/>
        <v>0</v>
      </c>
      <c r="S6343" s="47">
        <v>202304</v>
      </c>
      <c r="T6343" s="123" t="s">
        <v>7817</v>
      </c>
      <c r="U6343" s="22"/>
      <c r="V6343" s="72"/>
      <c r="W6343" s="22"/>
      <c r="X6343" s="50">
        <v>44835</v>
      </c>
      <c r="Y6343" s="73">
        <v>45199</v>
      </c>
    </row>
    <row r="6344" s="5" customFormat="1" customHeight="1" spans="1:25">
      <c r="A6344" s="21" t="s">
        <v>25</v>
      </c>
      <c r="B6344" s="22" t="s">
        <v>7422</v>
      </c>
      <c r="C6344" s="22" t="s">
        <v>44</v>
      </c>
      <c r="D6344" s="22" t="s">
        <v>7585</v>
      </c>
      <c r="E6344" s="23" t="s">
        <v>8131</v>
      </c>
      <c r="F6344" s="24" t="s">
        <v>8132</v>
      </c>
      <c r="G6344" s="24" t="s">
        <v>31</v>
      </c>
      <c r="H6344" s="25" t="s">
        <v>8155</v>
      </c>
      <c r="I6344" s="46" t="e">
        <f>VLOOKUP(H6344,'合同高级查询数据-4月返'!A:A,1,FALSE)</f>
        <v>#N/A</v>
      </c>
      <c r="J6344" s="47" t="s">
        <v>33</v>
      </c>
      <c r="K6344" s="22" t="s">
        <v>296</v>
      </c>
      <c r="L6344" s="48" t="s">
        <v>8156</v>
      </c>
      <c r="M6344" s="49" t="s">
        <v>8157</v>
      </c>
      <c r="N6344" s="50">
        <v>45009</v>
      </c>
      <c r="O6344" s="51" t="s">
        <v>179</v>
      </c>
      <c r="P6344" s="52">
        <v>0</v>
      </c>
      <c r="Q6344" s="70">
        <v>0</v>
      </c>
      <c r="R6344" s="52">
        <f t="shared" si="188"/>
        <v>0</v>
      </c>
      <c r="S6344" s="47">
        <v>202304</v>
      </c>
      <c r="T6344" s="123" t="s">
        <v>8161</v>
      </c>
      <c r="U6344" s="22"/>
      <c r="V6344" s="72"/>
      <c r="W6344" s="22"/>
      <c r="X6344" s="50">
        <v>44835</v>
      </c>
      <c r="Y6344" s="73">
        <v>45199</v>
      </c>
    </row>
    <row r="6345" s="5" customFormat="1" customHeight="1" spans="1:25">
      <c r="A6345" s="21" t="s">
        <v>25</v>
      </c>
      <c r="B6345" s="22" t="s">
        <v>7422</v>
      </c>
      <c r="C6345" s="22" t="s">
        <v>44</v>
      </c>
      <c r="D6345" s="22" t="s">
        <v>7585</v>
      </c>
      <c r="E6345" s="23" t="s">
        <v>8131</v>
      </c>
      <c r="F6345" s="24" t="s">
        <v>8132</v>
      </c>
      <c r="G6345" s="24" t="s">
        <v>88</v>
      </c>
      <c r="H6345" s="25" t="s">
        <v>8155</v>
      </c>
      <c r="I6345" s="46" t="e">
        <f>VLOOKUP(H6345,'合同高级查询数据-4月返'!A:A,1,FALSE)</f>
        <v>#N/A</v>
      </c>
      <c r="J6345" s="47" t="s">
        <v>162</v>
      </c>
      <c r="K6345" s="22" t="s">
        <v>296</v>
      </c>
      <c r="L6345" s="48" t="s">
        <v>8156</v>
      </c>
      <c r="M6345" s="49" t="s">
        <v>8157</v>
      </c>
      <c r="N6345" s="50">
        <v>44835</v>
      </c>
      <c r="O6345" s="51" t="s">
        <v>702</v>
      </c>
      <c r="P6345" s="52">
        <v>4166.67</v>
      </c>
      <c r="Q6345" s="70">
        <v>7</v>
      </c>
      <c r="R6345" s="52">
        <f t="shared" si="188"/>
        <v>29166.69</v>
      </c>
      <c r="S6345" s="47">
        <v>202304</v>
      </c>
      <c r="T6345" s="123" t="s">
        <v>8162</v>
      </c>
      <c r="U6345" s="22"/>
      <c r="V6345" s="72"/>
      <c r="W6345" s="22"/>
      <c r="X6345" s="50">
        <v>44835</v>
      </c>
      <c r="Y6345" s="73">
        <v>45199</v>
      </c>
    </row>
    <row r="6346" s="5" customFormat="1" customHeight="1" spans="1:25">
      <c r="A6346" s="21" t="s">
        <v>25</v>
      </c>
      <c r="B6346" s="22" t="s">
        <v>7422</v>
      </c>
      <c r="C6346" s="22" t="s">
        <v>44</v>
      </c>
      <c r="D6346" s="22" t="s">
        <v>7585</v>
      </c>
      <c r="E6346" s="23" t="s">
        <v>8131</v>
      </c>
      <c r="F6346" s="24" t="s">
        <v>8132</v>
      </c>
      <c r="G6346" s="24" t="s">
        <v>88</v>
      </c>
      <c r="H6346" s="25" t="s">
        <v>8163</v>
      </c>
      <c r="I6346" s="46" t="str">
        <f>VLOOKUP(H6346,'合同高级查询数据-4月返'!A:A,1,FALSE)</f>
        <v>182315IDC00135</v>
      </c>
      <c r="J6346" s="47" t="s">
        <v>162</v>
      </c>
      <c r="K6346" s="22" t="s">
        <v>296</v>
      </c>
      <c r="L6346" s="48" t="s">
        <v>8156</v>
      </c>
      <c r="M6346" s="49" t="s">
        <v>8157</v>
      </c>
      <c r="N6346" s="50">
        <v>45009</v>
      </c>
      <c r="O6346" s="51" t="s">
        <v>702</v>
      </c>
      <c r="P6346" s="52">
        <v>3300</v>
      </c>
      <c r="Q6346" s="70">
        <v>4</v>
      </c>
      <c r="R6346" s="52">
        <f t="shared" si="188"/>
        <v>13200</v>
      </c>
      <c r="S6346" s="47">
        <v>202304</v>
      </c>
      <c r="T6346" s="71" t="s">
        <v>8164</v>
      </c>
      <c r="U6346" s="22"/>
      <c r="V6346" s="72"/>
      <c r="W6346" s="22"/>
      <c r="X6346" s="50">
        <v>45009</v>
      </c>
      <c r="Y6346" s="73">
        <v>45199</v>
      </c>
    </row>
    <row r="6347" s="5" customFormat="1" customHeight="1" spans="1:25">
      <c r="A6347" s="24" t="s">
        <v>109</v>
      </c>
      <c r="B6347" s="22" t="s">
        <v>7422</v>
      </c>
      <c r="C6347" s="22" t="s">
        <v>44</v>
      </c>
      <c r="D6347" s="22" t="s">
        <v>7585</v>
      </c>
      <c r="E6347" s="23" t="s">
        <v>8131</v>
      </c>
      <c r="F6347" s="24" t="s">
        <v>8132</v>
      </c>
      <c r="G6347" s="24" t="s">
        <v>31</v>
      </c>
      <c r="H6347" s="25" t="s">
        <v>8165</v>
      </c>
      <c r="I6347" s="46" t="e">
        <f>VLOOKUP(H6347,'合同高级查询数据-4月返'!A:A,1,FALSE)</f>
        <v>#N/A</v>
      </c>
      <c r="J6347" s="47" t="s">
        <v>33</v>
      </c>
      <c r="K6347" s="22" t="s">
        <v>8166</v>
      </c>
      <c r="L6347" s="48" t="s">
        <v>8167</v>
      </c>
      <c r="M6347" s="49" t="s">
        <v>8168</v>
      </c>
      <c r="N6347" s="50">
        <v>44927</v>
      </c>
      <c r="O6347" s="51" t="s">
        <v>37</v>
      </c>
      <c r="P6347" s="52">
        <v>0</v>
      </c>
      <c r="Q6347" s="70">
        <v>288</v>
      </c>
      <c r="R6347" s="52">
        <f t="shared" si="188"/>
        <v>0</v>
      </c>
      <c r="S6347" s="47">
        <v>202304</v>
      </c>
      <c r="T6347" s="123" t="s">
        <v>8169</v>
      </c>
      <c r="U6347" s="22"/>
      <c r="V6347" s="72"/>
      <c r="W6347" s="22"/>
      <c r="X6347" s="50">
        <v>44927</v>
      </c>
      <c r="Y6347" s="50">
        <v>45291</v>
      </c>
    </row>
    <row r="6348" s="5" customFormat="1" customHeight="1" spans="1:25">
      <c r="A6348" s="24" t="s">
        <v>109</v>
      </c>
      <c r="B6348" s="22" t="s">
        <v>7422</v>
      </c>
      <c r="C6348" s="22" t="s">
        <v>44</v>
      </c>
      <c r="D6348" s="22" t="s">
        <v>7585</v>
      </c>
      <c r="E6348" s="23" t="s">
        <v>8131</v>
      </c>
      <c r="F6348" s="24" t="s">
        <v>8132</v>
      </c>
      <c r="G6348" s="24" t="s">
        <v>31</v>
      </c>
      <c r="H6348" s="25" t="s">
        <v>8165</v>
      </c>
      <c r="I6348" s="46" t="e">
        <f>VLOOKUP(H6348,'合同高级查询数据-4月返'!A:A,1,FALSE)</f>
        <v>#N/A</v>
      </c>
      <c r="J6348" s="47" t="s">
        <v>33</v>
      </c>
      <c r="K6348" s="22" t="s">
        <v>8166</v>
      </c>
      <c r="L6348" s="48" t="s">
        <v>8167</v>
      </c>
      <c r="M6348" s="49" t="s">
        <v>8168</v>
      </c>
      <c r="N6348" s="50"/>
      <c r="O6348" s="51" t="s">
        <v>179</v>
      </c>
      <c r="P6348" s="52">
        <v>0</v>
      </c>
      <c r="Q6348" s="70">
        <v>0</v>
      </c>
      <c r="R6348" s="52">
        <f t="shared" si="188"/>
        <v>0</v>
      </c>
      <c r="S6348" s="47">
        <v>202304</v>
      </c>
      <c r="T6348" s="123" t="s">
        <v>8170</v>
      </c>
      <c r="U6348" s="22"/>
      <c r="V6348" s="72"/>
      <c r="W6348" s="22"/>
      <c r="X6348" s="50">
        <v>44927</v>
      </c>
      <c r="Y6348" s="50">
        <v>45291</v>
      </c>
    </row>
    <row r="6349" s="5" customFormat="1" customHeight="1" spans="1:25">
      <c r="A6349" s="24" t="s">
        <v>109</v>
      </c>
      <c r="B6349" s="22" t="s">
        <v>7422</v>
      </c>
      <c r="C6349" s="22" t="s">
        <v>44</v>
      </c>
      <c r="D6349" s="22" t="s">
        <v>7585</v>
      </c>
      <c r="E6349" s="23" t="s">
        <v>8131</v>
      </c>
      <c r="F6349" s="24" t="s">
        <v>8132</v>
      </c>
      <c r="G6349" s="24" t="s">
        <v>88</v>
      </c>
      <c r="H6349" s="25" t="s">
        <v>8165</v>
      </c>
      <c r="I6349" s="46" t="e">
        <f>VLOOKUP(H6349,'合同高级查询数据-4月返'!A:A,1,FALSE)</f>
        <v>#N/A</v>
      </c>
      <c r="J6349" s="47" t="s">
        <v>162</v>
      </c>
      <c r="K6349" s="22" t="s">
        <v>8166</v>
      </c>
      <c r="L6349" s="48" t="s">
        <v>8167</v>
      </c>
      <c r="M6349" s="49" t="s">
        <v>8168</v>
      </c>
      <c r="N6349" s="50">
        <v>44927</v>
      </c>
      <c r="O6349" s="51" t="s">
        <v>702</v>
      </c>
      <c r="P6349" s="52">
        <v>4166.67</v>
      </c>
      <c r="Q6349" s="70">
        <v>7</v>
      </c>
      <c r="R6349" s="52">
        <f t="shared" si="188"/>
        <v>29166.69</v>
      </c>
      <c r="S6349" s="47">
        <v>202304</v>
      </c>
      <c r="T6349" s="123" t="s">
        <v>8171</v>
      </c>
      <c r="U6349" s="22"/>
      <c r="V6349" s="72"/>
      <c r="W6349" s="22"/>
      <c r="X6349" s="50">
        <v>44927</v>
      </c>
      <c r="Y6349" s="50">
        <v>45291</v>
      </c>
    </row>
    <row r="6350" s="5" customFormat="1" customHeight="1" spans="1:25">
      <c r="A6350" s="21" t="s">
        <v>25</v>
      </c>
      <c r="B6350" s="22" t="s">
        <v>7422</v>
      </c>
      <c r="C6350" s="22" t="s">
        <v>120</v>
      </c>
      <c r="D6350" s="22" t="s">
        <v>7585</v>
      </c>
      <c r="E6350" s="23" t="s">
        <v>8172</v>
      </c>
      <c r="F6350" s="24" t="s">
        <v>8173</v>
      </c>
      <c r="G6350" s="24" t="s">
        <v>31</v>
      </c>
      <c r="H6350" s="25" t="s">
        <v>8174</v>
      </c>
      <c r="I6350" s="46" t="e">
        <f>VLOOKUP(H6350,'合同高级查询数据-4月返'!A:A,1,FALSE)</f>
        <v>#N/A</v>
      </c>
      <c r="J6350" s="47" t="s">
        <v>33</v>
      </c>
      <c r="K6350" s="24" t="s">
        <v>121</v>
      </c>
      <c r="L6350" s="109" t="s">
        <v>8175</v>
      </c>
      <c r="M6350" s="49" t="s">
        <v>8176</v>
      </c>
      <c r="N6350" s="50">
        <v>43862</v>
      </c>
      <c r="O6350" s="512" t="s">
        <v>37</v>
      </c>
      <c r="P6350" s="501">
        <v>0</v>
      </c>
      <c r="Q6350" s="52">
        <v>320</v>
      </c>
      <c r="R6350" s="52">
        <f t="shared" si="188"/>
        <v>0</v>
      </c>
      <c r="S6350" s="47">
        <v>202304</v>
      </c>
      <c r="T6350" s="123" t="s">
        <v>8177</v>
      </c>
      <c r="U6350" s="513" t="s">
        <v>8178</v>
      </c>
      <c r="V6350" s="453"/>
      <c r="W6350" s="97"/>
      <c r="X6350" s="50">
        <v>44682</v>
      </c>
      <c r="Y6350" s="50">
        <v>45046</v>
      </c>
    </row>
    <row r="6351" s="5" customFormat="1" customHeight="1" spans="1:25">
      <c r="A6351" s="21" t="s">
        <v>25</v>
      </c>
      <c r="B6351" s="22" t="s">
        <v>7422</v>
      </c>
      <c r="C6351" s="22" t="s">
        <v>120</v>
      </c>
      <c r="D6351" s="22" t="s">
        <v>7585</v>
      </c>
      <c r="E6351" s="23" t="s">
        <v>8172</v>
      </c>
      <c r="F6351" s="24" t="s">
        <v>8173</v>
      </c>
      <c r="G6351" s="24" t="s">
        <v>31</v>
      </c>
      <c r="H6351" s="25" t="s">
        <v>8174</v>
      </c>
      <c r="I6351" s="46" t="e">
        <f>VLOOKUP(H6351,'合同高级查询数据-4月返'!A:A,1,FALSE)</f>
        <v>#N/A</v>
      </c>
      <c r="J6351" s="47" t="s">
        <v>33</v>
      </c>
      <c r="K6351" s="24" t="s">
        <v>121</v>
      </c>
      <c r="L6351" s="109" t="s">
        <v>8175</v>
      </c>
      <c r="M6351" s="49" t="s">
        <v>8176</v>
      </c>
      <c r="N6351" s="50"/>
      <c r="O6351" s="512" t="s">
        <v>179</v>
      </c>
      <c r="P6351" s="501">
        <v>0</v>
      </c>
      <c r="Q6351" s="52">
        <v>0</v>
      </c>
      <c r="R6351" s="52">
        <f t="shared" si="188"/>
        <v>0</v>
      </c>
      <c r="S6351" s="47">
        <v>202304</v>
      </c>
      <c r="T6351" s="123" t="s">
        <v>8179</v>
      </c>
      <c r="U6351" s="513" t="s">
        <v>8178</v>
      </c>
      <c r="V6351" s="453"/>
      <c r="W6351" s="97"/>
      <c r="X6351" s="50">
        <v>44682</v>
      </c>
      <c r="Y6351" s="50">
        <v>45046</v>
      </c>
    </row>
    <row r="6352" s="5" customFormat="1" customHeight="1" spans="1:25">
      <c r="A6352" s="21" t="s">
        <v>25</v>
      </c>
      <c r="B6352" s="22" t="s">
        <v>7422</v>
      </c>
      <c r="C6352" s="22" t="s">
        <v>120</v>
      </c>
      <c r="D6352" s="22" t="s">
        <v>7585</v>
      </c>
      <c r="E6352" s="23" t="s">
        <v>8172</v>
      </c>
      <c r="F6352" s="24" t="s">
        <v>8173</v>
      </c>
      <c r="G6352" s="24" t="s">
        <v>88</v>
      </c>
      <c r="H6352" s="25" t="s">
        <v>8174</v>
      </c>
      <c r="I6352" s="46" t="e">
        <f>VLOOKUP(H6352,'合同高级查询数据-4月返'!A:A,1,FALSE)</f>
        <v>#N/A</v>
      </c>
      <c r="J6352" s="47" t="s">
        <v>162</v>
      </c>
      <c r="K6352" s="24" t="s">
        <v>121</v>
      </c>
      <c r="L6352" s="109" t="s">
        <v>8175</v>
      </c>
      <c r="M6352" s="49" t="s">
        <v>8176</v>
      </c>
      <c r="N6352" s="50">
        <v>43862</v>
      </c>
      <c r="O6352" s="22" t="s">
        <v>92</v>
      </c>
      <c r="P6352" s="52">
        <v>4166.67</v>
      </c>
      <c r="Q6352" s="70">
        <v>3</v>
      </c>
      <c r="R6352" s="52">
        <f t="shared" si="188"/>
        <v>12500.01</v>
      </c>
      <c r="S6352" s="47">
        <v>202304</v>
      </c>
      <c r="T6352" s="123" t="s">
        <v>8180</v>
      </c>
      <c r="U6352" s="97"/>
      <c r="V6352" s="453"/>
      <c r="W6352" s="97"/>
      <c r="X6352" s="50">
        <v>44682</v>
      </c>
      <c r="Y6352" s="50">
        <v>45046</v>
      </c>
    </row>
    <row r="6353" s="5" customFormat="1" customHeight="1" spans="1:25">
      <c r="A6353" s="21" t="s">
        <v>25</v>
      </c>
      <c r="B6353" s="22" t="s">
        <v>7422</v>
      </c>
      <c r="C6353" s="22" t="s">
        <v>337</v>
      </c>
      <c r="D6353" s="22" t="s">
        <v>28</v>
      </c>
      <c r="E6353" s="23" t="s">
        <v>8172</v>
      </c>
      <c r="F6353" s="24" t="s">
        <v>8173</v>
      </c>
      <c r="G6353" s="24" t="s">
        <v>31</v>
      </c>
      <c r="H6353" s="25" t="s">
        <v>8181</v>
      </c>
      <c r="I6353" s="46" t="e">
        <f>VLOOKUP(H6353,'合同高级查询数据-4月返'!A:A,1,FALSE)</f>
        <v>#N/A</v>
      </c>
      <c r="J6353" s="47" t="s">
        <v>33</v>
      </c>
      <c r="K6353" s="24" t="s">
        <v>337</v>
      </c>
      <c r="L6353" s="109" t="s">
        <v>8182</v>
      </c>
      <c r="M6353" s="49" t="s">
        <v>8183</v>
      </c>
      <c r="N6353" s="50">
        <v>44014</v>
      </c>
      <c r="O6353" s="22" t="s">
        <v>37</v>
      </c>
      <c r="P6353" s="52">
        <v>0</v>
      </c>
      <c r="Q6353" s="70">
        <v>288</v>
      </c>
      <c r="R6353" s="52">
        <f t="shared" si="188"/>
        <v>0</v>
      </c>
      <c r="S6353" s="47">
        <v>202304</v>
      </c>
      <c r="T6353" s="123" t="s">
        <v>8184</v>
      </c>
      <c r="U6353" s="97"/>
      <c r="V6353" s="453"/>
      <c r="W6353" s="97"/>
      <c r="X6353" s="509">
        <v>44743</v>
      </c>
      <c r="Y6353" s="50">
        <v>45046</v>
      </c>
    </row>
    <row r="6354" s="5" customFormat="1" customHeight="1" spans="1:25">
      <c r="A6354" s="21" t="s">
        <v>25</v>
      </c>
      <c r="B6354" s="22" t="s">
        <v>7422</v>
      </c>
      <c r="C6354" s="22" t="s">
        <v>337</v>
      </c>
      <c r="D6354" s="22" t="s">
        <v>28</v>
      </c>
      <c r="E6354" s="23" t="s">
        <v>8172</v>
      </c>
      <c r="F6354" s="24" t="s">
        <v>8173</v>
      </c>
      <c r="G6354" s="24" t="s">
        <v>31</v>
      </c>
      <c r="H6354" s="25" t="s">
        <v>8181</v>
      </c>
      <c r="I6354" s="46" t="e">
        <f>VLOOKUP(H6354,'合同高级查询数据-4月返'!A:A,1,FALSE)</f>
        <v>#N/A</v>
      </c>
      <c r="J6354" s="47" t="s">
        <v>33</v>
      </c>
      <c r="K6354" s="24" t="s">
        <v>337</v>
      </c>
      <c r="L6354" s="109" t="s">
        <v>8182</v>
      </c>
      <c r="M6354" s="49" t="s">
        <v>8183</v>
      </c>
      <c r="N6354" s="50"/>
      <c r="O6354" s="22" t="s">
        <v>179</v>
      </c>
      <c r="P6354" s="52">
        <v>0</v>
      </c>
      <c r="Q6354" s="70">
        <v>0</v>
      </c>
      <c r="R6354" s="52">
        <f t="shared" si="188"/>
        <v>0</v>
      </c>
      <c r="S6354" s="47">
        <v>202304</v>
      </c>
      <c r="T6354" s="123" t="s">
        <v>8185</v>
      </c>
      <c r="U6354" s="97"/>
      <c r="V6354" s="453"/>
      <c r="W6354" s="97"/>
      <c r="X6354" s="509">
        <v>44743</v>
      </c>
      <c r="Y6354" s="50">
        <v>45046</v>
      </c>
    </row>
    <row r="6355" s="5" customFormat="1" customHeight="1" spans="1:25">
      <c r="A6355" s="21" t="s">
        <v>25</v>
      </c>
      <c r="B6355" s="22" t="s">
        <v>7422</v>
      </c>
      <c r="C6355" s="22" t="s">
        <v>337</v>
      </c>
      <c r="D6355" s="22" t="s">
        <v>28</v>
      </c>
      <c r="E6355" s="23" t="s">
        <v>8172</v>
      </c>
      <c r="F6355" s="24" t="s">
        <v>8173</v>
      </c>
      <c r="G6355" s="24" t="s">
        <v>88</v>
      </c>
      <c r="H6355" s="25" t="s">
        <v>8181</v>
      </c>
      <c r="I6355" s="46" t="e">
        <f>VLOOKUP(H6355,'合同高级查询数据-4月返'!A:A,1,FALSE)</f>
        <v>#N/A</v>
      </c>
      <c r="J6355" s="47" t="s">
        <v>162</v>
      </c>
      <c r="K6355" s="24" t="s">
        <v>337</v>
      </c>
      <c r="L6355" s="109" t="s">
        <v>8182</v>
      </c>
      <c r="M6355" s="49" t="s">
        <v>8183</v>
      </c>
      <c r="N6355" s="50">
        <v>44014</v>
      </c>
      <c r="O6355" s="22" t="s">
        <v>702</v>
      </c>
      <c r="P6355" s="52">
        <v>4000</v>
      </c>
      <c r="Q6355" s="70">
        <v>3</v>
      </c>
      <c r="R6355" s="52">
        <f t="shared" si="188"/>
        <v>12000</v>
      </c>
      <c r="S6355" s="47">
        <v>202304</v>
      </c>
      <c r="T6355" s="123" t="s">
        <v>8186</v>
      </c>
      <c r="U6355" s="97"/>
      <c r="V6355" s="453"/>
      <c r="W6355" s="97"/>
      <c r="X6355" s="509">
        <v>44743</v>
      </c>
      <c r="Y6355" s="50">
        <v>45046</v>
      </c>
    </row>
    <row r="6356" s="5" customFormat="1" customHeight="1" spans="1:25">
      <c r="A6356" s="24" t="s">
        <v>109</v>
      </c>
      <c r="B6356" s="22" t="s">
        <v>7422</v>
      </c>
      <c r="C6356" s="22" t="s">
        <v>120</v>
      </c>
      <c r="D6356" s="22" t="s">
        <v>7585</v>
      </c>
      <c r="E6356" s="23" t="s">
        <v>8172</v>
      </c>
      <c r="F6356" s="24" t="s">
        <v>8173</v>
      </c>
      <c r="G6356" s="24" t="s">
        <v>31</v>
      </c>
      <c r="H6356" s="25" t="s">
        <v>8187</v>
      </c>
      <c r="I6356" s="46" t="e">
        <f>VLOOKUP(H6356,'合同高级查询数据-4月返'!A:A,1,FALSE)</f>
        <v>#N/A</v>
      </c>
      <c r="J6356" s="47" t="s">
        <v>33</v>
      </c>
      <c r="K6356" s="24" t="s">
        <v>8188</v>
      </c>
      <c r="L6356" s="109" t="s">
        <v>8189</v>
      </c>
      <c r="M6356" s="49" t="s">
        <v>8190</v>
      </c>
      <c r="N6356" s="50">
        <v>44168</v>
      </c>
      <c r="O6356" s="22" t="s">
        <v>37</v>
      </c>
      <c r="P6356" s="52">
        <v>0</v>
      </c>
      <c r="Q6356" s="70">
        <v>160</v>
      </c>
      <c r="R6356" s="52">
        <f t="shared" si="188"/>
        <v>0</v>
      </c>
      <c r="S6356" s="47">
        <v>202304</v>
      </c>
      <c r="T6356" s="123" t="s">
        <v>8191</v>
      </c>
      <c r="U6356" s="97"/>
      <c r="V6356" s="453"/>
      <c r="W6356" s="97"/>
      <c r="X6356" s="50">
        <v>44166</v>
      </c>
      <c r="Y6356" s="50">
        <v>44530</v>
      </c>
    </row>
    <row r="6357" s="5" customFormat="1" customHeight="1" spans="1:25">
      <c r="A6357" s="24" t="s">
        <v>109</v>
      </c>
      <c r="B6357" s="22" t="s">
        <v>7422</v>
      </c>
      <c r="C6357" s="22" t="s">
        <v>120</v>
      </c>
      <c r="D6357" s="22" t="s">
        <v>7585</v>
      </c>
      <c r="E6357" s="23" t="s">
        <v>8172</v>
      </c>
      <c r="F6357" s="24" t="s">
        <v>8173</v>
      </c>
      <c r="G6357" s="24" t="s">
        <v>31</v>
      </c>
      <c r="H6357" s="25" t="s">
        <v>8187</v>
      </c>
      <c r="I6357" s="46" t="e">
        <f>VLOOKUP(H6357,'合同高级查询数据-4月返'!A:A,1,FALSE)</f>
        <v>#N/A</v>
      </c>
      <c r="J6357" s="47" t="s">
        <v>33</v>
      </c>
      <c r="K6357" s="24" t="s">
        <v>8188</v>
      </c>
      <c r="L6357" s="109" t="s">
        <v>8189</v>
      </c>
      <c r="M6357" s="49" t="s">
        <v>8190</v>
      </c>
      <c r="N6357" s="50">
        <v>44439</v>
      </c>
      <c r="O6357" s="22" t="s">
        <v>37</v>
      </c>
      <c r="P6357" s="52">
        <v>0</v>
      </c>
      <c r="Q6357" s="70">
        <v>-160</v>
      </c>
      <c r="R6357" s="52">
        <f t="shared" si="188"/>
        <v>0</v>
      </c>
      <c r="S6357" s="47">
        <v>202304</v>
      </c>
      <c r="T6357" s="123" t="s">
        <v>8192</v>
      </c>
      <c r="U6357" s="97"/>
      <c r="V6357" s="453"/>
      <c r="W6357" s="97"/>
      <c r="X6357" s="50">
        <v>44166</v>
      </c>
      <c r="Y6357" s="50">
        <v>44530</v>
      </c>
    </row>
    <row r="6358" s="5" customFormat="1" customHeight="1" spans="1:25">
      <c r="A6358" s="24" t="s">
        <v>109</v>
      </c>
      <c r="B6358" s="22" t="s">
        <v>7422</v>
      </c>
      <c r="C6358" s="22" t="s">
        <v>120</v>
      </c>
      <c r="D6358" s="22" t="s">
        <v>7585</v>
      </c>
      <c r="E6358" s="23" t="s">
        <v>8172</v>
      </c>
      <c r="F6358" s="24" t="s">
        <v>8173</v>
      </c>
      <c r="G6358" s="24" t="s">
        <v>31</v>
      </c>
      <c r="H6358" s="25" t="s">
        <v>8187</v>
      </c>
      <c r="I6358" s="46" t="e">
        <f>VLOOKUP(H6358,'合同高级查询数据-4月返'!A:A,1,FALSE)</f>
        <v>#N/A</v>
      </c>
      <c r="J6358" s="47" t="s">
        <v>33</v>
      </c>
      <c r="K6358" s="24" t="s">
        <v>8188</v>
      </c>
      <c r="L6358" s="109" t="s">
        <v>8189</v>
      </c>
      <c r="M6358" s="49" t="s">
        <v>8190</v>
      </c>
      <c r="N6358" s="50"/>
      <c r="O6358" s="22" t="s">
        <v>179</v>
      </c>
      <c r="P6358" s="52">
        <v>0</v>
      </c>
      <c r="Q6358" s="70">
        <v>0</v>
      </c>
      <c r="R6358" s="52">
        <f t="shared" si="188"/>
        <v>0</v>
      </c>
      <c r="S6358" s="47">
        <v>202304</v>
      </c>
      <c r="T6358" s="123" t="s">
        <v>8193</v>
      </c>
      <c r="U6358" s="97"/>
      <c r="V6358" s="453"/>
      <c r="W6358" s="97"/>
      <c r="X6358" s="50">
        <v>44166</v>
      </c>
      <c r="Y6358" s="50">
        <v>44530</v>
      </c>
    </row>
    <row r="6359" s="5" customFormat="1" customHeight="1" spans="1:25">
      <c r="A6359" s="24" t="s">
        <v>109</v>
      </c>
      <c r="B6359" s="22" t="s">
        <v>7422</v>
      </c>
      <c r="C6359" s="22" t="s">
        <v>120</v>
      </c>
      <c r="D6359" s="22" t="s">
        <v>7585</v>
      </c>
      <c r="E6359" s="23" t="s">
        <v>8172</v>
      </c>
      <c r="F6359" s="24" t="s">
        <v>8173</v>
      </c>
      <c r="G6359" s="24" t="s">
        <v>88</v>
      </c>
      <c r="H6359" s="25" t="s">
        <v>8187</v>
      </c>
      <c r="I6359" s="46" t="e">
        <f>VLOOKUP(H6359,'合同高级查询数据-4月返'!A:A,1,FALSE)</f>
        <v>#N/A</v>
      </c>
      <c r="J6359" s="47" t="s">
        <v>162</v>
      </c>
      <c r="K6359" s="24" t="s">
        <v>8188</v>
      </c>
      <c r="L6359" s="109" t="s">
        <v>8189</v>
      </c>
      <c r="M6359" s="49" t="s">
        <v>8190</v>
      </c>
      <c r="N6359" s="50">
        <v>44168</v>
      </c>
      <c r="O6359" s="22" t="s">
        <v>702</v>
      </c>
      <c r="P6359" s="52">
        <v>5000</v>
      </c>
      <c r="Q6359" s="70">
        <v>3</v>
      </c>
      <c r="R6359" s="52">
        <f t="shared" si="188"/>
        <v>15000</v>
      </c>
      <c r="S6359" s="47">
        <v>202304</v>
      </c>
      <c r="T6359" s="123" t="s">
        <v>8194</v>
      </c>
      <c r="U6359" s="97"/>
      <c r="V6359" s="453"/>
      <c r="W6359" s="97"/>
      <c r="X6359" s="50">
        <v>44166</v>
      </c>
      <c r="Y6359" s="50">
        <v>44530</v>
      </c>
    </row>
    <row r="6360" s="5" customFormat="1" customHeight="1" spans="1:25">
      <c r="A6360" s="24" t="s">
        <v>109</v>
      </c>
      <c r="B6360" s="22" t="s">
        <v>7422</v>
      </c>
      <c r="C6360" s="22" t="s">
        <v>120</v>
      </c>
      <c r="D6360" s="22" t="s">
        <v>7585</v>
      </c>
      <c r="E6360" s="23" t="s">
        <v>8172</v>
      </c>
      <c r="F6360" s="24" t="s">
        <v>8173</v>
      </c>
      <c r="G6360" s="24" t="s">
        <v>88</v>
      </c>
      <c r="H6360" s="25" t="s">
        <v>8187</v>
      </c>
      <c r="I6360" s="46" t="e">
        <f>VLOOKUP(H6360,'合同高级查询数据-4月返'!A:A,1,FALSE)</f>
        <v>#N/A</v>
      </c>
      <c r="J6360" s="47" t="s">
        <v>162</v>
      </c>
      <c r="K6360" s="24" t="s">
        <v>8188</v>
      </c>
      <c r="L6360" s="109" t="s">
        <v>8189</v>
      </c>
      <c r="M6360" s="49" t="s">
        <v>8190</v>
      </c>
      <c r="N6360" s="50">
        <v>44439</v>
      </c>
      <c r="O6360" s="22" t="s">
        <v>702</v>
      </c>
      <c r="P6360" s="52">
        <v>5000</v>
      </c>
      <c r="Q6360" s="70">
        <v>-3</v>
      </c>
      <c r="R6360" s="52">
        <f t="shared" si="188"/>
        <v>-15000</v>
      </c>
      <c r="S6360" s="47">
        <v>202304</v>
      </c>
      <c r="T6360" s="123" t="s">
        <v>8195</v>
      </c>
      <c r="U6360" s="97"/>
      <c r="V6360" s="453"/>
      <c r="W6360" s="97"/>
      <c r="X6360" s="50">
        <v>44166</v>
      </c>
      <c r="Y6360" s="50">
        <v>44530</v>
      </c>
    </row>
    <row r="6361" s="3" customFormat="1" customHeight="1" spans="1:25">
      <c r="A6361" s="11" t="s">
        <v>109</v>
      </c>
      <c r="B6361" s="35" t="s">
        <v>7422</v>
      </c>
      <c r="C6361" s="35" t="s">
        <v>120</v>
      </c>
      <c r="D6361" s="35" t="s">
        <v>7585</v>
      </c>
      <c r="E6361" s="13" t="s">
        <v>8172</v>
      </c>
      <c r="F6361" s="11" t="s">
        <v>8173</v>
      </c>
      <c r="G6361" s="11" t="s">
        <v>31</v>
      </c>
      <c r="H6361" s="110" t="s">
        <v>8196</v>
      </c>
      <c r="I6361" s="30" t="e">
        <f>VLOOKUP(H6361,'合同高级查询数据-4月返'!A:A,1,FALSE)</f>
        <v>#N/A</v>
      </c>
      <c r="J6361" s="31" t="s">
        <v>33</v>
      </c>
      <c r="K6361" s="11" t="s">
        <v>121</v>
      </c>
      <c r="L6361" s="32" t="s">
        <v>8197</v>
      </c>
      <c r="M6361" s="113" t="s">
        <v>8198</v>
      </c>
      <c r="N6361" s="34">
        <v>44234</v>
      </c>
      <c r="O6361" s="35" t="s">
        <v>37</v>
      </c>
      <c r="P6361" s="465">
        <v>0</v>
      </c>
      <c r="Q6361" s="459">
        <v>288</v>
      </c>
      <c r="R6361" s="465">
        <f t="shared" si="188"/>
        <v>0</v>
      </c>
      <c r="S6361" s="31">
        <v>202304</v>
      </c>
      <c r="T6361" s="60" t="s">
        <v>8199</v>
      </c>
      <c r="U6361" s="104"/>
      <c r="V6361" s="438"/>
      <c r="W6361" s="438"/>
      <c r="X6361" s="34"/>
      <c r="Y6361" s="34"/>
    </row>
    <row r="6362" s="3" customFormat="1" customHeight="1" spans="1:25">
      <c r="A6362" s="11" t="s">
        <v>109</v>
      </c>
      <c r="B6362" s="35" t="s">
        <v>7422</v>
      </c>
      <c r="C6362" s="35" t="s">
        <v>120</v>
      </c>
      <c r="D6362" s="35" t="s">
        <v>7585</v>
      </c>
      <c r="E6362" s="13" t="s">
        <v>8172</v>
      </c>
      <c r="F6362" s="11" t="s">
        <v>8173</v>
      </c>
      <c r="G6362" s="11" t="s">
        <v>31</v>
      </c>
      <c r="H6362" s="110" t="s">
        <v>8196</v>
      </c>
      <c r="I6362" s="30" t="e">
        <f>VLOOKUP(H6362,'合同高级查询数据-4月返'!A:A,1,FALSE)</f>
        <v>#N/A</v>
      </c>
      <c r="J6362" s="31" t="s">
        <v>33</v>
      </c>
      <c r="K6362" s="11" t="s">
        <v>121</v>
      </c>
      <c r="L6362" s="32" t="s">
        <v>8197</v>
      </c>
      <c r="M6362" s="113" t="s">
        <v>8198</v>
      </c>
      <c r="N6362" s="34">
        <v>44409</v>
      </c>
      <c r="O6362" s="35" t="s">
        <v>37</v>
      </c>
      <c r="P6362" s="465">
        <v>0</v>
      </c>
      <c r="Q6362" s="459">
        <v>32</v>
      </c>
      <c r="R6362" s="465">
        <f t="shared" si="188"/>
        <v>0</v>
      </c>
      <c r="S6362" s="31">
        <v>202304</v>
      </c>
      <c r="T6362" s="60" t="s">
        <v>8200</v>
      </c>
      <c r="U6362" s="104"/>
      <c r="V6362" s="438"/>
      <c r="W6362" s="438"/>
      <c r="X6362" s="34"/>
      <c r="Y6362" s="34"/>
    </row>
    <row r="6363" s="3" customFormat="1" customHeight="1" spans="1:25">
      <c r="A6363" s="11" t="s">
        <v>109</v>
      </c>
      <c r="B6363" s="35" t="s">
        <v>7422</v>
      </c>
      <c r="C6363" s="35" t="s">
        <v>120</v>
      </c>
      <c r="D6363" s="35" t="s">
        <v>7585</v>
      </c>
      <c r="E6363" s="13" t="s">
        <v>8172</v>
      </c>
      <c r="F6363" s="11" t="s">
        <v>8173</v>
      </c>
      <c r="G6363" s="11" t="s">
        <v>31</v>
      </c>
      <c r="H6363" s="110" t="s">
        <v>8196</v>
      </c>
      <c r="I6363" s="30" t="e">
        <f>VLOOKUP(H6363,'合同高级查询数据-4月返'!A:A,1,FALSE)</f>
        <v>#N/A</v>
      </c>
      <c r="J6363" s="31" t="s">
        <v>33</v>
      </c>
      <c r="K6363" s="11" t="s">
        <v>121</v>
      </c>
      <c r="L6363" s="32" t="s">
        <v>8197</v>
      </c>
      <c r="M6363" s="113" t="s">
        <v>8198</v>
      </c>
      <c r="N6363" s="34">
        <v>44440</v>
      </c>
      <c r="O6363" s="35" t="s">
        <v>37</v>
      </c>
      <c r="P6363" s="465">
        <v>0</v>
      </c>
      <c r="Q6363" s="459">
        <v>128</v>
      </c>
      <c r="R6363" s="465">
        <f t="shared" si="188"/>
        <v>0</v>
      </c>
      <c r="S6363" s="31">
        <v>202304</v>
      </c>
      <c r="T6363" s="60" t="s">
        <v>8201</v>
      </c>
      <c r="U6363" s="104"/>
      <c r="V6363" s="438"/>
      <c r="W6363" s="438"/>
      <c r="X6363" s="34"/>
      <c r="Y6363" s="34"/>
    </row>
    <row r="6364" s="3" customFormat="1" customHeight="1" spans="1:25">
      <c r="A6364" s="11" t="s">
        <v>109</v>
      </c>
      <c r="B6364" s="35" t="s">
        <v>7422</v>
      </c>
      <c r="C6364" s="35" t="s">
        <v>120</v>
      </c>
      <c r="D6364" s="35" t="s">
        <v>7585</v>
      </c>
      <c r="E6364" s="13" t="s">
        <v>8172</v>
      </c>
      <c r="F6364" s="11" t="s">
        <v>8173</v>
      </c>
      <c r="G6364" s="11" t="s">
        <v>31</v>
      </c>
      <c r="H6364" s="110" t="s">
        <v>8196</v>
      </c>
      <c r="I6364" s="30" t="e">
        <f>VLOOKUP(H6364,'合同高级查询数据-4月返'!A:A,1,FALSE)</f>
        <v>#N/A</v>
      </c>
      <c r="J6364" s="31" t="s">
        <v>33</v>
      </c>
      <c r="K6364" s="11" t="s">
        <v>121</v>
      </c>
      <c r="L6364" s="32" t="s">
        <v>8202</v>
      </c>
      <c r="M6364" s="113" t="s">
        <v>8198</v>
      </c>
      <c r="N6364" s="34">
        <v>44470</v>
      </c>
      <c r="O6364" s="35" t="s">
        <v>37</v>
      </c>
      <c r="P6364" s="465">
        <v>0</v>
      </c>
      <c r="Q6364" s="459">
        <v>128</v>
      </c>
      <c r="R6364" s="465">
        <f t="shared" si="188"/>
        <v>0</v>
      </c>
      <c r="S6364" s="31">
        <v>202304</v>
      </c>
      <c r="T6364" s="60" t="s">
        <v>8203</v>
      </c>
      <c r="U6364" s="104"/>
      <c r="V6364" s="438"/>
      <c r="W6364" s="438"/>
      <c r="X6364" s="34"/>
      <c r="Y6364" s="34"/>
    </row>
    <row r="6365" s="3" customFormat="1" customHeight="1" spans="1:25">
      <c r="A6365" s="11" t="s">
        <v>109</v>
      </c>
      <c r="B6365" s="35" t="s">
        <v>7422</v>
      </c>
      <c r="C6365" s="35" t="s">
        <v>120</v>
      </c>
      <c r="D6365" s="35" t="s">
        <v>7585</v>
      </c>
      <c r="E6365" s="13" t="s">
        <v>8172</v>
      </c>
      <c r="F6365" s="11" t="s">
        <v>8173</v>
      </c>
      <c r="G6365" s="11" t="s">
        <v>31</v>
      </c>
      <c r="H6365" s="110" t="s">
        <v>8196</v>
      </c>
      <c r="I6365" s="30" t="e">
        <f>VLOOKUP(H6365,'合同高级查询数据-4月返'!A:A,1,FALSE)</f>
        <v>#N/A</v>
      </c>
      <c r="J6365" s="31" t="s">
        <v>33</v>
      </c>
      <c r="K6365" s="11" t="s">
        <v>121</v>
      </c>
      <c r="L6365" s="32" t="s">
        <v>8204</v>
      </c>
      <c r="M6365" s="113" t="s">
        <v>8198</v>
      </c>
      <c r="N6365" s="34">
        <v>44531</v>
      </c>
      <c r="O6365" s="35" t="s">
        <v>37</v>
      </c>
      <c r="P6365" s="465">
        <v>0</v>
      </c>
      <c r="Q6365" s="459">
        <v>288</v>
      </c>
      <c r="R6365" s="465">
        <f t="shared" si="188"/>
        <v>0</v>
      </c>
      <c r="S6365" s="31">
        <v>202304</v>
      </c>
      <c r="T6365" s="60" t="s">
        <v>8205</v>
      </c>
      <c r="U6365" s="104"/>
      <c r="V6365" s="438"/>
      <c r="W6365" s="438"/>
      <c r="X6365" s="34"/>
      <c r="Y6365" s="34"/>
    </row>
    <row r="6366" s="3" customFormat="1" customHeight="1" spans="1:25">
      <c r="A6366" s="11" t="s">
        <v>109</v>
      </c>
      <c r="B6366" s="35" t="s">
        <v>7422</v>
      </c>
      <c r="C6366" s="35" t="s">
        <v>120</v>
      </c>
      <c r="D6366" s="35" t="s">
        <v>7585</v>
      </c>
      <c r="E6366" s="13" t="s">
        <v>8172</v>
      </c>
      <c r="F6366" s="11" t="s">
        <v>8173</v>
      </c>
      <c r="G6366" s="11" t="s">
        <v>31</v>
      </c>
      <c r="H6366" s="110" t="s">
        <v>8196</v>
      </c>
      <c r="I6366" s="30" t="e">
        <f>VLOOKUP(H6366,'合同高级查询数据-4月返'!A:A,1,FALSE)</f>
        <v>#N/A</v>
      </c>
      <c r="J6366" s="31" t="s">
        <v>33</v>
      </c>
      <c r="K6366" s="11" t="s">
        <v>121</v>
      </c>
      <c r="L6366" s="32" t="s">
        <v>8206</v>
      </c>
      <c r="M6366" s="113" t="s">
        <v>8198</v>
      </c>
      <c r="N6366" s="34">
        <v>44593</v>
      </c>
      <c r="O6366" s="35" t="s">
        <v>37</v>
      </c>
      <c r="P6366" s="465">
        <v>0</v>
      </c>
      <c r="Q6366" s="459">
        <v>288</v>
      </c>
      <c r="R6366" s="465">
        <f t="shared" si="188"/>
        <v>0</v>
      </c>
      <c r="S6366" s="31">
        <v>202304</v>
      </c>
      <c r="T6366" s="60" t="s">
        <v>8207</v>
      </c>
      <c r="U6366" s="104"/>
      <c r="V6366" s="438"/>
      <c r="W6366" s="438"/>
      <c r="X6366" s="34"/>
      <c r="Y6366" s="34"/>
    </row>
    <row r="6367" s="3" customFormat="1" customHeight="1" spans="1:25">
      <c r="A6367" s="11" t="s">
        <v>109</v>
      </c>
      <c r="B6367" s="35" t="s">
        <v>7422</v>
      </c>
      <c r="C6367" s="35" t="s">
        <v>120</v>
      </c>
      <c r="D6367" s="35" t="s">
        <v>7585</v>
      </c>
      <c r="E6367" s="13" t="s">
        <v>8172</v>
      </c>
      <c r="F6367" s="11" t="s">
        <v>8173</v>
      </c>
      <c r="G6367" s="11" t="s">
        <v>31</v>
      </c>
      <c r="H6367" s="110" t="s">
        <v>8196</v>
      </c>
      <c r="I6367" s="30" t="e">
        <f>VLOOKUP(H6367,'合同高级查询数据-4月返'!A:A,1,FALSE)</f>
        <v>#N/A</v>
      </c>
      <c r="J6367" s="31" t="s">
        <v>33</v>
      </c>
      <c r="K6367" s="11" t="s">
        <v>121</v>
      </c>
      <c r="L6367" s="32" t="s">
        <v>8206</v>
      </c>
      <c r="M6367" s="113" t="s">
        <v>8198</v>
      </c>
      <c r="N6367" s="34">
        <v>44985</v>
      </c>
      <c r="O6367" s="35" t="s">
        <v>37</v>
      </c>
      <c r="P6367" s="465">
        <v>0</v>
      </c>
      <c r="Q6367" s="459">
        <v>-288</v>
      </c>
      <c r="R6367" s="465">
        <f t="shared" si="188"/>
        <v>0</v>
      </c>
      <c r="S6367" s="31">
        <v>202304</v>
      </c>
      <c r="T6367" s="60" t="s">
        <v>8208</v>
      </c>
      <c r="U6367" s="104"/>
      <c r="V6367" s="438"/>
      <c r="W6367" s="438"/>
      <c r="X6367" s="34"/>
      <c r="Y6367" s="34"/>
    </row>
    <row r="6368" s="3" customFormat="1" customHeight="1" spans="1:25">
      <c r="A6368" s="11" t="s">
        <v>109</v>
      </c>
      <c r="B6368" s="35" t="s">
        <v>7422</v>
      </c>
      <c r="C6368" s="35" t="s">
        <v>120</v>
      </c>
      <c r="D6368" s="35" t="s">
        <v>7585</v>
      </c>
      <c r="E6368" s="13" t="s">
        <v>8172</v>
      </c>
      <c r="F6368" s="11" t="s">
        <v>8173</v>
      </c>
      <c r="G6368" s="11" t="s">
        <v>31</v>
      </c>
      <c r="H6368" s="110" t="s">
        <v>8196</v>
      </c>
      <c r="I6368" s="30" t="e">
        <f>VLOOKUP(H6368,'合同高级查询数据-4月返'!A:A,1,FALSE)</f>
        <v>#N/A</v>
      </c>
      <c r="J6368" s="31" t="s">
        <v>33</v>
      </c>
      <c r="K6368" s="11" t="s">
        <v>121</v>
      </c>
      <c r="L6368" s="32" t="s">
        <v>8209</v>
      </c>
      <c r="M6368" s="113" t="s">
        <v>8198</v>
      </c>
      <c r="N6368" s="34"/>
      <c r="O6368" s="35" t="s">
        <v>179</v>
      </c>
      <c r="P6368" s="465">
        <v>0</v>
      </c>
      <c r="Q6368" s="459">
        <v>0</v>
      </c>
      <c r="R6368" s="465">
        <f t="shared" si="188"/>
        <v>0</v>
      </c>
      <c r="S6368" s="31">
        <v>202304</v>
      </c>
      <c r="T6368" s="60" t="s">
        <v>8210</v>
      </c>
      <c r="U6368" s="104"/>
      <c r="V6368" s="438"/>
      <c r="W6368" s="438"/>
      <c r="X6368" s="34"/>
      <c r="Y6368" s="34"/>
    </row>
    <row r="6369" s="3" customFormat="1" customHeight="1" spans="1:25">
      <c r="A6369" s="11" t="s">
        <v>109</v>
      </c>
      <c r="B6369" s="35" t="s">
        <v>7422</v>
      </c>
      <c r="C6369" s="35" t="s">
        <v>120</v>
      </c>
      <c r="D6369" s="35" t="s">
        <v>7585</v>
      </c>
      <c r="E6369" s="13" t="s">
        <v>8172</v>
      </c>
      <c r="F6369" s="11" t="s">
        <v>8173</v>
      </c>
      <c r="G6369" s="11" t="s">
        <v>88</v>
      </c>
      <c r="H6369" s="110" t="s">
        <v>8196</v>
      </c>
      <c r="I6369" s="30" t="e">
        <f>VLOOKUP(H6369,'合同高级查询数据-4月返'!A:A,1,FALSE)</f>
        <v>#N/A</v>
      </c>
      <c r="J6369" s="31" t="s">
        <v>162</v>
      </c>
      <c r="K6369" s="11" t="s">
        <v>121</v>
      </c>
      <c r="L6369" s="32" t="s">
        <v>8197</v>
      </c>
      <c r="M6369" s="113" t="s">
        <v>8198</v>
      </c>
      <c r="N6369" s="34">
        <v>44234</v>
      </c>
      <c r="O6369" s="35" t="s">
        <v>92</v>
      </c>
      <c r="P6369" s="465">
        <v>3750</v>
      </c>
      <c r="Q6369" s="459">
        <v>4</v>
      </c>
      <c r="R6369" s="465">
        <f t="shared" si="188"/>
        <v>15000</v>
      </c>
      <c r="S6369" s="31">
        <v>202304</v>
      </c>
      <c r="T6369" s="60" t="s">
        <v>8211</v>
      </c>
      <c r="U6369" s="104"/>
      <c r="V6369" s="438"/>
      <c r="W6369" s="438"/>
      <c r="X6369" s="34"/>
      <c r="Y6369" s="34"/>
    </row>
    <row r="6370" s="3" customFormat="1" customHeight="1" spans="1:25">
      <c r="A6370" s="11" t="s">
        <v>109</v>
      </c>
      <c r="B6370" s="35" t="s">
        <v>7422</v>
      </c>
      <c r="C6370" s="35" t="s">
        <v>120</v>
      </c>
      <c r="D6370" s="35" t="s">
        <v>7585</v>
      </c>
      <c r="E6370" s="13" t="s">
        <v>8172</v>
      </c>
      <c r="F6370" s="11" t="s">
        <v>8173</v>
      </c>
      <c r="G6370" s="11" t="s">
        <v>88</v>
      </c>
      <c r="H6370" s="110" t="s">
        <v>8196</v>
      </c>
      <c r="I6370" s="30" t="e">
        <f>VLOOKUP(H6370,'合同高级查询数据-4月返'!A:A,1,FALSE)</f>
        <v>#N/A</v>
      </c>
      <c r="J6370" s="31" t="s">
        <v>162</v>
      </c>
      <c r="K6370" s="11" t="s">
        <v>121</v>
      </c>
      <c r="L6370" s="32" t="s">
        <v>8197</v>
      </c>
      <c r="M6370" s="113" t="s">
        <v>8198</v>
      </c>
      <c r="N6370" s="34">
        <v>44409</v>
      </c>
      <c r="O6370" s="35" t="s">
        <v>92</v>
      </c>
      <c r="P6370" s="465">
        <v>3750</v>
      </c>
      <c r="Q6370" s="459">
        <v>1</v>
      </c>
      <c r="R6370" s="465">
        <f t="shared" si="188"/>
        <v>3750</v>
      </c>
      <c r="S6370" s="31">
        <v>202304</v>
      </c>
      <c r="T6370" s="60" t="s">
        <v>8212</v>
      </c>
      <c r="U6370" s="104"/>
      <c r="V6370" s="438"/>
      <c r="W6370" s="438"/>
      <c r="X6370" s="34"/>
      <c r="Y6370" s="34"/>
    </row>
    <row r="6371" s="3" customFormat="1" customHeight="1" spans="1:25">
      <c r="A6371" s="11" t="s">
        <v>109</v>
      </c>
      <c r="B6371" s="35" t="s">
        <v>7422</v>
      </c>
      <c r="C6371" s="35" t="s">
        <v>120</v>
      </c>
      <c r="D6371" s="35" t="s">
        <v>7585</v>
      </c>
      <c r="E6371" s="13" t="s">
        <v>8172</v>
      </c>
      <c r="F6371" s="11" t="s">
        <v>8173</v>
      </c>
      <c r="G6371" s="11" t="s">
        <v>88</v>
      </c>
      <c r="H6371" s="110" t="s">
        <v>8196</v>
      </c>
      <c r="I6371" s="30" t="e">
        <f>VLOOKUP(H6371,'合同高级查询数据-4月返'!A:A,1,FALSE)</f>
        <v>#N/A</v>
      </c>
      <c r="J6371" s="31" t="s">
        <v>162</v>
      </c>
      <c r="K6371" s="11" t="s">
        <v>121</v>
      </c>
      <c r="L6371" s="32" t="s">
        <v>8197</v>
      </c>
      <c r="M6371" s="113" t="s">
        <v>8198</v>
      </c>
      <c r="N6371" s="34">
        <v>44440</v>
      </c>
      <c r="O6371" s="35" t="s">
        <v>92</v>
      </c>
      <c r="P6371" s="465">
        <v>3750</v>
      </c>
      <c r="Q6371" s="459">
        <v>1</v>
      </c>
      <c r="R6371" s="465">
        <f t="shared" si="188"/>
        <v>3750</v>
      </c>
      <c r="S6371" s="31">
        <v>202304</v>
      </c>
      <c r="T6371" s="60" t="s">
        <v>8213</v>
      </c>
      <c r="U6371" s="104"/>
      <c r="V6371" s="438"/>
      <c r="W6371" s="438"/>
      <c r="X6371" s="34"/>
      <c r="Y6371" s="34"/>
    </row>
    <row r="6372" s="3" customFormat="1" customHeight="1" spans="1:25">
      <c r="A6372" s="11" t="s">
        <v>109</v>
      </c>
      <c r="B6372" s="35" t="s">
        <v>7422</v>
      </c>
      <c r="C6372" s="35" t="s">
        <v>120</v>
      </c>
      <c r="D6372" s="35" t="s">
        <v>7585</v>
      </c>
      <c r="E6372" s="13" t="s">
        <v>8172</v>
      </c>
      <c r="F6372" s="11" t="s">
        <v>8173</v>
      </c>
      <c r="G6372" s="11" t="s">
        <v>88</v>
      </c>
      <c r="H6372" s="110" t="s">
        <v>8196</v>
      </c>
      <c r="I6372" s="30" t="e">
        <f>VLOOKUP(H6372,'合同高级查询数据-4月返'!A:A,1,FALSE)</f>
        <v>#N/A</v>
      </c>
      <c r="J6372" s="31" t="s">
        <v>162</v>
      </c>
      <c r="K6372" s="11" t="s">
        <v>121</v>
      </c>
      <c r="L6372" s="32" t="s">
        <v>8202</v>
      </c>
      <c r="M6372" s="113" t="s">
        <v>8198</v>
      </c>
      <c r="N6372" s="34">
        <v>44470</v>
      </c>
      <c r="O6372" s="35" t="s">
        <v>92</v>
      </c>
      <c r="P6372" s="465">
        <v>3750</v>
      </c>
      <c r="Q6372" s="459">
        <v>2</v>
      </c>
      <c r="R6372" s="465">
        <f t="shared" si="188"/>
        <v>7500</v>
      </c>
      <c r="S6372" s="31">
        <v>202304</v>
      </c>
      <c r="T6372" s="60" t="s">
        <v>8214</v>
      </c>
      <c r="U6372" s="104"/>
      <c r="V6372" s="438"/>
      <c r="W6372" s="438"/>
      <c r="X6372" s="34"/>
      <c r="Y6372" s="34"/>
    </row>
    <row r="6373" s="3" customFormat="1" customHeight="1" spans="1:25">
      <c r="A6373" s="11" t="s">
        <v>109</v>
      </c>
      <c r="B6373" s="35" t="s">
        <v>7422</v>
      </c>
      <c r="C6373" s="35" t="s">
        <v>120</v>
      </c>
      <c r="D6373" s="35" t="s">
        <v>7585</v>
      </c>
      <c r="E6373" s="13" t="s">
        <v>8172</v>
      </c>
      <c r="F6373" s="11" t="s">
        <v>8173</v>
      </c>
      <c r="G6373" s="11" t="s">
        <v>88</v>
      </c>
      <c r="H6373" s="110" t="s">
        <v>8196</v>
      </c>
      <c r="I6373" s="30" t="e">
        <f>VLOOKUP(H6373,'合同高级查询数据-4月返'!A:A,1,FALSE)</f>
        <v>#N/A</v>
      </c>
      <c r="J6373" s="31" t="s">
        <v>162</v>
      </c>
      <c r="K6373" s="11" t="s">
        <v>121</v>
      </c>
      <c r="L6373" s="32" t="s">
        <v>8197</v>
      </c>
      <c r="M6373" s="113" t="s">
        <v>8198</v>
      </c>
      <c r="N6373" s="34">
        <v>44502</v>
      </c>
      <c r="O6373" s="35" t="s">
        <v>92</v>
      </c>
      <c r="P6373" s="465">
        <v>3750</v>
      </c>
      <c r="Q6373" s="459">
        <v>3</v>
      </c>
      <c r="R6373" s="465">
        <f t="shared" si="188"/>
        <v>11250</v>
      </c>
      <c r="S6373" s="31">
        <v>202304</v>
      </c>
      <c r="T6373" s="60" t="s">
        <v>8215</v>
      </c>
      <c r="U6373" s="104"/>
      <c r="V6373" s="438"/>
      <c r="W6373" s="438"/>
      <c r="X6373" s="34"/>
      <c r="Y6373" s="34"/>
    </row>
    <row r="6374" s="3" customFormat="1" customHeight="1" spans="1:25">
      <c r="A6374" s="11" t="s">
        <v>109</v>
      </c>
      <c r="B6374" s="35" t="s">
        <v>7422</v>
      </c>
      <c r="C6374" s="35" t="s">
        <v>120</v>
      </c>
      <c r="D6374" s="35" t="s">
        <v>7585</v>
      </c>
      <c r="E6374" s="13" t="s">
        <v>8172</v>
      </c>
      <c r="F6374" s="11" t="s">
        <v>8173</v>
      </c>
      <c r="G6374" s="11" t="s">
        <v>88</v>
      </c>
      <c r="H6374" s="110" t="s">
        <v>8196</v>
      </c>
      <c r="I6374" s="30" t="e">
        <f>VLOOKUP(H6374,'合同高级查询数据-4月返'!A:A,1,FALSE)</f>
        <v>#N/A</v>
      </c>
      <c r="J6374" s="31" t="s">
        <v>162</v>
      </c>
      <c r="K6374" s="11" t="s">
        <v>121</v>
      </c>
      <c r="L6374" s="32" t="s">
        <v>8204</v>
      </c>
      <c r="M6374" s="113" t="s">
        <v>8198</v>
      </c>
      <c r="N6374" s="34">
        <v>44531</v>
      </c>
      <c r="O6374" s="35" t="s">
        <v>92</v>
      </c>
      <c r="P6374" s="465">
        <v>3750</v>
      </c>
      <c r="Q6374" s="459">
        <v>5</v>
      </c>
      <c r="R6374" s="465">
        <f t="shared" si="188"/>
        <v>18750</v>
      </c>
      <c r="S6374" s="31">
        <v>202304</v>
      </c>
      <c r="T6374" s="60" t="s">
        <v>8216</v>
      </c>
      <c r="U6374" s="104"/>
      <c r="V6374" s="438"/>
      <c r="W6374" s="438"/>
      <c r="X6374" s="34"/>
      <c r="Y6374" s="34"/>
    </row>
    <row r="6375" s="3" customFormat="1" customHeight="1" spans="1:25">
      <c r="A6375" s="11" t="s">
        <v>109</v>
      </c>
      <c r="B6375" s="35" t="s">
        <v>7422</v>
      </c>
      <c r="C6375" s="35" t="s">
        <v>120</v>
      </c>
      <c r="D6375" s="35" t="s">
        <v>7585</v>
      </c>
      <c r="E6375" s="13" t="s">
        <v>8172</v>
      </c>
      <c r="F6375" s="11" t="s">
        <v>8173</v>
      </c>
      <c r="G6375" s="11" t="s">
        <v>88</v>
      </c>
      <c r="H6375" s="110" t="s">
        <v>8196</v>
      </c>
      <c r="I6375" s="30" t="e">
        <f>VLOOKUP(H6375,'合同高级查询数据-4月返'!A:A,1,FALSE)</f>
        <v>#N/A</v>
      </c>
      <c r="J6375" s="31" t="s">
        <v>162</v>
      </c>
      <c r="K6375" s="11" t="s">
        <v>121</v>
      </c>
      <c r="L6375" s="32" t="s">
        <v>8204</v>
      </c>
      <c r="M6375" s="113" t="s">
        <v>8198</v>
      </c>
      <c r="N6375" s="34">
        <v>44593</v>
      </c>
      <c r="O6375" s="35" t="s">
        <v>92</v>
      </c>
      <c r="P6375" s="465">
        <v>3750</v>
      </c>
      <c r="Q6375" s="459">
        <v>2</v>
      </c>
      <c r="R6375" s="465">
        <f t="shared" si="188"/>
        <v>7500</v>
      </c>
      <c r="S6375" s="31">
        <v>202304</v>
      </c>
      <c r="T6375" s="60" t="s">
        <v>8217</v>
      </c>
      <c r="U6375" s="104"/>
      <c r="V6375" s="438"/>
      <c r="W6375" s="438"/>
      <c r="X6375" s="34"/>
      <c r="Y6375" s="34"/>
    </row>
    <row r="6376" s="3" customFormat="1" customHeight="1" spans="1:25">
      <c r="A6376" s="11" t="s">
        <v>109</v>
      </c>
      <c r="B6376" s="35" t="s">
        <v>7422</v>
      </c>
      <c r="C6376" s="35" t="s">
        <v>120</v>
      </c>
      <c r="D6376" s="35" t="s">
        <v>7585</v>
      </c>
      <c r="E6376" s="13" t="s">
        <v>8172</v>
      </c>
      <c r="F6376" s="11" t="s">
        <v>8173</v>
      </c>
      <c r="G6376" s="11" t="s">
        <v>88</v>
      </c>
      <c r="H6376" s="110" t="s">
        <v>8196</v>
      </c>
      <c r="I6376" s="30" t="e">
        <f>VLOOKUP(H6376,'合同高级查询数据-4月返'!A:A,1,FALSE)</f>
        <v>#N/A</v>
      </c>
      <c r="J6376" s="31" t="s">
        <v>162</v>
      </c>
      <c r="K6376" s="11" t="s">
        <v>121</v>
      </c>
      <c r="L6376" s="32" t="s">
        <v>8206</v>
      </c>
      <c r="M6376" s="113" t="s">
        <v>8198</v>
      </c>
      <c r="N6376" s="34">
        <v>44593</v>
      </c>
      <c r="O6376" s="35" t="s">
        <v>92</v>
      </c>
      <c r="P6376" s="465">
        <v>3750</v>
      </c>
      <c r="Q6376" s="459">
        <v>5</v>
      </c>
      <c r="R6376" s="465">
        <f t="shared" si="188"/>
        <v>18750</v>
      </c>
      <c r="S6376" s="31">
        <v>202304</v>
      </c>
      <c r="T6376" s="60" t="s">
        <v>8218</v>
      </c>
      <c r="U6376" s="104"/>
      <c r="V6376" s="438"/>
      <c r="W6376" s="438"/>
      <c r="X6376" s="34"/>
      <c r="Y6376" s="34"/>
    </row>
    <row r="6377" s="3" customFormat="1" customHeight="1" spans="1:25">
      <c r="A6377" s="11" t="s">
        <v>109</v>
      </c>
      <c r="B6377" s="35" t="s">
        <v>7422</v>
      </c>
      <c r="C6377" s="35" t="s">
        <v>120</v>
      </c>
      <c r="D6377" s="35" t="s">
        <v>7585</v>
      </c>
      <c r="E6377" s="13" t="s">
        <v>8172</v>
      </c>
      <c r="F6377" s="11" t="s">
        <v>8173</v>
      </c>
      <c r="G6377" s="11" t="s">
        <v>88</v>
      </c>
      <c r="H6377" s="110" t="s">
        <v>8196</v>
      </c>
      <c r="I6377" s="30" t="e">
        <f>VLOOKUP(H6377,'合同高级查询数据-4月返'!A:A,1,FALSE)</f>
        <v>#N/A</v>
      </c>
      <c r="J6377" s="31" t="s">
        <v>162</v>
      </c>
      <c r="K6377" s="11" t="s">
        <v>121</v>
      </c>
      <c r="L6377" s="32" t="s">
        <v>8206</v>
      </c>
      <c r="M6377" s="113" t="s">
        <v>8198</v>
      </c>
      <c r="N6377" s="34">
        <v>44985</v>
      </c>
      <c r="O6377" s="35" t="s">
        <v>92</v>
      </c>
      <c r="P6377" s="465">
        <v>3750</v>
      </c>
      <c r="Q6377" s="459">
        <v>-5</v>
      </c>
      <c r="R6377" s="465">
        <f t="shared" si="188"/>
        <v>-18750</v>
      </c>
      <c r="S6377" s="31">
        <v>202304</v>
      </c>
      <c r="T6377" s="60" t="s">
        <v>8219</v>
      </c>
      <c r="U6377" s="104"/>
      <c r="V6377" s="438"/>
      <c r="W6377" s="438"/>
      <c r="X6377" s="34"/>
      <c r="Y6377" s="34"/>
    </row>
    <row r="6378" s="5" customFormat="1" customHeight="1" spans="1:25">
      <c r="A6378" s="24" t="s">
        <v>25</v>
      </c>
      <c r="B6378" s="24" t="s">
        <v>7422</v>
      </c>
      <c r="C6378" s="24" t="s">
        <v>120</v>
      </c>
      <c r="D6378" s="22" t="s">
        <v>7585</v>
      </c>
      <c r="E6378" s="23" t="s">
        <v>8220</v>
      </c>
      <c r="F6378" s="24" t="s">
        <v>8221</v>
      </c>
      <c r="G6378" s="24" t="s">
        <v>31</v>
      </c>
      <c r="H6378" s="25" t="s">
        <v>8222</v>
      </c>
      <c r="I6378" s="46" t="e">
        <f>VLOOKUP(H6378,'合同高级查询数据-4月返'!A:A,1,FALSE)</f>
        <v>#N/A</v>
      </c>
      <c r="J6378" s="47" t="s">
        <v>33</v>
      </c>
      <c r="K6378" s="24" t="s">
        <v>6305</v>
      </c>
      <c r="L6378" s="109" t="s">
        <v>8223</v>
      </c>
      <c r="M6378" s="49" t="s">
        <v>8224</v>
      </c>
      <c r="N6378" s="493" t="s">
        <v>8225</v>
      </c>
      <c r="O6378" s="493" t="s">
        <v>37</v>
      </c>
      <c r="P6378" s="52">
        <v>0</v>
      </c>
      <c r="Q6378" s="70">
        <v>288</v>
      </c>
      <c r="R6378" s="52">
        <f t="shared" si="188"/>
        <v>0</v>
      </c>
      <c r="S6378" s="47">
        <v>202304</v>
      </c>
      <c r="T6378" s="123" t="s">
        <v>8226</v>
      </c>
      <c r="U6378" s="48"/>
      <c r="V6378" s="48"/>
      <c r="W6378" s="48"/>
      <c r="X6378" s="50">
        <v>44713</v>
      </c>
      <c r="Y6378" s="50">
        <v>45046</v>
      </c>
    </row>
    <row r="6379" s="5" customFormat="1" customHeight="1" spans="1:25">
      <c r="A6379" s="21" t="s">
        <v>25</v>
      </c>
      <c r="B6379" s="24" t="s">
        <v>7422</v>
      </c>
      <c r="C6379" s="24" t="s">
        <v>120</v>
      </c>
      <c r="D6379" s="22" t="s">
        <v>7585</v>
      </c>
      <c r="E6379" s="23" t="s">
        <v>8220</v>
      </c>
      <c r="F6379" s="24" t="s">
        <v>8221</v>
      </c>
      <c r="G6379" s="24" t="s">
        <v>31</v>
      </c>
      <c r="H6379" s="25" t="s">
        <v>8222</v>
      </c>
      <c r="I6379" s="46" t="e">
        <f>VLOOKUP(H6379,'合同高级查询数据-4月返'!A:A,1,FALSE)</f>
        <v>#N/A</v>
      </c>
      <c r="J6379" s="47" t="s">
        <v>33</v>
      </c>
      <c r="K6379" s="24" t="s">
        <v>6305</v>
      </c>
      <c r="L6379" s="109" t="s">
        <v>8227</v>
      </c>
      <c r="M6379" s="49" t="s">
        <v>8224</v>
      </c>
      <c r="N6379" s="50">
        <v>43983</v>
      </c>
      <c r="O6379" s="22" t="s">
        <v>37</v>
      </c>
      <c r="P6379" s="52">
        <v>0</v>
      </c>
      <c r="Q6379" s="70">
        <v>160</v>
      </c>
      <c r="R6379" s="52">
        <f t="shared" si="188"/>
        <v>0</v>
      </c>
      <c r="S6379" s="47">
        <v>202304</v>
      </c>
      <c r="T6379" s="123" t="s">
        <v>8228</v>
      </c>
      <c r="U6379" s="97"/>
      <c r="V6379" s="453"/>
      <c r="W6379" s="97"/>
      <c r="X6379" s="50">
        <v>44713</v>
      </c>
      <c r="Y6379" s="50">
        <v>45046</v>
      </c>
    </row>
    <row r="6380" s="5" customFormat="1" customHeight="1" spans="1:25">
      <c r="A6380" s="21" t="s">
        <v>25</v>
      </c>
      <c r="B6380" s="24" t="s">
        <v>7422</v>
      </c>
      <c r="C6380" s="24" t="s">
        <v>120</v>
      </c>
      <c r="D6380" s="22" t="s">
        <v>7585</v>
      </c>
      <c r="E6380" s="23" t="s">
        <v>8220</v>
      </c>
      <c r="F6380" s="24" t="s">
        <v>8221</v>
      </c>
      <c r="G6380" s="24" t="s">
        <v>31</v>
      </c>
      <c r="H6380" s="25" t="s">
        <v>8222</v>
      </c>
      <c r="I6380" s="46" t="e">
        <f>VLOOKUP(H6380,'合同高级查询数据-4月返'!A:A,1,FALSE)</f>
        <v>#N/A</v>
      </c>
      <c r="J6380" s="47" t="s">
        <v>33</v>
      </c>
      <c r="K6380" s="24" t="s">
        <v>6305</v>
      </c>
      <c r="L6380" s="109"/>
      <c r="M6380" s="49" t="s">
        <v>8224</v>
      </c>
      <c r="N6380" s="50"/>
      <c r="O6380" s="22" t="s">
        <v>179</v>
      </c>
      <c r="P6380" s="52">
        <v>0</v>
      </c>
      <c r="Q6380" s="70">
        <v>0</v>
      </c>
      <c r="R6380" s="52">
        <f t="shared" si="188"/>
        <v>0</v>
      </c>
      <c r="S6380" s="47">
        <v>202304</v>
      </c>
      <c r="T6380" s="123" t="s">
        <v>8229</v>
      </c>
      <c r="U6380" s="97"/>
      <c r="V6380" s="453"/>
      <c r="W6380" s="97"/>
      <c r="X6380" s="50">
        <v>44713</v>
      </c>
      <c r="Y6380" s="50">
        <v>45046</v>
      </c>
    </row>
    <row r="6381" s="5" customFormat="1" customHeight="1" spans="1:25">
      <c r="A6381" s="24" t="s">
        <v>25</v>
      </c>
      <c r="B6381" s="24" t="s">
        <v>7422</v>
      </c>
      <c r="C6381" s="24" t="s">
        <v>120</v>
      </c>
      <c r="D6381" s="22" t="s">
        <v>7585</v>
      </c>
      <c r="E6381" s="23" t="s">
        <v>8220</v>
      </c>
      <c r="F6381" s="24" t="s">
        <v>8221</v>
      </c>
      <c r="G6381" s="24" t="s">
        <v>88</v>
      </c>
      <c r="H6381" s="25" t="s">
        <v>8222</v>
      </c>
      <c r="I6381" s="46" t="e">
        <f>VLOOKUP(H6381,'合同高级查询数据-4月返'!A:A,1,FALSE)</f>
        <v>#N/A</v>
      </c>
      <c r="J6381" s="47" t="s">
        <v>162</v>
      </c>
      <c r="K6381" s="24" t="s">
        <v>6305</v>
      </c>
      <c r="L6381" s="109" t="s">
        <v>8223</v>
      </c>
      <c r="M6381" s="49" t="s">
        <v>8224</v>
      </c>
      <c r="N6381" s="493">
        <v>43299</v>
      </c>
      <c r="O6381" s="493" t="s">
        <v>1535</v>
      </c>
      <c r="P6381" s="52">
        <v>3500</v>
      </c>
      <c r="Q6381" s="70">
        <v>2</v>
      </c>
      <c r="R6381" s="52">
        <f t="shared" si="188"/>
        <v>7000</v>
      </c>
      <c r="S6381" s="47">
        <v>202304</v>
      </c>
      <c r="T6381" s="123" t="s">
        <v>8230</v>
      </c>
      <c r="U6381" s="48"/>
      <c r="V6381" s="48"/>
      <c r="W6381" s="48"/>
      <c r="X6381" s="50">
        <v>44713</v>
      </c>
      <c r="Y6381" s="50">
        <v>45046</v>
      </c>
    </row>
    <row r="6382" s="5" customFormat="1" customHeight="1" spans="1:25">
      <c r="A6382" s="24" t="s">
        <v>25</v>
      </c>
      <c r="B6382" s="24" t="s">
        <v>7422</v>
      </c>
      <c r="C6382" s="24" t="s">
        <v>120</v>
      </c>
      <c r="D6382" s="22" t="s">
        <v>7585</v>
      </c>
      <c r="E6382" s="23" t="s">
        <v>8220</v>
      </c>
      <c r="F6382" s="24" t="s">
        <v>8221</v>
      </c>
      <c r="G6382" s="24" t="s">
        <v>88</v>
      </c>
      <c r="H6382" s="25" t="s">
        <v>8222</v>
      </c>
      <c r="I6382" s="46" t="e">
        <f>VLOOKUP(H6382,'合同高级查询数据-4月返'!A:A,1,FALSE)</f>
        <v>#N/A</v>
      </c>
      <c r="J6382" s="47" t="s">
        <v>162</v>
      </c>
      <c r="K6382" s="24" t="s">
        <v>6305</v>
      </c>
      <c r="L6382" s="109" t="s">
        <v>8223</v>
      </c>
      <c r="M6382" s="49" t="s">
        <v>8224</v>
      </c>
      <c r="N6382" s="493">
        <v>43299</v>
      </c>
      <c r="O6382" s="493" t="s">
        <v>1535</v>
      </c>
      <c r="P6382" s="52">
        <v>3500</v>
      </c>
      <c r="Q6382" s="70">
        <v>2</v>
      </c>
      <c r="R6382" s="52">
        <f t="shared" si="188"/>
        <v>7000</v>
      </c>
      <c r="S6382" s="47">
        <v>202304</v>
      </c>
      <c r="T6382" s="123" t="s">
        <v>8231</v>
      </c>
      <c r="U6382" s="48"/>
      <c r="V6382" s="48"/>
      <c r="W6382" s="48"/>
      <c r="X6382" s="50">
        <v>44713</v>
      </c>
      <c r="Y6382" s="50">
        <v>45046</v>
      </c>
    </row>
    <row r="6383" s="5" customFormat="1" customHeight="1" spans="1:25">
      <c r="A6383" s="24" t="s">
        <v>25</v>
      </c>
      <c r="B6383" s="24" t="s">
        <v>7422</v>
      </c>
      <c r="C6383" s="24" t="s">
        <v>120</v>
      </c>
      <c r="D6383" s="22" t="s">
        <v>7585</v>
      </c>
      <c r="E6383" s="23" t="s">
        <v>8220</v>
      </c>
      <c r="F6383" s="24" t="s">
        <v>8221</v>
      </c>
      <c r="G6383" s="24" t="s">
        <v>88</v>
      </c>
      <c r="H6383" s="25" t="s">
        <v>8222</v>
      </c>
      <c r="I6383" s="46" t="e">
        <f>VLOOKUP(H6383,'合同高级查询数据-4月返'!A:A,1,FALSE)</f>
        <v>#N/A</v>
      </c>
      <c r="J6383" s="47" t="s">
        <v>162</v>
      </c>
      <c r="K6383" s="24" t="s">
        <v>6305</v>
      </c>
      <c r="L6383" s="109" t="s">
        <v>8223</v>
      </c>
      <c r="M6383" s="49" t="s">
        <v>8224</v>
      </c>
      <c r="N6383" s="493">
        <v>43709</v>
      </c>
      <c r="O6383" s="493" t="s">
        <v>1535</v>
      </c>
      <c r="P6383" s="52">
        <v>3500</v>
      </c>
      <c r="Q6383" s="70">
        <v>3</v>
      </c>
      <c r="R6383" s="52">
        <f t="shared" si="188"/>
        <v>10500</v>
      </c>
      <c r="S6383" s="47">
        <v>202304</v>
      </c>
      <c r="T6383" s="123" t="s">
        <v>8232</v>
      </c>
      <c r="U6383" s="48"/>
      <c r="V6383" s="48"/>
      <c r="W6383" s="48"/>
      <c r="X6383" s="50">
        <v>44713</v>
      </c>
      <c r="Y6383" s="50">
        <v>45046</v>
      </c>
    </row>
    <row r="6384" s="5" customFormat="1" customHeight="1" spans="1:25">
      <c r="A6384" s="21" t="s">
        <v>25</v>
      </c>
      <c r="B6384" s="24" t="s">
        <v>7422</v>
      </c>
      <c r="C6384" s="24" t="s">
        <v>120</v>
      </c>
      <c r="D6384" s="22" t="s">
        <v>7585</v>
      </c>
      <c r="E6384" s="23" t="s">
        <v>8220</v>
      </c>
      <c r="F6384" s="24" t="s">
        <v>8221</v>
      </c>
      <c r="G6384" s="24" t="s">
        <v>88</v>
      </c>
      <c r="H6384" s="25" t="s">
        <v>8222</v>
      </c>
      <c r="I6384" s="46" t="e">
        <f>VLOOKUP(H6384,'合同高级查询数据-4月返'!A:A,1,FALSE)</f>
        <v>#N/A</v>
      </c>
      <c r="J6384" s="47" t="s">
        <v>162</v>
      </c>
      <c r="K6384" s="24" t="s">
        <v>6305</v>
      </c>
      <c r="L6384" s="109" t="s">
        <v>8227</v>
      </c>
      <c r="M6384" s="49" t="s">
        <v>8224</v>
      </c>
      <c r="N6384" s="50">
        <v>43983</v>
      </c>
      <c r="O6384" s="493" t="s">
        <v>1535</v>
      </c>
      <c r="P6384" s="52">
        <v>3500</v>
      </c>
      <c r="Q6384" s="70">
        <v>2</v>
      </c>
      <c r="R6384" s="52">
        <f t="shared" si="188"/>
        <v>7000</v>
      </c>
      <c r="S6384" s="47">
        <v>202304</v>
      </c>
      <c r="T6384" s="123" t="s">
        <v>8233</v>
      </c>
      <c r="U6384" s="97"/>
      <c r="V6384" s="453"/>
      <c r="W6384" s="97"/>
      <c r="X6384" s="50">
        <v>44713</v>
      </c>
      <c r="Y6384" s="50">
        <v>45046</v>
      </c>
    </row>
    <row r="6385" s="5" customFormat="1" customHeight="1" spans="1:25">
      <c r="A6385" s="24" t="s">
        <v>152</v>
      </c>
      <c r="B6385" s="22" t="s">
        <v>7422</v>
      </c>
      <c r="C6385" s="22" t="s">
        <v>227</v>
      </c>
      <c r="D6385" s="22" t="s">
        <v>28</v>
      </c>
      <c r="E6385" s="23" t="s">
        <v>8234</v>
      </c>
      <c r="F6385" s="24" t="s">
        <v>8235</v>
      </c>
      <c r="G6385" s="24" t="s">
        <v>31</v>
      </c>
      <c r="H6385" s="25" t="s">
        <v>8236</v>
      </c>
      <c r="I6385" s="46" t="e">
        <f>VLOOKUP(H6385,'合同高级查询数据-4月返'!A:A,1,FALSE)</f>
        <v>#N/A</v>
      </c>
      <c r="J6385" s="47" t="s">
        <v>33</v>
      </c>
      <c r="K6385" s="24" t="s">
        <v>4069</v>
      </c>
      <c r="L6385" s="109" t="s">
        <v>8237</v>
      </c>
      <c r="M6385" s="49" t="s">
        <v>8238</v>
      </c>
      <c r="N6385" s="50">
        <v>43852</v>
      </c>
      <c r="O6385" s="48" t="s">
        <v>37</v>
      </c>
      <c r="P6385" s="70">
        <v>0</v>
      </c>
      <c r="Q6385" s="52">
        <v>288</v>
      </c>
      <c r="R6385" s="52">
        <f t="shared" si="188"/>
        <v>0</v>
      </c>
      <c r="S6385" s="47">
        <v>202304</v>
      </c>
      <c r="T6385" s="123" t="s">
        <v>8239</v>
      </c>
      <c r="U6385" s="97"/>
      <c r="V6385" s="453"/>
      <c r="W6385" s="97"/>
      <c r="X6385" s="50">
        <v>44774</v>
      </c>
      <c r="Y6385" s="50">
        <v>45138</v>
      </c>
    </row>
    <row r="6386" s="5" customFormat="1" customHeight="1" spans="1:25">
      <c r="A6386" s="24" t="s">
        <v>152</v>
      </c>
      <c r="B6386" s="22" t="s">
        <v>7422</v>
      </c>
      <c r="C6386" s="22" t="s">
        <v>227</v>
      </c>
      <c r="D6386" s="22" t="s">
        <v>28</v>
      </c>
      <c r="E6386" s="23" t="s">
        <v>8234</v>
      </c>
      <c r="F6386" s="24" t="s">
        <v>8235</v>
      </c>
      <c r="G6386" s="24" t="s">
        <v>31</v>
      </c>
      <c r="H6386" s="25" t="s">
        <v>8236</v>
      </c>
      <c r="I6386" s="46" t="e">
        <f>VLOOKUP(H6386,'合同高级查询数据-4月返'!A:A,1,FALSE)</f>
        <v>#N/A</v>
      </c>
      <c r="J6386" s="47" t="s">
        <v>33</v>
      </c>
      <c r="K6386" s="24" t="s">
        <v>4069</v>
      </c>
      <c r="L6386" s="109" t="s">
        <v>8237</v>
      </c>
      <c r="M6386" s="49" t="s">
        <v>8238</v>
      </c>
      <c r="N6386" s="50">
        <v>44763</v>
      </c>
      <c r="O6386" s="48" t="s">
        <v>37</v>
      </c>
      <c r="P6386" s="70">
        <v>0</v>
      </c>
      <c r="Q6386" s="52">
        <v>-128</v>
      </c>
      <c r="R6386" s="52">
        <f t="shared" si="188"/>
        <v>0</v>
      </c>
      <c r="S6386" s="47">
        <v>202304</v>
      </c>
      <c r="T6386" s="123" t="s">
        <v>8240</v>
      </c>
      <c r="U6386" s="97"/>
      <c r="V6386" s="453"/>
      <c r="W6386" s="97"/>
      <c r="X6386" s="50">
        <v>44774</v>
      </c>
      <c r="Y6386" s="50">
        <v>45138</v>
      </c>
    </row>
    <row r="6387" s="5" customFormat="1" customHeight="1" spans="1:25">
      <c r="A6387" s="24" t="s">
        <v>152</v>
      </c>
      <c r="B6387" s="22" t="s">
        <v>7422</v>
      </c>
      <c r="C6387" s="22" t="s">
        <v>227</v>
      </c>
      <c r="D6387" s="22" t="s">
        <v>28</v>
      </c>
      <c r="E6387" s="23" t="s">
        <v>8234</v>
      </c>
      <c r="F6387" s="24" t="s">
        <v>8235</v>
      </c>
      <c r="G6387" s="24" t="s">
        <v>31</v>
      </c>
      <c r="H6387" s="25" t="s">
        <v>8236</v>
      </c>
      <c r="I6387" s="46" t="e">
        <f>VLOOKUP(H6387,'合同高级查询数据-4月返'!A:A,1,FALSE)</f>
        <v>#N/A</v>
      </c>
      <c r="J6387" s="47" t="s">
        <v>33</v>
      </c>
      <c r="K6387" s="24" t="s">
        <v>4069</v>
      </c>
      <c r="L6387" s="109" t="s">
        <v>8237</v>
      </c>
      <c r="M6387" s="49" t="s">
        <v>8238</v>
      </c>
      <c r="N6387" s="50"/>
      <c r="O6387" s="22" t="s">
        <v>179</v>
      </c>
      <c r="P6387" s="70">
        <v>0</v>
      </c>
      <c r="Q6387" s="70">
        <v>0</v>
      </c>
      <c r="R6387" s="52">
        <f t="shared" si="188"/>
        <v>0</v>
      </c>
      <c r="S6387" s="47">
        <v>202304</v>
      </c>
      <c r="T6387" s="123" t="s">
        <v>8241</v>
      </c>
      <c r="U6387" s="97"/>
      <c r="V6387" s="453"/>
      <c r="W6387" s="97"/>
      <c r="X6387" s="50">
        <v>44774</v>
      </c>
      <c r="Y6387" s="50">
        <v>45138</v>
      </c>
    </row>
    <row r="6388" s="5" customFormat="1" customHeight="1" spans="1:25">
      <c r="A6388" s="24" t="s">
        <v>152</v>
      </c>
      <c r="B6388" s="22" t="s">
        <v>7422</v>
      </c>
      <c r="C6388" s="22" t="s">
        <v>227</v>
      </c>
      <c r="D6388" s="22" t="s">
        <v>28</v>
      </c>
      <c r="E6388" s="23" t="s">
        <v>8234</v>
      </c>
      <c r="F6388" s="24" t="s">
        <v>8235</v>
      </c>
      <c r="G6388" s="24" t="s">
        <v>88</v>
      </c>
      <c r="H6388" s="25" t="s">
        <v>8236</v>
      </c>
      <c r="I6388" s="46" t="e">
        <f>VLOOKUP(H6388,'合同高级查询数据-4月返'!A:A,1,FALSE)</f>
        <v>#N/A</v>
      </c>
      <c r="J6388" s="47" t="s">
        <v>162</v>
      </c>
      <c r="K6388" s="24" t="s">
        <v>4069</v>
      </c>
      <c r="L6388" s="109" t="s">
        <v>8237</v>
      </c>
      <c r="M6388" s="49" t="s">
        <v>8238</v>
      </c>
      <c r="N6388" s="50">
        <v>43852</v>
      </c>
      <c r="O6388" s="22" t="s">
        <v>92</v>
      </c>
      <c r="P6388" s="52">
        <v>0</v>
      </c>
      <c r="Q6388" s="70">
        <v>5</v>
      </c>
      <c r="R6388" s="52">
        <f t="shared" si="188"/>
        <v>0</v>
      </c>
      <c r="S6388" s="47">
        <v>202304</v>
      </c>
      <c r="T6388" s="123" t="s">
        <v>8242</v>
      </c>
      <c r="U6388" s="453"/>
      <c r="V6388" s="453"/>
      <c r="W6388" s="97"/>
      <c r="X6388" s="50">
        <v>44774</v>
      </c>
      <c r="Y6388" s="50">
        <v>45138</v>
      </c>
    </row>
    <row r="6389" s="5" customFormat="1" customHeight="1" spans="1:25">
      <c r="A6389" s="24" t="s">
        <v>152</v>
      </c>
      <c r="B6389" s="22" t="s">
        <v>7422</v>
      </c>
      <c r="C6389" s="22" t="s">
        <v>227</v>
      </c>
      <c r="D6389" s="22" t="s">
        <v>28</v>
      </c>
      <c r="E6389" s="23" t="s">
        <v>8234</v>
      </c>
      <c r="F6389" s="24" t="s">
        <v>8235</v>
      </c>
      <c r="G6389" s="24" t="s">
        <v>88</v>
      </c>
      <c r="H6389" s="25" t="s">
        <v>8236</v>
      </c>
      <c r="I6389" s="46" t="e">
        <f>VLOOKUP(H6389,'合同高级查询数据-4月返'!A:A,1,FALSE)</f>
        <v>#N/A</v>
      </c>
      <c r="J6389" s="47" t="s">
        <v>162</v>
      </c>
      <c r="K6389" s="24" t="s">
        <v>4069</v>
      </c>
      <c r="L6389" s="109" t="s">
        <v>8237</v>
      </c>
      <c r="M6389" s="49" t="s">
        <v>8238</v>
      </c>
      <c r="N6389" s="50">
        <v>44763</v>
      </c>
      <c r="O6389" s="22" t="s">
        <v>92</v>
      </c>
      <c r="P6389" s="52">
        <v>0</v>
      </c>
      <c r="Q6389" s="70">
        <v>-3</v>
      </c>
      <c r="R6389" s="52">
        <f t="shared" si="188"/>
        <v>0</v>
      </c>
      <c r="S6389" s="47">
        <v>202304</v>
      </c>
      <c r="T6389" s="123" t="s">
        <v>8243</v>
      </c>
      <c r="U6389" s="453"/>
      <c r="V6389" s="453"/>
      <c r="W6389" s="97"/>
      <c r="X6389" s="50">
        <v>44774</v>
      </c>
      <c r="Y6389" s="50">
        <v>45138</v>
      </c>
    </row>
    <row r="6390" s="5" customFormat="1" customHeight="1" spans="1:25">
      <c r="A6390" s="24" t="s">
        <v>152</v>
      </c>
      <c r="B6390" s="22" t="s">
        <v>7422</v>
      </c>
      <c r="C6390" s="22" t="s">
        <v>227</v>
      </c>
      <c r="D6390" s="22" t="s">
        <v>28</v>
      </c>
      <c r="E6390" s="23" t="s">
        <v>8234</v>
      </c>
      <c r="F6390" s="24" t="s">
        <v>8235</v>
      </c>
      <c r="G6390" s="24" t="s">
        <v>88</v>
      </c>
      <c r="H6390" s="25" t="s">
        <v>8236</v>
      </c>
      <c r="I6390" s="46" t="e">
        <f>VLOOKUP(H6390,'合同高级查询数据-4月返'!A:A,1,FALSE)</f>
        <v>#N/A</v>
      </c>
      <c r="J6390" s="47" t="s">
        <v>162</v>
      </c>
      <c r="K6390" s="24" t="s">
        <v>4069</v>
      </c>
      <c r="L6390" s="109" t="s">
        <v>8237</v>
      </c>
      <c r="M6390" s="49" t="s">
        <v>8238</v>
      </c>
      <c r="N6390" s="50">
        <v>44935</v>
      </c>
      <c r="O6390" s="22" t="s">
        <v>92</v>
      </c>
      <c r="P6390" s="52">
        <v>0</v>
      </c>
      <c r="Q6390" s="70">
        <v>1</v>
      </c>
      <c r="R6390" s="52">
        <f t="shared" si="188"/>
        <v>0</v>
      </c>
      <c r="S6390" s="47">
        <v>202304</v>
      </c>
      <c r="T6390" s="123" t="s">
        <v>8244</v>
      </c>
      <c r="U6390" s="453"/>
      <c r="V6390" s="453"/>
      <c r="W6390" s="97"/>
      <c r="X6390" s="50">
        <v>44774</v>
      </c>
      <c r="Y6390" s="50">
        <v>45138</v>
      </c>
    </row>
    <row r="6391" s="5" customFormat="1" customHeight="1" spans="1:25">
      <c r="A6391" s="24" t="s">
        <v>109</v>
      </c>
      <c r="B6391" s="22" t="s">
        <v>7422</v>
      </c>
      <c r="C6391" s="22" t="s">
        <v>275</v>
      </c>
      <c r="D6391" s="22" t="s">
        <v>28</v>
      </c>
      <c r="E6391" s="23" t="s">
        <v>8245</v>
      </c>
      <c r="F6391" s="24" t="s">
        <v>8246</v>
      </c>
      <c r="G6391" s="24" t="s">
        <v>31</v>
      </c>
      <c r="H6391" s="25" t="s">
        <v>8247</v>
      </c>
      <c r="I6391" s="46" t="e">
        <f>VLOOKUP(H6391,'合同高级查询数据-4月返'!A:A,1,FALSE)</f>
        <v>#N/A</v>
      </c>
      <c r="J6391" s="47" t="s">
        <v>33</v>
      </c>
      <c r="K6391" s="24" t="s">
        <v>4145</v>
      </c>
      <c r="L6391" s="109" t="s">
        <v>8248</v>
      </c>
      <c r="M6391" s="49" t="s">
        <v>8249</v>
      </c>
      <c r="N6391" s="50">
        <v>44044</v>
      </c>
      <c r="O6391" s="22" t="s">
        <v>37</v>
      </c>
      <c r="P6391" s="52">
        <v>50</v>
      </c>
      <c r="Q6391" s="70">
        <v>288</v>
      </c>
      <c r="R6391" s="52">
        <f t="shared" ref="R6391:R6454" si="189">ROUND(P6391*Q6391,2)</f>
        <v>14400</v>
      </c>
      <c r="S6391" s="47">
        <v>202304</v>
      </c>
      <c r="T6391" s="123" t="s">
        <v>8250</v>
      </c>
      <c r="U6391" s="97"/>
      <c r="V6391" s="453"/>
      <c r="W6391" s="97"/>
      <c r="X6391" s="50">
        <v>44774</v>
      </c>
      <c r="Y6391" s="50">
        <v>45077</v>
      </c>
    </row>
    <row r="6392" s="5" customFormat="1" customHeight="1" spans="1:25">
      <c r="A6392" s="24" t="s">
        <v>109</v>
      </c>
      <c r="B6392" s="22" t="s">
        <v>7422</v>
      </c>
      <c r="C6392" s="22" t="s">
        <v>275</v>
      </c>
      <c r="D6392" s="22" t="s">
        <v>28</v>
      </c>
      <c r="E6392" s="23" t="s">
        <v>8245</v>
      </c>
      <c r="F6392" s="24" t="s">
        <v>8246</v>
      </c>
      <c r="G6392" s="24" t="s">
        <v>31</v>
      </c>
      <c r="H6392" s="25" t="s">
        <v>8247</v>
      </c>
      <c r="I6392" s="46" t="e">
        <f>VLOOKUP(H6392,'合同高级查询数据-4月返'!A:A,1,FALSE)</f>
        <v>#N/A</v>
      </c>
      <c r="J6392" s="47" t="s">
        <v>33</v>
      </c>
      <c r="K6392" s="24" t="s">
        <v>4145</v>
      </c>
      <c r="L6392" s="109" t="s">
        <v>8248</v>
      </c>
      <c r="M6392" s="49" t="s">
        <v>8249</v>
      </c>
      <c r="N6392" s="50">
        <v>44869</v>
      </c>
      <c r="O6392" s="22" t="s">
        <v>37</v>
      </c>
      <c r="P6392" s="52">
        <v>50</v>
      </c>
      <c r="Q6392" s="70">
        <v>-128</v>
      </c>
      <c r="R6392" s="52">
        <f t="shared" si="189"/>
        <v>-6400</v>
      </c>
      <c r="S6392" s="47">
        <v>202304</v>
      </c>
      <c r="T6392" s="123" t="s">
        <v>8251</v>
      </c>
      <c r="U6392" s="97"/>
      <c r="V6392" s="453"/>
      <c r="W6392" s="97"/>
      <c r="X6392" s="50">
        <v>44774</v>
      </c>
      <c r="Y6392" s="50">
        <v>45077</v>
      </c>
    </row>
    <row r="6393" s="5" customFormat="1" customHeight="1" spans="1:25">
      <c r="A6393" s="24" t="s">
        <v>109</v>
      </c>
      <c r="B6393" s="22" t="s">
        <v>7422</v>
      </c>
      <c r="C6393" s="22" t="s">
        <v>275</v>
      </c>
      <c r="D6393" s="22" t="s">
        <v>28</v>
      </c>
      <c r="E6393" s="23" t="s">
        <v>8245</v>
      </c>
      <c r="F6393" s="24" t="s">
        <v>8246</v>
      </c>
      <c r="G6393" s="24" t="s">
        <v>31</v>
      </c>
      <c r="H6393" s="25" t="s">
        <v>8247</v>
      </c>
      <c r="I6393" s="46" t="e">
        <f>VLOOKUP(H6393,'合同高级查询数据-4月返'!A:A,1,FALSE)</f>
        <v>#N/A</v>
      </c>
      <c r="J6393" s="47" t="s">
        <v>33</v>
      </c>
      <c r="K6393" s="24" t="s">
        <v>4145</v>
      </c>
      <c r="L6393" s="109" t="s">
        <v>8248</v>
      </c>
      <c r="M6393" s="49" t="s">
        <v>8249</v>
      </c>
      <c r="N6393" s="50">
        <v>44880</v>
      </c>
      <c r="O6393" s="22" t="s">
        <v>37</v>
      </c>
      <c r="P6393" s="52">
        <v>50</v>
      </c>
      <c r="Q6393" s="70">
        <v>-160</v>
      </c>
      <c r="R6393" s="52">
        <f t="shared" si="189"/>
        <v>-8000</v>
      </c>
      <c r="S6393" s="47">
        <v>202304</v>
      </c>
      <c r="T6393" s="123" t="s">
        <v>8252</v>
      </c>
      <c r="U6393" s="97"/>
      <c r="V6393" s="453"/>
      <c r="W6393" s="97"/>
      <c r="X6393" s="50">
        <v>44774</v>
      </c>
      <c r="Y6393" s="50">
        <v>45077</v>
      </c>
    </row>
    <row r="6394" s="5" customFormat="1" customHeight="1" spans="1:25">
      <c r="A6394" s="24" t="s">
        <v>109</v>
      </c>
      <c r="B6394" s="22" t="s">
        <v>7422</v>
      </c>
      <c r="C6394" s="22" t="s">
        <v>275</v>
      </c>
      <c r="D6394" s="22" t="s">
        <v>28</v>
      </c>
      <c r="E6394" s="23" t="s">
        <v>8245</v>
      </c>
      <c r="F6394" s="24" t="s">
        <v>8246</v>
      </c>
      <c r="G6394" s="24" t="s">
        <v>31</v>
      </c>
      <c r="H6394" s="25" t="s">
        <v>8247</v>
      </c>
      <c r="I6394" s="46" t="e">
        <f>VLOOKUP(H6394,'合同高级查询数据-4月返'!A:A,1,FALSE)</f>
        <v>#N/A</v>
      </c>
      <c r="J6394" s="47" t="s">
        <v>33</v>
      </c>
      <c r="K6394" s="24" t="s">
        <v>4145</v>
      </c>
      <c r="L6394" s="109" t="s">
        <v>8248</v>
      </c>
      <c r="M6394" s="49" t="s">
        <v>8249</v>
      </c>
      <c r="N6394" s="50">
        <v>44881</v>
      </c>
      <c r="O6394" s="22" t="s">
        <v>37</v>
      </c>
      <c r="P6394" s="52">
        <v>50</v>
      </c>
      <c r="Q6394" s="70">
        <v>160</v>
      </c>
      <c r="R6394" s="52">
        <f t="shared" si="189"/>
        <v>8000</v>
      </c>
      <c r="S6394" s="47">
        <v>202304</v>
      </c>
      <c r="T6394" s="123" t="s">
        <v>8253</v>
      </c>
      <c r="U6394" s="97"/>
      <c r="V6394" s="453"/>
      <c r="W6394" s="97"/>
      <c r="X6394" s="50">
        <v>44774</v>
      </c>
      <c r="Y6394" s="50">
        <v>45077</v>
      </c>
    </row>
    <row r="6395" s="5" customFormat="1" customHeight="1" spans="1:25">
      <c r="A6395" s="24" t="s">
        <v>109</v>
      </c>
      <c r="B6395" s="22" t="s">
        <v>7422</v>
      </c>
      <c r="C6395" s="22" t="s">
        <v>275</v>
      </c>
      <c r="D6395" s="22" t="s">
        <v>28</v>
      </c>
      <c r="E6395" s="23" t="s">
        <v>8245</v>
      </c>
      <c r="F6395" s="24" t="s">
        <v>8246</v>
      </c>
      <c r="G6395" s="24" t="s">
        <v>31</v>
      </c>
      <c r="H6395" s="25" t="s">
        <v>8247</v>
      </c>
      <c r="I6395" s="46" t="e">
        <f>VLOOKUP(H6395,'合同高级查询数据-4月返'!A:A,1,FALSE)</f>
        <v>#N/A</v>
      </c>
      <c r="J6395" s="47" t="s">
        <v>33</v>
      </c>
      <c r="K6395" s="24" t="s">
        <v>4145</v>
      </c>
      <c r="L6395" s="109" t="s">
        <v>8248</v>
      </c>
      <c r="M6395" s="49" t="s">
        <v>8249</v>
      </c>
      <c r="N6395" s="50"/>
      <c r="O6395" s="22" t="s">
        <v>179</v>
      </c>
      <c r="P6395" s="52">
        <v>0</v>
      </c>
      <c r="Q6395" s="70">
        <v>0</v>
      </c>
      <c r="R6395" s="52">
        <f t="shared" si="189"/>
        <v>0</v>
      </c>
      <c r="S6395" s="47">
        <v>202304</v>
      </c>
      <c r="T6395" s="123" t="s">
        <v>8254</v>
      </c>
      <c r="U6395" s="97"/>
      <c r="V6395" s="453"/>
      <c r="W6395" s="97"/>
      <c r="X6395" s="50">
        <v>44774</v>
      </c>
      <c r="Y6395" s="50">
        <v>45077</v>
      </c>
    </row>
    <row r="6396" s="5" customFormat="1" customHeight="1" spans="1:25">
      <c r="A6396" s="24" t="s">
        <v>109</v>
      </c>
      <c r="B6396" s="22" t="s">
        <v>7422</v>
      </c>
      <c r="C6396" s="22" t="s">
        <v>275</v>
      </c>
      <c r="D6396" s="22" t="s">
        <v>28</v>
      </c>
      <c r="E6396" s="23" t="s">
        <v>8245</v>
      </c>
      <c r="F6396" s="24" t="s">
        <v>8246</v>
      </c>
      <c r="G6396" s="24" t="s">
        <v>88</v>
      </c>
      <c r="H6396" s="25" t="s">
        <v>8247</v>
      </c>
      <c r="I6396" s="46" t="e">
        <f>VLOOKUP(H6396,'合同高级查询数据-4月返'!A:A,1,FALSE)</f>
        <v>#N/A</v>
      </c>
      <c r="J6396" s="47" t="s">
        <v>162</v>
      </c>
      <c r="K6396" s="24" t="s">
        <v>4145</v>
      </c>
      <c r="L6396" s="109" t="s">
        <v>8248</v>
      </c>
      <c r="M6396" s="49" t="s">
        <v>8249</v>
      </c>
      <c r="N6396" s="50">
        <v>44044</v>
      </c>
      <c r="O6396" s="22" t="s">
        <v>163</v>
      </c>
      <c r="P6396" s="52">
        <v>5000</v>
      </c>
      <c r="Q6396" s="70">
        <v>4</v>
      </c>
      <c r="R6396" s="52">
        <f t="shared" si="189"/>
        <v>20000</v>
      </c>
      <c r="S6396" s="47">
        <v>202304</v>
      </c>
      <c r="T6396" s="123" t="s">
        <v>8255</v>
      </c>
      <c r="U6396" s="97"/>
      <c r="V6396" s="453"/>
      <c r="W6396" s="97"/>
      <c r="X6396" s="50">
        <v>44774</v>
      </c>
      <c r="Y6396" s="50">
        <v>45077</v>
      </c>
    </row>
    <row r="6397" s="5" customFormat="1" customHeight="1" spans="1:25">
      <c r="A6397" s="24" t="s">
        <v>109</v>
      </c>
      <c r="B6397" s="22" t="s">
        <v>7422</v>
      </c>
      <c r="C6397" s="22" t="s">
        <v>275</v>
      </c>
      <c r="D6397" s="22" t="s">
        <v>28</v>
      </c>
      <c r="E6397" s="23" t="s">
        <v>8245</v>
      </c>
      <c r="F6397" s="24" t="s">
        <v>8246</v>
      </c>
      <c r="G6397" s="24" t="s">
        <v>88</v>
      </c>
      <c r="H6397" s="25" t="s">
        <v>8247</v>
      </c>
      <c r="I6397" s="46" t="e">
        <f>VLOOKUP(H6397,'合同高级查询数据-4月返'!A:A,1,FALSE)</f>
        <v>#N/A</v>
      </c>
      <c r="J6397" s="47" t="s">
        <v>162</v>
      </c>
      <c r="K6397" s="24" t="s">
        <v>4145</v>
      </c>
      <c r="L6397" s="109" t="s">
        <v>8248</v>
      </c>
      <c r="M6397" s="49" t="s">
        <v>8249</v>
      </c>
      <c r="N6397" s="50">
        <v>44880</v>
      </c>
      <c r="O6397" s="22" t="s">
        <v>163</v>
      </c>
      <c r="P6397" s="52">
        <v>5000</v>
      </c>
      <c r="Q6397" s="70">
        <v>-4</v>
      </c>
      <c r="R6397" s="52">
        <f t="shared" si="189"/>
        <v>-20000</v>
      </c>
      <c r="S6397" s="47">
        <v>202304</v>
      </c>
      <c r="T6397" s="123" t="s">
        <v>8256</v>
      </c>
      <c r="U6397" s="97"/>
      <c r="V6397" s="453"/>
      <c r="W6397" s="97"/>
      <c r="X6397" s="50">
        <v>44774</v>
      </c>
      <c r="Y6397" s="50">
        <v>45077</v>
      </c>
    </row>
    <row r="6398" s="5" customFormat="1" customHeight="1" spans="1:25">
      <c r="A6398" s="24" t="s">
        <v>109</v>
      </c>
      <c r="B6398" s="22" t="s">
        <v>7422</v>
      </c>
      <c r="C6398" s="22" t="s">
        <v>275</v>
      </c>
      <c r="D6398" s="22" t="s">
        <v>28</v>
      </c>
      <c r="E6398" s="23" t="s">
        <v>8245</v>
      </c>
      <c r="F6398" s="24" t="s">
        <v>8246</v>
      </c>
      <c r="G6398" s="24" t="s">
        <v>88</v>
      </c>
      <c r="H6398" s="25" t="s">
        <v>8247</v>
      </c>
      <c r="I6398" s="46" t="e">
        <f>VLOOKUP(H6398,'合同高级查询数据-4月返'!A:A,1,FALSE)</f>
        <v>#N/A</v>
      </c>
      <c r="J6398" s="47" t="s">
        <v>162</v>
      </c>
      <c r="K6398" s="24" t="s">
        <v>4145</v>
      </c>
      <c r="L6398" s="109" t="s">
        <v>8248</v>
      </c>
      <c r="M6398" s="49" t="s">
        <v>8249</v>
      </c>
      <c r="N6398" s="50">
        <v>44881</v>
      </c>
      <c r="O6398" s="22" t="s">
        <v>163</v>
      </c>
      <c r="P6398" s="52">
        <v>5000</v>
      </c>
      <c r="Q6398" s="70">
        <v>4</v>
      </c>
      <c r="R6398" s="52">
        <f t="shared" si="189"/>
        <v>20000</v>
      </c>
      <c r="S6398" s="47">
        <v>202304</v>
      </c>
      <c r="T6398" s="123" t="s">
        <v>8257</v>
      </c>
      <c r="U6398" s="97"/>
      <c r="V6398" s="453"/>
      <c r="W6398" s="97"/>
      <c r="X6398" s="50">
        <v>44774</v>
      </c>
      <c r="Y6398" s="50">
        <v>45077</v>
      </c>
    </row>
    <row r="6399" s="5" customFormat="1" customHeight="1" spans="1:25">
      <c r="A6399" s="21" t="s">
        <v>25</v>
      </c>
      <c r="B6399" s="22" t="s">
        <v>7422</v>
      </c>
      <c r="C6399" s="22" t="s">
        <v>188</v>
      </c>
      <c r="D6399" s="22" t="s">
        <v>28</v>
      </c>
      <c r="E6399" s="23" t="s">
        <v>8245</v>
      </c>
      <c r="F6399" s="24" t="s">
        <v>8246</v>
      </c>
      <c r="G6399" s="24" t="s">
        <v>31</v>
      </c>
      <c r="H6399" s="25" t="s">
        <v>8258</v>
      </c>
      <c r="I6399" s="46" t="e">
        <f>VLOOKUP(H6399,'合同高级查询数据-4月返'!A:A,1,FALSE)</f>
        <v>#N/A</v>
      </c>
      <c r="J6399" s="47" t="s">
        <v>33</v>
      </c>
      <c r="K6399" s="24" t="s">
        <v>7576</v>
      </c>
      <c r="L6399" s="109" t="s">
        <v>8259</v>
      </c>
      <c r="M6399" s="49" t="s">
        <v>8260</v>
      </c>
      <c r="N6399" s="50">
        <v>44105</v>
      </c>
      <c r="O6399" s="22" t="s">
        <v>37</v>
      </c>
      <c r="P6399" s="52">
        <v>50</v>
      </c>
      <c r="Q6399" s="70">
        <v>160</v>
      </c>
      <c r="R6399" s="52">
        <f t="shared" si="189"/>
        <v>8000</v>
      </c>
      <c r="S6399" s="47">
        <v>202304</v>
      </c>
      <c r="T6399" s="123" t="s">
        <v>8261</v>
      </c>
      <c r="U6399" s="97"/>
      <c r="V6399" s="453"/>
      <c r="W6399" s="97"/>
      <c r="X6399" s="50">
        <v>44105</v>
      </c>
      <c r="Y6399" s="50">
        <v>44469</v>
      </c>
    </row>
    <row r="6400" s="5" customFormat="1" customHeight="1" spans="1:25">
      <c r="A6400" s="21" t="s">
        <v>25</v>
      </c>
      <c r="B6400" s="22" t="s">
        <v>7422</v>
      </c>
      <c r="C6400" s="22" t="s">
        <v>188</v>
      </c>
      <c r="D6400" s="22" t="s">
        <v>28</v>
      </c>
      <c r="E6400" s="23" t="s">
        <v>8245</v>
      </c>
      <c r="F6400" s="24" t="s">
        <v>8246</v>
      </c>
      <c r="G6400" s="24" t="s">
        <v>31</v>
      </c>
      <c r="H6400" s="25" t="s">
        <v>8258</v>
      </c>
      <c r="I6400" s="46" t="e">
        <f>VLOOKUP(H6400,'合同高级查询数据-4月返'!A:A,1,FALSE)</f>
        <v>#N/A</v>
      </c>
      <c r="J6400" s="47" t="s">
        <v>33</v>
      </c>
      <c r="K6400" s="24" t="s">
        <v>7576</v>
      </c>
      <c r="L6400" s="109" t="s">
        <v>8259</v>
      </c>
      <c r="M6400" s="49" t="s">
        <v>8260</v>
      </c>
      <c r="N6400" s="50">
        <v>44377</v>
      </c>
      <c r="O6400" s="22" t="s">
        <v>37</v>
      </c>
      <c r="P6400" s="52">
        <v>50</v>
      </c>
      <c r="Q6400" s="70">
        <v>-160</v>
      </c>
      <c r="R6400" s="52">
        <f t="shared" si="189"/>
        <v>-8000</v>
      </c>
      <c r="S6400" s="47">
        <v>202304</v>
      </c>
      <c r="T6400" s="123" t="s">
        <v>7980</v>
      </c>
      <c r="U6400" s="97"/>
      <c r="V6400" s="453"/>
      <c r="W6400" s="97"/>
      <c r="X6400" s="50">
        <v>44105</v>
      </c>
      <c r="Y6400" s="50">
        <v>44469</v>
      </c>
    </row>
    <row r="6401" s="5" customFormat="1" customHeight="1" spans="1:25">
      <c r="A6401" s="21" t="s">
        <v>25</v>
      </c>
      <c r="B6401" s="22" t="s">
        <v>7422</v>
      </c>
      <c r="C6401" s="22" t="s">
        <v>188</v>
      </c>
      <c r="D6401" s="22" t="s">
        <v>28</v>
      </c>
      <c r="E6401" s="23" t="s">
        <v>8245</v>
      </c>
      <c r="F6401" s="24" t="s">
        <v>8246</v>
      </c>
      <c r="G6401" s="24" t="s">
        <v>88</v>
      </c>
      <c r="H6401" s="25" t="s">
        <v>8258</v>
      </c>
      <c r="I6401" s="46" t="e">
        <f>VLOOKUP(H6401,'合同高级查询数据-4月返'!A:A,1,FALSE)</f>
        <v>#N/A</v>
      </c>
      <c r="J6401" s="47" t="s">
        <v>162</v>
      </c>
      <c r="K6401" s="24" t="s">
        <v>7576</v>
      </c>
      <c r="L6401" s="109" t="s">
        <v>8259</v>
      </c>
      <c r="M6401" s="49" t="s">
        <v>8260</v>
      </c>
      <c r="N6401" s="50">
        <v>44105</v>
      </c>
      <c r="O6401" s="22" t="s">
        <v>1535</v>
      </c>
      <c r="P6401" s="52">
        <v>4000</v>
      </c>
      <c r="Q6401" s="70">
        <v>3</v>
      </c>
      <c r="R6401" s="52">
        <f t="shared" si="189"/>
        <v>12000</v>
      </c>
      <c r="S6401" s="47">
        <v>202304</v>
      </c>
      <c r="T6401" s="123" t="s">
        <v>8262</v>
      </c>
      <c r="U6401" s="97"/>
      <c r="V6401" s="453"/>
      <c r="W6401" s="97"/>
      <c r="X6401" s="50">
        <v>44105</v>
      </c>
      <c r="Y6401" s="50">
        <v>44469</v>
      </c>
    </row>
    <row r="6402" s="5" customFormat="1" customHeight="1" spans="1:25">
      <c r="A6402" s="21" t="s">
        <v>25</v>
      </c>
      <c r="B6402" s="22" t="s">
        <v>7422</v>
      </c>
      <c r="C6402" s="22" t="s">
        <v>188</v>
      </c>
      <c r="D6402" s="22" t="s">
        <v>28</v>
      </c>
      <c r="E6402" s="23" t="s">
        <v>8245</v>
      </c>
      <c r="F6402" s="24" t="s">
        <v>8246</v>
      </c>
      <c r="G6402" s="24" t="s">
        <v>88</v>
      </c>
      <c r="H6402" s="25" t="s">
        <v>8258</v>
      </c>
      <c r="I6402" s="46" t="e">
        <f>VLOOKUP(H6402,'合同高级查询数据-4月返'!A:A,1,FALSE)</f>
        <v>#N/A</v>
      </c>
      <c r="J6402" s="47" t="s">
        <v>162</v>
      </c>
      <c r="K6402" s="24" t="s">
        <v>7576</v>
      </c>
      <c r="L6402" s="109" t="s">
        <v>8259</v>
      </c>
      <c r="M6402" s="49" t="s">
        <v>8260</v>
      </c>
      <c r="N6402" s="50">
        <v>44377</v>
      </c>
      <c r="O6402" s="22" t="s">
        <v>1535</v>
      </c>
      <c r="P6402" s="52">
        <v>4000</v>
      </c>
      <c r="Q6402" s="70">
        <v>-3</v>
      </c>
      <c r="R6402" s="52">
        <f t="shared" si="189"/>
        <v>-12000</v>
      </c>
      <c r="S6402" s="47">
        <v>202304</v>
      </c>
      <c r="T6402" s="123" t="s">
        <v>8263</v>
      </c>
      <c r="U6402" s="97"/>
      <c r="V6402" s="453"/>
      <c r="W6402" s="97"/>
      <c r="X6402" s="50">
        <v>44105</v>
      </c>
      <c r="Y6402" s="50">
        <v>44469</v>
      </c>
    </row>
    <row r="6403" s="5" customFormat="1" customHeight="1" spans="1:25">
      <c r="A6403" s="21" t="s">
        <v>25</v>
      </c>
      <c r="B6403" s="22" t="s">
        <v>7422</v>
      </c>
      <c r="C6403" s="22" t="s">
        <v>188</v>
      </c>
      <c r="D6403" s="22" t="s">
        <v>28</v>
      </c>
      <c r="E6403" s="23" t="s">
        <v>8245</v>
      </c>
      <c r="F6403" s="24" t="s">
        <v>8246</v>
      </c>
      <c r="G6403" s="24" t="s">
        <v>31</v>
      </c>
      <c r="H6403" s="25" t="s">
        <v>8264</v>
      </c>
      <c r="I6403" s="46" t="e">
        <f>VLOOKUP(H6403,'合同高级查询数据-4月返'!A:A,1,FALSE)</f>
        <v>#N/A</v>
      </c>
      <c r="J6403" s="47" t="s">
        <v>33</v>
      </c>
      <c r="K6403" s="24" t="s">
        <v>3929</v>
      </c>
      <c r="L6403" s="109" t="s">
        <v>8265</v>
      </c>
      <c r="M6403" s="49" t="s">
        <v>8266</v>
      </c>
      <c r="N6403" s="50">
        <v>44348</v>
      </c>
      <c r="O6403" s="22" t="s">
        <v>37</v>
      </c>
      <c r="P6403" s="52">
        <v>50</v>
      </c>
      <c r="Q6403" s="70">
        <v>160</v>
      </c>
      <c r="R6403" s="52">
        <f t="shared" si="189"/>
        <v>8000</v>
      </c>
      <c r="S6403" s="47">
        <v>202304</v>
      </c>
      <c r="T6403" s="123" t="s">
        <v>8267</v>
      </c>
      <c r="U6403" s="97"/>
      <c r="V6403" s="453"/>
      <c r="W6403" s="97"/>
      <c r="X6403" s="50">
        <v>44713</v>
      </c>
      <c r="Y6403" s="50">
        <v>45077</v>
      </c>
    </row>
    <row r="6404" s="5" customFormat="1" customHeight="1" spans="1:25">
      <c r="A6404" s="21" t="s">
        <v>25</v>
      </c>
      <c r="B6404" s="22" t="s">
        <v>7422</v>
      </c>
      <c r="C6404" s="22" t="s">
        <v>188</v>
      </c>
      <c r="D6404" s="22" t="s">
        <v>28</v>
      </c>
      <c r="E6404" s="23" t="s">
        <v>8245</v>
      </c>
      <c r="F6404" s="24" t="s">
        <v>8246</v>
      </c>
      <c r="G6404" s="24" t="s">
        <v>31</v>
      </c>
      <c r="H6404" s="25" t="s">
        <v>8264</v>
      </c>
      <c r="I6404" s="46" t="e">
        <f>VLOOKUP(H6404,'合同高级查询数据-4月返'!A:A,1,FALSE)</f>
        <v>#N/A</v>
      </c>
      <c r="J6404" s="47" t="s">
        <v>33</v>
      </c>
      <c r="K6404" s="24" t="s">
        <v>3929</v>
      </c>
      <c r="L6404" s="109" t="s">
        <v>8265</v>
      </c>
      <c r="M6404" s="49" t="s">
        <v>8266</v>
      </c>
      <c r="N6404" s="50"/>
      <c r="O6404" s="22" t="s">
        <v>179</v>
      </c>
      <c r="P6404" s="52">
        <v>0</v>
      </c>
      <c r="Q6404" s="70">
        <v>0</v>
      </c>
      <c r="R6404" s="52">
        <f t="shared" si="189"/>
        <v>0</v>
      </c>
      <c r="S6404" s="47">
        <v>202304</v>
      </c>
      <c r="T6404" s="123" t="s">
        <v>8268</v>
      </c>
      <c r="U6404" s="97"/>
      <c r="V6404" s="453"/>
      <c r="W6404" s="97"/>
      <c r="X6404" s="50">
        <v>44713</v>
      </c>
      <c r="Y6404" s="50">
        <v>45077</v>
      </c>
    </row>
    <row r="6405" s="5" customFormat="1" customHeight="1" spans="1:25">
      <c r="A6405" s="21" t="s">
        <v>25</v>
      </c>
      <c r="B6405" s="22" t="s">
        <v>7422</v>
      </c>
      <c r="C6405" s="22" t="s">
        <v>188</v>
      </c>
      <c r="D6405" s="22" t="s">
        <v>28</v>
      </c>
      <c r="E6405" s="23" t="s">
        <v>8245</v>
      </c>
      <c r="F6405" s="24" t="s">
        <v>8246</v>
      </c>
      <c r="G6405" s="24" t="s">
        <v>88</v>
      </c>
      <c r="H6405" s="25" t="s">
        <v>8264</v>
      </c>
      <c r="I6405" s="46" t="e">
        <f>VLOOKUP(H6405,'合同高级查询数据-4月返'!A:A,1,FALSE)</f>
        <v>#N/A</v>
      </c>
      <c r="J6405" s="47" t="s">
        <v>162</v>
      </c>
      <c r="K6405" s="24" t="s">
        <v>3929</v>
      </c>
      <c r="L6405" s="109" t="s">
        <v>8265</v>
      </c>
      <c r="M6405" s="49" t="s">
        <v>8266</v>
      </c>
      <c r="N6405" s="50">
        <v>44348</v>
      </c>
      <c r="O6405" s="22" t="s">
        <v>163</v>
      </c>
      <c r="P6405" s="52">
        <v>4000</v>
      </c>
      <c r="Q6405" s="70">
        <v>3</v>
      </c>
      <c r="R6405" s="52">
        <f t="shared" si="189"/>
        <v>12000</v>
      </c>
      <c r="S6405" s="47">
        <v>202304</v>
      </c>
      <c r="T6405" s="123" t="s">
        <v>8269</v>
      </c>
      <c r="U6405" s="97"/>
      <c r="V6405" s="453"/>
      <c r="W6405" s="97"/>
      <c r="X6405" s="50">
        <v>44713</v>
      </c>
      <c r="Y6405" s="50">
        <v>45077</v>
      </c>
    </row>
    <row r="6406" s="5" customFormat="1" customHeight="1" spans="1:25">
      <c r="A6406" s="24" t="s">
        <v>109</v>
      </c>
      <c r="B6406" s="22" t="s">
        <v>7422</v>
      </c>
      <c r="C6406" s="22" t="s">
        <v>3951</v>
      </c>
      <c r="D6406" s="22" t="s">
        <v>28</v>
      </c>
      <c r="E6406" s="23" t="s">
        <v>8245</v>
      </c>
      <c r="F6406" s="24" t="s">
        <v>8246</v>
      </c>
      <c r="G6406" s="24" t="s">
        <v>31</v>
      </c>
      <c r="H6406" s="25" t="s">
        <v>8270</v>
      </c>
      <c r="I6406" s="46" t="e">
        <f>VLOOKUP(H6406,'合同高级查询数据-4月返'!A:A,1,FALSE)</f>
        <v>#N/A</v>
      </c>
      <c r="J6406" s="47" t="s">
        <v>33</v>
      </c>
      <c r="K6406" s="24" t="s">
        <v>3951</v>
      </c>
      <c r="L6406" s="109" t="s">
        <v>8271</v>
      </c>
      <c r="M6406" s="49" t="s">
        <v>8272</v>
      </c>
      <c r="N6406" s="50">
        <v>44357</v>
      </c>
      <c r="O6406" s="22" t="s">
        <v>37</v>
      </c>
      <c r="P6406" s="52">
        <v>50</v>
      </c>
      <c r="Q6406" s="70">
        <v>288</v>
      </c>
      <c r="R6406" s="52">
        <f t="shared" si="189"/>
        <v>14400</v>
      </c>
      <c r="S6406" s="47">
        <v>202304</v>
      </c>
      <c r="T6406" s="123" t="s">
        <v>8273</v>
      </c>
      <c r="U6406" s="97"/>
      <c r="V6406" s="453"/>
      <c r="W6406" s="97"/>
      <c r="X6406" s="50">
        <v>44774</v>
      </c>
      <c r="Y6406" s="50">
        <v>45077</v>
      </c>
    </row>
    <row r="6407" s="5" customFormat="1" customHeight="1" spans="1:25">
      <c r="A6407" s="24" t="s">
        <v>109</v>
      </c>
      <c r="B6407" s="22" t="s">
        <v>7422</v>
      </c>
      <c r="C6407" s="22" t="s">
        <v>3951</v>
      </c>
      <c r="D6407" s="22" t="s">
        <v>28</v>
      </c>
      <c r="E6407" s="23" t="s">
        <v>8245</v>
      </c>
      <c r="F6407" s="24" t="s">
        <v>8246</v>
      </c>
      <c r="G6407" s="24" t="s">
        <v>31</v>
      </c>
      <c r="H6407" s="25" t="s">
        <v>8270</v>
      </c>
      <c r="I6407" s="46" t="e">
        <f>VLOOKUP(H6407,'合同高级查询数据-4月返'!A:A,1,FALSE)</f>
        <v>#N/A</v>
      </c>
      <c r="J6407" s="47" t="s">
        <v>33</v>
      </c>
      <c r="K6407" s="24" t="s">
        <v>3951</v>
      </c>
      <c r="L6407" s="109" t="s">
        <v>8271</v>
      </c>
      <c r="M6407" s="49" t="s">
        <v>8272</v>
      </c>
      <c r="N6407" s="50">
        <v>44783</v>
      </c>
      <c r="O6407" s="22" t="s">
        <v>37</v>
      </c>
      <c r="P6407" s="52">
        <v>50</v>
      </c>
      <c r="Q6407" s="70">
        <v>-128</v>
      </c>
      <c r="R6407" s="52">
        <f t="shared" si="189"/>
        <v>-6400</v>
      </c>
      <c r="S6407" s="47">
        <v>202304</v>
      </c>
      <c r="T6407" s="123" t="s">
        <v>8274</v>
      </c>
      <c r="U6407" s="97"/>
      <c r="V6407" s="453"/>
      <c r="W6407" s="97"/>
      <c r="X6407" s="50">
        <v>44774</v>
      </c>
      <c r="Y6407" s="50">
        <v>45077</v>
      </c>
    </row>
    <row r="6408" s="5" customFormat="1" customHeight="1" spans="1:25">
      <c r="A6408" s="24" t="s">
        <v>109</v>
      </c>
      <c r="B6408" s="22" t="s">
        <v>7422</v>
      </c>
      <c r="C6408" s="22" t="s">
        <v>3951</v>
      </c>
      <c r="D6408" s="22" t="s">
        <v>28</v>
      </c>
      <c r="E6408" s="23" t="s">
        <v>8245</v>
      </c>
      <c r="F6408" s="24" t="s">
        <v>8246</v>
      </c>
      <c r="G6408" s="24" t="s">
        <v>31</v>
      </c>
      <c r="H6408" s="25" t="s">
        <v>8270</v>
      </c>
      <c r="I6408" s="46" t="e">
        <f>VLOOKUP(H6408,'合同高级查询数据-4月返'!A:A,1,FALSE)</f>
        <v>#N/A</v>
      </c>
      <c r="J6408" s="47" t="s">
        <v>33</v>
      </c>
      <c r="K6408" s="24" t="s">
        <v>3951</v>
      </c>
      <c r="L6408" s="109" t="s">
        <v>8271</v>
      </c>
      <c r="M6408" s="49" t="s">
        <v>8272</v>
      </c>
      <c r="N6408" s="50"/>
      <c r="O6408" s="22" t="s">
        <v>179</v>
      </c>
      <c r="P6408" s="52">
        <v>0</v>
      </c>
      <c r="Q6408" s="70">
        <v>0</v>
      </c>
      <c r="R6408" s="52">
        <f t="shared" si="189"/>
        <v>0</v>
      </c>
      <c r="S6408" s="47">
        <v>202304</v>
      </c>
      <c r="T6408" s="123" t="s">
        <v>8275</v>
      </c>
      <c r="U6408" s="97"/>
      <c r="V6408" s="453"/>
      <c r="W6408" s="97"/>
      <c r="X6408" s="50">
        <v>44774</v>
      </c>
      <c r="Y6408" s="50">
        <v>45077</v>
      </c>
    </row>
    <row r="6409" s="5" customFormat="1" customHeight="1" spans="1:25">
      <c r="A6409" s="24" t="s">
        <v>109</v>
      </c>
      <c r="B6409" s="22" t="s">
        <v>7422</v>
      </c>
      <c r="C6409" s="22" t="s">
        <v>3951</v>
      </c>
      <c r="D6409" s="22" t="s">
        <v>28</v>
      </c>
      <c r="E6409" s="23" t="s">
        <v>8245</v>
      </c>
      <c r="F6409" s="24" t="s">
        <v>8246</v>
      </c>
      <c r="G6409" s="24" t="s">
        <v>88</v>
      </c>
      <c r="H6409" s="25" t="s">
        <v>8270</v>
      </c>
      <c r="I6409" s="46" t="e">
        <f>VLOOKUP(H6409,'合同高级查询数据-4月返'!A:A,1,FALSE)</f>
        <v>#N/A</v>
      </c>
      <c r="J6409" s="47" t="s">
        <v>162</v>
      </c>
      <c r="K6409" s="24" t="s">
        <v>3951</v>
      </c>
      <c r="L6409" s="109" t="s">
        <v>8271</v>
      </c>
      <c r="M6409" s="49" t="s">
        <v>8272</v>
      </c>
      <c r="N6409" s="50">
        <v>44348</v>
      </c>
      <c r="O6409" s="22" t="s">
        <v>163</v>
      </c>
      <c r="P6409" s="52">
        <v>5000</v>
      </c>
      <c r="Q6409" s="70">
        <v>5</v>
      </c>
      <c r="R6409" s="52">
        <f t="shared" si="189"/>
        <v>25000</v>
      </c>
      <c r="S6409" s="47">
        <v>202304</v>
      </c>
      <c r="T6409" s="123" t="s">
        <v>8276</v>
      </c>
      <c r="U6409" s="97"/>
      <c r="V6409" s="453"/>
      <c r="W6409" s="97"/>
      <c r="X6409" s="50">
        <v>44774</v>
      </c>
      <c r="Y6409" s="50">
        <v>45077</v>
      </c>
    </row>
    <row r="6410" s="5" customFormat="1" customHeight="1" spans="1:25">
      <c r="A6410" s="24" t="s">
        <v>109</v>
      </c>
      <c r="B6410" s="22" t="s">
        <v>7422</v>
      </c>
      <c r="C6410" s="22" t="s">
        <v>3951</v>
      </c>
      <c r="D6410" s="22" t="s">
        <v>28</v>
      </c>
      <c r="E6410" s="23" t="s">
        <v>8245</v>
      </c>
      <c r="F6410" s="24" t="s">
        <v>8246</v>
      </c>
      <c r="G6410" s="24" t="s">
        <v>88</v>
      </c>
      <c r="H6410" s="25" t="s">
        <v>8270</v>
      </c>
      <c r="I6410" s="46" t="e">
        <f>VLOOKUP(H6410,'合同高级查询数据-4月返'!A:A,1,FALSE)</f>
        <v>#N/A</v>
      </c>
      <c r="J6410" s="47" t="s">
        <v>162</v>
      </c>
      <c r="K6410" s="24" t="s">
        <v>3951</v>
      </c>
      <c r="L6410" s="109" t="s">
        <v>8271</v>
      </c>
      <c r="M6410" s="49" t="s">
        <v>8272</v>
      </c>
      <c r="N6410" s="50">
        <v>44783</v>
      </c>
      <c r="O6410" s="22" t="s">
        <v>163</v>
      </c>
      <c r="P6410" s="52">
        <v>5000</v>
      </c>
      <c r="Q6410" s="70">
        <v>-3</v>
      </c>
      <c r="R6410" s="52">
        <f t="shared" si="189"/>
        <v>-15000</v>
      </c>
      <c r="S6410" s="47">
        <v>202304</v>
      </c>
      <c r="T6410" s="123" t="s">
        <v>8277</v>
      </c>
      <c r="U6410" s="97"/>
      <c r="V6410" s="453"/>
      <c r="W6410" s="97"/>
      <c r="X6410" s="50">
        <v>44774</v>
      </c>
      <c r="Y6410" s="50">
        <v>45077</v>
      </c>
    </row>
    <row r="6411" s="5" customFormat="1" customHeight="1" spans="1:25">
      <c r="A6411" s="21" t="s">
        <v>25</v>
      </c>
      <c r="B6411" s="22" t="s">
        <v>7422</v>
      </c>
      <c r="C6411" s="22" t="s">
        <v>6083</v>
      </c>
      <c r="D6411" s="22" t="s">
        <v>7585</v>
      </c>
      <c r="E6411" s="23" t="s">
        <v>8278</v>
      </c>
      <c r="F6411" s="24" t="s">
        <v>8279</v>
      </c>
      <c r="G6411" s="24" t="s">
        <v>31</v>
      </c>
      <c r="H6411" s="25" t="s">
        <v>8280</v>
      </c>
      <c r="I6411" s="46" t="e">
        <f>VLOOKUP(H6411,'合同高级查询数据-4月返'!A:A,1,FALSE)</f>
        <v>#N/A</v>
      </c>
      <c r="J6411" s="47" t="s">
        <v>33</v>
      </c>
      <c r="K6411" s="24" t="s">
        <v>6093</v>
      </c>
      <c r="L6411" s="109" t="s">
        <v>8281</v>
      </c>
      <c r="M6411" s="49" t="s">
        <v>8282</v>
      </c>
      <c r="N6411" s="50">
        <v>44228</v>
      </c>
      <c r="O6411" s="22" t="s">
        <v>37</v>
      </c>
      <c r="P6411" s="52">
        <v>0</v>
      </c>
      <c r="Q6411" s="70">
        <v>224</v>
      </c>
      <c r="R6411" s="52">
        <f t="shared" si="189"/>
        <v>0</v>
      </c>
      <c r="S6411" s="47">
        <v>202304</v>
      </c>
      <c r="T6411" s="123" t="s">
        <v>8283</v>
      </c>
      <c r="U6411" s="22"/>
      <c r="V6411" s="72"/>
      <c r="W6411" s="72"/>
      <c r="X6411" s="50">
        <v>44896</v>
      </c>
      <c r="Y6411" s="50">
        <v>45260</v>
      </c>
    </row>
    <row r="6412" s="5" customFormat="1" customHeight="1" spans="1:25">
      <c r="A6412" s="21" t="s">
        <v>25</v>
      </c>
      <c r="B6412" s="22" t="s">
        <v>7422</v>
      </c>
      <c r="C6412" s="22" t="s">
        <v>6083</v>
      </c>
      <c r="D6412" s="22" t="s">
        <v>7585</v>
      </c>
      <c r="E6412" s="23" t="s">
        <v>8278</v>
      </c>
      <c r="F6412" s="24" t="s">
        <v>8279</v>
      </c>
      <c r="G6412" s="24" t="s">
        <v>31</v>
      </c>
      <c r="H6412" s="25" t="s">
        <v>8280</v>
      </c>
      <c r="I6412" s="46" t="e">
        <f>VLOOKUP(H6412,'合同高级查询数据-4月返'!A:A,1,FALSE)</f>
        <v>#N/A</v>
      </c>
      <c r="J6412" s="47" t="s">
        <v>33</v>
      </c>
      <c r="K6412" s="24" t="s">
        <v>6093</v>
      </c>
      <c r="L6412" s="109" t="s">
        <v>8281</v>
      </c>
      <c r="M6412" s="49" t="s">
        <v>8282</v>
      </c>
      <c r="N6412" s="50">
        <v>44228</v>
      </c>
      <c r="O6412" s="22" t="s">
        <v>37</v>
      </c>
      <c r="P6412" s="52">
        <v>20</v>
      </c>
      <c r="Q6412" s="70">
        <v>64</v>
      </c>
      <c r="R6412" s="52">
        <f t="shared" si="189"/>
        <v>1280</v>
      </c>
      <c r="S6412" s="47">
        <v>202304</v>
      </c>
      <c r="T6412" s="123" t="s">
        <v>8284</v>
      </c>
      <c r="U6412" s="22"/>
      <c r="V6412" s="72"/>
      <c r="W6412" s="72"/>
      <c r="X6412" s="50">
        <v>44896</v>
      </c>
      <c r="Y6412" s="50">
        <v>45260</v>
      </c>
    </row>
    <row r="6413" s="5" customFormat="1" customHeight="1" spans="1:25">
      <c r="A6413" s="21" t="s">
        <v>25</v>
      </c>
      <c r="B6413" s="22" t="s">
        <v>7422</v>
      </c>
      <c r="C6413" s="22" t="s">
        <v>6083</v>
      </c>
      <c r="D6413" s="22" t="s">
        <v>7585</v>
      </c>
      <c r="E6413" s="23" t="s">
        <v>8278</v>
      </c>
      <c r="F6413" s="24" t="s">
        <v>8279</v>
      </c>
      <c r="G6413" s="24" t="s">
        <v>31</v>
      </c>
      <c r="H6413" s="25" t="s">
        <v>8280</v>
      </c>
      <c r="I6413" s="46" t="e">
        <f>VLOOKUP(H6413,'合同高级查询数据-4月返'!A:A,1,FALSE)</f>
        <v>#N/A</v>
      </c>
      <c r="J6413" s="47" t="s">
        <v>33</v>
      </c>
      <c r="K6413" s="24" t="s">
        <v>6093</v>
      </c>
      <c r="L6413" s="109" t="s">
        <v>8281</v>
      </c>
      <c r="M6413" s="49" t="s">
        <v>8282</v>
      </c>
      <c r="N6413" s="50">
        <v>44541</v>
      </c>
      <c r="O6413" s="22" t="s">
        <v>37</v>
      </c>
      <c r="P6413" s="52">
        <v>20</v>
      </c>
      <c r="Q6413" s="70">
        <v>256</v>
      </c>
      <c r="R6413" s="52">
        <f t="shared" si="189"/>
        <v>5120</v>
      </c>
      <c r="S6413" s="47">
        <v>202304</v>
      </c>
      <c r="T6413" s="123" t="s">
        <v>8285</v>
      </c>
      <c r="U6413" s="22"/>
      <c r="V6413" s="72"/>
      <c r="W6413" s="72"/>
      <c r="X6413" s="50">
        <v>44896</v>
      </c>
      <c r="Y6413" s="50">
        <v>45260</v>
      </c>
    </row>
    <row r="6414" s="5" customFormat="1" customHeight="1" spans="1:25">
      <c r="A6414" s="21" t="s">
        <v>25</v>
      </c>
      <c r="B6414" s="22" t="s">
        <v>7422</v>
      </c>
      <c r="C6414" s="22" t="s">
        <v>6083</v>
      </c>
      <c r="D6414" s="22" t="s">
        <v>7585</v>
      </c>
      <c r="E6414" s="23" t="s">
        <v>8278</v>
      </c>
      <c r="F6414" s="24" t="s">
        <v>8279</v>
      </c>
      <c r="G6414" s="24" t="s">
        <v>31</v>
      </c>
      <c r="H6414" s="25" t="s">
        <v>8280</v>
      </c>
      <c r="I6414" s="46" t="e">
        <f>VLOOKUP(H6414,'合同高级查询数据-4月返'!A:A,1,FALSE)</f>
        <v>#N/A</v>
      </c>
      <c r="J6414" s="47" t="s">
        <v>33</v>
      </c>
      <c r="K6414" s="24" t="s">
        <v>6093</v>
      </c>
      <c r="L6414" s="109" t="s">
        <v>8281</v>
      </c>
      <c r="M6414" s="49" t="s">
        <v>8282</v>
      </c>
      <c r="N6414" s="50"/>
      <c r="O6414" s="22" t="s">
        <v>179</v>
      </c>
      <c r="P6414" s="52">
        <v>0</v>
      </c>
      <c r="Q6414" s="70">
        <v>0</v>
      </c>
      <c r="R6414" s="52">
        <f t="shared" si="189"/>
        <v>0</v>
      </c>
      <c r="S6414" s="47">
        <v>202304</v>
      </c>
      <c r="T6414" s="123" t="s">
        <v>8286</v>
      </c>
      <c r="U6414" s="22"/>
      <c r="V6414" s="72"/>
      <c r="W6414" s="72"/>
      <c r="X6414" s="50">
        <v>44896</v>
      </c>
      <c r="Y6414" s="50">
        <v>45260</v>
      </c>
    </row>
    <row r="6415" s="5" customFormat="1" customHeight="1" spans="1:25">
      <c r="A6415" s="21" t="s">
        <v>25</v>
      </c>
      <c r="B6415" s="22" t="s">
        <v>7422</v>
      </c>
      <c r="C6415" s="22" t="s">
        <v>6083</v>
      </c>
      <c r="D6415" s="22" t="s">
        <v>7585</v>
      </c>
      <c r="E6415" s="23" t="s">
        <v>8278</v>
      </c>
      <c r="F6415" s="24" t="s">
        <v>8279</v>
      </c>
      <c r="G6415" s="24" t="s">
        <v>88</v>
      </c>
      <c r="H6415" s="25" t="s">
        <v>8280</v>
      </c>
      <c r="I6415" s="46" t="e">
        <f>VLOOKUP(H6415,'合同高级查询数据-4月返'!A:A,1,FALSE)</f>
        <v>#N/A</v>
      </c>
      <c r="J6415" s="47" t="s">
        <v>162</v>
      </c>
      <c r="K6415" s="24" t="s">
        <v>6093</v>
      </c>
      <c r="L6415" s="109" t="s">
        <v>8281</v>
      </c>
      <c r="M6415" s="49" t="s">
        <v>8282</v>
      </c>
      <c r="N6415" s="50">
        <v>44228</v>
      </c>
      <c r="O6415" s="22" t="s">
        <v>163</v>
      </c>
      <c r="P6415" s="52">
        <v>4000</v>
      </c>
      <c r="Q6415" s="70">
        <v>4</v>
      </c>
      <c r="R6415" s="52">
        <f t="shared" si="189"/>
        <v>16000</v>
      </c>
      <c r="S6415" s="47">
        <v>202304</v>
      </c>
      <c r="T6415" s="123" t="s">
        <v>8287</v>
      </c>
      <c r="U6415" s="22"/>
      <c r="V6415" s="72"/>
      <c r="W6415" s="72"/>
      <c r="X6415" s="50">
        <v>44896</v>
      </c>
      <c r="Y6415" s="50">
        <v>45260</v>
      </c>
    </row>
    <row r="6416" s="5" customFormat="1" customHeight="1" spans="1:25">
      <c r="A6416" s="21" t="s">
        <v>25</v>
      </c>
      <c r="B6416" s="22" t="s">
        <v>7422</v>
      </c>
      <c r="C6416" s="22" t="s">
        <v>6083</v>
      </c>
      <c r="D6416" s="22" t="s">
        <v>7585</v>
      </c>
      <c r="E6416" s="23" t="s">
        <v>8278</v>
      </c>
      <c r="F6416" s="24" t="s">
        <v>8279</v>
      </c>
      <c r="G6416" s="24" t="s">
        <v>88</v>
      </c>
      <c r="H6416" s="25" t="s">
        <v>8280</v>
      </c>
      <c r="I6416" s="46" t="e">
        <f>VLOOKUP(H6416,'合同高级查询数据-4月返'!A:A,1,FALSE)</f>
        <v>#N/A</v>
      </c>
      <c r="J6416" s="47" t="s">
        <v>162</v>
      </c>
      <c r="K6416" s="24" t="s">
        <v>6093</v>
      </c>
      <c r="L6416" s="109" t="s">
        <v>8281</v>
      </c>
      <c r="M6416" s="49" t="s">
        <v>8282</v>
      </c>
      <c r="N6416" s="50">
        <v>44317</v>
      </c>
      <c r="O6416" s="22" t="s">
        <v>163</v>
      </c>
      <c r="P6416" s="52">
        <v>4000</v>
      </c>
      <c r="Q6416" s="70">
        <v>2</v>
      </c>
      <c r="R6416" s="52">
        <f t="shared" si="189"/>
        <v>8000</v>
      </c>
      <c r="S6416" s="47">
        <v>202304</v>
      </c>
      <c r="T6416" s="123" t="s">
        <v>8288</v>
      </c>
      <c r="U6416" s="22"/>
      <c r="V6416" s="72"/>
      <c r="W6416" s="72"/>
      <c r="X6416" s="50">
        <v>44896</v>
      </c>
      <c r="Y6416" s="50">
        <v>45260</v>
      </c>
    </row>
    <row r="6417" s="5" customFormat="1" customHeight="1" spans="1:25">
      <c r="A6417" s="21" t="s">
        <v>25</v>
      </c>
      <c r="B6417" s="22" t="s">
        <v>7422</v>
      </c>
      <c r="C6417" s="22" t="s">
        <v>6083</v>
      </c>
      <c r="D6417" s="22" t="s">
        <v>7585</v>
      </c>
      <c r="E6417" s="23" t="s">
        <v>8278</v>
      </c>
      <c r="F6417" s="24" t="s">
        <v>8279</v>
      </c>
      <c r="G6417" s="24" t="s">
        <v>88</v>
      </c>
      <c r="H6417" s="25" t="s">
        <v>8280</v>
      </c>
      <c r="I6417" s="46" t="e">
        <f>VLOOKUP(H6417,'合同高级查询数据-4月返'!A:A,1,FALSE)</f>
        <v>#N/A</v>
      </c>
      <c r="J6417" s="47" t="s">
        <v>162</v>
      </c>
      <c r="K6417" s="24" t="s">
        <v>6093</v>
      </c>
      <c r="L6417" s="109" t="s">
        <v>8281</v>
      </c>
      <c r="M6417" s="49" t="s">
        <v>8282</v>
      </c>
      <c r="N6417" s="50">
        <v>44548</v>
      </c>
      <c r="O6417" s="22" t="s">
        <v>163</v>
      </c>
      <c r="P6417" s="52">
        <v>4000</v>
      </c>
      <c r="Q6417" s="70">
        <v>2</v>
      </c>
      <c r="R6417" s="52">
        <f t="shared" si="189"/>
        <v>8000</v>
      </c>
      <c r="S6417" s="47">
        <v>202304</v>
      </c>
      <c r="T6417" s="123" t="s">
        <v>8289</v>
      </c>
      <c r="U6417" s="22"/>
      <c r="V6417" s="72"/>
      <c r="W6417" s="72"/>
      <c r="X6417" s="50">
        <v>44896</v>
      </c>
      <c r="Y6417" s="50">
        <v>45260</v>
      </c>
    </row>
    <row r="6418" s="5" customFormat="1" customHeight="1" spans="1:25">
      <c r="A6418" s="21" t="s">
        <v>25</v>
      </c>
      <c r="B6418" s="22" t="s">
        <v>7422</v>
      </c>
      <c r="C6418" s="22" t="s">
        <v>6083</v>
      </c>
      <c r="D6418" s="22" t="s">
        <v>7585</v>
      </c>
      <c r="E6418" s="23" t="s">
        <v>8278</v>
      </c>
      <c r="F6418" s="24" t="s">
        <v>8279</v>
      </c>
      <c r="G6418" s="24" t="s">
        <v>88</v>
      </c>
      <c r="H6418" s="25" t="s">
        <v>8280</v>
      </c>
      <c r="I6418" s="46" t="e">
        <f>VLOOKUP(H6418,'合同高级查询数据-4月返'!A:A,1,FALSE)</f>
        <v>#N/A</v>
      </c>
      <c r="J6418" s="47" t="s">
        <v>162</v>
      </c>
      <c r="K6418" s="24" t="s">
        <v>6093</v>
      </c>
      <c r="L6418" s="109" t="s">
        <v>8281</v>
      </c>
      <c r="M6418" s="49" t="s">
        <v>8282</v>
      </c>
      <c r="N6418" s="50">
        <v>44541</v>
      </c>
      <c r="O6418" s="22" t="s">
        <v>163</v>
      </c>
      <c r="P6418" s="52">
        <v>4000</v>
      </c>
      <c r="Q6418" s="70">
        <v>2</v>
      </c>
      <c r="R6418" s="52">
        <f t="shared" si="189"/>
        <v>8000</v>
      </c>
      <c r="S6418" s="47">
        <v>202304</v>
      </c>
      <c r="T6418" s="123" t="s">
        <v>8290</v>
      </c>
      <c r="U6418" s="22"/>
      <c r="V6418" s="72"/>
      <c r="W6418" s="72"/>
      <c r="X6418" s="50">
        <v>44896</v>
      </c>
      <c r="Y6418" s="50">
        <v>45260</v>
      </c>
    </row>
    <row r="6419" s="5" customFormat="1" customHeight="1" spans="1:25">
      <c r="A6419" s="21" t="s">
        <v>25</v>
      </c>
      <c r="B6419" s="22" t="s">
        <v>7422</v>
      </c>
      <c r="C6419" s="22" t="s">
        <v>6083</v>
      </c>
      <c r="D6419" s="22" t="s">
        <v>7585</v>
      </c>
      <c r="E6419" s="23" t="s">
        <v>8278</v>
      </c>
      <c r="F6419" s="24" t="s">
        <v>8279</v>
      </c>
      <c r="G6419" s="24" t="s">
        <v>88</v>
      </c>
      <c r="H6419" s="25" t="s">
        <v>8280</v>
      </c>
      <c r="I6419" s="46" t="e">
        <f>VLOOKUP(H6419,'合同高级查询数据-4月返'!A:A,1,FALSE)</f>
        <v>#N/A</v>
      </c>
      <c r="J6419" s="47" t="s">
        <v>162</v>
      </c>
      <c r="K6419" s="24" t="s">
        <v>6093</v>
      </c>
      <c r="L6419" s="109" t="s">
        <v>8281</v>
      </c>
      <c r="M6419" s="49" t="s">
        <v>8282</v>
      </c>
      <c r="N6419" s="50">
        <v>44742</v>
      </c>
      <c r="O6419" s="22" t="s">
        <v>163</v>
      </c>
      <c r="P6419" s="52">
        <v>4000</v>
      </c>
      <c r="Q6419" s="70">
        <v>-2</v>
      </c>
      <c r="R6419" s="52">
        <f t="shared" si="189"/>
        <v>-8000</v>
      </c>
      <c r="S6419" s="47">
        <v>202304</v>
      </c>
      <c r="T6419" s="123" t="s">
        <v>8291</v>
      </c>
      <c r="U6419" s="22"/>
      <c r="V6419" s="72"/>
      <c r="W6419" s="72"/>
      <c r="X6419" s="50">
        <v>44896</v>
      </c>
      <c r="Y6419" s="50">
        <v>45260</v>
      </c>
    </row>
    <row r="6420" s="5" customFormat="1" customHeight="1" spans="1:25">
      <c r="A6420" s="21" t="s">
        <v>25</v>
      </c>
      <c r="B6420" s="22" t="s">
        <v>7422</v>
      </c>
      <c r="C6420" s="22" t="s">
        <v>330</v>
      </c>
      <c r="D6420" s="22" t="s">
        <v>7585</v>
      </c>
      <c r="E6420" s="23" t="s">
        <v>8278</v>
      </c>
      <c r="F6420" s="24" t="s">
        <v>8279</v>
      </c>
      <c r="G6420" s="24" t="s">
        <v>31</v>
      </c>
      <c r="H6420" s="25" t="s">
        <v>8292</v>
      </c>
      <c r="I6420" s="46" t="e">
        <f>VLOOKUP(H6420,'合同高级查询数据-4月返'!A:A,1,FALSE)</f>
        <v>#N/A</v>
      </c>
      <c r="J6420" s="47" t="s">
        <v>33</v>
      </c>
      <c r="K6420" s="24" t="s">
        <v>5084</v>
      </c>
      <c r="L6420" s="109" t="s">
        <v>8293</v>
      </c>
      <c r="M6420" s="49" t="s">
        <v>8294</v>
      </c>
      <c r="N6420" s="50">
        <v>44501</v>
      </c>
      <c r="O6420" s="22" t="s">
        <v>37</v>
      </c>
      <c r="P6420" s="52">
        <v>0</v>
      </c>
      <c r="Q6420" s="70">
        <v>160</v>
      </c>
      <c r="R6420" s="52">
        <f t="shared" si="189"/>
        <v>0</v>
      </c>
      <c r="S6420" s="47">
        <v>202304</v>
      </c>
      <c r="T6420" s="123" t="s">
        <v>8295</v>
      </c>
      <c r="U6420" s="22"/>
      <c r="V6420" s="72"/>
      <c r="W6420" s="72"/>
      <c r="X6420" s="50">
        <v>44927</v>
      </c>
      <c r="Y6420" s="471">
        <v>45291</v>
      </c>
    </row>
    <row r="6421" s="5" customFormat="1" customHeight="1" spans="1:25">
      <c r="A6421" s="21" t="s">
        <v>25</v>
      </c>
      <c r="B6421" s="22" t="s">
        <v>7422</v>
      </c>
      <c r="C6421" s="22" t="s">
        <v>330</v>
      </c>
      <c r="D6421" s="22" t="s">
        <v>7585</v>
      </c>
      <c r="E6421" s="23" t="s">
        <v>8278</v>
      </c>
      <c r="F6421" s="24" t="s">
        <v>8279</v>
      </c>
      <c r="G6421" s="24" t="s">
        <v>31</v>
      </c>
      <c r="H6421" s="25" t="s">
        <v>8292</v>
      </c>
      <c r="I6421" s="46" t="e">
        <f>VLOOKUP(H6421,'合同高级查询数据-4月返'!A:A,1,FALSE)</f>
        <v>#N/A</v>
      </c>
      <c r="J6421" s="47" t="s">
        <v>33</v>
      </c>
      <c r="K6421" s="24" t="s">
        <v>5084</v>
      </c>
      <c r="L6421" s="109" t="s">
        <v>8293</v>
      </c>
      <c r="M6421" s="49" t="s">
        <v>8294</v>
      </c>
      <c r="N6421" s="50">
        <v>44501</v>
      </c>
      <c r="O6421" s="22" t="s">
        <v>37</v>
      </c>
      <c r="P6421" s="52">
        <v>50</v>
      </c>
      <c r="Q6421" s="70">
        <v>128</v>
      </c>
      <c r="R6421" s="52">
        <f t="shared" si="189"/>
        <v>6400</v>
      </c>
      <c r="S6421" s="47">
        <v>202304</v>
      </c>
      <c r="T6421" s="123" t="s">
        <v>8295</v>
      </c>
      <c r="U6421" s="22"/>
      <c r="V6421" s="72"/>
      <c r="W6421" s="72"/>
      <c r="X6421" s="50">
        <v>44927</v>
      </c>
      <c r="Y6421" s="471">
        <v>45291</v>
      </c>
    </row>
    <row r="6422" s="5" customFormat="1" customHeight="1" spans="1:25">
      <c r="A6422" s="21" t="s">
        <v>25</v>
      </c>
      <c r="B6422" s="22" t="s">
        <v>7422</v>
      </c>
      <c r="C6422" s="22" t="s">
        <v>330</v>
      </c>
      <c r="D6422" s="22" t="s">
        <v>7585</v>
      </c>
      <c r="E6422" s="23" t="s">
        <v>8278</v>
      </c>
      <c r="F6422" s="24" t="s">
        <v>8279</v>
      </c>
      <c r="G6422" s="24" t="s">
        <v>31</v>
      </c>
      <c r="H6422" s="25" t="s">
        <v>8292</v>
      </c>
      <c r="I6422" s="46" t="e">
        <f>VLOOKUP(H6422,'合同高级查询数据-4月返'!A:A,1,FALSE)</f>
        <v>#N/A</v>
      </c>
      <c r="J6422" s="47" t="s">
        <v>33</v>
      </c>
      <c r="K6422" s="24" t="s">
        <v>5084</v>
      </c>
      <c r="L6422" s="109" t="s">
        <v>8293</v>
      </c>
      <c r="M6422" s="49" t="s">
        <v>8294</v>
      </c>
      <c r="N6422" s="50">
        <v>44902</v>
      </c>
      <c r="O6422" s="22" t="s">
        <v>37</v>
      </c>
      <c r="P6422" s="52">
        <v>50</v>
      </c>
      <c r="Q6422" s="70">
        <v>-128</v>
      </c>
      <c r="R6422" s="52">
        <f t="shared" si="189"/>
        <v>-6400</v>
      </c>
      <c r="S6422" s="47">
        <v>202304</v>
      </c>
      <c r="T6422" s="123" t="s">
        <v>8296</v>
      </c>
      <c r="U6422" s="22"/>
      <c r="V6422" s="72"/>
      <c r="W6422" s="72"/>
      <c r="X6422" s="50">
        <v>44927</v>
      </c>
      <c r="Y6422" s="471">
        <v>45291</v>
      </c>
    </row>
    <row r="6423" s="5" customFormat="1" customHeight="1" spans="1:25">
      <c r="A6423" s="21" t="s">
        <v>25</v>
      </c>
      <c r="B6423" s="22" t="s">
        <v>7422</v>
      </c>
      <c r="C6423" s="22" t="s">
        <v>330</v>
      </c>
      <c r="D6423" s="22" t="s">
        <v>7585</v>
      </c>
      <c r="E6423" s="23" t="s">
        <v>8278</v>
      </c>
      <c r="F6423" s="24" t="s">
        <v>8279</v>
      </c>
      <c r="G6423" s="24" t="s">
        <v>31</v>
      </c>
      <c r="H6423" s="25" t="s">
        <v>8292</v>
      </c>
      <c r="I6423" s="46" t="e">
        <f>VLOOKUP(H6423,'合同高级查询数据-4月返'!A:A,1,FALSE)</f>
        <v>#N/A</v>
      </c>
      <c r="J6423" s="47" t="s">
        <v>33</v>
      </c>
      <c r="K6423" s="24" t="s">
        <v>5084</v>
      </c>
      <c r="L6423" s="109" t="s">
        <v>8293</v>
      </c>
      <c r="M6423" s="49" t="s">
        <v>8294</v>
      </c>
      <c r="N6423" s="50"/>
      <c r="O6423" s="22" t="s">
        <v>179</v>
      </c>
      <c r="P6423" s="52">
        <v>0</v>
      </c>
      <c r="Q6423" s="52">
        <v>0</v>
      </c>
      <c r="R6423" s="52">
        <f t="shared" si="189"/>
        <v>0</v>
      </c>
      <c r="S6423" s="47">
        <v>202304</v>
      </c>
      <c r="T6423" s="123" t="s">
        <v>8297</v>
      </c>
      <c r="U6423" s="22"/>
      <c r="V6423" s="72"/>
      <c r="W6423" s="72"/>
      <c r="X6423" s="50">
        <v>44927</v>
      </c>
      <c r="Y6423" s="471">
        <v>45291</v>
      </c>
    </row>
    <row r="6424" s="5" customFormat="1" customHeight="1" spans="1:25">
      <c r="A6424" s="21" t="s">
        <v>25</v>
      </c>
      <c r="B6424" s="22" t="s">
        <v>7422</v>
      </c>
      <c r="C6424" s="22" t="s">
        <v>330</v>
      </c>
      <c r="D6424" s="22" t="s">
        <v>7585</v>
      </c>
      <c r="E6424" s="23" t="s">
        <v>8278</v>
      </c>
      <c r="F6424" s="24" t="s">
        <v>8279</v>
      </c>
      <c r="G6424" s="24" t="s">
        <v>88</v>
      </c>
      <c r="H6424" s="25" t="s">
        <v>8292</v>
      </c>
      <c r="I6424" s="46" t="e">
        <f>VLOOKUP(H6424,'合同高级查询数据-4月返'!A:A,1,FALSE)</f>
        <v>#N/A</v>
      </c>
      <c r="J6424" s="47" t="s">
        <v>162</v>
      </c>
      <c r="K6424" s="24" t="s">
        <v>5084</v>
      </c>
      <c r="L6424" s="109" t="s">
        <v>8293</v>
      </c>
      <c r="M6424" s="49" t="s">
        <v>8294</v>
      </c>
      <c r="N6424" s="50">
        <v>44501</v>
      </c>
      <c r="O6424" s="22" t="s">
        <v>163</v>
      </c>
      <c r="P6424" s="52">
        <v>4000</v>
      </c>
      <c r="Q6424" s="70">
        <v>3</v>
      </c>
      <c r="R6424" s="52">
        <f t="shared" si="189"/>
        <v>12000</v>
      </c>
      <c r="S6424" s="47">
        <v>202304</v>
      </c>
      <c r="T6424" s="123" t="s">
        <v>8298</v>
      </c>
      <c r="U6424" s="22"/>
      <c r="V6424" s="72"/>
      <c r="W6424" s="72"/>
      <c r="X6424" s="50">
        <v>44927</v>
      </c>
      <c r="Y6424" s="471">
        <v>45291</v>
      </c>
    </row>
    <row r="6425" s="5" customFormat="1" customHeight="1" spans="1:25">
      <c r="A6425" s="21" t="s">
        <v>25</v>
      </c>
      <c r="B6425" s="22" t="s">
        <v>7422</v>
      </c>
      <c r="C6425" s="22" t="s">
        <v>330</v>
      </c>
      <c r="D6425" s="22" t="s">
        <v>7585</v>
      </c>
      <c r="E6425" s="23" t="s">
        <v>8278</v>
      </c>
      <c r="F6425" s="24" t="s">
        <v>8279</v>
      </c>
      <c r="G6425" s="24" t="s">
        <v>88</v>
      </c>
      <c r="H6425" s="25" t="s">
        <v>8292</v>
      </c>
      <c r="I6425" s="46" t="e">
        <f>VLOOKUP(H6425,'合同高级查询数据-4月返'!A:A,1,FALSE)</f>
        <v>#N/A</v>
      </c>
      <c r="J6425" s="47" t="s">
        <v>162</v>
      </c>
      <c r="K6425" s="24" t="s">
        <v>5084</v>
      </c>
      <c r="L6425" s="109" t="s">
        <v>8293</v>
      </c>
      <c r="M6425" s="49" t="s">
        <v>8294</v>
      </c>
      <c r="N6425" s="50">
        <v>44925</v>
      </c>
      <c r="O6425" s="22" t="s">
        <v>163</v>
      </c>
      <c r="P6425" s="52">
        <v>4000</v>
      </c>
      <c r="Q6425" s="70">
        <v>2</v>
      </c>
      <c r="R6425" s="52">
        <f t="shared" si="189"/>
        <v>8000</v>
      </c>
      <c r="S6425" s="47">
        <v>202304</v>
      </c>
      <c r="T6425" s="123" t="s">
        <v>8299</v>
      </c>
      <c r="U6425" s="22"/>
      <c r="V6425" s="72"/>
      <c r="W6425" s="72"/>
      <c r="X6425" s="50">
        <v>44927</v>
      </c>
      <c r="Y6425" s="50">
        <v>45291</v>
      </c>
    </row>
    <row r="6426" s="5" customFormat="1" customHeight="1" spans="1:25">
      <c r="A6426" s="24" t="s">
        <v>152</v>
      </c>
      <c r="B6426" s="22" t="s">
        <v>7422</v>
      </c>
      <c r="C6426" s="22" t="s">
        <v>216</v>
      </c>
      <c r="D6426" s="22" t="s">
        <v>7585</v>
      </c>
      <c r="E6426" s="23" t="s">
        <v>8278</v>
      </c>
      <c r="F6426" s="24" t="s">
        <v>8279</v>
      </c>
      <c r="G6426" s="24" t="s">
        <v>31</v>
      </c>
      <c r="H6426" s="25" t="s">
        <v>8300</v>
      </c>
      <c r="I6426" s="46" t="e">
        <f>VLOOKUP(H6426,'合同高级查询数据-4月返'!A:A,1,FALSE)</f>
        <v>#N/A</v>
      </c>
      <c r="J6426" s="47" t="s">
        <v>33</v>
      </c>
      <c r="K6426" s="24" t="s">
        <v>8301</v>
      </c>
      <c r="L6426" s="109" t="s">
        <v>8302</v>
      </c>
      <c r="M6426" s="49" t="s">
        <v>8303</v>
      </c>
      <c r="N6426" s="50">
        <v>44470</v>
      </c>
      <c r="O6426" s="22" t="s">
        <v>37</v>
      </c>
      <c r="P6426" s="52">
        <v>0</v>
      </c>
      <c r="Q6426" s="70">
        <v>256</v>
      </c>
      <c r="R6426" s="52">
        <f t="shared" si="189"/>
        <v>0</v>
      </c>
      <c r="S6426" s="47">
        <v>202304</v>
      </c>
      <c r="T6426" s="123" t="s">
        <v>8304</v>
      </c>
      <c r="U6426" s="22"/>
      <c r="V6426" s="72"/>
      <c r="W6426" s="72"/>
      <c r="X6426" s="50">
        <v>44713</v>
      </c>
      <c r="Y6426" s="50">
        <v>45077</v>
      </c>
    </row>
    <row r="6427" s="5" customFormat="1" customHeight="1" spans="1:25">
      <c r="A6427" s="24" t="s">
        <v>152</v>
      </c>
      <c r="B6427" s="22" t="s">
        <v>7422</v>
      </c>
      <c r="C6427" s="22" t="s">
        <v>216</v>
      </c>
      <c r="D6427" s="22" t="s">
        <v>7585</v>
      </c>
      <c r="E6427" s="23" t="s">
        <v>8278</v>
      </c>
      <c r="F6427" s="24" t="s">
        <v>8279</v>
      </c>
      <c r="G6427" s="24" t="s">
        <v>31</v>
      </c>
      <c r="H6427" s="25" t="s">
        <v>8300</v>
      </c>
      <c r="I6427" s="46" t="e">
        <f>VLOOKUP(H6427,'合同高级查询数据-4月返'!A:A,1,FALSE)</f>
        <v>#N/A</v>
      </c>
      <c r="J6427" s="47" t="s">
        <v>33</v>
      </c>
      <c r="K6427" s="24" t="s">
        <v>8301</v>
      </c>
      <c r="L6427" s="109" t="s">
        <v>8302</v>
      </c>
      <c r="M6427" s="49" t="s">
        <v>8303</v>
      </c>
      <c r="N6427" s="50">
        <v>44470</v>
      </c>
      <c r="O6427" s="22" t="s">
        <v>37</v>
      </c>
      <c r="P6427" s="52">
        <v>30</v>
      </c>
      <c r="Q6427" s="70">
        <v>32</v>
      </c>
      <c r="R6427" s="52">
        <f t="shared" si="189"/>
        <v>960</v>
      </c>
      <c r="S6427" s="47">
        <v>202304</v>
      </c>
      <c r="T6427" s="123" t="s">
        <v>8304</v>
      </c>
      <c r="U6427" s="22"/>
      <c r="V6427" s="72"/>
      <c r="W6427" s="72"/>
      <c r="X6427" s="50">
        <v>44713</v>
      </c>
      <c r="Y6427" s="50">
        <v>45077</v>
      </c>
    </row>
    <row r="6428" s="5" customFormat="1" customHeight="1" spans="1:25">
      <c r="A6428" s="24" t="s">
        <v>152</v>
      </c>
      <c r="B6428" s="22" t="s">
        <v>7422</v>
      </c>
      <c r="C6428" s="22" t="s">
        <v>216</v>
      </c>
      <c r="D6428" s="22" t="s">
        <v>7585</v>
      </c>
      <c r="E6428" s="23" t="s">
        <v>8278</v>
      </c>
      <c r="F6428" s="24" t="s">
        <v>8279</v>
      </c>
      <c r="G6428" s="24" t="s">
        <v>31</v>
      </c>
      <c r="H6428" s="25" t="s">
        <v>8300</v>
      </c>
      <c r="I6428" s="46" t="e">
        <f>VLOOKUP(H6428,'合同高级查询数据-4月返'!A:A,1,FALSE)</f>
        <v>#N/A</v>
      </c>
      <c r="J6428" s="47" t="s">
        <v>33</v>
      </c>
      <c r="K6428" s="24" t="s">
        <v>8301</v>
      </c>
      <c r="L6428" s="109" t="s">
        <v>8302</v>
      </c>
      <c r="M6428" s="49" t="s">
        <v>8303</v>
      </c>
      <c r="N6428" s="50">
        <v>44895</v>
      </c>
      <c r="O6428" s="22" t="s">
        <v>37</v>
      </c>
      <c r="P6428" s="52">
        <v>30</v>
      </c>
      <c r="Q6428" s="70">
        <v>-32</v>
      </c>
      <c r="R6428" s="52">
        <f t="shared" si="189"/>
        <v>-960</v>
      </c>
      <c r="S6428" s="47">
        <v>202304</v>
      </c>
      <c r="T6428" s="123" t="s">
        <v>8305</v>
      </c>
      <c r="U6428" s="22"/>
      <c r="V6428" s="72"/>
      <c r="W6428" s="72"/>
      <c r="X6428" s="50">
        <v>44713</v>
      </c>
      <c r="Y6428" s="50">
        <v>45077</v>
      </c>
    </row>
    <row r="6429" s="5" customFormat="1" customHeight="1" spans="1:25">
      <c r="A6429" s="24" t="s">
        <v>152</v>
      </c>
      <c r="B6429" s="22" t="s">
        <v>7422</v>
      </c>
      <c r="C6429" s="22" t="s">
        <v>216</v>
      </c>
      <c r="D6429" s="22" t="s">
        <v>7585</v>
      </c>
      <c r="E6429" s="23" t="s">
        <v>8278</v>
      </c>
      <c r="F6429" s="24" t="s">
        <v>8279</v>
      </c>
      <c r="G6429" s="24" t="s">
        <v>31</v>
      </c>
      <c r="H6429" s="25" t="s">
        <v>8300</v>
      </c>
      <c r="I6429" s="46" t="e">
        <f>VLOOKUP(H6429,'合同高级查询数据-4月返'!A:A,1,FALSE)</f>
        <v>#N/A</v>
      </c>
      <c r="J6429" s="47" t="s">
        <v>33</v>
      </c>
      <c r="K6429" s="24" t="s">
        <v>8301</v>
      </c>
      <c r="L6429" s="109" t="s">
        <v>8302</v>
      </c>
      <c r="M6429" s="49" t="s">
        <v>8303</v>
      </c>
      <c r="N6429" s="50">
        <v>44895</v>
      </c>
      <c r="O6429" s="22" t="s">
        <v>37</v>
      </c>
      <c r="P6429" s="52">
        <v>0</v>
      </c>
      <c r="Q6429" s="70">
        <v>-96</v>
      </c>
      <c r="R6429" s="52">
        <f t="shared" si="189"/>
        <v>0</v>
      </c>
      <c r="S6429" s="47">
        <v>202304</v>
      </c>
      <c r="T6429" s="123"/>
      <c r="U6429" s="22"/>
      <c r="V6429" s="72"/>
      <c r="W6429" s="72"/>
      <c r="X6429" s="50">
        <v>44713</v>
      </c>
      <c r="Y6429" s="50">
        <v>45077</v>
      </c>
    </row>
    <row r="6430" s="5" customFormat="1" customHeight="1" spans="1:25">
      <c r="A6430" s="24" t="s">
        <v>152</v>
      </c>
      <c r="B6430" s="22" t="s">
        <v>7422</v>
      </c>
      <c r="C6430" s="22" t="s">
        <v>216</v>
      </c>
      <c r="D6430" s="22" t="s">
        <v>7585</v>
      </c>
      <c r="E6430" s="23" t="s">
        <v>8278</v>
      </c>
      <c r="F6430" s="24" t="s">
        <v>8279</v>
      </c>
      <c r="G6430" s="24" t="s">
        <v>31</v>
      </c>
      <c r="H6430" s="25" t="s">
        <v>8300</v>
      </c>
      <c r="I6430" s="46" t="e">
        <f>VLOOKUP(H6430,'合同高级查询数据-4月返'!A:A,1,FALSE)</f>
        <v>#N/A</v>
      </c>
      <c r="J6430" s="47" t="s">
        <v>33</v>
      </c>
      <c r="K6430" s="24" t="s">
        <v>8301</v>
      </c>
      <c r="L6430" s="109" t="s">
        <v>8302</v>
      </c>
      <c r="M6430" s="49" t="s">
        <v>8303</v>
      </c>
      <c r="N6430" s="50"/>
      <c r="O6430" s="22" t="s">
        <v>179</v>
      </c>
      <c r="P6430" s="52">
        <v>0</v>
      </c>
      <c r="Q6430" s="52">
        <v>0</v>
      </c>
      <c r="R6430" s="52">
        <f t="shared" si="189"/>
        <v>0</v>
      </c>
      <c r="S6430" s="47">
        <v>202304</v>
      </c>
      <c r="T6430" s="123" t="s">
        <v>8297</v>
      </c>
      <c r="U6430" s="22"/>
      <c r="V6430" s="72"/>
      <c r="W6430" s="72"/>
      <c r="X6430" s="50">
        <v>44713</v>
      </c>
      <c r="Y6430" s="50">
        <v>45077</v>
      </c>
    </row>
    <row r="6431" s="5" customFormat="1" customHeight="1" spans="1:25">
      <c r="A6431" s="24" t="s">
        <v>152</v>
      </c>
      <c r="B6431" s="22" t="s">
        <v>7422</v>
      </c>
      <c r="C6431" s="22" t="s">
        <v>216</v>
      </c>
      <c r="D6431" s="22" t="s">
        <v>7585</v>
      </c>
      <c r="E6431" s="23" t="s">
        <v>8278</v>
      </c>
      <c r="F6431" s="24" t="s">
        <v>8279</v>
      </c>
      <c r="G6431" s="24" t="s">
        <v>88</v>
      </c>
      <c r="H6431" s="25" t="s">
        <v>8300</v>
      </c>
      <c r="I6431" s="46" t="e">
        <f>VLOOKUP(H6431,'合同高级查询数据-4月返'!A:A,1,FALSE)</f>
        <v>#N/A</v>
      </c>
      <c r="J6431" s="47" t="s">
        <v>162</v>
      </c>
      <c r="K6431" s="24" t="s">
        <v>8301</v>
      </c>
      <c r="L6431" s="109" t="s">
        <v>8302</v>
      </c>
      <c r="M6431" s="49" t="s">
        <v>8303</v>
      </c>
      <c r="N6431" s="50">
        <v>44470</v>
      </c>
      <c r="O6431" s="22" t="s">
        <v>163</v>
      </c>
      <c r="P6431" s="52">
        <v>4000</v>
      </c>
      <c r="Q6431" s="70">
        <v>2</v>
      </c>
      <c r="R6431" s="52">
        <f t="shared" si="189"/>
        <v>8000</v>
      </c>
      <c r="S6431" s="47">
        <v>202304</v>
      </c>
      <c r="T6431" s="123" t="s">
        <v>8306</v>
      </c>
      <c r="U6431" s="22"/>
      <c r="V6431" s="72"/>
      <c r="W6431" s="72"/>
      <c r="X6431" s="50">
        <v>44713</v>
      </c>
      <c r="Y6431" s="50">
        <v>45077</v>
      </c>
    </row>
    <row r="6432" s="3" customFormat="1" customHeight="1" spans="1:25">
      <c r="A6432" s="11" t="s">
        <v>152</v>
      </c>
      <c r="B6432" s="35" t="s">
        <v>7422</v>
      </c>
      <c r="C6432" s="35" t="s">
        <v>330</v>
      </c>
      <c r="D6432" s="35" t="s">
        <v>7585</v>
      </c>
      <c r="E6432" s="13" t="s">
        <v>8278</v>
      </c>
      <c r="F6432" s="11" t="s">
        <v>8279</v>
      </c>
      <c r="G6432" s="11" t="s">
        <v>31</v>
      </c>
      <c r="H6432" s="110" t="s">
        <v>8307</v>
      </c>
      <c r="I6432" s="30" t="e">
        <f>VLOOKUP(H6432,'合同高级查询数据-4月返'!A:A,1,FALSE)</f>
        <v>#N/A</v>
      </c>
      <c r="J6432" s="31" t="s">
        <v>33</v>
      </c>
      <c r="K6432" s="11" t="s">
        <v>5084</v>
      </c>
      <c r="L6432" s="32" t="s">
        <v>8308</v>
      </c>
      <c r="M6432" s="113" t="s">
        <v>8309</v>
      </c>
      <c r="N6432" s="34">
        <v>45017</v>
      </c>
      <c r="O6432" s="35" t="s">
        <v>37</v>
      </c>
      <c r="P6432" s="465">
        <v>0</v>
      </c>
      <c r="Q6432" s="459">
        <v>64</v>
      </c>
      <c r="R6432" s="465">
        <f t="shared" si="189"/>
        <v>0</v>
      </c>
      <c r="S6432" s="31">
        <v>202304</v>
      </c>
      <c r="T6432" s="60" t="s">
        <v>8310</v>
      </c>
      <c r="U6432" s="35"/>
      <c r="V6432" s="494"/>
      <c r="W6432" s="494"/>
      <c r="X6432" s="34"/>
      <c r="Y6432" s="34"/>
    </row>
    <row r="6433" s="3" customFormat="1" customHeight="1" spans="1:25">
      <c r="A6433" s="11" t="s">
        <v>152</v>
      </c>
      <c r="B6433" s="35" t="s">
        <v>7422</v>
      </c>
      <c r="C6433" s="35" t="s">
        <v>330</v>
      </c>
      <c r="D6433" s="35" t="s">
        <v>7585</v>
      </c>
      <c r="E6433" s="13" t="s">
        <v>8278</v>
      </c>
      <c r="F6433" s="11" t="s">
        <v>8279</v>
      </c>
      <c r="G6433" s="11" t="s">
        <v>31</v>
      </c>
      <c r="H6433" s="110" t="s">
        <v>8307</v>
      </c>
      <c r="I6433" s="30" t="e">
        <f>VLOOKUP(H6433,'合同高级查询数据-4月返'!A:A,1,FALSE)</f>
        <v>#N/A</v>
      </c>
      <c r="J6433" s="31" t="s">
        <v>33</v>
      </c>
      <c r="K6433" s="11" t="s">
        <v>5084</v>
      </c>
      <c r="L6433" s="32" t="s">
        <v>8308</v>
      </c>
      <c r="M6433" s="113" t="s">
        <v>8309</v>
      </c>
      <c r="N6433" s="34">
        <v>45017</v>
      </c>
      <c r="O6433" s="35" t="s">
        <v>37</v>
      </c>
      <c r="P6433" s="465">
        <v>50</v>
      </c>
      <c r="Q6433" s="459">
        <v>64</v>
      </c>
      <c r="R6433" s="465">
        <f t="shared" si="189"/>
        <v>3200</v>
      </c>
      <c r="S6433" s="31">
        <v>202304</v>
      </c>
      <c r="T6433" s="60" t="s">
        <v>8310</v>
      </c>
      <c r="U6433" s="35"/>
      <c r="V6433" s="494"/>
      <c r="W6433" s="494"/>
      <c r="X6433" s="34"/>
      <c r="Y6433" s="34"/>
    </row>
    <row r="6434" s="3" customFormat="1" customHeight="1" spans="1:25">
      <c r="A6434" s="11" t="s">
        <v>152</v>
      </c>
      <c r="B6434" s="35" t="s">
        <v>7422</v>
      </c>
      <c r="C6434" s="35" t="s">
        <v>330</v>
      </c>
      <c r="D6434" s="35" t="s">
        <v>7585</v>
      </c>
      <c r="E6434" s="13" t="s">
        <v>8278</v>
      </c>
      <c r="F6434" s="11" t="s">
        <v>8279</v>
      </c>
      <c r="G6434" s="11" t="s">
        <v>31</v>
      </c>
      <c r="H6434" s="110" t="s">
        <v>8307</v>
      </c>
      <c r="I6434" s="30" t="e">
        <f>VLOOKUP(H6434,'合同高级查询数据-4月返'!A:A,1,FALSE)</f>
        <v>#N/A</v>
      </c>
      <c r="J6434" s="31" t="s">
        <v>33</v>
      </c>
      <c r="K6434" s="11" t="s">
        <v>5084</v>
      </c>
      <c r="L6434" s="32" t="s">
        <v>8308</v>
      </c>
      <c r="M6434" s="113" t="s">
        <v>8309</v>
      </c>
      <c r="N6434" s="34">
        <v>45017</v>
      </c>
      <c r="O6434" s="35" t="s">
        <v>179</v>
      </c>
      <c r="P6434" s="465">
        <v>0</v>
      </c>
      <c r="Q6434" s="459">
        <v>1</v>
      </c>
      <c r="R6434" s="465">
        <f t="shared" si="189"/>
        <v>0</v>
      </c>
      <c r="S6434" s="31">
        <v>202304</v>
      </c>
      <c r="T6434" s="60" t="s">
        <v>8311</v>
      </c>
      <c r="U6434" s="35"/>
      <c r="V6434" s="494"/>
      <c r="W6434" s="494"/>
      <c r="X6434" s="34"/>
      <c r="Y6434" s="34"/>
    </row>
    <row r="6435" s="3" customFormat="1" customHeight="1" spans="1:25">
      <c r="A6435" s="11" t="s">
        <v>152</v>
      </c>
      <c r="B6435" s="35" t="s">
        <v>7422</v>
      </c>
      <c r="C6435" s="35" t="s">
        <v>330</v>
      </c>
      <c r="D6435" s="35" t="s">
        <v>7585</v>
      </c>
      <c r="E6435" s="13" t="s">
        <v>8278</v>
      </c>
      <c r="F6435" s="11" t="s">
        <v>8279</v>
      </c>
      <c r="G6435" s="11" t="s">
        <v>88</v>
      </c>
      <c r="H6435" s="110" t="s">
        <v>8307</v>
      </c>
      <c r="I6435" s="30" t="e">
        <f>VLOOKUP(H6435,'合同高级查询数据-4月返'!A:A,1,FALSE)</f>
        <v>#N/A</v>
      </c>
      <c r="J6435" s="31" t="s">
        <v>162</v>
      </c>
      <c r="K6435" s="11" t="s">
        <v>5084</v>
      </c>
      <c r="L6435" s="32" t="s">
        <v>8308</v>
      </c>
      <c r="M6435" s="113" t="s">
        <v>8309</v>
      </c>
      <c r="N6435" s="34">
        <v>45017</v>
      </c>
      <c r="O6435" s="35" t="s">
        <v>163</v>
      </c>
      <c r="P6435" s="465">
        <v>4000</v>
      </c>
      <c r="Q6435" s="459">
        <v>4</v>
      </c>
      <c r="R6435" s="465">
        <f t="shared" si="189"/>
        <v>16000</v>
      </c>
      <c r="S6435" s="31">
        <v>202304</v>
      </c>
      <c r="T6435" s="472" t="s">
        <v>8312</v>
      </c>
      <c r="U6435" s="35"/>
      <c r="V6435" s="494"/>
      <c r="W6435" s="494"/>
      <c r="X6435" s="34"/>
      <c r="Y6435" s="34"/>
    </row>
    <row r="6436" s="3" customFormat="1" customHeight="1" spans="1:25">
      <c r="A6436" s="11" t="s">
        <v>109</v>
      </c>
      <c r="B6436" s="11" t="s">
        <v>7422</v>
      </c>
      <c r="C6436" s="11" t="s">
        <v>153</v>
      </c>
      <c r="D6436" s="35" t="s">
        <v>7585</v>
      </c>
      <c r="E6436" s="13" t="s">
        <v>8313</v>
      </c>
      <c r="F6436" s="11" t="s">
        <v>8314</v>
      </c>
      <c r="G6436" s="11" t="s">
        <v>31</v>
      </c>
      <c r="H6436" s="110" t="s">
        <v>8315</v>
      </c>
      <c r="I6436" s="30" t="e">
        <f>VLOOKUP(H6436,'合同高级查询数据-4月返'!A:A,1,FALSE)</f>
        <v>#N/A</v>
      </c>
      <c r="J6436" s="31" t="s">
        <v>33</v>
      </c>
      <c r="K6436" s="11" t="s">
        <v>8316</v>
      </c>
      <c r="L6436" s="32" t="s">
        <v>8317</v>
      </c>
      <c r="M6436" s="113" t="s">
        <v>8318</v>
      </c>
      <c r="N6436" s="500">
        <v>43318</v>
      </c>
      <c r="O6436" s="500" t="s">
        <v>37</v>
      </c>
      <c r="P6436" s="465">
        <v>0</v>
      </c>
      <c r="Q6436" s="459">
        <v>288</v>
      </c>
      <c r="R6436" s="465">
        <f t="shared" si="189"/>
        <v>0</v>
      </c>
      <c r="S6436" s="31">
        <v>202304</v>
      </c>
      <c r="T6436" s="60" t="s">
        <v>8319</v>
      </c>
      <c r="U6436" s="411"/>
      <c r="V6436" s="411"/>
      <c r="W6436" s="411"/>
      <c r="X6436" s="34"/>
      <c r="Y6436" s="34"/>
    </row>
    <row r="6437" s="3" customFormat="1" customHeight="1" spans="1:25">
      <c r="A6437" s="11" t="s">
        <v>109</v>
      </c>
      <c r="B6437" s="11" t="s">
        <v>7422</v>
      </c>
      <c r="C6437" s="11" t="s">
        <v>153</v>
      </c>
      <c r="D6437" s="35" t="s">
        <v>7585</v>
      </c>
      <c r="E6437" s="13" t="s">
        <v>8313</v>
      </c>
      <c r="F6437" s="11" t="s">
        <v>8314</v>
      </c>
      <c r="G6437" s="11" t="s">
        <v>31</v>
      </c>
      <c r="H6437" s="110" t="s">
        <v>8315</v>
      </c>
      <c r="I6437" s="30" t="e">
        <f>VLOOKUP(H6437,'合同高级查询数据-4月返'!A:A,1,FALSE)</f>
        <v>#N/A</v>
      </c>
      <c r="J6437" s="31" t="s">
        <v>33</v>
      </c>
      <c r="K6437" s="11" t="s">
        <v>8316</v>
      </c>
      <c r="L6437" s="32" t="s">
        <v>8317</v>
      </c>
      <c r="M6437" s="113" t="s">
        <v>8320</v>
      </c>
      <c r="N6437" s="500">
        <v>44489</v>
      </c>
      <c r="O6437" s="500" t="s">
        <v>37</v>
      </c>
      <c r="P6437" s="465">
        <v>0</v>
      </c>
      <c r="Q6437" s="459">
        <v>128</v>
      </c>
      <c r="R6437" s="465">
        <f t="shared" si="189"/>
        <v>0</v>
      </c>
      <c r="S6437" s="31">
        <v>202304</v>
      </c>
      <c r="T6437" s="60" t="s">
        <v>8321</v>
      </c>
      <c r="U6437" s="411"/>
      <c r="V6437" s="411"/>
      <c r="W6437" s="411"/>
      <c r="X6437" s="34"/>
      <c r="Y6437" s="34"/>
    </row>
    <row r="6438" s="3" customFormat="1" customHeight="1" spans="1:25">
      <c r="A6438" s="11" t="s">
        <v>109</v>
      </c>
      <c r="B6438" s="11" t="s">
        <v>7422</v>
      </c>
      <c r="C6438" s="11" t="s">
        <v>153</v>
      </c>
      <c r="D6438" s="35" t="s">
        <v>7585</v>
      </c>
      <c r="E6438" s="13" t="s">
        <v>8313</v>
      </c>
      <c r="F6438" s="11" t="s">
        <v>8314</v>
      </c>
      <c r="G6438" s="11" t="s">
        <v>31</v>
      </c>
      <c r="H6438" s="110" t="s">
        <v>8315</v>
      </c>
      <c r="I6438" s="30" t="e">
        <f>VLOOKUP(H6438,'合同高级查询数据-4月返'!A:A,1,FALSE)</f>
        <v>#N/A</v>
      </c>
      <c r="J6438" s="31" t="s">
        <v>33</v>
      </c>
      <c r="K6438" s="11" t="s">
        <v>8316</v>
      </c>
      <c r="L6438" s="32" t="s">
        <v>8317</v>
      </c>
      <c r="M6438" s="113" t="s">
        <v>8320</v>
      </c>
      <c r="N6438" s="500">
        <v>44865</v>
      </c>
      <c r="O6438" s="500" t="s">
        <v>37</v>
      </c>
      <c r="P6438" s="465">
        <v>0</v>
      </c>
      <c r="Q6438" s="459">
        <v>-128</v>
      </c>
      <c r="R6438" s="465">
        <f t="shared" si="189"/>
        <v>0</v>
      </c>
      <c r="S6438" s="31">
        <v>202304</v>
      </c>
      <c r="T6438" s="60" t="s">
        <v>8322</v>
      </c>
      <c r="U6438" s="411"/>
      <c r="V6438" s="411"/>
      <c r="W6438" s="411"/>
      <c r="X6438" s="34"/>
      <c r="Y6438" s="34"/>
    </row>
    <row r="6439" s="3" customFormat="1" customHeight="1" spans="1:25">
      <c r="A6439" s="11" t="s">
        <v>109</v>
      </c>
      <c r="B6439" s="11" t="s">
        <v>7422</v>
      </c>
      <c r="C6439" s="11" t="s">
        <v>153</v>
      </c>
      <c r="D6439" s="35" t="s">
        <v>7585</v>
      </c>
      <c r="E6439" s="13" t="s">
        <v>8313</v>
      </c>
      <c r="F6439" s="11" t="s">
        <v>8314</v>
      </c>
      <c r="G6439" s="11" t="s">
        <v>88</v>
      </c>
      <c r="H6439" s="110" t="s">
        <v>8315</v>
      </c>
      <c r="I6439" s="30" t="e">
        <f>VLOOKUP(H6439,'合同高级查询数据-4月返'!A:A,1,FALSE)</f>
        <v>#N/A</v>
      </c>
      <c r="J6439" s="31" t="s">
        <v>162</v>
      </c>
      <c r="K6439" s="11" t="s">
        <v>8316</v>
      </c>
      <c r="L6439" s="32" t="s">
        <v>8317</v>
      </c>
      <c r="M6439" s="113" t="s">
        <v>8320</v>
      </c>
      <c r="N6439" s="500">
        <v>43318</v>
      </c>
      <c r="O6439" s="500" t="s">
        <v>92</v>
      </c>
      <c r="P6439" s="465">
        <v>4500</v>
      </c>
      <c r="Q6439" s="459">
        <v>5</v>
      </c>
      <c r="R6439" s="465">
        <f t="shared" si="189"/>
        <v>22500</v>
      </c>
      <c r="S6439" s="31">
        <v>202304</v>
      </c>
      <c r="T6439" s="60" t="s">
        <v>8323</v>
      </c>
      <c r="U6439" s="411"/>
      <c r="V6439" s="411"/>
      <c r="W6439" s="411"/>
      <c r="X6439" s="34"/>
      <c r="Y6439" s="34"/>
    </row>
    <row r="6440" s="3" customFormat="1" customHeight="1" spans="1:25">
      <c r="A6440" s="11" t="s">
        <v>109</v>
      </c>
      <c r="B6440" s="11" t="s">
        <v>7422</v>
      </c>
      <c r="C6440" s="11" t="s">
        <v>153</v>
      </c>
      <c r="D6440" s="35" t="s">
        <v>7585</v>
      </c>
      <c r="E6440" s="13" t="s">
        <v>8313</v>
      </c>
      <c r="F6440" s="11" t="s">
        <v>8314</v>
      </c>
      <c r="G6440" s="11" t="s">
        <v>88</v>
      </c>
      <c r="H6440" s="110" t="s">
        <v>8315</v>
      </c>
      <c r="I6440" s="30" t="e">
        <f>VLOOKUP(H6440,'合同高级查询数据-4月返'!A:A,1,FALSE)</f>
        <v>#N/A</v>
      </c>
      <c r="J6440" s="31" t="s">
        <v>162</v>
      </c>
      <c r="K6440" s="11" t="s">
        <v>8316</v>
      </c>
      <c r="L6440" s="32" t="s">
        <v>8317</v>
      </c>
      <c r="M6440" s="113" t="s">
        <v>8320</v>
      </c>
      <c r="N6440" s="500">
        <v>43739</v>
      </c>
      <c r="O6440" s="500" t="s">
        <v>92</v>
      </c>
      <c r="P6440" s="465">
        <v>4500</v>
      </c>
      <c r="Q6440" s="459">
        <v>2</v>
      </c>
      <c r="R6440" s="465">
        <f t="shared" si="189"/>
        <v>9000</v>
      </c>
      <c r="S6440" s="31">
        <v>202304</v>
      </c>
      <c r="T6440" s="60" t="s">
        <v>8324</v>
      </c>
      <c r="U6440" s="411"/>
      <c r="V6440" s="411"/>
      <c r="W6440" s="411"/>
      <c r="X6440" s="34"/>
      <c r="Y6440" s="34"/>
    </row>
    <row r="6441" s="3" customFormat="1" customHeight="1" spans="1:25">
      <c r="A6441" s="11" t="s">
        <v>109</v>
      </c>
      <c r="B6441" s="11" t="s">
        <v>7422</v>
      </c>
      <c r="C6441" s="11" t="s">
        <v>153</v>
      </c>
      <c r="D6441" s="35" t="s">
        <v>7585</v>
      </c>
      <c r="E6441" s="13" t="s">
        <v>8313</v>
      </c>
      <c r="F6441" s="11" t="s">
        <v>8314</v>
      </c>
      <c r="G6441" s="11" t="s">
        <v>88</v>
      </c>
      <c r="H6441" s="110" t="s">
        <v>8315</v>
      </c>
      <c r="I6441" s="30" t="e">
        <f>VLOOKUP(H6441,'合同高级查询数据-4月返'!A:A,1,FALSE)</f>
        <v>#N/A</v>
      </c>
      <c r="J6441" s="31" t="s">
        <v>162</v>
      </c>
      <c r="K6441" s="11" t="s">
        <v>8316</v>
      </c>
      <c r="L6441" s="32" t="s">
        <v>8317</v>
      </c>
      <c r="M6441" s="113" t="s">
        <v>8320</v>
      </c>
      <c r="N6441" s="500">
        <v>44489</v>
      </c>
      <c r="O6441" s="500" t="s">
        <v>92</v>
      </c>
      <c r="P6441" s="465">
        <v>5000</v>
      </c>
      <c r="Q6441" s="459">
        <v>1</v>
      </c>
      <c r="R6441" s="465">
        <f t="shared" si="189"/>
        <v>5000</v>
      </c>
      <c r="S6441" s="31">
        <v>202304</v>
      </c>
      <c r="T6441" s="60" t="s">
        <v>8325</v>
      </c>
      <c r="U6441" s="411"/>
      <c r="V6441" s="411"/>
      <c r="W6441" s="411"/>
      <c r="X6441" s="34"/>
      <c r="Y6441" s="34"/>
    </row>
    <row r="6442" s="3" customFormat="1" customHeight="1" spans="1:25">
      <c r="A6442" s="11" t="s">
        <v>109</v>
      </c>
      <c r="B6442" s="11" t="s">
        <v>7422</v>
      </c>
      <c r="C6442" s="11" t="s">
        <v>153</v>
      </c>
      <c r="D6442" s="35" t="s">
        <v>7585</v>
      </c>
      <c r="E6442" s="13" t="s">
        <v>8313</v>
      </c>
      <c r="F6442" s="11" t="s">
        <v>8314</v>
      </c>
      <c r="G6442" s="11" t="s">
        <v>88</v>
      </c>
      <c r="H6442" s="110" t="s">
        <v>8315</v>
      </c>
      <c r="I6442" s="30" t="e">
        <f>VLOOKUP(H6442,'合同高级查询数据-4月返'!A:A,1,FALSE)</f>
        <v>#N/A</v>
      </c>
      <c r="J6442" s="31" t="s">
        <v>162</v>
      </c>
      <c r="K6442" s="11" t="s">
        <v>8316</v>
      </c>
      <c r="L6442" s="32" t="s">
        <v>8317</v>
      </c>
      <c r="M6442" s="113" t="s">
        <v>8320</v>
      </c>
      <c r="N6442" s="500">
        <v>44865</v>
      </c>
      <c r="O6442" s="500" t="s">
        <v>92</v>
      </c>
      <c r="P6442" s="465">
        <v>5000</v>
      </c>
      <c r="Q6442" s="459">
        <v>-1</v>
      </c>
      <c r="R6442" s="465">
        <f t="shared" si="189"/>
        <v>-5000</v>
      </c>
      <c r="S6442" s="31">
        <v>202304</v>
      </c>
      <c r="T6442" s="60" t="s">
        <v>8326</v>
      </c>
      <c r="U6442" s="411"/>
      <c r="V6442" s="411"/>
      <c r="W6442" s="411"/>
      <c r="X6442" s="34"/>
      <c r="Y6442" s="34"/>
    </row>
    <row r="6443" s="3" customFormat="1" customHeight="1" spans="1:25">
      <c r="A6443" s="11" t="s">
        <v>109</v>
      </c>
      <c r="B6443" s="11" t="s">
        <v>7422</v>
      </c>
      <c r="C6443" s="11" t="s">
        <v>153</v>
      </c>
      <c r="D6443" s="35" t="s">
        <v>7585</v>
      </c>
      <c r="E6443" s="13" t="s">
        <v>8313</v>
      </c>
      <c r="F6443" s="11" t="s">
        <v>8314</v>
      </c>
      <c r="G6443" s="11" t="s">
        <v>31</v>
      </c>
      <c r="H6443" s="110" t="s">
        <v>8327</v>
      </c>
      <c r="I6443" s="30" t="e">
        <f>VLOOKUP(H6443,'合同高级查询数据-4月返'!A:A,1,FALSE)</f>
        <v>#N/A</v>
      </c>
      <c r="J6443" s="31" t="s">
        <v>33</v>
      </c>
      <c r="K6443" s="11" t="s">
        <v>157</v>
      </c>
      <c r="L6443" s="32"/>
      <c r="M6443" s="113" t="s">
        <v>8328</v>
      </c>
      <c r="N6443" s="500">
        <v>43491</v>
      </c>
      <c r="O6443" s="500" t="s">
        <v>37</v>
      </c>
      <c r="P6443" s="465">
        <v>0</v>
      </c>
      <c r="Q6443" s="459">
        <v>832</v>
      </c>
      <c r="R6443" s="465">
        <f t="shared" si="189"/>
        <v>0</v>
      </c>
      <c r="S6443" s="31">
        <v>202304</v>
      </c>
      <c r="T6443" s="60" t="s">
        <v>8329</v>
      </c>
      <c r="U6443" s="411"/>
      <c r="V6443" s="411"/>
      <c r="W6443" s="411"/>
      <c r="X6443" s="34"/>
      <c r="Y6443" s="34"/>
    </row>
    <row r="6444" s="3" customFormat="1" customHeight="1" spans="1:25">
      <c r="A6444" s="11" t="s">
        <v>109</v>
      </c>
      <c r="B6444" s="11" t="s">
        <v>7422</v>
      </c>
      <c r="C6444" s="11" t="s">
        <v>153</v>
      </c>
      <c r="D6444" s="35" t="s">
        <v>7585</v>
      </c>
      <c r="E6444" s="13" t="s">
        <v>8313</v>
      </c>
      <c r="F6444" s="11" t="s">
        <v>8314</v>
      </c>
      <c r="G6444" s="11" t="s">
        <v>31</v>
      </c>
      <c r="H6444" s="110" t="s">
        <v>8327</v>
      </c>
      <c r="I6444" s="30" t="e">
        <f>VLOOKUP(H6444,'合同高级查询数据-4月返'!A:A,1,FALSE)</f>
        <v>#N/A</v>
      </c>
      <c r="J6444" s="31" t="s">
        <v>33</v>
      </c>
      <c r="K6444" s="11" t="s">
        <v>157</v>
      </c>
      <c r="L6444" s="32" t="s">
        <v>8330</v>
      </c>
      <c r="M6444" s="113" t="s">
        <v>8328</v>
      </c>
      <c r="N6444" s="500">
        <v>44135</v>
      </c>
      <c r="O6444" s="500" t="s">
        <v>37</v>
      </c>
      <c r="P6444" s="465">
        <v>0</v>
      </c>
      <c r="Q6444" s="459">
        <v>-288</v>
      </c>
      <c r="R6444" s="465">
        <f t="shared" si="189"/>
        <v>0</v>
      </c>
      <c r="S6444" s="31">
        <v>202304</v>
      </c>
      <c r="T6444" s="60" t="s">
        <v>8331</v>
      </c>
      <c r="U6444" s="411"/>
      <c r="V6444" s="411"/>
      <c r="W6444" s="411"/>
      <c r="X6444" s="34"/>
      <c r="Y6444" s="34"/>
    </row>
    <row r="6445" s="3" customFormat="1" customHeight="1" spans="1:25">
      <c r="A6445" s="11" t="s">
        <v>109</v>
      </c>
      <c r="B6445" s="11" t="s">
        <v>7422</v>
      </c>
      <c r="C6445" s="11" t="s">
        <v>153</v>
      </c>
      <c r="D6445" s="35" t="s">
        <v>7585</v>
      </c>
      <c r="E6445" s="13" t="s">
        <v>8313</v>
      </c>
      <c r="F6445" s="11" t="s">
        <v>8314</v>
      </c>
      <c r="G6445" s="11" t="s">
        <v>31</v>
      </c>
      <c r="H6445" s="110" t="s">
        <v>8327</v>
      </c>
      <c r="I6445" s="30" t="e">
        <f>VLOOKUP(H6445,'合同高级查询数据-4月返'!A:A,1,FALSE)</f>
        <v>#N/A</v>
      </c>
      <c r="J6445" s="31" t="s">
        <v>33</v>
      </c>
      <c r="K6445" s="11" t="s">
        <v>157</v>
      </c>
      <c r="L6445" s="32"/>
      <c r="M6445" s="113" t="s">
        <v>8328</v>
      </c>
      <c r="N6445" s="500"/>
      <c r="O6445" s="35" t="s">
        <v>179</v>
      </c>
      <c r="P6445" s="465">
        <v>0</v>
      </c>
      <c r="Q6445" s="465">
        <v>0</v>
      </c>
      <c r="R6445" s="465">
        <f t="shared" si="189"/>
        <v>0</v>
      </c>
      <c r="S6445" s="31">
        <v>202304</v>
      </c>
      <c r="T6445" s="60" t="s">
        <v>8332</v>
      </c>
      <c r="U6445" s="411"/>
      <c r="V6445" s="411"/>
      <c r="W6445" s="411"/>
      <c r="X6445" s="34"/>
      <c r="Y6445" s="34"/>
    </row>
    <row r="6446" s="3" customFormat="1" customHeight="1" spans="1:25">
      <c r="A6446" s="11" t="s">
        <v>109</v>
      </c>
      <c r="B6446" s="11" t="s">
        <v>7422</v>
      </c>
      <c r="C6446" s="11" t="s">
        <v>153</v>
      </c>
      <c r="D6446" s="35" t="s">
        <v>7585</v>
      </c>
      <c r="E6446" s="13" t="s">
        <v>8313</v>
      </c>
      <c r="F6446" s="11" t="s">
        <v>8314</v>
      </c>
      <c r="G6446" s="11" t="s">
        <v>88</v>
      </c>
      <c r="H6446" s="110" t="s">
        <v>8327</v>
      </c>
      <c r="I6446" s="30" t="e">
        <f>VLOOKUP(H6446,'合同高级查询数据-4月返'!A:A,1,FALSE)</f>
        <v>#N/A</v>
      </c>
      <c r="J6446" s="31" t="s">
        <v>162</v>
      </c>
      <c r="K6446" s="11" t="s">
        <v>157</v>
      </c>
      <c r="L6446" s="32" t="s">
        <v>8333</v>
      </c>
      <c r="M6446" s="113" t="s">
        <v>8328</v>
      </c>
      <c r="N6446" s="500">
        <v>43491</v>
      </c>
      <c r="O6446" s="500" t="s">
        <v>92</v>
      </c>
      <c r="P6446" s="465">
        <v>4500</v>
      </c>
      <c r="Q6446" s="459">
        <v>9</v>
      </c>
      <c r="R6446" s="465">
        <f t="shared" si="189"/>
        <v>40500</v>
      </c>
      <c r="S6446" s="31">
        <v>202304</v>
      </c>
      <c r="T6446" s="60" t="s">
        <v>8334</v>
      </c>
      <c r="U6446" s="411"/>
      <c r="V6446" s="411"/>
      <c r="W6446" s="411"/>
      <c r="X6446" s="34"/>
      <c r="Y6446" s="34"/>
    </row>
    <row r="6447" s="5" customFormat="1" customHeight="1" spans="1:25">
      <c r="A6447" s="24" t="s">
        <v>109</v>
      </c>
      <c r="B6447" s="24" t="s">
        <v>7422</v>
      </c>
      <c r="C6447" s="24" t="s">
        <v>153</v>
      </c>
      <c r="D6447" s="22" t="s">
        <v>7585</v>
      </c>
      <c r="E6447" s="23" t="s">
        <v>8313</v>
      </c>
      <c r="F6447" s="24" t="s">
        <v>8314</v>
      </c>
      <c r="G6447" s="24" t="s">
        <v>88</v>
      </c>
      <c r="H6447" s="25" t="s">
        <v>8335</v>
      </c>
      <c r="I6447" s="46" t="e">
        <f>VLOOKUP(H6447,'合同高级查询数据-4月返'!A:A,1,FALSE)</f>
        <v>#N/A</v>
      </c>
      <c r="J6447" s="47" t="s">
        <v>162</v>
      </c>
      <c r="K6447" s="24" t="s">
        <v>157</v>
      </c>
      <c r="L6447" s="109" t="s">
        <v>8330</v>
      </c>
      <c r="M6447" s="49" t="s">
        <v>8328</v>
      </c>
      <c r="N6447" s="493">
        <v>43491</v>
      </c>
      <c r="O6447" s="493" t="s">
        <v>92</v>
      </c>
      <c r="P6447" s="52">
        <v>4500</v>
      </c>
      <c r="Q6447" s="70">
        <v>6</v>
      </c>
      <c r="R6447" s="52">
        <f t="shared" si="189"/>
        <v>27000</v>
      </c>
      <c r="S6447" s="47">
        <v>202304</v>
      </c>
      <c r="T6447" s="123" t="s">
        <v>8336</v>
      </c>
      <c r="U6447" s="48"/>
      <c r="V6447" s="48"/>
      <c r="W6447" s="48"/>
      <c r="X6447" s="50">
        <v>44075</v>
      </c>
      <c r="Y6447" s="50">
        <v>44439</v>
      </c>
    </row>
    <row r="6448" s="5" customFormat="1" customHeight="1" spans="1:25">
      <c r="A6448" s="24" t="s">
        <v>109</v>
      </c>
      <c r="B6448" s="24" t="s">
        <v>7422</v>
      </c>
      <c r="C6448" s="24" t="s">
        <v>153</v>
      </c>
      <c r="D6448" s="22" t="s">
        <v>7585</v>
      </c>
      <c r="E6448" s="23" t="s">
        <v>8313</v>
      </c>
      <c r="F6448" s="24" t="s">
        <v>8314</v>
      </c>
      <c r="G6448" s="24" t="s">
        <v>88</v>
      </c>
      <c r="H6448" s="25" t="s">
        <v>8335</v>
      </c>
      <c r="I6448" s="46" t="e">
        <f>VLOOKUP(H6448,'合同高级查询数据-4月返'!A:A,1,FALSE)</f>
        <v>#N/A</v>
      </c>
      <c r="J6448" s="47" t="s">
        <v>162</v>
      </c>
      <c r="K6448" s="24" t="s">
        <v>157</v>
      </c>
      <c r="L6448" s="109" t="s">
        <v>8330</v>
      </c>
      <c r="M6448" s="49" t="s">
        <v>8328</v>
      </c>
      <c r="N6448" s="493">
        <v>44135</v>
      </c>
      <c r="O6448" s="493" t="s">
        <v>92</v>
      </c>
      <c r="P6448" s="52">
        <v>4500</v>
      </c>
      <c r="Q6448" s="70">
        <v>-6</v>
      </c>
      <c r="R6448" s="52">
        <f t="shared" si="189"/>
        <v>-27000</v>
      </c>
      <c r="S6448" s="47">
        <v>202304</v>
      </c>
      <c r="T6448" s="123" t="s">
        <v>8337</v>
      </c>
      <c r="U6448" s="48"/>
      <c r="V6448" s="48"/>
      <c r="W6448" s="48"/>
      <c r="X6448" s="50">
        <v>44075</v>
      </c>
      <c r="Y6448" s="50">
        <v>44439</v>
      </c>
    </row>
    <row r="6449" s="3" customFormat="1" customHeight="1" spans="1:25">
      <c r="A6449" s="11" t="s">
        <v>109</v>
      </c>
      <c r="B6449" s="11" t="s">
        <v>7422</v>
      </c>
      <c r="C6449" s="11" t="s">
        <v>153</v>
      </c>
      <c r="D6449" s="35" t="s">
        <v>7585</v>
      </c>
      <c r="E6449" s="13" t="s">
        <v>8313</v>
      </c>
      <c r="F6449" s="11" t="s">
        <v>8314</v>
      </c>
      <c r="G6449" s="11" t="s">
        <v>31</v>
      </c>
      <c r="H6449" s="110" t="s">
        <v>8315</v>
      </c>
      <c r="I6449" s="30" t="e">
        <f>VLOOKUP(H6449,'合同高级查询数据-4月返'!A:A,1,FALSE)</f>
        <v>#N/A</v>
      </c>
      <c r="J6449" s="31" t="s">
        <v>33</v>
      </c>
      <c r="K6449" s="11" t="s">
        <v>8338</v>
      </c>
      <c r="L6449" s="11" t="s">
        <v>8338</v>
      </c>
      <c r="M6449" s="113" t="s">
        <v>1489</v>
      </c>
      <c r="N6449" s="500" t="s">
        <v>1329</v>
      </c>
      <c r="O6449" s="500" t="s">
        <v>37</v>
      </c>
      <c r="P6449" s="465">
        <v>0</v>
      </c>
      <c r="Q6449" s="465">
        <v>256</v>
      </c>
      <c r="R6449" s="465">
        <f t="shared" si="189"/>
        <v>0</v>
      </c>
      <c r="S6449" s="31">
        <v>202304</v>
      </c>
      <c r="T6449" s="60" t="s">
        <v>8339</v>
      </c>
      <c r="U6449" s="411"/>
      <c r="V6449" s="411"/>
      <c r="W6449" s="490"/>
      <c r="X6449" s="34"/>
      <c r="Y6449" s="34"/>
    </row>
    <row r="6450" s="3" customFormat="1" customHeight="1" spans="1:25">
      <c r="A6450" s="11" t="s">
        <v>109</v>
      </c>
      <c r="B6450" s="11" t="s">
        <v>7422</v>
      </c>
      <c r="C6450" s="11" t="s">
        <v>153</v>
      </c>
      <c r="D6450" s="35" t="s">
        <v>7585</v>
      </c>
      <c r="E6450" s="13" t="s">
        <v>8313</v>
      </c>
      <c r="F6450" s="11" t="s">
        <v>8314</v>
      </c>
      <c r="G6450" s="11" t="s">
        <v>31</v>
      </c>
      <c r="H6450" s="110" t="s">
        <v>8315</v>
      </c>
      <c r="I6450" s="30" t="e">
        <f>VLOOKUP(H6450,'合同高级查询数据-4月返'!A:A,1,FALSE)</f>
        <v>#N/A</v>
      </c>
      <c r="J6450" s="31" t="s">
        <v>33</v>
      </c>
      <c r="K6450" s="11" t="s">
        <v>8338</v>
      </c>
      <c r="L6450" s="11" t="s">
        <v>8338</v>
      </c>
      <c r="M6450" s="113" t="s">
        <v>1489</v>
      </c>
      <c r="N6450" s="500">
        <v>43905</v>
      </c>
      <c r="O6450" s="500" t="s">
        <v>37</v>
      </c>
      <c r="P6450" s="465">
        <v>0</v>
      </c>
      <c r="Q6450" s="465">
        <v>32</v>
      </c>
      <c r="R6450" s="465">
        <f t="shared" si="189"/>
        <v>0</v>
      </c>
      <c r="S6450" s="31">
        <v>202304</v>
      </c>
      <c r="T6450" s="60" t="s">
        <v>8340</v>
      </c>
      <c r="U6450" s="411"/>
      <c r="V6450" s="411"/>
      <c r="W6450" s="490"/>
      <c r="X6450" s="34"/>
      <c r="Y6450" s="34"/>
    </row>
    <row r="6451" s="3" customFormat="1" customHeight="1" spans="1:25">
      <c r="A6451" s="11" t="s">
        <v>109</v>
      </c>
      <c r="B6451" s="11" t="s">
        <v>7422</v>
      </c>
      <c r="C6451" s="11" t="s">
        <v>153</v>
      </c>
      <c r="D6451" s="35" t="s">
        <v>7585</v>
      </c>
      <c r="E6451" s="13" t="s">
        <v>8313</v>
      </c>
      <c r="F6451" s="11" t="s">
        <v>8314</v>
      </c>
      <c r="G6451" s="11" t="s">
        <v>31</v>
      </c>
      <c r="H6451" s="110" t="s">
        <v>8315</v>
      </c>
      <c r="I6451" s="30" t="e">
        <f>VLOOKUP(H6451,'合同高级查询数据-4月返'!A:A,1,FALSE)</f>
        <v>#N/A</v>
      </c>
      <c r="J6451" s="31" t="s">
        <v>33</v>
      </c>
      <c r="K6451" s="11" t="s">
        <v>8338</v>
      </c>
      <c r="L6451" s="11" t="s">
        <v>8338</v>
      </c>
      <c r="M6451" s="113" t="s">
        <v>1489</v>
      </c>
      <c r="N6451" s="500">
        <v>44016</v>
      </c>
      <c r="O6451" s="500" t="s">
        <v>37</v>
      </c>
      <c r="P6451" s="465">
        <v>0</v>
      </c>
      <c r="Q6451" s="465">
        <v>32</v>
      </c>
      <c r="R6451" s="465">
        <f t="shared" si="189"/>
        <v>0</v>
      </c>
      <c r="S6451" s="31">
        <v>202304</v>
      </c>
      <c r="T6451" s="60" t="s">
        <v>8341</v>
      </c>
      <c r="U6451" s="411"/>
      <c r="V6451" s="411"/>
      <c r="W6451" s="490"/>
      <c r="X6451" s="34"/>
      <c r="Y6451" s="34"/>
    </row>
    <row r="6452" s="3" customFormat="1" customHeight="1" spans="1:25">
      <c r="A6452" s="11" t="s">
        <v>109</v>
      </c>
      <c r="B6452" s="11" t="s">
        <v>7422</v>
      </c>
      <c r="C6452" s="11" t="s">
        <v>153</v>
      </c>
      <c r="D6452" s="35" t="s">
        <v>7585</v>
      </c>
      <c r="E6452" s="13" t="s">
        <v>8313</v>
      </c>
      <c r="F6452" s="11" t="s">
        <v>8314</v>
      </c>
      <c r="G6452" s="11" t="s">
        <v>31</v>
      </c>
      <c r="H6452" s="110" t="s">
        <v>8315</v>
      </c>
      <c r="I6452" s="30" t="e">
        <f>VLOOKUP(H6452,'合同高级查询数据-4月返'!A:A,1,FALSE)</f>
        <v>#N/A</v>
      </c>
      <c r="J6452" s="31" t="s">
        <v>33</v>
      </c>
      <c r="K6452" s="11" t="s">
        <v>8338</v>
      </c>
      <c r="L6452" s="11" t="s">
        <v>8338</v>
      </c>
      <c r="M6452" s="113" t="s">
        <v>1489</v>
      </c>
      <c r="N6452" s="500">
        <v>44016</v>
      </c>
      <c r="O6452" s="500" t="s">
        <v>37</v>
      </c>
      <c r="P6452" s="465">
        <v>0</v>
      </c>
      <c r="Q6452" s="465">
        <v>256</v>
      </c>
      <c r="R6452" s="465">
        <f t="shared" si="189"/>
        <v>0</v>
      </c>
      <c r="S6452" s="31">
        <v>202304</v>
      </c>
      <c r="T6452" s="60" t="s">
        <v>8341</v>
      </c>
      <c r="U6452" s="411"/>
      <c r="V6452" s="411"/>
      <c r="W6452" s="490"/>
      <c r="X6452" s="34"/>
      <c r="Y6452" s="34"/>
    </row>
    <row r="6453" s="3" customFormat="1" customHeight="1" spans="1:25">
      <c r="A6453" s="11" t="s">
        <v>109</v>
      </c>
      <c r="B6453" s="11" t="s">
        <v>7422</v>
      </c>
      <c r="C6453" s="11" t="s">
        <v>153</v>
      </c>
      <c r="D6453" s="35" t="s">
        <v>7585</v>
      </c>
      <c r="E6453" s="13" t="s">
        <v>8313</v>
      </c>
      <c r="F6453" s="11" t="s">
        <v>8314</v>
      </c>
      <c r="G6453" s="11" t="s">
        <v>31</v>
      </c>
      <c r="H6453" s="110" t="s">
        <v>8315</v>
      </c>
      <c r="I6453" s="30" t="e">
        <f>VLOOKUP(H6453,'合同高级查询数据-4月返'!A:A,1,FALSE)</f>
        <v>#N/A</v>
      </c>
      <c r="J6453" s="31" t="s">
        <v>33</v>
      </c>
      <c r="K6453" s="11" t="s">
        <v>8338</v>
      </c>
      <c r="L6453" s="11" t="s">
        <v>8338</v>
      </c>
      <c r="M6453" s="113" t="s">
        <v>1489</v>
      </c>
      <c r="N6453" s="500"/>
      <c r="O6453" s="35" t="s">
        <v>179</v>
      </c>
      <c r="P6453" s="465">
        <v>0</v>
      </c>
      <c r="Q6453" s="459">
        <v>0</v>
      </c>
      <c r="R6453" s="465">
        <f t="shared" si="189"/>
        <v>0</v>
      </c>
      <c r="S6453" s="31">
        <v>202304</v>
      </c>
      <c r="T6453" s="60" t="s">
        <v>8342</v>
      </c>
      <c r="U6453" s="411"/>
      <c r="V6453" s="411"/>
      <c r="W6453" s="490"/>
      <c r="X6453" s="34"/>
      <c r="Y6453" s="34"/>
    </row>
    <row r="6454" s="3" customFormat="1" customHeight="1" spans="1:25">
      <c r="A6454" s="11" t="s">
        <v>109</v>
      </c>
      <c r="B6454" s="11" t="s">
        <v>7422</v>
      </c>
      <c r="C6454" s="11" t="s">
        <v>153</v>
      </c>
      <c r="D6454" s="35" t="s">
        <v>7585</v>
      </c>
      <c r="E6454" s="13" t="s">
        <v>8313</v>
      </c>
      <c r="F6454" s="11" t="s">
        <v>8314</v>
      </c>
      <c r="G6454" s="11" t="s">
        <v>31</v>
      </c>
      <c r="H6454" s="110" t="s">
        <v>8315</v>
      </c>
      <c r="I6454" s="30" t="e">
        <f>VLOOKUP(H6454,'合同高级查询数据-4月返'!A:A,1,FALSE)</f>
        <v>#N/A</v>
      </c>
      <c r="J6454" s="31" t="s">
        <v>8343</v>
      </c>
      <c r="K6454" s="11" t="s">
        <v>8344</v>
      </c>
      <c r="L6454" s="32" t="s">
        <v>8345</v>
      </c>
      <c r="M6454" s="113" t="s">
        <v>8346</v>
      </c>
      <c r="N6454" s="193">
        <v>43438</v>
      </c>
      <c r="O6454" s="466" t="s">
        <v>37</v>
      </c>
      <c r="P6454" s="465">
        <v>0</v>
      </c>
      <c r="Q6454" s="459">
        <v>640</v>
      </c>
      <c r="R6454" s="465">
        <f t="shared" si="189"/>
        <v>0</v>
      </c>
      <c r="S6454" s="31">
        <v>202304</v>
      </c>
      <c r="T6454" s="60"/>
      <c r="U6454" s="411"/>
      <c r="V6454" s="411"/>
      <c r="W6454" s="411"/>
      <c r="X6454" s="34"/>
      <c r="Y6454" s="34"/>
    </row>
    <row r="6455" s="3" customFormat="1" customHeight="1" spans="1:25">
      <c r="A6455" s="11" t="s">
        <v>109</v>
      </c>
      <c r="B6455" s="11" t="s">
        <v>7422</v>
      </c>
      <c r="C6455" s="11" t="s">
        <v>153</v>
      </c>
      <c r="D6455" s="35" t="s">
        <v>7585</v>
      </c>
      <c r="E6455" s="13" t="s">
        <v>8313</v>
      </c>
      <c r="F6455" s="11" t="s">
        <v>8314</v>
      </c>
      <c r="G6455" s="11" t="s">
        <v>31</v>
      </c>
      <c r="H6455" s="110" t="s">
        <v>8315</v>
      </c>
      <c r="I6455" s="30" t="e">
        <f>VLOOKUP(H6455,'合同高级查询数据-4月返'!A:A,1,FALSE)</f>
        <v>#N/A</v>
      </c>
      <c r="J6455" s="31" t="s">
        <v>8343</v>
      </c>
      <c r="K6455" s="11" t="s">
        <v>8344</v>
      </c>
      <c r="L6455" s="32" t="s">
        <v>8345</v>
      </c>
      <c r="M6455" s="113" t="s">
        <v>8346</v>
      </c>
      <c r="N6455" s="193">
        <v>43438</v>
      </c>
      <c r="O6455" s="466" t="s">
        <v>37</v>
      </c>
      <c r="P6455" s="465">
        <v>0</v>
      </c>
      <c r="Q6455" s="459">
        <v>1408</v>
      </c>
      <c r="R6455" s="465">
        <f t="shared" ref="R6455:R6462" si="190">ROUND(P6455*Q6455,2)</f>
        <v>0</v>
      </c>
      <c r="S6455" s="31">
        <v>202304</v>
      </c>
      <c r="T6455" s="60" t="s">
        <v>8347</v>
      </c>
      <c r="U6455" s="411"/>
      <c r="V6455" s="411"/>
      <c r="W6455" s="411"/>
      <c r="X6455" s="34"/>
      <c r="Y6455" s="34"/>
    </row>
    <row r="6456" s="3" customFormat="1" customHeight="1" spans="1:25">
      <c r="A6456" s="11" t="s">
        <v>109</v>
      </c>
      <c r="B6456" s="11" t="s">
        <v>7422</v>
      </c>
      <c r="C6456" s="11" t="s">
        <v>153</v>
      </c>
      <c r="D6456" s="35" t="s">
        <v>7585</v>
      </c>
      <c r="E6456" s="13" t="s">
        <v>8313</v>
      </c>
      <c r="F6456" s="11" t="s">
        <v>8314</v>
      </c>
      <c r="G6456" s="11" t="s">
        <v>31</v>
      </c>
      <c r="H6456" s="110" t="s">
        <v>8315</v>
      </c>
      <c r="I6456" s="30" t="e">
        <f>VLOOKUP(H6456,'合同高级查询数据-4月返'!A:A,1,FALSE)</f>
        <v>#N/A</v>
      </c>
      <c r="J6456" s="31" t="s">
        <v>8348</v>
      </c>
      <c r="K6456" s="11" t="s">
        <v>8344</v>
      </c>
      <c r="L6456" s="32" t="s">
        <v>8345</v>
      </c>
      <c r="M6456" s="113" t="s">
        <v>8346</v>
      </c>
      <c r="N6456" s="193">
        <v>43921</v>
      </c>
      <c r="O6456" s="466" t="s">
        <v>37</v>
      </c>
      <c r="P6456" s="465">
        <v>0</v>
      </c>
      <c r="Q6456" s="459">
        <v>-1024</v>
      </c>
      <c r="R6456" s="465">
        <f t="shared" si="190"/>
        <v>0</v>
      </c>
      <c r="S6456" s="31">
        <v>202304</v>
      </c>
      <c r="T6456" s="60" t="s">
        <v>8349</v>
      </c>
      <c r="U6456" s="411"/>
      <c r="V6456" s="411"/>
      <c r="W6456" s="411"/>
      <c r="X6456" s="34"/>
      <c r="Y6456" s="34"/>
    </row>
    <row r="6457" s="3" customFormat="1" customHeight="1" spans="1:25">
      <c r="A6457" s="11" t="s">
        <v>109</v>
      </c>
      <c r="B6457" s="11" t="s">
        <v>7422</v>
      </c>
      <c r="C6457" s="11" t="s">
        <v>153</v>
      </c>
      <c r="D6457" s="35" t="s">
        <v>7585</v>
      </c>
      <c r="E6457" s="13" t="s">
        <v>8313</v>
      </c>
      <c r="F6457" s="11" t="s">
        <v>8314</v>
      </c>
      <c r="G6457" s="11" t="s">
        <v>31</v>
      </c>
      <c r="H6457" s="110" t="s">
        <v>8315</v>
      </c>
      <c r="I6457" s="30" t="e">
        <f>VLOOKUP(H6457,'合同高级查询数据-4月返'!A:A,1,FALSE)</f>
        <v>#N/A</v>
      </c>
      <c r="J6457" s="31" t="s">
        <v>8348</v>
      </c>
      <c r="K6457" s="11" t="s">
        <v>8344</v>
      </c>
      <c r="L6457" s="32" t="s">
        <v>8345</v>
      </c>
      <c r="M6457" s="113" t="s">
        <v>8346</v>
      </c>
      <c r="N6457" s="193">
        <v>44255</v>
      </c>
      <c r="O6457" s="466" t="s">
        <v>37</v>
      </c>
      <c r="P6457" s="465">
        <v>0</v>
      </c>
      <c r="Q6457" s="459">
        <v>-512</v>
      </c>
      <c r="R6457" s="465">
        <f t="shared" si="190"/>
        <v>0</v>
      </c>
      <c r="S6457" s="31">
        <v>202304</v>
      </c>
      <c r="T6457" s="60" t="s">
        <v>8350</v>
      </c>
      <c r="U6457" s="411"/>
      <c r="V6457" s="411"/>
      <c r="W6457" s="411"/>
      <c r="X6457" s="34"/>
      <c r="Y6457" s="34"/>
    </row>
    <row r="6458" s="3" customFormat="1" customHeight="1" spans="1:25">
      <c r="A6458" s="11" t="s">
        <v>109</v>
      </c>
      <c r="B6458" s="11" t="s">
        <v>7422</v>
      </c>
      <c r="C6458" s="11" t="s">
        <v>153</v>
      </c>
      <c r="D6458" s="35" t="s">
        <v>7585</v>
      </c>
      <c r="E6458" s="13" t="s">
        <v>8313</v>
      </c>
      <c r="F6458" s="11" t="s">
        <v>8314</v>
      </c>
      <c r="G6458" s="11" t="s">
        <v>88</v>
      </c>
      <c r="H6458" s="110" t="s">
        <v>8315</v>
      </c>
      <c r="I6458" s="30" t="e">
        <f>VLOOKUP(H6458,'合同高级查询数据-4月返'!A:A,1,FALSE)</f>
        <v>#N/A</v>
      </c>
      <c r="J6458" s="31" t="s">
        <v>955</v>
      </c>
      <c r="K6458" s="11" t="s">
        <v>8344</v>
      </c>
      <c r="L6458" s="32"/>
      <c r="M6458" s="113" t="s">
        <v>8346</v>
      </c>
      <c r="N6458" s="193">
        <v>43438</v>
      </c>
      <c r="O6458" s="466" t="s">
        <v>92</v>
      </c>
      <c r="P6458" s="465">
        <v>5000</v>
      </c>
      <c r="Q6458" s="459">
        <v>10</v>
      </c>
      <c r="R6458" s="465">
        <f t="shared" si="190"/>
        <v>50000</v>
      </c>
      <c r="S6458" s="31">
        <v>202304</v>
      </c>
      <c r="T6458" s="60" t="s">
        <v>8351</v>
      </c>
      <c r="U6458" s="411"/>
      <c r="V6458" s="411"/>
      <c r="W6458" s="411"/>
      <c r="X6458" s="34"/>
      <c r="Y6458" s="34"/>
    </row>
    <row r="6459" s="3" customFormat="1" customHeight="1" spans="1:25">
      <c r="A6459" s="11" t="s">
        <v>109</v>
      </c>
      <c r="B6459" s="11" t="s">
        <v>7422</v>
      </c>
      <c r="C6459" s="11" t="s">
        <v>153</v>
      </c>
      <c r="D6459" s="35" t="s">
        <v>7585</v>
      </c>
      <c r="E6459" s="13" t="s">
        <v>8313</v>
      </c>
      <c r="F6459" s="11" t="s">
        <v>8314</v>
      </c>
      <c r="G6459" s="11" t="s">
        <v>88</v>
      </c>
      <c r="H6459" s="110" t="s">
        <v>8315</v>
      </c>
      <c r="I6459" s="30" t="e">
        <f>VLOOKUP(H6459,'合同高级查询数据-4月返'!A:A,1,FALSE)</f>
        <v>#N/A</v>
      </c>
      <c r="J6459" s="31" t="s">
        <v>955</v>
      </c>
      <c r="K6459" s="11" t="s">
        <v>8344</v>
      </c>
      <c r="L6459" s="32"/>
      <c r="M6459" s="113" t="s">
        <v>8346</v>
      </c>
      <c r="N6459" s="193">
        <v>44255</v>
      </c>
      <c r="O6459" s="466" t="s">
        <v>92</v>
      </c>
      <c r="P6459" s="465">
        <v>5000</v>
      </c>
      <c r="Q6459" s="459">
        <v>-10</v>
      </c>
      <c r="R6459" s="465">
        <f t="shared" si="190"/>
        <v>-50000</v>
      </c>
      <c r="S6459" s="31">
        <v>202304</v>
      </c>
      <c r="T6459" s="60" t="s">
        <v>8352</v>
      </c>
      <c r="U6459" s="411"/>
      <c r="V6459" s="411"/>
      <c r="W6459" s="411"/>
      <c r="X6459" s="34"/>
      <c r="Y6459" s="34"/>
    </row>
    <row r="6460" s="3" customFormat="1" customHeight="1" spans="1:25">
      <c r="A6460" s="11" t="s">
        <v>109</v>
      </c>
      <c r="B6460" s="11" t="s">
        <v>7422</v>
      </c>
      <c r="C6460" s="11" t="s">
        <v>153</v>
      </c>
      <c r="D6460" s="35" t="s">
        <v>7585</v>
      </c>
      <c r="E6460" s="13" t="s">
        <v>8313</v>
      </c>
      <c r="F6460" s="11" t="s">
        <v>8314</v>
      </c>
      <c r="G6460" s="11" t="s">
        <v>88</v>
      </c>
      <c r="H6460" s="110" t="s">
        <v>8315</v>
      </c>
      <c r="I6460" s="30" t="e">
        <f>VLOOKUP(H6460,'合同高级查询数据-4月返'!A:A,1,FALSE)</f>
        <v>#N/A</v>
      </c>
      <c r="J6460" s="31" t="s">
        <v>162</v>
      </c>
      <c r="K6460" s="11" t="s">
        <v>8316</v>
      </c>
      <c r="L6460" s="32"/>
      <c r="M6460" s="113" t="s">
        <v>8346</v>
      </c>
      <c r="N6460" s="193">
        <v>43438</v>
      </c>
      <c r="O6460" s="466" t="s">
        <v>92</v>
      </c>
      <c r="P6460" s="465">
        <v>5000</v>
      </c>
      <c r="Q6460" s="459">
        <v>5</v>
      </c>
      <c r="R6460" s="465">
        <f t="shared" si="190"/>
        <v>25000</v>
      </c>
      <c r="S6460" s="31">
        <v>202304</v>
      </c>
      <c r="T6460" s="60" t="s">
        <v>8353</v>
      </c>
      <c r="U6460" s="411"/>
      <c r="V6460" s="411"/>
      <c r="W6460" s="411"/>
      <c r="X6460" s="34"/>
      <c r="Y6460" s="34"/>
    </row>
    <row r="6461" s="3" customFormat="1" customHeight="1" spans="1:25">
      <c r="A6461" s="11" t="s">
        <v>109</v>
      </c>
      <c r="B6461" s="11" t="s">
        <v>7422</v>
      </c>
      <c r="C6461" s="11" t="s">
        <v>153</v>
      </c>
      <c r="D6461" s="35" t="s">
        <v>7585</v>
      </c>
      <c r="E6461" s="13" t="s">
        <v>8313</v>
      </c>
      <c r="F6461" s="11" t="s">
        <v>8314</v>
      </c>
      <c r="G6461" s="11" t="s">
        <v>31</v>
      </c>
      <c r="H6461" s="110" t="s">
        <v>8354</v>
      </c>
      <c r="I6461" s="30" t="e">
        <f>VLOOKUP(H6461,'合同高级查询数据-4月返'!A:A,1,FALSE)</f>
        <v>#N/A</v>
      </c>
      <c r="J6461" s="31" t="s">
        <v>497</v>
      </c>
      <c r="K6461" s="11" t="s">
        <v>8355</v>
      </c>
      <c r="L6461" s="32"/>
      <c r="M6461" s="113" t="s">
        <v>1505</v>
      </c>
      <c r="N6461" s="193">
        <v>43773</v>
      </c>
      <c r="O6461" s="466" t="s">
        <v>37</v>
      </c>
      <c r="P6461" s="465">
        <v>50</v>
      </c>
      <c r="Q6461" s="459">
        <v>512</v>
      </c>
      <c r="R6461" s="465">
        <f t="shared" si="190"/>
        <v>25600</v>
      </c>
      <c r="S6461" s="31">
        <v>202304</v>
      </c>
      <c r="T6461" s="60" t="s">
        <v>8356</v>
      </c>
      <c r="U6461" s="411"/>
      <c r="V6461" s="411"/>
      <c r="W6461" s="411"/>
      <c r="X6461" s="34"/>
      <c r="Y6461" s="34"/>
    </row>
    <row r="6462" s="3" customFormat="1" customHeight="1" spans="1:25">
      <c r="A6462" s="11" t="s">
        <v>109</v>
      </c>
      <c r="B6462" s="11" t="s">
        <v>7422</v>
      </c>
      <c r="C6462" s="11" t="s">
        <v>153</v>
      </c>
      <c r="D6462" s="35" t="s">
        <v>7585</v>
      </c>
      <c r="E6462" s="13" t="s">
        <v>8313</v>
      </c>
      <c r="F6462" s="11" t="s">
        <v>8314</v>
      </c>
      <c r="G6462" s="11" t="s">
        <v>31</v>
      </c>
      <c r="H6462" s="110" t="s">
        <v>8354</v>
      </c>
      <c r="I6462" s="30" t="e">
        <f>VLOOKUP(H6462,'合同高级查询数据-4月返'!A:A,1,FALSE)</f>
        <v>#N/A</v>
      </c>
      <c r="J6462" s="31" t="s">
        <v>497</v>
      </c>
      <c r="K6462" s="11" t="s">
        <v>8355</v>
      </c>
      <c r="L6462" s="32"/>
      <c r="M6462" s="113" t="s">
        <v>1505</v>
      </c>
      <c r="N6462" s="193"/>
      <c r="O6462" s="466" t="s">
        <v>179</v>
      </c>
      <c r="P6462" s="465">
        <v>0</v>
      </c>
      <c r="Q6462" s="459">
        <v>0</v>
      </c>
      <c r="R6462" s="465">
        <f t="shared" si="190"/>
        <v>0</v>
      </c>
      <c r="S6462" s="31">
        <v>202304</v>
      </c>
      <c r="T6462" s="60" t="s">
        <v>8332</v>
      </c>
      <c r="U6462" s="411"/>
      <c r="V6462" s="411"/>
      <c r="W6462" s="411"/>
      <c r="X6462" s="34"/>
      <c r="Y6462" s="34"/>
    </row>
    <row r="6463" s="5" customFormat="1" customHeight="1" spans="1:25">
      <c r="A6463" s="24" t="s">
        <v>109</v>
      </c>
      <c r="B6463" s="24" t="s">
        <v>7422</v>
      </c>
      <c r="C6463" s="24" t="s">
        <v>153</v>
      </c>
      <c r="D6463" s="22" t="s">
        <v>7585</v>
      </c>
      <c r="E6463" s="23" t="s">
        <v>8313</v>
      </c>
      <c r="F6463" s="24" t="s">
        <v>8314</v>
      </c>
      <c r="G6463" s="24" t="s">
        <v>31</v>
      </c>
      <c r="H6463" s="25" t="s">
        <v>8357</v>
      </c>
      <c r="I6463" s="46" t="e">
        <f>VLOOKUP(H6463,'合同高级查询数据-4月返'!A:A,1,FALSE)</f>
        <v>#N/A</v>
      </c>
      <c r="J6463" s="47" t="s">
        <v>8348</v>
      </c>
      <c r="K6463" s="24" t="s">
        <v>8344</v>
      </c>
      <c r="L6463" s="109"/>
      <c r="M6463" s="475"/>
      <c r="N6463" s="229">
        <v>43647</v>
      </c>
      <c r="O6463" s="239" t="s">
        <v>37</v>
      </c>
      <c r="P6463" s="52">
        <v>6000</v>
      </c>
      <c r="Q6463" s="70">
        <v>1</v>
      </c>
      <c r="R6463" s="52">
        <v>0</v>
      </c>
      <c r="S6463" s="47">
        <v>202304</v>
      </c>
      <c r="T6463" s="123" t="s">
        <v>8358</v>
      </c>
      <c r="U6463" s="48"/>
      <c r="V6463" s="48"/>
      <c r="W6463" s="48"/>
      <c r="X6463" s="50">
        <v>44075</v>
      </c>
      <c r="Y6463" s="50">
        <v>44439</v>
      </c>
    </row>
    <row r="6464" s="5" customFormat="1" customHeight="1" spans="1:25">
      <c r="A6464" s="24" t="s">
        <v>109</v>
      </c>
      <c r="B6464" s="24" t="s">
        <v>7422</v>
      </c>
      <c r="C6464" s="24" t="s">
        <v>153</v>
      </c>
      <c r="D6464" s="22" t="s">
        <v>7585</v>
      </c>
      <c r="E6464" s="23" t="s">
        <v>8313</v>
      </c>
      <c r="F6464" s="24" t="s">
        <v>8314</v>
      </c>
      <c r="G6464" s="24" t="s">
        <v>31</v>
      </c>
      <c r="H6464" s="25" t="s">
        <v>8357</v>
      </c>
      <c r="I6464" s="46" t="e">
        <f>VLOOKUP(H6464,'合同高级查询数据-4月返'!A:A,1,FALSE)</f>
        <v>#N/A</v>
      </c>
      <c r="J6464" s="47" t="s">
        <v>8348</v>
      </c>
      <c r="K6464" s="24" t="s">
        <v>8344</v>
      </c>
      <c r="L6464" s="109"/>
      <c r="M6464" s="475"/>
      <c r="N6464" s="229">
        <v>44196</v>
      </c>
      <c r="O6464" s="239" t="s">
        <v>37</v>
      </c>
      <c r="P6464" s="52">
        <v>6000</v>
      </c>
      <c r="Q6464" s="70">
        <v>-1</v>
      </c>
      <c r="R6464" s="52">
        <v>0</v>
      </c>
      <c r="S6464" s="47">
        <v>202304</v>
      </c>
      <c r="T6464" s="123" t="s">
        <v>8359</v>
      </c>
      <c r="U6464" s="48"/>
      <c r="V6464" s="48"/>
      <c r="W6464" s="48"/>
      <c r="X6464" s="50">
        <v>44075</v>
      </c>
      <c r="Y6464" s="50">
        <v>44439</v>
      </c>
    </row>
    <row r="6465" s="3" customFormat="1" customHeight="1" spans="1:25">
      <c r="A6465" s="11" t="s">
        <v>109</v>
      </c>
      <c r="B6465" s="11" t="s">
        <v>7422</v>
      </c>
      <c r="C6465" s="11" t="s">
        <v>153</v>
      </c>
      <c r="D6465" s="35" t="s">
        <v>7585</v>
      </c>
      <c r="E6465" s="13" t="s">
        <v>8313</v>
      </c>
      <c r="F6465" s="11" t="s">
        <v>8314</v>
      </c>
      <c r="G6465" s="31" t="s">
        <v>346</v>
      </c>
      <c r="H6465" s="110" t="s">
        <v>8354</v>
      </c>
      <c r="I6465" s="30" t="e">
        <f>VLOOKUP(H6465,'合同高级查询数据-4月返'!A:A,1,FALSE)</f>
        <v>#N/A</v>
      </c>
      <c r="J6465" s="31" t="s">
        <v>346</v>
      </c>
      <c r="K6465" s="11" t="s">
        <v>8360</v>
      </c>
      <c r="L6465" s="32"/>
      <c r="M6465" s="470"/>
      <c r="N6465" s="193">
        <v>43773</v>
      </c>
      <c r="O6465" s="466" t="s">
        <v>2042</v>
      </c>
      <c r="P6465" s="465">
        <v>120000</v>
      </c>
      <c r="Q6465" s="459">
        <v>1</v>
      </c>
      <c r="R6465" s="465">
        <f t="shared" ref="R6465:R6528" si="191">ROUND(P6465*Q6465,2)</f>
        <v>120000</v>
      </c>
      <c r="S6465" s="31">
        <v>202304</v>
      </c>
      <c r="T6465" s="60" t="s">
        <v>8360</v>
      </c>
      <c r="U6465" s="411"/>
      <c r="V6465" s="411"/>
      <c r="W6465" s="411"/>
      <c r="X6465" s="34"/>
      <c r="Y6465" s="34"/>
    </row>
    <row r="6466" s="3" customFormat="1" customHeight="1" spans="1:25">
      <c r="A6466" s="11" t="s">
        <v>109</v>
      </c>
      <c r="B6466" s="11" t="s">
        <v>7422</v>
      </c>
      <c r="C6466" s="11" t="s">
        <v>153</v>
      </c>
      <c r="D6466" s="35" t="s">
        <v>7585</v>
      </c>
      <c r="E6466" s="13" t="s">
        <v>8313</v>
      </c>
      <c r="F6466" s="11" t="s">
        <v>8314</v>
      </c>
      <c r="G6466" s="11" t="s">
        <v>31</v>
      </c>
      <c r="H6466" s="110" t="s">
        <v>8315</v>
      </c>
      <c r="I6466" s="30" t="e">
        <f>VLOOKUP(H6466,'合同高级查询数据-4月返'!A:A,1,FALSE)</f>
        <v>#N/A</v>
      </c>
      <c r="J6466" s="31" t="s">
        <v>33</v>
      </c>
      <c r="K6466" s="35" t="s">
        <v>8316</v>
      </c>
      <c r="L6466" s="35" t="s">
        <v>8361</v>
      </c>
      <c r="M6466" s="35" t="s">
        <v>8318</v>
      </c>
      <c r="N6466" s="34">
        <v>43852</v>
      </c>
      <c r="O6466" s="35" t="s">
        <v>37</v>
      </c>
      <c r="P6466" s="508">
        <v>0</v>
      </c>
      <c r="Q6466" s="488">
        <v>288</v>
      </c>
      <c r="R6466" s="465">
        <f t="shared" si="191"/>
        <v>0</v>
      </c>
      <c r="S6466" s="31">
        <v>202304</v>
      </c>
      <c r="T6466" s="60" t="s">
        <v>8362</v>
      </c>
      <c r="U6466" s="104"/>
      <c r="V6466" s="438"/>
      <c r="W6466" s="104"/>
      <c r="X6466" s="34"/>
      <c r="Y6466" s="34"/>
    </row>
    <row r="6467" s="3" customFormat="1" customHeight="1" spans="1:25">
      <c r="A6467" s="11" t="s">
        <v>109</v>
      </c>
      <c r="B6467" s="11" t="s">
        <v>7422</v>
      </c>
      <c r="C6467" s="11" t="s">
        <v>153</v>
      </c>
      <c r="D6467" s="35" t="s">
        <v>7585</v>
      </c>
      <c r="E6467" s="13" t="s">
        <v>8313</v>
      </c>
      <c r="F6467" s="11" t="s">
        <v>8314</v>
      </c>
      <c r="G6467" s="11" t="s">
        <v>31</v>
      </c>
      <c r="H6467" s="110" t="s">
        <v>8315</v>
      </c>
      <c r="I6467" s="30" t="e">
        <f>VLOOKUP(H6467,'合同高级查询数据-4月返'!A:A,1,FALSE)</f>
        <v>#N/A</v>
      </c>
      <c r="J6467" s="31" t="s">
        <v>33</v>
      </c>
      <c r="K6467" s="35" t="s">
        <v>8316</v>
      </c>
      <c r="L6467" s="35" t="s">
        <v>8361</v>
      </c>
      <c r="M6467" s="35" t="s">
        <v>8318</v>
      </c>
      <c r="N6467" s="34">
        <v>44926</v>
      </c>
      <c r="O6467" s="35" t="s">
        <v>37</v>
      </c>
      <c r="P6467" s="508">
        <v>0</v>
      </c>
      <c r="Q6467" s="488">
        <v>-288</v>
      </c>
      <c r="R6467" s="465">
        <f t="shared" si="191"/>
        <v>0</v>
      </c>
      <c r="S6467" s="31">
        <v>202304</v>
      </c>
      <c r="T6467" s="60" t="s">
        <v>8363</v>
      </c>
      <c r="U6467" s="104"/>
      <c r="V6467" s="438"/>
      <c r="W6467" s="104"/>
      <c r="X6467" s="34"/>
      <c r="Y6467" s="34"/>
    </row>
    <row r="6468" s="3" customFormat="1" customHeight="1" spans="1:25">
      <c r="A6468" s="11" t="s">
        <v>109</v>
      </c>
      <c r="B6468" s="11" t="s">
        <v>7422</v>
      </c>
      <c r="C6468" s="11" t="s">
        <v>153</v>
      </c>
      <c r="D6468" s="35" t="s">
        <v>7585</v>
      </c>
      <c r="E6468" s="13" t="s">
        <v>8313</v>
      </c>
      <c r="F6468" s="11" t="s">
        <v>8314</v>
      </c>
      <c r="G6468" s="11" t="s">
        <v>31</v>
      </c>
      <c r="H6468" s="110" t="s">
        <v>8315</v>
      </c>
      <c r="I6468" s="30" t="e">
        <f>VLOOKUP(H6468,'合同高级查询数据-4月返'!A:A,1,FALSE)</f>
        <v>#N/A</v>
      </c>
      <c r="J6468" s="31" t="s">
        <v>33</v>
      </c>
      <c r="K6468" s="35" t="s">
        <v>8316</v>
      </c>
      <c r="L6468" s="35" t="s">
        <v>8364</v>
      </c>
      <c r="M6468" s="35" t="s">
        <v>8320</v>
      </c>
      <c r="N6468" s="34">
        <v>44470</v>
      </c>
      <c r="O6468" s="35" t="s">
        <v>37</v>
      </c>
      <c r="P6468" s="508">
        <v>0</v>
      </c>
      <c r="Q6468" s="488">
        <v>256</v>
      </c>
      <c r="R6468" s="465">
        <f t="shared" si="191"/>
        <v>0</v>
      </c>
      <c r="S6468" s="31">
        <v>202304</v>
      </c>
      <c r="T6468" s="483" t="s">
        <v>8365</v>
      </c>
      <c r="U6468" s="104"/>
      <c r="V6468" s="438"/>
      <c r="W6468" s="104"/>
      <c r="X6468" s="34"/>
      <c r="Y6468" s="34"/>
    </row>
    <row r="6469" s="3" customFormat="1" customHeight="1" spans="1:25">
      <c r="A6469" s="11" t="s">
        <v>109</v>
      </c>
      <c r="B6469" s="11" t="s">
        <v>7422</v>
      </c>
      <c r="C6469" s="11" t="s">
        <v>153</v>
      </c>
      <c r="D6469" s="35" t="s">
        <v>7585</v>
      </c>
      <c r="E6469" s="13" t="s">
        <v>8313</v>
      </c>
      <c r="F6469" s="11" t="s">
        <v>8314</v>
      </c>
      <c r="G6469" s="11" t="s">
        <v>31</v>
      </c>
      <c r="H6469" s="110" t="s">
        <v>8315</v>
      </c>
      <c r="I6469" s="30" t="e">
        <f>VLOOKUP(H6469,'合同高级查询数据-4月返'!A:A,1,FALSE)</f>
        <v>#N/A</v>
      </c>
      <c r="J6469" s="31" t="s">
        <v>33</v>
      </c>
      <c r="K6469" s="35" t="s">
        <v>8316</v>
      </c>
      <c r="L6469" s="35" t="s">
        <v>8364</v>
      </c>
      <c r="M6469" s="35" t="s">
        <v>8320</v>
      </c>
      <c r="N6469" s="34">
        <v>44937</v>
      </c>
      <c r="O6469" s="35" t="s">
        <v>37</v>
      </c>
      <c r="P6469" s="508">
        <v>0</v>
      </c>
      <c r="Q6469" s="488">
        <v>-128</v>
      </c>
      <c r="R6469" s="465">
        <f t="shared" si="191"/>
        <v>0</v>
      </c>
      <c r="S6469" s="31">
        <v>202304</v>
      </c>
      <c r="T6469" s="483" t="s">
        <v>8366</v>
      </c>
      <c r="U6469" s="104"/>
      <c r="V6469" s="438"/>
      <c r="W6469" s="104"/>
      <c r="X6469" s="34"/>
      <c r="Y6469" s="34"/>
    </row>
    <row r="6470" s="3" customFormat="1" customHeight="1" spans="1:25">
      <c r="A6470" s="11" t="s">
        <v>109</v>
      </c>
      <c r="B6470" s="11" t="s">
        <v>7422</v>
      </c>
      <c r="C6470" s="11" t="s">
        <v>153</v>
      </c>
      <c r="D6470" s="35" t="s">
        <v>7585</v>
      </c>
      <c r="E6470" s="13" t="s">
        <v>8313</v>
      </c>
      <c r="F6470" s="11" t="s">
        <v>8314</v>
      </c>
      <c r="G6470" s="11" t="s">
        <v>88</v>
      </c>
      <c r="H6470" s="110" t="s">
        <v>8315</v>
      </c>
      <c r="I6470" s="30" t="e">
        <f>VLOOKUP(H6470,'合同高级查询数据-4月返'!A:A,1,FALSE)</f>
        <v>#N/A</v>
      </c>
      <c r="J6470" s="31" t="s">
        <v>162</v>
      </c>
      <c r="K6470" s="35" t="s">
        <v>8316</v>
      </c>
      <c r="L6470" s="35" t="s">
        <v>8367</v>
      </c>
      <c r="M6470" s="35" t="s">
        <v>8318</v>
      </c>
      <c r="N6470" s="34">
        <v>43852</v>
      </c>
      <c r="O6470" s="35" t="s">
        <v>92</v>
      </c>
      <c r="P6470" s="508">
        <v>5000</v>
      </c>
      <c r="Q6470" s="488">
        <v>6</v>
      </c>
      <c r="R6470" s="465">
        <f t="shared" si="191"/>
        <v>30000</v>
      </c>
      <c r="S6470" s="31">
        <v>202304</v>
      </c>
      <c r="T6470" s="483" t="s">
        <v>8368</v>
      </c>
      <c r="U6470" s="104"/>
      <c r="V6470" s="438"/>
      <c r="W6470" s="104"/>
      <c r="X6470" s="34"/>
      <c r="Y6470" s="34"/>
    </row>
    <row r="6471" s="3" customFormat="1" customHeight="1" spans="1:25">
      <c r="A6471" s="11" t="s">
        <v>109</v>
      </c>
      <c r="B6471" s="11" t="s">
        <v>7422</v>
      </c>
      <c r="C6471" s="11" t="s">
        <v>153</v>
      </c>
      <c r="D6471" s="35" t="s">
        <v>7585</v>
      </c>
      <c r="E6471" s="13" t="s">
        <v>8313</v>
      </c>
      <c r="F6471" s="11" t="s">
        <v>8314</v>
      </c>
      <c r="G6471" s="11" t="s">
        <v>88</v>
      </c>
      <c r="H6471" s="110" t="s">
        <v>8315</v>
      </c>
      <c r="I6471" s="30" t="e">
        <f>VLOOKUP(H6471,'合同高级查询数据-4月返'!A:A,1,FALSE)</f>
        <v>#N/A</v>
      </c>
      <c r="J6471" s="31" t="s">
        <v>162</v>
      </c>
      <c r="K6471" s="35" t="s">
        <v>8316</v>
      </c>
      <c r="L6471" s="35" t="s">
        <v>8367</v>
      </c>
      <c r="M6471" s="35" t="s">
        <v>8318</v>
      </c>
      <c r="N6471" s="34">
        <v>44926</v>
      </c>
      <c r="O6471" s="35" t="s">
        <v>92</v>
      </c>
      <c r="P6471" s="508">
        <v>5000</v>
      </c>
      <c r="Q6471" s="488">
        <v>-2</v>
      </c>
      <c r="R6471" s="465">
        <f t="shared" si="191"/>
        <v>-10000</v>
      </c>
      <c r="S6471" s="31">
        <v>202304</v>
      </c>
      <c r="T6471" s="483" t="s">
        <v>8369</v>
      </c>
      <c r="U6471" s="104"/>
      <c r="V6471" s="438"/>
      <c r="W6471" s="104"/>
      <c r="X6471" s="34"/>
      <c r="Y6471" s="34"/>
    </row>
    <row r="6472" s="3" customFormat="1" customHeight="1" spans="1:25">
      <c r="A6472" s="11" t="s">
        <v>109</v>
      </c>
      <c r="B6472" s="11" t="s">
        <v>7422</v>
      </c>
      <c r="C6472" s="11" t="s">
        <v>153</v>
      </c>
      <c r="D6472" s="35" t="s">
        <v>7585</v>
      </c>
      <c r="E6472" s="13" t="s">
        <v>8313</v>
      </c>
      <c r="F6472" s="11" t="s">
        <v>8314</v>
      </c>
      <c r="G6472" s="11" t="s">
        <v>88</v>
      </c>
      <c r="H6472" s="110" t="s">
        <v>8315</v>
      </c>
      <c r="I6472" s="30" t="e">
        <f>VLOOKUP(H6472,'合同高级查询数据-4月返'!A:A,1,FALSE)</f>
        <v>#N/A</v>
      </c>
      <c r="J6472" s="31" t="s">
        <v>162</v>
      </c>
      <c r="K6472" s="35" t="s">
        <v>8316</v>
      </c>
      <c r="L6472" s="35" t="s">
        <v>8367</v>
      </c>
      <c r="M6472" s="35" t="s">
        <v>8318</v>
      </c>
      <c r="N6472" s="34">
        <v>44926</v>
      </c>
      <c r="O6472" s="35" t="s">
        <v>92</v>
      </c>
      <c r="P6472" s="508">
        <v>5000</v>
      </c>
      <c r="Q6472" s="488">
        <v>-4</v>
      </c>
      <c r="R6472" s="465">
        <f t="shared" si="191"/>
        <v>-20000</v>
      </c>
      <c r="S6472" s="31">
        <v>202304</v>
      </c>
      <c r="T6472" s="483" t="s">
        <v>8370</v>
      </c>
      <c r="U6472" s="104"/>
      <c r="V6472" s="438"/>
      <c r="W6472" s="104"/>
      <c r="X6472" s="34"/>
      <c r="Y6472" s="34"/>
    </row>
    <row r="6473" s="3" customFormat="1" customHeight="1" spans="1:25">
      <c r="A6473" s="11" t="s">
        <v>109</v>
      </c>
      <c r="B6473" s="11" t="s">
        <v>7422</v>
      </c>
      <c r="C6473" s="11" t="s">
        <v>153</v>
      </c>
      <c r="D6473" s="35" t="s">
        <v>7585</v>
      </c>
      <c r="E6473" s="13" t="s">
        <v>8313</v>
      </c>
      <c r="F6473" s="11" t="s">
        <v>8314</v>
      </c>
      <c r="G6473" s="11" t="s">
        <v>88</v>
      </c>
      <c r="H6473" s="110" t="s">
        <v>8315</v>
      </c>
      <c r="I6473" s="30" t="e">
        <f>VLOOKUP(H6473,'合同高级查询数据-4月返'!A:A,1,FALSE)</f>
        <v>#N/A</v>
      </c>
      <c r="J6473" s="31" t="s">
        <v>162</v>
      </c>
      <c r="K6473" s="35" t="s">
        <v>8316</v>
      </c>
      <c r="L6473" s="35" t="s">
        <v>8364</v>
      </c>
      <c r="M6473" s="35" t="s">
        <v>8318</v>
      </c>
      <c r="N6473" s="34">
        <v>44927</v>
      </c>
      <c r="O6473" s="35" t="s">
        <v>92</v>
      </c>
      <c r="P6473" s="508">
        <v>5000</v>
      </c>
      <c r="Q6473" s="488">
        <v>4</v>
      </c>
      <c r="R6473" s="465">
        <f t="shared" si="191"/>
        <v>20000</v>
      </c>
      <c r="S6473" s="31">
        <v>202304</v>
      </c>
      <c r="T6473" s="483" t="s">
        <v>8371</v>
      </c>
      <c r="U6473" s="104"/>
      <c r="V6473" s="438"/>
      <c r="W6473" s="104"/>
      <c r="X6473" s="34"/>
      <c r="Y6473" s="34"/>
    </row>
    <row r="6474" s="3" customFormat="1" customHeight="1" spans="1:25">
      <c r="A6474" s="11" t="s">
        <v>109</v>
      </c>
      <c r="B6474" s="11" t="s">
        <v>7422</v>
      </c>
      <c r="C6474" s="11" t="s">
        <v>337</v>
      </c>
      <c r="D6474" s="35" t="s">
        <v>28</v>
      </c>
      <c r="E6474" s="13" t="s">
        <v>8313</v>
      </c>
      <c r="F6474" s="11" t="s">
        <v>8314</v>
      </c>
      <c r="G6474" s="11" t="s">
        <v>31</v>
      </c>
      <c r="H6474" s="110" t="s">
        <v>8372</v>
      </c>
      <c r="I6474" s="30" t="e">
        <f>VLOOKUP(H6474,'合同高级查询数据-4月返'!A:A,1,FALSE)</f>
        <v>#N/A</v>
      </c>
      <c r="J6474" s="31" t="s">
        <v>33</v>
      </c>
      <c r="K6474" s="11" t="s">
        <v>339</v>
      </c>
      <c r="L6474" s="35" t="s">
        <v>8373</v>
      </c>
      <c r="M6474" s="35" t="s">
        <v>8374</v>
      </c>
      <c r="N6474" s="34">
        <v>43831</v>
      </c>
      <c r="O6474" s="35" t="s">
        <v>37</v>
      </c>
      <c r="P6474" s="508">
        <v>0</v>
      </c>
      <c r="Q6474" s="488">
        <v>352</v>
      </c>
      <c r="R6474" s="465">
        <f t="shared" si="191"/>
        <v>0</v>
      </c>
      <c r="S6474" s="31">
        <v>202304</v>
      </c>
      <c r="T6474" s="483" t="s">
        <v>8375</v>
      </c>
      <c r="U6474" s="104"/>
      <c r="V6474" s="411"/>
      <c r="W6474" s="411"/>
      <c r="X6474" s="34"/>
      <c r="Y6474" s="34"/>
    </row>
    <row r="6475" s="3" customFormat="1" customHeight="1" spans="1:25">
      <c r="A6475" s="11" t="s">
        <v>109</v>
      </c>
      <c r="B6475" s="11" t="s">
        <v>7422</v>
      </c>
      <c r="C6475" s="11" t="s">
        <v>337</v>
      </c>
      <c r="D6475" s="35" t="s">
        <v>28</v>
      </c>
      <c r="E6475" s="13" t="s">
        <v>8313</v>
      </c>
      <c r="F6475" s="11" t="s">
        <v>8314</v>
      </c>
      <c r="G6475" s="11" t="s">
        <v>31</v>
      </c>
      <c r="H6475" s="110" t="s">
        <v>8372</v>
      </c>
      <c r="I6475" s="30" t="e">
        <f>VLOOKUP(H6475,'合同高级查询数据-4月返'!A:A,1,FALSE)</f>
        <v>#N/A</v>
      </c>
      <c r="J6475" s="31" t="s">
        <v>33</v>
      </c>
      <c r="K6475" s="11" t="s">
        <v>339</v>
      </c>
      <c r="L6475" s="35" t="s">
        <v>8373</v>
      </c>
      <c r="M6475" s="35" t="s">
        <v>8374</v>
      </c>
      <c r="N6475" s="34"/>
      <c r="O6475" s="35" t="s">
        <v>179</v>
      </c>
      <c r="P6475" s="508">
        <v>0</v>
      </c>
      <c r="Q6475" s="488">
        <v>0</v>
      </c>
      <c r="R6475" s="465">
        <f t="shared" si="191"/>
        <v>0</v>
      </c>
      <c r="S6475" s="31">
        <v>202304</v>
      </c>
      <c r="T6475" s="483" t="s">
        <v>7787</v>
      </c>
      <c r="U6475" s="104"/>
      <c r="V6475" s="411"/>
      <c r="W6475" s="411"/>
      <c r="X6475" s="34"/>
      <c r="Y6475" s="34"/>
    </row>
    <row r="6476" s="3" customFormat="1" customHeight="1" spans="1:25">
      <c r="A6476" s="11" t="s">
        <v>109</v>
      </c>
      <c r="B6476" s="11" t="s">
        <v>7422</v>
      </c>
      <c r="C6476" s="11" t="s">
        <v>337</v>
      </c>
      <c r="D6476" s="35" t="s">
        <v>28</v>
      </c>
      <c r="E6476" s="13" t="s">
        <v>8313</v>
      </c>
      <c r="F6476" s="11" t="s">
        <v>8314</v>
      </c>
      <c r="G6476" s="11" t="s">
        <v>88</v>
      </c>
      <c r="H6476" s="110" t="s">
        <v>8372</v>
      </c>
      <c r="I6476" s="30" t="e">
        <f>VLOOKUP(H6476,'合同高级查询数据-4月返'!A:A,1,FALSE)</f>
        <v>#N/A</v>
      </c>
      <c r="J6476" s="31" t="s">
        <v>162</v>
      </c>
      <c r="K6476" s="11" t="s">
        <v>339</v>
      </c>
      <c r="L6476" s="35" t="s">
        <v>8373</v>
      </c>
      <c r="M6476" s="35" t="s">
        <v>8374</v>
      </c>
      <c r="N6476" s="34">
        <v>43812</v>
      </c>
      <c r="O6476" s="35" t="s">
        <v>92</v>
      </c>
      <c r="P6476" s="508">
        <v>4350</v>
      </c>
      <c r="Q6476" s="488">
        <v>4</v>
      </c>
      <c r="R6476" s="465">
        <f t="shared" si="191"/>
        <v>17400</v>
      </c>
      <c r="S6476" s="31">
        <v>202304</v>
      </c>
      <c r="T6476" s="60" t="s">
        <v>8376</v>
      </c>
      <c r="U6476" s="104"/>
      <c r="V6476" s="438"/>
      <c r="W6476" s="104"/>
      <c r="X6476" s="34"/>
      <c r="Y6476" s="34"/>
    </row>
    <row r="6477" s="3" customFormat="1" customHeight="1" spans="1:25">
      <c r="A6477" s="11" t="s">
        <v>109</v>
      </c>
      <c r="B6477" s="11" t="s">
        <v>7422</v>
      </c>
      <c r="C6477" s="11" t="s">
        <v>337</v>
      </c>
      <c r="D6477" s="35" t="s">
        <v>28</v>
      </c>
      <c r="E6477" s="13" t="s">
        <v>8313</v>
      </c>
      <c r="F6477" s="11" t="s">
        <v>8314</v>
      </c>
      <c r="G6477" s="11" t="s">
        <v>88</v>
      </c>
      <c r="H6477" s="110" t="s">
        <v>8372</v>
      </c>
      <c r="I6477" s="30" t="e">
        <f>VLOOKUP(H6477,'合同高级查询数据-4月返'!A:A,1,FALSE)</f>
        <v>#N/A</v>
      </c>
      <c r="J6477" s="31" t="s">
        <v>162</v>
      </c>
      <c r="K6477" s="11" t="s">
        <v>339</v>
      </c>
      <c r="L6477" s="35" t="s">
        <v>8373</v>
      </c>
      <c r="M6477" s="35" t="s">
        <v>8374</v>
      </c>
      <c r="N6477" s="34">
        <v>43952</v>
      </c>
      <c r="O6477" s="35" t="s">
        <v>92</v>
      </c>
      <c r="P6477" s="508">
        <v>4350</v>
      </c>
      <c r="Q6477" s="488">
        <v>2</v>
      </c>
      <c r="R6477" s="465">
        <f t="shared" si="191"/>
        <v>8700</v>
      </c>
      <c r="S6477" s="31">
        <v>202304</v>
      </c>
      <c r="T6477" s="483" t="s">
        <v>8377</v>
      </c>
      <c r="U6477" s="104"/>
      <c r="V6477" s="438"/>
      <c r="W6477" s="104"/>
      <c r="X6477" s="34"/>
      <c r="Y6477" s="34"/>
    </row>
    <row r="6478" s="5" customFormat="1" customHeight="1" spans="1:25">
      <c r="A6478" s="24" t="s">
        <v>109</v>
      </c>
      <c r="B6478" s="24" t="s">
        <v>7422</v>
      </c>
      <c r="C6478" s="24" t="s">
        <v>2173</v>
      </c>
      <c r="D6478" s="22" t="s">
        <v>28</v>
      </c>
      <c r="E6478" s="23" t="s">
        <v>8313</v>
      </c>
      <c r="F6478" s="24" t="s">
        <v>8314</v>
      </c>
      <c r="G6478" s="24" t="s">
        <v>31</v>
      </c>
      <c r="H6478" s="25" t="s">
        <v>8378</v>
      </c>
      <c r="I6478" s="46" t="e">
        <f>VLOOKUP(H6478,'合同高级查询数据-4月返'!A:A,1,FALSE)</f>
        <v>#N/A</v>
      </c>
      <c r="J6478" s="47" t="s">
        <v>33</v>
      </c>
      <c r="K6478" s="24" t="s">
        <v>5103</v>
      </c>
      <c r="L6478" s="109" t="s">
        <v>8379</v>
      </c>
      <c r="M6478" s="49" t="s">
        <v>8380</v>
      </c>
      <c r="N6478" s="50">
        <v>43852</v>
      </c>
      <c r="O6478" s="22" t="s">
        <v>37</v>
      </c>
      <c r="P6478" s="52">
        <v>0</v>
      </c>
      <c r="Q6478" s="486">
        <v>416</v>
      </c>
      <c r="R6478" s="52">
        <f t="shared" si="191"/>
        <v>0</v>
      </c>
      <c r="S6478" s="47">
        <v>202304</v>
      </c>
      <c r="T6478" s="123" t="s">
        <v>8381</v>
      </c>
      <c r="U6478" s="97"/>
      <c r="V6478" s="453"/>
      <c r="W6478" s="97"/>
      <c r="X6478" s="493">
        <v>44197</v>
      </c>
      <c r="Y6478" s="493">
        <v>44561</v>
      </c>
    </row>
    <row r="6479" s="5" customFormat="1" customHeight="1" spans="1:25">
      <c r="A6479" s="24" t="s">
        <v>109</v>
      </c>
      <c r="B6479" s="24" t="s">
        <v>7422</v>
      </c>
      <c r="C6479" s="24" t="s">
        <v>2173</v>
      </c>
      <c r="D6479" s="22" t="s">
        <v>28</v>
      </c>
      <c r="E6479" s="23" t="s">
        <v>8313</v>
      </c>
      <c r="F6479" s="24" t="s">
        <v>8314</v>
      </c>
      <c r="G6479" s="24" t="s">
        <v>88</v>
      </c>
      <c r="H6479" s="25" t="s">
        <v>8378</v>
      </c>
      <c r="I6479" s="46" t="e">
        <f>VLOOKUP(H6479,'合同高级查询数据-4月返'!A:A,1,FALSE)</f>
        <v>#N/A</v>
      </c>
      <c r="J6479" s="47" t="s">
        <v>162</v>
      </c>
      <c r="K6479" s="24" t="s">
        <v>5103</v>
      </c>
      <c r="L6479" s="109" t="s">
        <v>8379</v>
      </c>
      <c r="M6479" s="49" t="s">
        <v>8380</v>
      </c>
      <c r="N6479" s="50">
        <v>43852</v>
      </c>
      <c r="O6479" s="22" t="s">
        <v>163</v>
      </c>
      <c r="P6479" s="52">
        <v>5000</v>
      </c>
      <c r="Q6479" s="70">
        <v>5</v>
      </c>
      <c r="R6479" s="52">
        <f t="shared" si="191"/>
        <v>25000</v>
      </c>
      <c r="S6479" s="47">
        <v>202304</v>
      </c>
      <c r="T6479" s="123" t="s">
        <v>8382</v>
      </c>
      <c r="U6479" s="97"/>
      <c r="V6479" s="453"/>
      <c r="W6479" s="97"/>
      <c r="X6479" s="493">
        <v>44197</v>
      </c>
      <c r="Y6479" s="493">
        <v>44561</v>
      </c>
    </row>
    <row r="6480" s="5" customFormat="1" customHeight="1" spans="1:25">
      <c r="A6480" s="24" t="s">
        <v>109</v>
      </c>
      <c r="B6480" s="24" t="s">
        <v>7422</v>
      </c>
      <c r="C6480" s="24" t="s">
        <v>2173</v>
      </c>
      <c r="D6480" s="22" t="s">
        <v>28</v>
      </c>
      <c r="E6480" s="23" t="s">
        <v>8313</v>
      </c>
      <c r="F6480" s="24" t="s">
        <v>8314</v>
      </c>
      <c r="G6480" s="24" t="s">
        <v>88</v>
      </c>
      <c r="H6480" s="25" t="s">
        <v>8378</v>
      </c>
      <c r="I6480" s="46" t="e">
        <f>VLOOKUP(H6480,'合同高级查询数据-4月返'!A:A,1,FALSE)</f>
        <v>#N/A</v>
      </c>
      <c r="J6480" s="47" t="s">
        <v>162</v>
      </c>
      <c r="K6480" s="24" t="s">
        <v>5103</v>
      </c>
      <c r="L6480" s="109" t="s">
        <v>8379</v>
      </c>
      <c r="M6480" s="49" t="s">
        <v>8380</v>
      </c>
      <c r="N6480" s="50">
        <v>44197</v>
      </c>
      <c r="O6480" s="22" t="s">
        <v>163</v>
      </c>
      <c r="P6480" s="52">
        <v>5000</v>
      </c>
      <c r="Q6480" s="70">
        <v>1</v>
      </c>
      <c r="R6480" s="52">
        <f t="shared" si="191"/>
        <v>5000</v>
      </c>
      <c r="S6480" s="47">
        <v>202304</v>
      </c>
      <c r="T6480" s="123" t="s">
        <v>8383</v>
      </c>
      <c r="U6480" s="97"/>
      <c r="V6480" s="453"/>
      <c r="W6480" s="97"/>
      <c r="X6480" s="493">
        <v>44197</v>
      </c>
      <c r="Y6480" s="493">
        <v>44561</v>
      </c>
    </row>
    <row r="6481" s="5" customFormat="1" customHeight="1" spans="1:25">
      <c r="A6481" s="24" t="s">
        <v>109</v>
      </c>
      <c r="B6481" s="24" t="s">
        <v>7422</v>
      </c>
      <c r="C6481" s="24" t="s">
        <v>2173</v>
      </c>
      <c r="D6481" s="22" t="s">
        <v>28</v>
      </c>
      <c r="E6481" s="23" t="s">
        <v>8313</v>
      </c>
      <c r="F6481" s="24" t="s">
        <v>8314</v>
      </c>
      <c r="G6481" s="24" t="s">
        <v>88</v>
      </c>
      <c r="H6481" s="25" t="s">
        <v>8378</v>
      </c>
      <c r="I6481" s="46" t="e">
        <f>VLOOKUP(H6481,'合同高级查询数据-4月返'!A:A,1,FALSE)</f>
        <v>#N/A</v>
      </c>
      <c r="J6481" s="47" t="s">
        <v>162</v>
      </c>
      <c r="K6481" s="24" t="s">
        <v>5103</v>
      </c>
      <c r="L6481" s="109" t="s">
        <v>8379</v>
      </c>
      <c r="M6481" s="49" t="s">
        <v>8380</v>
      </c>
      <c r="N6481" s="50">
        <v>44286</v>
      </c>
      <c r="O6481" s="22" t="s">
        <v>163</v>
      </c>
      <c r="P6481" s="52">
        <v>5000</v>
      </c>
      <c r="Q6481" s="70">
        <v>-6</v>
      </c>
      <c r="R6481" s="52">
        <f t="shared" si="191"/>
        <v>-30000</v>
      </c>
      <c r="S6481" s="47">
        <v>202304</v>
      </c>
      <c r="T6481" s="123" t="s">
        <v>8384</v>
      </c>
      <c r="U6481" s="97"/>
      <c r="V6481" s="453"/>
      <c r="W6481" s="97"/>
      <c r="X6481" s="493">
        <v>44197</v>
      </c>
      <c r="Y6481" s="493">
        <v>44561</v>
      </c>
    </row>
    <row r="6482" s="5" customFormat="1" customHeight="1" spans="1:25">
      <c r="A6482" s="24" t="s">
        <v>109</v>
      </c>
      <c r="B6482" s="24" t="s">
        <v>7422</v>
      </c>
      <c r="C6482" s="24" t="s">
        <v>27</v>
      </c>
      <c r="D6482" s="22" t="s">
        <v>7585</v>
      </c>
      <c r="E6482" s="23" t="s">
        <v>8313</v>
      </c>
      <c r="F6482" s="24" t="s">
        <v>8314</v>
      </c>
      <c r="G6482" s="24" t="s">
        <v>31</v>
      </c>
      <c r="H6482" s="25" t="s">
        <v>8385</v>
      </c>
      <c r="I6482" s="46" t="e">
        <f>VLOOKUP(H6482,'合同高级查询数据-4月返'!A:A,1,FALSE)</f>
        <v>#N/A</v>
      </c>
      <c r="J6482" s="47" t="s">
        <v>33</v>
      </c>
      <c r="K6482" s="24" t="s">
        <v>34</v>
      </c>
      <c r="L6482" s="109" t="s">
        <v>8386</v>
      </c>
      <c r="M6482" s="49" t="s">
        <v>8387</v>
      </c>
      <c r="N6482" s="493">
        <v>43952</v>
      </c>
      <c r="O6482" s="22" t="s">
        <v>37</v>
      </c>
      <c r="P6482" s="452">
        <v>0</v>
      </c>
      <c r="Q6482" s="70">
        <v>288</v>
      </c>
      <c r="R6482" s="52">
        <f t="shared" si="191"/>
        <v>0</v>
      </c>
      <c r="S6482" s="47">
        <v>202304</v>
      </c>
      <c r="T6482" s="123" t="s">
        <v>8388</v>
      </c>
      <c r="U6482" s="97"/>
      <c r="V6482" s="453"/>
      <c r="W6482" s="97"/>
      <c r="X6482" s="50">
        <v>44287</v>
      </c>
      <c r="Y6482" s="50">
        <v>44561</v>
      </c>
    </row>
    <row r="6483" s="5" customFormat="1" customHeight="1" spans="1:25">
      <c r="A6483" s="24" t="s">
        <v>109</v>
      </c>
      <c r="B6483" s="24" t="s">
        <v>7422</v>
      </c>
      <c r="C6483" s="24" t="s">
        <v>27</v>
      </c>
      <c r="D6483" s="22" t="s">
        <v>7585</v>
      </c>
      <c r="E6483" s="23" t="s">
        <v>8313</v>
      </c>
      <c r="F6483" s="24" t="s">
        <v>8314</v>
      </c>
      <c r="G6483" s="24" t="s">
        <v>31</v>
      </c>
      <c r="H6483" s="25" t="s">
        <v>8385</v>
      </c>
      <c r="I6483" s="46" t="e">
        <f>VLOOKUP(H6483,'合同高级查询数据-4月返'!A:A,1,FALSE)</f>
        <v>#N/A</v>
      </c>
      <c r="J6483" s="47" t="s">
        <v>33</v>
      </c>
      <c r="K6483" s="24" t="s">
        <v>34</v>
      </c>
      <c r="L6483" s="109" t="s">
        <v>8386</v>
      </c>
      <c r="M6483" s="49" t="s">
        <v>8387</v>
      </c>
      <c r="N6483" s="509">
        <v>44469</v>
      </c>
      <c r="O6483" s="22" t="s">
        <v>37</v>
      </c>
      <c r="P6483" s="452">
        <v>0</v>
      </c>
      <c r="Q6483" s="70">
        <v>-288</v>
      </c>
      <c r="R6483" s="52">
        <f t="shared" si="191"/>
        <v>0</v>
      </c>
      <c r="S6483" s="47">
        <v>202304</v>
      </c>
      <c r="T6483" s="123" t="s">
        <v>8389</v>
      </c>
      <c r="U6483" s="97"/>
      <c r="V6483" s="453"/>
      <c r="W6483" s="97"/>
      <c r="X6483" s="50">
        <v>44287</v>
      </c>
      <c r="Y6483" s="50">
        <v>44561</v>
      </c>
    </row>
    <row r="6484" s="5" customFormat="1" customHeight="1" spans="1:25">
      <c r="A6484" s="24" t="s">
        <v>109</v>
      </c>
      <c r="B6484" s="22" t="s">
        <v>7422</v>
      </c>
      <c r="C6484" s="22" t="s">
        <v>27</v>
      </c>
      <c r="D6484" s="22" t="s">
        <v>7585</v>
      </c>
      <c r="E6484" s="23" t="s">
        <v>8313</v>
      </c>
      <c r="F6484" s="24" t="s">
        <v>8314</v>
      </c>
      <c r="G6484" s="24" t="s">
        <v>31</v>
      </c>
      <c r="H6484" s="25" t="s">
        <v>8385</v>
      </c>
      <c r="I6484" s="46" t="e">
        <f>VLOOKUP(H6484,'合同高级查询数据-4月返'!A:A,1,FALSE)</f>
        <v>#N/A</v>
      </c>
      <c r="J6484" s="47" t="s">
        <v>33</v>
      </c>
      <c r="K6484" s="24" t="s">
        <v>34</v>
      </c>
      <c r="L6484" s="109" t="s">
        <v>8390</v>
      </c>
      <c r="M6484" s="49" t="s">
        <v>8387</v>
      </c>
      <c r="N6484" s="509">
        <v>44287</v>
      </c>
      <c r="O6484" s="22" t="s">
        <v>37</v>
      </c>
      <c r="P6484" s="52">
        <v>0</v>
      </c>
      <c r="Q6484" s="70">
        <v>288</v>
      </c>
      <c r="R6484" s="52">
        <f t="shared" si="191"/>
        <v>0</v>
      </c>
      <c r="S6484" s="47">
        <v>202304</v>
      </c>
      <c r="T6484" s="123" t="s">
        <v>8391</v>
      </c>
      <c r="U6484" s="97"/>
      <c r="V6484" s="453"/>
      <c r="W6484" s="453"/>
      <c r="X6484" s="50">
        <v>44287</v>
      </c>
      <c r="Y6484" s="50">
        <v>44561</v>
      </c>
    </row>
    <row r="6485" s="5" customFormat="1" customHeight="1" spans="1:25">
      <c r="A6485" s="24" t="s">
        <v>109</v>
      </c>
      <c r="B6485" s="22" t="s">
        <v>7422</v>
      </c>
      <c r="C6485" s="22" t="s">
        <v>27</v>
      </c>
      <c r="D6485" s="22" t="s">
        <v>7585</v>
      </c>
      <c r="E6485" s="23" t="s">
        <v>8313</v>
      </c>
      <c r="F6485" s="24" t="s">
        <v>8314</v>
      </c>
      <c r="G6485" s="24" t="s">
        <v>31</v>
      </c>
      <c r="H6485" s="25" t="s">
        <v>8385</v>
      </c>
      <c r="I6485" s="46" t="e">
        <f>VLOOKUP(H6485,'合同高级查询数据-4月返'!A:A,1,FALSE)</f>
        <v>#N/A</v>
      </c>
      <c r="J6485" s="47" t="s">
        <v>33</v>
      </c>
      <c r="K6485" s="24" t="s">
        <v>34</v>
      </c>
      <c r="L6485" s="109" t="s">
        <v>8390</v>
      </c>
      <c r="M6485" s="49" t="s">
        <v>8387</v>
      </c>
      <c r="N6485" s="509">
        <v>44469</v>
      </c>
      <c r="O6485" s="22" t="s">
        <v>37</v>
      </c>
      <c r="P6485" s="52">
        <v>0</v>
      </c>
      <c r="Q6485" s="70">
        <v>-288</v>
      </c>
      <c r="R6485" s="52">
        <f t="shared" si="191"/>
        <v>0</v>
      </c>
      <c r="S6485" s="47">
        <v>202304</v>
      </c>
      <c r="T6485" s="123" t="s">
        <v>8392</v>
      </c>
      <c r="U6485" s="97"/>
      <c r="V6485" s="453"/>
      <c r="W6485" s="453"/>
      <c r="X6485" s="50">
        <v>44287</v>
      </c>
      <c r="Y6485" s="50">
        <v>44561</v>
      </c>
    </row>
    <row r="6486" s="5" customFormat="1" customHeight="1" spans="1:25">
      <c r="A6486" s="24" t="s">
        <v>109</v>
      </c>
      <c r="B6486" s="24" t="s">
        <v>7422</v>
      </c>
      <c r="C6486" s="24" t="s">
        <v>27</v>
      </c>
      <c r="D6486" s="22" t="s">
        <v>7585</v>
      </c>
      <c r="E6486" s="23" t="s">
        <v>8313</v>
      </c>
      <c r="F6486" s="24" t="s">
        <v>8314</v>
      </c>
      <c r="G6486" s="24" t="s">
        <v>31</v>
      </c>
      <c r="H6486" s="25" t="s">
        <v>8385</v>
      </c>
      <c r="I6486" s="46" t="e">
        <f>VLOOKUP(H6486,'合同高级查询数据-4月返'!A:A,1,FALSE)</f>
        <v>#N/A</v>
      </c>
      <c r="J6486" s="47" t="s">
        <v>33</v>
      </c>
      <c r="K6486" s="24" t="s">
        <v>34</v>
      </c>
      <c r="L6486" s="109" t="s">
        <v>8386</v>
      </c>
      <c r="M6486" s="49" t="s">
        <v>8387</v>
      </c>
      <c r="N6486" s="493"/>
      <c r="O6486" s="22" t="s">
        <v>179</v>
      </c>
      <c r="P6486" s="452">
        <v>0</v>
      </c>
      <c r="Q6486" s="70">
        <v>0</v>
      </c>
      <c r="R6486" s="52">
        <f t="shared" si="191"/>
        <v>0</v>
      </c>
      <c r="S6486" s="47">
        <v>202304</v>
      </c>
      <c r="T6486" s="123" t="s">
        <v>8393</v>
      </c>
      <c r="U6486" s="97"/>
      <c r="V6486" s="453"/>
      <c r="W6486" s="97"/>
      <c r="X6486" s="50">
        <v>44287</v>
      </c>
      <c r="Y6486" s="50">
        <v>44561</v>
      </c>
    </row>
    <row r="6487" s="5" customFormat="1" customHeight="1" spans="1:25">
      <c r="A6487" s="24" t="s">
        <v>109</v>
      </c>
      <c r="B6487" s="24" t="s">
        <v>7422</v>
      </c>
      <c r="C6487" s="24" t="s">
        <v>27</v>
      </c>
      <c r="D6487" s="22" t="s">
        <v>7585</v>
      </c>
      <c r="E6487" s="23" t="s">
        <v>8313</v>
      </c>
      <c r="F6487" s="24" t="s">
        <v>8314</v>
      </c>
      <c r="G6487" s="24" t="s">
        <v>88</v>
      </c>
      <c r="H6487" s="25" t="s">
        <v>8385</v>
      </c>
      <c r="I6487" s="46" t="e">
        <f>VLOOKUP(H6487,'合同高级查询数据-4月返'!A:A,1,FALSE)</f>
        <v>#N/A</v>
      </c>
      <c r="J6487" s="47" t="s">
        <v>162</v>
      </c>
      <c r="K6487" s="24" t="s">
        <v>34</v>
      </c>
      <c r="L6487" s="109" t="s">
        <v>8386</v>
      </c>
      <c r="M6487" s="49" t="s">
        <v>8387</v>
      </c>
      <c r="N6487" s="493">
        <v>43952</v>
      </c>
      <c r="O6487" s="22" t="s">
        <v>92</v>
      </c>
      <c r="P6487" s="452">
        <v>5000</v>
      </c>
      <c r="Q6487" s="70">
        <v>4</v>
      </c>
      <c r="R6487" s="52">
        <f t="shared" si="191"/>
        <v>20000</v>
      </c>
      <c r="S6487" s="47">
        <v>202304</v>
      </c>
      <c r="T6487" s="123" t="s">
        <v>8394</v>
      </c>
      <c r="U6487" s="97"/>
      <c r="V6487" s="453"/>
      <c r="W6487" s="97"/>
      <c r="X6487" s="50">
        <v>44287</v>
      </c>
      <c r="Y6487" s="50">
        <v>44561</v>
      </c>
    </row>
    <row r="6488" s="5" customFormat="1" customHeight="1" spans="1:25">
      <c r="A6488" s="24" t="s">
        <v>109</v>
      </c>
      <c r="B6488" s="24" t="s">
        <v>7422</v>
      </c>
      <c r="C6488" s="24" t="s">
        <v>27</v>
      </c>
      <c r="D6488" s="22" t="s">
        <v>7585</v>
      </c>
      <c r="E6488" s="23" t="s">
        <v>8313</v>
      </c>
      <c r="F6488" s="24" t="s">
        <v>8314</v>
      </c>
      <c r="G6488" s="24" t="s">
        <v>88</v>
      </c>
      <c r="H6488" s="25" t="s">
        <v>8385</v>
      </c>
      <c r="I6488" s="46" t="e">
        <f>VLOOKUP(H6488,'合同高级查询数据-4月返'!A:A,1,FALSE)</f>
        <v>#N/A</v>
      </c>
      <c r="J6488" s="47" t="s">
        <v>162</v>
      </c>
      <c r="K6488" s="24" t="s">
        <v>34</v>
      </c>
      <c r="L6488" s="109" t="s">
        <v>8386</v>
      </c>
      <c r="M6488" s="49" t="s">
        <v>8387</v>
      </c>
      <c r="N6488" s="493">
        <v>44197</v>
      </c>
      <c r="O6488" s="22" t="s">
        <v>92</v>
      </c>
      <c r="P6488" s="452">
        <v>5000</v>
      </c>
      <c r="Q6488" s="70">
        <v>2</v>
      </c>
      <c r="R6488" s="52">
        <f t="shared" si="191"/>
        <v>10000</v>
      </c>
      <c r="S6488" s="47">
        <v>202304</v>
      </c>
      <c r="T6488" s="123" t="s">
        <v>8395</v>
      </c>
      <c r="U6488" s="97"/>
      <c r="V6488" s="453"/>
      <c r="W6488" s="97"/>
      <c r="X6488" s="50">
        <v>44287</v>
      </c>
      <c r="Y6488" s="50">
        <v>44561</v>
      </c>
    </row>
    <row r="6489" s="5" customFormat="1" customHeight="1" spans="1:25">
      <c r="A6489" s="24" t="s">
        <v>109</v>
      </c>
      <c r="B6489" s="24" t="s">
        <v>7422</v>
      </c>
      <c r="C6489" s="24" t="s">
        <v>27</v>
      </c>
      <c r="D6489" s="22" t="s">
        <v>7585</v>
      </c>
      <c r="E6489" s="23" t="s">
        <v>8313</v>
      </c>
      <c r="F6489" s="24" t="s">
        <v>8314</v>
      </c>
      <c r="G6489" s="24" t="s">
        <v>88</v>
      </c>
      <c r="H6489" s="25" t="s">
        <v>8385</v>
      </c>
      <c r="I6489" s="46" t="e">
        <f>VLOOKUP(H6489,'合同高级查询数据-4月返'!A:A,1,FALSE)</f>
        <v>#N/A</v>
      </c>
      <c r="J6489" s="47" t="s">
        <v>162</v>
      </c>
      <c r="K6489" s="24" t="s">
        <v>34</v>
      </c>
      <c r="L6489" s="109" t="s">
        <v>8386</v>
      </c>
      <c r="M6489" s="49" t="s">
        <v>8387</v>
      </c>
      <c r="N6489" s="509">
        <v>44469</v>
      </c>
      <c r="O6489" s="22" t="s">
        <v>92</v>
      </c>
      <c r="P6489" s="452">
        <v>5000</v>
      </c>
      <c r="Q6489" s="70">
        <v>-6</v>
      </c>
      <c r="R6489" s="52">
        <f t="shared" si="191"/>
        <v>-30000</v>
      </c>
      <c r="S6489" s="47">
        <v>202304</v>
      </c>
      <c r="T6489" s="123" t="s">
        <v>8396</v>
      </c>
      <c r="U6489" s="97"/>
      <c r="V6489" s="453"/>
      <c r="W6489" s="97"/>
      <c r="X6489" s="50">
        <v>44287</v>
      </c>
      <c r="Y6489" s="50">
        <v>44561</v>
      </c>
    </row>
    <row r="6490" s="5" customFormat="1" customHeight="1" spans="1:25">
      <c r="A6490" s="24" t="s">
        <v>109</v>
      </c>
      <c r="B6490" s="22" t="s">
        <v>7422</v>
      </c>
      <c r="C6490" s="22" t="s">
        <v>27</v>
      </c>
      <c r="D6490" s="22" t="s">
        <v>7585</v>
      </c>
      <c r="E6490" s="23" t="s">
        <v>8313</v>
      </c>
      <c r="F6490" s="24" t="s">
        <v>8314</v>
      </c>
      <c r="G6490" s="24" t="s">
        <v>88</v>
      </c>
      <c r="H6490" s="25" t="s">
        <v>8385</v>
      </c>
      <c r="I6490" s="46" t="e">
        <f>VLOOKUP(H6490,'合同高级查询数据-4月返'!A:A,1,FALSE)</f>
        <v>#N/A</v>
      </c>
      <c r="J6490" s="47" t="s">
        <v>162</v>
      </c>
      <c r="K6490" s="24" t="s">
        <v>34</v>
      </c>
      <c r="L6490" s="109" t="s">
        <v>8390</v>
      </c>
      <c r="M6490" s="49" t="s">
        <v>8387</v>
      </c>
      <c r="N6490" s="509">
        <v>44287</v>
      </c>
      <c r="O6490" s="22" t="s">
        <v>92</v>
      </c>
      <c r="P6490" s="52">
        <v>5000</v>
      </c>
      <c r="Q6490" s="70">
        <v>5</v>
      </c>
      <c r="R6490" s="52">
        <f t="shared" si="191"/>
        <v>25000</v>
      </c>
      <c r="S6490" s="47">
        <v>202304</v>
      </c>
      <c r="T6490" s="123" t="s">
        <v>8397</v>
      </c>
      <c r="U6490" s="97"/>
      <c r="V6490" s="453"/>
      <c r="W6490" s="453"/>
      <c r="X6490" s="50">
        <v>44287</v>
      </c>
      <c r="Y6490" s="50">
        <v>44561</v>
      </c>
    </row>
    <row r="6491" s="5" customFormat="1" customHeight="1" spans="1:25">
      <c r="A6491" s="24" t="s">
        <v>109</v>
      </c>
      <c r="B6491" s="22" t="s">
        <v>7422</v>
      </c>
      <c r="C6491" s="22" t="s">
        <v>27</v>
      </c>
      <c r="D6491" s="22" t="s">
        <v>7585</v>
      </c>
      <c r="E6491" s="23" t="s">
        <v>8313</v>
      </c>
      <c r="F6491" s="24" t="s">
        <v>8314</v>
      </c>
      <c r="G6491" s="24" t="s">
        <v>88</v>
      </c>
      <c r="H6491" s="25" t="s">
        <v>8385</v>
      </c>
      <c r="I6491" s="46" t="e">
        <f>VLOOKUP(H6491,'合同高级查询数据-4月返'!A:A,1,FALSE)</f>
        <v>#N/A</v>
      </c>
      <c r="J6491" s="47" t="s">
        <v>162</v>
      </c>
      <c r="K6491" s="24" t="s">
        <v>34</v>
      </c>
      <c r="L6491" s="109" t="s">
        <v>8390</v>
      </c>
      <c r="M6491" s="49" t="s">
        <v>8387</v>
      </c>
      <c r="N6491" s="509">
        <v>44469</v>
      </c>
      <c r="O6491" s="22" t="s">
        <v>92</v>
      </c>
      <c r="P6491" s="52">
        <v>5000</v>
      </c>
      <c r="Q6491" s="70">
        <v>-5</v>
      </c>
      <c r="R6491" s="52">
        <f t="shared" si="191"/>
        <v>-25000</v>
      </c>
      <c r="S6491" s="47">
        <v>202304</v>
      </c>
      <c r="T6491" s="123" t="s">
        <v>8398</v>
      </c>
      <c r="U6491" s="97"/>
      <c r="V6491" s="453"/>
      <c r="W6491" s="453"/>
      <c r="X6491" s="50">
        <v>44287</v>
      </c>
      <c r="Y6491" s="50">
        <v>44561</v>
      </c>
    </row>
    <row r="6492" s="5" customFormat="1" customHeight="1" spans="1:25">
      <c r="A6492" s="24" t="s">
        <v>109</v>
      </c>
      <c r="B6492" s="24" t="s">
        <v>7422</v>
      </c>
      <c r="C6492" s="24" t="s">
        <v>153</v>
      </c>
      <c r="D6492" s="22" t="s">
        <v>7585</v>
      </c>
      <c r="E6492" s="23" t="s">
        <v>8313</v>
      </c>
      <c r="F6492" s="24" t="s">
        <v>8314</v>
      </c>
      <c r="G6492" s="47" t="s">
        <v>346</v>
      </c>
      <c r="H6492" s="25" t="s">
        <v>8357</v>
      </c>
      <c r="I6492" s="46" t="e">
        <f>VLOOKUP(H6492,'合同高级查询数据-4月返'!A:A,1,FALSE)</f>
        <v>#N/A</v>
      </c>
      <c r="J6492" s="47" t="s">
        <v>346</v>
      </c>
      <c r="K6492" s="24" t="s">
        <v>8399</v>
      </c>
      <c r="L6492" s="109"/>
      <c r="M6492" s="475"/>
      <c r="N6492" s="493">
        <v>44075</v>
      </c>
      <c r="O6492" s="22" t="s">
        <v>8400</v>
      </c>
      <c r="P6492" s="452">
        <v>28000</v>
      </c>
      <c r="Q6492" s="70">
        <v>1</v>
      </c>
      <c r="R6492" s="52">
        <f t="shared" si="191"/>
        <v>28000</v>
      </c>
      <c r="S6492" s="47">
        <v>202304</v>
      </c>
      <c r="T6492" s="123"/>
      <c r="U6492" s="97"/>
      <c r="V6492" s="453"/>
      <c r="W6492" s="97"/>
      <c r="X6492" s="50">
        <v>44197</v>
      </c>
      <c r="Y6492" s="50">
        <v>44439</v>
      </c>
    </row>
    <row r="6493" s="5" customFormat="1" customHeight="1" spans="1:25">
      <c r="A6493" s="24" t="s">
        <v>109</v>
      </c>
      <c r="B6493" s="24" t="s">
        <v>7422</v>
      </c>
      <c r="C6493" s="24" t="s">
        <v>153</v>
      </c>
      <c r="D6493" s="22" t="s">
        <v>7585</v>
      </c>
      <c r="E6493" s="23" t="s">
        <v>8313</v>
      </c>
      <c r="F6493" s="24" t="s">
        <v>8314</v>
      </c>
      <c r="G6493" s="47" t="s">
        <v>346</v>
      </c>
      <c r="H6493" s="25" t="s">
        <v>8357</v>
      </c>
      <c r="I6493" s="46" t="e">
        <f>VLOOKUP(H6493,'合同高级查询数据-4月返'!A:A,1,FALSE)</f>
        <v>#N/A</v>
      </c>
      <c r="J6493" s="47" t="s">
        <v>346</v>
      </c>
      <c r="K6493" s="24" t="s">
        <v>8399</v>
      </c>
      <c r="L6493" s="109"/>
      <c r="M6493" s="475"/>
      <c r="N6493" s="493">
        <v>44196</v>
      </c>
      <c r="O6493" s="22" t="s">
        <v>8400</v>
      </c>
      <c r="P6493" s="452">
        <v>28000</v>
      </c>
      <c r="Q6493" s="70">
        <v>-1</v>
      </c>
      <c r="R6493" s="52">
        <f t="shared" si="191"/>
        <v>-28000</v>
      </c>
      <c r="S6493" s="47">
        <v>202304</v>
      </c>
      <c r="T6493" s="123" t="s">
        <v>8401</v>
      </c>
      <c r="U6493" s="97"/>
      <c r="V6493" s="453"/>
      <c r="W6493" s="97"/>
      <c r="X6493" s="50">
        <v>44197</v>
      </c>
      <c r="Y6493" s="50">
        <v>44439</v>
      </c>
    </row>
    <row r="6494" s="5" customFormat="1" customHeight="1" spans="1:25">
      <c r="A6494" s="24" t="s">
        <v>109</v>
      </c>
      <c r="B6494" s="96" t="s">
        <v>7422</v>
      </c>
      <c r="C6494" s="22" t="s">
        <v>153</v>
      </c>
      <c r="D6494" s="22" t="s">
        <v>7585</v>
      </c>
      <c r="E6494" s="23" t="s">
        <v>8313</v>
      </c>
      <c r="F6494" s="24" t="s">
        <v>8314</v>
      </c>
      <c r="G6494" s="24" t="s">
        <v>31</v>
      </c>
      <c r="H6494" s="25" t="s">
        <v>8402</v>
      </c>
      <c r="I6494" s="46" t="e">
        <f>VLOOKUP(H6494,'合同高级查询数据-4月返'!A:A,1,FALSE)</f>
        <v>#N/A</v>
      </c>
      <c r="J6494" s="47" t="s">
        <v>33</v>
      </c>
      <c r="K6494" s="24" t="s">
        <v>8316</v>
      </c>
      <c r="L6494" s="109" t="s">
        <v>8403</v>
      </c>
      <c r="M6494" s="49" t="s">
        <v>8320</v>
      </c>
      <c r="N6494" s="50">
        <v>44228</v>
      </c>
      <c r="O6494" s="22" t="s">
        <v>37</v>
      </c>
      <c r="P6494" s="52">
        <v>0</v>
      </c>
      <c r="Q6494" s="70">
        <v>320</v>
      </c>
      <c r="R6494" s="52">
        <f t="shared" si="191"/>
        <v>0</v>
      </c>
      <c r="S6494" s="47">
        <v>202304</v>
      </c>
      <c r="T6494" s="123" t="s">
        <v>8404</v>
      </c>
      <c r="U6494" s="97"/>
      <c r="V6494" s="453"/>
      <c r="W6494" s="453"/>
      <c r="X6494" s="50">
        <v>44835</v>
      </c>
      <c r="Y6494" s="73">
        <v>45199</v>
      </c>
    </row>
    <row r="6495" s="5" customFormat="1" customHeight="1" spans="1:25">
      <c r="A6495" s="24" t="s">
        <v>109</v>
      </c>
      <c r="B6495" s="96" t="s">
        <v>7422</v>
      </c>
      <c r="C6495" s="22" t="s">
        <v>153</v>
      </c>
      <c r="D6495" s="22" t="s">
        <v>7585</v>
      </c>
      <c r="E6495" s="23" t="s">
        <v>8313</v>
      </c>
      <c r="F6495" s="24" t="s">
        <v>8314</v>
      </c>
      <c r="G6495" s="24" t="s">
        <v>31</v>
      </c>
      <c r="H6495" s="25" t="s">
        <v>8402</v>
      </c>
      <c r="I6495" s="46" t="e">
        <f>VLOOKUP(H6495,'合同高级查询数据-4月返'!A:A,1,FALSE)</f>
        <v>#N/A</v>
      </c>
      <c r="J6495" s="47" t="s">
        <v>33</v>
      </c>
      <c r="K6495" s="24" t="s">
        <v>8316</v>
      </c>
      <c r="L6495" s="109" t="s">
        <v>8403</v>
      </c>
      <c r="M6495" s="49" t="s">
        <v>8320</v>
      </c>
      <c r="N6495" s="50"/>
      <c r="O6495" s="22" t="s">
        <v>179</v>
      </c>
      <c r="P6495" s="52">
        <v>0</v>
      </c>
      <c r="Q6495" s="70">
        <v>0</v>
      </c>
      <c r="R6495" s="52">
        <f t="shared" si="191"/>
        <v>0</v>
      </c>
      <c r="S6495" s="47">
        <v>202304</v>
      </c>
      <c r="T6495" s="123" t="s">
        <v>8405</v>
      </c>
      <c r="U6495" s="97"/>
      <c r="V6495" s="453"/>
      <c r="W6495" s="453"/>
      <c r="X6495" s="50">
        <v>44835</v>
      </c>
      <c r="Y6495" s="73">
        <v>45199</v>
      </c>
    </row>
    <row r="6496" s="5" customFormat="1" customHeight="1" spans="1:25">
      <c r="A6496" s="24" t="s">
        <v>109</v>
      </c>
      <c r="B6496" s="96" t="s">
        <v>7422</v>
      </c>
      <c r="C6496" s="22" t="s">
        <v>153</v>
      </c>
      <c r="D6496" s="22" t="s">
        <v>7585</v>
      </c>
      <c r="E6496" s="23" t="s">
        <v>8313</v>
      </c>
      <c r="F6496" s="24" t="s">
        <v>8314</v>
      </c>
      <c r="G6496" s="24" t="s">
        <v>88</v>
      </c>
      <c r="H6496" s="25" t="s">
        <v>8402</v>
      </c>
      <c r="I6496" s="46" t="e">
        <f>VLOOKUP(H6496,'合同高级查询数据-4月返'!A:A,1,FALSE)</f>
        <v>#N/A</v>
      </c>
      <c r="J6496" s="47" t="s">
        <v>162</v>
      </c>
      <c r="K6496" s="24" t="s">
        <v>8316</v>
      </c>
      <c r="L6496" s="109" t="s">
        <v>8403</v>
      </c>
      <c r="M6496" s="49" t="s">
        <v>8320</v>
      </c>
      <c r="N6496" s="50">
        <v>44228</v>
      </c>
      <c r="O6496" s="22" t="s">
        <v>163</v>
      </c>
      <c r="P6496" s="52">
        <v>5000</v>
      </c>
      <c r="Q6496" s="70">
        <v>3</v>
      </c>
      <c r="R6496" s="52">
        <f t="shared" si="191"/>
        <v>15000</v>
      </c>
      <c r="S6496" s="47">
        <v>202304</v>
      </c>
      <c r="T6496" s="123" t="s">
        <v>8406</v>
      </c>
      <c r="U6496" s="97"/>
      <c r="V6496" s="453"/>
      <c r="W6496" s="453"/>
      <c r="X6496" s="50">
        <v>44835</v>
      </c>
      <c r="Y6496" s="73">
        <v>45199</v>
      </c>
    </row>
    <row r="6497" s="5" customFormat="1" customHeight="1" spans="1:25">
      <c r="A6497" s="24" t="s">
        <v>109</v>
      </c>
      <c r="B6497" s="96" t="s">
        <v>7422</v>
      </c>
      <c r="C6497" s="22" t="s">
        <v>153</v>
      </c>
      <c r="D6497" s="22" t="s">
        <v>7585</v>
      </c>
      <c r="E6497" s="23" t="s">
        <v>8313</v>
      </c>
      <c r="F6497" s="24" t="s">
        <v>8314</v>
      </c>
      <c r="G6497" s="24" t="s">
        <v>88</v>
      </c>
      <c r="H6497" s="25" t="s">
        <v>8402</v>
      </c>
      <c r="I6497" s="46" t="e">
        <f>VLOOKUP(H6497,'合同高级查询数据-4月返'!A:A,1,FALSE)</f>
        <v>#N/A</v>
      </c>
      <c r="J6497" s="47" t="s">
        <v>162</v>
      </c>
      <c r="K6497" s="24" t="s">
        <v>8316</v>
      </c>
      <c r="L6497" s="109" t="s">
        <v>8403</v>
      </c>
      <c r="M6497" s="49" t="s">
        <v>8320</v>
      </c>
      <c r="N6497" s="50">
        <v>44411</v>
      </c>
      <c r="O6497" s="22" t="s">
        <v>163</v>
      </c>
      <c r="P6497" s="52">
        <v>5000</v>
      </c>
      <c r="Q6497" s="70">
        <v>1</v>
      </c>
      <c r="R6497" s="52">
        <f t="shared" si="191"/>
        <v>5000</v>
      </c>
      <c r="S6497" s="47">
        <v>202304</v>
      </c>
      <c r="T6497" s="123" t="s">
        <v>8407</v>
      </c>
      <c r="U6497" s="97"/>
      <c r="V6497" s="453"/>
      <c r="W6497" s="453"/>
      <c r="X6497" s="50">
        <v>44835</v>
      </c>
      <c r="Y6497" s="73">
        <v>45199</v>
      </c>
    </row>
    <row r="6498" s="5" customFormat="1" customHeight="1" spans="1:25">
      <c r="A6498" s="24" t="s">
        <v>109</v>
      </c>
      <c r="B6498" s="96" t="s">
        <v>7422</v>
      </c>
      <c r="C6498" s="22" t="s">
        <v>153</v>
      </c>
      <c r="D6498" s="22" t="s">
        <v>7585</v>
      </c>
      <c r="E6498" s="23" t="s">
        <v>8313</v>
      </c>
      <c r="F6498" s="24" t="s">
        <v>8314</v>
      </c>
      <c r="G6498" s="24" t="s">
        <v>88</v>
      </c>
      <c r="H6498" s="25" t="s">
        <v>8402</v>
      </c>
      <c r="I6498" s="46" t="e">
        <f>VLOOKUP(H6498,'合同高级查询数据-4月返'!A:A,1,FALSE)</f>
        <v>#N/A</v>
      </c>
      <c r="J6498" s="47" t="s">
        <v>162</v>
      </c>
      <c r="K6498" s="24" t="s">
        <v>8316</v>
      </c>
      <c r="L6498" s="109" t="s">
        <v>8403</v>
      </c>
      <c r="M6498" s="49" t="s">
        <v>8320</v>
      </c>
      <c r="N6498" s="50">
        <v>44865</v>
      </c>
      <c r="O6498" s="22" t="s">
        <v>163</v>
      </c>
      <c r="P6498" s="52">
        <v>5000</v>
      </c>
      <c r="Q6498" s="70">
        <v>-1</v>
      </c>
      <c r="R6498" s="52">
        <f t="shared" si="191"/>
        <v>-5000</v>
      </c>
      <c r="S6498" s="47">
        <v>202304</v>
      </c>
      <c r="T6498" s="123" t="s">
        <v>8408</v>
      </c>
      <c r="U6498" s="97"/>
      <c r="V6498" s="453"/>
      <c r="W6498" s="453"/>
      <c r="X6498" s="50">
        <v>44835</v>
      </c>
      <c r="Y6498" s="73">
        <v>45199</v>
      </c>
    </row>
    <row r="6499" s="5" customFormat="1" customHeight="1" spans="1:25">
      <c r="A6499" s="24" t="s">
        <v>109</v>
      </c>
      <c r="B6499" s="24" t="s">
        <v>7422</v>
      </c>
      <c r="C6499" s="24" t="s">
        <v>153</v>
      </c>
      <c r="D6499" s="22" t="s">
        <v>7585</v>
      </c>
      <c r="E6499" s="23" t="s">
        <v>8313</v>
      </c>
      <c r="F6499" s="24" t="s">
        <v>8314</v>
      </c>
      <c r="G6499" s="24" t="s">
        <v>31</v>
      </c>
      <c r="H6499" s="25" t="s">
        <v>8409</v>
      </c>
      <c r="I6499" s="46" t="e">
        <f>VLOOKUP(H6499,'合同高级查询数据-4月返'!A:A,1,FALSE)</f>
        <v>#N/A</v>
      </c>
      <c r="J6499" s="47" t="s">
        <v>33</v>
      </c>
      <c r="K6499" s="24" t="s">
        <v>157</v>
      </c>
      <c r="L6499" s="109" t="s">
        <v>8410</v>
      </c>
      <c r="M6499" s="475" t="s">
        <v>8411</v>
      </c>
      <c r="N6499" s="493">
        <v>44201</v>
      </c>
      <c r="O6499" s="22" t="s">
        <v>37</v>
      </c>
      <c r="P6499" s="52">
        <v>0</v>
      </c>
      <c r="Q6499" s="70">
        <v>320</v>
      </c>
      <c r="R6499" s="52">
        <f t="shared" si="191"/>
        <v>0</v>
      </c>
      <c r="S6499" s="47">
        <v>202304</v>
      </c>
      <c r="T6499" s="123" t="s">
        <v>8412</v>
      </c>
      <c r="U6499" s="97"/>
      <c r="V6499" s="453"/>
      <c r="W6499" s="97"/>
      <c r="X6499" s="50">
        <v>44927</v>
      </c>
      <c r="Y6499" s="50">
        <v>45291</v>
      </c>
    </row>
    <row r="6500" s="5" customFormat="1" customHeight="1" spans="1:25">
      <c r="A6500" s="24" t="s">
        <v>109</v>
      </c>
      <c r="B6500" s="22" t="s">
        <v>7422</v>
      </c>
      <c r="C6500" s="22" t="s">
        <v>153</v>
      </c>
      <c r="D6500" s="22" t="s">
        <v>7585</v>
      </c>
      <c r="E6500" s="23" t="s">
        <v>8313</v>
      </c>
      <c r="F6500" s="24" t="s">
        <v>8314</v>
      </c>
      <c r="G6500" s="24" t="s">
        <v>31</v>
      </c>
      <c r="H6500" s="25" t="s">
        <v>8409</v>
      </c>
      <c r="I6500" s="46" t="e">
        <f>VLOOKUP(H6500,'合同高级查询数据-4月返'!A:A,1,FALSE)</f>
        <v>#N/A</v>
      </c>
      <c r="J6500" s="47" t="s">
        <v>33</v>
      </c>
      <c r="K6500" s="24" t="s">
        <v>157</v>
      </c>
      <c r="L6500" s="109" t="s">
        <v>8413</v>
      </c>
      <c r="M6500" s="49" t="s">
        <v>8411</v>
      </c>
      <c r="N6500" s="50">
        <v>44287</v>
      </c>
      <c r="O6500" s="22" t="s">
        <v>37</v>
      </c>
      <c r="P6500" s="52">
        <v>0</v>
      </c>
      <c r="Q6500" s="70">
        <v>320</v>
      </c>
      <c r="R6500" s="52">
        <f t="shared" si="191"/>
        <v>0</v>
      </c>
      <c r="S6500" s="47">
        <v>202304</v>
      </c>
      <c r="T6500" s="123" t="s">
        <v>8414</v>
      </c>
      <c r="U6500" s="97"/>
      <c r="V6500" s="453"/>
      <c r="W6500" s="453"/>
      <c r="X6500" s="50">
        <v>44927</v>
      </c>
      <c r="Y6500" s="50">
        <v>45291</v>
      </c>
    </row>
    <row r="6501" s="5" customFormat="1" customHeight="1" spans="1:25">
      <c r="A6501" s="24" t="s">
        <v>109</v>
      </c>
      <c r="B6501" s="24" t="s">
        <v>7422</v>
      </c>
      <c r="C6501" s="24" t="s">
        <v>153</v>
      </c>
      <c r="D6501" s="22" t="s">
        <v>7585</v>
      </c>
      <c r="E6501" s="23" t="s">
        <v>8313</v>
      </c>
      <c r="F6501" s="24" t="s">
        <v>8314</v>
      </c>
      <c r="G6501" s="24" t="s">
        <v>31</v>
      </c>
      <c r="H6501" s="25" t="s">
        <v>8409</v>
      </c>
      <c r="I6501" s="46" t="e">
        <f>VLOOKUP(H6501,'合同高级查询数据-4月返'!A:A,1,FALSE)</f>
        <v>#N/A</v>
      </c>
      <c r="J6501" s="47" t="s">
        <v>33</v>
      </c>
      <c r="K6501" s="24" t="s">
        <v>157</v>
      </c>
      <c r="L6501" s="109" t="s">
        <v>8415</v>
      </c>
      <c r="M6501" s="49" t="s">
        <v>8411</v>
      </c>
      <c r="N6501" s="493"/>
      <c r="O6501" s="22" t="s">
        <v>179</v>
      </c>
      <c r="P6501" s="452">
        <v>0</v>
      </c>
      <c r="Q6501" s="70">
        <v>0</v>
      </c>
      <c r="R6501" s="52">
        <f t="shared" si="191"/>
        <v>0</v>
      </c>
      <c r="S6501" s="47">
        <v>202304</v>
      </c>
      <c r="T6501" s="123" t="s">
        <v>8416</v>
      </c>
      <c r="U6501" s="97"/>
      <c r="V6501" s="453"/>
      <c r="W6501" s="97"/>
      <c r="X6501" s="50">
        <v>44927</v>
      </c>
      <c r="Y6501" s="50">
        <v>45291</v>
      </c>
    </row>
    <row r="6502" s="5" customFormat="1" customHeight="1" spans="1:25">
      <c r="A6502" s="24" t="s">
        <v>109</v>
      </c>
      <c r="B6502" s="24" t="s">
        <v>7422</v>
      </c>
      <c r="C6502" s="24" t="s">
        <v>153</v>
      </c>
      <c r="D6502" s="22" t="s">
        <v>7585</v>
      </c>
      <c r="E6502" s="23" t="s">
        <v>8313</v>
      </c>
      <c r="F6502" s="24" t="s">
        <v>8314</v>
      </c>
      <c r="G6502" s="24" t="s">
        <v>88</v>
      </c>
      <c r="H6502" s="25" t="s">
        <v>8409</v>
      </c>
      <c r="I6502" s="46" t="e">
        <f>VLOOKUP(H6502,'合同高级查询数据-4月返'!A:A,1,FALSE)</f>
        <v>#N/A</v>
      </c>
      <c r="J6502" s="47" t="s">
        <v>162</v>
      </c>
      <c r="K6502" s="24" t="s">
        <v>157</v>
      </c>
      <c r="L6502" s="109" t="s">
        <v>8410</v>
      </c>
      <c r="M6502" s="475" t="s">
        <v>8411</v>
      </c>
      <c r="N6502" s="493">
        <v>44201</v>
      </c>
      <c r="O6502" s="22" t="s">
        <v>163</v>
      </c>
      <c r="P6502" s="452">
        <v>5000</v>
      </c>
      <c r="Q6502" s="70">
        <v>4</v>
      </c>
      <c r="R6502" s="52">
        <f t="shared" si="191"/>
        <v>20000</v>
      </c>
      <c r="S6502" s="47">
        <v>202304</v>
      </c>
      <c r="T6502" s="123" t="s">
        <v>8417</v>
      </c>
      <c r="U6502" s="97"/>
      <c r="V6502" s="453"/>
      <c r="W6502" s="97"/>
      <c r="X6502" s="50">
        <v>44927</v>
      </c>
      <c r="Y6502" s="50">
        <v>45291</v>
      </c>
    </row>
    <row r="6503" s="5" customFormat="1" customHeight="1" spans="1:25">
      <c r="A6503" s="24" t="s">
        <v>109</v>
      </c>
      <c r="B6503" s="22" t="s">
        <v>7422</v>
      </c>
      <c r="C6503" s="22" t="s">
        <v>153</v>
      </c>
      <c r="D6503" s="22" t="s">
        <v>7585</v>
      </c>
      <c r="E6503" s="23" t="s">
        <v>8313</v>
      </c>
      <c r="F6503" s="24" t="s">
        <v>8314</v>
      </c>
      <c r="G6503" s="24" t="s">
        <v>88</v>
      </c>
      <c r="H6503" s="25" t="s">
        <v>8409</v>
      </c>
      <c r="I6503" s="46" t="e">
        <f>VLOOKUP(H6503,'合同高级查询数据-4月返'!A:A,1,FALSE)</f>
        <v>#N/A</v>
      </c>
      <c r="J6503" s="47" t="s">
        <v>162</v>
      </c>
      <c r="K6503" s="24" t="s">
        <v>157</v>
      </c>
      <c r="L6503" s="109" t="s">
        <v>8413</v>
      </c>
      <c r="M6503" s="49" t="s">
        <v>8411</v>
      </c>
      <c r="N6503" s="50">
        <v>44287</v>
      </c>
      <c r="O6503" s="22" t="s">
        <v>163</v>
      </c>
      <c r="P6503" s="52">
        <v>5000</v>
      </c>
      <c r="Q6503" s="70">
        <v>4</v>
      </c>
      <c r="R6503" s="52">
        <f t="shared" si="191"/>
        <v>20000</v>
      </c>
      <c r="S6503" s="47">
        <v>202304</v>
      </c>
      <c r="T6503" s="123" t="s">
        <v>8418</v>
      </c>
      <c r="U6503" s="97"/>
      <c r="V6503" s="453"/>
      <c r="W6503" s="453"/>
      <c r="X6503" s="50">
        <v>44927</v>
      </c>
      <c r="Y6503" s="50">
        <v>45291</v>
      </c>
    </row>
    <row r="6504" s="5" customFormat="1" customHeight="1" spans="1:25">
      <c r="A6504" s="24" t="s">
        <v>109</v>
      </c>
      <c r="B6504" s="22" t="s">
        <v>7422</v>
      </c>
      <c r="C6504" s="22" t="s">
        <v>153</v>
      </c>
      <c r="D6504" s="22" t="s">
        <v>7585</v>
      </c>
      <c r="E6504" s="23" t="s">
        <v>8313</v>
      </c>
      <c r="F6504" s="24" t="s">
        <v>8314</v>
      </c>
      <c r="G6504" s="24" t="s">
        <v>88</v>
      </c>
      <c r="H6504" s="25" t="s">
        <v>8409</v>
      </c>
      <c r="I6504" s="46" t="e">
        <f>VLOOKUP(H6504,'合同高级查询数据-4月返'!A:A,1,FALSE)</f>
        <v>#N/A</v>
      </c>
      <c r="J6504" s="47" t="s">
        <v>162</v>
      </c>
      <c r="K6504" s="24" t="s">
        <v>157</v>
      </c>
      <c r="L6504" s="109" t="s">
        <v>8410</v>
      </c>
      <c r="M6504" s="49" t="s">
        <v>8411</v>
      </c>
      <c r="N6504" s="50">
        <v>44937</v>
      </c>
      <c r="O6504" s="22" t="s">
        <v>163</v>
      </c>
      <c r="P6504" s="52">
        <v>5000</v>
      </c>
      <c r="Q6504" s="70">
        <v>1</v>
      </c>
      <c r="R6504" s="52">
        <f t="shared" si="191"/>
        <v>5000</v>
      </c>
      <c r="S6504" s="47">
        <v>202304</v>
      </c>
      <c r="T6504" s="123" t="s">
        <v>8419</v>
      </c>
      <c r="U6504" s="97"/>
      <c r="V6504" s="453"/>
      <c r="W6504" s="453"/>
      <c r="X6504" s="50">
        <v>44927</v>
      </c>
      <c r="Y6504" s="50">
        <v>45291</v>
      </c>
    </row>
    <row r="6505" s="3" customFormat="1" customHeight="1" spans="1:25">
      <c r="A6505" s="11" t="s">
        <v>109</v>
      </c>
      <c r="B6505" s="35" t="s">
        <v>7422</v>
      </c>
      <c r="C6505" s="35" t="s">
        <v>238</v>
      </c>
      <c r="D6505" s="35" t="s">
        <v>7585</v>
      </c>
      <c r="E6505" s="13" t="s">
        <v>8313</v>
      </c>
      <c r="F6505" s="11" t="s">
        <v>8314</v>
      </c>
      <c r="G6505" s="11" t="s">
        <v>31</v>
      </c>
      <c r="H6505" s="110" t="s">
        <v>8420</v>
      </c>
      <c r="I6505" s="30" t="e">
        <f>VLOOKUP(H6505,'合同高级查询数据-4月返'!A:A,1,FALSE)</f>
        <v>#N/A</v>
      </c>
      <c r="J6505" s="31" t="s">
        <v>33</v>
      </c>
      <c r="K6505" s="11" t="s">
        <v>8421</v>
      </c>
      <c r="L6505" s="32" t="s">
        <v>8422</v>
      </c>
      <c r="M6505" s="113" t="s">
        <v>8423</v>
      </c>
      <c r="N6505" s="34">
        <v>44348</v>
      </c>
      <c r="O6505" s="35" t="s">
        <v>37</v>
      </c>
      <c r="P6505" s="465">
        <v>50</v>
      </c>
      <c r="Q6505" s="459">
        <v>32</v>
      </c>
      <c r="R6505" s="465">
        <f t="shared" si="191"/>
        <v>1600</v>
      </c>
      <c r="S6505" s="31">
        <v>202304</v>
      </c>
      <c r="T6505" s="60" t="s">
        <v>8424</v>
      </c>
      <c r="U6505" s="104"/>
      <c r="V6505" s="438"/>
      <c r="W6505" s="438"/>
      <c r="X6505" s="34"/>
      <c r="Y6505" s="34"/>
    </row>
    <row r="6506" s="3" customFormat="1" customHeight="1" spans="1:25">
      <c r="A6506" s="11" t="s">
        <v>109</v>
      </c>
      <c r="B6506" s="35" t="s">
        <v>7422</v>
      </c>
      <c r="C6506" s="35" t="s">
        <v>238</v>
      </c>
      <c r="D6506" s="35" t="s">
        <v>7585</v>
      </c>
      <c r="E6506" s="13" t="s">
        <v>8313</v>
      </c>
      <c r="F6506" s="11" t="s">
        <v>8314</v>
      </c>
      <c r="G6506" s="11" t="s">
        <v>31</v>
      </c>
      <c r="H6506" s="110" t="s">
        <v>8420</v>
      </c>
      <c r="I6506" s="30" t="e">
        <f>VLOOKUP(H6506,'合同高级查询数据-4月返'!A:A,1,FALSE)</f>
        <v>#N/A</v>
      </c>
      <c r="J6506" s="31" t="s">
        <v>33</v>
      </c>
      <c r="K6506" s="11" t="s">
        <v>8421</v>
      </c>
      <c r="L6506" s="32" t="s">
        <v>8422</v>
      </c>
      <c r="M6506" s="113" t="s">
        <v>8423</v>
      </c>
      <c r="N6506" s="34">
        <v>44348</v>
      </c>
      <c r="O6506" s="35" t="s">
        <v>37</v>
      </c>
      <c r="P6506" s="465">
        <v>0</v>
      </c>
      <c r="Q6506" s="459">
        <v>256</v>
      </c>
      <c r="R6506" s="465">
        <f t="shared" si="191"/>
        <v>0</v>
      </c>
      <c r="S6506" s="31">
        <v>202304</v>
      </c>
      <c r="T6506" s="60" t="s">
        <v>8425</v>
      </c>
      <c r="U6506" s="104"/>
      <c r="V6506" s="438"/>
      <c r="W6506" s="438"/>
      <c r="X6506" s="34"/>
      <c r="Y6506" s="34"/>
    </row>
    <row r="6507" s="3" customFormat="1" customHeight="1" spans="1:25">
      <c r="A6507" s="11" t="s">
        <v>109</v>
      </c>
      <c r="B6507" s="35" t="s">
        <v>7422</v>
      </c>
      <c r="C6507" s="35" t="s">
        <v>238</v>
      </c>
      <c r="D6507" s="35" t="s">
        <v>7585</v>
      </c>
      <c r="E6507" s="13" t="s">
        <v>8313</v>
      </c>
      <c r="F6507" s="11" t="s">
        <v>8314</v>
      </c>
      <c r="G6507" s="11" t="s">
        <v>31</v>
      </c>
      <c r="H6507" s="110" t="s">
        <v>8420</v>
      </c>
      <c r="I6507" s="30" t="e">
        <f>VLOOKUP(H6507,'合同高级查询数据-4月返'!A:A,1,FALSE)</f>
        <v>#N/A</v>
      </c>
      <c r="J6507" s="31" t="s">
        <v>33</v>
      </c>
      <c r="K6507" s="11" t="s">
        <v>8421</v>
      </c>
      <c r="L6507" s="32" t="s">
        <v>8422</v>
      </c>
      <c r="M6507" s="113" t="s">
        <v>8423</v>
      </c>
      <c r="N6507" s="34">
        <v>44904</v>
      </c>
      <c r="O6507" s="35" t="s">
        <v>37</v>
      </c>
      <c r="P6507" s="465">
        <v>50</v>
      </c>
      <c r="Q6507" s="459">
        <v>-32</v>
      </c>
      <c r="R6507" s="465">
        <f t="shared" si="191"/>
        <v>-1600</v>
      </c>
      <c r="S6507" s="31">
        <v>202304</v>
      </c>
      <c r="T6507" s="60" t="s">
        <v>8426</v>
      </c>
      <c r="U6507" s="104"/>
      <c r="V6507" s="438"/>
      <c r="W6507" s="438"/>
      <c r="X6507" s="34"/>
      <c r="Y6507" s="34"/>
    </row>
    <row r="6508" s="3" customFormat="1" customHeight="1" spans="1:25">
      <c r="A6508" s="11" t="s">
        <v>109</v>
      </c>
      <c r="B6508" s="35" t="s">
        <v>7422</v>
      </c>
      <c r="C6508" s="35" t="s">
        <v>238</v>
      </c>
      <c r="D6508" s="35" t="s">
        <v>7585</v>
      </c>
      <c r="E6508" s="13" t="s">
        <v>8313</v>
      </c>
      <c r="F6508" s="11" t="s">
        <v>8314</v>
      </c>
      <c r="G6508" s="11" t="s">
        <v>31</v>
      </c>
      <c r="H6508" s="110" t="s">
        <v>8420</v>
      </c>
      <c r="I6508" s="30" t="e">
        <f>VLOOKUP(H6508,'合同高级查询数据-4月返'!A:A,1,FALSE)</f>
        <v>#N/A</v>
      </c>
      <c r="J6508" s="31" t="s">
        <v>33</v>
      </c>
      <c r="K6508" s="11" t="s">
        <v>8421</v>
      </c>
      <c r="L6508" s="32" t="s">
        <v>8422</v>
      </c>
      <c r="M6508" s="113" t="s">
        <v>8423</v>
      </c>
      <c r="N6508" s="34">
        <v>44904</v>
      </c>
      <c r="O6508" s="35" t="s">
        <v>37</v>
      </c>
      <c r="P6508" s="465">
        <v>0</v>
      </c>
      <c r="Q6508" s="459">
        <v>-96</v>
      </c>
      <c r="R6508" s="465">
        <f t="shared" si="191"/>
        <v>0</v>
      </c>
      <c r="S6508" s="31">
        <v>202304</v>
      </c>
      <c r="T6508" s="60"/>
      <c r="U6508" s="104"/>
      <c r="V6508" s="438"/>
      <c r="W6508" s="438"/>
      <c r="X6508" s="34"/>
      <c r="Y6508" s="34"/>
    </row>
    <row r="6509" s="3" customFormat="1" customHeight="1" spans="1:25">
      <c r="A6509" s="11" t="s">
        <v>109</v>
      </c>
      <c r="B6509" s="35" t="s">
        <v>7422</v>
      </c>
      <c r="C6509" s="35" t="s">
        <v>238</v>
      </c>
      <c r="D6509" s="35" t="s">
        <v>7585</v>
      </c>
      <c r="E6509" s="13" t="s">
        <v>8313</v>
      </c>
      <c r="F6509" s="11" t="s">
        <v>8314</v>
      </c>
      <c r="G6509" s="11" t="s">
        <v>31</v>
      </c>
      <c r="H6509" s="110" t="s">
        <v>8420</v>
      </c>
      <c r="I6509" s="30" t="e">
        <f>VLOOKUP(H6509,'合同高级查询数据-4月返'!A:A,1,FALSE)</f>
        <v>#N/A</v>
      </c>
      <c r="J6509" s="31" t="s">
        <v>33</v>
      </c>
      <c r="K6509" s="11" t="s">
        <v>8421</v>
      </c>
      <c r="L6509" s="32" t="s">
        <v>8422</v>
      </c>
      <c r="M6509" s="113" t="s">
        <v>8423</v>
      </c>
      <c r="N6509" s="34"/>
      <c r="O6509" s="35" t="s">
        <v>179</v>
      </c>
      <c r="P6509" s="465">
        <v>0</v>
      </c>
      <c r="Q6509" s="459">
        <v>0</v>
      </c>
      <c r="R6509" s="465">
        <f t="shared" si="191"/>
        <v>0</v>
      </c>
      <c r="S6509" s="31">
        <v>202304</v>
      </c>
      <c r="T6509" s="60" t="s">
        <v>8427</v>
      </c>
      <c r="U6509" s="104"/>
      <c r="V6509" s="438"/>
      <c r="W6509" s="438"/>
      <c r="X6509" s="34"/>
      <c r="Y6509" s="34"/>
    </row>
    <row r="6510" s="3" customFormat="1" customHeight="1" spans="1:25">
      <c r="A6510" s="11" t="s">
        <v>109</v>
      </c>
      <c r="B6510" s="35" t="s">
        <v>7422</v>
      </c>
      <c r="C6510" s="35" t="s">
        <v>238</v>
      </c>
      <c r="D6510" s="35" t="s">
        <v>7585</v>
      </c>
      <c r="E6510" s="13" t="s">
        <v>8313</v>
      </c>
      <c r="F6510" s="11" t="s">
        <v>8314</v>
      </c>
      <c r="G6510" s="11" t="s">
        <v>88</v>
      </c>
      <c r="H6510" s="110" t="s">
        <v>8420</v>
      </c>
      <c r="I6510" s="30" t="e">
        <f>VLOOKUP(H6510,'合同高级查询数据-4月返'!A:A,1,FALSE)</f>
        <v>#N/A</v>
      </c>
      <c r="J6510" s="31" t="s">
        <v>162</v>
      </c>
      <c r="K6510" s="11" t="s">
        <v>8421</v>
      </c>
      <c r="L6510" s="32" t="s">
        <v>8422</v>
      </c>
      <c r="M6510" s="113" t="s">
        <v>8423</v>
      </c>
      <c r="N6510" s="34">
        <v>44348</v>
      </c>
      <c r="O6510" s="35" t="s">
        <v>92</v>
      </c>
      <c r="P6510" s="465">
        <v>5000</v>
      </c>
      <c r="Q6510" s="459">
        <v>6</v>
      </c>
      <c r="R6510" s="465">
        <f t="shared" si="191"/>
        <v>30000</v>
      </c>
      <c r="S6510" s="31">
        <v>202304</v>
      </c>
      <c r="T6510" s="60" t="s">
        <v>8428</v>
      </c>
      <c r="U6510" s="104"/>
      <c r="V6510" s="438"/>
      <c r="W6510" s="438"/>
      <c r="X6510" s="34"/>
      <c r="Y6510" s="34"/>
    </row>
    <row r="6511" s="5" customFormat="1" customHeight="1" spans="1:25">
      <c r="A6511" s="24" t="s">
        <v>109</v>
      </c>
      <c r="B6511" s="22" t="s">
        <v>7422</v>
      </c>
      <c r="C6511" s="24" t="s">
        <v>153</v>
      </c>
      <c r="D6511" s="22" t="s">
        <v>7585</v>
      </c>
      <c r="E6511" s="23" t="s">
        <v>8313</v>
      </c>
      <c r="F6511" s="24" t="s">
        <v>8314</v>
      </c>
      <c r="G6511" s="24" t="s">
        <v>31</v>
      </c>
      <c r="H6511" s="25" t="s">
        <v>8429</v>
      </c>
      <c r="I6511" s="46" t="e">
        <f>VLOOKUP(H6511,'合同高级查询数据-4月返'!A:A,1,FALSE)</f>
        <v>#N/A</v>
      </c>
      <c r="J6511" s="47" t="s">
        <v>33</v>
      </c>
      <c r="K6511" s="24" t="s">
        <v>2466</v>
      </c>
      <c r="L6511" s="511" t="s">
        <v>8430</v>
      </c>
      <c r="M6511" s="49" t="s">
        <v>8431</v>
      </c>
      <c r="N6511" s="493">
        <v>44591</v>
      </c>
      <c r="O6511" s="493" t="s">
        <v>37</v>
      </c>
      <c r="P6511" s="52">
        <v>0</v>
      </c>
      <c r="Q6511" s="70">
        <v>320</v>
      </c>
      <c r="R6511" s="52">
        <f t="shared" si="191"/>
        <v>0</v>
      </c>
      <c r="S6511" s="47">
        <v>202304</v>
      </c>
      <c r="T6511" s="123" t="s">
        <v>8432</v>
      </c>
      <c r="U6511" s="97"/>
      <c r="V6511" s="453"/>
      <c r="W6511" s="453"/>
      <c r="X6511" s="50">
        <v>44958</v>
      </c>
      <c r="Y6511" s="50">
        <v>45322</v>
      </c>
    </row>
    <row r="6512" s="5" customFormat="1" customHeight="1" spans="1:25">
      <c r="A6512" s="24" t="s">
        <v>109</v>
      </c>
      <c r="B6512" s="22" t="s">
        <v>7422</v>
      </c>
      <c r="C6512" s="24" t="s">
        <v>153</v>
      </c>
      <c r="D6512" s="22" t="s">
        <v>7585</v>
      </c>
      <c r="E6512" s="23" t="s">
        <v>8313</v>
      </c>
      <c r="F6512" s="24" t="s">
        <v>8314</v>
      </c>
      <c r="G6512" s="24" t="s">
        <v>31</v>
      </c>
      <c r="H6512" s="25" t="s">
        <v>8429</v>
      </c>
      <c r="I6512" s="46" t="e">
        <f>VLOOKUP(H6512,'合同高级查询数据-4月返'!A:A,1,FALSE)</f>
        <v>#N/A</v>
      </c>
      <c r="J6512" s="47" t="s">
        <v>33</v>
      </c>
      <c r="K6512" s="24" t="s">
        <v>2466</v>
      </c>
      <c r="L6512" s="511" t="s">
        <v>8430</v>
      </c>
      <c r="M6512" s="49" t="s">
        <v>8431</v>
      </c>
      <c r="N6512" s="493"/>
      <c r="O6512" s="493" t="s">
        <v>179</v>
      </c>
      <c r="P6512" s="52">
        <v>0</v>
      </c>
      <c r="Q6512" s="52">
        <v>0</v>
      </c>
      <c r="R6512" s="52">
        <f t="shared" si="191"/>
        <v>0</v>
      </c>
      <c r="S6512" s="47">
        <v>202304</v>
      </c>
      <c r="T6512" s="123" t="s">
        <v>8433</v>
      </c>
      <c r="U6512" s="97"/>
      <c r="V6512" s="453"/>
      <c r="W6512" s="453"/>
      <c r="X6512" s="50">
        <v>44958</v>
      </c>
      <c r="Y6512" s="50">
        <v>45322</v>
      </c>
    </row>
    <row r="6513" s="5" customFormat="1" customHeight="1" spans="1:25">
      <c r="A6513" s="24" t="s">
        <v>109</v>
      </c>
      <c r="B6513" s="22" t="s">
        <v>7422</v>
      </c>
      <c r="C6513" s="24" t="s">
        <v>153</v>
      </c>
      <c r="D6513" s="22" t="s">
        <v>7585</v>
      </c>
      <c r="E6513" s="23" t="s">
        <v>8313</v>
      </c>
      <c r="F6513" s="24" t="s">
        <v>8314</v>
      </c>
      <c r="G6513" s="24" t="s">
        <v>88</v>
      </c>
      <c r="H6513" s="25" t="s">
        <v>8429</v>
      </c>
      <c r="I6513" s="46" t="e">
        <f>VLOOKUP(H6513,'合同高级查询数据-4月返'!A:A,1,FALSE)</f>
        <v>#N/A</v>
      </c>
      <c r="J6513" s="47" t="s">
        <v>162</v>
      </c>
      <c r="K6513" s="24" t="s">
        <v>2466</v>
      </c>
      <c r="L6513" s="511" t="s">
        <v>8430</v>
      </c>
      <c r="M6513" s="49" t="s">
        <v>8431</v>
      </c>
      <c r="N6513" s="493">
        <v>44591</v>
      </c>
      <c r="O6513" s="493" t="s">
        <v>92</v>
      </c>
      <c r="P6513" s="52">
        <v>5000</v>
      </c>
      <c r="Q6513" s="70">
        <v>4</v>
      </c>
      <c r="R6513" s="52">
        <f t="shared" si="191"/>
        <v>20000</v>
      </c>
      <c r="S6513" s="47">
        <v>202304</v>
      </c>
      <c r="T6513" s="123" t="s">
        <v>8434</v>
      </c>
      <c r="U6513" s="97"/>
      <c r="V6513" s="453"/>
      <c r="W6513" s="453"/>
      <c r="X6513" s="50">
        <v>44958</v>
      </c>
      <c r="Y6513" s="50">
        <v>45322</v>
      </c>
    </row>
    <row r="6514" s="5" customFormat="1" customHeight="1" spans="1:25">
      <c r="A6514" s="24" t="s">
        <v>109</v>
      </c>
      <c r="B6514" s="22" t="s">
        <v>7422</v>
      </c>
      <c r="C6514" s="24" t="s">
        <v>153</v>
      </c>
      <c r="D6514" s="22" t="s">
        <v>7585</v>
      </c>
      <c r="E6514" s="23" t="s">
        <v>8313</v>
      </c>
      <c r="F6514" s="24" t="s">
        <v>8314</v>
      </c>
      <c r="G6514" s="24" t="s">
        <v>31</v>
      </c>
      <c r="H6514" s="25" t="s">
        <v>8435</v>
      </c>
      <c r="I6514" s="46" t="e">
        <f>VLOOKUP(H6514,'合同高级查询数据-4月返'!A:A,1,FALSE)</f>
        <v>#N/A</v>
      </c>
      <c r="J6514" s="47" t="s">
        <v>33</v>
      </c>
      <c r="K6514" s="24" t="s">
        <v>157</v>
      </c>
      <c r="L6514" s="511" t="s">
        <v>8436</v>
      </c>
      <c r="M6514" s="49" t="s">
        <v>8437</v>
      </c>
      <c r="N6514" s="493">
        <v>44591</v>
      </c>
      <c r="O6514" s="493" t="s">
        <v>37</v>
      </c>
      <c r="P6514" s="52">
        <v>0</v>
      </c>
      <c r="Q6514" s="70">
        <v>320</v>
      </c>
      <c r="R6514" s="52">
        <f t="shared" si="191"/>
        <v>0</v>
      </c>
      <c r="S6514" s="47">
        <v>202304</v>
      </c>
      <c r="T6514" s="123" t="s">
        <v>8438</v>
      </c>
      <c r="U6514" s="97"/>
      <c r="V6514" s="453"/>
      <c r="W6514" s="453"/>
      <c r="X6514" s="50">
        <v>44927</v>
      </c>
      <c r="Y6514" s="50">
        <v>45291</v>
      </c>
    </row>
    <row r="6515" s="5" customFormat="1" customHeight="1" spans="1:25">
      <c r="A6515" s="24" t="s">
        <v>109</v>
      </c>
      <c r="B6515" s="22" t="s">
        <v>7422</v>
      </c>
      <c r="C6515" s="24" t="s">
        <v>153</v>
      </c>
      <c r="D6515" s="22" t="s">
        <v>7585</v>
      </c>
      <c r="E6515" s="23" t="s">
        <v>8313</v>
      </c>
      <c r="F6515" s="24" t="s">
        <v>8314</v>
      </c>
      <c r="G6515" s="24" t="s">
        <v>31</v>
      </c>
      <c r="H6515" s="25" t="s">
        <v>8435</v>
      </c>
      <c r="I6515" s="46" t="e">
        <f>VLOOKUP(H6515,'合同高级查询数据-4月返'!A:A,1,FALSE)</f>
        <v>#N/A</v>
      </c>
      <c r="J6515" s="47" t="s">
        <v>33</v>
      </c>
      <c r="K6515" s="24" t="s">
        <v>157</v>
      </c>
      <c r="L6515" s="511" t="s">
        <v>8436</v>
      </c>
      <c r="M6515" s="49" t="s">
        <v>8437</v>
      </c>
      <c r="N6515" s="493"/>
      <c r="O6515" s="22" t="s">
        <v>179</v>
      </c>
      <c r="P6515" s="52">
        <v>0</v>
      </c>
      <c r="Q6515" s="52">
        <v>0</v>
      </c>
      <c r="R6515" s="52">
        <f t="shared" si="191"/>
        <v>0</v>
      </c>
      <c r="S6515" s="47">
        <v>202304</v>
      </c>
      <c r="T6515" s="123" t="s">
        <v>8433</v>
      </c>
      <c r="U6515" s="97"/>
      <c r="V6515" s="453"/>
      <c r="W6515" s="453"/>
      <c r="X6515" s="50">
        <v>44927</v>
      </c>
      <c r="Y6515" s="50">
        <v>45291</v>
      </c>
    </row>
    <row r="6516" s="5" customFormat="1" customHeight="1" spans="1:25">
      <c r="A6516" s="24" t="s">
        <v>109</v>
      </c>
      <c r="B6516" s="22" t="s">
        <v>7422</v>
      </c>
      <c r="C6516" s="24" t="s">
        <v>153</v>
      </c>
      <c r="D6516" s="22" t="s">
        <v>7585</v>
      </c>
      <c r="E6516" s="23" t="s">
        <v>8313</v>
      </c>
      <c r="F6516" s="24" t="s">
        <v>8314</v>
      </c>
      <c r="G6516" s="24" t="s">
        <v>88</v>
      </c>
      <c r="H6516" s="25" t="s">
        <v>8435</v>
      </c>
      <c r="I6516" s="46" t="e">
        <f>VLOOKUP(H6516,'合同高级查询数据-4月返'!A:A,1,FALSE)</f>
        <v>#N/A</v>
      </c>
      <c r="J6516" s="47" t="s">
        <v>162</v>
      </c>
      <c r="K6516" s="24" t="s">
        <v>157</v>
      </c>
      <c r="L6516" s="511" t="s">
        <v>8436</v>
      </c>
      <c r="M6516" s="49" t="s">
        <v>8437</v>
      </c>
      <c r="N6516" s="493">
        <v>44591</v>
      </c>
      <c r="O6516" s="493" t="s">
        <v>163</v>
      </c>
      <c r="P6516" s="52">
        <v>5000</v>
      </c>
      <c r="Q6516" s="70">
        <v>3</v>
      </c>
      <c r="R6516" s="52">
        <f t="shared" si="191"/>
        <v>15000</v>
      </c>
      <c r="S6516" s="47">
        <v>202304</v>
      </c>
      <c r="T6516" s="123" t="s">
        <v>8439</v>
      </c>
      <c r="U6516" s="97"/>
      <c r="V6516" s="453"/>
      <c r="W6516" s="453"/>
      <c r="X6516" s="50">
        <v>44927</v>
      </c>
      <c r="Y6516" s="50">
        <v>45291</v>
      </c>
    </row>
    <row r="6517" s="3" customFormat="1" customHeight="1" spans="1:25">
      <c r="A6517" s="11" t="s">
        <v>152</v>
      </c>
      <c r="B6517" s="35" t="s">
        <v>7422</v>
      </c>
      <c r="C6517" s="35" t="s">
        <v>153</v>
      </c>
      <c r="D6517" s="35" t="s">
        <v>7585</v>
      </c>
      <c r="E6517" s="30" t="s">
        <v>8313</v>
      </c>
      <c r="F6517" s="35" t="s">
        <v>8314</v>
      </c>
      <c r="G6517" s="11" t="s">
        <v>31</v>
      </c>
      <c r="H6517" s="35" t="s">
        <v>8440</v>
      </c>
      <c r="I6517" s="30" t="e">
        <f>VLOOKUP(H6517,'合同高级查询数据-4月返'!A:A,1,FALSE)</f>
        <v>#N/A</v>
      </c>
      <c r="J6517" s="31" t="s">
        <v>33</v>
      </c>
      <c r="K6517" s="35" t="s">
        <v>2466</v>
      </c>
      <c r="L6517" s="35" t="s">
        <v>8441</v>
      </c>
      <c r="M6517" s="35" t="s">
        <v>8442</v>
      </c>
      <c r="N6517" s="34">
        <v>44593</v>
      </c>
      <c r="O6517" s="35" t="s">
        <v>37</v>
      </c>
      <c r="P6517" s="488">
        <v>0</v>
      </c>
      <c r="Q6517" s="488">
        <v>480</v>
      </c>
      <c r="R6517" s="488">
        <f t="shared" si="191"/>
        <v>0</v>
      </c>
      <c r="S6517" s="31">
        <v>202304</v>
      </c>
      <c r="T6517" s="30" t="s">
        <v>8443</v>
      </c>
      <c r="U6517" s="35"/>
      <c r="V6517" s="494"/>
      <c r="W6517" s="35"/>
      <c r="X6517" s="34"/>
      <c r="Y6517" s="34"/>
    </row>
    <row r="6518" s="3" customFormat="1" customHeight="1" spans="1:25">
      <c r="A6518" s="11" t="s">
        <v>152</v>
      </c>
      <c r="B6518" s="35" t="s">
        <v>7422</v>
      </c>
      <c r="C6518" s="35" t="s">
        <v>153</v>
      </c>
      <c r="D6518" s="35" t="s">
        <v>7585</v>
      </c>
      <c r="E6518" s="30" t="s">
        <v>8313</v>
      </c>
      <c r="F6518" s="35" t="s">
        <v>8314</v>
      </c>
      <c r="G6518" s="11" t="s">
        <v>31</v>
      </c>
      <c r="H6518" s="35" t="s">
        <v>8440</v>
      </c>
      <c r="I6518" s="30" t="e">
        <f>VLOOKUP(H6518,'合同高级查询数据-4月返'!A:A,1,FALSE)</f>
        <v>#N/A</v>
      </c>
      <c r="J6518" s="31" t="s">
        <v>33</v>
      </c>
      <c r="K6518" s="35" t="s">
        <v>2466</v>
      </c>
      <c r="L6518" s="35" t="s">
        <v>8444</v>
      </c>
      <c r="M6518" s="35" t="s">
        <v>8442</v>
      </c>
      <c r="N6518" s="34"/>
      <c r="O6518" s="35" t="s">
        <v>179</v>
      </c>
      <c r="P6518" s="465">
        <v>0</v>
      </c>
      <c r="Q6518" s="459">
        <v>0</v>
      </c>
      <c r="R6518" s="465">
        <f t="shared" si="191"/>
        <v>0</v>
      </c>
      <c r="S6518" s="31">
        <v>202304</v>
      </c>
      <c r="T6518" s="30" t="s">
        <v>8433</v>
      </c>
      <c r="U6518" s="35"/>
      <c r="V6518" s="494"/>
      <c r="W6518" s="35"/>
      <c r="X6518" s="34"/>
      <c r="Y6518" s="34"/>
    </row>
    <row r="6519" s="3" customFormat="1" customHeight="1" spans="1:25">
      <c r="A6519" s="11" t="s">
        <v>152</v>
      </c>
      <c r="B6519" s="35" t="s">
        <v>7422</v>
      </c>
      <c r="C6519" s="35" t="s">
        <v>153</v>
      </c>
      <c r="D6519" s="35" t="s">
        <v>7585</v>
      </c>
      <c r="E6519" s="30" t="s">
        <v>8313</v>
      </c>
      <c r="F6519" s="35" t="s">
        <v>8314</v>
      </c>
      <c r="G6519" s="11" t="s">
        <v>88</v>
      </c>
      <c r="H6519" s="35" t="s">
        <v>8440</v>
      </c>
      <c r="I6519" s="30" t="e">
        <f>VLOOKUP(H6519,'合同高级查询数据-4月返'!A:A,1,FALSE)</f>
        <v>#N/A</v>
      </c>
      <c r="J6519" s="31" t="s">
        <v>162</v>
      </c>
      <c r="K6519" s="35" t="s">
        <v>2466</v>
      </c>
      <c r="L6519" s="35" t="s">
        <v>8441</v>
      </c>
      <c r="M6519" s="35" t="s">
        <v>8442</v>
      </c>
      <c r="N6519" s="34">
        <v>44593</v>
      </c>
      <c r="O6519" s="35" t="s">
        <v>163</v>
      </c>
      <c r="P6519" s="488">
        <v>4000</v>
      </c>
      <c r="Q6519" s="488">
        <v>5</v>
      </c>
      <c r="R6519" s="488">
        <f t="shared" si="191"/>
        <v>20000</v>
      </c>
      <c r="S6519" s="31">
        <v>202304</v>
      </c>
      <c r="T6519" s="30" t="s">
        <v>8445</v>
      </c>
      <c r="U6519" s="35"/>
      <c r="V6519" s="494"/>
      <c r="W6519" s="35"/>
      <c r="X6519" s="34"/>
      <c r="Y6519" s="34"/>
    </row>
    <row r="6520" s="3" customFormat="1" customHeight="1" spans="1:25">
      <c r="A6520" s="11" t="s">
        <v>152</v>
      </c>
      <c r="B6520" s="35" t="s">
        <v>7422</v>
      </c>
      <c r="C6520" s="35" t="s">
        <v>153</v>
      </c>
      <c r="D6520" s="35" t="s">
        <v>7585</v>
      </c>
      <c r="E6520" s="30" t="s">
        <v>8313</v>
      </c>
      <c r="F6520" s="35" t="s">
        <v>8314</v>
      </c>
      <c r="G6520" s="11" t="s">
        <v>88</v>
      </c>
      <c r="H6520" s="35" t="s">
        <v>8440</v>
      </c>
      <c r="I6520" s="30" t="e">
        <f>VLOOKUP(H6520,'合同高级查询数据-4月返'!A:A,1,FALSE)</f>
        <v>#N/A</v>
      </c>
      <c r="J6520" s="31" t="s">
        <v>162</v>
      </c>
      <c r="K6520" s="35" t="s">
        <v>2466</v>
      </c>
      <c r="L6520" s="35" t="s">
        <v>8441</v>
      </c>
      <c r="M6520" s="35" t="s">
        <v>8442</v>
      </c>
      <c r="N6520" s="34">
        <v>44681</v>
      </c>
      <c r="O6520" s="35" t="s">
        <v>163</v>
      </c>
      <c r="P6520" s="488">
        <v>4000</v>
      </c>
      <c r="Q6520" s="488">
        <v>-1</v>
      </c>
      <c r="R6520" s="488">
        <f t="shared" si="191"/>
        <v>-4000</v>
      </c>
      <c r="S6520" s="31">
        <v>202304</v>
      </c>
      <c r="T6520" s="30" t="s">
        <v>8446</v>
      </c>
      <c r="U6520" s="35"/>
      <c r="V6520" s="494"/>
      <c r="W6520" s="35"/>
      <c r="X6520" s="34"/>
      <c r="Y6520" s="34"/>
    </row>
    <row r="6521" s="5" customFormat="1" customHeight="1" spans="1:25">
      <c r="A6521" s="24" t="s">
        <v>109</v>
      </c>
      <c r="B6521" s="22" t="s">
        <v>7422</v>
      </c>
      <c r="C6521" s="24" t="s">
        <v>153</v>
      </c>
      <c r="D6521" s="22" t="s">
        <v>7585</v>
      </c>
      <c r="E6521" s="23" t="s">
        <v>8313</v>
      </c>
      <c r="F6521" s="24" t="s">
        <v>8314</v>
      </c>
      <c r="G6521" s="24" t="s">
        <v>31</v>
      </c>
      <c r="H6521" s="22" t="s">
        <v>8447</v>
      </c>
      <c r="I6521" s="46" t="e">
        <f>VLOOKUP(H6521,'合同高级查询数据-4月返'!A:A,1,FALSE)</f>
        <v>#N/A</v>
      </c>
      <c r="J6521" s="47" t="s">
        <v>33</v>
      </c>
      <c r="K6521" s="22" t="s">
        <v>8448</v>
      </c>
      <c r="L6521" s="22" t="s">
        <v>8449</v>
      </c>
      <c r="M6521" s="22" t="s">
        <v>8450</v>
      </c>
      <c r="N6521" s="50">
        <v>44835</v>
      </c>
      <c r="O6521" s="22" t="s">
        <v>37</v>
      </c>
      <c r="P6521" s="486">
        <v>0</v>
      </c>
      <c r="Q6521" s="486">
        <v>288</v>
      </c>
      <c r="R6521" s="486">
        <f t="shared" si="191"/>
        <v>0</v>
      </c>
      <c r="S6521" s="47">
        <v>202304</v>
      </c>
      <c r="T6521" s="46" t="s">
        <v>8451</v>
      </c>
      <c r="U6521" s="22"/>
      <c r="V6521" s="72"/>
      <c r="W6521" s="22"/>
      <c r="X6521" s="50">
        <v>44835</v>
      </c>
      <c r="Y6521" s="73">
        <v>45199</v>
      </c>
    </row>
    <row r="6522" s="5" customFormat="1" customHeight="1" spans="1:25">
      <c r="A6522" s="24" t="s">
        <v>109</v>
      </c>
      <c r="B6522" s="22" t="s">
        <v>7422</v>
      </c>
      <c r="C6522" s="24" t="s">
        <v>153</v>
      </c>
      <c r="D6522" s="22" t="s">
        <v>7585</v>
      </c>
      <c r="E6522" s="23" t="s">
        <v>8313</v>
      </c>
      <c r="F6522" s="24" t="s">
        <v>8314</v>
      </c>
      <c r="G6522" s="24" t="s">
        <v>88</v>
      </c>
      <c r="H6522" s="22" t="s">
        <v>8447</v>
      </c>
      <c r="I6522" s="46" t="e">
        <f>VLOOKUP(H6522,'合同高级查询数据-4月返'!A:A,1,FALSE)</f>
        <v>#N/A</v>
      </c>
      <c r="J6522" s="47" t="s">
        <v>162</v>
      </c>
      <c r="K6522" s="22" t="s">
        <v>8448</v>
      </c>
      <c r="L6522" s="22" t="s">
        <v>8449</v>
      </c>
      <c r="M6522" s="22" t="s">
        <v>8450</v>
      </c>
      <c r="N6522" s="50">
        <v>44835</v>
      </c>
      <c r="O6522" s="22" t="s">
        <v>92</v>
      </c>
      <c r="P6522" s="486">
        <v>5000</v>
      </c>
      <c r="Q6522" s="486">
        <v>3</v>
      </c>
      <c r="R6522" s="486">
        <f t="shared" si="191"/>
        <v>15000</v>
      </c>
      <c r="S6522" s="47">
        <v>202304</v>
      </c>
      <c r="T6522" s="46" t="s">
        <v>8452</v>
      </c>
      <c r="U6522" s="22"/>
      <c r="V6522" s="72"/>
      <c r="W6522" s="22"/>
      <c r="X6522" s="50">
        <v>44835</v>
      </c>
      <c r="Y6522" s="73">
        <v>45199</v>
      </c>
    </row>
    <row r="6523" s="5" customFormat="1" customHeight="1" spans="1:25">
      <c r="A6523" s="24" t="s">
        <v>109</v>
      </c>
      <c r="B6523" s="24" t="s">
        <v>7422</v>
      </c>
      <c r="C6523" s="24" t="s">
        <v>238</v>
      </c>
      <c r="D6523" s="22" t="s">
        <v>7585</v>
      </c>
      <c r="E6523" s="23" t="s">
        <v>8453</v>
      </c>
      <c r="F6523" s="24" t="s">
        <v>8454</v>
      </c>
      <c r="G6523" s="24" t="s">
        <v>31</v>
      </c>
      <c r="H6523" s="25" t="s">
        <v>8455</v>
      </c>
      <c r="I6523" s="46" t="e">
        <f>VLOOKUP(H6523,'合同高级查询数据-4月返'!A:A,1,FALSE)</f>
        <v>#N/A</v>
      </c>
      <c r="J6523" s="47" t="s">
        <v>33</v>
      </c>
      <c r="K6523" s="24" t="s">
        <v>7918</v>
      </c>
      <c r="L6523" s="109" t="s">
        <v>8456</v>
      </c>
      <c r="M6523" s="49" t="s">
        <v>8457</v>
      </c>
      <c r="N6523" s="493">
        <v>43306</v>
      </c>
      <c r="O6523" s="493" t="s">
        <v>37</v>
      </c>
      <c r="P6523" s="52">
        <v>0</v>
      </c>
      <c r="Q6523" s="70">
        <v>288</v>
      </c>
      <c r="R6523" s="52">
        <f t="shared" si="191"/>
        <v>0</v>
      </c>
      <c r="S6523" s="47">
        <v>202304</v>
      </c>
      <c r="T6523" s="123" t="s">
        <v>8458</v>
      </c>
      <c r="U6523" s="48"/>
      <c r="V6523" s="48"/>
      <c r="W6523" s="48"/>
      <c r="X6523" s="50">
        <v>44927</v>
      </c>
      <c r="Y6523" s="50">
        <v>45291</v>
      </c>
    </row>
    <row r="6524" s="5" customFormat="1" customHeight="1" spans="1:25">
      <c r="A6524" s="24" t="s">
        <v>109</v>
      </c>
      <c r="B6524" s="24" t="s">
        <v>7422</v>
      </c>
      <c r="C6524" s="24" t="s">
        <v>238</v>
      </c>
      <c r="D6524" s="22" t="s">
        <v>7585</v>
      </c>
      <c r="E6524" s="23" t="s">
        <v>8453</v>
      </c>
      <c r="F6524" s="24" t="s">
        <v>8454</v>
      </c>
      <c r="G6524" s="24" t="s">
        <v>31</v>
      </c>
      <c r="H6524" s="25" t="s">
        <v>8455</v>
      </c>
      <c r="I6524" s="46" t="e">
        <f>VLOOKUP(H6524,'合同高级查询数据-4月返'!A:A,1,FALSE)</f>
        <v>#N/A</v>
      </c>
      <c r="J6524" s="47" t="s">
        <v>33</v>
      </c>
      <c r="K6524" s="24" t="s">
        <v>7918</v>
      </c>
      <c r="L6524" s="109" t="s">
        <v>8456</v>
      </c>
      <c r="M6524" s="49" t="s">
        <v>8457</v>
      </c>
      <c r="N6524" s="493"/>
      <c r="O6524" s="493" t="s">
        <v>179</v>
      </c>
      <c r="P6524" s="52">
        <v>0</v>
      </c>
      <c r="Q6524" s="70">
        <v>0</v>
      </c>
      <c r="R6524" s="52">
        <f t="shared" si="191"/>
        <v>0</v>
      </c>
      <c r="S6524" s="47">
        <v>202304</v>
      </c>
      <c r="T6524" s="123" t="s">
        <v>8459</v>
      </c>
      <c r="U6524" s="48"/>
      <c r="V6524" s="48"/>
      <c r="W6524" s="48"/>
      <c r="X6524" s="50">
        <v>44927</v>
      </c>
      <c r="Y6524" s="50">
        <v>45291</v>
      </c>
    </row>
    <row r="6525" s="5" customFormat="1" customHeight="1" spans="1:25">
      <c r="A6525" s="24" t="s">
        <v>109</v>
      </c>
      <c r="B6525" s="24" t="s">
        <v>7422</v>
      </c>
      <c r="C6525" s="24" t="s">
        <v>238</v>
      </c>
      <c r="D6525" s="22" t="s">
        <v>7585</v>
      </c>
      <c r="E6525" s="23" t="s">
        <v>8453</v>
      </c>
      <c r="F6525" s="24" t="s">
        <v>8454</v>
      </c>
      <c r="G6525" s="24" t="s">
        <v>88</v>
      </c>
      <c r="H6525" s="25" t="s">
        <v>8455</v>
      </c>
      <c r="I6525" s="46" t="e">
        <f>VLOOKUP(H6525,'合同高级查询数据-4月返'!A:A,1,FALSE)</f>
        <v>#N/A</v>
      </c>
      <c r="J6525" s="47" t="s">
        <v>162</v>
      </c>
      <c r="K6525" s="24" t="s">
        <v>7918</v>
      </c>
      <c r="L6525" s="109" t="s">
        <v>8456</v>
      </c>
      <c r="M6525" s="49" t="s">
        <v>8457</v>
      </c>
      <c r="N6525" s="493">
        <v>43306</v>
      </c>
      <c r="O6525" s="493" t="s">
        <v>92</v>
      </c>
      <c r="P6525" s="52">
        <v>4300</v>
      </c>
      <c r="Q6525" s="70">
        <v>5</v>
      </c>
      <c r="R6525" s="52">
        <f t="shared" si="191"/>
        <v>21500</v>
      </c>
      <c r="S6525" s="47">
        <v>202304</v>
      </c>
      <c r="T6525" s="123" t="s">
        <v>8460</v>
      </c>
      <c r="U6525" s="48"/>
      <c r="V6525" s="48"/>
      <c r="W6525" s="48"/>
      <c r="X6525" s="50">
        <v>44927</v>
      </c>
      <c r="Y6525" s="50">
        <v>45291</v>
      </c>
    </row>
    <row r="6526" s="5" customFormat="1" customHeight="1" spans="1:25">
      <c r="A6526" s="24" t="s">
        <v>25</v>
      </c>
      <c r="B6526" s="96" t="s">
        <v>7422</v>
      </c>
      <c r="C6526" s="22" t="s">
        <v>238</v>
      </c>
      <c r="D6526" s="22" t="s">
        <v>7585</v>
      </c>
      <c r="E6526" s="23" t="s">
        <v>8453</v>
      </c>
      <c r="F6526" s="24" t="s">
        <v>8454</v>
      </c>
      <c r="G6526" s="24" t="s">
        <v>31</v>
      </c>
      <c r="H6526" s="25" t="s">
        <v>8461</v>
      </c>
      <c r="I6526" s="46" t="e">
        <f>VLOOKUP(H6526,'合同高级查询数据-4月返'!A:A,1,FALSE)</f>
        <v>#N/A</v>
      </c>
      <c r="J6526" s="47" t="s">
        <v>33</v>
      </c>
      <c r="K6526" s="24" t="s">
        <v>2387</v>
      </c>
      <c r="L6526" s="109" t="s">
        <v>8462</v>
      </c>
      <c r="M6526" s="49" t="s">
        <v>8463</v>
      </c>
      <c r="N6526" s="50">
        <v>44317</v>
      </c>
      <c r="O6526" s="22" t="s">
        <v>37</v>
      </c>
      <c r="P6526" s="52">
        <v>50</v>
      </c>
      <c r="Q6526" s="70">
        <v>224</v>
      </c>
      <c r="R6526" s="52">
        <f t="shared" si="191"/>
        <v>11200</v>
      </c>
      <c r="S6526" s="47">
        <v>202304</v>
      </c>
      <c r="T6526" s="123" t="s">
        <v>8464</v>
      </c>
      <c r="U6526" s="97"/>
      <c r="V6526" s="453"/>
      <c r="W6526" s="453"/>
      <c r="X6526" s="50">
        <v>44562</v>
      </c>
      <c r="Y6526" s="50">
        <v>44926</v>
      </c>
    </row>
    <row r="6527" s="5" customFormat="1" customHeight="1" spans="1:25">
      <c r="A6527" s="24" t="s">
        <v>25</v>
      </c>
      <c r="B6527" s="96" t="s">
        <v>7422</v>
      </c>
      <c r="C6527" s="22" t="s">
        <v>238</v>
      </c>
      <c r="D6527" s="22" t="s">
        <v>7585</v>
      </c>
      <c r="E6527" s="23" t="s">
        <v>8453</v>
      </c>
      <c r="F6527" s="24" t="s">
        <v>8454</v>
      </c>
      <c r="G6527" s="24" t="s">
        <v>31</v>
      </c>
      <c r="H6527" s="25" t="s">
        <v>8461</v>
      </c>
      <c r="I6527" s="46" t="e">
        <f>VLOOKUP(H6527,'合同高级查询数据-4月返'!A:A,1,FALSE)</f>
        <v>#N/A</v>
      </c>
      <c r="J6527" s="47" t="s">
        <v>33</v>
      </c>
      <c r="K6527" s="24" t="s">
        <v>2387</v>
      </c>
      <c r="L6527" s="109" t="s">
        <v>8462</v>
      </c>
      <c r="M6527" s="49" t="s">
        <v>8463</v>
      </c>
      <c r="N6527" s="50">
        <v>44317</v>
      </c>
      <c r="O6527" s="22" t="s">
        <v>37</v>
      </c>
      <c r="P6527" s="52">
        <v>0</v>
      </c>
      <c r="Q6527" s="70">
        <v>64</v>
      </c>
      <c r="R6527" s="52">
        <f t="shared" si="191"/>
        <v>0</v>
      </c>
      <c r="S6527" s="47">
        <v>202304</v>
      </c>
      <c r="T6527" s="123" t="s">
        <v>8464</v>
      </c>
      <c r="U6527" s="97"/>
      <c r="V6527" s="453"/>
      <c r="W6527" s="453"/>
      <c r="X6527" s="50">
        <v>44562</v>
      </c>
      <c r="Y6527" s="50">
        <v>44926</v>
      </c>
    </row>
    <row r="6528" s="5" customFormat="1" customHeight="1" spans="1:25">
      <c r="A6528" s="24" t="s">
        <v>25</v>
      </c>
      <c r="B6528" s="96" t="s">
        <v>7422</v>
      </c>
      <c r="C6528" s="22" t="s">
        <v>238</v>
      </c>
      <c r="D6528" s="22" t="s">
        <v>7585</v>
      </c>
      <c r="E6528" s="23" t="s">
        <v>8453</v>
      </c>
      <c r="F6528" s="24" t="s">
        <v>8454</v>
      </c>
      <c r="G6528" s="24" t="s">
        <v>31</v>
      </c>
      <c r="H6528" s="25" t="s">
        <v>8461</v>
      </c>
      <c r="I6528" s="46" t="e">
        <f>VLOOKUP(H6528,'合同高级查询数据-4月返'!A:A,1,FALSE)</f>
        <v>#N/A</v>
      </c>
      <c r="J6528" s="47" t="s">
        <v>33</v>
      </c>
      <c r="K6528" s="24" t="s">
        <v>2387</v>
      </c>
      <c r="L6528" s="109" t="s">
        <v>8462</v>
      </c>
      <c r="M6528" s="49" t="s">
        <v>8463</v>
      </c>
      <c r="N6528" s="50">
        <v>44742</v>
      </c>
      <c r="O6528" s="22" t="s">
        <v>37</v>
      </c>
      <c r="P6528" s="52">
        <v>50</v>
      </c>
      <c r="Q6528" s="70">
        <v>-224</v>
      </c>
      <c r="R6528" s="52">
        <f t="shared" si="191"/>
        <v>-11200</v>
      </c>
      <c r="S6528" s="47">
        <v>202304</v>
      </c>
      <c r="T6528" s="123" t="s">
        <v>8465</v>
      </c>
      <c r="U6528" s="97"/>
      <c r="V6528" s="453"/>
      <c r="W6528" s="453"/>
      <c r="X6528" s="50">
        <v>44562</v>
      </c>
      <c r="Y6528" s="50">
        <v>44926</v>
      </c>
    </row>
    <row r="6529" s="5" customFormat="1" customHeight="1" spans="1:25">
      <c r="A6529" s="24" t="s">
        <v>25</v>
      </c>
      <c r="B6529" s="96" t="s">
        <v>7422</v>
      </c>
      <c r="C6529" s="22" t="s">
        <v>238</v>
      </c>
      <c r="D6529" s="22" t="s">
        <v>7585</v>
      </c>
      <c r="E6529" s="23" t="s">
        <v>8453</v>
      </c>
      <c r="F6529" s="24" t="s">
        <v>8454</v>
      </c>
      <c r="G6529" s="24" t="s">
        <v>31</v>
      </c>
      <c r="H6529" s="25" t="s">
        <v>8461</v>
      </c>
      <c r="I6529" s="46" t="e">
        <f>VLOOKUP(H6529,'合同高级查询数据-4月返'!A:A,1,FALSE)</f>
        <v>#N/A</v>
      </c>
      <c r="J6529" s="47" t="s">
        <v>33</v>
      </c>
      <c r="K6529" s="24" t="s">
        <v>2387</v>
      </c>
      <c r="L6529" s="109" t="s">
        <v>8462</v>
      </c>
      <c r="M6529" s="49" t="s">
        <v>8463</v>
      </c>
      <c r="N6529" s="50">
        <v>44742</v>
      </c>
      <c r="O6529" s="22" t="s">
        <v>37</v>
      </c>
      <c r="P6529" s="52">
        <v>0</v>
      </c>
      <c r="Q6529" s="70">
        <v>-64</v>
      </c>
      <c r="R6529" s="52">
        <f t="shared" ref="R6529:R6563" si="192">ROUND(P6529*Q6529,2)</f>
        <v>0</v>
      </c>
      <c r="S6529" s="47">
        <v>202304</v>
      </c>
      <c r="T6529" s="123" t="s">
        <v>8465</v>
      </c>
      <c r="U6529" s="97"/>
      <c r="V6529" s="453"/>
      <c r="W6529" s="453"/>
      <c r="X6529" s="50">
        <v>44562</v>
      </c>
      <c r="Y6529" s="50">
        <v>44926</v>
      </c>
    </row>
    <row r="6530" s="5" customFormat="1" customHeight="1" spans="1:25">
      <c r="A6530" s="24" t="s">
        <v>25</v>
      </c>
      <c r="B6530" s="96" t="s">
        <v>7422</v>
      </c>
      <c r="C6530" s="22" t="s">
        <v>238</v>
      </c>
      <c r="D6530" s="22" t="s">
        <v>7585</v>
      </c>
      <c r="E6530" s="23" t="s">
        <v>8453</v>
      </c>
      <c r="F6530" s="24" t="s">
        <v>8454</v>
      </c>
      <c r="G6530" s="24" t="s">
        <v>31</v>
      </c>
      <c r="H6530" s="25" t="s">
        <v>8461</v>
      </c>
      <c r="I6530" s="46" t="e">
        <f>VLOOKUP(H6530,'合同高级查询数据-4月返'!A:A,1,FALSE)</f>
        <v>#N/A</v>
      </c>
      <c r="J6530" s="47" t="s">
        <v>33</v>
      </c>
      <c r="K6530" s="24" t="s">
        <v>2387</v>
      </c>
      <c r="L6530" s="109" t="s">
        <v>8462</v>
      </c>
      <c r="M6530" s="49" t="s">
        <v>8463</v>
      </c>
      <c r="N6530" s="50"/>
      <c r="O6530" s="22" t="s">
        <v>179</v>
      </c>
      <c r="P6530" s="52">
        <v>0</v>
      </c>
      <c r="Q6530" s="70">
        <v>0</v>
      </c>
      <c r="R6530" s="52">
        <f t="shared" si="192"/>
        <v>0</v>
      </c>
      <c r="S6530" s="47">
        <v>202304</v>
      </c>
      <c r="T6530" s="123" t="s">
        <v>8466</v>
      </c>
      <c r="U6530" s="97"/>
      <c r="V6530" s="453"/>
      <c r="W6530" s="453"/>
      <c r="X6530" s="50">
        <v>44562</v>
      </c>
      <c r="Y6530" s="50">
        <v>44926</v>
      </c>
    </row>
    <row r="6531" s="5" customFormat="1" customHeight="1" spans="1:25">
      <c r="A6531" s="24" t="s">
        <v>25</v>
      </c>
      <c r="B6531" s="96" t="s">
        <v>7422</v>
      </c>
      <c r="C6531" s="22" t="s">
        <v>238</v>
      </c>
      <c r="D6531" s="22" t="s">
        <v>7585</v>
      </c>
      <c r="E6531" s="23" t="s">
        <v>8453</v>
      </c>
      <c r="F6531" s="24" t="s">
        <v>8454</v>
      </c>
      <c r="G6531" s="24" t="s">
        <v>31</v>
      </c>
      <c r="H6531" s="25" t="s">
        <v>8461</v>
      </c>
      <c r="I6531" s="46" t="e">
        <f>VLOOKUP(H6531,'合同高级查询数据-4月返'!A:A,1,FALSE)</f>
        <v>#N/A</v>
      </c>
      <c r="J6531" s="47" t="s">
        <v>33</v>
      </c>
      <c r="K6531" s="24" t="s">
        <v>2387</v>
      </c>
      <c r="L6531" s="109" t="s">
        <v>8462</v>
      </c>
      <c r="M6531" s="49" t="s">
        <v>8463</v>
      </c>
      <c r="N6531" s="50">
        <v>44742</v>
      </c>
      <c r="O6531" s="22" t="s">
        <v>179</v>
      </c>
      <c r="P6531" s="52">
        <v>0</v>
      </c>
      <c r="Q6531" s="70">
        <v>0</v>
      </c>
      <c r="R6531" s="52">
        <f t="shared" si="192"/>
        <v>0</v>
      </c>
      <c r="S6531" s="47">
        <v>202304</v>
      </c>
      <c r="T6531" s="123" t="s">
        <v>8467</v>
      </c>
      <c r="U6531" s="97"/>
      <c r="V6531" s="453"/>
      <c r="W6531" s="453"/>
      <c r="X6531" s="50">
        <v>44562</v>
      </c>
      <c r="Y6531" s="50">
        <v>44926</v>
      </c>
    </row>
    <row r="6532" s="5" customFormat="1" customHeight="1" spans="1:25">
      <c r="A6532" s="24" t="s">
        <v>25</v>
      </c>
      <c r="B6532" s="96" t="s">
        <v>7422</v>
      </c>
      <c r="C6532" s="22" t="s">
        <v>238</v>
      </c>
      <c r="D6532" s="22" t="s">
        <v>7585</v>
      </c>
      <c r="E6532" s="23" t="s">
        <v>8453</v>
      </c>
      <c r="F6532" s="24" t="s">
        <v>8454</v>
      </c>
      <c r="G6532" s="24" t="s">
        <v>88</v>
      </c>
      <c r="H6532" s="25" t="s">
        <v>8461</v>
      </c>
      <c r="I6532" s="46" t="e">
        <f>VLOOKUP(H6532,'合同高级查询数据-4月返'!A:A,1,FALSE)</f>
        <v>#N/A</v>
      </c>
      <c r="J6532" s="47" t="s">
        <v>162</v>
      </c>
      <c r="K6532" s="24" t="s">
        <v>2387</v>
      </c>
      <c r="L6532" s="109" t="s">
        <v>8462</v>
      </c>
      <c r="M6532" s="49" t="s">
        <v>8463</v>
      </c>
      <c r="N6532" s="50">
        <v>44317</v>
      </c>
      <c r="O6532" s="22" t="s">
        <v>1535</v>
      </c>
      <c r="P6532" s="52">
        <v>4500</v>
      </c>
      <c r="Q6532" s="70">
        <v>3</v>
      </c>
      <c r="R6532" s="52">
        <f t="shared" si="192"/>
        <v>13500</v>
      </c>
      <c r="S6532" s="47">
        <v>202304</v>
      </c>
      <c r="T6532" s="123" t="s">
        <v>8468</v>
      </c>
      <c r="U6532" s="97"/>
      <c r="V6532" s="453"/>
      <c r="W6532" s="453"/>
      <c r="X6532" s="50">
        <v>44562</v>
      </c>
      <c r="Y6532" s="50">
        <v>44926</v>
      </c>
    </row>
    <row r="6533" s="5" customFormat="1" customHeight="1" spans="1:25">
      <c r="A6533" s="24" t="s">
        <v>25</v>
      </c>
      <c r="B6533" s="96" t="s">
        <v>7422</v>
      </c>
      <c r="C6533" s="22" t="s">
        <v>238</v>
      </c>
      <c r="D6533" s="22" t="s">
        <v>7585</v>
      </c>
      <c r="E6533" s="23" t="s">
        <v>8453</v>
      </c>
      <c r="F6533" s="24" t="s">
        <v>8454</v>
      </c>
      <c r="G6533" s="24" t="s">
        <v>88</v>
      </c>
      <c r="H6533" s="25" t="s">
        <v>8461</v>
      </c>
      <c r="I6533" s="46" t="e">
        <f>VLOOKUP(H6533,'合同高级查询数据-4月返'!A:A,1,FALSE)</f>
        <v>#N/A</v>
      </c>
      <c r="J6533" s="47" t="s">
        <v>162</v>
      </c>
      <c r="K6533" s="24" t="s">
        <v>2387</v>
      </c>
      <c r="L6533" s="109" t="s">
        <v>8462</v>
      </c>
      <c r="M6533" s="49" t="s">
        <v>8463</v>
      </c>
      <c r="N6533" s="50">
        <v>44742</v>
      </c>
      <c r="O6533" s="22" t="s">
        <v>1535</v>
      </c>
      <c r="P6533" s="52">
        <v>4500</v>
      </c>
      <c r="Q6533" s="70">
        <v>-3</v>
      </c>
      <c r="R6533" s="52">
        <f t="shared" si="192"/>
        <v>-13500</v>
      </c>
      <c r="S6533" s="47">
        <v>202304</v>
      </c>
      <c r="T6533" s="123" t="s">
        <v>8469</v>
      </c>
      <c r="U6533" s="97"/>
      <c r="V6533" s="453"/>
      <c r="W6533" s="453"/>
      <c r="X6533" s="50">
        <v>44562</v>
      </c>
      <c r="Y6533" s="50">
        <v>44926</v>
      </c>
    </row>
    <row r="6534" s="5" customFormat="1" customHeight="1" spans="1:25">
      <c r="A6534" s="24" t="s">
        <v>109</v>
      </c>
      <c r="B6534" s="24" t="s">
        <v>7422</v>
      </c>
      <c r="C6534" s="24" t="s">
        <v>238</v>
      </c>
      <c r="D6534" s="22" t="s">
        <v>7585</v>
      </c>
      <c r="E6534" s="23" t="s">
        <v>8453</v>
      </c>
      <c r="F6534" s="24" t="s">
        <v>8454</v>
      </c>
      <c r="G6534" s="24" t="s">
        <v>31</v>
      </c>
      <c r="H6534" s="25" t="s">
        <v>8470</v>
      </c>
      <c r="I6534" s="46" t="e">
        <f>VLOOKUP(H6534,'合同高级查询数据-4月返'!A:A,1,FALSE)</f>
        <v>#N/A</v>
      </c>
      <c r="J6534" s="47" t="s">
        <v>33</v>
      </c>
      <c r="K6534" s="24" t="s">
        <v>2335</v>
      </c>
      <c r="L6534" s="109" t="s">
        <v>8471</v>
      </c>
      <c r="M6534" s="49" t="s">
        <v>8472</v>
      </c>
      <c r="N6534" s="493">
        <v>44018</v>
      </c>
      <c r="O6534" s="493" t="s">
        <v>37</v>
      </c>
      <c r="P6534" s="52">
        <v>50</v>
      </c>
      <c r="Q6534" s="70">
        <v>224</v>
      </c>
      <c r="R6534" s="52">
        <f t="shared" si="192"/>
        <v>11200</v>
      </c>
      <c r="S6534" s="47">
        <v>202304</v>
      </c>
      <c r="T6534" s="123" t="s">
        <v>8473</v>
      </c>
      <c r="U6534" s="48"/>
      <c r="V6534" s="48"/>
      <c r="W6534" s="48"/>
      <c r="X6534" s="50">
        <v>44927</v>
      </c>
      <c r="Y6534" s="50">
        <v>45291</v>
      </c>
    </row>
    <row r="6535" s="5" customFormat="1" customHeight="1" spans="1:25">
      <c r="A6535" s="24" t="s">
        <v>109</v>
      </c>
      <c r="B6535" s="24" t="s">
        <v>7422</v>
      </c>
      <c r="C6535" s="24" t="s">
        <v>238</v>
      </c>
      <c r="D6535" s="22" t="s">
        <v>7585</v>
      </c>
      <c r="E6535" s="23" t="s">
        <v>8453</v>
      </c>
      <c r="F6535" s="24" t="s">
        <v>8454</v>
      </c>
      <c r="G6535" s="24" t="s">
        <v>31</v>
      </c>
      <c r="H6535" s="25" t="s">
        <v>8470</v>
      </c>
      <c r="I6535" s="46" t="e">
        <f>VLOOKUP(H6535,'合同高级查询数据-4月返'!A:A,1,FALSE)</f>
        <v>#N/A</v>
      </c>
      <c r="J6535" s="47" t="s">
        <v>33</v>
      </c>
      <c r="K6535" s="24" t="s">
        <v>2335</v>
      </c>
      <c r="L6535" s="109" t="s">
        <v>8471</v>
      </c>
      <c r="M6535" s="49" t="s">
        <v>8472</v>
      </c>
      <c r="N6535" s="493">
        <v>44018</v>
      </c>
      <c r="O6535" s="493" t="s">
        <v>37</v>
      </c>
      <c r="P6535" s="52">
        <v>0</v>
      </c>
      <c r="Q6535" s="70">
        <v>64</v>
      </c>
      <c r="R6535" s="52">
        <f t="shared" si="192"/>
        <v>0</v>
      </c>
      <c r="S6535" s="47">
        <v>202304</v>
      </c>
      <c r="T6535" s="123" t="s">
        <v>8474</v>
      </c>
      <c r="U6535" s="48"/>
      <c r="V6535" s="48"/>
      <c r="W6535" s="48"/>
      <c r="X6535" s="50">
        <v>44927</v>
      </c>
      <c r="Y6535" s="50">
        <v>45291</v>
      </c>
    </row>
    <row r="6536" s="5" customFormat="1" customHeight="1" spans="1:25">
      <c r="A6536" s="24" t="s">
        <v>109</v>
      </c>
      <c r="B6536" s="24" t="s">
        <v>7422</v>
      </c>
      <c r="C6536" s="24" t="s">
        <v>238</v>
      </c>
      <c r="D6536" s="22" t="s">
        <v>7585</v>
      </c>
      <c r="E6536" s="23" t="s">
        <v>8453</v>
      </c>
      <c r="F6536" s="24" t="s">
        <v>8454</v>
      </c>
      <c r="G6536" s="24" t="s">
        <v>31</v>
      </c>
      <c r="H6536" s="25" t="s">
        <v>8470</v>
      </c>
      <c r="I6536" s="46" t="e">
        <f>VLOOKUP(H6536,'合同高级查询数据-4月返'!A:A,1,FALSE)</f>
        <v>#N/A</v>
      </c>
      <c r="J6536" s="47" t="s">
        <v>33</v>
      </c>
      <c r="K6536" s="24" t="s">
        <v>2335</v>
      </c>
      <c r="L6536" s="109" t="s">
        <v>8471</v>
      </c>
      <c r="M6536" s="49" t="s">
        <v>8472</v>
      </c>
      <c r="N6536" s="493">
        <v>44898</v>
      </c>
      <c r="O6536" s="493" t="s">
        <v>37</v>
      </c>
      <c r="P6536" s="52">
        <v>50</v>
      </c>
      <c r="Q6536" s="70">
        <v>-128</v>
      </c>
      <c r="R6536" s="52">
        <f t="shared" si="192"/>
        <v>-6400</v>
      </c>
      <c r="S6536" s="47">
        <v>202304</v>
      </c>
      <c r="T6536" s="123" t="s">
        <v>8475</v>
      </c>
      <c r="U6536" s="48"/>
      <c r="V6536" s="48"/>
      <c r="W6536" s="48"/>
      <c r="X6536" s="50">
        <v>44927</v>
      </c>
      <c r="Y6536" s="50">
        <v>45291</v>
      </c>
    </row>
    <row r="6537" s="5" customFormat="1" customHeight="1" spans="1:25">
      <c r="A6537" s="24" t="s">
        <v>109</v>
      </c>
      <c r="B6537" s="24" t="s">
        <v>7422</v>
      </c>
      <c r="C6537" s="24" t="s">
        <v>238</v>
      </c>
      <c r="D6537" s="22" t="s">
        <v>7585</v>
      </c>
      <c r="E6537" s="23" t="s">
        <v>8453</v>
      </c>
      <c r="F6537" s="24" t="s">
        <v>8454</v>
      </c>
      <c r="G6537" s="24" t="s">
        <v>31</v>
      </c>
      <c r="H6537" s="25" t="s">
        <v>8470</v>
      </c>
      <c r="I6537" s="46" t="e">
        <f>VLOOKUP(H6537,'合同高级查询数据-4月返'!A:A,1,FALSE)</f>
        <v>#N/A</v>
      </c>
      <c r="J6537" s="47" t="s">
        <v>33</v>
      </c>
      <c r="K6537" s="24" t="s">
        <v>2335</v>
      </c>
      <c r="L6537" s="109" t="s">
        <v>8471</v>
      </c>
      <c r="M6537" s="49" t="s">
        <v>8472</v>
      </c>
      <c r="N6537" s="493"/>
      <c r="O6537" s="22" t="s">
        <v>179</v>
      </c>
      <c r="P6537" s="52">
        <v>0</v>
      </c>
      <c r="Q6537" s="70">
        <v>0</v>
      </c>
      <c r="R6537" s="52">
        <f t="shared" si="192"/>
        <v>0</v>
      </c>
      <c r="S6537" s="47">
        <v>202304</v>
      </c>
      <c r="T6537" s="123" t="s">
        <v>8476</v>
      </c>
      <c r="U6537" s="48"/>
      <c r="V6537" s="48"/>
      <c r="W6537" s="48"/>
      <c r="X6537" s="50">
        <v>44927</v>
      </c>
      <c r="Y6537" s="50">
        <v>45291</v>
      </c>
    </row>
    <row r="6538" s="5" customFormat="1" customHeight="1" spans="1:25">
      <c r="A6538" s="24" t="s">
        <v>109</v>
      </c>
      <c r="B6538" s="24" t="s">
        <v>7422</v>
      </c>
      <c r="C6538" s="24" t="s">
        <v>238</v>
      </c>
      <c r="D6538" s="22" t="s">
        <v>7585</v>
      </c>
      <c r="E6538" s="23" t="s">
        <v>8453</v>
      </c>
      <c r="F6538" s="24" t="s">
        <v>8454</v>
      </c>
      <c r="G6538" s="24" t="s">
        <v>88</v>
      </c>
      <c r="H6538" s="25" t="s">
        <v>8470</v>
      </c>
      <c r="I6538" s="46" t="e">
        <f>VLOOKUP(H6538,'合同高级查询数据-4月返'!A:A,1,FALSE)</f>
        <v>#N/A</v>
      </c>
      <c r="J6538" s="47" t="s">
        <v>162</v>
      </c>
      <c r="K6538" s="24" t="s">
        <v>2335</v>
      </c>
      <c r="L6538" s="109" t="s">
        <v>8471</v>
      </c>
      <c r="M6538" s="49" t="s">
        <v>8472</v>
      </c>
      <c r="N6538" s="493">
        <v>44018</v>
      </c>
      <c r="O6538" s="493" t="s">
        <v>702</v>
      </c>
      <c r="P6538" s="52">
        <v>5000</v>
      </c>
      <c r="Q6538" s="70">
        <v>2</v>
      </c>
      <c r="R6538" s="52">
        <f t="shared" si="192"/>
        <v>10000</v>
      </c>
      <c r="S6538" s="47">
        <v>202304</v>
      </c>
      <c r="T6538" s="123" t="s">
        <v>8477</v>
      </c>
      <c r="U6538" s="48"/>
      <c r="V6538" s="48"/>
      <c r="W6538" s="48"/>
      <c r="X6538" s="50">
        <v>44927</v>
      </c>
      <c r="Y6538" s="50">
        <v>45291</v>
      </c>
    </row>
    <row r="6539" s="5" customFormat="1" customHeight="1" spans="1:25">
      <c r="A6539" s="24" t="s">
        <v>109</v>
      </c>
      <c r="B6539" s="24" t="s">
        <v>7422</v>
      </c>
      <c r="C6539" s="24" t="s">
        <v>238</v>
      </c>
      <c r="D6539" s="22" t="s">
        <v>7585</v>
      </c>
      <c r="E6539" s="23" t="s">
        <v>8453</v>
      </c>
      <c r="F6539" s="24" t="s">
        <v>8454</v>
      </c>
      <c r="G6539" s="24" t="s">
        <v>88</v>
      </c>
      <c r="H6539" s="25" t="s">
        <v>8470</v>
      </c>
      <c r="I6539" s="46" t="e">
        <f>VLOOKUP(H6539,'合同高级查询数据-4月返'!A:A,1,FALSE)</f>
        <v>#N/A</v>
      </c>
      <c r="J6539" s="47" t="s">
        <v>162</v>
      </c>
      <c r="K6539" s="24" t="s">
        <v>2335</v>
      </c>
      <c r="L6539" s="109" t="s">
        <v>8471</v>
      </c>
      <c r="M6539" s="49" t="s">
        <v>8472</v>
      </c>
      <c r="N6539" s="493">
        <v>44197</v>
      </c>
      <c r="O6539" s="493" t="s">
        <v>702</v>
      </c>
      <c r="P6539" s="52">
        <v>5000</v>
      </c>
      <c r="Q6539" s="70">
        <v>1</v>
      </c>
      <c r="R6539" s="52">
        <f t="shared" si="192"/>
        <v>5000</v>
      </c>
      <c r="S6539" s="47">
        <v>202304</v>
      </c>
      <c r="T6539" s="123" t="s">
        <v>8478</v>
      </c>
      <c r="U6539" s="48"/>
      <c r="V6539" s="48"/>
      <c r="W6539" s="48"/>
      <c r="X6539" s="50">
        <v>44927</v>
      </c>
      <c r="Y6539" s="50">
        <v>45291</v>
      </c>
    </row>
    <row r="6540" s="5" customFormat="1" customHeight="1" spans="1:25">
      <c r="A6540" s="24" t="s">
        <v>109</v>
      </c>
      <c r="B6540" s="24" t="s">
        <v>7422</v>
      </c>
      <c r="C6540" s="24" t="s">
        <v>238</v>
      </c>
      <c r="D6540" s="22" t="s">
        <v>7585</v>
      </c>
      <c r="E6540" s="23" t="s">
        <v>8453</v>
      </c>
      <c r="F6540" s="24" t="s">
        <v>8454</v>
      </c>
      <c r="G6540" s="24" t="s">
        <v>88</v>
      </c>
      <c r="H6540" s="25" t="s">
        <v>8470</v>
      </c>
      <c r="I6540" s="46" t="e">
        <f>VLOOKUP(H6540,'合同高级查询数据-4月返'!A:A,1,FALSE)</f>
        <v>#N/A</v>
      </c>
      <c r="J6540" s="47" t="s">
        <v>162</v>
      </c>
      <c r="K6540" s="24" t="s">
        <v>2335</v>
      </c>
      <c r="L6540" s="109" t="s">
        <v>8471</v>
      </c>
      <c r="M6540" s="49" t="s">
        <v>8472</v>
      </c>
      <c r="N6540" s="493">
        <v>44932</v>
      </c>
      <c r="O6540" s="493" t="s">
        <v>702</v>
      </c>
      <c r="P6540" s="52">
        <v>5000</v>
      </c>
      <c r="Q6540" s="70">
        <v>1</v>
      </c>
      <c r="R6540" s="52">
        <f t="shared" si="192"/>
        <v>5000</v>
      </c>
      <c r="S6540" s="47">
        <v>202304</v>
      </c>
      <c r="T6540" s="123" t="s">
        <v>8479</v>
      </c>
      <c r="U6540" s="48"/>
      <c r="V6540" s="48"/>
      <c r="W6540" s="48"/>
      <c r="X6540" s="50">
        <v>44927</v>
      </c>
      <c r="Y6540" s="50">
        <v>45291</v>
      </c>
    </row>
    <row r="6541" s="5" customFormat="1" customHeight="1" spans="1:25">
      <c r="A6541" s="21" t="s">
        <v>109</v>
      </c>
      <c r="B6541" s="96" t="s">
        <v>7422</v>
      </c>
      <c r="C6541" s="22" t="s">
        <v>3237</v>
      </c>
      <c r="D6541" s="22" t="s">
        <v>7585</v>
      </c>
      <c r="E6541" s="23" t="s">
        <v>8453</v>
      </c>
      <c r="F6541" s="24" t="s">
        <v>8454</v>
      </c>
      <c r="G6541" s="24" t="s">
        <v>31</v>
      </c>
      <c r="H6541" s="25" t="s">
        <v>8480</v>
      </c>
      <c r="I6541" s="46" t="e">
        <f>VLOOKUP(H6541,'合同高级查询数据-4月返'!A:A,1,FALSE)</f>
        <v>#N/A</v>
      </c>
      <c r="J6541" s="47" t="s">
        <v>33</v>
      </c>
      <c r="K6541" s="24" t="s">
        <v>7622</v>
      </c>
      <c r="L6541" s="109" t="s">
        <v>8481</v>
      </c>
      <c r="M6541" s="49" t="s">
        <v>8482</v>
      </c>
      <c r="N6541" s="50">
        <v>44562</v>
      </c>
      <c r="O6541" s="22" t="s">
        <v>37</v>
      </c>
      <c r="P6541" s="52">
        <v>0</v>
      </c>
      <c r="Q6541" s="70">
        <v>128</v>
      </c>
      <c r="R6541" s="52">
        <f t="shared" si="192"/>
        <v>0</v>
      </c>
      <c r="S6541" s="47">
        <v>202304</v>
      </c>
      <c r="T6541" s="123" t="s">
        <v>8483</v>
      </c>
      <c r="U6541" s="97"/>
      <c r="V6541" s="453"/>
      <c r="W6541" s="453"/>
      <c r="X6541" s="493">
        <v>44743</v>
      </c>
      <c r="Y6541" s="50">
        <v>45107</v>
      </c>
    </row>
    <row r="6542" s="5" customFormat="1" customHeight="1" spans="1:25">
      <c r="A6542" s="21" t="s">
        <v>109</v>
      </c>
      <c r="B6542" s="96" t="s">
        <v>7422</v>
      </c>
      <c r="C6542" s="22" t="s">
        <v>3237</v>
      </c>
      <c r="D6542" s="22" t="s">
        <v>7585</v>
      </c>
      <c r="E6542" s="23" t="s">
        <v>8453</v>
      </c>
      <c r="F6542" s="24" t="s">
        <v>8454</v>
      </c>
      <c r="G6542" s="24" t="s">
        <v>31</v>
      </c>
      <c r="H6542" s="25" t="s">
        <v>8480</v>
      </c>
      <c r="I6542" s="46" t="e">
        <f>VLOOKUP(H6542,'合同高级查询数据-4月返'!A:A,1,FALSE)</f>
        <v>#N/A</v>
      </c>
      <c r="J6542" s="47" t="s">
        <v>33</v>
      </c>
      <c r="K6542" s="24" t="s">
        <v>7622</v>
      </c>
      <c r="L6542" s="109" t="s">
        <v>8481</v>
      </c>
      <c r="M6542" s="49" t="s">
        <v>8482</v>
      </c>
      <c r="N6542" s="50">
        <v>44562</v>
      </c>
      <c r="O6542" s="22" t="s">
        <v>37</v>
      </c>
      <c r="P6542" s="52">
        <v>50</v>
      </c>
      <c r="Q6542" s="70">
        <v>160</v>
      </c>
      <c r="R6542" s="52">
        <f t="shared" si="192"/>
        <v>8000</v>
      </c>
      <c r="S6542" s="47">
        <v>202304</v>
      </c>
      <c r="T6542" s="123" t="s">
        <v>8483</v>
      </c>
      <c r="U6542" s="97"/>
      <c r="V6542" s="453"/>
      <c r="W6542" s="453"/>
      <c r="X6542" s="493">
        <v>44743</v>
      </c>
      <c r="Y6542" s="50">
        <v>45107</v>
      </c>
    </row>
    <row r="6543" s="5" customFormat="1" customHeight="1" spans="1:25">
      <c r="A6543" s="21" t="s">
        <v>109</v>
      </c>
      <c r="B6543" s="96" t="s">
        <v>7422</v>
      </c>
      <c r="C6543" s="22" t="s">
        <v>3237</v>
      </c>
      <c r="D6543" s="22" t="s">
        <v>7585</v>
      </c>
      <c r="E6543" s="23" t="s">
        <v>8453</v>
      </c>
      <c r="F6543" s="24" t="s">
        <v>8454</v>
      </c>
      <c r="G6543" s="24" t="s">
        <v>31</v>
      </c>
      <c r="H6543" s="25" t="s">
        <v>8480</v>
      </c>
      <c r="I6543" s="46" t="e">
        <f>VLOOKUP(H6543,'合同高级查询数据-4月返'!A:A,1,FALSE)</f>
        <v>#N/A</v>
      </c>
      <c r="J6543" s="47" t="s">
        <v>33</v>
      </c>
      <c r="K6543" s="24" t="s">
        <v>7622</v>
      </c>
      <c r="L6543" s="109" t="s">
        <v>8481</v>
      </c>
      <c r="M6543" s="49" t="s">
        <v>8482</v>
      </c>
      <c r="N6543" s="50">
        <v>44562</v>
      </c>
      <c r="O6543" s="22" t="s">
        <v>37</v>
      </c>
      <c r="P6543" s="52">
        <v>0</v>
      </c>
      <c r="Q6543" s="70">
        <v>-128</v>
      </c>
      <c r="R6543" s="52">
        <f t="shared" si="192"/>
        <v>0</v>
      </c>
      <c r="S6543" s="47">
        <v>202304</v>
      </c>
      <c r="T6543" s="123" t="s">
        <v>8484</v>
      </c>
      <c r="U6543" s="97"/>
      <c r="V6543" s="453"/>
      <c r="W6543" s="453"/>
      <c r="X6543" s="493">
        <v>44743</v>
      </c>
      <c r="Y6543" s="50">
        <v>45107</v>
      </c>
    </row>
    <row r="6544" s="5" customFormat="1" customHeight="1" spans="1:25">
      <c r="A6544" s="21" t="s">
        <v>109</v>
      </c>
      <c r="B6544" s="96" t="s">
        <v>7422</v>
      </c>
      <c r="C6544" s="22" t="s">
        <v>3237</v>
      </c>
      <c r="D6544" s="22" t="s">
        <v>7585</v>
      </c>
      <c r="E6544" s="23" t="s">
        <v>8453</v>
      </c>
      <c r="F6544" s="24" t="s">
        <v>8454</v>
      </c>
      <c r="G6544" s="24" t="s">
        <v>31</v>
      </c>
      <c r="H6544" s="25" t="s">
        <v>8480</v>
      </c>
      <c r="I6544" s="46" t="e">
        <f>VLOOKUP(H6544,'合同高级查询数据-4月返'!A:A,1,FALSE)</f>
        <v>#N/A</v>
      </c>
      <c r="J6544" s="47" t="s">
        <v>33</v>
      </c>
      <c r="K6544" s="24" t="s">
        <v>7622</v>
      </c>
      <c r="L6544" s="109" t="s">
        <v>8481</v>
      </c>
      <c r="M6544" s="49" t="s">
        <v>8482</v>
      </c>
      <c r="N6544" s="50">
        <v>44865</v>
      </c>
      <c r="O6544" s="22" t="s">
        <v>37</v>
      </c>
      <c r="P6544" s="52">
        <v>50</v>
      </c>
      <c r="Q6544" s="70">
        <v>-160</v>
      </c>
      <c r="R6544" s="52">
        <f t="shared" si="192"/>
        <v>-8000</v>
      </c>
      <c r="S6544" s="47">
        <v>202304</v>
      </c>
      <c r="T6544" s="123"/>
      <c r="U6544" s="97"/>
      <c r="V6544" s="453"/>
      <c r="W6544" s="453"/>
      <c r="X6544" s="493">
        <v>44743</v>
      </c>
      <c r="Y6544" s="50">
        <v>45107</v>
      </c>
    </row>
    <row r="6545" s="5" customFormat="1" customHeight="1" spans="1:25">
      <c r="A6545" s="21" t="s">
        <v>109</v>
      </c>
      <c r="B6545" s="96" t="s">
        <v>7422</v>
      </c>
      <c r="C6545" s="22" t="s">
        <v>3237</v>
      </c>
      <c r="D6545" s="22" t="s">
        <v>7585</v>
      </c>
      <c r="E6545" s="23" t="s">
        <v>8453</v>
      </c>
      <c r="F6545" s="24" t="s">
        <v>8454</v>
      </c>
      <c r="G6545" s="24" t="s">
        <v>31</v>
      </c>
      <c r="H6545" s="25" t="s">
        <v>8480</v>
      </c>
      <c r="I6545" s="46" t="e">
        <f>VLOOKUP(H6545,'合同高级查询数据-4月返'!A:A,1,FALSE)</f>
        <v>#N/A</v>
      </c>
      <c r="J6545" s="47" t="s">
        <v>33</v>
      </c>
      <c r="K6545" s="24" t="s">
        <v>7622</v>
      </c>
      <c r="L6545" s="109" t="s">
        <v>8481</v>
      </c>
      <c r="M6545" s="49" t="s">
        <v>8482</v>
      </c>
      <c r="N6545" s="50"/>
      <c r="O6545" s="22" t="s">
        <v>179</v>
      </c>
      <c r="P6545" s="52">
        <v>0</v>
      </c>
      <c r="Q6545" s="70">
        <v>0</v>
      </c>
      <c r="R6545" s="52">
        <f t="shared" si="192"/>
        <v>0</v>
      </c>
      <c r="S6545" s="47">
        <v>202304</v>
      </c>
      <c r="T6545" s="123" t="s">
        <v>8485</v>
      </c>
      <c r="U6545" s="97"/>
      <c r="V6545" s="453"/>
      <c r="W6545" s="453"/>
      <c r="X6545" s="493">
        <v>44743</v>
      </c>
      <c r="Y6545" s="50">
        <v>45107</v>
      </c>
    </row>
    <row r="6546" s="5" customFormat="1" customHeight="1" spans="1:25">
      <c r="A6546" s="21" t="s">
        <v>109</v>
      </c>
      <c r="B6546" s="96" t="s">
        <v>7422</v>
      </c>
      <c r="C6546" s="22" t="s">
        <v>3237</v>
      </c>
      <c r="D6546" s="22" t="s">
        <v>7585</v>
      </c>
      <c r="E6546" s="23" t="s">
        <v>8453</v>
      </c>
      <c r="F6546" s="24" t="s">
        <v>8454</v>
      </c>
      <c r="G6546" s="24" t="s">
        <v>88</v>
      </c>
      <c r="H6546" s="25" t="s">
        <v>8480</v>
      </c>
      <c r="I6546" s="46" t="e">
        <f>VLOOKUP(H6546,'合同高级查询数据-4月返'!A:A,1,FALSE)</f>
        <v>#N/A</v>
      </c>
      <c r="J6546" s="47" t="s">
        <v>162</v>
      </c>
      <c r="K6546" s="24" t="s">
        <v>7622</v>
      </c>
      <c r="L6546" s="109" t="s">
        <v>8481</v>
      </c>
      <c r="M6546" s="49" t="s">
        <v>8482</v>
      </c>
      <c r="N6546" s="50">
        <v>44562</v>
      </c>
      <c r="O6546" s="22" t="s">
        <v>1535</v>
      </c>
      <c r="P6546" s="52">
        <v>4500</v>
      </c>
      <c r="Q6546" s="70">
        <v>5</v>
      </c>
      <c r="R6546" s="52">
        <f t="shared" si="192"/>
        <v>22500</v>
      </c>
      <c r="S6546" s="47">
        <v>202304</v>
      </c>
      <c r="T6546" s="123" t="s">
        <v>8486</v>
      </c>
      <c r="U6546" s="97"/>
      <c r="V6546" s="453"/>
      <c r="W6546" s="453"/>
      <c r="X6546" s="493">
        <v>44743</v>
      </c>
      <c r="Y6546" s="50">
        <v>45107</v>
      </c>
    </row>
    <row r="6547" s="5" customFormat="1" customHeight="1" spans="1:25">
      <c r="A6547" s="21" t="s">
        <v>109</v>
      </c>
      <c r="B6547" s="96" t="s">
        <v>7422</v>
      </c>
      <c r="C6547" s="22" t="s">
        <v>3237</v>
      </c>
      <c r="D6547" s="22" t="s">
        <v>7585</v>
      </c>
      <c r="E6547" s="23" t="s">
        <v>8453</v>
      </c>
      <c r="F6547" s="24" t="s">
        <v>8454</v>
      </c>
      <c r="G6547" s="24" t="s">
        <v>88</v>
      </c>
      <c r="H6547" s="25" t="s">
        <v>8480</v>
      </c>
      <c r="I6547" s="46" t="e">
        <f>VLOOKUP(H6547,'合同高级查询数据-4月返'!A:A,1,FALSE)</f>
        <v>#N/A</v>
      </c>
      <c r="J6547" s="47" t="s">
        <v>162</v>
      </c>
      <c r="K6547" s="24" t="s">
        <v>7622</v>
      </c>
      <c r="L6547" s="109" t="s">
        <v>8481</v>
      </c>
      <c r="M6547" s="49" t="s">
        <v>8482</v>
      </c>
      <c r="N6547" s="50">
        <v>44587</v>
      </c>
      <c r="O6547" s="22" t="s">
        <v>1535</v>
      </c>
      <c r="P6547" s="52">
        <v>4500</v>
      </c>
      <c r="Q6547" s="70">
        <v>1</v>
      </c>
      <c r="R6547" s="52">
        <f t="shared" si="192"/>
        <v>4500</v>
      </c>
      <c r="S6547" s="47">
        <v>202304</v>
      </c>
      <c r="T6547" s="123" t="s">
        <v>8487</v>
      </c>
      <c r="U6547" s="97"/>
      <c r="V6547" s="453"/>
      <c r="W6547" s="453"/>
      <c r="X6547" s="493">
        <v>44743</v>
      </c>
      <c r="Y6547" s="50">
        <v>45107</v>
      </c>
    </row>
    <row r="6548" s="5" customFormat="1" customHeight="1" spans="1:25">
      <c r="A6548" s="21" t="s">
        <v>109</v>
      </c>
      <c r="B6548" s="96" t="s">
        <v>7422</v>
      </c>
      <c r="C6548" s="22" t="s">
        <v>3237</v>
      </c>
      <c r="D6548" s="22" t="s">
        <v>7585</v>
      </c>
      <c r="E6548" s="23" t="s">
        <v>8453</v>
      </c>
      <c r="F6548" s="24" t="s">
        <v>8454</v>
      </c>
      <c r="G6548" s="24" t="s">
        <v>88</v>
      </c>
      <c r="H6548" s="25" t="s">
        <v>8480</v>
      </c>
      <c r="I6548" s="46" t="e">
        <f>VLOOKUP(H6548,'合同高级查询数据-4月返'!A:A,1,FALSE)</f>
        <v>#N/A</v>
      </c>
      <c r="J6548" s="47" t="s">
        <v>162</v>
      </c>
      <c r="K6548" s="24" t="s">
        <v>7622</v>
      </c>
      <c r="L6548" s="109" t="s">
        <v>8481</v>
      </c>
      <c r="M6548" s="49" t="s">
        <v>8482</v>
      </c>
      <c r="N6548" s="50">
        <v>44865</v>
      </c>
      <c r="O6548" s="22" t="s">
        <v>1535</v>
      </c>
      <c r="P6548" s="52">
        <v>4500</v>
      </c>
      <c r="Q6548" s="70">
        <v>-6</v>
      </c>
      <c r="R6548" s="52">
        <f t="shared" si="192"/>
        <v>-27000</v>
      </c>
      <c r="S6548" s="47">
        <v>202304</v>
      </c>
      <c r="T6548" s="123" t="s">
        <v>8488</v>
      </c>
      <c r="U6548" s="97"/>
      <c r="V6548" s="453"/>
      <c r="W6548" s="453"/>
      <c r="X6548" s="493">
        <v>44743</v>
      </c>
      <c r="Y6548" s="50">
        <v>45107</v>
      </c>
    </row>
    <row r="6549" s="5" customFormat="1" customHeight="1" spans="1:25">
      <c r="A6549" s="21" t="s">
        <v>25</v>
      </c>
      <c r="B6549" s="22" t="s">
        <v>7422</v>
      </c>
      <c r="C6549" s="22" t="s">
        <v>153</v>
      </c>
      <c r="D6549" s="22" t="s">
        <v>7585</v>
      </c>
      <c r="E6549" s="23" t="s">
        <v>8489</v>
      </c>
      <c r="F6549" s="24" t="s">
        <v>8490</v>
      </c>
      <c r="G6549" s="24" t="s">
        <v>31</v>
      </c>
      <c r="H6549" s="25" t="s">
        <v>8491</v>
      </c>
      <c r="I6549" s="46" t="e">
        <f>VLOOKUP(H6549,'合同高级查询数据-4月返'!A:A,1,FALSE)</f>
        <v>#N/A</v>
      </c>
      <c r="J6549" s="47" t="s">
        <v>33</v>
      </c>
      <c r="K6549" s="24" t="s">
        <v>8316</v>
      </c>
      <c r="L6549" s="109" t="s">
        <v>8492</v>
      </c>
      <c r="M6549" s="49" t="s">
        <v>8493</v>
      </c>
      <c r="N6549" s="50">
        <v>44082</v>
      </c>
      <c r="O6549" s="22" t="s">
        <v>37</v>
      </c>
      <c r="P6549" s="52">
        <v>0</v>
      </c>
      <c r="Q6549" s="70">
        <v>288</v>
      </c>
      <c r="R6549" s="52">
        <f t="shared" si="192"/>
        <v>0</v>
      </c>
      <c r="S6549" s="47">
        <v>202304</v>
      </c>
      <c r="T6549" s="123" t="s">
        <v>8494</v>
      </c>
      <c r="U6549" s="97"/>
      <c r="V6549" s="453"/>
      <c r="W6549" s="97"/>
      <c r="X6549" s="50">
        <v>44682</v>
      </c>
      <c r="Y6549" s="50">
        <v>45046</v>
      </c>
    </row>
    <row r="6550" s="5" customFormat="1" customHeight="1" spans="1:25">
      <c r="A6550" s="21" t="s">
        <v>25</v>
      </c>
      <c r="B6550" s="22" t="s">
        <v>7422</v>
      </c>
      <c r="C6550" s="22" t="s">
        <v>153</v>
      </c>
      <c r="D6550" s="22" t="s">
        <v>7585</v>
      </c>
      <c r="E6550" s="23" t="s">
        <v>8489</v>
      </c>
      <c r="F6550" s="24" t="s">
        <v>8490</v>
      </c>
      <c r="G6550" s="24" t="s">
        <v>31</v>
      </c>
      <c r="H6550" s="25" t="s">
        <v>8491</v>
      </c>
      <c r="I6550" s="46" t="e">
        <f>VLOOKUP(H6550,'合同高级查询数据-4月返'!A:A,1,FALSE)</f>
        <v>#N/A</v>
      </c>
      <c r="J6550" s="47" t="s">
        <v>33</v>
      </c>
      <c r="K6550" s="24" t="s">
        <v>8316</v>
      </c>
      <c r="L6550" s="109" t="s">
        <v>8492</v>
      </c>
      <c r="M6550" s="49" t="s">
        <v>8493</v>
      </c>
      <c r="N6550" s="50">
        <v>44768</v>
      </c>
      <c r="O6550" s="22" t="s">
        <v>37</v>
      </c>
      <c r="P6550" s="52">
        <v>0</v>
      </c>
      <c r="Q6550" s="70">
        <v>-128</v>
      </c>
      <c r="R6550" s="52">
        <f t="shared" si="192"/>
        <v>0</v>
      </c>
      <c r="S6550" s="47">
        <v>202304</v>
      </c>
      <c r="T6550" s="123" t="s">
        <v>8495</v>
      </c>
      <c r="U6550" s="97"/>
      <c r="V6550" s="453"/>
      <c r="W6550" s="97"/>
      <c r="X6550" s="50">
        <v>44682</v>
      </c>
      <c r="Y6550" s="50">
        <v>45046</v>
      </c>
    </row>
    <row r="6551" s="5" customFormat="1" customHeight="1" spans="1:25">
      <c r="A6551" s="21" t="s">
        <v>25</v>
      </c>
      <c r="B6551" s="22" t="s">
        <v>7422</v>
      </c>
      <c r="C6551" s="22" t="s">
        <v>153</v>
      </c>
      <c r="D6551" s="22" t="s">
        <v>7585</v>
      </c>
      <c r="E6551" s="23" t="s">
        <v>8489</v>
      </c>
      <c r="F6551" s="24" t="s">
        <v>8490</v>
      </c>
      <c r="G6551" s="24" t="s">
        <v>31</v>
      </c>
      <c r="H6551" s="25" t="s">
        <v>8491</v>
      </c>
      <c r="I6551" s="46" t="e">
        <f>VLOOKUP(H6551,'合同高级查询数据-4月返'!A:A,1,FALSE)</f>
        <v>#N/A</v>
      </c>
      <c r="J6551" s="47" t="s">
        <v>33</v>
      </c>
      <c r="K6551" s="24" t="s">
        <v>8316</v>
      </c>
      <c r="L6551" s="109" t="s">
        <v>8496</v>
      </c>
      <c r="M6551" s="49" t="s">
        <v>8493</v>
      </c>
      <c r="N6551" s="50">
        <v>44410</v>
      </c>
      <c r="O6551" s="22" t="s">
        <v>37</v>
      </c>
      <c r="P6551" s="52">
        <v>0</v>
      </c>
      <c r="Q6551" s="70">
        <v>288</v>
      </c>
      <c r="R6551" s="52">
        <f t="shared" si="192"/>
        <v>0</v>
      </c>
      <c r="S6551" s="47">
        <v>202304</v>
      </c>
      <c r="T6551" s="123" t="s">
        <v>8497</v>
      </c>
      <c r="U6551" s="97"/>
      <c r="V6551" s="453"/>
      <c r="W6551" s="97"/>
      <c r="X6551" s="50">
        <v>44682</v>
      </c>
      <c r="Y6551" s="50">
        <v>45046</v>
      </c>
    </row>
    <row r="6552" s="5" customFormat="1" customHeight="1" spans="1:25">
      <c r="A6552" s="21" t="s">
        <v>25</v>
      </c>
      <c r="B6552" s="22" t="s">
        <v>7422</v>
      </c>
      <c r="C6552" s="22" t="s">
        <v>153</v>
      </c>
      <c r="D6552" s="22" t="s">
        <v>7585</v>
      </c>
      <c r="E6552" s="23" t="s">
        <v>8489</v>
      </c>
      <c r="F6552" s="24" t="s">
        <v>8490</v>
      </c>
      <c r="G6552" s="24" t="s">
        <v>31</v>
      </c>
      <c r="H6552" s="25" t="s">
        <v>8491</v>
      </c>
      <c r="I6552" s="46" t="e">
        <f>VLOOKUP(H6552,'合同高级查询数据-4月返'!A:A,1,FALSE)</f>
        <v>#N/A</v>
      </c>
      <c r="J6552" s="47" t="s">
        <v>33</v>
      </c>
      <c r="K6552" s="24" t="s">
        <v>8316</v>
      </c>
      <c r="L6552" s="109" t="s">
        <v>8492</v>
      </c>
      <c r="M6552" s="49" t="s">
        <v>8493</v>
      </c>
      <c r="N6552" s="50"/>
      <c r="O6552" s="22" t="s">
        <v>179</v>
      </c>
      <c r="P6552" s="52">
        <v>0</v>
      </c>
      <c r="Q6552" s="70">
        <v>0</v>
      </c>
      <c r="R6552" s="52">
        <f t="shared" si="192"/>
        <v>0</v>
      </c>
      <c r="S6552" s="47">
        <v>202304</v>
      </c>
      <c r="T6552" s="123" t="s">
        <v>8498</v>
      </c>
      <c r="U6552" s="97"/>
      <c r="V6552" s="453"/>
      <c r="W6552" s="97"/>
      <c r="X6552" s="50">
        <v>44682</v>
      </c>
      <c r="Y6552" s="50">
        <v>45046</v>
      </c>
    </row>
    <row r="6553" s="5" customFormat="1" customHeight="1" spans="1:25">
      <c r="A6553" s="21" t="s">
        <v>25</v>
      </c>
      <c r="B6553" s="22" t="s">
        <v>7422</v>
      </c>
      <c r="C6553" s="22" t="s">
        <v>153</v>
      </c>
      <c r="D6553" s="22" t="s">
        <v>7585</v>
      </c>
      <c r="E6553" s="23" t="s">
        <v>8489</v>
      </c>
      <c r="F6553" s="24" t="s">
        <v>8490</v>
      </c>
      <c r="G6553" s="24" t="s">
        <v>88</v>
      </c>
      <c r="H6553" s="25" t="s">
        <v>8491</v>
      </c>
      <c r="I6553" s="46" t="e">
        <f>VLOOKUP(H6553,'合同高级查询数据-4月返'!A:A,1,FALSE)</f>
        <v>#N/A</v>
      </c>
      <c r="J6553" s="47" t="s">
        <v>162</v>
      </c>
      <c r="K6553" s="24" t="s">
        <v>8316</v>
      </c>
      <c r="L6553" s="109" t="s">
        <v>8492</v>
      </c>
      <c r="M6553" s="49" t="s">
        <v>8493</v>
      </c>
      <c r="N6553" s="50">
        <v>44082</v>
      </c>
      <c r="O6553" s="22" t="s">
        <v>503</v>
      </c>
      <c r="P6553" s="52">
        <v>5000</v>
      </c>
      <c r="Q6553" s="70">
        <v>5</v>
      </c>
      <c r="R6553" s="52">
        <f t="shared" si="192"/>
        <v>25000</v>
      </c>
      <c r="S6553" s="47">
        <v>202304</v>
      </c>
      <c r="T6553" s="123" t="s">
        <v>8499</v>
      </c>
      <c r="U6553" s="97"/>
      <c r="V6553" s="453"/>
      <c r="W6553" s="97"/>
      <c r="X6553" s="50">
        <v>44682</v>
      </c>
      <c r="Y6553" s="50">
        <v>45046</v>
      </c>
    </row>
    <row r="6554" s="5" customFormat="1" customHeight="1" spans="1:25">
      <c r="A6554" s="21" t="s">
        <v>25</v>
      </c>
      <c r="B6554" s="22" t="s">
        <v>7422</v>
      </c>
      <c r="C6554" s="22" t="s">
        <v>153</v>
      </c>
      <c r="D6554" s="22" t="s">
        <v>7585</v>
      </c>
      <c r="E6554" s="23" t="s">
        <v>8489</v>
      </c>
      <c r="F6554" s="24" t="s">
        <v>8490</v>
      </c>
      <c r="G6554" s="24" t="s">
        <v>88</v>
      </c>
      <c r="H6554" s="25" t="s">
        <v>8491</v>
      </c>
      <c r="I6554" s="46" t="e">
        <f>VLOOKUP(H6554,'合同高级查询数据-4月返'!A:A,1,FALSE)</f>
        <v>#N/A</v>
      </c>
      <c r="J6554" s="47" t="s">
        <v>162</v>
      </c>
      <c r="K6554" s="24" t="s">
        <v>8316</v>
      </c>
      <c r="L6554" s="109" t="s">
        <v>8492</v>
      </c>
      <c r="M6554" s="49" t="s">
        <v>8493</v>
      </c>
      <c r="N6554" s="50">
        <v>44409</v>
      </c>
      <c r="O6554" s="22" t="s">
        <v>503</v>
      </c>
      <c r="P6554" s="52">
        <v>5000</v>
      </c>
      <c r="Q6554" s="70">
        <v>1</v>
      </c>
      <c r="R6554" s="52">
        <f t="shared" si="192"/>
        <v>5000</v>
      </c>
      <c r="S6554" s="47">
        <v>202304</v>
      </c>
      <c r="T6554" s="123" t="s">
        <v>8500</v>
      </c>
      <c r="U6554" s="97"/>
      <c r="V6554" s="453"/>
      <c r="W6554" s="97"/>
      <c r="X6554" s="50">
        <v>44682</v>
      </c>
      <c r="Y6554" s="50">
        <v>45046</v>
      </c>
    </row>
    <row r="6555" s="5" customFormat="1" customHeight="1" spans="1:25">
      <c r="A6555" s="21" t="s">
        <v>25</v>
      </c>
      <c r="B6555" s="22" t="s">
        <v>7422</v>
      </c>
      <c r="C6555" s="22" t="s">
        <v>153</v>
      </c>
      <c r="D6555" s="22" t="s">
        <v>7585</v>
      </c>
      <c r="E6555" s="23" t="s">
        <v>8489</v>
      </c>
      <c r="F6555" s="24" t="s">
        <v>8490</v>
      </c>
      <c r="G6555" s="24" t="s">
        <v>88</v>
      </c>
      <c r="H6555" s="25" t="s">
        <v>8491</v>
      </c>
      <c r="I6555" s="46" t="e">
        <f>VLOOKUP(H6555,'合同高级查询数据-4月返'!A:A,1,FALSE)</f>
        <v>#N/A</v>
      </c>
      <c r="J6555" s="47" t="s">
        <v>162</v>
      </c>
      <c r="K6555" s="24" t="s">
        <v>8316</v>
      </c>
      <c r="L6555" s="109" t="s">
        <v>8496</v>
      </c>
      <c r="M6555" s="49" t="s">
        <v>8493</v>
      </c>
      <c r="N6555" s="50">
        <v>44410</v>
      </c>
      <c r="O6555" s="22" t="s">
        <v>503</v>
      </c>
      <c r="P6555" s="52">
        <v>5000</v>
      </c>
      <c r="Q6555" s="70">
        <v>4</v>
      </c>
      <c r="R6555" s="52">
        <f t="shared" si="192"/>
        <v>20000</v>
      </c>
      <c r="S6555" s="47">
        <v>202304</v>
      </c>
      <c r="T6555" s="123" t="s">
        <v>8501</v>
      </c>
      <c r="U6555" s="97"/>
      <c r="V6555" s="453"/>
      <c r="W6555" s="97"/>
      <c r="X6555" s="50">
        <v>44682</v>
      </c>
      <c r="Y6555" s="50">
        <v>45046</v>
      </c>
    </row>
    <row r="6556" s="5" customFormat="1" customHeight="1" spans="1:25">
      <c r="A6556" s="21" t="s">
        <v>25</v>
      </c>
      <c r="B6556" s="22" t="s">
        <v>7422</v>
      </c>
      <c r="C6556" s="22" t="s">
        <v>153</v>
      </c>
      <c r="D6556" s="22" t="s">
        <v>7585</v>
      </c>
      <c r="E6556" s="23" t="s">
        <v>8489</v>
      </c>
      <c r="F6556" s="24" t="s">
        <v>8490</v>
      </c>
      <c r="G6556" s="24" t="s">
        <v>88</v>
      </c>
      <c r="H6556" s="25" t="s">
        <v>8491</v>
      </c>
      <c r="I6556" s="46" t="e">
        <f>VLOOKUP(H6556,'合同高级查询数据-4月返'!A:A,1,FALSE)</f>
        <v>#N/A</v>
      </c>
      <c r="J6556" s="47" t="s">
        <v>162</v>
      </c>
      <c r="K6556" s="24" t="s">
        <v>8316</v>
      </c>
      <c r="L6556" s="109" t="s">
        <v>8496</v>
      </c>
      <c r="M6556" s="49" t="s">
        <v>8493</v>
      </c>
      <c r="N6556" s="50">
        <v>44584</v>
      </c>
      <c r="O6556" s="22" t="s">
        <v>503</v>
      </c>
      <c r="P6556" s="52">
        <v>5000</v>
      </c>
      <c r="Q6556" s="70">
        <v>1</v>
      </c>
      <c r="R6556" s="52">
        <f t="shared" si="192"/>
        <v>5000</v>
      </c>
      <c r="S6556" s="47">
        <v>202304</v>
      </c>
      <c r="T6556" s="123" t="s">
        <v>8502</v>
      </c>
      <c r="U6556" s="97"/>
      <c r="V6556" s="453"/>
      <c r="W6556" s="97"/>
      <c r="X6556" s="50">
        <v>44682</v>
      </c>
      <c r="Y6556" s="50">
        <v>45046</v>
      </c>
    </row>
    <row r="6557" s="5" customFormat="1" customHeight="1" spans="1:25">
      <c r="A6557" s="21" t="s">
        <v>25</v>
      </c>
      <c r="B6557" s="22" t="s">
        <v>7422</v>
      </c>
      <c r="C6557" s="22" t="s">
        <v>153</v>
      </c>
      <c r="D6557" s="22" t="s">
        <v>7585</v>
      </c>
      <c r="E6557" s="23" t="s">
        <v>8489</v>
      </c>
      <c r="F6557" s="24" t="s">
        <v>8490</v>
      </c>
      <c r="G6557" s="24" t="s">
        <v>88</v>
      </c>
      <c r="H6557" s="25" t="s">
        <v>8491</v>
      </c>
      <c r="I6557" s="46" t="e">
        <f>VLOOKUP(H6557,'合同高级查询数据-4月返'!A:A,1,FALSE)</f>
        <v>#N/A</v>
      </c>
      <c r="J6557" s="47" t="s">
        <v>162</v>
      </c>
      <c r="K6557" s="24" t="s">
        <v>8316</v>
      </c>
      <c r="L6557" s="109" t="s">
        <v>8492</v>
      </c>
      <c r="M6557" s="49" t="s">
        <v>8493</v>
      </c>
      <c r="N6557" s="50">
        <v>44768</v>
      </c>
      <c r="O6557" s="22" t="s">
        <v>503</v>
      </c>
      <c r="P6557" s="52">
        <v>5000</v>
      </c>
      <c r="Q6557" s="70">
        <v>-3</v>
      </c>
      <c r="R6557" s="52">
        <f t="shared" si="192"/>
        <v>-15000</v>
      </c>
      <c r="S6557" s="47">
        <v>202304</v>
      </c>
      <c r="T6557" s="123" t="s">
        <v>8503</v>
      </c>
      <c r="U6557" s="97"/>
      <c r="V6557" s="453"/>
      <c r="W6557" s="97"/>
      <c r="X6557" s="50">
        <v>44682</v>
      </c>
      <c r="Y6557" s="50">
        <v>45046</v>
      </c>
    </row>
    <row r="6558" s="5" customFormat="1" customHeight="1" spans="1:25">
      <c r="A6558" s="21" t="s">
        <v>25</v>
      </c>
      <c r="B6558" s="22" t="s">
        <v>7422</v>
      </c>
      <c r="C6558" s="22" t="s">
        <v>153</v>
      </c>
      <c r="D6558" s="22" t="s">
        <v>7585</v>
      </c>
      <c r="E6558" s="23" t="s">
        <v>8489</v>
      </c>
      <c r="F6558" s="24" t="s">
        <v>8490</v>
      </c>
      <c r="G6558" s="24" t="s">
        <v>31</v>
      </c>
      <c r="H6558" s="25" t="s">
        <v>8504</v>
      </c>
      <c r="I6558" s="46" t="e">
        <f>VLOOKUP(H6558,'合同高级查询数据-4月返'!A:A,1,FALSE)</f>
        <v>#N/A</v>
      </c>
      <c r="J6558" s="47" t="s">
        <v>33</v>
      </c>
      <c r="K6558" s="24" t="s">
        <v>8505</v>
      </c>
      <c r="L6558" s="109" t="s">
        <v>8506</v>
      </c>
      <c r="M6558" s="49" t="s">
        <v>8507</v>
      </c>
      <c r="N6558" s="50">
        <v>44470</v>
      </c>
      <c r="O6558" s="22" t="s">
        <v>37</v>
      </c>
      <c r="P6558" s="486">
        <v>0</v>
      </c>
      <c r="Q6558" s="70">
        <v>320</v>
      </c>
      <c r="R6558" s="52">
        <f t="shared" si="192"/>
        <v>0</v>
      </c>
      <c r="S6558" s="47">
        <v>202304</v>
      </c>
      <c r="T6558" s="123" t="s">
        <v>8508</v>
      </c>
      <c r="U6558" s="97"/>
      <c r="V6558" s="453"/>
      <c r="W6558" s="97"/>
      <c r="X6558" s="493">
        <v>44743</v>
      </c>
      <c r="Y6558" s="50">
        <v>45046</v>
      </c>
    </row>
    <row r="6559" s="5" customFormat="1" customHeight="1" spans="1:25">
      <c r="A6559" s="21" t="s">
        <v>25</v>
      </c>
      <c r="B6559" s="22" t="s">
        <v>7422</v>
      </c>
      <c r="C6559" s="22" t="s">
        <v>153</v>
      </c>
      <c r="D6559" s="22" t="s">
        <v>7585</v>
      </c>
      <c r="E6559" s="23" t="s">
        <v>8489</v>
      </c>
      <c r="F6559" s="24" t="s">
        <v>8490</v>
      </c>
      <c r="G6559" s="24" t="s">
        <v>31</v>
      </c>
      <c r="H6559" s="25" t="s">
        <v>8504</v>
      </c>
      <c r="I6559" s="46" t="e">
        <f>VLOOKUP(H6559,'合同高级查询数据-4月返'!A:A,1,FALSE)</f>
        <v>#N/A</v>
      </c>
      <c r="J6559" s="47" t="s">
        <v>33</v>
      </c>
      <c r="K6559" s="24" t="s">
        <v>8505</v>
      </c>
      <c r="L6559" s="109" t="s">
        <v>8506</v>
      </c>
      <c r="M6559" s="49" t="s">
        <v>8507</v>
      </c>
      <c r="N6559" s="50"/>
      <c r="O6559" s="22" t="s">
        <v>179</v>
      </c>
      <c r="P6559" s="486">
        <v>0</v>
      </c>
      <c r="Q6559" s="486">
        <v>0</v>
      </c>
      <c r="R6559" s="52">
        <f t="shared" si="192"/>
        <v>0</v>
      </c>
      <c r="S6559" s="47">
        <v>202304</v>
      </c>
      <c r="T6559" s="123" t="s">
        <v>8509</v>
      </c>
      <c r="U6559" s="97"/>
      <c r="V6559" s="453"/>
      <c r="W6559" s="97"/>
      <c r="X6559" s="493">
        <v>44743</v>
      </c>
      <c r="Y6559" s="50">
        <v>45046</v>
      </c>
    </row>
    <row r="6560" s="5" customFormat="1" customHeight="1" spans="1:25">
      <c r="A6560" s="21" t="s">
        <v>25</v>
      </c>
      <c r="B6560" s="22" t="s">
        <v>7422</v>
      </c>
      <c r="C6560" s="22" t="s">
        <v>153</v>
      </c>
      <c r="D6560" s="22" t="s">
        <v>7585</v>
      </c>
      <c r="E6560" s="23" t="s">
        <v>8489</v>
      </c>
      <c r="F6560" s="24" t="s">
        <v>8490</v>
      </c>
      <c r="G6560" s="24" t="s">
        <v>88</v>
      </c>
      <c r="H6560" s="25" t="s">
        <v>8504</v>
      </c>
      <c r="I6560" s="46" t="e">
        <f>VLOOKUP(H6560,'合同高级查询数据-4月返'!A:A,1,FALSE)</f>
        <v>#N/A</v>
      </c>
      <c r="J6560" s="47" t="s">
        <v>162</v>
      </c>
      <c r="K6560" s="24" t="s">
        <v>8505</v>
      </c>
      <c r="L6560" s="109" t="s">
        <v>8506</v>
      </c>
      <c r="M6560" s="49" t="s">
        <v>8507</v>
      </c>
      <c r="N6560" s="50">
        <v>44470</v>
      </c>
      <c r="O6560" s="22" t="s">
        <v>503</v>
      </c>
      <c r="P6560" s="486">
        <v>4500</v>
      </c>
      <c r="Q6560" s="70">
        <v>3</v>
      </c>
      <c r="R6560" s="52">
        <f t="shared" si="192"/>
        <v>13500</v>
      </c>
      <c r="S6560" s="47">
        <v>202304</v>
      </c>
      <c r="T6560" s="123" t="s">
        <v>8510</v>
      </c>
      <c r="U6560" s="97"/>
      <c r="V6560" s="453"/>
      <c r="W6560" s="97"/>
      <c r="X6560" s="493">
        <v>44743</v>
      </c>
      <c r="Y6560" s="50">
        <v>45046</v>
      </c>
    </row>
    <row r="6561" s="5" customFormat="1" customHeight="1" spans="1:25">
      <c r="A6561" s="21" t="s">
        <v>152</v>
      </c>
      <c r="B6561" s="22" t="s">
        <v>7422</v>
      </c>
      <c r="C6561" s="22" t="s">
        <v>153</v>
      </c>
      <c r="D6561" s="22" t="s">
        <v>7585</v>
      </c>
      <c r="E6561" s="23" t="s">
        <v>8489</v>
      </c>
      <c r="F6561" s="24" t="s">
        <v>8490</v>
      </c>
      <c r="G6561" s="24" t="s">
        <v>31</v>
      </c>
      <c r="H6561" s="25" t="s">
        <v>8511</v>
      </c>
      <c r="I6561" s="46" t="e">
        <f>VLOOKUP(H6561,'合同高级查询数据-4月返'!A:A,1,FALSE)</f>
        <v>#N/A</v>
      </c>
      <c r="J6561" s="47" t="s">
        <v>33</v>
      </c>
      <c r="K6561" s="24" t="s">
        <v>8316</v>
      </c>
      <c r="L6561" s="109" t="s">
        <v>2034</v>
      </c>
      <c r="M6561" s="49" t="s">
        <v>8512</v>
      </c>
      <c r="N6561" s="50">
        <v>44927</v>
      </c>
      <c r="O6561" s="22" t="s">
        <v>37</v>
      </c>
      <c r="P6561" s="486">
        <v>0</v>
      </c>
      <c r="Q6561" s="70">
        <v>480</v>
      </c>
      <c r="R6561" s="52">
        <f t="shared" si="192"/>
        <v>0</v>
      </c>
      <c r="S6561" s="47">
        <v>202304</v>
      </c>
      <c r="T6561" s="123" t="s">
        <v>8513</v>
      </c>
      <c r="U6561" s="97"/>
      <c r="V6561" s="453"/>
      <c r="W6561" s="97"/>
      <c r="X6561" s="50">
        <v>44927</v>
      </c>
      <c r="Y6561" s="50">
        <v>45291</v>
      </c>
    </row>
    <row r="6562" s="5" customFormat="1" customHeight="1" spans="1:25">
      <c r="A6562" s="21" t="s">
        <v>152</v>
      </c>
      <c r="B6562" s="22" t="s">
        <v>7422</v>
      </c>
      <c r="C6562" s="22" t="s">
        <v>153</v>
      </c>
      <c r="D6562" s="22" t="s">
        <v>7585</v>
      </c>
      <c r="E6562" s="23" t="s">
        <v>8489</v>
      </c>
      <c r="F6562" s="24" t="s">
        <v>8490</v>
      </c>
      <c r="G6562" s="24" t="s">
        <v>31</v>
      </c>
      <c r="H6562" s="25" t="s">
        <v>8511</v>
      </c>
      <c r="I6562" s="46" t="e">
        <f>VLOOKUP(H6562,'合同高级查询数据-4月返'!A:A,1,FALSE)</f>
        <v>#N/A</v>
      </c>
      <c r="J6562" s="47" t="s">
        <v>33</v>
      </c>
      <c r="K6562" s="24" t="s">
        <v>8316</v>
      </c>
      <c r="L6562" s="109" t="s">
        <v>2034</v>
      </c>
      <c r="M6562" s="49" t="s">
        <v>8512</v>
      </c>
      <c r="N6562" s="50"/>
      <c r="O6562" s="22" t="s">
        <v>179</v>
      </c>
      <c r="P6562" s="486">
        <v>0</v>
      </c>
      <c r="Q6562" s="70">
        <v>0</v>
      </c>
      <c r="R6562" s="52">
        <f t="shared" si="192"/>
        <v>0</v>
      </c>
      <c r="S6562" s="47">
        <v>202304</v>
      </c>
      <c r="T6562" s="123" t="s">
        <v>8509</v>
      </c>
      <c r="U6562" s="97"/>
      <c r="V6562" s="453"/>
      <c r="W6562" s="97"/>
      <c r="X6562" s="50">
        <v>44927</v>
      </c>
      <c r="Y6562" s="50">
        <v>45291</v>
      </c>
    </row>
    <row r="6563" s="5" customFormat="1" customHeight="1" spans="1:25">
      <c r="A6563" s="21" t="s">
        <v>152</v>
      </c>
      <c r="B6563" s="22" t="s">
        <v>7422</v>
      </c>
      <c r="C6563" s="22" t="s">
        <v>153</v>
      </c>
      <c r="D6563" s="22" t="s">
        <v>7585</v>
      </c>
      <c r="E6563" s="23" t="s">
        <v>8489</v>
      </c>
      <c r="F6563" s="24" t="s">
        <v>8490</v>
      </c>
      <c r="G6563" s="24" t="s">
        <v>88</v>
      </c>
      <c r="H6563" s="25" t="s">
        <v>8511</v>
      </c>
      <c r="I6563" s="46" t="e">
        <f>VLOOKUP(H6563,'合同高级查询数据-4月返'!A:A,1,FALSE)</f>
        <v>#N/A</v>
      </c>
      <c r="J6563" s="47" t="s">
        <v>162</v>
      </c>
      <c r="K6563" s="24" t="s">
        <v>8316</v>
      </c>
      <c r="L6563" s="109" t="s">
        <v>2034</v>
      </c>
      <c r="M6563" s="49" t="s">
        <v>8512</v>
      </c>
      <c r="N6563" s="50">
        <v>44927</v>
      </c>
      <c r="O6563" s="22" t="s">
        <v>503</v>
      </c>
      <c r="P6563" s="486">
        <v>5000</v>
      </c>
      <c r="Q6563" s="70">
        <v>2</v>
      </c>
      <c r="R6563" s="52">
        <f t="shared" si="192"/>
        <v>10000</v>
      </c>
      <c r="S6563" s="47">
        <v>202304</v>
      </c>
      <c r="T6563" s="123" t="s">
        <v>8514</v>
      </c>
      <c r="U6563" s="97"/>
      <c r="V6563" s="453"/>
      <c r="W6563" s="97"/>
      <c r="X6563" s="50">
        <v>44927</v>
      </c>
      <c r="Y6563" s="50">
        <v>45291</v>
      </c>
    </row>
    <row r="6564" s="3" customFormat="1" customHeight="1" spans="1:25">
      <c r="A6564" s="101" t="s">
        <v>152</v>
      </c>
      <c r="B6564" s="35" t="s">
        <v>7422</v>
      </c>
      <c r="C6564" s="35" t="s">
        <v>153</v>
      </c>
      <c r="D6564" s="35" t="s">
        <v>7585</v>
      </c>
      <c r="E6564" s="13" t="s">
        <v>8489</v>
      </c>
      <c r="F6564" s="11" t="s">
        <v>8490</v>
      </c>
      <c r="G6564" s="11" t="s">
        <v>88</v>
      </c>
      <c r="H6564" s="110" t="s">
        <v>8515</v>
      </c>
      <c r="I6564" s="30" t="e">
        <f>VLOOKUP(H6564,'合同高级查询数据-4月返'!A:A,1,FALSE)</f>
        <v>#N/A</v>
      </c>
      <c r="J6564" s="31" t="s">
        <v>162</v>
      </c>
      <c r="K6564" s="11" t="s">
        <v>8316</v>
      </c>
      <c r="L6564" s="32" t="s">
        <v>2034</v>
      </c>
      <c r="M6564" s="113" t="s">
        <v>8512</v>
      </c>
      <c r="N6564" s="34">
        <v>45019</v>
      </c>
      <c r="O6564" s="35" t="s">
        <v>503</v>
      </c>
      <c r="P6564" s="488">
        <v>4200</v>
      </c>
      <c r="Q6564" s="459">
        <v>1</v>
      </c>
      <c r="R6564" s="465">
        <f>ROUND(P6564*Q6564*28/30,2)</f>
        <v>3920</v>
      </c>
      <c r="S6564" s="31">
        <v>202304</v>
      </c>
      <c r="T6564" s="472" t="s">
        <v>8516</v>
      </c>
      <c r="U6564" s="104"/>
      <c r="V6564" s="438"/>
      <c r="W6564" s="104"/>
      <c r="X6564" s="34"/>
      <c r="Y6564" s="34"/>
    </row>
    <row r="6565" s="5" customFormat="1" customHeight="1" spans="1:25">
      <c r="A6565" s="21" t="s">
        <v>152</v>
      </c>
      <c r="B6565" s="22" t="s">
        <v>7422</v>
      </c>
      <c r="C6565" s="22" t="s">
        <v>153</v>
      </c>
      <c r="D6565" s="22" t="s">
        <v>7585</v>
      </c>
      <c r="E6565" s="23" t="s">
        <v>8489</v>
      </c>
      <c r="F6565" s="24" t="s">
        <v>8490</v>
      </c>
      <c r="G6565" s="24" t="s">
        <v>31</v>
      </c>
      <c r="H6565" s="25" t="s">
        <v>8511</v>
      </c>
      <c r="I6565" s="46" t="e">
        <f>VLOOKUP(H6565,'合同高级查询数据-4月返'!A:A,1,FALSE)</f>
        <v>#N/A</v>
      </c>
      <c r="J6565" s="47" t="s">
        <v>33</v>
      </c>
      <c r="K6565" s="24" t="s">
        <v>8316</v>
      </c>
      <c r="L6565" s="109" t="s">
        <v>2036</v>
      </c>
      <c r="M6565" s="49" t="s">
        <v>8512</v>
      </c>
      <c r="N6565" s="50">
        <v>44927</v>
      </c>
      <c r="O6565" s="22" t="s">
        <v>37</v>
      </c>
      <c r="P6565" s="486">
        <v>0</v>
      </c>
      <c r="Q6565" s="70">
        <v>480</v>
      </c>
      <c r="R6565" s="52">
        <f t="shared" ref="R6565:R6620" si="193">ROUND(P6565*Q6565,2)</f>
        <v>0</v>
      </c>
      <c r="S6565" s="47">
        <v>202304</v>
      </c>
      <c r="T6565" s="123" t="s">
        <v>8517</v>
      </c>
      <c r="U6565" s="97"/>
      <c r="V6565" s="453"/>
      <c r="W6565" s="97"/>
      <c r="X6565" s="50">
        <v>44927</v>
      </c>
      <c r="Y6565" s="50">
        <v>45291</v>
      </c>
    </row>
    <row r="6566" s="5" customFormat="1" customHeight="1" spans="1:25">
      <c r="A6566" s="21" t="s">
        <v>152</v>
      </c>
      <c r="B6566" s="22" t="s">
        <v>7422</v>
      </c>
      <c r="C6566" s="22" t="s">
        <v>153</v>
      </c>
      <c r="D6566" s="22" t="s">
        <v>7585</v>
      </c>
      <c r="E6566" s="23" t="s">
        <v>8489</v>
      </c>
      <c r="F6566" s="24" t="s">
        <v>8490</v>
      </c>
      <c r="G6566" s="24" t="s">
        <v>31</v>
      </c>
      <c r="H6566" s="25" t="s">
        <v>8511</v>
      </c>
      <c r="I6566" s="46" t="e">
        <f>VLOOKUP(H6566,'合同高级查询数据-4月返'!A:A,1,FALSE)</f>
        <v>#N/A</v>
      </c>
      <c r="J6566" s="47" t="s">
        <v>33</v>
      </c>
      <c r="K6566" s="24" t="s">
        <v>8316</v>
      </c>
      <c r="L6566" s="109" t="s">
        <v>2036</v>
      </c>
      <c r="M6566" s="49" t="s">
        <v>8512</v>
      </c>
      <c r="N6566" s="50"/>
      <c r="O6566" s="22" t="s">
        <v>179</v>
      </c>
      <c r="P6566" s="486">
        <v>0</v>
      </c>
      <c r="Q6566" s="70">
        <v>0</v>
      </c>
      <c r="R6566" s="52">
        <f t="shared" si="193"/>
        <v>0</v>
      </c>
      <c r="S6566" s="47">
        <v>202304</v>
      </c>
      <c r="T6566" s="123" t="s">
        <v>8509</v>
      </c>
      <c r="U6566" s="97"/>
      <c r="V6566" s="453"/>
      <c r="W6566" s="97"/>
      <c r="X6566" s="50">
        <v>44927</v>
      </c>
      <c r="Y6566" s="50">
        <v>45291</v>
      </c>
    </row>
    <row r="6567" s="5" customFormat="1" customHeight="1" spans="1:25">
      <c r="A6567" s="21" t="s">
        <v>152</v>
      </c>
      <c r="B6567" s="22" t="s">
        <v>7422</v>
      </c>
      <c r="C6567" s="22" t="s">
        <v>153</v>
      </c>
      <c r="D6567" s="22" t="s">
        <v>7585</v>
      </c>
      <c r="E6567" s="23" t="s">
        <v>8489</v>
      </c>
      <c r="F6567" s="24" t="s">
        <v>8490</v>
      </c>
      <c r="G6567" s="24" t="s">
        <v>88</v>
      </c>
      <c r="H6567" s="25" t="s">
        <v>8511</v>
      </c>
      <c r="I6567" s="46" t="e">
        <f>VLOOKUP(H6567,'合同高级查询数据-4月返'!A:A,1,FALSE)</f>
        <v>#N/A</v>
      </c>
      <c r="J6567" s="47" t="s">
        <v>162</v>
      </c>
      <c r="K6567" s="24" t="s">
        <v>8316</v>
      </c>
      <c r="L6567" s="109" t="s">
        <v>2036</v>
      </c>
      <c r="M6567" s="49" t="s">
        <v>8512</v>
      </c>
      <c r="N6567" s="50">
        <v>44927</v>
      </c>
      <c r="O6567" s="22" t="s">
        <v>503</v>
      </c>
      <c r="P6567" s="486">
        <v>5000</v>
      </c>
      <c r="Q6567" s="70">
        <v>2</v>
      </c>
      <c r="R6567" s="52">
        <f t="shared" si="193"/>
        <v>10000</v>
      </c>
      <c r="S6567" s="47">
        <v>202304</v>
      </c>
      <c r="T6567" s="123" t="s">
        <v>8518</v>
      </c>
      <c r="U6567" s="97"/>
      <c r="V6567" s="453"/>
      <c r="W6567" s="97"/>
      <c r="X6567" s="50">
        <v>44927</v>
      </c>
      <c r="Y6567" s="50">
        <v>45291</v>
      </c>
    </row>
    <row r="6568" s="5" customFormat="1" customHeight="1" spans="1:25">
      <c r="A6568" s="24" t="s">
        <v>109</v>
      </c>
      <c r="B6568" s="22" t="s">
        <v>7422</v>
      </c>
      <c r="C6568" s="22" t="s">
        <v>2173</v>
      </c>
      <c r="D6568" s="22" t="s">
        <v>28</v>
      </c>
      <c r="E6568" s="23" t="s">
        <v>8519</v>
      </c>
      <c r="F6568" s="24" t="s">
        <v>8520</v>
      </c>
      <c r="G6568" s="24" t="s">
        <v>31</v>
      </c>
      <c r="H6568" s="25" t="s">
        <v>8521</v>
      </c>
      <c r="I6568" s="46" t="e">
        <f>VLOOKUP(H6568,'合同高级查询数据-4月返'!A:A,1,FALSE)</f>
        <v>#N/A</v>
      </c>
      <c r="J6568" s="47" t="s">
        <v>33</v>
      </c>
      <c r="K6568" s="24" t="s">
        <v>5103</v>
      </c>
      <c r="L6568" s="109" t="s">
        <v>8522</v>
      </c>
      <c r="M6568" s="49" t="s">
        <v>8523</v>
      </c>
      <c r="N6568" s="50">
        <v>44197</v>
      </c>
      <c r="O6568" s="22" t="s">
        <v>37</v>
      </c>
      <c r="P6568" s="52">
        <v>0</v>
      </c>
      <c r="Q6568" s="70">
        <v>176</v>
      </c>
      <c r="R6568" s="52">
        <f t="shared" si="193"/>
        <v>0</v>
      </c>
      <c r="S6568" s="47">
        <v>202304</v>
      </c>
      <c r="T6568" s="123" t="s">
        <v>8524</v>
      </c>
      <c r="U6568" s="97"/>
      <c r="V6568" s="453"/>
      <c r="W6568" s="453"/>
      <c r="X6568" s="50">
        <v>44927</v>
      </c>
      <c r="Y6568" s="50">
        <v>45291</v>
      </c>
    </row>
    <row r="6569" s="5" customFormat="1" customHeight="1" spans="1:25">
      <c r="A6569" s="24" t="s">
        <v>109</v>
      </c>
      <c r="B6569" s="22" t="s">
        <v>7422</v>
      </c>
      <c r="C6569" s="22" t="s">
        <v>2173</v>
      </c>
      <c r="D6569" s="22" t="s">
        <v>28</v>
      </c>
      <c r="E6569" s="23" t="s">
        <v>8519</v>
      </c>
      <c r="F6569" s="24" t="s">
        <v>8520</v>
      </c>
      <c r="G6569" s="24" t="s">
        <v>31</v>
      </c>
      <c r="H6569" s="25" t="s">
        <v>8521</v>
      </c>
      <c r="I6569" s="46" t="e">
        <f>VLOOKUP(H6569,'合同高级查询数据-4月返'!A:A,1,FALSE)</f>
        <v>#N/A</v>
      </c>
      <c r="J6569" s="47" t="s">
        <v>33</v>
      </c>
      <c r="K6569" s="24" t="s">
        <v>5103</v>
      </c>
      <c r="L6569" s="109" t="s">
        <v>8522</v>
      </c>
      <c r="M6569" s="49" t="s">
        <v>8523</v>
      </c>
      <c r="N6569" s="50">
        <v>44287</v>
      </c>
      <c r="O6569" s="22" t="s">
        <v>37</v>
      </c>
      <c r="P6569" s="52">
        <v>0</v>
      </c>
      <c r="Q6569" s="70">
        <v>368</v>
      </c>
      <c r="R6569" s="52">
        <f t="shared" si="193"/>
        <v>0</v>
      </c>
      <c r="S6569" s="47">
        <v>202304</v>
      </c>
      <c r="T6569" s="123" t="s">
        <v>8525</v>
      </c>
      <c r="U6569" s="97"/>
      <c r="V6569" s="453"/>
      <c r="W6569" s="453"/>
      <c r="X6569" s="50">
        <v>44927</v>
      </c>
      <c r="Y6569" s="50">
        <v>45291</v>
      </c>
    </row>
    <row r="6570" s="5" customFormat="1" customHeight="1" spans="1:25">
      <c r="A6570" s="24" t="s">
        <v>109</v>
      </c>
      <c r="B6570" s="22" t="s">
        <v>7422</v>
      </c>
      <c r="C6570" s="22" t="s">
        <v>2173</v>
      </c>
      <c r="D6570" s="22" t="s">
        <v>28</v>
      </c>
      <c r="E6570" s="23" t="s">
        <v>8519</v>
      </c>
      <c r="F6570" s="24" t="s">
        <v>8520</v>
      </c>
      <c r="G6570" s="24" t="s">
        <v>31</v>
      </c>
      <c r="H6570" s="25" t="s">
        <v>8521</v>
      </c>
      <c r="I6570" s="46" t="e">
        <f>VLOOKUP(H6570,'合同高级查询数据-4月返'!A:A,1,FALSE)</f>
        <v>#N/A</v>
      </c>
      <c r="J6570" s="47" t="s">
        <v>33</v>
      </c>
      <c r="K6570" s="24" t="s">
        <v>5103</v>
      </c>
      <c r="L6570" s="109" t="s">
        <v>8522</v>
      </c>
      <c r="M6570" s="49" t="s">
        <v>8523</v>
      </c>
      <c r="N6570" s="50"/>
      <c r="O6570" s="22" t="s">
        <v>179</v>
      </c>
      <c r="P6570" s="52">
        <v>0</v>
      </c>
      <c r="Q6570" s="70">
        <v>0</v>
      </c>
      <c r="R6570" s="52">
        <f t="shared" si="193"/>
        <v>0</v>
      </c>
      <c r="S6570" s="47">
        <v>202304</v>
      </c>
      <c r="T6570" s="123" t="s">
        <v>8124</v>
      </c>
      <c r="U6570" s="97"/>
      <c r="V6570" s="453"/>
      <c r="W6570" s="453"/>
      <c r="X6570" s="50">
        <v>44927</v>
      </c>
      <c r="Y6570" s="50">
        <v>45291</v>
      </c>
    </row>
    <row r="6571" s="5" customFormat="1" customHeight="1" spans="1:25">
      <c r="A6571" s="24" t="s">
        <v>109</v>
      </c>
      <c r="B6571" s="22" t="s">
        <v>7422</v>
      </c>
      <c r="C6571" s="22" t="s">
        <v>2173</v>
      </c>
      <c r="D6571" s="22" t="s">
        <v>28</v>
      </c>
      <c r="E6571" s="23" t="s">
        <v>8519</v>
      </c>
      <c r="F6571" s="24" t="s">
        <v>8520</v>
      </c>
      <c r="G6571" s="24" t="s">
        <v>88</v>
      </c>
      <c r="H6571" s="25" t="s">
        <v>8521</v>
      </c>
      <c r="I6571" s="46" t="e">
        <f>VLOOKUP(H6571,'合同高级查询数据-4月返'!A:A,1,FALSE)</f>
        <v>#N/A</v>
      </c>
      <c r="J6571" s="47" t="s">
        <v>162</v>
      </c>
      <c r="K6571" s="24" t="s">
        <v>5103</v>
      </c>
      <c r="L6571" s="109" t="s">
        <v>8522</v>
      </c>
      <c r="M6571" s="49" t="s">
        <v>8523</v>
      </c>
      <c r="N6571" s="50">
        <v>44197</v>
      </c>
      <c r="O6571" s="22" t="s">
        <v>3999</v>
      </c>
      <c r="P6571" s="52">
        <v>5000</v>
      </c>
      <c r="Q6571" s="70">
        <v>2</v>
      </c>
      <c r="R6571" s="52">
        <f t="shared" si="193"/>
        <v>10000</v>
      </c>
      <c r="S6571" s="47">
        <v>202304</v>
      </c>
      <c r="T6571" s="123" t="s">
        <v>8526</v>
      </c>
      <c r="U6571" s="97"/>
      <c r="V6571" s="453"/>
      <c r="W6571" s="453"/>
      <c r="X6571" s="50">
        <v>44927</v>
      </c>
      <c r="Y6571" s="50">
        <v>45291</v>
      </c>
    </row>
    <row r="6572" s="5" customFormat="1" customHeight="1" spans="1:25">
      <c r="A6572" s="24" t="s">
        <v>109</v>
      </c>
      <c r="B6572" s="22" t="s">
        <v>7422</v>
      </c>
      <c r="C6572" s="22" t="s">
        <v>2173</v>
      </c>
      <c r="D6572" s="22" t="s">
        <v>28</v>
      </c>
      <c r="E6572" s="23" t="s">
        <v>8519</v>
      </c>
      <c r="F6572" s="24" t="s">
        <v>8520</v>
      </c>
      <c r="G6572" s="24" t="s">
        <v>88</v>
      </c>
      <c r="H6572" s="25" t="s">
        <v>8521</v>
      </c>
      <c r="I6572" s="46" t="e">
        <f>VLOOKUP(H6572,'合同高级查询数据-4月返'!A:A,1,FALSE)</f>
        <v>#N/A</v>
      </c>
      <c r="J6572" s="47" t="s">
        <v>162</v>
      </c>
      <c r="K6572" s="24" t="s">
        <v>5103</v>
      </c>
      <c r="L6572" s="109" t="s">
        <v>8522</v>
      </c>
      <c r="M6572" s="49" t="s">
        <v>8523</v>
      </c>
      <c r="N6572" s="50">
        <v>44287</v>
      </c>
      <c r="O6572" s="22" t="s">
        <v>3999</v>
      </c>
      <c r="P6572" s="52">
        <v>5000</v>
      </c>
      <c r="Q6572" s="70">
        <v>3</v>
      </c>
      <c r="R6572" s="52">
        <f t="shared" si="193"/>
        <v>15000</v>
      </c>
      <c r="S6572" s="47">
        <v>202304</v>
      </c>
      <c r="T6572" s="123" t="s">
        <v>8527</v>
      </c>
      <c r="U6572" s="97"/>
      <c r="V6572" s="453"/>
      <c r="W6572" s="453"/>
      <c r="X6572" s="50">
        <v>44927</v>
      </c>
      <c r="Y6572" s="50">
        <v>45291</v>
      </c>
    </row>
    <row r="6573" s="5" customFormat="1" customHeight="1" spans="1:25">
      <c r="A6573" s="24" t="s">
        <v>109</v>
      </c>
      <c r="B6573" s="22" t="s">
        <v>7422</v>
      </c>
      <c r="C6573" s="22" t="s">
        <v>2173</v>
      </c>
      <c r="D6573" s="22" t="s">
        <v>28</v>
      </c>
      <c r="E6573" s="23" t="s">
        <v>8519</v>
      </c>
      <c r="F6573" s="24" t="s">
        <v>8520</v>
      </c>
      <c r="G6573" s="24" t="s">
        <v>88</v>
      </c>
      <c r="H6573" s="25" t="s">
        <v>8521</v>
      </c>
      <c r="I6573" s="46" t="e">
        <f>VLOOKUP(H6573,'合同高级查询数据-4月返'!A:A,1,FALSE)</f>
        <v>#N/A</v>
      </c>
      <c r="J6573" s="47" t="s">
        <v>162</v>
      </c>
      <c r="K6573" s="24" t="s">
        <v>5103</v>
      </c>
      <c r="L6573" s="109" t="s">
        <v>8522</v>
      </c>
      <c r="M6573" s="49" t="s">
        <v>8523</v>
      </c>
      <c r="N6573" s="50">
        <v>44935</v>
      </c>
      <c r="O6573" s="22" t="s">
        <v>3999</v>
      </c>
      <c r="P6573" s="52">
        <v>5000</v>
      </c>
      <c r="Q6573" s="70">
        <v>1</v>
      </c>
      <c r="R6573" s="52">
        <f t="shared" si="193"/>
        <v>5000</v>
      </c>
      <c r="S6573" s="47">
        <v>202304</v>
      </c>
      <c r="T6573" s="123" t="s">
        <v>8528</v>
      </c>
      <c r="U6573" s="97"/>
      <c r="V6573" s="453"/>
      <c r="W6573" s="453"/>
      <c r="X6573" s="50">
        <v>44927</v>
      </c>
      <c r="Y6573" s="50">
        <v>45291</v>
      </c>
    </row>
    <row r="6574" s="5" customFormat="1" customHeight="1" spans="1:25">
      <c r="A6574" s="24" t="s">
        <v>109</v>
      </c>
      <c r="B6574" s="22" t="s">
        <v>7422</v>
      </c>
      <c r="C6574" s="22" t="s">
        <v>2173</v>
      </c>
      <c r="D6574" s="22" t="s">
        <v>28</v>
      </c>
      <c r="E6574" s="23" t="s">
        <v>8519</v>
      </c>
      <c r="F6574" s="24" t="s">
        <v>8520</v>
      </c>
      <c r="G6574" s="24" t="s">
        <v>31</v>
      </c>
      <c r="H6574" s="25" t="s">
        <v>8529</v>
      </c>
      <c r="I6574" s="46" t="str">
        <f>VLOOKUP(H6574,'合同高级查询数据-4月返'!A:A,1,FALSE)</f>
        <v>182315IDC00150</v>
      </c>
      <c r="J6574" s="47" t="s">
        <v>33</v>
      </c>
      <c r="K6574" s="24" t="s">
        <v>5103</v>
      </c>
      <c r="L6574" s="109" t="s">
        <v>8530</v>
      </c>
      <c r="M6574" s="49" t="s">
        <v>8523</v>
      </c>
      <c r="N6574" s="50">
        <v>44625</v>
      </c>
      <c r="O6574" s="22" t="s">
        <v>37</v>
      </c>
      <c r="P6574" s="52">
        <v>0</v>
      </c>
      <c r="Q6574" s="70">
        <v>256</v>
      </c>
      <c r="R6574" s="52">
        <f t="shared" si="193"/>
        <v>0</v>
      </c>
      <c r="S6574" s="47">
        <v>202304</v>
      </c>
      <c r="T6574" s="123" t="s">
        <v>8531</v>
      </c>
      <c r="U6574" s="97"/>
      <c r="V6574" s="453"/>
      <c r="W6574" s="453"/>
      <c r="X6574" s="50">
        <v>44986</v>
      </c>
      <c r="Y6574" s="50">
        <v>45291</v>
      </c>
    </row>
    <row r="6575" s="5" customFormat="1" customHeight="1" spans="1:25">
      <c r="A6575" s="24" t="s">
        <v>109</v>
      </c>
      <c r="B6575" s="22" t="s">
        <v>7422</v>
      </c>
      <c r="C6575" s="22" t="s">
        <v>2173</v>
      </c>
      <c r="D6575" s="22" t="s">
        <v>28</v>
      </c>
      <c r="E6575" s="23" t="s">
        <v>8519</v>
      </c>
      <c r="F6575" s="24" t="s">
        <v>8520</v>
      </c>
      <c r="G6575" s="24" t="s">
        <v>31</v>
      </c>
      <c r="H6575" s="25" t="s">
        <v>8529</v>
      </c>
      <c r="I6575" s="46" t="str">
        <f>VLOOKUP(H6575,'合同高级查询数据-4月返'!A:A,1,FALSE)</f>
        <v>182315IDC00150</v>
      </c>
      <c r="J6575" s="47" t="s">
        <v>33</v>
      </c>
      <c r="K6575" s="24" t="s">
        <v>5103</v>
      </c>
      <c r="L6575" s="109" t="s">
        <v>8530</v>
      </c>
      <c r="M6575" s="49" t="s">
        <v>8523</v>
      </c>
      <c r="N6575" s="50"/>
      <c r="O6575" s="22" t="s">
        <v>179</v>
      </c>
      <c r="P6575" s="52">
        <v>0</v>
      </c>
      <c r="Q6575" s="70">
        <v>0</v>
      </c>
      <c r="R6575" s="52">
        <f t="shared" si="193"/>
        <v>0</v>
      </c>
      <c r="S6575" s="47">
        <v>202304</v>
      </c>
      <c r="T6575" s="123" t="s">
        <v>8124</v>
      </c>
      <c r="U6575" s="97"/>
      <c r="V6575" s="453"/>
      <c r="W6575" s="453"/>
      <c r="X6575" s="50">
        <v>44986</v>
      </c>
      <c r="Y6575" s="50">
        <v>45291</v>
      </c>
    </row>
    <row r="6576" s="5" customFormat="1" customHeight="1" spans="1:25">
      <c r="A6576" s="24" t="s">
        <v>109</v>
      </c>
      <c r="B6576" s="22" t="s">
        <v>7422</v>
      </c>
      <c r="C6576" s="22" t="s">
        <v>2173</v>
      </c>
      <c r="D6576" s="22" t="s">
        <v>28</v>
      </c>
      <c r="E6576" s="23" t="s">
        <v>8519</v>
      </c>
      <c r="F6576" s="24" t="s">
        <v>8520</v>
      </c>
      <c r="G6576" s="24" t="s">
        <v>88</v>
      </c>
      <c r="H6576" s="25" t="s">
        <v>8529</v>
      </c>
      <c r="I6576" s="46" t="str">
        <f>VLOOKUP(H6576,'合同高级查询数据-4月返'!A:A,1,FALSE)</f>
        <v>182315IDC00150</v>
      </c>
      <c r="J6576" s="47" t="s">
        <v>162</v>
      </c>
      <c r="K6576" s="24" t="s">
        <v>5103</v>
      </c>
      <c r="L6576" s="109" t="s">
        <v>8530</v>
      </c>
      <c r="M6576" s="49" t="s">
        <v>8523</v>
      </c>
      <c r="N6576" s="50">
        <v>44625</v>
      </c>
      <c r="O6576" s="22" t="s">
        <v>3999</v>
      </c>
      <c r="P6576" s="52">
        <v>5000</v>
      </c>
      <c r="Q6576" s="70">
        <v>3</v>
      </c>
      <c r="R6576" s="52">
        <f t="shared" si="193"/>
        <v>15000</v>
      </c>
      <c r="S6576" s="47">
        <v>202304</v>
      </c>
      <c r="T6576" s="123" t="s">
        <v>8532</v>
      </c>
      <c r="U6576" s="97"/>
      <c r="V6576" s="453"/>
      <c r="W6576" s="453"/>
      <c r="X6576" s="50">
        <v>44986</v>
      </c>
      <c r="Y6576" s="50">
        <v>45291</v>
      </c>
    </row>
    <row r="6577" s="5" customFormat="1" customHeight="1" spans="1:25">
      <c r="A6577" s="24" t="s">
        <v>109</v>
      </c>
      <c r="B6577" s="22" t="s">
        <v>7422</v>
      </c>
      <c r="C6577" s="22" t="s">
        <v>188</v>
      </c>
      <c r="D6577" s="22" t="s">
        <v>28</v>
      </c>
      <c r="E6577" s="23" t="s">
        <v>8533</v>
      </c>
      <c r="F6577" s="24" t="s">
        <v>8534</v>
      </c>
      <c r="G6577" s="24" t="s">
        <v>31</v>
      </c>
      <c r="H6577" s="25" t="s">
        <v>8535</v>
      </c>
      <c r="I6577" s="46" t="e">
        <f>VLOOKUP(H6577,'合同高级查询数据-4月返'!A:A,1,FALSE)</f>
        <v>#N/A</v>
      </c>
      <c r="J6577" s="47" t="s">
        <v>33</v>
      </c>
      <c r="K6577" s="24" t="s">
        <v>3929</v>
      </c>
      <c r="L6577" s="109" t="s">
        <v>8536</v>
      </c>
      <c r="M6577" s="49" t="s">
        <v>8537</v>
      </c>
      <c r="N6577" s="50">
        <v>44169</v>
      </c>
      <c r="O6577" s="22" t="s">
        <v>37</v>
      </c>
      <c r="P6577" s="52">
        <v>0</v>
      </c>
      <c r="Q6577" s="52">
        <v>320</v>
      </c>
      <c r="R6577" s="52">
        <f t="shared" si="193"/>
        <v>0</v>
      </c>
      <c r="S6577" s="47">
        <v>202304</v>
      </c>
      <c r="T6577" s="123" t="s">
        <v>8538</v>
      </c>
      <c r="U6577" s="97"/>
      <c r="V6577" s="453"/>
      <c r="W6577" s="97"/>
      <c r="X6577" s="50">
        <v>44470</v>
      </c>
      <c r="Y6577" s="50">
        <v>44834</v>
      </c>
    </row>
    <row r="6578" s="5" customFormat="1" customHeight="1" spans="1:25">
      <c r="A6578" s="24" t="s">
        <v>109</v>
      </c>
      <c r="B6578" s="22" t="s">
        <v>7422</v>
      </c>
      <c r="C6578" s="22" t="s">
        <v>188</v>
      </c>
      <c r="D6578" s="22" t="s">
        <v>28</v>
      </c>
      <c r="E6578" s="23" t="s">
        <v>8533</v>
      </c>
      <c r="F6578" s="24" t="s">
        <v>8534</v>
      </c>
      <c r="G6578" s="24" t="s">
        <v>31</v>
      </c>
      <c r="H6578" s="25" t="s">
        <v>8535</v>
      </c>
      <c r="I6578" s="46" t="e">
        <f>VLOOKUP(H6578,'合同高级查询数据-4月返'!A:A,1,FALSE)</f>
        <v>#N/A</v>
      </c>
      <c r="J6578" s="47" t="s">
        <v>33</v>
      </c>
      <c r="K6578" s="24" t="s">
        <v>3929</v>
      </c>
      <c r="L6578" s="109" t="s">
        <v>8536</v>
      </c>
      <c r="M6578" s="49" t="s">
        <v>8537</v>
      </c>
      <c r="N6578" s="50">
        <v>44435</v>
      </c>
      <c r="O6578" s="22" t="s">
        <v>37</v>
      </c>
      <c r="P6578" s="52">
        <v>80</v>
      </c>
      <c r="Q6578" s="52">
        <v>128</v>
      </c>
      <c r="R6578" s="52">
        <f t="shared" si="193"/>
        <v>10240</v>
      </c>
      <c r="S6578" s="47">
        <v>202304</v>
      </c>
      <c r="T6578" s="123" t="s">
        <v>8539</v>
      </c>
      <c r="U6578" s="97"/>
      <c r="V6578" s="453"/>
      <c r="W6578" s="97"/>
      <c r="X6578" s="50">
        <v>44470</v>
      </c>
      <c r="Y6578" s="50">
        <v>44834</v>
      </c>
    </row>
    <row r="6579" s="5" customFormat="1" customHeight="1" spans="1:25">
      <c r="A6579" s="24" t="s">
        <v>109</v>
      </c>
      <c r="B6579" s="22" t="s">
        <v>7422</v>
      </c>
      <c r="C6579" s="22" t="s">
        <v>188</v>
      </c>
      <c r="D6579" s="22" t="s">
        <v>28</v>
      </c>
      <c r="E6579" s="23" t="s">
        <v>8533</v>
      </c>
      <c r="F6579" s="24" t="s">
        <v>8534</v>
      </c>
      <c r="G6579" s="24" t="s">
        <v>31</v>
      </c>
      <c r="H6579" s="25" t="s">
        <v>8535</v>
      </c>
      <c r="I6579" s="46" t="e">
        <f>VLOOKUP(H6579,'合同高级查询数据-4月返'!A:A,1,FALSE)</f>
        <v>#N/A</v>
      </c>
      <c r="J6579" s="47" t="s">
        <v>33</v>
      </c>
      <c r="K6579" s="24" t="s">
        <v>3929</v>
      </c>
      <c r="L6579" s="109" t="s">
        <v>8536</v>
      </c>
      <c r="M6579" s="49" t="s">
        <v>8537</v>
      </c>
      <c r="N6579" s="50">
        <v>44561</v>
      </c>
      <c r="O6579" s="22" t="s">
        <v>37</v>
      </c>
      <c r="P6579" s="52">
        <v>80</v>
      </c>
      <c r="Q6579" s="52">
        <v>-128</v>
      </c>
      <c r="R6579" s="52">
        <f t="shared" si="193"/>
        <v>-10240</v>
      </c>
      <c r="S6579" s="47">
        <v>202304</v>
      </c>
      <c r="T6579" s="123" t="s">
        <v>8540</v>
      </c>
      <c r="U6579" s="97"/>
      <c r="V6579" s="453"/>
      <c r="W6579" s="97"/>
      <c r="X6579" s="50">
        <v>44470</v>
      </c>
      <c r="Y6579" s="50">
        <v>44834</v>
      </c>
    </row>
    <row r="6580" s="5" customFormat="1" customHeight="1" spans="1:25">
      <c r="A6580" s="24" t="s">
        <v>109</v>
      </c>
      <c r="B6580" s="22" t="s">
        <v>7422</v>
      </c>
      <c r="C6580" s="22" t="s">
        <v>188</v>
      </c>
      <c r="D6580" s="22" t="s">
        <v>28</v>
      </c>
      <c r="E6580" s="23" t="s">
        <v>8533</v>
      </c>
      <c r="F6580" s="24" t="s">
        <v>8534</v>
      </c>
      <c r="G6580" s="24" t="s">
        <v>31</v>
      </c>
      <c r="H6580" s="25" t="s">
        <v>8535</v>
      </c>
      <c r="I6580" s="46" t="e">
        <f>VLOOKUP(H6580,'合同高级查询数据-4月返'!A:A,1,FALSE)</f>
        <v>#N/A</v>
      </c>
      <c r="J6580" s="47" t="s">
        <v>33</v>
      </c>
      <c r="K6580" s="24" t="s">
        <v>3929</v>
      </c>
      <c r="L6580" s="109" t="s">
        <v>8536</v>
      </c>
      <c r="M6580" s="49" t="s">
        <v>8537</v>
      </c>
      <c r="N6580" s="50"/>
      <c r="O6580" s="22" t="s">
        <v>179</v>
      </c>
      <c r="P6580" s="52">
        <v>0</v>
      </c>
      <c r="Q6580" s="70">
        <v>0</v>
      </c>
      <c r="R6580" s="52">
        <f t="shared" si="193"/>
        <v>0</v>
      </c>
      <c r="S6580" s="47">
        <v>202304</v>
      </c>
      <c r="T6580" s="123" t="s">
        <v>8541</v>
      </c>
      <c r="U6580" s="97"/>
      <c r="V6580" s="453"/>
      <c r="W6580" s="97"/>
      <c r="X6580" s="50">
        <v>44470</v>
      </c>
      <c r="Y6580" s="50">
        <v>44834</v>
      </c>
    </row>
    <row r="6581" s="5" customFormat="1" customHeight="1" spans="1:25">
      <c r="A6581" s="24" t="s">
        <v>109</v>
      </c>
      <c r="B6581" s="22" t="s">
        <v>7422</v>
      </c>
      <c r="C6581" s="22" t="s">
        <v>188</v>
      </c>
      <c r="D6581" s="22" t="s">
        <v>28</v>
      </c>
      <c r="E6581" s="23" t="s">
        <v>8533</v>
      </c>
      <c r="F6581" s="24" t="s">
        <v>8534</v>
      </c>
      <c r="G6581" s="24" t="s">
        <v>88</v>
      </c>
      <c r="H6581" s="25" t="s">
        <v>8535</v>
      </c>
      <c r="I6581" s="46" t="e">
        <f>VLOOKUP(H6581,'合同高级查询数据-4月返'!A:A,1,FALSE)</f>
        <v>#N/A</v>
      </c>
      <c r="J6581" s="47" t="s">
        <v>162</v>
      </c>
      <c r="K6581" s="24" t="s">
        <v>3929</v>
      </c>
      <c r="L6581" s="109" t="s">
        <v>8536</v>
      </c>
      <c r="M6581" s="49" t="s">
        <v>8537</v>
      </c>
      <c r="N6581" s="50">
        <v>44169</v>
      </c>
      <c r="O6581" s="22" t="s">
        <v>702</v>
      </c>
      <c r="P6581" s="52">
        <v>5000</v>
      </c>
      <c r="Q6581" s="52">
        <v>6</v>
      </c>
      <c r="R6581" s="52">
        <f t="shared" si="193"/>
        <v>30000</v>
      </c>
      <c r="S6581" s="47">
        <v>202304</v>
      </c>
      <c r="T6581" s="123" t="s">
        <v>8542</v>
      </c>
      <c r="U6581" s="97"/>
      <c r="V6581" s="453"/>
      <c r="W6581" s="97"/>
      <c r="X6581" s="50">
        <v>44470</v>
      </c>
      <c r="Y6581" s="50">
        <v>44834</v>
      </c>
    </row>
    <row r="6582" s="5" customFormat="1" customHeight="1" spans="1:25">
      <c r="A6582" s="24" t="s">
        <v>109</v>
      </c>
      <c r="B6582" s="22" t="s">
        <v>7422</v>
      </c>
      <c r="C6582" s="22" t="s">
        <v>188</v>
      </c>
      <c r="D6582" s="22" t="s">
        <v>28</v>
      </c>
      <c r="E6582" s="23" t="s">
        <v>8533</v>
      </c>
      <c r="F6582" s="24" t="s">
        <v>8534</v>
      </c>
      <c r="G6582" s="24" t="s">
        <v>88</v>
      </c>
      <c r="H6582" s="25" t="s">
        <v>8535</v>
      </c>
      <c r="I6582" s="46" t="e">
        <f>VLOOKUP(H6582,'合同高级查询数据-4月返'!A:A,1,FALSE)</f>
        <v>#N/A</v>
      </c>
      <c r="J6582" s="47" t="s">
        <v>162</v>
      </c>
      <c r="K6582" s="24" t="s">
        <v>3929</v>
      </c>
      <c r="L6582" s="109" t="s">
        <v>8536</v>
      </c>
      <c r="M6582" s="49" t="s">
        <v>8537</v>
      </c>
      <c r="N6582" s="50">
        <v>44434</v>
      </c>
      <c r="O6582" s="22" t="s">
        <v>702</v>
      </c>
      <c r="P6582" s="52">
        <v>5000</v>
      </c>
      <c r="Q6582" s="52">
        <v>-2</v>
      </c>
      <c r="R6582" s="52">
        <f t="shared" si="193"/>
        <v>-10000</v>
      </c>
      <c r="S6582" s="47">
        <v>202304</v>
      </c>
      <c r="T6582" s="123" t="s">
        <v>8543</v>
      </c>
      <c r="U6582" s="97"/>
      <c r="V6582" s="453"/>
      <c r="W6582" s="97"/>
      <c r="X6582" s="50">
        <v>44470</v>
      </c>
      <c r="Y6582" s="50">
        <v>44834</v>
      </c>
    </row>
    <row r="6583" s="5" customFormat="1" customHeight="1" spans="1:25">
      <c r="A6583" s="24" t="s">
        <v>109</v>
      </c>
      <c r="B6583" s="22" t="s">
        <v>7422</v>
      </c>
      <c r="C6583" s="22" t="s">
        <v>188</v>
      </c>
      <c r="D6583" s="22" t="s">
        <v>28</v>
      </c>
      <c r="E6583" s="23" t="s">
        <v>8533</v>
      </c>
      <c r="F6583" s="24" t="s">
        <v>8534</v>
      </c>
      <c r="G6583" s="24" t="s">
        <v>88</v>
      </c>
      <c r="H6583" s="25" t="s">
        <v>8535</v>
      </c>
      <c r="I6583" s="46" t="e">
        <f>VLOOKUP(H6583,'合同高级查询数据-4月返'!A:A,1,FALSE)</f>
        <v>#N/A</v>
      </c>
      <c r="J6583" s="47" t="s">
        <v>162</v>
      </c>
      <c r="K6583" s="24" t="s">
        <v>3929</v>
      </c>
      <c r="L6583" s="109" t="s">
        <v>8536</v>
      </c>
      <c r="M6583" s="49" t="s">
        <v>8537</v>
      </c>
      <c r="N6583" s="50">
        <v>44435</v>
      </c>
      <c r="O6583" s="22" t="s">
        <v>702</v>
      </c>
      <c r="P6583" s="52">
        <v>5000</v>
      </c>
      <c r="Q6583" s="52">
        <v>2</v>
      </c>
      <c r="R6583" s="52">
        <f t="shared" si="193"/>
        <v>10000</v>
      </c>
      <c r="S6583" s="47">
        <v>202304</v>
      </c>
      <c r="T6583" s="123" t="s">
        <v>8544</v>
      </c>
      <c r="U6583" s="97"/>
      <c r="V6583" s="453"/>
      <c r="W6583" s="97"/>
      <c r="X6583" s="50">
        <v>44470</v>
      </c>
      <c r="Y6583" s="50">
        <v>44834</v>
      </c>
    </row>
    <row r="6584" s="5" customFormat="1" customHeight="1" spans="1:25">
      <c r="A6584" s="24" t="s">
        <v>109</v>
      </c>
      <c r="B6584" s="22" t="s">
        <v>7422</v>
      </c>
      <c r="C6584" s="22" t="s">
        <v>188</v>
      </c>
      <c r="D6584" s="22" t="s">
        <v>28</v>
      </c>
      <c r="E6584" s="23" t="s">
        <v>8533</v>
      </c>
      <c r="F6584" s="24" t="s">
        <v>8534</v>
      </c>
      <c r="G6584" s="24" t="s">
        <v>88</v>
      </c>
      <c r="H6584" s="25" t="s">
        <v>8535</v>
      </c>
      <c r="I6584" s="46" t="e">
        <f>VLOOKUP(H6584,'合同高级查询数据-4月返'!A:A,1,FALSE)</f>
        <v>#N/A</v>
      </c>
      <c r="J6584" s="47" t="s">
        <v>162</v>
      </c>
      <c r="K6584" s="24" t="s">
        <v>3929</v>
      </c>
      <c r="L6584" s="109" t="s">
        <v>8536</v>
      </c>
      <c r="M6584" s="49" t="s">
        <v>8537</v>
      </c>
      <c r="N6584" s="50">
        <v>44561</v>
      </c>
      <c r="O6584" s="22" t="s">
        <v>702</v>
      </c>
      <c r="P6584" s="52">
        <v>5000</v>
      </c>
      <c r="Q6584" s="52">
        <v>-2</v>
      </c>
      <c r="R6584" s="52">
        <f t="shared" si="193"/>
        <v>-10000</v>
      </c>
      <c r="S6584" s="47">
        <v>202304</v>
      </c>
      <c r="T6584" s="123" t="s">
        <v>8545</v>
      </c>
      <c r="U6584" s="97"/>
      <c r="V6584" s="453"/>
      <c r="W6584" s="97"/>
      <c r="X6584" s="50">
        <v>44470</v>
      </c>
      <c r="Y6584" s="50">
        <v>44834</v>
      </c>
    </row>
    <row r="6585" s="5" customFormat="1" customHeight="1" spans="1:25">
      <c r="A6585" s="24" t="s">
        <v>109</v>
      </c>
      <c r="B6585" s="22" t="s">
        <v>7422</v>
      </c>
      <c r="C6585" s="22" t="s">
        <v>188</v>
      </c>
      <c r="D6585" s="22" t="s">
        <v>28</v>
      </c>
      <c r="E6585" s="23" t="s">
        <v>8533</v>
      </c>
      <c r="F6585" s="24" t="s">
        <v>8534</v>
      </c>
      <c r="G6585" s="24" t="s">
        <v>88</v>
      </c>
      <c r="H6585" s="25" t="s">
        <v>8535</v>
      </c>
      <c r="I6585" s="46" t="e">
        <f>VLOOKUP(H6585,'合同高级查询数据-4月返'!A:A,1,FALSE)</f>
        <v>#N/A</v>
      </c>
      <c r="J6585" s="47" t="s">
        <v>162</v>
      </c>
      <c r="K6585" s="24" t="s">
        <v>3929</v>
      </c>
      <c r="L6585" s="109" t="s">
        <v>8536</v>
      </c>
      <c r="M6585" s="49" t="s">
        <v>8537</v>
      </c>
      <c r="N6585" s="50">
        <v>44561</v>
      </c>
      <c r="O6585" s="22" t="s">
        <v>702</v>
      </c>
      <c r="P6585" s="52">
        <v>5000</v>
      </c>
      <c r="Q6585" s="52">
        <v>-4</v>
      </c>
      <c r="R6585" s="52">
        <f t="shared" si="193"/>
        <v>-20000</v>
      </c>
      <c r="S6585" s="47">
        <v>202304</v>
      </c>
      <c r="T6585" s="123" t="s">
        <v>8546</v>
      </c>
      <c r="U6585" s="97"/>
      <c r="V6585" s="453"/>
      <c r="W6585" s="97"/>
      <c r="X6585" s="50">
        <v>44470</v>
      </c>
      <c r="Y6585" s="50">
        <v>44834</v>
      </c>
    </row>
    <row r="6586" s="5" customFormat="1" customHeight="1" spans="1:25">
      <c r="A6586" s="24" t="s">
        <v>109</v>
      </c>
      <c r="B6586" s="22" t="s">
        <v>7422</v>
      </c>
      <c r="C6586" s="22" t="s">
        <v>188</v>
      </c>
      <c r="D6586" s="22" t="s">
        <v>28</v>
      </c>
      <c r="E6586" s="23" t="s">
        <v>8533</v>
      </c>
      <c r="F6586" s="24" t="s">
        <v>8534</v>
      </c>
      <c r="G6586" s="24" t="s">
        <v>31</v>
      </c>
      <c r="H6586" s="25" t="s">
        <v>8535</v>
      </c>
      <c r="I6586" s="46" t="e">
        <f>VLOOKUP(H6586,'合同高级查询数据-4月返'!A:A,1,FALSE)</f>
        <v>#N/A</v>
      </c>
      <c r="J6586" s="47" t="s">
        <v>33</v>
      </c>
      <c r="K6586" s="24" t="s">
        <v>3929</v>
      </c>
      <c r="L6586" s="109" t="s">
        <v>8547</v>
      </c>
      <c r="M6586" s="49" t="s">
        <v>8537</v>
      </c>
      <c r="N6586" s="50">
        <v>44470</v>
      </c>
      <c r="O6586" s="22" t="s">
        <v>37</v>
      </c>
      <c r="P6586" s="52">
        <v>0</v>
      </c>
      <c r="Q6586" s="52">
        <v>256</v>
      </c>
      <c r="R6586" s="52">
        <f t="shared" si="193"/>
        <v>0</v>
      </c>
      <c r="S6586" s="47">
        <v>202304</v>
      </c>
      <c r="T6586" s="123" t="s">
        <v>8548</v>
      </c>
      <c r="U6586" s="97"/>
      <c r="V6586" s="453"/>
      <c r="W6586" s="97"/>
      <c r="X6586" s="50">
        <v>44470</v>
      </c>
      <c r="Y6586" s="50">
        <v>44834</v>
      </c>
    </row>
    <row r="6587" s="5" customFormat="1" customHeight="1" spans="1:25">
      <c r="A6587" s="24" t="s">
        <v>109</v>
      </c>
      <c r="B6587" s="22" t="s">
        <v>7422</v>
      </c>
      <c r="C6587" s="22" t="s">
        <v>188</v>
      </c>
      <c r="D6587" s="22" t="s">
        <v>28</v>
      </c>
      <c r="E6587" s="23" t="s">
        <v>8533</v>
      </c>
      <c r="F6587" s="24" t="s">
        <v>8534</v>
      </c>
      <c r="G6587" s="24" t="s">
        <v>31</v>
      </c>
      <c r="H6587" s="25" t="s">
        <v>8535</v>
      </c>
      <c r="I6587" s="46" t="e">
        <f>VLOOKUP(H6587,'合同高级查询数据-4月返'!A:A,1,FALSE)</f>
        <v>#N/A</v>
      </c>
      <c r="J6587" s="47" t="s">
        <v>33</v>
      </c>
      <c r="K6587" s="24" t="s">
        <v>3929</v>
      </c>
      <c r="L6587" s="109" t="s">
        <v>8547</v>
      </c>
      <c r="M6587" s="49" t="s">
        <v>8537</v>
      </c>
      <c r="N6587" s="50">
        <v>44592</v>
      </c>
      <c r="O6587" s="22" t="s">
        <v>37</v>
      </c>
      <c r="P6587" s="52">
        <v>0</v>
      </c>
      <c r="Q6587" s="52">
        <v>-256</v>
      </c>
      <c r="R6587" s="52">
        <f t="shared" si="193"/>
        <v>0</v>
      </c>
      <c r="S6587" s="47">
        <v>202304</v>
      </c>
      <c r="T6587" s="123" t="s">
        <v>8549</v>
      </c>
      <c r="U6587" s="97"/>
      <c r="V6587" s="453"/>
      <c r="W6587" s="97"/>
      <c r="X6587" s="50">
        <v>44470</v>
      </c>
      <c r="Y6587" s="50">
        <v>44834</v>
      </c>
    </row>
    <row r="6588" s="5" customFormat="1" customHeight="1" spans="1:25">
      <c r="A6588" s="24" t="s">
        <v>109</v>
      </c>
      <c r="B6588" s="22" t="s">
        <v>7422</v>
      </c>
      <c r="C6588" s="22" t="s">
        <v>188</v>
      </c>
      <c r="D6588" s="22" t="s">
        <v>28</v>
      </c>
      <c r="E6588" s="23" t="s">
        <v>8533</v>
      </c>
      <c r="F6588" s="24" t="s">
        <v>8534</v>
      </c>
      <c r="G6588" s="24" t="s">
        <v>88</v>
      </c>
      <c r="H6588" s="25" t="s">
        <v>8535</v>
      </c>
      <c r="I6588" s="46" t="e">
        <f>VLOOKUP(H6588,'合同高级查询数据-4月返'!A:A,1,FALSE)</f>
        <v>#N/A</v>
      </c>
      <c r="J6588" s="47" t="s">
        <v>162</v>
      </c>
      <c r="K6588" s="24" t="s">
        <v>3929</v>
      </c>
      <c r="L6588" s="109" t="s">
        <v>8547</v>
      </c>
      <c r="M6588" s="49" t="s">
        <v>8537</v>
      </c>
      <c r="N6588" s="50">
        <v>44470</v>
      </c>
      <c r="O6588" s="22" t="s">
        <v>702</v>
      </c>
      <c r="P6588" s="52">
        <v>5000</v>
      </c>
      <c r="Q6588" s="52">
        <v>4</v>
      </c>
      <c r="R6588" s="52">
        <f t="shared" si="193"/>
        <v>20000</v>
      </c>
      <c r="S6588" s="47">
        <v>202304</v>
      </c>
      <c r="T6588" s="123" t="s">
        <v>8550</v>
      </c>
      <c r="U6588" s="97"/>
      <c r="V6588" s="453"/>
      <c r="W6588" s="97"/>
      <c r="X6588" s="50">
        <v>44470</v>
      </c>
      <c r="Y6588" s="50">
        <v>44834</v>
      </c>
    </row>
    <row r="6589" s="5" customFormat="1" customHeight="1" spans="1:25">
      <c r="A6589" s="24" t="s">
        <v>109</v>
      </c>
      <c r="B6589" s="22" t="s">
        <v>7422</v>
      </c>
      <c r="C6589" s="22" t="s">
        <v>188</v>
      </c>
      <c r="D6589" s="22" t="s">
        <v>28</v>
      </c>
      <c r="E6589" s="23" t="s">
        <v>8533</v>
      </c>
      <c r="F6589" s="24" t="s">
        <v>8534</v>
      </c>
      <c r="G6589" s="24" t="s">
        <v>88</v>
      </c>
      <c r="H6589" s="25" t="s">
        <v>8535</v>
      </c>
      <c r="I6589" s="46" t="e">
        <f>VLOOKUP(H6589,'合同高级查询数据-4月返'!A:A,1,FALSE)</f>
        <v>#N/A</v>
      </c>
      <c r="J6589" s="47" t="s">
        <v>162</v>
      </c>
      <c r="K6589" s="24" t="s">
        <v>3929</v>
      </c>
      <c r="L6589" s="109" t="s">
        <v>8547</v>
      </c>
      <c r="M6589" s="49" t="s">
        <v>8537</v>
      </c>
      <c r="N6589" s="50">
        <v>44592</v>
      </c>
      <c r="O6589" s="22" t="s">
        <v>702</v>
      </c>
      <c r="P6589" s="52">
        <v>5000</v>
      </c>
      <c r="Q6589" s="52">
        <v>-4</v>
      </c>
      <c r="R6589" s="52">
        <f t="shared" si="193"/>
        <v>-20000</v>
      </c>
      <c r="S6589" s="47">
        <v>202304</v>
      </c>
      <c r="T6589" s="123" t="s">
        <v>8551</v>
      </c>
      <c r="U6589" s="97"/>
      <c r="V6589" s="453"/>
      <c r="W6589" s="97"/>
      <c r="X6589" s="50">
        <v>44470</v>
      </c>
      <c r="Y6589" s="50">
        <v>44834</v>
      </c>
    </row>
    <row r="6590" s="5" customFormat="1" customHeight="1" spans="1:25">
      <c r="A6590" s="21" t="s">
        <v>25</v>
      </c>
      <c r="B6590" s="22" t="s">
        <v>7422</v>
      </c>
      <c r="C6590" s="22" t="s">
        <v>238</v>
      </c>
      <c r="D6590" s="22" t="s">
        <v>7585</v>
      </c>
      <c r="E6590" s="23" t="s">
        <v>8533</v>
      </c>
      <c r="F6590" s="24" t="s">
        <v>8534</v>
      </c>
      <c r="G6590" s="24" t="s">
        <v>31</v>
      </c>
      <c r="H6590" s="25" t="s">
        <v>8552</v>
      </c>
      <c r="I6590" s="46" t="str">
        <f>VLOOKUP(H6590,'合同高级查询数据-4月返'!A:A,1,FALSE)</f>
        <v>182315IDC00138</v>
      </c>
      <c r="J6590" s="47" t="s">
        <v>33</v>
      </c>
      <c r="K6590" s="24" t="s">
        <v>8553</v>
      </c>
      <c r="L6590" s="109" t="s">
        <v>8554</v>
      </c>
      <c r="M6590" s="49" t="s">
        <v>8555</v>
      </c>
      <c r="N6590" s="50">
        <v>44228</v>
      </c>
      <c r="O6590" s="22" t="s">
        <v>37</v>
      </c>
      <c r="P6590" s="52">
        <v>0</v>
      </c>
      <c r="Q6590" s="70">
        <v>64</v>
      </c>
      <c r="R6590" s="52">
        <f t="shared" si="193"/>
        <v>0</v>
      </c>
      <c r="S6590" s="47">
        <v>202304</v>
      </c>
      <c r="T6590" s="123" t="s">
        <v>8556</v>
      </c>
      <c r="U6590" s="22"/>
      <c r="V6590" s="72"/>
      <c r="W6590" s="72"/>
      <c r="X6590" s="50">
        <v>44958</v>
      </c>
      <c r="Y6590" s="50">
        <v>45322</v>
      </c>
    </row>
    <row r="6591" s="5" customFormat="1" customHeight="1" spans="1:25">
      <c r="A6591" s="21" t="s">
        <v>25</v>
      </c>
      <c r="B6591" s="22" t="s">
        <v>7422</v>
      </c>
      <c r="C6591" s="22" t="s">
        <v>238</v>
      </c>
      <c r="D6591" s="22" t="s">
        <v>7585</v>
      </c>
      <c r="E6591" s="23" t="s">
        <v>8533</v>
      </c>
      <c r="F6591" s="24" t="s">
        <v>8534</v>
      </c>
      <c r="G6591" s="24" t="s">
        <v>31</v>
      </c>
      <c r="H6591" s="25" t="s">
        <v>8552</v>
      </c>
      <c r="I6591" s="46" t="str">
        <f>VLOOKUP(H6591,'合同高级查询数据-4月返'!A:A,1,FALSE)</f>
        <v>182315IDC00138</v>
      </c>
      <c r="J6591" s="47" t="s">
        <v>33</v>
      </c>
      <c r="K6591" s="24" t="s">
        <v>8553</v>
      </c>
      <c r="L6591" s="109" t="s">
        <v>8554</v>
      </c>
      <c r="M6591" s="49" t="s">
        <v>8555</v>
      </c>
      <c r="N6591" s="50">
        <v>44228</v>
      </c>
      <c r="O6591" s="22" t="s">
        <v>37</v>
      </c>
      <c r="P6591" s="52">
        <v>50</v>
      </c>
      <c r="Q6591" s="70">
        <v>224</v>
      </c>
      <c r="R6591" s="52">
        <f t="shared" si="193"/>
        <v>11200</v>
      </c>
      <c r="S6591" s="47">
        <v>202304</v>
      </c>
      <c r="T6591" s="123" t="s">
        <v>8557</v>
      </c>
      <c r="U6591" s="22"/>
      <c r="V6591" s="72"/>
      <c r="W6591" s="72"/>
      <c r="X6591" s="50">
        <v>44958</v>
      </c>
      <c r="Y6591" s="50">
        <v>45322</v>
      </c>
    </row>
    <row r="6592" s="5" customFormat="1" customHeight="1" spans="1:25">
      <c r="A6592" s="21" t="s">
        <v>25</v>
      </c>
      <c r="B6592" s="22" t="s">
        <v>7422</v>
      </c>
      <c r="C6592" s="22" t="s">
        <v>238</v>
      </c>
      <c r="D6592" s="22" t="s">
        <v>7585</v>
      </c>
      <c r="E6592" s="23" t="s">
        <v>8533</v>
      </c>
      <c r="F6592" s="24" t="s">
        <v>8534</v>
      </c>
      <c r="G6592" s="24" t="s">
        <v>31</v>
      </c>
      <c r="H6592" s="25" t="s">
        <v>8552</v>
      </c>
      <c r="I6592" s="46" t="str">
        <f>VLOOKUP(H6592,'合同高级查询数据-4月返'!A:A,1,FALSE)</f>
        <v>182315IDC00138</v>
      </c>
      <c r="J6592" s="47" t="s">
        <v>33</v>
      </c>
      <c r="K6592" s="24" t="s">
        <v>8553</v>
      </c>
      <c r="L6592" s="109" t="s">
        <v>8554</v>
      </c>
      <c r="M6592" s="49" t="s">
        <v>8555</v>
      </c>
      <c r="N6592" s="50">
        <v>44879</v>
      </c>
      <c r="O6592" s="22" t="s">
        <v>37</v>
      </c>
      <c r="P6592" s="52">
        <v>50</v>
      </c>
      <c r="Q6592" s="70">
        <v>-128</v>
      </c>
      <c r="R6592" s="52">
        <f t="shared" si="193"/>
        <v>-6400</v>
      </c>
      <c r="S6592" s="47">
        <v>202304</v>
      </c>
      <c r="T6592" s="123" t="s">
        <v>8558</v>
      </c>
      <c r="U6592" s="22"/>
      <c r="V6592" s="72"/>
      <c r="W6592" s="72"/>
      <c r="X6592" s="50">
        <v>44958</v>
      </c>
      <c r="Y6592" s="50">
        <v>45322</v>
      </c>
    </row>
    <row r="6593" s="5" customFormat="1" customHeight="1" spans="1:25">
      <c r="A6593" s="21" t="s">
        <v>25</v>
      </c>
      <c r="B6593" s="22" t="s">
        <v>7422</v>
      </c>
      <c r="C6593" s="22" t="s">
        <v>238</v>
      </c>
      <c r="D6593" s="22" t="s">
        <v>7585</v>
      </c>
      <c r="E6593" s="23" t="s">
        <v>8533</v>
      </c>
      <c r="F6593" s="24" t="s">
        <v>8534</v>
      </c>
      <c r="G6593" s="24" t="s">
        <v>31</v>
      </c>
      <c r="H6593" s="25" t="s">
        <v>8552</v>
      </c>
      <c r="I6593" s="46" t="str">
        <f>VLOOKUP(H6593,'合同高级查询数据-4月返'!A:A,1,FALSE)</f>
        <v>182315IDC00138</v>
      </c>
      <c r="J6593" s="47" t="s">
        <v>33</v>
      </c>
      <c r="K6593" s="24" t="s">
        <v>8553</v>
      </c>
      <c r="L6593" s="109" t="s">
        <v>8554</v>
      </c>
      <c r="M6593" s="49" t="s">
        <v>8555</v>
      </c>
      <c r="N6593" s="50"/>
      <c r="O6593" s="22" t="s">
        <v>179</v>
      </c>
      <c r="P6593" s="52">
        <v>0</v>
      </c>
      <c r="Q6593" s="70">
        <v>0</v>
      </c>
      <c r="R6593" s="52">
        <f t="shared" si="193"/>
        <v>0</v>
      </c>
      <c r="S6593" s="47">
        <v>202304</v>
      </c>
      <c r="T6593" s="123" t="s">
        <v>8559</v>
      </c>
      <c r="U6593" s="22"/>
      <c r="V6593" s="72"/>
      <c r="W6593" s="72"/>
      <c r="X6593" s="50">
        <v>44958</v>
      </c>
      <c r="Y6593" s="50">
        <v>45322</v>
      </c>
    </row>
    <row r="6594" s="5" customFormat="1" customHeight="1" spans="1:25">
      <c r="A6594" s="21" t="s">
        <v>25</v>
      </c>
      <c r="B6594" s="22" t="s">
        <v>7422</v>
      </c>
      <c r="C6594" s="22" t="s">
        <v>238</v>
      </c>
      <c r="D6594" s="22" t="s">
        <v>7585</v>
      </c>
      <c r="E6594" s="23" t="s">
        <v>8533</v>
      </c>
      <c r="F6594" s="24" t="s">
        <v>8534</v>
      </c>
      <c r="G6594" s="24" t="s">
        <v>88</v>
      </c>
      <c r="H6594" s="25" t="s">
        <v>8552</v>
      </c>
      <c r="I6594" s="46" t="str">
        <f>VLOOKUP(H6594,'合同高级查询数据-4月返'!A:A,1,FALSE)</f>
        <v>182315IDC00138</v>
      </c>
      <c r="J6594" s="47" t="s">
        <v>162</v>
      </c>
      <c r="K6594" s="24" t="s">
        <v>8553</v>
      </c>
      <c r="L6594" s="109" t="s">
        <v>8554</v>
      </c>
      <c r="M6594" s="49" t="s">
        <v>8555</v>
      </c>
      <c r="N6594" s="50">
        <v>44228</v>
      </c>
      <c r="O6594" s="22" t="s">
        <v>163</v>
      </c>
      <c r="P6594" s="52">
        <v>4000</v>
      </c>
      <c r="Q6594" s="70">
        <v>3</v>
      </c>
      <c r="R6594" s="52">
        <f t="shared" si="193"/>
        <v>12000</v>
      </c>
      <c r="S6594" s="47">
        <v>202304</v>
      </c>
      <c r="T6594" s="123" t="s">
        <v>8560</v>
      </c>
      <c r="U6594" s="22"/>
      <c r="V6594" s="72"/>
      <c r="W6594" s="72"/>
      <c r="X6594" s="50">
        <v>44958</v>
      </c>
      <c r="Y6594" s="50">
        <v>45322</v>
      </c>
    </row>
    <row r="6595" s="5" customFormat="1" customHeight="1" spans="1:25">
      <c r="A6595" s="21" t="s">
        <v>25</v>
      </c>
      <c r="B6595" s="22" t="s">
        <v>7422</v>
      </c>
      <c r="C6595" s="22" t="s">
        <v>238</v>
      </c>
      <c r="D6595" s="22" t="s">
        <v>7585</v>
      </c>
      <c r="E6595" s="23" t="s">
        <v>8533</v>
      </c>
      <c r="F6595" s="24" t="s">
        <v>8534</v>
      </c>
      <c r="G6595" s="24" t="s">
        <v>31</v>
      </c>
      <c r="H6595" s="25" t="s">
        <v>8561</v>
      </c>
      <c r="I6595" s="46" t="e">
        <f>VLOOKUP(H6595,'合同高级查询数据-4月返'!A:A,1,FALSE)</f>
        <v>#N/A</v>
      </c>
      <c r="J6595" s="47" t="s">
        <v>33</v>
      </c>
      <c r="K6595" s="24" t="s">
        <v>8553</v>
      </c>
      <c r="L6595" s="109" t="s">
        <v>8562</v>
      </c>
      <c r="M6595" s="49" t="s">
        <v>8563</v>
      </c>
      <c r="N6595" s="50">
        <v>44229</v>
      </c>
      <c r="O6595" s="22" t="s">
        <v>37</v>
      </c>
      <c r="P6595" s="52">
        <v>0</v>
      </c>
      <c r="Q6595" s="70">
        <v>80</v>
      </c>
      <c r="R6595" s="52">
        <f t="shared" si="193"/>
        <v>0</v>
      </c>
      <c r="S6595" s="47">
        <v>202304</v>
      </c>
      <c r="T6595" s="123" t="s">
        <v>8564</v>
      </c>
      <c r="U6595" s="22"/>
      <c r="V6595" s="72"/>
      <c r="W6595" s="72"/>
      <c r="X6595" s="50">
        <v>44958</v>
      </c>
      <c r="Y6595" s="50">
        <v>45322</v>
      </c>
    </row>
    <row r="6596" s="5" customFormat="1" customHeight="1" spans="1:25">
      <c r="A6596" s="21" t="s">
        <v>25</v>
      </c>
      <c r="B6596" s="22" t="s">
        <v>7422</v>
      </c>
      <c r="C6596" s="22" t="s">
        <v>238</v>
      </c>
      <c r="D6596" s="22" t="s">
        <v>7585</v>
      </c>
      <c r="E6596" s="23" t="s">
        <v>8533</v>
      </c>
      <c r="F6596" s="24" t="s">
        <v>8534</v>
      </c>
      <c r="G6596" s="24" t="s">
        <v>31</v>
      </c>
      <c r="H6596" s="25" t="s">
        <v>8561</v>
      </c>
      <c r="I6596" s="46" t="e">
        <f>VLOOKUP(H6596,'合同高级查询数据-4月返'!A:A,1,FALSE)</f>
        <v>#N/A</v>
      </c>
      <c r="J6596" s="47" t="s">
        <v>33</v>
      </c>
      <c r="K6596" s="24" t="s">
        <v>8553</v>
      </c>
      <c r="L6596" s="109" t="s">
        <v>8562</v>
      </c>
      <c r="M6596" s="49" t="s">
        <v>8563</v>
      </c>
      <c r="N6596" s="50">
        <v>44229</v>
      </c>
      <c r="O6596" s="22" t="s">
        <v>37</v>
      </c>
      <c r="P6596" s="52">
        <v>50</v>
      </c>
      <c r="Q6596" s="70">
        <v>208</v>
      </c>
      <c r="R6596" s="52">
        <f t="shared" si="193"/>
        <v>10400</v>
      </c>
      <c r="S6596" s="47">
        <v>202304</v>
      </c>
      <c r="T6596" s="123" t="s">
        <v>8565</v>
      </c>
      <c r="U6596" s="22"/>
      <c r="V6596" s="72"/>
      <c r="W6596" s="72"/>
      <c r="X6596" s="50">
        <v>44958</v>
      </c>
      <c r="Y6596" s="50">
        <v>45322</v>
      </c>
    </row>
    <row r="6597" s="5" customFormat="1" customHeight="1" spans="1:25">
      <c r="A6597" s="21" t="s">
        <v>25</v>
      </c>
      <c r="B6597" s="22" t="s">
        <v>7422</v>
      </c>
      <c r="C6597" s="22" t="s">
        <v>238</v>
      </c>
      <c r="D6597" s="22" t="s">
        <v>7585</v>
      </c>
      <c r="E6597" s="23" t="s">
        <v>8533</v>
      </c>
      <c r="F6597" s="24" t="s">
        <v>8534</v>
      </c>
      <c r="G6597" s="24" t="s">
        <v>31</v>
      </c>
      <c r="H6597" s="25" t="s">
        <v>8561</v>
      </c>
      <c r="I6597" s="46" t="e">
        <f>VLOOKUP(H6597,'合同高级查询数据-4月返'!A:A,1,FALSE)</f>
        <v>#N/A</v>
      </c>
      <c r="J6597" s="47" t="s">
        <v>33</v>
      </c>
      <c r="K6597" s="24" t="s">
        <v>8553</v>
      </c>
      <c r="L6597" s="109" t="s">
        <v>8562</v>
      </c>
      <c r="M6597" s="49" t="s">
        <v>8563</v>
      </c>
      <c r="N6597" s="50">
        <v>44879</v>
      </c>
      <c r="O6597" s="22" t="s">
        <v>37</v>
      </c>
      <c r="P6597" s="52">
        <v>50</v>
      </c>
      <c r="Q6597" s="70">
        <v>-128</v>
      </c>
      <c r="R6597" s="52">
        <f t="shared" si="193"/>
        <v>-6400</v>
      </c>
      <c r="S6597" s="47">
        <v>202304</v>
      </c>
      <c r="T6597" s="123" t="s">
        <v>8566</v>
      </c>
      <c r="U6597" s="22"/>
      <c r="V6597" s="72"/>
      <c r="W6597" s="72"/>
      <c r="X6597" s="50">
        <v>44958</v>
      </c>
      <c r="Y6597" s="50">
        <v>45322</v>
      </c>
    </row>
    <row r="6598" s="5" customFormat="1" customHeight="1" spans="1:25">
      <c r="A6598" s="21" t="s">
        <v>25</v>
      </c>
      <c r="B6598" s="22" t="s">
        <v>7422</v>
      </c>
      <c r="C6598" s="22" t="s">
        <v>238</v>
      </c>
      <c r="D6598" s="22" t="s">
        <v>7585</v>
      </c>
      <c r="E6598" s="23" t="s">
        <v>8533</v>
      </c>
      <c r="F6598" s="24" t="s">
        <v>8534</v>
      </c>
      <c r="G6598" s="24" t="s">
        <v>31</v>
      </c>
      <c r="H6598" s="25" t="s">
        <v>8561</v>
      </c>
      <c r="I6598" s="46" t="e">
        <f>VLOOKUP(H6598,'合同高级查询数据-4月返'!A:A,1,FALSE)</f>
        <v>#N/A</v>
      </c>
      <c r="J6598" s="47" t="s">
        <v>33</v>
      </c>
      <c r="K6598" s="24" t="s">
        <v>8553</v>
      </c>
      <c r="L6598" s="109" t="s">
        <v>8562</v>
      </c>
      <c r="M6598" s="49" t="s">
        <v>8563</v>
      </c>
      <c r="N6598" s="50"/>
      <c r="O6598" s="22" t="s">
        <v>179</v>
      </c>
      <c r="P6598" s="52">
        <v>0</v>
      </c>
      <c r="Q6598" s="70">
        <v>0</v>
      </c>
      <c r="R6598" s="52">
        <f t="shared" si="193"/>
        <v>0</v>
      </c>
      <c r="S6598" s="47">
        <v>202304</v>
      </c>
      <c r="T6598" s="123" t="s">
        <v>8559</v>
      </c>
      <c r="U6598" s="22"/>
      <c r="V6598" s="72"/>
      <c r="W6598" s="72"/>
      <c r="X6598" s="50">
        <v>44958</v>
      </c>
      <c r="Y6598" s="50">
        <v>45322</v>
      </c>
    </row>
    <row r="6599" s="5" customFormat="1" customHeight="1" spans="1:25">
      <c r="A6599" s="21" t="s">
        <v>25</v>
      </c>
      <c r="B6599" s="22" t="s">
        <v>7422</v>
      </c>
      <c r="C6599" s="22" t="s">
        <v>238</v>
      </c>
      <c r="D6599" s="22" t="s">
        <v>7585</v>
      </c>
      <c r="E6599" s="23" t="s">
        <v>8533</v>
      </c>
      <c r="F6599" s="24" t="s">
        <v>8534</v>
      </c>
      <c r="G6599" s="24" t="s">
        <v>88</v>
      </c>
      <c r="H6599" s="25" t="s">
        <v>8561</v>
      </c>
      <c r="I6599" s="46" t="e">
        <f>VLOOKUP(H6599,'合同高级查询数据-4月返'!A:A,1,FALSE)</f>
        <v>#N/A</v>
      </c>
      <c r="J6599" s="47" t="s">
        <v>162</v>
      </c>
      <c r="K6599" s="24" t="s">
        <v>8553</v>
      </c>
      <c r="L6599" s="109" t="s">
        <v>8562</v>
      </c>
      <c r="M6599" s="49" t="s">
        <v>8563</v>
      </c>
      <c r="N6599" s="50">
        <v>44229</v>
      </c>
      <c r="O6599" s="22" t="s">
        <v>163</v>
      </c>
      <c r="P6599" s="52">
        <v>4000</v>
      </c>
      <c r="Q6599" s="70">
        <v>4</v>
      </c>
      <c r="R6599" s="52">
        <f t="shared" si="193"/>
        <v>16000</v>
      </c>
      <c r="S6599" s="47">
        <v>202304</v>
      </c>
      <c r="T6599" s="123" t="s">
        <v>8567</v>
      </c>
      <c r="U6599" s="22"/>
      <c r="V6599" s="72"/>
      <c r="W6599" s="72"/>
      <c r="X6599" s="50">
        <v>44958</v>
      </c>
      <c r="Y6599" s="50">
        <v>45322</v>
      </c>
    </row>
    <row r="6600" s="5" customFormat="1" customHeight="1" spans="1:25">
      <c r="A6600" s="21" t="s">
        <v>25</v>
      </c>
      <c r="B6600" s="22" t="s">
        <v>7422</v>
      </c>
      <c r="C6600" s="22" t="s">
        <v>238</v>
      </c>
      <c r="D6600" s="22" t="s">
        <v>7585</v>
      </c>
      <c r="E6600" s="23" t="s">
        <v>8533</v>
      </c>
      <c r="F6600" s="24" t="s">
        <v>8534</v>
      </c>
      <c r="G6600" s="24" t="s">
        <v>88</v>
      </c>
      <c r="H6600" s="25" t="s">
        <v>8561</v>
      </c>
      <c r="I6600" s="46" t="e">
        <f>VLOOKUP(H6600,'合同高级查询数据-4月返'!A:A,1,FALSE)</f>
        <v>#N/A</v>
      </c>
      <c r="J6600" s="47" t="s">
        <v>162</v>
      </c>
      <c r="K6600" s="24" t="s">
        <v>8553</v>
      </c>
      <c r="L6600" s="109" t="s">
        <v>8562</v>
      </c>
      <c r="M6600" s="49" t="s">
        <v>8563</v>
      </c>
      <c r="N6600" s="50">
        <v>44861</v>
      </c>
      <c r="O6600" s="22" t="s">
        <v>163</v>
      </c>
      <c r="P6600" s="52">
        <v>4000</v>
      </c>
      <c r="Q6600" s="70">
        <v>1</v>
      </c>
      <c r="R6600" s="52">
        <f t="shared" si="193"/>
        <v>4000</v>
      </c>
      <c r="S6600" s="47">
        <v>202304</v>
      </c>
      <c r="T6600" s="123" t="s">
        <v>8568</v>
      </c>
      <c r="U6600" s="22"/>
      <c r="V6600" s="72"/>
      <c r="W6600" s="72"/>
      <c r="X6600" s="50">
        <v>44958</v>
      </c>
      <c r="Y6600" s="50">
        <v>45322</v>
      </c>
    </row>
    <row r="6601" s="3" customFormat="1" customHeight="1" spans="1:25">
      <c r="A6601" s="11" t="s">
        <v>25</v>
      </c>
      <c r="B6601" s="35" t="s">
        <v>7422</v>
      </c>
      <c r="C6601" s="35" t="s">
        <v>196</v>
      </c>
      <c r="D6601" s="35" t="s">
        <v>7655</v>
      </c>
      <c r="E6601" s="13" t="s">
        <v>8533</v>
      </c>
      <c r="F6601" s="11" t="s">
        <v>8534</v>
      </c>
      <c r="G6601" s="11" t="s">
        <v>31</v>
      </c>
      <c r="H6601" s="110" t="s">
        <v>8569</v>
      </c>
      <c r="I6601" s="30" t="e">
        <f>VLOOKUP(H6601,'合同高级查询数据-4月返'!A:A,1,FALSE)</f>
        <v>#N/A</v>
      </c>
      <c r="J6601" s="31" t="s">
        <v>33</v>
      </c>
      <c r="K6601" s="11" t="s">
        <v>198</v>
      </c>
      <c r="L6601" s="32" t="s">
        <v>8570</v>
      </c>
      <c r="M6601" s="113" t="s">
        <v>8571</v>
      </c>
      <c r="N6601" s="34">
        <v>44441</v>
      </c>
      <c r="O6601" s="35" t="s">
        <v>37</v>
      </c>
      <c r="P6601" s="465">
        <v>0</v>
      </c>
      <c r="Q6601" s="459">
        <v>288</v>
      </c>
      <c r="R6601" s="465">
        <f t="shared" si="193"/>
        <v>0</v>
      </c>
      <c r="S6601" s="31">
        <v>202304</v>
      </c>
      <c r="T6601" s="60" t="s">
        <v>8572</v>
      </c>
      <c r="U6601" s="104"/>
      <c r="V6601" s="438"/>
      <c r="W6601" s="438"/>
      <c r="X6601" s="409"/>
      <c r="Y6601" s="409"/>
    </row>
    <row r="6602" s="3" customFormat="1" customHeight="1" spans="1:25">
      <c r="A6602" s="11" t="s">
        <v>25</v>
      </c>
      <c r="B6602" s="35" t="s">
        <v>7422</v>
      </c>
      <c r="C6602" s="35" t="s">
        <v>196</v>
      </c>
      <c r="D6602" s="35" t="s">
        <v>7655</v>
      </c>
      <c r="E6602" s="13" t="s">
        <v>8533</v>
      </c>
      <c r="F6602" s="11" t="s">
        <v>8534</v>
      </c>
      <c r="G6602" s="11" t="s">
        <v>31</v>
      </c>
      <c r="H6602" s="110" t="s">
        <v>8569</v>
      </c>
      <c r="I6602" s="30" t="e">
        <f>VLOOKUP(H6602,'合同高级查询数据-4月返'!A:A,1,FALSE)</f>
        <v>#N/A</v>
      </c>
      <c r="J6602" s="31" t="s">
        <v>33</v>
      </c>
      <c r="K6602" s="11" t="s">
        <v>198</v>
      </c>
      <c r="L6602" s="32" t="s">
        <v>8570</v>
      </c>
      <c r="M6602" s="113" t="s">
        <v>8571</v>
      </c>
      <c r="N6602" s="34"/>
      <c r="O6602" s="35" t="s">
        <v>179</v>
      </c>
      <c r="P6602" s="465">
        <v>0</v>
      </c>
      <c r="Q6602" s="459">
        <v>0</v>
      </c>
      <c r="R6602" s="465">
        <f t="shared" si="193"/>
        <v>0</v>
      </c>
      <c r="S6602" s="31">
        <v>202304</v>
      </c>
      <c r="T6602" s="60" t="s">
        <v>8332</v>
      </c>
      <c r="U6602" s="104"/>
      <c r="V6602" s="438"/>
      <c r="W6602" s="438"/>
      <c r="X6602" s="409"/>
      <c r="Y6602" s="409"/>
    </row>
    <row r="6603" s="3" customFormat="1" customHeight="1" spans="1:25">
      <c r="A6603" s="11" t="s">
        <v>25</v>
      </c>
      <c r="B6603" s="35" t="s">
        <v>7422</v>
      </c>
      <c r="C6603" s="35" t="s">
        <v>196</v>
      </c>
      <c r="D6603" s="35" t="s">
        <v>7655</v>
      </c>
      <c r="E6603" s="13" t="s">
        <v>8533</v>
      </c>
      <c r="F6603" s="11" t="s">
        <v>8534</v>
      </c>
      <c r="G6603" s="11" t="s">
        <v>88</v>
      </c>
      <c r="H6603" s="110" t="s">
        <v>8569</v>
      </c>
      <c r="I6603" s="30" t="e">
        <f>VLOOKUP(H6603,'合同高级查询数据-4月返'!A:A,1,FALSE)</f>
        <v>#N/A</v>
      </c>
      <c r="J6603" s="31" t="s">
        <v>162</v>
      </c>
      <c r="K6603" s="11" t="s">
        <v>198</v>
      </c>
      <c r="L6603" s="32" t="s">
        <v>8570</v>
      </c>
      <c r="M6603" s="113" t="s">
        <v>8571</v>
      </c>
      <c r="N6603" s="34">
        <v>44441</v>
      </c>
      <c r="O6603" s="35" t="s">
        <v>163</v>
      </c>
      <c r="P6603" s="465">
        <v>4000</v>
      </c>
      <c r="Q6603" s="459">
        <v>3</v>
      </c>
      <c r="R6603" s="465">
        <f t="shared" si="193"/>
        <v>12000</v>
      </c>
      <c r="S6603" s="31">
        <v>202304</v>
      </c>
      <c r="T6603" s="60" t="s">
        <v>8573</v>
      </c>
      <c r="U6603" s="104"/>
      <c r="V6603" s="438"/>
      <c r="W6603" s="438"/>
      <c r="X6603" s="409"/>
      <c r="Y6603" s="409"/>
    </row>
    <row r="6604" s="5" customFormat="1" customHeight="1" spans="1:25">
      <c r="A6604" s="24" t="s">
        <v>25</v>
      </c>
      <c r="B6604" s="22" t="s">
        <v>7422</v>
      </c>
      <c r="C6604" s="22" t="s">
        <v>39</v>
      </c>
      <c r="D6604" s="22" t="s">
        <v>7585</v>
      </c>
      <c r="E6604" s="23" t="s">
        <v>8533</v>
      </c>
      <c r="F6604" s="24" t="s">
        <v>8534</v>
      </c>
      <c r="G6604" s="24" t="s">
        <v>31</v>
      </c>
      <c r="H6604" s="25" t="s">
        <v>8574</v>
      </c>
      <c r="I6604" s="46" t="str">
        <f>VLOOKUP(H6604,'合同高级查询数据-4月返'!A:A,1,FALSE)</f>
        <v>182315IDC00137</v>
      </c>
      <c r="J6604" s="47" t="s">
        <v>33</v>
      </c>
      <c r="K6604" s="24" t="s">
        <v>8575</v>
      </c>
      <c r="L6604" s="109" t="s">
        <v>8576</v>
      </c>
      <c r="M6604" s="49" t="s">
        <v>8577</v>
      </c>
      <c r="N6604" s="50">
        <v>44470</v>
      </c>
      <c r="O6604" s="22" t="s">
        <v>37</v>
      </c>
      <c r="P6604" s="52">
        <v>0</v>
      </c>
      <c r="Q6604" s="70">
        <v>320</v>
      </c>
      <c r="R6604" s="52">
        <f t="shared" si="193"/>
        <v>0</v>
      </c>
      <c r="S6604" s="47">
        <v>202304</v>
      </c>
      <c r="T6604" s="123" t="s">
        <v>8578</v>
      </c>
      <c r="U6604" s="97"/>
      <c r="V6604" s="453"/>
      <c r="W6604" s="453"/>
      <c r="X6604" s="50">
        <v>45017</v>
      </c>
      <c r="Y6604" s="50">
        <v>45382</v>
      </c>
    </row>
    <row r="6605" s="5" customFormat="1" customHeight="1" spans="1:25">
      <c r="A6605" s="24" t="s">
        <v>25</v>
      </c>
      <c r="B6605" s="22" t="s">
        <v>7422</v>
      </c>
      <c r="C6605" s="22" t="s">
        <v>39</v>
      </c>
      <c r="D6605" s="22" t="s">
        <v>7585</v>
      </c>
      <c r="E6605" s="23" t="s">
        <v>8533</v>
      </c>
      <c r="F6605" s="24" t="s">
        <v>8534</v>
      </c>
      <c r="G6605" s="24" t="s">
        <v>31</v>
      </c>
      <c r="H6605" s="25" t="s">
        <v>8574</v>
      </c>
      <c r="I6605" s="46" t="str">
        <f>VLOOKUP(H6605,'合同高级查询数据-4月返'!A:A,1,FALSE)</f>
        <v>182315IDC00137</v>
      </c>
      <c r="J6605" s="47" t="s">
        <v>33</v>
      </c>
      <c r="K6605" s="24" t="s">
        <v>8575</v>
      </c>
      <c r="L6605" s="109" t="s">
        <v>8576</v>
      </c>
      <c r="M6605" s="49" t="s">
        <v>8577</v>
      </c>
      <c r="N6605" s="50"/>
      <c r="O6605" s="22" t="s">
        <v>179</v>
      </c>
      <c r="P6605" s="52">
        <v>0</v>
      </c>
      <c r="Q6605" s="70">
        <v>0</v>
      </c>
      <c r="R6605" s="52">
        <f t="shared" si="193"/>
        <v>0</v>
      </c>
      <c r="S6605" s="47">
        <v>202304</v>
      </c>
      <c r="T6605" s="123" t="s">
        <v>8579</v>
      </c>
      <c r="U6605" s="97"/>
      <c r="V6605" s="453"/>
      <c r="W6605" s="453"/>
      <c r="X6605" s="50">
        <v>45017</v>
      </c>
      <c r="Y6605" s="50">
        <v>45382</v>
      </c>
    </row>
    <row r="6606" s="5" customFormat="1" customHeight="1" spans="1:25">
      <c r="A6606" s="24" t="s">
        <v>25</v>
      </c>
      <c r="B6606" s="22" t="s">
        <v>7422</v>
      </c>
      <c r="C6606" s="22" t="s">
        <v>39</v>
      </c>
      <c r="D6606" s="22" t="s">
        <v>7585</v>
      </c>
      <c r="E6606" s="23" t="s">
        <v>8533</v>
      </c>
      <c r="F6606" s="24" t="s">
        <v>8534</v>
      </c>
      <c r="G6606" s="24" t="s">
        <v>88</v>
      </c>
      <c r="H6606" s="25" t="s">
        <v>8574</v>
      </c>
      <c r="I6606" s="46" t="str">
        <f>VLOOKUP(H6606,'合同高级查询数据-4月返'!A:A,1,FALSE)</f>
        <v>182315IDC00137</v>
      </c>
      <c r="J6606" s="47" t="s">
        <v>162</v>
      </c>
      <c r="K6606" s="24" t="s">
        <v>8575</v>
      </c>
      <c r="L6606" s="109" t="s">
        <v>8576</v>
      </c>
      <c r="M6606" s="49" t="s">
        <v>8577</v>
      </c>
      <c r="N6606" s="50">
        <v>44470</v>
      </c>
      <c r="O6606" s="22" t="s">
        <v>163</v>
      </c>
      <c r="P6606" s="52">
        <v>3800</v>
      </c>
      <c r="Q6606" s="70">
        <v>4</v>
      </c>
      <c r="R6606" s="52">
        <f t="shared" si="193"/>
        <v>15200</v>
      </c>
      <c r="S6606" s="47">
        <v>202304</v>
      </c>
      <c r="T6606" s="123" t="s">
        <v>8580</v>
      </c>
      <c r="U6606" s="97"/>
      <c r="V6606" s="453"/>
      <c r="W6606" s="453"/>
      <c r="X6606" s="50">
        <v>45017</v>
      </c>
      <c r="Y6606" s="50">
        <v>45382</v>
      </c>
    </row>
    <row r="6607" s="5" customFormat="1" customHeight="1" spans="1:25">
      <c r="A6607" s="24" t="s">
        <v>109</v>
      </c>
      <c r="B6607" s="22" t="s">
        <v>7422</v>
      </c>
      <c r="C6607" s="22" t="s">
        <v>512</v>
      </c>
      <c r="D6607" s="22" t="s">
        <v>7655</v>
      </c>
      <c r="E6607" s="23" t="s">
        <v>8581</v>
      </c>
      <c r="F6607" s="24" t="s">
        <v>8582</v>
      </c>
      <c r="G6607" s="24" t="s">
        <v>31</v>
      </c>
      <c r="H6607" s="25" t="s">
        <v>8583</v>
      </c>
      <c r="I6607" s="46" t="e">
        <f>VLOOKUP(H6607,'合同高级查询数据-4月返'!A:A,1,FALSE)</f>
        <v>#N/A</v>
      </c>
      <c r="J6607" s="47" t="s">
        <v>33</v>
      </c>
      <c r="K6607" s="24" t="s">
        <v>516</v>
      </c>
      <c r="L6607" s="109" t="s">
        <v>8584</v>
      </c>
      <c r="M6607" s="49" t="s">
        <v>8585</v>
      </c>
      <c r="N6607" s="50">
        <v>44234</v>
      </c>
      <c r="O6607" s="22" t="s">
        <v>37</v>
      </c>
      <c r="P6607" s="52">
        <v>0</v>
      </c>
      <c r="Q6607" s="70">
        <v>640</v>
      </c>
      <c r="R6607" s="52">
        <f t="shared" si="193"/>
        <v>0</v>
      </c>
      <c r="S6607" s="47">
        <v>202304</v>
      </c>
      <c r="T6607" s="123" t="s">
        <v>8586</v>
      </c>
      <c r="U6607" s="97"/>
      <c r="V6607" s="453"/>
      <c r="W6607" s="453"/>
      <c r="X6607" s="50">
        <v>44234</v>
      </c>
      <c r="Y6607" s="50">
        <v>44592</v>
      </c>
    </row>
    <row r="6608" s="5" customFormat="1" customHeight="1" spans="1:25">
      <c r="A6608" s="24" t="s">
        <v>109</v>
      </c>
      <c r="B6608" s="22" t="s">
        <v>7422</v>
      </c>
      <c r="C6608" s="22" t="s">
        <v>512</v>
      </c>
      <c r="D6608" s="22" t="s">
        <v>7655</v>
      </c>
      <c r="E6608" s="23" t="s">
        <v>8581</v>
      </c>
      <c r="F6608" s="24" t="s">
        <v>8582</v>
      </c>
      <c r="G6608" s="24" t="s">
        <v>31</v>
      </c>
      <c r="H6608" s="25" t="s">
        <v>8583</v>
      </c>
      <c r="I6608" s="46" t="e">
        <f>VLOOKUP(H6608,'合同高级查询数据-4月返'!A:A,1,FALSE)</f>
        <v>#N/A</v>
      </c>
      <c r="J6608" s="47" t="s">
        <v>33</v>
      </c>
      <c r="K6608" s="24" t="s">
        <v>516</v>
      </c>
      <c r="L6608" s="109" t="s">
        <v>8584</v>
      </c>
      <c r="M6608" s="49" t="s">
        <v>8585</v>
      </c>
      <c r="N6608" s="50"/>
      <c r="O6608" s="22" t="s">
        <v>179</v>
      </c>
      <c r="P6608" s="52">
        <v>0</v>
      </c>
      <c r="Q6608" s="70">
        <v>0</v>
      </c>
      <c r="R6608" s="52">
        <f t="shared" si="193"/>
        <v>0</v>
      </c>
      <c r="S6608" s="47">
        <v>202304</v>
      </c>
      <c r="T6608" s="123" t="s">
        <v>8587</v>
      </c>
      <c r="U6608" s="97"/>
      <c r="V6608" s="453"/>
      <c r="W6608" s="453"/>
      <c r="X6608" s="50">
        <v>44234</v>
      </c>
      <c r="Y6608" s="50">
        <v>44592</v>
      </c>
    </row>
    <row r="6609" s="5" customFormat="1" customHeight="1" spans="1:25">
      <c r="A6609" s="24" t="s">
        <v>109</v>
      </c>
      <c r="B6609" s="22" t="s">
        <v>7422</v>
      </c>
      <c r="C6609" s="22" t="s">
        <v>512</v>
      </c>
      <c r="D6609" s="22" t="s">
        <v>7655</v>
      </c>
      <c r="E6609" s="23" t="s">
        <v>8581</v>
      </c>
      <c r="F6609" s="24" t="s">
        <v>8582</v>
      </c>
      <c r="G6609" s="24" t="s">
        <v>88</v>
      </c>
      <c r="H6609" s="25" t="s">
        <v>8583</v>
      </c>
      <c r="I6609" s="46" t="e">
        <f>VLOOKUP(H6609,'合同高级查询数据-4月返'!A:A,1,FALSE)</f>
        <v>#N/A</v>
      </c>
      <c r="J6609" s="47" t="s">
        <v>162</v>
      </c>
      <c r="K6609" s="24" t="s">
        <v>516</v>
      </c>
      <c r="L6609" s="109" t="s">
        <v>8584</v>
      </c>
      <c r="M6609" s="49" t="s">
        <v>8585</v>
      </c>
      <c r="N6609" s="50">
        <v>44234</v>
      </c>
      <c r="O6609" s="22" t="s">
        <v>92</v>
      </c>
      <c r="P6609" s="52">
        <v>5000</v>
      </c>
      <c r="Q6609" s="70">
        <v>4</v>
      </c>
      <c r="R6609" s="52">
        <f t="shared" si="193"/>
        <v>20000</v>
      </c>
      <c r="S6609" s="47">
        <v>202304</v>
      </c>
      <c r="T6609" s="123" t="s">
        <v>8588</v>
      </c>
      <c r="U6609" s="97"/>
      <c r="V6609" s="453"/>
      <c r="W6609" s="453"/>
      <c r="X6609" s="50">
        <v>44234</v>
      </c>
      <c r="Y6609" s="50">
        <v>44592</v>
      </c>
    </row>
    <row r="6610" s="5" customFormat="1" customHeight="1" spans="1:25">
      <c r="A6610" s="24" t="s">
        <v>109</v>
      </c>
      <c r="B6610" s="22" t="s">
        <v>7422</v>
      </c>
      <c r="C6610" s="22" t="s">
        <v>512</v>
      </c>
      <c r="D6610" s="22" t="s">
        <v>7655</v>
      </c>
      <c r="E6610" s="23" t="s">
        <v>8581</v>
      </c>
      <c r="F6610" s="24" t="s">
        <v>8582</v>
      </c>
      <c r="G6610" s="24" t="s">
        <v>88</v>
      </c>
      <c r="H6610" s="25" t="s">
        <v>8583</v>
      </c>
      <c r="I6610" s="46" t="e">
        <f>VLOOKUP(H6610,'合同高级查询数据-4月返'!A:A,1,FALSE)</f>
        <v>#N/A</v>
      </c>
      <c r="J6610" s="47" t="s">
        <v>162</v>
      </c>
      <c r="K6610" s="24" t="s">
        <v>516</v>
      </c>
      <c r="L6610" s="109" t="s">
        <v>8584</v>
      </c>
      <c r="M6610" s="49" t="s">
        <v>8585</v>
      </c>
      <c r="N6610" s="50">
        <v>44469</v>
      </c>
      <c r="O6610" s="22" t="s">
        <v>92</v>
      </c>
      <c r="P6610" s="52">
        <v>5000</v>
      </c>
      <c r="Q6610" s="70">
        <v>-4</v>
      </c>
      <c r="R6610" s="52">
        <f t="shared" si="193"/>
        <v>-20000</v>
      </c>
      <c r="S6610" s="47">
        <v>202304</v>
      </c>
      <c r="T6610" s="123" t="s">
        <v>8589</v>
      </c>
      <c r="U6610" s="97"/>
      <c r="V6610" s="453"/>
      <c r="W6610" s="453"/>
      <c r="X6610" s="50">
        <v>44234</v>
      </c>
      <c r="Y6610" s="50">
        <v>44592</v>
      </c>
    </row>
    <row r="6611" s="5" customFormat="1" customHeight="1" spans="1:25">
      <c r="A6611" s="24" t="s">
        <v>109</v>
      </c>
      <c r="B6611" s="22" t="s">
        <v>7422</v>
      </c>
      <c r="C6611" s="22" t="s">
        <v>512</v>
      </c>
      <c r="D6611" s="22" t="s">
        <v>7655</v>
      </c>
      <c r="E6611" s="23" t="s">
        <v>8581</v>
      </c>
      <c r="F6611" s="24" t="s">
        <v>8582</v>
      </c>
      <c r="G6611" s="24" t="s">
        <v>88</v>
      </c>
      <c r="H6611" s="25" t="s">
        <v>8590</v>
      </c>
      <c r="I6611" s="46" t="e">
        <f>VLOOKUP(H6611,'合同高级查询数据-4月返'!A:A,1,FALSE)</f>
        <v>#N/A</v>
      </c>
      <c r="J6611" s="47" t="s">
        <v>162</v>
      </c>
      <c r="K6611" s="24" t="s">
        <v>516</v>
      </c>
      <c r="L6611" s="109" t="s">
        <v>8584</v>
      </c>
      <c r="M6611" s="49" t="s">
        <v>8585</v>
      </c>
      <c r="N6611" s="50">
        <v>44287</v>
      </c>
      <c r="O6611" s="22" t="s">
        <v>92</v>
      </c>
      <c r="P6611" s="52">
        <v>5000</v>
      </c>
      <c r="Q6611" s="70">
        <v>1</v>
      </c>
      <c r="R6611" s="52">
        <f t="shared" si="193"/>
        <v>5000</v>
      </c>
      <c r="S6611" s="47">
        <v>202304</v>
      </c>
      <c r="T6611" s="123" t="s">
        <v>8591</v>
      </c>
      <c r="U6611" s="97"/>
      <c r="V6611" s="453"/>
      <c r="W6611" s="453"/>
      <c r="X6611" s="50">
        <v>44287</v>
      </c>
      <c r="Y6611" s="50">
        <v>44592</v>
      </c>
    </row>
    <row r="6612" s="5" customFormat="1" customHeight="1" spans="1:25">
      <c r="A6612" s="24" t="s">
        <v>109</v>
      </c>
      <c r="B6612" s="22" t="s">
        <v>7422</v>
      </c>
      <c r="C6612" s="22" t="s">
        <v>512</v>
      </c>
      <c r="D6612" s="22" t="s">
        <v>7655</v>
      </c>
      <c r="E6612" s="23" t="s">
        <v>8581</v>
      </c>
      <c r="F6612" s="24" t="s">
        <v>8582</v>
      </c>
      <c r="G6612" s="24" t="s">
        <v>88</v>
      </c>
      <c r="H6612" s="25" t="s">
        <v>8590</v>
      </c>
      <c r="I6612" s="46" t="e">
        <f>VLOOKUP(H6612,'合同高级查询数据-4月返'!A:A,1,FALSE)</f>
        <v>#N/A</v>
      </c>
      <c r="J6612" s="47" t="s">
        <v>162</v>
      </c>
      <c r="K6612" s="24" t="s">
        <v>516</v>
      </c>
      <c r="L6612" s="109" t="s">
        <v>8584</v>
      </c>
      <c r="M6612" s="49" t="s">
        <v>8585</v>
      </c>
      <c r="N6612" s="50">
        <v>44469</v>
      </c>
      <c r="O6612" s="22" t="s">
        <v>92</v>
      </c>
      <c r="P6612" s="52">
        <v>5000</v>
      </c>
      <c r="Q6612" s="70">
        <v>-1</v>
      </c>
      <c r="R6612" s="52">
        <f t="shared" si="193"/>
        <v>-5000</v>
      </c>
      <c r="S6612" s="47">
        <v>202304</v>
      </c>
      <c r="T6612" s="123" t="s">
        <v>8592</v>
      </c>
      <c r="U6612" s="97"/>
      <c r="V6612" s="453"/>
      <c r="W6612" s="453"/>
      <c r="X6612" s="50">
        <v>44287</v>
      </c>
      <c r="Y6612" s="50">
        <v>44592</v>
      </c>
    </row>
    <row r="6613" s="5" customFormat="1" customHeight="1" spans="1:25">
      <c r="A6613" s="24" t="s">
        <v>25</v>
      </c>
      <c r="B6613" s="24" t="s">
        <v>7422</v>
      </c>
      <c r="C6613" s="24" t="s">
        <v>39</v>
      </c>
      <c r="D6613" s="22" t="s">
        <v>7585</v>
      </c>
      <c r="E6613" s="23" t="s">
        <v>8593</v>
      </c>
      <c r="F6613" s="24" t="s">
        <v>8594</v>
      </c>
      <c r="G6613" s="24" t="s">
        <v>31</v>
      </c>
      <c r="H6613" s="25" t="s">
        <v>8595</v>
      </c>
      <c r="I6613" s="46" t="e">
        <f>VLOOKUP(H6613,'合同高级查询数据-4月返'!A:A,1,FALSE)</f>
        <v>#N/A</v>
      </c>
      <c r="J6613" s="47" t="s">
        <v>4997</v>
      </c>
      <c r="K6613" s="24" t="s">
        <v>7634</v>
      </c>
      <c r="L6613" s="109" t="s">
        <v>8596</v>
      </c>
      <c r="M6613" s="49" t="s">
        <v>8597</v>
      </c>
      <c r="N6613" s="493">
        <v>43325</v>
      </c>
      <c r="O6613" s="514" t="s">
        <v>37</v>
      </c>
      <c r="P6613" s="52">
        <v>0</v>
      </c>
      <c r="Q6613" s="70">
        <v>320</v>
      </c>
      <c r="R6613" s="52">
        <f t="shared" si="193"/>
        <v>0</v>
      </c>
      <c r="S6613" s="47">
        <v>202304</v>
      </c>
      <c r="T6613" s="123" t="s">
        <v>8598</v>
      </c>
      <c r="U6613" s="48"/>
      <c r="V6613" s="48"/>
      <c r="W6613" s="48"/>
      <c r="X6613" s="493">
        <v>44075</v>
      </c>
      <c r="Y6613" s="493">
        <v>44439</v>
      </c>
    </row>
    <row r="6614" s="5" customFormat="1" customHeight="1" spans="1:25">
      <c r="A6614" s="24" t="s">
        <v>25</v>
      </c>
      <c r="B6614" s="24" t="s">
        <v>7422</v>
      </c>
      <c r="C6614" s="24" t="s">
        <v>39</v>
      </c>
      <c r="D6614" s="22" t="s">
        <v>7585</v>
      </c>
      <c r="E6614" s="23" t="s">
        <v>8593</v>
      </c>
      <c r="F6614" s="24" t="s">
        <v>8594</v>
      </c>
      <c r="G6614" s="24" t="s">
        <v>88</v>
      </c>
      <c r="H6614" s="25" t="s">
        <v>8595</v>
      </c>
      <c r="I6614" s="46" t="e">
        <f>VLOOKUP(H6614,'合同高级查询数据-4月返'!A:A,1,FALSE)</f>
        <v>#N/A</v>
      </c>
      <c r="J6614" s="47" t="s">
        <v>162</v>
      </c>
      <c r="K6614" s="24" t="s">
        <v>7634</v>
      </c>
      <c r="L6614" s="109" t="s">
        <v>8596</v>
      </c>
      <c r="M6614" s="49" t="s">
        <v>8597</v>
      </c>
      <c r="N6614" s="493">
        <v>43325</v>
      </c>
      <c r="O6614" s="493" t="s">
        <v>163</v>
      </c>
      <c r="P6614" s="52">
        <v>0</v>
      </c>
      <c r="Q6614" s="70">
        <v>4</v>
      </c>
      <c r="R6614" s="52">
        <f t="shared" si="193"/>
        <v>0</v>
      </c>
      <c r="S6614" s="47">
        <v>202304</v>
      </c>
      <c r="T6614" s="123" t="s">
        <v>8599</v>
      </c>
      <c r="U6614" s="48"/>
      <c r="V6614" s="48"/>
      <c r="W6614" s="48"/>
      <c r="X6614" s="493">
        <v>44075</v>
      </c>
      <c r="Y6614" s="493">
        <v>44439</v>
      </c>
    </row>
    <row r="6615" s="5" customFormat="1" customHeight="1" spans="1:25">
      <c r="A6615" s="24" t="s">
        <v>25</v>
      </c>
      <c r="B6615" s="24" t="s">
        <v>7422</v>
      </c>
      <c r="C6615" s="24" t="s">
        <v>39</v>
      </c>
      <c r="D6615" s="22" t="s">
        <v>7585</v>
      </c>
      <c r="E6615" s="23" t="s">
        <v>8593</v>
      </c>
      <c r="F6615" s="24" t="s">
        <v>8594</v>
      </c>
      <c r="G6615" s="24" t="s">
        <v>88</v>
      </c>
      <c r="H6615" s="25" t="s">
        <v>8595</v>
      </c>
      <c r="I6615" s="46" t="e">
        <f>VLOOKUP(H6615,'合同高级查询数据-4月返'!A:A,1,FALSE)</f>
        <v>#N/A</v>
      </c>
      <c r="J6615" s="47" t="s">
        <v>162</v>
      </c>
      <c r="K6615" s="24" t="s">
        <v>7634</v>
      </c>
      <c r="L6615" s="109" t="s">
        <v>8596</v>
      </c>
      <c r="M6615" s="49" t="s">
        <v>8597</v>
      </c>
      <c r="N6615" s="493">
        <v>44439</v>
      </c>
      <c r="O6615" s="493" t="s">
        <v>163</v>
      </c>
      <c r="P6615" s="52">
        <v>0</v>
      </c>
      <c r="Q6615" s="70">
        <v>-4</v>
      </c>
      <c r="R6615" s="52">
        <f t="shared" si="193"/>
        <v>0</v>
      </c>
      <c r="S6615" s="47">
        <v>202304</v>
      </c>
      <c r="T6615" s="123" t="s">
        <v>8600</v>
      </c>
      <c r="U6615" s="48"/>
      <c r="V6615" s="48"/>
      <c r="W6615" s="48"/>
      <c r="X6615" s="493">
        <v>44075</v>
      </c>
      <c r="Y6615" s="493">
        <v>44439</v>
      </c>
    </row>
    <row r="6616" s="5" customFormat="1" customHeight="1" spans="1:25">
      <c r="A6616" s="24" t="s">
        <v>109</v>
      </c>
      <c r="B6616" s="22" t="s">
        <v>7422</v>
      </c>
      <c r="C6616" s="22" t="s">
        <v>3938</v>
      </c>
      <c r="D6616" s="22" t="s">
        <v>7655</v>
      </c>
      <c r="E6616" s="23" t="s">
        <v>8601</v>
      </c>
      <c r="F6616" s="24" t="s">
        <v>8602</v>
      </c>
      <c r="G6616" s="24" t="s">
        <v>31</v>
      </c>
      <c r="H6616" s="25" t="s">
        <v>8603</v>
      </c>
      <c r="I6616" s="46" t="e">
        <f>VLOOKUP(H6616,'合同高级查询数据-4月返'!A:A,1,FALSE)</f>
        <v>#N/A</v>
      </c>
      <c r="J6616" s="47" t="s">
        <v>33</v>
      </c>
      <c r="K6616" s="24" t="s">
        <v>8604</v>
      </c>
      <c r="L6616" s="109" t="s">
        <v>8605</v>
      </c>
      <c r="M6616" s="49" t="s">
        <v>8606</v>
      </c>
      <c r="N6616" s="50">
        <v>44197</v>
      </c>
      <c r="O6616" s="22" t="s">
        <v>37</v>
      </c>
      <c r="P6616" s="52">
        <v>0</v>
      </c>
      <c r="Q6616" s="70">
        <v>320</v>
      </c>
      <c r="R6616" s="52">
        <f t="shared" si="193"/>
        <v>0</v>
      </c>
      <c r="S6616" s="47">
        <v>202304</v>
      </c>
      <c r="T6616" s="123" t="s">
        <v>8607</v>
      </c>
      <c r="U6616" s="97"/>
      <c r="V6616" s="453"/>
      <c r="W6616" s="475"/>
      <c r="X6616" s="50">
        <v>44743</v>
      </c>
      <c r="Y6616" s="50">
        <v>45107</v>
      </c>
    </row>
    <row r="6617" s="5" customFormat="1" customHeight="1" spans="1:25">
      <c r="A6617" s="24" t="s">
        <v>109</v>
      </c>
      <c r="B6617" s="22" t="s">
        <v>7422</v>
      </c>
      <c r="C6617" s="22" t="s">
        <v>3938</v>
      </c>
      <c r="D6617" s="22" t="s">
        <v>7655</v>
      </c>
      <c r="E6617" s="23" t="s">
        <v>8601</v>
      </c>
      <c r="F6617" s="24" t="s">
        <v>8602</v>
      </c>
      <c r="G6617" s="24" t="s">
        <v>31</v>
      </c>
      <c r="H6617" s="25" t="s">
        <v>8603</v>
      </c>
      <c r="I6617" s="46" t="e">
        <f>VLOOKUP(H6617,'合同高级查询数据-4月返'!A:A,1,FALSE)</f>
        <v>#N/A</v>
      </c>
      <c r="J6617" s="47" t="s">
        <v>33</v>
      </c>
      <c r="K6617" s="24" t="s">
        <v>8604</v>
      </c>
      <c r="L6617" s="109" t="s">
        <v>8605</v>
      </c>
      <c r="M6617" s="49" t="s">
        <v>8606</v>
      </c>
      <c r="N6617" s="50"/>
      <c r="O6617" s="22" t="s">
        <v>179</v>
      </c>
      <c r="P6617" s="52">
        <v>0</v>
      </c>
      <c r="Q6617" s="70">
        <v>0</v>
      </c>
      <c r="R6617" s="52">
        <f t="shared" si="193"/>
        <v>0</v>
      </c>
      <c r="S6617" s="47">
        <v>202304</v>
      </c>
      <c r="T6617" s="123" t="s">
        <v>7787</v>
      </c>
      <c r="U6617" s="97"/>
      <c r="V6617" s="453"/>
      <c r="W6617" s="453"/>
      <c r="X6617" s="50">
        <v>44743</v>
      </c>
      <c r="Y6617" s="50">
        <v>45107</v>
      </c>
    </row>
    <row r="6618" s="5" customFormat="1" customHeight="1" spans="1:25">
      <c r="A6618" s="24" t="s">
        <v>109</v>
      </c>
      <c r="B6618" s="22" t="s">
        <v>7422</v>
      </c>
      <c r="C6618" s="22" t="s">
        <v>3938</v>
      </c>
      <c r="D6618" s="22" t="s">
        <v>7655</v>
      </c>
      <c r="E6618" s="23" t="s">
        <v>8601</v>
      </c>
      <c r="F6618" s="24" t="s">
        <v>8602</v>
      </c>
      <c r="G6618" s="24" t="s">
        <v>88</v>
      </c>
      <c r="H6618" s="25" t="s">
        <v>8603</v>
      </c>
      <c r="I6618" s="46" t="e">
        <f>VLOOKUP(H6618,'合同高级查询数据-4月返'!A:A,1,FALSE)</f>
        <v>#N/A</v>
      </c>
      <c r="J6618" s="47" t="s">
        <v>162</v>
      </c>
      <c r="K6618" s="24" t="s">
        <v>8604</v>
      </c>
      <c r="L6618" s="109" t="s">
        <v>8605</v>
      </c>
      <c r="M6618" s="49" t="s">
        <v>8606</v>
      </c>
      <c r="N6618" s="50">
        <v>44197</v>
      </c>
      <c r="O6618" s="22" t="s">
        <v>163</v>
      </c>
      <c r="P6618" s="52">
        <v>5000</v>
      </c>
      <c r="Q6618" s="70">
        <v>6</v>
      </c>
      <c r="R6618" s="52">
        <f t="shared" si="193"/>
        <v>30000</v>
      </c>
      <c r="S6618" s="47">
        <v>202304</v>
      </c>
      <c r="T6618" s="123" t="s">
        <v>8608</v>
      </c>
      <c r="U6618" s="97"/>
      <c r="V6618" s="453"/>
      <c r="W6618" s="453"/>
      <c r="X6618" s="50">
        <v>44743</v>
      </c>
      <c r="Y6618" s="50">
        <v>45107</v>
      </c>
    </row>
    <row r="6619" s="5" customFormat="1" customHeight="1" spans="1:25">
      <c r="A6619" s="24" t="s">
        <v>109</v>
      </c>
      <c r="B6619" s="22" t="s">
        <v>7422</v>
      </c>
      <c r="C6619" s="22" t="s">
        <v>3938</v>
      </c>
      <c r="D6619" s="22" t="s">
        <v>7655</v>
      </c>
      <c r="E6619" s="23" t="s">
        <v>8601</v>
      </c>
      <c r="F6619" s="24" t="s">
        <v>8602</v>
      </c>
      <c r="G6619" s="24" t="s">
        <v>31</v>
      </c>
      <c r="H6619" s="25" t="s">
        <v>8609</v>
      </c>
      <c r="I6619" s="46" t="e">
        <f>VLOOKUP(H6619,'合同高级查询数据-4月返'!A:A,1,FALSE)</f>
        <v>#N/A</v>
      </c>
      <c r="J6619" s="47" t="s">
        <v>33</v>
      </c>
      <c r="K6619" s="24" t="s">
        <v>8604</v>
      </c>
      <c r="L6619" s="109" t="s">
        <v>8610</v>
      </c>
      <c r="M6619" s="49" t="s">
        <v>8611</v>
      </c>
      <c r="N6619" s="50">
        <v>44440</v>
      </c>
      <c r="O6619" s="22" t="s">
        <v>37</v>
      </c>
      <c r="P6619" s="52">
        <v>0</v>
      </c>
      <c r="Q6619" s="70">
        <v>320</v>
      </c>
      <c r="R6619" s="52">
        <f t="shared" si="193"/>
        <v>0</v>
      </c>
      <c r="S6619" s="47">
        <v>202304</v>
      </c>
      <c r="T6619" s="123" t="s">
        <v>8612</v>
      </c>
      <c r="U6619" s="97"/>
      <c r="V6619" s="453"/>
      <c r="W6619" s="453"/>
      <c r="X6619" s="50">
        <v>44805</v>
      </c>
      <c r="Y6619" s="73">
        <v>45107</v>
      </c>
    </row>
    <row r="6620" s="5" customFormat="1" customHeight="1" spans="1:25">
      <c r="A6620" s="24" t="s">
        <v>109</v>
      </c>
      <c r="B6620" s="22" t="s">
        <v>7422</v>
      </c>
      <c r="C6620" s="22" t="s">
        <v>3938</v>
      </c>
      <c r="D6620" s="22" t="s">
        <v>7655</v>
      </c>
      <c r="E6620" s="23" t="s">
        <v>8601</v>
      </c>
      <c r="F6620" s="24" t="s">
        <v>8602</v>
      </c>
      <c r="G6620" s="24" t="s">
        <v>88</v>
      </c>
      <c r="H6620" s="25" t="s">
        <v>8609</v>
      </c>
      <c r="I6620" s="46" t="e">
        <f>VLOOKUP(H6620,'合同高级查询数据-4月返'!A:A,1,FALSE)</f>
        <v>#N/A</v>
      </c>
      <c r="J6620" s="47" t="s">
        <v>162</v>
      </c>
      <c r="K6620" s="24" t="s">
        <v>8604</v>
      </c>
      <c r="L6620" s="109" t="s">
        <v>8610</v>
      </c>
      <c r="M6620" s="49" t="s">
        <v>8611</v>
      </c>
      <c r="N6620" s="50">
        <v>44440</v>
      </c>
      <c r="O6620" s="22" t="s">
        <v>163</v>
      </c>
      <c r="P6620" s="52">
        <v>5000</v>
      </c>
      <c r="Q6620" s="70">
        <v>3</v>
      </c>
      <c r="R6620" s="52">
        <f t="shared" si="193"/>
        <v>15000</v>
      </c>
      <c r="S6620" s="47">
        <v>202304</v>
      </c>
      <c r="T6620" s="123" t="s">
        <v>8613</v>
      </c>
      <c r="U6620" s="97"/>
      <c r="V6620" s="453"/>
      <c r="W6620" s="453"/>
      <c r="X6620" s="50">
        <v>44805</v>
      </c>
      <c r="Y6620" s="73">
        <v>45107</v>
      </c>
    </row>
    <row r="6621" s="5" customFormat="1" customHeight="1" spans="1:25">
      <c r="A6621" s="24" t="s">
        <v>109</v>
      </c>
      <c r="B6621" s="22" t="s">
        <v>7422</v>
      </c>
      <c r="C6621" s="22" t="s">
        <v>3938</v>
      </c>
      <c r="D6621" s="22" t="s">
        <v>7655</v>
      </c>
      <c r="E6621" s="23" t="s">
        <v>8601</v>
      </c>
      <c r="F6621" s="24" t="s">
        <v>8602</v>
      </c>
      <c r="G6621" s="24" t="s">
        <v>88</v>
      </c>
      <c r="H6621" s="25" t="s">
        <v>8609</v>
      </c>
      <c r="I6621" s="46" t="e">
        <f>VLOOKUP(H6621,'合同高级查询数据-4月返'!A:A,1,FALSE)</f>
        <v>#N/A</v>
      </c>
      <c r="J6621" s="47" t="s">
        <v>162</v>
      </c>
      <c r="K6621" s="24" t="s">
        <v>8604</v>
      </c>
      <c r="L6621" s="109" t="s">
        <v>8610</v>
      </c>
      <c r="M6621" s="49" t="s">
        <v>8611</v>
      </c>
      <c r="N6621" s="50">
        <v>45046</v>
      </c>
      <c r="O6621" s="22" t="s">
        <v>163</v>
      </c>
      <c r="P6621" s="52">
        <v>5000</v>
      </c>
      <c r="Q6621" s="70">
        <v>-3</v>
      </c>
      <c r="R6621" s="52">
        <v>0</v>
      </c>
      <c r="S6621" s="47">
        <v>202304</v>
      </c>
      <c r="T6621" s="496" t="s">
        <v>8614</v>
      </c>
      <c r="U6621" s="97"/>
      <c r="V6621" s="453"/>
      <c r="W6621" s="453"/>
      <c r="X6621" s="50">
        <v>44805</v>
      </c>
      <c r="Y6621" s="73">
        <v>45107</v>
      </c>
    </row>
    <row r="6622" s="5" customFormat="1" customHeight="1" spans="1:25">
      <c r="A6622" s="24" t="s">
        <v>109</v>
      </c>
      <c r="B6622" s="22" t="s">
        <v>7422</v>
      </c>
      <c r="C6622" s="22" t="s">
        <v>3938</v>
      </c>
      <c r="D6622" s="22" t="s">
        <v>7655</v>
      </c>
      <c r="E6622" s="23" t="s">
        <v>8601</v>
      </c>
      <c r="F6622" s="24" t="s">
        <v>8602</v>
      </c>
      <c r="G6622" s="24" t="s">
        <v>31</v>
      </c>
      <c r="H6622" s="25" t="s">
        <v>8615</v>
      </c>
      <c r="I6622" s="46" t="e">
        <f>VLOOKUP(H6622,'合同高级查询数据-4月返'!A:A,1,FALSE)</f>
        <v>#N/A</v>
      </c>
      <c r="J6622" s="47" t="s">
        <v>33</v>
      </c>
      <c r="K6622" s="24" t="s">
        <v>3943</v>
      </c>
      <c r="L6622" s="109" t="s">
        <v>8616</v>
      </c>
      <c r="M6622" s="49" t="s">
        <v>8617</v>
      </c>
      <c r="N6622" s="50">
        <v>44562</v>
      </c>
      <c r="O6622" s="22" t="s">
        <v>37</v>
      </c>
      <c r="P6622" s="52">
        <v>0</v>
      </c>
      <c r="Q6622" s="70">
        <v>128</v>
      </c>
      <c r="R6622" s="52">
        <f t="shared" ref="R6622:R6685" si="194">ROUND(P6622*Q6622,2)</f>
        <v>0</v>
      </c>
      <c r="S6622" s="47">
        <v>202304</v>
      </c>
      <c r="T6622" s="123" t="s">
        <v>8618</v>
      </c>
      <c r="U6622" s="97"/>
      <c r="V6622" s="475"/>
      <c r="W6622" s="453"/>
      <c r="X6622" s="50">
        <v>44562</v>
      </c>
      <c r="Y6622" s="50">
        <v>44985</v>
      </c>
    </row>
    <row r="6623" s="5" customFormat="1" customHeight="1" spans="1:25">
      <c r="A6623" s="24" t="s">
        <v>109</v>
      </c>
      <c r="B6623" s="22" t="s">
        <v>7422</v>
      </c>
      <c r="C6623" s="22" t="s">
        <v>3938</v>
      </c>
      <c r="D6623" s="22" t="s">
        <v>7655</v>
      </c>
      <c r="E6623" s="23" t="s">
        <v>8601</v>
      </c>
      <c r="F6623" s="24" t="s">
        <v>8602</v>
      </c>
      <c r="G6623" s="24" t="s">
        <v>31</v>
      </c>
      <c r="H6623" s="25" t="s">
        <v>8615</v>
      </c>
      <c r="I6623" s="46" t="e">
        <f>VLOOKUP(H6623,'合同高级查询数据-4月返'!A:A,1,FALSE)</f>
        <v>#N/A</v>
      </c>
      <c r="J6623" s="47" t="s">
        <v>33</v>
      </c>
      <c r="K6623" s="24" t="s">
        <v>3943</v>
      </c>
      <c r="L6623" s="109" t="s">
        <v>8616</v>
      </c>
      <c r="M6623" s="49" t="s">
        <v>8617</v>
      </c>
      <c r="N6623" s="50">
        <v>44562</v>
      </c>
      <c r="O6623" s="22" t="s">
        <v>37</v>
      </c>
      <c r="P6623" s="52">
        <v>0</v>
      </c>
      <c r="Q6623" s="70">
        <v>-128</v>
      </c>
      <c r="R6623" s="52">
        <f t="shared" si="194"/>
        <v>0</v>
      </c>
      <c r="S6623" s="47">
        <v>202304</v>
      </c>
      <c r="T6623" s="123" t="s">
        <v>8618</v>
      </c>
      <c r="U6623" s="97"/>
      <c r="V6623" s="475"/>
      <c r="W6623" s="453"/>
      <c r="X6623" s="50">
        <v>44562</v>
      </c>
      <c r="Y6623" s="50">
        <v>44985</v>
      </c>
    </row>
    <row r="6624" s="5" customFormat="1" customHeight="1" spans="1:25">
      <c r="A6624" s="24" t="s">
        <v>109</v>
      </c>
      <c r="B6624" s="22" t="s">
        <v>7422</v>
      </c>
      <c r="C6624" s="22" t="s">
        <v>3938</v>
      </c>
      <c r="D6624" s="22" t="s">
        <v>7655</v>
      </c>
      <c r="E6624" s="23" t="s">
        <v>8601</v>
      </c>
      <c r="F6624" s="24" t="s">
        <v>8602</v>
      </c>
      <c r="G6624" s="24" t="s">
        <v>31</v>
      </c>
      <c r="H6624" s="25" t="s">
        <v>8615</v>
      </c>
      <c r="I6624" s="46" t="e">
        <f>VLOOKUP(H6624,'合同高级查询数据-4月返'!A:A,1,FALSE)</f>
        <v>#N/A</v>
      </c>
      <c r="J6624" s="47" t="s">
        <v>33</v>
      </c>
      <c r="K6624" s="24" t="s">
        <v>3943</v>
      </c>
      <c r="L6624" s="109" t="s">
        <v>8616</v>
      </c>
      <c r="M6624" s="49" t="s">
        <v>8617</v>
      </c>
      <c r="N6624" s="50">
        <v>44562</v>
      </c>
      <c r="O6624" s="22" t="s">
        <v>37</v>
      </c>
      <c r="P6624" s="52">
        <v>0</v>
      </c>
      <c r="Q6624" s="70">
        <v>16</v>
      </c>
      <c r="R6624" s="52">
        <f t="shared" si="194"/>
        <v>0</v>
      </c>
      <c r="S6624" s="47">
        <v>202304</v>
      </c>
      <c r="T6624" s="123" t="s">
        <v>8618</v>
      </c>
      <c r="U6624" s="97"/>
      <c r="V6624" s="453"/>
      <c r="W6624" s="453"/>
      <c r="X6624" s="50">
        <v>44562</v>
      </c>
      <c r="Y6624" s="50">
        <v>44985</v>
      </c>
    </row>
    <row r="6625" s="5" customFormat="1" customHeight="1" spans="1:25">
      <c r="A6625" s="24" t="s">
        <v>109</v>
      </c>
      <c r="B6625" s="22" t="s">
        <v>7422</v>
      </c>
      <c r="C6625" s="22" t="s">
        <v>3938</v>
      </c>
      <c r="D6625" s="22" t="s">
        <v>7655</v>
      </c>
      <c r="E6625" s="23" t="s">
        <v>8601</v>
      </c>
      <c r="F6625" s="24" t="s">
        <v>8602</v>
      </c>
      <c r="G6625" s="24" t="s">
        <v>31</v>
      </c>
      <c r="H6625" s="25" t="s">
        <v>8615</v>
      </c>
      <c r="I6625" s="46" t="e">
        <f>VLOOKUP(H6625,'合同高级查询数据-4月返'!A:A,1,FALSE)</f>
        <v>#N/A</v>
      </c>
      <c r="J6625" s="47" t="s">
        <v>33</v>
      </c>
      <c r="K6625" s="24" t="s">
        <v>3943</v>
      </c>
      <c r="L6625" s="109" t="s">
        <v>8616</v>
      </c>
      <c r="M6625" s="49" t="s">
        <v>8617</v>
      </c>
      <c r="N6625" s="50">
        <v>44562</v>
      </c>
      <c r="O6625" s="22" t="s">
        <v>37</v>
      </c>
      <c r="P6625" s="52">
        <v>100</v>
      </c>
      <c r="Q6625" s="70">
        <v>112</v>
      </c>
      <c r="R6625" s="52">
        <f t="shared" si="194"/>
        <v>11200</v>
      </c>
      <c r="S6625" s="47">
        <v>202304</v>
      </c>
      <c r="T6625" s="123" t="s">
        <v>8618</v>
      </c>
      <c r="U6625" s="97"/>
      <c r="V6625" s="453"/>
      <c r="W6625" s="453"/>
      <c r="X6625" s="50">
        <v>44562</v>
      </c>
      <c r="Y6625" s="50">
        <v>44985</v>
      </c>
    </row>
    <row r="6626" s="5" customFormat="1" customHeight="1" spans="1:25">
      <c r="A6626" s="24" t="s">
        <v>109</v>
      </c>
      <c r="B6626" s="22" t="s">
        <v>7422</v>
      </c>
      <c r="C6626" s="22" t="s">
        <v>3938</v>
      </c>
      <c r="D6626" s="22" t="s">
        <v>7655</v>
      </c>
      <c r="E6626" s="23" t="s">
        <v>8601</v>
      </c>
      <c r="F6626" s="24" t="s">
        <v>8602</v>
      </c>
      <c r="G6626" s="24" t="s">
        <v>31</v>
      </c>
      <c r="H6626" s="25" t="s">
        <v>8615</v>
      </c>
      <c r="I6626" s="46" t="e">
        <f>VLOOKUP(H6626,'合同高级查询数据-4月返'!A:A,1,FALSE)</f>
        <v>#N/A</v>
      </c>
      <c r="J6626" s="47" t="s">
        <v>33</v>
      </c>
      <c r="K6626" s="24" t="s">
        <v>3943</v>
      </c>
      <c r="L6626" s="109" t="s">
        <v>8616</v>
      </c>
      <c r="M6626" s="49" t="s">
        <v>8617</v>
      </c>
      <c r="N6626" s="50">
        <v>44985</v>
      </c>
      <c r="O6626" s="22" t="s">
        <v>37</v>
      </c>
      <c r="P6626" s="52">
        <v>0</v>
      </c>
      <c r="Q6626" s="70">
        <v>-16</v>
      </c>
      <c r="R6626" s="52">
        <f t="shared" si="194"/>
        <v>0</v>
      </c>
      <c r="S6626" s="47">
        <v>202304</v>
      </c>
      <c r="T6626" s="123" t="s">
        <v>8619</v>
      </c>
      <c r="U6626" s="97"/>
      <c r="V6626" s="453"/>
      <c r="W6626" s="453"/>
      <c r="X6626" s="50">
        <v>44562</v>
      </c>
      <c r="Y6626" s="50">
        <v>44985</v>
      </c>
    </row>
    <row r="6627" s="5" customFormat="1" customHeight="1" spans="1:25">
      <c r="A6627" s="24" t="s">
        <v>109</v>
      </c>
      <c r="B6627" s="22" t="s">
        <v>7422</v>
      </c>
      <c r="C6627" s="22" t="s">
        <v>3938</v>
      </c>
      <c r="D6627" s="22" t="s">
        <v>7655</v>
      </c>
      <c r="E6627" s="23" t="s">
        <v>8601</v>
      </c>
      <c r="F6627" s="24" t="s">
        <v>8602</v>
      </c>
      <c r="G6627" s="24" t="s">
        <v>31</v>
      </c>
      <c r="H6627" s="25" t="s">
        <v>8615</v>
      </c>
      <c r="I6627" s="46" t="e">
        <f>VLOOKUP(H6627,'合同高级查询数据-4月返'!A:A,1,FALSE)</f>
        <v>#N/A</v>
      </c>
      <c r="J6627" s="47" t="s">
        <v>33</v>
      </c>
      <c r="K6627" s="24" t="s">
        <v>3943</v>
      </c>
      <c r="L6627" s="109" t="s">
        <v>8616</v>
      </c>
      <c r="M6627" s="49" t="s">
        <v>8617</v>
      </c>
      <c r="N6627" s="50">
        <v>44985</v>
      </c>
      <c r="O6627" s="22" t="s">
        <v>37</v>
      </c>
      <c r="P6627" s="52">
        <v>100</v>
      </c>
      <c r="Q6627" s="70">
        <v>-112</v>
      </c>
      <c r="R6627" s="52">
        <f t="shared" si="194"/>
        <v>-11200</v>
      </c>
      <c r="S6627" s="47">
        <v>202304</v>
      </c>
      <c r="T6627" s="123" t="s">
        <v>8619</v>
      </c>
      <c r="U6627" s="97"/>
      <c r="V6627" s="453"/>
      <c r="W6627" s="453"/>
      <c r="X6627" s="50">
        <v>44562</v>
      </c>
      <c r="Y6627" s="50">
        <v>44985</v>
      </c>
    </row>
    <row r="6628" s="5" customFormat="1" customHeight="1" spans="1:25">
      <c r="A6628" s="24" t="s">
        <v>109</v>
      </c>
      <c r="B6628" s="22" t="s">
        <v>7422</v>
      </c>
      <c r="C6628" s="22" t="s">
        <v>3938</v>
      </c>
      <c r="D6628" s="22" t="s">
        <v>7655</v>
      </c>
      <c r="E6628" s="23" t="s">
        <v>8601</v>
      </c>
      <c r="F6628" s="24" t="s">
        <v>8602</v>
      </c>
      <c r="G6628" s="24" t="s">
        <v>88</v>
      </c>
      <c r="H6628" s="25" t="s">
        <v>8615</v>
      </c>
      <c r="I6628" s="46" t="e">
        <f>VLOOKUP(H6628,'合同高级查询数据-4月返'!A:A,1,FALSE)</f>
        <v>#N/A</v>
      </c>
      <c r="J6628" s="47" t="s">
        <v>162</v>
      </c>
      <c r="K6628" s="24" t="s">
        <v>3943</v>
      </c>
      <c r="L6628" s="109" t="s">
        <v>8616</v>
      </c>
      <c r="M6628" s="49" t="s">
        <v>8617</v>
      </c>
      <c r="N6628" s="50">
        <v>44562</v>
      </c>
      <c r="O6628" s="22" t="s">
        <v>163</v>
      </c>
      <c r="P6628" s="52">
        <v>5000</v>
      </c>
      <c r="Q6628" s="70">
        <v>3</v>
      </c>
      <c r="R6628" s="52">
        <f t="shared" si="194"/>
        <v>15000</v>
      </c>
      <c r="S6628" s="47">
        <v>202304</v>
      </c>
      <c r="T6628" s="123" t="s">
        <v>8620</v>
      </c>
      <c r="U6628" s="97"/>
      <c r="V6628" s="453"/>
      <c r="W6628" s="453"/>
      <c r="X6628" s="50">
        <v>44562</v>
      </c>
      <c r="Y6628" s="50">
        <v>44985</v>
      </c>
    </row>
    <row r="6629" s="5" customFormat="1" customHeight="1" spans="1:25">
      <c r="A6629" s="24" t="s">
        <v>109</v>
      </c>
      <c r="B6629" s="22" t="s">
        <v>7422</v>
      </c>
      <c r="C6629" s="22" t="s">
        <v>3938</v>
      </c>
      <c r="D6629" s="22" t="s">
        <v>7655</v>
      </c>
      <c r="E6629" s="23" t="s">
        <v>8601</v>
      </c>
      <c r="F6629" s="24" t="s">
        <v>8602</v>
      </c>
      <c r="G6629" s="24" t="s">
        <v>88</v>
      </c>
      <c r="H6629" s="25" t="s">
        <v>8615</v>
      </c>
      <c r="I6629" s="46" t="e">
        <f>VLOOKUP(H6629,'合同高级查询数据-4月返'!A:A,1,FALSE)</f>
        <v>#N/A</v>
      </c>
      <c r="J6629" s="47" t="s">
        <v>162</v>
      </c>
      <c r="K6629" s="24" t="s">
        <v>3943</v>
      </c>
      <c r="L6629" s="109" t="s">
        <v>8616</v>
      </c>
      <c r="M6629" s="49" t="s">
        <v>8617</v>
      </c>
      <c r="N6629" s="50">
        <v>44742</v>
      </c>
      <c r="O6629" s="22" t="s">
        <v>163</v>
      </c>
      <c r="P6629" s="52">
        <v>5000</v>
      </c>
      <c r="Q6629" s="70">
        <v>-1</v>
      </c>
      <c r="R6629" s="52">
        <f t="shared" si="194"/>
        <v>-5000</v>
      </c>
      <c r="S6629" s="47">
        <v>202304</v>
      </c>
      <c r="T6629" s="123" t="s">
        <v>8621</v>
      </c>
      <c r="U6629" s="97"/>
      <c r="V6629" s="453"/>
      <c r="W6629" s="453"/>
      <c r="X6629" s="50">
        <v>44562</v>
      </c>
      <c r="Y6629" s="50">
        <v>44985</v>
      </c>
    </row>
    <row r="6630" s="5" customFormat="1" customHeight="1" spans="1:25">
      <c r="A6630" s="24" t="s">
        <v>109</v>
      </c>
      <c r="B6630" s="22" t="s">
        <v>7422</v>
      </c>
      <c r="C6630" s="22" t="s">
        <v>3938</v>
      </c>
      <c r="D6630" s="22" t="s">
        <v>7655</v>
      </c>
      <c r="E6630" s="23" t="s">
        <v>8601</v>
      </c>
      <c r="F6630" s="24" t="s">
        <v>8602</v>
      </c>
      <c r="G6630" s="24" t="s">
        <v>88</v>
      </c>
      <c r="H6630" s="25" t="s">
        <v>8615</v>
      </c>
      <c r="I6630" s="46" t="e">
        <f>VLOOKUP(H6630,'合同高级查询数据-4月返'!A:A,1,FALSE)</f>
        <v>#N/A</v>
      </c>
      <c r="J6630" s="47" t="s">
        <v>162</v>
      </c>
      <c r="K6630" s="24" t="s">
        <v>3943</v>
      </c>
      <c r="L6630" s="109" t="s">
        <v>8616</v>
      </c>
      <c r="M6630" s="49" t="s">
        <v>8617</v>
      </c>
      <c r="N6630" s="50">
        <v>44985</v>
      </c>
      <c r="O6630" s="22" t="s">
        <v>163</v>
      </c>
      <c r="P6630" s="52">
        <v>5000</v>
      </c>
      <c r="Q6630" s="70">
        <v>-2</v>
      </c>
      <c r="R6630" s="52">
        <f t="shared" si="194"/>
        <v>-10000</v>
      </c>
      <c r="S6630" s="47">
        <v>202304</v>
      </c>
      <c r="T6630" s="123" t="s">
        <v>8622</v>
      </c>
      <c r="U6630" s="97"/>
      <c r="V6630" s="453"/>
      <c r="W6630" s="453"/>
      <c r="X6630" s="50">
        <v>44562</v>
      </c>
      <c r="Y6630" s="50">
        <v>44985</v>
      </c>
    </row>
    <row r="6631" s="3" customFormat="1" customHeight="1" spans="1:25">
      <c r="A6631" s="11" t="s">
        <v>152</v>
      </c>
      <c r="B6631" s="11" t="s">
        <v>7422</v>
      </c>
      <c r="C6631" s="11" t="s">
        <v>50</v>
      </c>
      <c r="D6631" s="35" t="s">
        <v>7655</v>
      </c>
      <c r="E6631" s="13" t="s">
        <v>8623</v>
      </c>
      <c r="F6631" s="11" t="s">
        <v>8624</v>
      </c>
      <c r="G6631" s="11" t="s">
        <v>31</v>
      </c>
      <c r="H6631" s="110" t="s">
        <v>8625</v>
      </c>
      <c r="I6631" s="30" t="e">
        <f>VLOOKUP(H6631,'合同高级查询数据-4月返'!A:A,1,FALSE)</f>
        <v>#N/A</v>
      </c>
      <c r="J6631" s="31" t="s">
        <v>33</v>
      </c>
      <c r="K6631" s="11" t="s">
        <v>51</v>
      </c>
      <c r="L6631" s="32" t="s">
        <v>8626</v>
      </c>
      <c r="M6631" s="113" t="s">
        <v>8627</v>
      </c>
      <c r="N6631" s="193">
        <v>43617</v>
      </c>
      <c r="O6631" s="11" t="s">
        <v>37</v>
      </c>
      <c r="P6631" s="465">
        <v>0</v>
      </c>
      <c r="Q6631" s="459">
        <v>128</v>
      </c>
      <c r="R6631" s="465">
        <f t="shared" si="194"/>
        <v>0</v>
      </c>
      <c r="S6631" s="31">
        <v>202304</v>
      </c>
      <c r="T6631" s="60" t="s">
        <v>8628</v>
      </c>
      <c r="U6631" s="411"/>
      <c r="V6631" s="411"/>
      <c r="W6631" s="411"/>
      <c r="X6631" s="34"/>
      <c r="Y6631" s="34"/>
    </row>
    <row r="6632" s="3" customFormat="1" customHeight="1" spans="1:25">
      <c r="A6632" s="11" t="s">
        <v>152</v>
      </c>
      <c r="B6632" s="11" t="s">
        <v>7422</v>
      </c>
      <c r="C6632" s="11" t="s">
        <v>50</v>
      </c>
      <c r="D6632" s="35" t="s">
        <v>7655</v>
      </c>
      <c r="E6632" s="13" t="s">
        <v>8623</v>
      </c>
      <c r="F6632" s="11" t="s">
        <v>8624</v>
      </c>
      <c r="G6632" s="11" t="s">
        <v>31</v>
      </c>
      <c r="H6632" s="110" t="s">
        <v>8625</v>
      </c>
      <c r="I6632" s="30" t="e">
        <f>VLOOKUP(H6632,'合同高级查询数据-4月返'!A:A,1,FALSE)</f>
        <v>#N/A</v>
      </c>
      <c r="J6632" s="31" t="s">
        <v>33</v>
      </c>
      <c r="K6632" s="11" t="s">
        <v>51</v>
      </c>
      <c r="L6632" s="32" t="s">
        <v>8626</v>
      </c>
      <c r="M6632" s="113" t="s">
        <v>8627</v>
      </c>
      <c r="N6632" s="193">
        <v>43617</v>
      </c>
      <c r="O6632" s="11" t="s">
        <v>37</v>
      </c>
      <c r="P6632" s="465">
        <v>50</v>
      </c>
      <c r="Q6632" s="459">
        <v>32</v>
      </c>
      <c r="R6632" s="465">
        <f t="shared" si="194"/>
        <v>1600</v>
      </c>
      <c r="S6632" s="31">
        <v>202304</v>
      </c>
      <c r="T6632" s="60" t="s">
        <v>8629</v>
      </c>
      <c r="U6632" s="411"/>
      <c r="V6632" s="411"/>
      <c r="W6632" s="411"/>
      <c r="X6632" s="34"/>
      <c r="Y6632" s="34"/>
    </row>
    <row r="6633" s="3" customFormat="1" customHeight="1" spans="1:25">
      <c r="A6633" s="11" t="s">
        <v>152</v>
      </c>
      <c r="B6633" s="11" t="s">
        <v>7422</v>
      </c>
      <c r="C6633" s="11" t="s">
        <v>50</v>
      </c>
      <c r="D6633" s="35" t="s">
        <v>7655</v>
      </c>
      <c r="E6633" s="13" t="s">
        <v>8623</v>
      </c>
      <c r="F6633" s="11" t="s">
        <v>8624</v>
      </c>
      <c r="G6633" s="11" t="s">
        <v>31</v>
      </c>
      <c r="H6633" s="110" t="s">
        <v>8625</v>
      </c>
      <c r="I6633" s="30" t="e">
        <f>VLOOKUP(H6633,'合同高级查询数据-4月返'!A:A,1,FALSE)</f>
        <v>#N/A</v>
      </c>
      <c r="J6633" s="31" t="s">
        <v>33</v>
      </c>
      <c r="K6633" s="11" t="s">
        <v>51</v>
      </c>
      <c r="L6633" s="32" t="s">
        <v>8626</v>
      </c>
      <c r="M6633" s="113" t="s">
        <v>8627</v>
      </c>
      <c r="N6633" s="193"/>
      <c r="O6633" s="11" t="s">
        <v>179</v>
      </c>
      <c r="P6633" s="465">
        <v>0</v>
      </c>
      <c r="Q6633" s="459">
        <v>0</v>
      </c>
      <c r="R6633" s="465">
        <f t="shared" si="194"/>
        <v>0</v>
      </c>
      <c r="S6633" s="31">
        <v>202304</v>
      </c>
      <c r="T6633" s="60" t="s">
        <v>8630</v>
      </c>
      <c r="U6633" s="411"/>
      <c r="V6633" s="411"/>
      <c r="W6633" s="411"/>
      <c r="X6633" s="34"/>
      <c r="Y6633" s="34"/>
    </row>
    <row r="6634" s="3" customFormat="1" customHeight="1" spans="1:25">
      <c r="A6634" s="11" t="s">
        <v>152</v>
      </c>
      <c r="B6634" s="11" t="s">
        <v>7422</v>
      </c>
      <c r="C6634" s="11" t="s">
        <v>50</v>
      </c>
      <c r="D6634" s="35" t="s">
        <v>7655</v>
      </c>
      <c r="E6634" s="13" t="s">
        <v>8623</v>
      </c>
      <c r="F6634" s="11" t="s">
        <v>8624</v>
      </c>
      <c r="G6634" s="11" t="s">
        <v>88</v>
      </c>
      <c r="H6634" s="110" t="s">
        <v>8625</v>
      </c>
      <c r="I6634" s="30" t="e">
        <f>VLOOKUP(H6634,'合同高级查询数据-4月返'!A:A,1,FALSE)</f>
        <v>#N/A</v>
      </c>
      <c r="J6634" s="31" t="s">
        <v>162</v>
      </c>
      <c r="K6634" s="11" t="s">
        <v>51</v>
      </c>
      <c r="L6634" s="32" t="s">
        <v>8626</v>
      </c>
      <c r="M6634" s="113" t="s">
        <v>8627</v>
      </c>
      <c r="N6634" s="193">
        <v>43617</v>
      </c>
      <c r="O6634" s="466" t="s">
        <v>92</v>
      </c>
      <c r="P6634" s="465">
        <v>0</v>
      </c>
      <c r="Q6634" s="459">
        <v>4</v>
      </c>
      <c r="R6634" s="465">
        <f t="shared" si="194"/>
        <v>0</v>
      </c>
      <c r="S6634" s="31">
        <v>202304</v>
      </c>
      <c r="T6634" s="60" t="s">
        <v>8631</v>
      </c>
      <c r="U6634" s="411"/>
      <c r="V6634" s="411"/>
      <c r="W6634" s="411"/>
      <c r="X6634" s="34"/>
      <c r="Y6634" s="34"/>
    </row>
    <row r="6635" s="5" customFormat="1" customHeight="1" spans="1:25">
      <c r="A6635" s="24" t="s">
        <v>152</v>
      </c>
      <c r="B6635" s="24" t="s">
        <v>7422</v>
      </c>
      <c r="C6635" s="24" t="s">
        <v>6083</v>
      </c>
      <c r="D6635" s="22" t="s">
        <v>7585</v>
      </c>
      <c r="E6635" s="23" t="s">
        <v>8632</v>
      </c>
      <c r="F6635" s="24" t="s">
        <v>8633</v>
      </c>
      <c r="G6635" s="24" t="s">
        <v>31</v>
      </c>
      <c r="H6635" s="25" t="s">
        <v>8634</v>
      </c>
      <c r="I6635" s="46" t="e">
        <f>VLOOKUP(H6635,'合同高级查询数据-4月返'!A:A,1,FALSE)</f>
        <v>#N/A</v>
      </c>
      <c r="J6635" s="47" t="s">
        <v>33</v>
      </c>
      <c r="K6635" s="24" t="s">
        <v>7903</v>
      </c>
      <c r="L6635" s="109" t="s">
        <v>8635</v>
      </c>
      <c r="M6635" s="49" t="s">
        <v>8636</v>
      </c>
      <c r="N6635" s="50">
        <v>43262</v>
      </c>
      <c r="O6635" s="50" t="s">
        <v>37</v>
      </c>
      <c r="P6635" s="52">
        <v>0</v>
      </c>
      <c r="Q6635" s="70">
        <v>288</v>
      </c>
      <c r="R6635" s="52">
        <f t="shared" si="194"/>
        <v>0</v>
      </c>
      <c r="S6635" s="47">
        <v>202304</v>
      </c>
      <c r="T6635" s="123" t="s">
        <v>8637</v>
      </c>
      <c r="U6635" s="48"/>
      <c r="V6635" s="48"/>
      <c r="W6635" s="48"/>
      <c r="X6635" s="50">
        <v>44348</v>
      </c>
      <c r="Y6635" s="50">
        <v>44712</v>
      </c>
    </row>
    <row r="6636" s="5" customFormat="1" customHeight="1" spans="1:25">
      <c r="A6636" s="24" t="s">
        <v>152</v>
      </c>
      <c r="B6636" s="24" t="s">
        <v>7422</v>
      </c>
      <c r="C6636" s="24" t="s">
        <v>6083</v>
      </c>
      <c r="D6636" s="22" t="s">
        <v>7585</v>
      </c>
      <c r="E6636" s="23" t="s">
        <v>8632</v>
      </c>
      <c r="F6636" s="24" t="s">
        <v>8633</v>
      </c>
      <c r="G6636" s="24" t="s">
        <v>31</v>
      </c>
      <c r="H6636" s="25" t="s">
        <v>8634</v>
      </c>
      <c r="I6636" s="46" t="e">
        <f>VLOOKUP(H6636,'合同高级查询数据-4月返'!A:A,1,FALSE)</f>
        <v>#N/A</v>
      </c>
      <c r="J6636" s="47" t="s">
        <v>33</v>
      </c>
      <c r="K6636" s="24" t="s">
        <v>7903</v>
      </c>
      <c r="L6636" s="109" t="s">
        <v>8635</v>
      </c>
      <c r="M6636" s="49" t="s">
        <v>8636</v>
      </c>
      <c r="N6636" s="50">
        <v>44561</v>
      </c>
      <c r="O6636" s="50" t="s">
        <v>37</v>
      </c>
      <c r="P6636" s="52">
        <v>0</v>
      </c>
      <c r="Q6636" s="70">
        <v>-288</v>
      </c>
      <c r="R6636" s="52">
        <f t="shared" si="194"/>
        <v>0</v>
      </c>
      <c r="S6636" s="47">
        <v>202304</v>
      </c>
      <c r="T6636" s="123" t="s">
        <v>7758</v>
      </c>
      <c r="U6636" s="48"/>
      <c r="V6636" s="48"/>
      <c r="W6636" s="48"/>
      <c r="X6636" s="50">
        <v>44348</v>
      </c>
      <c r="Y6636" s="50">
        <v>44712</v>
      </c>
    </row>
    <row r="6637" s="5" customFormat="1" customHeight="1" spans="1:25">
      <c r="A6637" s="24" t="s">
        <v>152</v>
      </c>
      <c r="B6637" s="24" t="s">
        <v>7422</v>
      </c>
      <c r="C6637" s="24" t="s">
        <v>6083</v>
      </c>
      <c r="D6637" s="22" t="s">
        <v>7585</v>
      </c>
      <c r="E6637" s="23" t="s">
        <v>8632</v>
      </c>
      <c r="F6637" s="24" t="s">
        <v>8633</v>
      </c>
      <c r="G6637" s="24" t="s">
        <v>88</v>
      </c>
      <c r="H6637" s="25" t="s">
        <v>8634</v>
      </c>
      <c r="I6637" s="46" t="e">
        <f>VLOOKUP(H6637,'合同高级查询数据-4月返'!A:A,1,FALSE)</f>
        <v>#N/A</v>
      </c>
      <c r="J6637" s="47" t="s">
        <v>162</v>
      </c>
      <c r="K6637" s="24" t="s">
        <v>7903</v>
      </c>
      <c r="L6637" s="109" t="s">
        <v>8635</v>
      </c>
      <c r="M6637" s="49" t="s">
        <v>8636</v>
      </c>
      <c r="N6637" s="50">
        <v>43262</v>
      </c>
      <c r="O6637" s="50" t="s">
        <v>92</v>
      </c>
      <c r="P6637" s="52">
        <v>3500</v>
      </c>
      <c r="Q6637" s="70">
        <v>4</v>
      </c>
      <c r="R6637" s="52">
        <f t="shared" si="194"/>
        <v>14000</v>
      </c>
      <c r="S6637" s="47">
        <v>202304</v>
      </c>
      <c r="T6637" s="123" t="s">
        <v>8638</v>
      </c>
      <c r="U6637" s="48"/>
      <c r="V6637" s="48"/>
      <c r="W6637" s="48"/>
      <c r="X6637" s="50">
        <v>44348</v>
      </c>
      <c r="Y6637" s="50">
        <v>44712</v>
      </c>
    </row>
    <row r="6638" s="5" customFormat="1" customHeight="1" spans="1:25">
      <c r="A6638" s="24" t="s">
        <v>152</v>
      </c>
      <c r="B6638" s="24" t="s">
        <v>7422</v>
      </c>
      <c r="C6638" s="24" t="s">
        <v>6083</v>
      </c>
      <c r="D6638" s="22" t="s">
        <v>7585</v>
      </c>
      <c r="E6638" s="23" t="s">
        <v>8632</v>
      </c>
      <c r="F6638" s="24" t="s">
        <v>8633</v>
      </c>
      <c r="G6638" s="24" t="s">
        <v>88</v>
      </c>
      <c r="H6638" s="25" t="s">
        <v>8634</v>
      </c>
      <c r="I6638" s="46" t="e">
        <f>VLOOKUP(H6638,'合同高级查询数据-4月返'!A:A,1,FALSE)</f>
        <v>#N/A</v>
      </c>
      <c r="J6638" s="47" t="s">
        <v>162</v>
      </c>
      <c r="K6638" s="24" t="s">
        <v>7903</v>
      </c>
      <c r="L6638" s="109" t="s">
        <v>8635</v>
      </c>
      <c r="M6638" s="49" t="s">
        <v>8636</v>
      </c>
      <c r="N6638" s="50">
        <v>44561</v>
      </c>
      <c r="O6638" s="50" t="s">
        <v>92</v>
      </c>
      <c r="P6638" s="52">
        <v>3500</v>
      </c>
      <c r="Q6638" s="70">
        <v>-4</v>
      </c>
      <c r="R6638" s="52">
        <f t="shared" si="194"/>
        <v>-14000</v>
      </c>
      <c r="S6638" s="47">
        <v>202304</v>
      </c>
      <c r="T6638" s="123" t="s">
        <v>8639</v>
      </c>
      <c r="U6638" s="48"/>
      <c r="V6638" s="48"/>
      <c r="W6638" s="48"/>
      <c r="X6638" s="50">
        <v>44348</v>
      </c>
      <c r="Y6638" s="50">
        <v>44712</v>
      </c>
    </row>
    <row r="6639" s="5" customFormat="1" customHeight="1" spans="1:25">
      <c r="A6639" s="24" t="s">
        <v>109</v>
      </c>
      <c r="B6639" s="24" t="s">
        <v>7422</v>
      </c>
      <c r="C6639" s="24" t="s">
        <v>44</v>
      </c>
      <c r="D6639" s="22" t="s">
        <v>7585</v>
      </c>
      <c r="E6639" s="23" t="s">
        <v>8640</v>
      </c>
      <c r="F6639" s="24" t="s">
        <v>8641</v>
      </c>
      <c r="G6639" s="24" t="s">
        <v>31</v>
      </c>
      <c r="H6639" s="25" t="s">
        <v>8642</v>
      </c>
      <c r="I6639" s="46" t="e">
        <f>VLOOKUP(H6639,'合同高级查询数据-4月返'!A:A,1,FALSE)</f>
        <v>#N/A</v>
      </c>
      <c r="J6639" s="47" t="s">
        <v>33</v>
      </c>
      <c r="K6639" s="24" t="s">
        <v>8643</v>
      </c>
      <c r="L6639" s="109" t="s">
        <v>8644</v>
      </c>
      <c r="M6639" s="49" t="s">
        <v>8645</v>
      </c>
      <c r="N6639" s="493" t="s">
        <v>1329</v>
      </c>
      <c r="O6639" s="493" t="s">
        <v>37</v>
      </c>
      <c r="P6639" s="52">
        <v>0</v>
      </c>
      <c r="Q6639" s="70">
        <v>288</v>
      </c>
      <c r="R6639" s="52">
        <f t="shared" si="194"/>
        <v>0</v>
      </c>
      <c r="S6639" s="47">
        <v>202304</v>
      </c>
      <c r="T6639" s="123" t="s">
        <v>8646</v>
      </c>
      <c r="U6639" s="48"/>
      <c r="V6639" s="48"/>
      <c r="W6639" s="48"/>
      <c r="X6639" s="493">
        <v>44197</v>
      </c>
      <c r="Y6639" s="493">
        <v>44561</v>
      </c>
    </row>
    <row r="6640" s="5" customFormat="1" customHeight="1" spans="1:25">
      <c r="A6640" s="24" t="s">
        <v>109</v>
      </c>
      <c r="B6640" s="24" t="s">
        <v>7422</v>
      </c>
      <c r="C6640" s="24" t="s">
        <v>44</v>
      </c>
      <c r="D6640" s="22" t="s">
        <v>7585</v>
      </c>
      <c r="E6640" s="23" t="s">
        <v>8640</v>
      </c>
      <c r="F6640" s="24" t="s">
        <v>8641</v>
      </c>
      <c r="G6640" s="24" t="s">
        <v>31</v>
      </c>
      <c r="H6640" s="25" t="s">
        <v>8642</v>
      </c>
      <c r="I6640" s="46" t="e">
        <f>VLOOKUP(H6640,'合同高级查询数据-4月返'!A:A,1,FALSE)</f>
        <v>#N/A</v>
      </c>
      <c r="J6640" s="47" t="s">
        <v>33</v>
      </c>
      <c r="K6640" s="24" t="s">
        <v>8643</v>
      </c>
      <c r="L6640" s="109" t="s">
        <v>8644</v>
      </c>
      <c r="M6640" s="49" t="s">
        <v>8645</v>
      </c>
      <c r="N6640" s="493">
        <v>44500</v>
      </c>
      <c r="O6640" s="493" t="s">
        <v>37</v>
      </c>
      <c r="P6640" s="52">
        <v>0</v>
      </c>
      <c r="Q6640" s="70">
        <v>-288</v>
      </c>
      <c r="R6640" s="52">
        <f t="shared" si="194"/>
        <v>0</v>
      </c>
      <c r="S6640" s="47">
        <v>202304</v>
      </c>
      <c r="T6640" s="123" t="s">
        <v>8647</v>
      </c>
      <c r="U6640" s="48"/>
      <c r="V6640" s="48"/>
      <c r="W6640" s="48"/>
      <c r="X6640" s="493">
        <v>44197</v>
      </c>
      <c r="Y6640" s="493">
        <v>44561</v>
      </c>
    </row>
    <row r="6641" s="5" customFormat="1" customHeight="1" spans="1:25">
      <c r="A6641" s="24" t="s">
        <v>109</v>
      </c>
      <c r="B6641" s="24" t="s">
        <v>7422</v>
      </c>
      <c r="C6641" s="24" t="s">
        <v>44</v>
      </c>
      <c r="D6641" s="22" t="s">
        <v>7585</v>
      </c>
      <c r="E6641" s="23" t="s">
        <v>8640</v>
      </c>
      <c r="F6641" s="24" t="s">
        <v>8641</v>
      </c>
      <c r="G6641" s="24" t="s">
        <v>88</v>
      </c>
      <c r="H6641" s="25" t="s">
        <v>8642</v>
      </c>
      <c r="I6641" s="46" t="e">
        <f>VLOOKUP(H6641,'合同高级查询数据-4月返'!A:A,1,FALSE)</f>
        <v>#N/A</v>
      </c>
      <c r="J6641" s="47" t="s">
        <v>162</v>
      </c>
      <c r="K6641" s="24" t="s">
        <v>8643</v>
      </c>
      <c r="L6641" s="109" t="s">
        <v>8644</v>
      </c>
      <c r="M6641" s="49" t="s">
        <v>8648</v>
      </c>
      <c r="N6641" s="493">
        <v>43374</v>
      </c>
      <c r="O6641" s="493" t="s">
        <v>92</v>
      </c>
      <c r="P6641" s="52">
        <v>5040</v>
      </c>
      <c r="Q6641" s="70">
        <v>4</v>
      </c>
      <c r="R6641" s="52">
        <f t="shared" si="194"/>
        <v>20160</v>
      </c>
      <c r="S6641" s="47">
        <v>202304</v>
      </c>
      <c r="T6641" s="123" t="s">
        <v>8649</v>
      </c>
      <c r="U6641" s="48"/>
      <c r="V6641" s="48"/>
      <c r="W6641" s="48"/>
      <c r="X6641" s="493">
        <v>44197</v>
      </c>
      <c r="Y6641" s="493">
        <v>44561</v>
      </c>
    </row>
    <row r="6642" s="5" customFormat="1" customHeight="1" spans="1:25">
      <c r="A6642" s="24" t="s">
        <v>109</v>
      </c>
      <c r="B6642" s="24" t="s">
        <v>7422</v>
      </c>
      <c r="C6642" s="24" t="s">
        <v>44</v>
      </c>
      <c r="D6642" s="22" t="s">
        <v>7585</v>
      </c>
      <c r="E6642" s="23" t="s">
        <v>8640</v>
      </c>
      <c r="F6642" s="24" t="s">
        <v>8641</v>
      </c>
      <c r="G6642" s="24" t="s">
        <v>88</v>
      </c>
      <c r="H6642" s="25" t="s">
        <v>8642</v>
      </c>
      <c r="I6642" s="46" t="e">
        <f>VLOOKUP(H6642,'合同高级查询数据-4月返'!A:A,1,FALSE)</f>
        <v>#N/A</v>
      </c>
      <c r="J6642" s="47" t="s">
        <v>162</v>
      </c>
      <c r="K6642" s="24" t="s">
        <v>8643</v>
      </c>
      <c r="L6642" s="109" t="s">
        <v>8644</v>
      </c>
      <c r="M6642" s="49" t="s">
        <v>8648</v>
      </c>
      <c r="N6642" s="493">
        <v>44500</v>
      </c>
      <c r="O6642" s="493" t="s">
        <v>92</v>
      </c>
      <c r="P6642" s="52">
        <v>5040</v>
      </c>
      <c r="Q6642" s="70">
        <v>-4</v>
      </c>
      <c r="R6642" s="52">
        <f t="shared" si="194"/>
        <v>-20160</v>
      </c>
      <c r="S6642" s="47">
        <v>202304</v>
      </c>
      <c r="T6642" s="123" t="s">
        <v>8650</v>
      </c>
      <c r="U6642" s="48"/>
      <c r="V6642" s="48"/>
      <c r="W6642" s="48"/>
      <c r="X6642" s="493">
        <v>44197</v>
      </c>
      <c r="Y6642" s="493">
        <v>44561</v>
      </c>
    </row>
    <row r="6643" s="3" customFormat="1" customHeight="1" spans="1:25">
      <c r="A6643" s="11" t="s">
        <v>109</v>
      </c>
      <c r="B6643" s="11" t="s">
        <v>7422</v>
      </c>
      <c r="C6643" s="11" t="s">
        <v>44</v>
      </c>
      <c r="D6643" s="35" t="s">
        <v>7585</v>
      </c>
      <c r="E6643" s="13" t="s">
        <v>8640</v>
      </c>
      <c r="F6643" s="11" t="s">
        <v>8641</v>
      </c>
      <c r="G6643" s="11" t="s">
        <v>31</v>
      </c>
      <c r="H6643" s="110" t="s">
        <v>8651</v>
      </c>
      <c r="I6643" s="30" t="e">
        <f>VLOOKUP(H6643,'合同高级查询数据-4月返'!A:A,1,FALSE)</f>
        <v>#N/A</v>
      </c>
      <c r="J6643" s="31" t="s">
        <v>33</v>
      </c>
      <c r="K6643" s="11" t="s">
        <v>8652</v>
      </c>
      <c r="L6643" s="32" t="s">
        <v>8653</v>
      </c>
      <c r="M6643" s="113" t="s">
        <v>8654</v>
      </c>
      <c r="N6643" s="500"/>
      <c r="O6643" s="500" t="s">
        <v>37</v>
      </c>
      <c r="P6643" s="465">
        <v>0</v>
      </c>
      <c r="Q6643" s="488">
        <v>640</v>
      </c>
      <c r="R6643" s="465">
        <f t="shared" si="194"/>
        <v>0</v>
      </c>
      <c r="S6643" s="31">
        <v>202304</v>
      </c>
      <c r="T6643" s="60" t="s">
        <v>8655</v>
      </c>
      <c r="U6643" s="411"/>
      <c r="V6643" s="494"/>
      <c r="W6643" s="494"/>
      <c r="X6643" s="500"/>
      <c r="Y6643" s="500"/>
    </row>
    <row r="6644" s="3" customFormat="1" customHeight="1" spans="1:25">
      <c r="A6644" s="11" t="s">
        <v>109</v>
      </c>
      <c r="B6644" s="11" t="s">
        <v>7422</v>
      </c>
      <c r="C6644" s="11" t="s">
        <v>44</v>
      </c>
      <c r="D6644" s="35" t="s">
        <v>7585</v>
      </c>
      <c r="E6644" s="13" t="s">
        <v>8640</v>
      </c>
      <c r="F6644" s="11" t="s">
        <v>8641</v>
      </c>
      <c r="G6644" s="11" t="s">
        <v>88</v>
      </c>
      <c r="H6644" s="110" t="s">
        <v>8651</v>
      </c>
      <c r="I6644" s="30" t="e">
        <f>VLOOKUP(H6644,'合同高级查询数据-4月返'!A:A,1,FALSE)</f>
        <v>#N/A</v>
      </c>
      <c r="J6644" s="31" t="s">
        <v>162</v>
      </c>
      <c r="K6644" s="11" t="s">
        <v>8652</v>
      </c>
      <c r="L6644" s="11" t="s">
        <v>8653</v>
      </c>
      <c r="M6644" s="113" t="s">
        <v>8656</v>
      </c>
      <c r="N6644" s="500">
        <v>43374</v>
      </c>
      <c r="O6644" s="500" t="s">
        <v>92</v>
      </c>
      <c r="P6644" s="465">
        <v>4320</v>
      </c>
      <c r="Q6644" s="459">
        <v>8</v>
      </c>
      <c r="R6644" s="465">
        <f t="shared" si="194"/>
        <v>34560</v>
      </c>
      <c r="S6644" s="31">
        <v>202304</v>
      </c>
      <c r="T6644" s="60" t="s">
        <v>8657</v>
      </c>
      <c r="U6644" s="411"/>
      <c r="V6644" s="411"/>
      <c r="W6644" s="411"/>
      <c r="X6644" s="500"/>
      <c r="Y6644" s="500"/>
    </row>
    <row r="6645" s="3" customFormat="1" customHeight="1" spans="1:25">
      <c r="A6645" s="11" t="s">
        <v>109</v>
      </c>
      <c r="B6645" s="11" t="s">
        <v>7422</v>
      </c>
      <c r="C6645" s="11" t="s">
        <v>44</v>
      </c>
      <c r="D6645" s="35" t="s">
        <v>7585</v>
      </c>
      <c r="E6645" s="13" t="s">
        <v>8640</v>
      </c>
      <c r="F6645" s="11" t="s">
        <v>8641</v>
      </c>
      <c r="G6645" s="11" t="s">
        <v>88</v>
      </c>
      <c r="H6645" s="110" t="s">
        <v>8651</v>
      </c>
      <c r="I6645" s="30" t="e">
        <f>VLOOKUP(H6645,'合同高级查询数据-4月返'!A:A,1,FALSE)</f>
        <v>#N/A</v>
      </c>
      <c r="J6645" s="31" t="s">
        <v>162</v>
      </c>
      <c r="K6645" s="11" t="s">
        <v>8652</v>
      </c>
      <c r="L6645" s="11" t="s">
        <v>8653</v>
      </c>
      <c r="M6645" s="113" t="s">
        <v>8656</v>
      </c>
      <c r="N6645" s="500">
        <v>44181</v>
      </c>
      <c r="O6645" s="500" t="s">
        <v>92</v>
      </c>
      <c r="P6645" s="465">
        <v>4320</v>
      </c>
      <c r="Q6645" s="459">
        <v>-8</v>
      </c>
      <c r="R6645" s="465">
        <f t="shared" si="194"/>
        <v>-34560</v>
      </c>
      <c r="S6645" s="31">
        <v>202304</v>
      </c>
      <c r="T6645" s="60" t="s">
        <v>8658</v>
      </c>
      <c r="U6645" s="411"/>
      <c r="V6645" s="411"/>
      <c r="W6645" s="411"/>
      <c r="X6645" s="500"/>
      <c r="Y6645" s="500"/>
    </row>
    <row r="6646" s="3" customFormat="1" customHeight="1" spans="1:25">
      <c r="A6646" s="11" t="s">
        <v>109</v>
      </c>
      <c r="B6646" s="11" t="s">
        <v>7422</v>
      </c>
      <c r="C6646" s="11" t="s">
        <v>44</v>
      </c>
      <c r="D6646" s="35" t="s">
        <v>7585</v>
      </c>
      <c r="E6646" s="13" t="s">
        <v>8640</v>
      </c>
      <c r="F6646" s="11" t="s">
        <v>8641</v>
      </c>
      <c r="G6646" s="11" t="s">
        <v>88</v>
      </c>
      <c r="H6646" s="110" t="s">
        <v>8651</v>
      </c>
      <c r="I6646" s="30" t="e">
        <f>VLOOKUP(H6646,'合同高级查询数据-4月返'!A:A,1,FALSE)</f>
        <v>#N/A</v>
      </c>
      <c r="J6646" s="31" t="s">
        <v>162</v>
      </c>
      <c r="K6646" s="11" t="s">
        <v>8652</v>
      </c>
      <c r="L6646" s="11" t="s">
        <v>8653</v>
      </c>
      <c r="M6646" s="113" t="s">
        <v>8654</v>
      </c>
      <c r="N6646" s="500">
        <v>44182</v>
      </c>
      <c r="O6646" s="500" t="s">
        <v>92</v>
      </c>
      <c r="P6646" s="465">
        <v>4320</v>
      </c>
      <c r="Q6646" s="459">
        <v>5</v>
      </c>
      <c r="R6646" s="465">
        <f t="shared" si="194"/>
        <v>21600</v>
      </c>
      <c r="S6646" s="31">
        <v>202304</v>
      </c>
      <c r="T6646" s="60" t="s">
        <v>8659</v>
      </c>
      <c r="U6646" s="411"/>
      <c r="V6646" s="411"/>
      <c r="W6646" s="411"/>
      <c r="X6646" s="500"/>
      <c r="Y6646" s="500"/>
    </row>
    <row r="6647" s="3" customFormat="1" customHeight="1" spans="1:25">
      <c r="A6647" s="11" t="s">
        <v>25</v>
      </c>
      <c r="B6647" s="11" t="s">
        <v>7422</v>
      </c>
      <c r="C6647" s="11" t="s">
        <v>44</v>
      </c>
      <c r="D6647" s="35" t="s">
        <v>7585</v>
      </c>
      <c r="E6647" s="13" t="s">
        <v>8640</v>
      </c>
      <c r="F6647" s="11" t="s">
        <v>8641</v>
      </c>
      <c r="G6647" s="11" t="s">
        <v>31</v>
      </c>
      <c r="H6647" s="110" t="s">
        <v>8660</v>
      </c>
      <c r="I6647" s="30" t="e">
        <f>VLOOKUP(H6647,'合同高级查询数据-4月返'!A:A,1,FALSE)</f>
        <v>#N/A</v>
      </c>
      <c r="J6647" s="31" t="s">
        <v>33</v>
      </c>
      <c r="K6647" s="11" t="s">
        <v>8652</v>
      </c>
      <c r="L6647" s="32" t="s">
        <v>8661</v>
      </c>
      <c r="M6647" s="113" t="s">
        <v>8662</v>
      </c>
      <c r="N6647" s="500">
        <v>43669</v>
      </c>
      <c r="O6647" s="500" t="s">
        <v>37</v>
      </c>
      <c r="P6647" s="465">
        <v>50</v>
      </c>
      <c r="Q6647" s="459">
        <v>256</v>
      </c>
      <c r="R6647" s="465">
        <f t="shared" si="194"/>
        <v>12800</v>
      </c>
      <c r="S6647" s="31">
        <v>202304</v>
      </c>
      <c r="T6647" s="60" t="s">
        <v>8663</v>
      </c>
      <c r="U6647" s="411"/>
      <c r="V6647" s="411"/>
      <c r="W6647" s="411"/>
      <c r="X6647" s="34"/>
      <c r="Y6647" s="34"/>
    </row>
    <row r="6648" s="3" customFormat="1" customHeight="1" spans="1:25">
      <c r="A6648" s="11" t="s">
        <v>25</v>
      </c>
      <c r="B6648" s="11" t="s">
        <v>7422</v>
      </c>
      <c r="C6648" s="11" t="s">
        <v>44</v>
      </c>
      <c r="D6648" s="35" t="s">
        <v>7585</v>
      </c>
      <c r="E6648" s="13" t="s">
        <v>8640</v>
      </c>
      <c r="F6648" s="11" t="s">
        <v>8641</v>
      </c>
      <c r="G6648" s="11" t="s">
        <v>31</v>
      </c>
      <c r="H6648" s="110" t="s">
        <v>8660</v>
      </c>
      <c r="I6648" s="30" t="e">
        <f>VLOOKUP(H6648,'合同高级查询数据-4月返'!A:A,1,FALSE)</f>
        <v>#N/A</v>
      </c>
      <c r="J6648" s="31" t="s">
        <v>33</v>
      </c>
      <c r="K6648" s="11" t="s">
        <v>8652</v>
      </c>
      <c r="L6648" s="32" t="s">
        <v>8661</v>
      </c>
      <c r="M6648" s="113" t="s">
        <v>8662</v>
      </c>
      <c r="N6648" s="500">
        <v>44013</v>
      </c>
      <c r="O6648" s="500" t="s">
        <v>37</v>
      </c>
      <c r="P6648" s="465">
        <v>50</v>
      </c>
      <c r="Q6648" s="459">
        <v>32</v>
      </c>
      <c r="R6648" s="465">
        <f t="shared" si="194"/>
        <v>1600</v>
      </c>
      <c r="S6648" s="31">
        <v>202304</v>
      </c>
      <c r="T6648" s="60" t="s">
        <v>8664</v>
      </c>
      <c r="U6648" s="411"/>
      <c r="V6648" s="411"/>
      <c r="W6648" s="411"/>
      <c r="X6648" s="34"/>
      <c r="Y6648" s="34"/>
    </row>
    <row r="6649" s="3" customFormat="1" customHeight="1" spans="1:25">
      <c r="A6649" s="11" t="s">
        <v>25</v>
      </c>
      <c r="B6649" s="11" t="s">
        <v>7422</v>
      </c>
      <c r="C6649" s="11" t="s">
        <v>44</v>
      </c>
      <c r="D6649" s="35" t="s">
        <v>7585</v>
      </c>
      <c r="E6649" s="13" t="s">
        <v>8640</v>
      </c>
      <c r="F6649" s="11" t="s">
        <v>8641</v>
      </c>
      <c r="G6649" s="11" t="s">
        <v>31</v>
      </c>
      <c r="H6649" s="110" t="s">
        <v>8660</v>
      </c>
      <c r="I6649" s="30" t="e">
        <f>VLOOKUP(H6649,'合同高级查询数据-4月返'!A:A,1,FALSE)</f>
        <v>#N/A</v>
      </c>
      <c r="J6649" s="31" t="s">
        <v>33</v>
      </c>
      <c r="K6649" s="11" t="s">
        <v>8652</v>
      </c>
      <c r="L6649" s="32" t="s">
        <v>8661</v>
      </c>
      <c r="M6649" s="113" t="s">
        <v>8662</v>
      </c>
      <c r="N6649" s="500">
        <v>44665</v>
      </c>
      <c r="O6649" s="500" t="s">
        <v>37</v>
      </c>
      <c r="P6649" s="465">
        <v>0</v>
      </c>
      <c r="Q6649" s="459">
        <v>384</v>
      </c>
      <c r="R6649" s="465">
        <f t="shared" si="194"/>
        <v>0</v>
      </c>
      <c r="S6649" s="31">
        <v>202304</v>
      </c>
      <c r="T6649" s="60" t="s">
        <v>8665</v>
      </c>
      <c r="U6649" s="411"/>
      <c r="V6649" s="411"/>
      <c r="W6649" s="411"/>
      <c r="X6649" s="34"/>
      <c r="Y6649" s="34"/>
    </row>
    <row r="6650" s="3" customFormat="1" customHeight="1" spans="1:25">
      <c r="A6650" s="11" t="s">
        <v>25</v>
      </c>
      <c r="B6650" s="11" t="s">
        <v>7422</v>
      </c>
      <c r="C6650" s="11" t="s">
        <v>44</v>
      </c>
      <c r="D6650" s="35" t="s">
        <v>7585</v>
      </c>
      <c r="E6650" s="13" t="s">
        <v>8640</v>
      </c>
      <c r="F6650" s="11" t="s">
        <v>8641</v>
      </c>
      <c r="G6650" s="11" t="s">
        <v>31</v>
      </c>
      <c r="H6650" s="110" t="s">
        <v>8660</v>
      </c>
      <c r="I6650" s="30" t="e">
        <f>VLOOKUP(H6650,'合同高级查询数据-4月返'!A:A,1,FALSE)</f>
        <v>#N/A</v>
      </c>
      <c r="J6650" s="31" t="s">
        <v>33</v>
      </c>
      <c r="K6650" s="11" t="s">
        <v>8652</v>
      </c>
      <c r="L6650" s="32" t="s">
        <v>8661</v>
      </c>
      <c r="M6650" s="113" t="s">
        <v>8662</v>
      </c>
      <c r="N6650" s="500">
        <v>44665</v>
      </c>
      <c r="O6650" s="500" t="s">
        <v>37</v>
      </c>
      <c r="P6650" s="465">
        <v>0</v>
      </c>
      <c r="Q6650" s="459">
        <v>128</v>
      </c>
      <c r="R6650" s="465">
        <f t="shared" si="194"/>
        <v>0</v>
      </c>
      <c r="S6650" s="31">
        <v>202304</v>
      </c>
      <c r="T6650" s="60" t="s">
        <v>8666</v>
      </c>
      <c r="U6650" s="411"/>
      <c r="V6650" s="411"/>
      <c r="W6650" s="411"/>
      <c r="X6650" s="34"/>
      <c r="Y6650" s="34"/>
    </row>
    <row r="6651" s="3" customFormat="1" customHeight="1" spans="1:25">
      <c r="A6651" s="11" t="s">
        <v>25</v>
      </c>
      <c r="B6651" s="11" t="s">
        <v>7422</v>
      </c>
      <c r="C6651" s="11" t="s">
        <v>44</v>
      </c>
      <c r="D6651" s="35" t="s">
        <v>7585</v>
      </c>
      <c r="E6651" s="13" t="s">
        <v>8640</v>
      </c>
      <c r="F6651" s="11" t="s">
        <v>8641</v>
      </c>
      <c r="G6651" s="11" t="s">
        <v>31</v>
      </c>
      <c r="H6651" s="110" t="s">
        <v>8660</v>
      </c>
      <c r="I6651" s="30" t="e">
        <f>VLOOKUP(H6651,'合同高级查询数据-4月返'!A:A,1,FALSE)</f>
        <v>#N/A</v>
      </c>
      <c r="J6651" s="31" t="s">
        <v>33</v>
      </c>
      <c r="K6651" s="11" t="s">
        <v>8652</v>
      </c>
      <c r="L6651" s="32" t="s">
        <v>8661</v>
      </c>
      <c r="M6651" s="113" t="s">
        <v>8662</v>
      </c>
      <c r="N6651" s="500">
        <v>44719</v>
      </c>
      <c r="O6651" s="500" t="s">
        <v>37</v>
      </c>
      <c r="P6651" s="465">
        <v>0</v>
      </c>
      <c r="Q6651" s="459">
        <v>32</v>
      </c>
      <c r="R6651" s="465">
        <f t="shared" si="194"/>
        <v>0</v>
      </c>
      <c r="S6651" s="31">
        <v>202304</v>
      </c>
      <c r="T6651" s="60" t="s">
        <v>8667</v>
      </c>
      <c r="U6651" s="411"/>
      <c r="V6651" s="411"/>
      <c r="W6651" s="411"/>
      <c r="X6651" s="34"/>
      <c r="Y6651" s="34"/>
    </row>
    <row r="6652" s="3" customFormat="1" customHeight="1" spans="1:25">
      <c r="A6652" s="11" t="s">
        <v>25</v>
      </c>
      <c r="B6652" s="11" t="s">
        <v>7422</v>
      </c>
      <c r="C6652" s="11" t="s">
        <v>44</v>
      </c>
      <c r="D6652" s="35" t="s">
        <v>7585</v>
      </c>
      <c r="E6652" s="13" t="s">
        <v>8640</v>
      </c>
      <c r="F6652" s="11" t="s">
        <v>8641</v>
      </c>
      <c r="G6652" s="11" t="s">
        <v>88</v>
      </c>
      <c r="H6652" s="110" t="s">
        <v>8660</v>
      </c>
      <c r="I6652" s="30" t="e">
        <f>VLOOKUP(H6652,'合同高级查询数据-4月返'!A:A,1,FALSE)</f>
        <v>#N/A</v>
      </c>
      <c r="J6652" s="31" t="s">
        <v>162</v>
      </c>
      <c r="K6652" s="11" t="s">
        <v>8652</v>
      </c>
      <c r="L6652" s="32" t="s">
        <v>8661</v>
      </c>
      <c r="M6652" s="113" t="s">
        <v>8662</v>
      </c>
      <c r="N6652" s="500">
        <v>43669</v>
      </c>
      <c r="O6652" s="500" t="s">
        <v>92</v>
      </c>
      <c r="P6652" s="465">
        <v>0</v>
      </c>
      <c r="Q6652" s="459">
        <v>2</v>
      </c>
      <c r="R6652" s="465">
        <f t="shared" si="194"/>
        <v>0</v>
      </c>
      <c r="S6652" s="31">
        <v>202304</v>
      </c>
      <c r="T6652" s="60" t="s">
        <v>8668</v>
      </c>
      <c r="U6652" s="411"/>
      <c r="V6652" s="411"/>
      <c r="W6652" s="411"/>
      <c r="X6652" s="500"/>
      <c r="Y6652" s="500"/>
    </row>
    <row r="6653" s="3" customFormat="1" customHeight="1" spans="1:25">
      <c r="A6653" s="11" t="s">
        <v>25</v>
      </c>
      <c r="B6653" s="11" t="s">
        <v>7422</v>
      </c>
      <c r="C6653" s="11" t="s">
        <v>44</v>
      </c>
      <c r="D6653" s="35" t="s">
        <v>7585</v>
      </c>
      <c r="E6653" s="13" t="s">
        <v>8640</v>
      </c>
      <c r="F6653" s="11" t="s">
        <v>8641</v>
      </c>
      <c r="G6653" s="11" t="s">
        <v>88</v>
      </c>
      <c r="H6653" s="110" t="s">
        <v>8660</v>
      </c>
      <c r="I6653" s="30" t="e">
        <f>VLOOKUP(H6653,'合同高级查询数据-4月返'!A:A,1,FALSE)</f>
        <v>#N/A</v>
      </c>
      <c r="J6653" s="31" t="s">
        <v>162</v>
      </c>
      <c r="K6653" s="11" t="s">
        <v>8652</v>
      </c>
      <c r="L6653" s="32" t="s">
        <v>8661</v>
      </c>
      <c r="M6653" s="113" t="s">
        <v>8662</v>
      </c>
      <c r="N6653" s="500">
        <v>44408</v>
      </c>
      <c r="O6653" s="500" t="s">
        <v>92</v>
      </c>
      <c r="P6653" s="465">
        <v>0</v>
      </c>
      <c r="Q6653" s="459">
        <v>-2</v>
      </c>
      <c r="R6653" s="465">
        <f t="shared" si="194"/>
        <v>0</v>
      </c>
      <c r="S6653" s="31">
        <v>202304</v>
      </c>
      <c r="T6653" s="60" t="s">
        <v>8669</v>
      </c>
      <c r="U6653" s="411"/>
      <c r="V6653" s="411"/>
      <c r="W6653" s="411"/>
      <c r="X6653" s="500"/>
      <c r="Y6653" s="500"/>
    </row>
    <row r="6654" s="3" customFormat="1" customHeight="1" spans="1:25">
      <c r="A6654" s="11" t="s">
        <v>25</v>
      </c>
      <c r="B6654" s="11" t="s">
        <v>7422</v>
      </c>
      <c r="C6654" s="11" t="s">
        <v>44</v>
      </c>
      <c r="D6654" s="35" t="s">
        <v>7585</v>
      </c>
      <c r="E6654" s="13" t="s">
        <v>8640</v>
      </c>
      <c r="F6654" s="11" t="s">
        <v>8641</v>
      </c>
      <c r="G6654" s="11" t="s">
        <v>88</v>
      </c>
      <c r="H6654" s="110" t="s">
        <v>8660</v>
      </c>
      <c r="I6654" s="30" t="e">
        <f>VLOOKUP(H6654,'合同高级查询数据-4月返'!A:A,1,FALSE)</f>
        <v>#N/A</v>
      </c>
      <c r="J6654" s="31" t="s">
        <v>162</v>
      </c>
      <c r="K6654" s="11" t="s">
        <v>8652</v>
      </c>
      <c r="L6654" s="32" t="s">
        <v>8661</v>
      </c>
      <c r="M6654" s="113" t="s">
        <v>8662</v>
      </c>
      <c r="N6654" s="500">
        <v>44409</v>
      </c>
      <c r="O6654" s="500" t="s">
        <v>92</v>
      </c>
      <c r="P6654" s="465">
        <v>0</v>
      </c>
      <c r="Q6654" s="459">
        <v>2</v>
      </c>
      <c r="R6654" s="465">
        <f t="shared" si="194"/>
        <v>0</v>
      </c>
      <c r="S6654" s="31">
        <v>202304</v>
      </c>
      <c r="T6654" s="60" t="s">
        <v>8670</v>
      </c>
      <c r="U6654" s="411"/>
      <c r="V6654" s="411"/>
      <c r="W6654" s="411"/>
      <c r="X6654" s="500"/>
      <c r="Y6654" s="500"/>
    </row>
    <row r="6655" s="3" customFormat="1" customHeight="1" spans="1:25">
      <c r="A6655" s="11" t="s">
        <v>25</v>
      </c>
      <c r="B6655" s="11" t="s">
        <v>7422</v>
      </c>
      <c r="C6655" s="11" t="s">
        <v>44</v>
      </c>
      <c r="D6655" s="35" t="s">
        <v>7585</v>
      </c>
      <c r="E6655" s="13" t="s">
        <v>8640</v>
      </c>
      <c r="F6655" s="11" t="s">
        <v>8641</v>
      </c>
      <c r="G6655" s="11" t="s">
        <v>88</v>
      </c>
      <c r="H6655" s="110" t="s">
        <v>8660</v>
      </c>
      <c r="I6655" s="30" t="e">
        <f>VLOOKUP(H6655,'合同高级查询数据-4月返'!A:A,1,FALSE)</f>
        <v>#N/A</v>
      </c>
      <c r="J6655" s="31" t="s">
        <v>162</v>
      </c>
      <c r="K6655" s="11" t="s">
        <v>8652</v>
      </c>
      <c r="L6655" s="32" t="s">
        <v>8661</v>
      </c>
      <c r="M6655" s="113" t="s">
        <v>8662</v>
      </c>
      <c r="N6655" s="500">
        <v>44301</v>
      </c>
      <c r="O6655" s="500" t="s">
        <v>92</v>
      </c>
      <c r="P6655" s="488">
        <v>0</v>
      </c>
      <c r="Q6655" s="459">
        <v>1</v>
      </c>
      <c r="R6655" s="465">
        <f t="shared" si="194"/>
        <v>0</v>
      </c>
      <c r="S6655" s="31">
        <v>202304</v>
      </c>
      <c r="T6655" s="60" t="s">
        <v>8671</v>
      </c>
      <c r="U6655" s="411"/>
      <c r="V6655" s="411"/>
      <c r="W6655" s="411"/>
      <c r="X6655" s="500"/>
      <c r="Y6655" s="500"/>
    </row>
    <row r="6656" s="3" customFormat="1" customHeight="1" spans="1:25">
      <c r="A6656" s="11" t="s">
        <v>25</v>
      </c>
      <c r="B6656" s="11" t="s">
        <v>7422</v>
      </c>
      <c r="C6656" s="11" t="s">
        <v>44</v>
      </c>
      <c r="D6656" s="35" t="s">
        <v>7585</v>
      </c>
      <c r="E6656" s="13" t="s">
        <v>8640</v>
      </c>
      <c r="F6656" s="11" t="s">
        <v>8641</v>
      </c>
      <c r="G6656" s="11" t="s">
        <v>88</v>
      </c>
      <c r="H6656" s="110" t="s">
        <v>8660</v>
      </c>
      <c r="I6656" s="30" t="e">
        <f>VLOOKUP(H6656,'合同高级查询数据-4月返'!A:A,1,FALSE)</f>
        <v>#N/A</v>
      </c>
      <c r="J6656" s="31" t="s">
        <v>162</v>
      </c>
      <c r="K6656" s="11" t="s">
        <v>8652</v>
      </c>
      <c r="L6656" s="32" t="s">
        <v>8661</v>
      </c>
      <c r="M6656" s="113" t="s">
        <v>8662</v>
      </c>
      <c r="N6656" s="500">
        <v>44651</v>
      </c>
      <c r="O6656" s="500" t="s">
        <v>92</v>
      </c>
      <c r="P6656" s="488">
        <v>0</v>
      </c>
      <c r="Q6656" s="459">
        <v>-3</v>
      </c>
      <c r="R6656" s="465">
        <f t="shared" si="194"/>
        <v>0</v>
      </c>
      <c r="S6656" s="31">
        <v>202304</v>
      </c>
      <c r="T6656" s="60" t="s">
        <v>8672</v>
      </c>
      <c r="U6656" s="411"/>
      <c r="V6656" s="411"/>
      <c r="W6656" s="411"/>
      <c r="X6656" s="500"/>
      <c r="Y6656" s="500"/>
    </row>
    <row r="6657" s="3" customFormat="1" customHeight="1" spans="1:25">
      <c r="A6657" s="11" t="s">
        <v>25</v>
      </c>
      <c r="B6657" s="11" t="s">
        <v>7422</v>
      </c>
      <c r="C6657" s="11" t="s">
        <v>44</v>
      </c>
      <c r="D6657" s="35" t="s">
        <v>7585</v>
      </c>
      <c r="E6657" s="13" t="s">
        <v>8640</v>
      </c>
      <c r="F6657" s="11" t="s">
        <v>8641</v>
      </c>
      <c r="G6657" s="11" t="s">
        <v>88</v>
      </c>
      <c r="H6657" s="110" t="s">
        <v>8660</v>
      </c>
      <c r="I6657" s="30" t="e">
        <f>VLOOKUP(H6657,'合同高级查询数据-4月返'!A:A,1,FALSE)</f>
        <v>#N/A</v>
      </c>
      <c r="J6657" s="31" t="s">
        <v>162</v>
      </c>
      <c r="K6657" s="11" t="s">
        <v>8652</v>
      </c>
      <c r="L6657" s="32" t="s">
        <v>8661</v>
      </c>
      <c r="M6657" s="113" t="s">
        <v>8662</v>
      </c>
      <c r="N6657" s="500">
        <v>44652</v>
      </c>
      <c r="O6657" s="500" t="s">
        <v>92</v>
      </c>
      <c r="P6657" s="488">
        <v>0</v>
      </c>
      <c r="Q6657" s="459">
        <v>3</v>
      </c>
      <c r="R6657" s="465">
        <f t="shared" si="194"/>
        <v>0</v>
      </c>
      <c r="S6657" s="31">
        <v>202304</v>
      </c>
      <c r="T6657" s="60" t="s">
        <v>8673</v>
      </c>
      <c r="U6657" s="411"/>
      <c r="V6657" s="411"/>
      <c r="W6657" s="411"/>
      <c r="X6657" s="500"/>
      <c r="Y6657" s="500"/>
    </row>
    <row r="6658" s="3" customFormat="1" customHeight="1" spans="1:25">
      <c r="A6658" s="11" t="s">
        <v>25</v>
      </c>
      <c r="B6658" s="11" t="s">
        <v>7422</v>
      </c>
      <c r="C6658" s="11" t="s">
        <v>44</v>
      </c>
      <c r="D6658" s="35" t="s">
        <v>7585</v>
      </c>
      <c r="E6658" s="13" t="s">
        <v>8640</v>
      </c>
      <c r="F6658" s="11" t="s">
        <v>8641</v>
      </c>
      <c r="G6658" s="11" t="s">
        <v>88</v>
      </c>
      <c r="H6658" s="110" t="s">
        <v>8660</v>
      </c>
      <c r="I6658" s="30" t="e">
        <f>VLOOKUP(H6658,'合同高级查询数据-4月返'!A:A,1,FALSE)</f>
        <v>#N/A</v>
      </c>
      <c r="J6658" s="31" t="s">
        <v>162</v>
      </c>
      <c r="K6658" s="11" t="s">
        <v>8652</v>
      </c>
      <c r="L6658" s="32" t="s">
        <v>8661</v>
      </c>
      <c r="M6658" s="113" t="s">
        <v>8662</v>
      </c>
      <c r="N6658" s="500">
        <v>44665</v>
      </c>
      <c r="O6658" s="500" t="s">
        <v>92</v>
      </c>
      <c r="P6658" s="488">
        <v>0</v>
      </c>
      <c r="Q6658" s="459">
        <v>9</v>
      </c>
      <c r="R6658" s="465">
        <f t="shared" si="194"/>
        <v>0</v>
      </c>
      <c r="S6658" s="31">
        <v>202304</v>
      </c>
      <c r="T6658" s="60" t="s">
        <v>8674</v>
      </c>
      <c r="U6658" s="411"/>
      <c r="V6658" s="411"/>
      <c r="W6658" s="411"/>
      <c r="X6658" s="500"/>
      <c r="Y6658" s="34"/>
    </row>
    <row r="6659" s="3" customFormat="1" customHeight="1" spans="1:25">
      <c r="A6659" s="11" t="s">
        <v>25</v>
      </c>
      <c r="B6659" s="11" t="s">
        <v>7422</v>
      </c>
      <c r="C6659" s="11" t="s">
        <v>44</v>
      </c>
      <c r="D6659" s="35" t="s">
        <v>7585</v>
      </c>
      <c r="E6659" s="13" t="s">
        <v>8640</v>
      </c>
      <c r="F6659" s="11" t="s">
        <v>8641</v>
      </c>
      <c r="G6659" s="11" t="s">
        <v>88</v>
      </c>
      <c r="H6659" s="110" t="s">
        <v>8660</v>
      </c>
      <c r="I6659" s="30" t="e">
        <f>VLOOKUP(H6659,'合同高级查询数据-4月返'!A:A,1,FALSE)</f>
        <v>#N/A</v>
      </c>
      <c r="J6659" s="31" t="s">
        <v>162</v>
      </c>
      <c r="K6659" s="11" t="s">
        <v>8652</v>
      </c>
      <c r="L6659" s="32" t="s">
        <v>8661</v>
      </c>
      <c r="M6659" s="113" t="s">
        <v>8662</v>
      </c>
      <c r="N6659" s="500">
        <v>44665</v>
      </c>
      <c r="O6659" s="500" t="s">
        <v>92</v>
      </c>
      <c r="P6659" s="488">
        <v>0</v>
      </c>
      <c r="Q6659" s="459">
        <v>6</v>
      </c>
      <c r="R6659" s="465">
        <f t="shared" si="194"/>
        <v>0</v>
      </c>
      <c r="S6659" s="31">
        <v>202304</v>
      </c>
      <c r="T6659" s="60" t="s">
        <v>8675</v>
      </c>
      <c r="U6659" s="411"/>
      <c r="V6659" s="411"/>
      <c r="W6659" s="411"/>
      <c r="X6659" s="34"/>
      <c r="Y6659" s="34"/>
    </row>
    <row r="6660" s="3" customFormat="1" customHeight="1" spans="1:25">
      <c r="A6660" s="11" t="s">
        <v>25</v>
      </c>
      <c r="B6660" s="11" t="s">
        <v>7422</v>
      </c>
      <c r="C6660" s="11" t="s">
        <v>44</v>
      </c>
      <c r="D6660" s="35" t="s">
        <v>7585</v>
      </c>
      <c r="E6660" s="13" t="s">
        <v>8640</v>
      </c>
      <c r="F6660" s="11" t="s">
        <v>8641</v>
      </c>
      <c r="G6660" s="11" t="s">
        <v>88</v>
      </c>
      <c r="H6660" s="110" t="s">
        <v>8660</v>
      </c>
      <c r="I6660" s="30" t="e">
        <f>VLOOKUP(H6660,'合同高级查询数据-4月返'!A:A,1,FALSE)</f>
        <v>#N/A</v>
      </c>
      <c r="J6660" s="31" t="s">
        <v>162</v>
      </c>
      <c r="K6660" s="11" t="s">
        <v>8652</v>
      </c>
      <c r="L6660" s="32" t="s">
        <v>8661</v>
      </c>
      <c r="M6660" s="113" t="s">
        <v>8662</v>
      </c>
      <c r="N6660" s="500">
        <v>44743</v>
      </c>
      <c r="O6660" s="500" t="s">
        <v>92</v>
      </c>
      <c r="P6660" s="488">
        <v>0</v>
      </c>
      <c r="Q6660" s="459">
        <v>4</v>
      </c>
      <c r="R6660" s="465">
        <f t="shared" si="194"/>
        <v>0</v>
      </c>
      <c r="S6660" s="31">
        <v>202304</v>
      </c>
      <c r="T6660" s="60" t="s">
        <v>8676</v>
      </c>
      <c r="U6660" s="411"/>
      <c r="V6660" s="411"/>
      <c r="W6660" s="411"/>
      <c r="X6660" s="34"/>
      <c r="Y6660" s="34"/>
    </row>
    <row r="6661" s="3" customFormat="1" customHeight="1" spans="1:25">
      <c r="A6661" s="11" t="s">
        <v>109</v>
      </c>
      <c r="B6661" s="11" t="s">
        <v>7422</v>
      </c>
      <c r="C6661" s="11" t="s">
        <v>44</v>
      </c>
      <c r="D6661" s="35" t="s">
        <v>7585</v>
      </c>
      <c r="E6661" s="13" t="s">
        <v>8640</v>
      </c>
      <c r="F6661" s="11" t="s">
        <v>8641</v>
      </c>
      <c r="G6661" s="11" t="s">
        <v>31</v>
      </c>
      <c r="H6661" s="110" t="s">
        <v>8677</v>
      </c>
      <c r="I6661" s="30" t="e">
        <f>VLOOKUP(H6661,'合同高级查询数据-4月返'!A:A,1,FALSE)</f>
        <v>#N/A</v>
      </c>
      <c r="J6661" s="31" t="s">
        <v>33</v>
      </c>
      <c r="K6661" s="11" t="s">
        <v>8652</v>
      </c>
      <c r="L6661" s="32" t="s">
        <v>8678</v>
      </c>
      <c r="M6661" s="113" t="s">
        <v>8654</v>
      </c>
      <c r="N6661" s="34">
        <v>43983</v>
      </c>
      <c r="O6661" s="35" t="s">
        <v>37</v>
      </c>
      <c r="P6661" s="465">
        <v>0</v>
      </c>
      <c r="Q6661" s="459">
        <v>288</v>
      </c>
      <c r="R6661" s="465">
        <f t="shared" si="194"/>
        <v>0</v>
      </c>
      <c r="S6661" s="31">
        <v>202304</v>
      </c>
      <c r="T6661" s="60" t="s">
        <v>8679</v>
      </c>
      <c r="U6661" s="104"/>
      <c r="V6661" s="438"/>
      <c r="W6661" s="104"/>
      <c r="X6661" s="500"/>
      <c r="Y6661" s="500"/>
    </row>
    <row r="6662" s="3" customFormat="1" customHeight="1" spans="1:25">
      <c r="A6662" s="11" t="s">
        <v>109</v>
      </c>
      <c r="B6662" s="11" t="s">
        <v>7422</v>
      </c>
      <c r="C6662" s="11" t="s">
        <v>44</v>
      </c>
      <c r="D6662" s="35" t="s">
        <v>7585</v>
      </c>
      <c r="E6662" s="13" t="s">
        <v>8640</v>
      </c>
      <c r="F6662" s="11" t="s">
        <v>8641</v>
      </c>
      <c r="G6662" s="11" t="s">
        <v>88</v>
      </c>
      <c r="H6662" s="110" t="s">
        <v>8677</v>
      </c>
      <c r="I6662" s="30" t="e">
        <f>VLOOKUP(H6662,'合同高级查询数据-4月返'!A:A,1,FALSE)</f>
        <v>#N/A</v>
      </c>
      <c r="J6662" s="31" t="s">
        <v>162</v>
      </c>
      <c r="K6662" s="11" t="s">
        <v>8652</v>
      </c>
      <c r="L6662" s="32" t="s">
        <v>8678</v>
      </c>
      <c r="M6662" s="113" t="s">
        <v>8654</v>
      </c>
      <c r="N6662" s="34">
        <v>43983</v>
      </c>
      <c r="O6662" s="500" t="s">
        <v>92</v>
      </c>
      <c r="P6662" s="465">
        <v>4320</v>
      </c>
      <c r="Q6662" s="459">
        <v>1</v>
      </c>
      <c r="R6662" s="465">
        <f t="shared" si="194"/>
        <v>4320</v>
      </c>
      <c r="S6662" s="31">
        <v>202304</v>
      </c>
      <c r="T6662" s="60" t="s">
        <v>8680</v>
      </c>
      <c r="U6662" s="104"/>
      <c r="V6662" s="438"/>
      <c r="W6662" s="104"/>
      <c r="X6662" s="500"/>
      <c r="Y6662" s="500"/>
    </row>
    <row r="6663" s="3" customFormat="1" customHeight="1" spans="1:25">
      <c r="A6663" s="11" t="s">
        <v>109</v>
      </c>
      <c r="B6663" s="11" t="s">
        <v>7422</v>
      </c>
      <c r="C6663" s="11" t="s">
        <v>44</v>
      </c>
      <c r="D6663" s="35" t="s">
        <v>7585</v>
      </c>
      <c r="E6663" s="13" t="s">
        <v>8640</v>
      </c>
      <c r="F6663" s="11" t="s">
        <v>8641</v>
      </c>
      <c r="G6663" s="11" t="s">
        <v>88</v>
      </c>
      <c r="H6663" s="110" t="s">
        <v>8677</v>
      </c>
      <c r="I6663" s="30" t="e">
        <f>VLOOKUP(H6663,'合同高级查询数据-4月返'!A:A,1,FALSE)</f>
        <v>#N/A</v>
      </c>
      <c r="J6663" s="31" t="s">
        <v>162</v>
      </c>
      <c r="K6663" s="11" t="s">
        <v>8652</v>
      </c>
      <c r="L6663" s="32" t="s">
        <v>8678</v>
      </c>
      <c r="M6663" s="113" t="s">
        <v>8654</v>
      </c>
      <c r="N6663" s="34">
        <v>44182</v>
      </c>
      <c r="O6663" s="500" t="s">
        <v>92</v>
      </c>
      <c r="P6663" s="465">
        <v>4320</v>
      </c>
      <c r="Q6663" s="459">
        <v>3</v>
      </c>
      <c r="R6663" s="465">
        <f t="shared" si="194"/>
        <v>12960</v>
      </c>
      <c r="S6663" s="31">
        <v>202304</v>
      </c>
      <c r="T6663" s="60" t="s">
        <v>8681</v>
      </c>
      <c r="U6663" s="104"/>
      <c r="V6663" s="438"/>
      <c r="W6663" s="104"/>
      <c r="X6663" s="500"/>
      <c r="Y6663" s="500"/>
    </row>
    <row r="6664" s="5" customFormat="1" customHeight="1" spans="1:25">
      <c r="A6664" s="24" t="s">
        <v>109</v>
      </c>
      <c r="B6664" s="96" t="s">
        <v>7422</v>
      </c>
      <c r="C6664" s="22" t="s">
        <v>3951</v>
      </c>
      <c r="D6664" s="22" t="s">
        <v>28</v>
      </c>
      <c r="E6664" s="23" t="s">
        <v>8640</v>
      </c>
      <c r="F6664" s="24" t="s">
        <v>8641</v>
      </c>
      <c r="G6664" s="24" t="s">
        <v>31</v>
      </c>
      <c r="H6664" s="25" t="s">
        <v>8682</v>
      </c>
      <c r="I6664" s="46" t="e">
        <f>VLOOKUP(H6664,'合同高级查询数据-4月返'!A:A,1,FALSE)</f>
        <v>#N/A</v>
      </c>
      <c r="J6664" s="47" t="s">
        <v>33</v>
      </c>
      <c r="K6664" s="24" t="s">
        <v>3951</v>
      </c>
      <c r="L6664" s="109" t="s">
        <v>8683</v>
      </c>
      <c r="M6664" s="49" t="s">
        <v>8684</v>
      </c>
      <c r="N6664" s="50">
        <v>44075</v>
      </c>
      <c r="O6664" s="22" t="s">
        <v>37</v>
      </c>
      <c r="P6664" s="52">
        <v>0</v>
      </c>
      <c r="Q6664" s="70">
        <v>288</v>
      </c>
      <c r="R6664" s="52">
        <f t="shared" si="194"/>
        <v>0</v>
      </c>
      <c r="S6664" s="47">
        <v>202304</v>
      </c>
      <c r="T6664" s="123" t="s">
        <v>8685</v>
      </c>
      <c r="U6664" s="97"/>
      <c r="V6664" s="453"/>
      <c r="W6664" s="97"/>
      <c r="X6664" s="50">
        <v>44440</v>
      </c>
      <c r="Y6664" s="50">
        <v>44804</v>
      </c>
    </row>
    <row r="6665" s="5" customFormat="1" customHeight="1" spans="1:25">
      <c r="A6665" s="24" t="s">
        <v>109</v>
      </c>
      <c r="B6665" s="96" t="s">
        <v>7422</v>
      </c>
      <c r="C6665" s="22" t="s">
        <v>3951</v>
      </c>
      <c r="D6665" s="22" t="s">
        <v>28</v>
      </c>
      <c r="E6665" s="23" t="s">
        <v>8640</v>
      </c>
      <c r="F6665" s="24" t="s">
        <v>8641</v>
      </c>
      <c r="G6665" s="24" t="s">
        <v>31</v>
      </c>
      <c r="H6665" s="25" t="s">
        <v>8682</v>
      </c>
      <c r="I6665" s="46" t="e">
        <f>VLOOKUP(H6665,'合同高级查询数据-4月返'!A:A,1,FALSE)</f>
        <v>#N/A</v>
      </c>
      <c r="J6665" s="47" t="s">
        <v>33</v>
      </c>
      <c r="K6665" s="24" t="s">
        <v>3951</v>
      </c>
      <c r="L6665" s="109" t="s">
        <v>8683</v>
      </c>
      <c r="M6665" s="49" t="s">
        <v>8684</v>
      </c>
      <c r="N6665" s="50">
        <v>44561</v>
      </c>
      <c r="O6665" s="22" t="s">
        <v>37</v>
      </c>
      <c r="P6665" s="52">
        <v>0</v>
      </c>
      <c r="Q6665" s="70">
        <v>-288</v>
      </c>
      <c r="R6665" s="52">
        <f t="shared" si="194"/>
        <v>0</v>
      </c>
      <c r="S6665" s="47">
        <v>202304</v>
      </c>
      <c r="T6665" s="123" t="s">
        <v>7758</v>
      </c>
      <c r="U6665" s="97"/>
      <c r="V6665" s="453"/>
      <c r="W6665" s="97"/>
      <c r="X6665" s="50">
        <v>44440</v>
      </c>
      <c r="Y6665" s="50">
        <v>44804</v>
      </c>
    </row>
    <row r="6666" s="5" customFormat="1" customHeight="1" spans="1:25">
      <c r="A6666" s="24" t="s">
        <v>109</v>
      </c>
      <c r="B6666" s="96" t="s">
        <v>7422</v>
      </c>
      <c r="C6666" s="22" t="s">
        <v>3951</v>
      </c>
      <c r="D6666" s="22" t="s">
        <v>28</v>
      </c>
      <c r="E6666" s="23" t="s">
        <v>8640</v>
      </c>
      <c r="F6666" s="24" t="s">
        <v>8641</v>
      </c>
      <c r="G6666" s="24" t="s">
        <v>31</v>
      </c>
      <c r="H6666" s="25" t="s">
        <v>8682</v>
      </c>
      <c r="I6666" s="46" t="e">
        <f>VLOOKUP(H6666,'合同高级查询数据-4月返'!A:A,1,FALSE)</f>
        <v>#N/A</v>
      </c>
      <c r="J6666" s="47" t="s">
        <v>33</v>
      </c>
      <c r="K6666" s="24" t="s">
        <v>3951</v>
      </c>
      <c r="L6666" s="109" t="s">
        <v>8683</v>
      </c>
      <c r="M6666" s="49" t="s">
        <v>8684</v>
      </c>
      <c r="N6666" s="50"/>
      <c r="O6666" s="22" t="s">
        <v>179</v>
      </c>
      <c r="P6666" s="52">
        <v>0</v>
      </c>
      <c r="Q6666" s="52">
        <v>0</v>
      </c>
      <c r="R6666" s="52">
        <f t="shared" si="194"/>
        <v>0</v>
      </c>
      <c r="S6666" s="47">
        <v>202304</v>
      </c>
      <c r="T6666" s="123" t="s">
        <v>8498</v>
      </c>
      <c r="U6666" s="97"/>
      <c r="V6666" s="453"/>
      <c r="W6666" s="97"/>
      <c r="X6666" s="50">
        <v>44440</v>
      </c>
      <c r="Y6666" s="50">
        <v>44804</v>
      </c>
    </row>
    <row r="6667" s="5" customFormat="1" customHeight="1" spans="1:25">
      <c r="A6667" s="24" t="s">
        <v>109</v>
      </c>
      <c r="B6667" s="96" t="s">
        <v>7422</v>
      </c>
      <c r="C6667" s="22" t="s">
        <v>3951</v>
      </c>
      <c r="D6667" s="22" t="s">
        <v>28</v>
      </c>
      <c r="E6667" s="23" t="s">
        <v>8640</v>
      </c>
      <c r="F6667" s="24" t="s">
        <v>8641</v>
      </c>
      <c r="G6667" s="24" t="s">
        <v>88</v>
      </c>
      <c r="H6667" s="25" t="s">
        <v>8682</v>
      </c>
      <c r="I6667" s="46" t="e">
        <f>VLOOKUP(H6667,'合同高级查询数据-4月返'!A:A,1,FALSE)</f>
        <v>#N/A</v>
      </c>
      <c r="J6667" s="47" t="s">
        <v>162</v>
      </c>
      <c r="K6667" s="24" t="s">
        <v>3951</v>
      </c>
      <c r="L6667" s="109" t="s">
        <v>8683</v>
      </c>
      <c r="M6667" s="49" t="s">
        <v>8684</v>
      </c>
      <c r="N6667" s="50">
        <v>44075</v>
      </c>
      <c r="O6667" s="22" t="s">
        <v>503</v>
      </c>
      <c r="P6667" s="52">
        <v>4800</v>
      </c>
      <c r="Q6667" s="70">
        <v>5</v>
      </c>
      <c r="R6667" s="52">
        <f t="shared" si="194"/>
        <v>24000</v>
      </c>
      <c r="S6667" s="47">
        <v>202304</v>
      </c>
      <c r="T6667" s="123" t="s">
        <v>8686</v>
      </c>
      <c r="U6667" s="97"/>
      <c r="V6667" s="453"/>
      <c r="W6667" s="97"/>
      <c r="X6667" s="50">
        <v>44440</v>
      </c>
      <c r="Y6667" s="50">
        <v>44804</v>
      </c>
    </row>
    <row r="6668" s="5" customFormat="1" customHeight="1" spans="1:25">
      <c r="A6668" s="24" t="s">
        <v>109</v>
      </c>
      <c r="B6668" s="96" t="s">
        <v>7422</v>
      </c>
      <c r="C6668" s="22" t="s">
        <v>3951</v>
      </c>
      <c r="D6668" s="22" t="s">
        <v>28</v>
      </c>
      <c r="E6668" s="23" t="s">
        <v>8640</v>
      </c>
      <c r="F6668" s="24" t="s">
        <v>8641</v>
      </c>
      <c r="G6668" s="24" t="s">
        <v>88</v>
      </c>
      <c r="H6668" s="25" t="s">
        <v>8682</v>
      </c>
      <c r="I6668" s="46" t="e">
        <f>VLOOKUP(H6668,'合同高级查询数据-4月返'!A:A,1,FALSE)</f>
        <v>#N/A</v>
      </c>
      <c r="J6668" s="47" t="s">
        <v>162</v>
      </c>
      <c r="K6668" s="24" t="s">
        <v>3951</v>
      </c>
      <c r="L6668" s="109" t="s">
        <v>8683</v>
      </c>
      <c r="M6668" s="49" t="s">
        <v>8684</v>
      </c>
      <c r="N6668" s="50">
        <v>44561</v>
      </c>
      <c r="O6668" s="22" t="s">
        <v>503</v>
      </c>
      <c r="P6668" s="52">
        <v>4800</v>
      </c>
      <c r="Q6668" s="70">
        <v>-5</v>
      </c>
      <c r="R6668" s="52">
        <f t="shared" si="194"/>
        <v>-24000</v>
      </c>
      <c r="S6668" s="47">
        <v>202304</v>
      </c>
      <c r="T6668" s="123" t="s">
        <v>8687</v>
      </c>
      <c r="U6668" s="97"/>
      <c r="V6668" s="453"/>
      <c r="W6668" s="97"/>
      <c r="X6668" s="50">
        <v>44440</v>
      </c>
      <c r="Y6668" s="50">
        <v>44804</v>
      </c>
    </row>
    <row r="6669" s="5" customFormat="1" customHeight="1" spans="1:25">
      <c r="A6669" s="21" t="s">
        <v>25</v>
      </c>
      <c r="B6669" s="96" t="s">
        <v>7422</v>
      </c>
      <c r="C6669" s="24" t="s">
        <v>44</v>
      </c>
      <c r="D6669" s="22" t="s">
        <v>7585</v>
      </c>
      <c r="E6669" s="23" t="s">
        <v>8640</v>
      </c>
      <c r="F6669" s="24" t="s">
        <v>8641</v>
      </c>
      <c r="G6669" s="24" t="s">
        <v>31</v>
      </c>
      <c r="H6669" s="25" t="s">
        <v>8688</v>
      </c>
      <c r="I6669" s="46" t="e">
        <f>VLOOKUP(H6669,'合同高级查询数据-4月返'!A:A,1,FALSE)</f>
        <v>#N/A</v>
      </c>
      <c r="J6669" s="47" t="s">
        <v>33</v>
      </c>
      <c r="K6669" s="24" t="s">
        <v>8652</v>
      </c>
      <c r="L6669" s="109" t="s">
        <v>8689</v>
      </c>
      <c r="M6669" s="49" t="s">
        <v>8690</v>
      </c>
      <c r="N6669" s="50">
        <v>44105</v>
      </c>
      <c r="O6669" s="22" t="s">
        <v>37</v>
      </c>
      <c r="P6669" s="52">
        <v>0</v>
      </c>
      <c r="Q6669" s="70">
        <v>320</v>
      </c>
      <c r="R6669" s="52">
        <f t="shared" si="194"/>
        <v>0</v>
      </c>
      <c r="S6669" s="47">
        <v>202304</v>
      </c>
      <c r="T6669" s="123" t="s">
        <v>8691</v>
      </c>
      <c r="U6669" s="97"/>
      <c r="V6669" s="453"/>
      <c r="W6669" s="97"/>
      <c r="X6669" s="50">
        <v>44378</v>
      </c>
      <c r="Y6669" s="50">
        <v>44742</v>
      </c>
    </row>
    <row r="6670" s="5" customFormat="1" customHeight="1" spans="1:25">
      <c r="A6670" s="21" t="s">
        <v>25</v>
      </c>
      <c r="B6670" s="96" t="s">
        <v>7422</v>
      </c>
      <c r="C6670" s="24" t="s">
        <v>44</v>
      </c>
      <c r="D6670" s="22" t="s">
        <v>7585</v>
      </c>
      <c r="E6670" s="23" t="s">
        <v>8640</v>
      </c>
      <c r="F6670" s="24" t="s">
        <v>8641</v>
      </c>
      <c r="G6670" s="24" t="s">
        <v>31</v>
      </c>
      <c r="H6670" s="25" t="s">
        <v>8688</v>
      </c>
      <c r="I6670" s="46" t="e">
        <f>VLOOKUP(H6670,'合同高级查询数据-4月返'!A:A,1,FALSE)</f>
        <v>#N/A</v>
      </c>
      <c r="J6670" s="47" t="s">
        <v>33</v>
      </c>
      <c r="K6670" s="24" t="s">
        <v>8652</v>
      </c>
      <c r="L6670" s="109" t="s">
        <v>8689</v>
      </c>
      <c r="M6670" s="49" t="s">
        <v>8690</v>
      </c>
      <c r="N6670" s="50"/>
      <c r="O6670" s="22" t="s">
        <v>179</v>
      </c>
      <c r="P6670" s="52">
        <v>0</v>
      </c>
      <c r="Q6670" s="52">
        <v>0</v>
      </c>
      <c r="R6670" s="52">
        <f t="shared" si="194"/>
        <v>0</v>
      </c>
      <c r="S6670" s="47">
        <v>202304</v>
      </c>
      <c r="T6670" s="123" t="s">
        <v>8692</v>
      </c>
      <c r="U6670" s="97"/>
      <c r="V6670" s="453"/>
      <c r="W6670" s="97"/>
      <c r="X6670" s="50">
        <v>44378</v>
      </c>
      <c r="Y6670" s="50">
        <v>44742</v>
      </c>
    </row>
    <row r="6671" s="5" customFormat="1" customHeight="1" spans="1:25">
      <c r="A6671" s="21" t="s">
        <v>25</v>
      </c>
      <c r="B6671" s="96" t="s">
        <v>7422</v>
      </c>
      <c r="C6671" s="24" t="s">
        <v>44</v>
      </c>
      <c r="D6671" s="22" t="s">
        <v>7585</v>
      </c>
      <c r="E6671" s="23" t="s">
        <v>8640</v>
      </c>
      <c r="F6671" s="24" t="s">
        <v>8641</v>
      </c>
      <c r="G6671" s="24" t="s">
        <v>88</v>
      </c>
      <c r="H6671" s="25" t="s">
        <v>8688</v>
      </c>
      <c r="I6671" s="46" t="e">
        <f>VLOOKUP(H6671,'合同高级查询数据-4月返'!A:A,1,FALSE)</f>
        <v>#N/A</v>
      </c>
      <c r="J6671" s="47" t="s">
        <v>162</v>
      </c>
      <c r="K6671" s="24" t="s">
        <v>8652</v>
      </c>
      <c r="L6671" s="109" t="s">
        <v>8689</v>
      </c>
      <c r="M6671" s="49" t="s">
        <v>8690</v>
      </c>
      <c r="N6671" s="50">
        <v>44105</v>
      </c>
      <c r="O6671" s="22" t="s">
        <v>92</v>
      </c>
      <c r="P6671" s="52">
        <v>0</v>
      </c>
      <c r="Q6671" s="70">
        <v>6</v>
      </c>
      <c r="R6671" s="52">
        <f t="shared" si="194"/>
        <v>0</v>
      </c>
      <c r="S6671" s="47">
        <v>202304</v>
      </c>
      <c r="T6671" s="123" t="s">
        <v>8693</v>
      </c>
      <c r="U6671" s="97"/>
      <c r="V6671" s="453"/>
      <c r="W6671" s="97"/>
      <c r="X6671" s="50">
        <v>44378</v>
      </c>
      <c r="Y6671" s="50">
        <v>44742</v>
      </c>
    </row>
    <row r="6672" s="5" customFormat="1" customHeight="1" spans="1:25">
      <c r="A6672" s="21" t="s">
        <v>25</v>
      </c>
      <c r="B6672" s="96" t="s">
        <v>7422</v>
      </c>
      <c r="C6672" s="24" t="s">
        <v>44</v>
      </c>
      <c r="D6672" s="22" t="s">
        <v>7585</v>
      </c>
      <c r="E6672" s="23" t="s">
        <v>8640</v>
      </c>
      <c r="F6672" s="24" t="s">
        <v>8641</v>
      </c>
      <c r="G6672" s="24" t="s">
        <v>88</v>
      </c>
      <c r="H6672" s="25" t="s">
        <v>8688</v>
      </c>
      <c r="I6672" s="46" t="e">
        <f>VLOOKUP(H6672,'合同高级查询数据-4月返'!A:A,1,FALSE)</f>
        <v>#N/A</v>
      </c>
      <c r="J6672" s="47" t="s">
        <v>162</v>
      </c>
      <c r="K6672" s="24" t="s">
        <v>8652</v>
      </c>
      <c r="L6672" s="109" t="s">
        <v>8689</v>
      </c>
      <c r="M6672" s="49" t="s">
        <v>8690</v>
      </c>
      <c r="N6672" s="50">
        <v>44742</v>
      </c>
      <c r="O6672" s="22" t="s">
        <v>92</v>
      </c>
      <c r="P6672" s="52">
        <v>0</v>
      </c>
      <c r="Q6672" s="70">
        <v>-6</v>
      </c>
      <c r="R6672" s="52">
        <f t="shared" si="194"/>
        <v>0</v>
      </c>
      <c r="S6672" s="47">
        <v>202304</v>
      </c>
      <c r="T6672" s="123" t="s">
        <v>8694</v>
      </c>
      <c r="U6672" s="97"/>
      <c r="V6672" s="453"/>
      <c r="W6672" s="97"/>
      <c r="X6672" s="50">
        <v>44378</v>
      </c>
      <c r="Y6672" s="50">
        <v>44742</v>
      </c>
    </row>
    <row r="6673" s="5" customFormat="1" customHeight="1" spans="1:25">
      <c r="A6673" s="24" t="s">
        <v>109</v>
      </c>
      <c r="B6673" s="96" t="s">
        <v>7422</v>
      </c>
      <c r="C6673" s="24" t="s">
        <v>238</v>
      </c>
      <c r="D6673" s="22" t="s">
        <v>7585</v>
      </c>
      <c r="E6673" s="23" t="s">
        <v>8640</v>
      </c>
      <c r="F6673" s="24" t="s">
        <v>8641</v>
      </c>
      <c r="G6673" s="24" t="s">
        <v>31</v>
      </c>
      <c r="H6673" s="25" t="s">
        <v>8695</v>
      </c>
      <c r="I6673" s="46" t="e">
        <f>VLOOKUP(H6673,'合同高级查询数据-4月返'!A:A,1,FALSE)</f>
        <v>#N/A</v>
      </c>
      <c r="J6673" s="47" t="s">
        <v>33</v>
      </c>
      <c r="K6673" s="24" t="s">
        <v>240</v>
      </c>
      <c r="L6673" s="109" t="s">
        <v>2194</v>
      </c>
      <c r="M6673" s="49" t="s">
        <v>8696</v>
      </c>
      <c r="N6673" s="50">
        <v>44317</v>
      </c>
      <c r="O6673" s="22" t="s">
        <v>37</v>
      </c>
      <c r="P6673" s="52">
        <v>0</v>
      </c>
      <c r="Q6673" s="70">
        <v>320</v>
      </c>
      <c r="R6673" s="52">
        <f t="shared" si="194"/>
        <v>0</v>
      </c>
      <c r="S6673" s="47">
        <v>202304</v>
      </c>
      <c r="T6673" s="123" t="s">
        <v>8697</v>
      </c>
      <c r="U6673" s="97"/>
      <c r="V6673" s="453"/>
      <c r="W6673" s="97"/>
      <c r="X6673" s="50">
        <v>44317</v>
      </c>
      <c r="Y6673" s="50">
        <v>44681</v>
      </c>
    </row>
    <row r="6674" s="5" customFormat="1" customHeight="1" spans="1:25">
      <c r="A6674" s="24" t="s">
        <v>109</v>
      </c>
      <c r="B6674" s="96" t="s">
        <v>7422</v>
      </c>
      <c r="C6674" s="24" t="s">
        <v>238</v>
      </c>
      <c r="D6674" s="22" t="s">
        <v>7585</v>
      </c>
      <c r="E6674" s="23" t="s">
        <v>8640</v>
      </c>
      <c r="F6674" s="24" t="s">
        <v>8641</v>
      </c>
      <c r="G6674" s="24" t="s">
        <v>31</v>
      </c>
      <c r="H6674" s="25" t="s">
        <v>8695</v>
      </c>
      <c r="I6674" s="46" t="e">
        <f>VLOOKUP(H6674,'合同高级查询数据-4月返'!A:A,1,FALSE)</f>
        <v>#N/A</v>
      </c>
      <c r="J6674" s="47" t="s">
        <v>33</v>
      </c>
      <c r="K6674" s="24" t="s">
        <v>240</v>
      </c>
      <c r="L6674" s="109" t="s">
        <v>2194</v>
      </c>
      <c r="M6674" s="49" t="s">
        <v>8696</v>
      </c>
      <c r="N6674" s="50"/>
      <c r="O6674" s="22" t="s">
        <v>179</v>
      </c>
      <c r="P6674" s="52">
        <v>0</v>
      </c>
      <c r="Q6674" s="52">
        <v>0</v>
      </c>
      <c r="R6674" s="52">
        <f t="shared" si="194"/>
        <v>0</v>
      </c>
      <c r="S6674" s="47">
        <v>202304</v>
      </c>
      <c r="T6674" s="123" t="s">
        <v>7860</v>
      </c>
      <c r="U6674" s="97"/>
      <c r="V6674" s="453"/>
      <c r="W6674" s="97"/>
      <c r="X6674" s="50">
        <v>44317</v>
      </c>
      <c r="Y6674" s="50">
        <v>44681</v>
      </c>
    </row>
    <row r="6675" s="5" customFormat="1" customHeight="1" spans="1:25">
      <c r="A6675" s="24" t="s">
        <v>109</v>
      </c>
      <c r="B6675" s="96" t="s">
        <v>7422</v>
      </c>
      <c r="C6675" s="24" t="s">
        <v>238</v>
      </c>
      <c r="D6675" s="22" t="s">
        <v>7585</v>
      </c>
      <c r="E6675" s="23" t="s">
        <v>8640</v>
      </c>
      <c r="F6675" s="24" t="s">
        <v>8641</v>
      </c>
      <c r="G6675" s="24" t="s">
        <v>88</v>
      </c>
      <c r="H6675" s="25" t="s">
        <v>8695</v>
      </c>
      <c r="I6675" s="46" t="e">
        <f>VLOOKUP(H6675,'合同高级查询数据-4月返'!A:A,1,FALSE)</f>
        <v>#N/A</v>
      </c>
      <c r="J6675" s="47" t="s">
        <v>162</v>
      </c>
      <c r="K6675" s="24" t="s">
        <v>240</v>
      </c>
      <c r="L6675" s="109" t="s">
        <v>2194</v>
      </c>
      <c r="M6675" s="49" t="s">
        <v>8696</v>
      </c>
      <c r="N6675" s="50">
        <v>44317</v>
      </c>
      <c r="O6675" s="22" t="s">
        <v>92</v>
      </c>
      <c r="P6675" s="52">
        <v>4000</v>
      </c>
      <c r="Q6675" s="70">
        <v>4</v>
      </c>
      <c r="R6675" s="52">
        <f t="shared" si="194"/>
        <v>16000</v>
      </c>
      <c r="S6675" s="47">
        <v>202304</v>
      </c>
      <c r="T6675" s="123" t="s">
        <v>8698</v>
      </c>
      <c r="U6675" s="97"/>
      <c r="V6675" s="453"/>
      <c r="W6675" s="97"/>
      <c r="X6675" s="50">
        <v>44317</v>
      </c>
      <c r="Y6675" s="50">
        <v>44681</v>
      </c>
    </row>
    <row r="6676" s="5" customFormat="1" customHeight="1" spans="1:25">
      <c r="A6676" s="24" t="s">
        <v>109</v>
      </c>
      <c r="B6676" s="96" t="s">
        <v>7422</v>
      </c>
      <c r="C6676" s="24" t="s">
        <v>238</v>
      </c>
      <c r="D6676" s="22" t="s">
        <v>7585</v>
      </c>
      <c r="E6676" s="23" t="s">
        <v>8640</v>
      </c>
      <c r="F6676" s="24" t="s">
        <v>8641</v>
      </c>
      <c r="G6676" s="24" t="s">
        <v>88</v>
      </c>
      <c r="H6676" s="25" t="s">
        <v>8695</v>
      </c>
      <c r="I6676" s="46" t="e">
        <f>VLOOKUP(H6676,'合同高级查询数据-4月返'!A:A,1,FALSE)</f>
        <v>#N/A</v>
      </c>
      <c r="J6676" s="47" t="s">
        <v>162</v>
      </c>
      <c r="K6676" s="24" t="s">
        <v>240</v>
      </c>
      <c r="L6676" s="109" t="s">
        <v>2194</v>
      </c>
      <c r="M6676" s="49" t="s">
        <v>8696</v>
      </c>
      <c r="N6676" s="50">
        <v>44500</v>
      </c>
      <c r="O6676" s="22" t="s">
        <v>92</v>
      </c>
      <c r="P6676" s="52">
        <v>4000</v>
      </c>
      <c r="Q6676" s="70">
        <v>-4</v>
      </c>
      <c r="R6676" s="52">
        <f t="shared" si="194"/>
        <v>-16000</v>
      </c>
      <c r="S6676" s="47">
        <v>202304</v>
      </c>
      <c r="T6676" s="123" t="s">
        <v>8699</v>
      </c>
      <c r="U6676" s="97"/>
      <c r="V6676" s="453"/>
      <c r="W6676" s="97"/>
      <c r="X6676" s="50">
        <v>44317</v>
      </c>
      <c r="Y6676" s="50">
        <v>44681</v>
      </c>
    </row>
    <row r="6677" s="5" customFormat="1" customHeight="1" spans="1:25">
      <c r="A6677" s="24" t="s">
        <v>109</v>
      </c>
      <c r="B6677" s="96" t="s">
        <v>7422</v>
      </c>
      <c r="C6677" s="22" t="s">
        <v>216</v>
      </c>
      <c r="D6677" s="22" t="s">
        <v>7585</v>
      </c>
      <c r="E6677" s="23" t="s">
        <v>8640</v>
      </c>
      <c r="F6677" s="24" t="s">
        <v>8641</v>
      </c>
      <c r="G6677" s="24" t="s">
        <v>31</v>
      </c>
      <c r="H6677" s="25" t="s">
        <v>8700</v>
      </c>
      <c r="I6677" s="46" t="e">
        <f>VLOOKUP(H6677,'合同高级查询数据-4月返'!A:A,1,FALSE)</f>
        <v>#N/A</v>
      </c>
      <c r="J6677" s="47" t="s">
        <v>33</v>
      </c>
      <c r="K6677" s="24" t="s">
        <v>218</v>
      </c>
      <c r="L6677" s="109" t="s">
        <v>8701</v>
      </c>
      <c r="M6677" s="49" t="s">
        <v>8702</v>
      </c>
      <c r="N6677" s="50">
        <v>44410</v>
      </c>
      <c r="O6677" s="22" t="s">
        <v>37</v>
      </c>
      <c r="P6677" s="52">
        <v>0</v>
      </c>
      <c r="Q6677" s="70">
        <v>160</v>
      </c>
      <c r="R6677" s="52">
        <f t="shared" si="194"/>
        <v>0</v>
      </c>
      <c r="S6677" s="47">
        <v>202304</v>
      </c>
      <c r="T6677" s="123" t="s">
        <v>8703</v>
      </c>
      <c r="U6677" s="97"/>
      <c r="V6677" s="453"/>
      <c r="W6677" s="453"/>
      <c r="X6677" s="493">
        <v>44409</v>
      </c>
      <c r="Y6677" s="493">
        <v>44773</v>
      </c>
    </row>
    <row r="6678" s="5" customFormat="1" customHeight="1" spans="1:25">
      <c r="A6678" s="24" t="s">
        <v>109</v>
      </c>
      <c r="B6678" s="96" t="s">
        <v>7422</v>
      </c>
      <c r="C6678" s="22" t="s">
        <v>216</v>
      </c>
      <c r="D6678" s="22" t="s">
        <v>7585</v>
      </c>
      <c r="E6678" s="23" t="s">
        <v>8640</v>
      </c>
      <c r="F6678" s="24" t="s">
        <v>8641</v>
      </c>
      <c r="G6678" s="24" t="s">
        <v>31</v>
      </c>
      <c r="H6678" s="25" t="s">
        <v>8700</v>
      </c>
      <c r="I6678" s="46" t="e">
        <f>VLOOKUP(H6678,'合同高级查询数据-4月返'!A:A,1,FALSE)</f>
        <v>#N/A</v>
      </c>
      <c r="J6678" s="47" t="s">
        <v>33</v>
      </c>
      <c r="K6678" s="24" t="s">
        <v>218</v>
      </c>
      <c r="L6678" s="109" t="s">
        <v>8701</v>
      </c>
      <c r="M6678" s="49" t="s">
        <v>8702</v>
      </c>
      <c r="N6678" s="50">
        <v>44410</v>
      </c>
      <c r="O6678" s="22" t="s">
        <v>37</v>
      </c>
      <c r="P6678" s="52">
        <v>50</v>
      </c>
      <c r="Q6678" s="70">
        <v>128</v>
      </c>
      <c r="R6678" s="52">
        <f t="shared" si="194"/>
        <v>6400</v>
      </c>
      <c r="S6678" s="47">
        <v>202304</v>
      </c>
      <c r="T6678" s="123" t="s">
        <v>8703</v>
      </c>
      <c r="U6678" s="97"/>
      <c r="V6678" s="453"/>
      <c r="W6678" s="453"/>
      <c r="X6678" s="493">
        <v>44409</v>
      </c>
      <c r="Y6678" s="493">
        <v>44773</v>
      </c>
    </row>
    <row r="6679" s="5" customFormat="1" customHeight="1" spans="1:25">
      <c r="A6679" s="24" t="s">
        <v>109</v>
      </c>
      <c r="B6679" s="96" t="s">
        <v>7422</v>
      </c>
      <c r="C6679" s="22" t="s">
        <v>216</v>
      </c>
      <c r="D6679" s="22" t="s">
        <v>7585</v>
      </c>
      <c r="E6679" s="23" t="s">
        <v>8640</v>
      </c>
      <c r="F6679" s="24" t="s">
        <v>8641</v>
      </c>
      <c r="G6679" s="24" t="s">
        <v>31</v>
      </c>
      <c r="H6679" s="25" t="s">
        <v>8700</v>
      </c>
      <c r="I6679" s="46" t="e">
        <f>VLOOKUP(H6679,'合同高级查询数据-4月返'!A:A,1,FALSE)</f>
        <v>#N/A</v>
      </c>
      <c r="J6679" s="47" t="s">
        <v>33</v>
      </c>
      <c r="K6679" s="24" t="s">
        <v>218</v>
      </c>
      <c r="L6679" s="109" t="s">
        <v>8701</v>
      </c>
      <c r="M6679" s="49" t="s">
        <v>8702</v>
      </c>
      <c r="N6679" s="50">
        <v>44742</v>
      </c>
      <c r="O6679" s="22" t="s">
        <v>37</v>
      </c>
      <c r="P6679" s="52">
        <v>0</v>
      </c>
      <c r="Q6679" s="70">
        <v>-160</v>
      </c>
      <c r="R6679" s="52">
        <f t="shared" si="194"/>
        <v>0</v>
      </c>
      <c r="S6679" s="47">
        <v>202304</v>
      </c>
      <c r="T6679" s="123" t="s">
        <v>8704</v>
      </c>
      <c r="U6679" s="97"/>
      <c r="V6679" s="453"/>
      <c r="W6679" s="453"/>
      <c r="X6679" s="493">
        <v>44409</v>
      </c>
      <c r="Y6679" s="493">
        <v>44773</v>
      </c>
    </row>
    <row r="6680" s="5" customFormat="1" customHeight="1" spans="1:25">
      <c r="A6680" s="24" t="s">
        <v>109</v>
      </c>
      <c r="B6680" s="96" t="s">
        <v>7422</v>
      </c>
      <c r="C6680" s="22" t="s">
        <v>216</v>
      </c>
      <c r="D6680" s="22" t="s">
        <v>7585</v>
      </c>
      <c r="E6680" s="23" t="s">
        <v>8640</v>
      </c>
      <c r="F6680" s="24" t="s">
        <v>8641</v>
      </c>
      <c r="G6680" s="24" t="s">
        <v>31</v>
      </c>
      <c r="H6680" s="25" t="s">
        <v>8700</v>
      </c>
      <c r="I6680" s="46" t="e">
        <f>VLOOKUP(H6680,'合同高级查询数据-4月返'!A:A,1,FALSE)</f>
        <v>#N/A</v>
      </c>
      <c r="J6680" s="47" t="s">
        <v>33</v>
      </c>
      <c r="K6680" s="24" t="s">
        <v>218</v>
      </c>
      <c r="L6680" s="109" t="s">
        <v>8701</v>
      </c>
      <c r="M6680" s="49" t="s">
        <v>8702</v>
      </c>
      <c r="N6680" s="50">
        <v>44742</v>
      </c>
      <c r="O6680" s="22" t="s">
        <v>37</v>
      </c>
      <c r="P6680" s="52">
        <v>50</v>
      </c>
      <c r="Q6680" s="70">
        <v>-128</v>
      </c>
      <c r="R6680" s="52">
        <f t="shared" si="194"/>
        <v>-6400</v>
      </c>
      <c r="S6680" s="47">
        <v>202304</v>
      </c>
      <c r="T6680" s="123" t="s">
        <v>8704</v>
      </c>
      <c r="U6680" s="97"/>
      <c r="V6680" s="453"/>
      <c r="W6680" s="453"/>
      <c r="X6680" s="493">
        <v>44409</v>
      </c>
      <c r="Y6680" s="493">
        <v>44773</v>
      </c>
    </row>
    <row r="6681" s="5" customFormat="1" customHeight="1" spans="1:25">
      <c r="A6681" s="24" t="s">
        <v>109</v>
      </c>
      <c r="B6681" s="96" t="s">
        <v>7422</v>
      </c>
      <c r="C6681" s="22" t="s">
        <v>216</v>
      </c>
      <c r="D6681" s="22" t="s">
        <v>7585</v>
      </c>
      <c r="E6681" s="23" t="s">
        <v>8640</v>
      </c>
      <c r="F6681" s="24" t="s">
        <v>8641</v>
      </c>
      <c r="G6681" s="24" t="s">
        <v>31</v>
      </c>
      <c r="H6681" s="25" t="s">
        <v>8700</v>
      </c>
      <c r="I6681" s="46" t="e">
        <f>VLOOKUP(H6681,'合同高级查询数据-4月返'!A:A,1,FALSE)</f>
        <v>#N/A</v>
      </c>
      <c r="J6681" s="47" t="s">
        <v>33</v>
      </c>
      <c r="K6681" s="24" t="s">
        <v>218</v>
      </c>
      <c r="L6681" s="109" t="s">
        <v>8701</v>
      </c>
      <c r="M6681" s="49" t="s">
        <v>8702</v>
      </c>
      <c r="N6681" s="50"/>
      <c r="O6681" s="22" t="s">
        <v>179</v>
      </c>
      <c r="P6681" s="52">
        <v>0</v>
      </c>
      <c r="Q6681" s="70">
        <v>0</v>
      </c>
      <c r="R6681" s="52">
        <f t="shared" si="194"/>
        <v>0</v>
      </c>
      <c r="S6681" s="47">
        <v>202304</v>
      </c>
      <c r="T6681" s="123" t="s">
        <v>8705</v>
      </c>
      <c r="U6681" s="97"/>
      <c r="V6681" s="453"/>
      <c r="W6681" s="453"/>
      <c r="X6681" s="493">
        <v>44409</v>
      </c>
      <c r="Y6681" s="493">
        <v>44773</v>
      </c>
    </row>
    <row r="6682" s="5" customFormat="1" customHeight="1" spans="1:25">
      <c r="A6682" s="24" t="s">
        <v>109</v>
      </c>
      <c r="B6682" s="96" t="s">
        <v>7422</v>
      </c>
      <c r="C6682" s="22" t="s">
        <v>216</v>
      </c>
      <c r="D6682" s="22" t="s">
        <v>7585</v>
      </c>
      <c r="E6682" s="23" t="s">
        <v>8640</v>
      </c>
      <c r="F6682" s="24" t="s">
        <v>8641</v>
      </c>
      <c r="G6682" s="24" t="s">
        <v>88</v>
      </c>
      <c r="H6682" s="25" t="s">
        <v>8700</v>
      </c>
      <c r="I6682" s="46" t="e">
        <f>VLOOKUP(H6682,'合同高级查询数据-4月返'!A:A,1,FALSE)</f>
        <v>#N/A</v>
      </c>
      <c r="J6682" s="47" t="s">
        <v>162</v>
      </c>
      <c r="K6682" s="24" t="s">
        <v>218</v>
      </c>
      <c r="L6682" s="109" t="s">
        <v>8701</v>
      </c>
      <c r="M6682" s="49" t="s">
        <v>8702</v>
      </c>
      <c r="N6682" s="50">
        <v>44410</v>
      </c>
      <c r="O6682" s="22" t="s">
        <v>92</v>
      </c>
      <c r="P6682" s="52">
        <v>5000</v>
      </c>
      <c r="Q6682" s="70">
        <v>7</v>
      </c>
      <c r="R6682" s="52">
        <f t="shared" si="194"/>
        <v>35000</v>
      </c>
      <c r="S6682" s="47">
        <v>202304</v>
      </c>
      <c r="T6682" s="123" t="s">
        <v>8706</v>
      </c>
      <c r="U6682" s="97"/>
      <c r="V6682" s="453"/>
      <c r="W6682" s="453"/>
      <c r="X6682" s="493">
        <v>44409</v>
      </c>
      <c r="Y6682" s="493">
        <v>44773</v>
      </c>
    </row>
    <row r="6683" s="5" customFormat="1" customHeight="1" spans="1:25">
      <c r="A6683" s="24" t="s">
        <v>109</v>
      </c>
      <c r="B6683" s="96" t="s">
        <v>7422</v>
      </c>
      <c r="C6683" s="22" t="s">
        <v>216</v>
      </c>
      <c r="D6683" s="22" t="s">
        <v>7585</v>
      </c>
      <c r="E6683" s="23" t="s">
        <v>8640</v>
      </c>
      <c r="F6683" s="24" t="s">
        <v>8641</v>
      </c>
      <c r="G6683" s="24" t="s">
        <v>88</v>
      </c>
      <c r="H6683" s="25" t="s">
        <v>8700</v>
      </c>
      <c r="I6683" s="46" t="e">
        <f>VLOOKUP(H6683,'合同高级查询数据-4月返'!A:A,1,FALSE)</f>
        <v>#N/A</v>
      </c>
      <c r="J6683" s="47" t="s">
        <v>162</v>
      </c>
      <c r="K6683" s="24" t="s">
        <v>218</v>
      </c>
      <c r="L6683" s="109" t="s">
        <v>8701</v>
      </c>
      <c r="M6683" s="49" t="s">
        <v>8702</v>
      </c>
      <c r="N6683" s="50">
        <v>44651</v>
      </c>
      <c r="O6683" s="22" t="s">
        <v>92</v>
      </c>
      <c r="P6683" s="52">
        <v>5000</v>
      </c>
      <c r="Q6683" s="70">
        <v>-7</v>
      </c>
      <c r="R6683" s="52">
        <f t="shared" si="194"/>
        <v>-35000</v>
      </c>
      <c r="S6683" s="47">
        <v>202304</v>
      </c>
      <c r="T6683" s="123" t="s">
        <v>8707</v>
      </c>
      <c r="U6683" s="97"/>
      <c r="V6683" s="453"/>
      <c r="W6683" s="453"/>
      <c r="X6683" s="493">
        <v>44409</v>
      </c>
      <c r="Y6683" s="493">
        <v>44773</v>
      </c>
    </row>
    <row r="6684" s="5" customFormat="1" customHeight="1" spans="1:25">
      <c r="A6684" s="24" t="s">
        <v>109</v>
      </c>
      <c r="B6684" s="96" t="s">
        <v>7422</v>
      </c>
      <c r="C6684" s="22" t="s">
        <v>216</v>
      </c>
      <c r="D6684" s="22" t="s">
        <v>7585</v>
      </c>
      <c r="E6684" s="23" t="s">
        <v>8640</v>
      </c>
      <c r="F6684" s="24" t="s">
        <v>8641</v>
      </c>
      <c r="G6684" s="24" t="s">
        <v>88</v>
      </c>
      <c r="H6684" s="25" t="s">
        <v>8700</v>
      </c>
      <c r="I6684" s="46" t="e">
        <f>VLOOKUP(H6684,'合同高级查询数据-4月返'!A:A,1,FALSE)</f>
        <v>#N/A</v>
      </c>
      <c r="J6684" s="47" t="s">
        <v>162</v>
      </c>
      <c r="K6684" s="24" t="s">
        <v>218</v>
      </c>
      <c r="L6684" s="109" t="s">
        <v>8701</v>
      </c>
      <c r="M6684" s="49" t="s">
        <v>8702</v>
      </c>
      <c r="N6684" s="50">
        <v>44652</v>
      </c>
      <c r="O6684" s="22" t="s">
        <v>92</v>
      </c>
      <c r="P6684" s="52">
        <v>5000</v>
      </c>
      <c r="Q6684" s="70">
        <v>3</v>
      </c>
      <c r="R6684" s="52">
        <f t="shared" si="194"/>
        <v>15000</v>
      </c>
      <c r="S6684" s="47">
        <v>202304</v>
      </c>
      <c r="T6684" s="123" t="s">
        <v>8708</v>
      </c>
      <c r="U6684" s="97"/>
      <c r="V6684" s="453"/>
      <c r="W6684" s="453"/>
      <c r="X6684" s="493">
        <v>44409</v>
      </c>
      <c r="Y6684" s="493">
        <v>44773</v>
      </c>
    </row>
    <row r="6685" s="5" customFormat="1" customHeight="1" spans="1:25">
      <c r="A6685" s="24" t="s">
        <v>109</v>
      </c>
      <c r="B6685" s="96" t="s">
        <v>7422</v>
      </c>
      <c r="C6685" s="22" t="s">
        <v>216</v>
      </c>
      <c r="D6685" s="22" t="s">
        <v>7585</v>
      </c>
      <c r="E6685" s="23" t="s">
        <v>8640</v>
      </c>
      <c r="F6685" s="24" t="s">
        <v>8641</v>
      </c>
      <c r="G6685" s="24" t="s">
        <v>88</v>
      </c>
      <c r="H6685" s="25" t="s">
        <v>8700</v>
      </c>
      <c r="I6685" s="46" t="e">
        <f>VLOOKUP(H6685,'合同高级查询数据-4月返'!A:A,1,FALSE)</f>
        <v>#N/A</v>
      </c>
      <c r="J6685" s="47" t="s">
        <v>162</v>
      </c>
      <c r="K6685" s="24" t="s">
        <v>218</v>
      </c>
      <c r="L6685" s="109" t="s">
        <v>8701</v>
      </c>
      <c r="M6685" s="49" t="s">
        <v>8702</v>
      </c>
      <c r="N6685" s="50">
        <v>44742</v>
      </c>
      <c r="O6685" s="22" t="s">
        <v>92</v>
      </c>
      <c r="P6685" s="52">
        <v>5000</v>
      </c>
      <c r="Q6685" s="70">
        <v>-3</v>
      </c>
      <c r="R6685" s="52">
        <f t="shared" si="194"/>
        <v>-15000</v>
      </c>
      <c r="S6685" s="47">
        <v>202304</v>
      </c>
      <c r="T6685" s="123" t="s">
        <v>8709</v>
      </c>
      <c r="U6685" s="97"/>
      <c r="V6685" s="453"/>
      <c r="W6685" s="453"/>
      <c r="X6685" s="493">
        <v>44409</v>
      </c>
      <c r="Y6685" s="493">
        <v>44773</v>
      </c>
    </row>
    <row r="6686" s="3" customFormat="1" customHeight="1" spans="1:25">
      <c r="A6686" s="11" t="s">
        <v>109</v>
      </c>
      <c r="B6686" s="11" t="s">
        <v>7422</v>
      </c>
      <c r="C6686" s="11" t="s">
        <v>216</v>
      </c>
      <c r="D6686" s="35" t="s">
        <v>7585</v>
      </c>
      <c r="E6686" s="13" t="s">
        <v>8640</v>
      </c>
      <c r="F6686" s="11" t="s">
        <v>8641</v>
      </c>
      <c r="G6686" s="11" t="s">
        <v>31</v>
      </c>
      <c r="H6686" s="110" t="s">
        <v>8710</v>
      </c>
      <c r="I6686" s="30" t="e">
        <f>VLOOKUP(H6686,'合同高级查询数据-4月返'!A:A,1,FALSE)</f>
        <v>#N/A</v>
      </c>
      <c r="J6686" s="31" t="s">
        <v>33</v>
      </c>
      <c r="K6686" s="11" t="s">
        <v>218</v>
      </c>
      <c r="L6686" s="11" t="s">
        <v>8711</v>
      </c>
      <c r="M6686" s="113" t="s">
        <v>8702</v>
      </c>
      <c r="N6686" s="34">
        <v>43922</v>
      </c>
      <c r="O6686" s="35" t="s">
        <v>37</v>
      </c>
      <c r="P6686" s="465">
        <v>0</v>
      </c>
      <c r="Q6686" s="459">
        <v>160</v>
      </c>
      <c r="R6686" s="465">
        <f t="shared" ref="R6686:R6749" si="195">ROUND(P6686*Q6686,2)</f>
        <v>0</v>
      </c>
      <c r="S6686" s="31">
        <v>202304</v>
      </c>
      <c r="T6686" s="60" t="s">
        <v>8712</v>
      </c>
      <c r="U6686" s="411"/>
      <c r="V6686" s="411"/>
      <c r="W6686" s="411"/>
      <c r="X6686" s="500"/>
      <c r="Y6686" s="500"/>
    </row>
    <row r="6687" s="3" customFormat="1" customHeight="1" spans="1:25">
      <c r="A6687" s="11" t="s">
        <v>109</v>
      </c>
      <c r="B6687" s="11" t="s">
        <v>7422</v>
      </c>
      <c r="C6687" s="11" t="s">
        <v>216</v>
      </c>
      <c r="D6687" s="35" t="s">
        <v>7585</v>
      </c>
      <c r="E6687" s="13" t="s">
        <v>8640</v>
      </c>
      <c r="F6687" s="11" t="s">
        <v>8641</v>
      </c>
      <c r="G6687" s="11" t="s">
        <v>31</v>
      </c>
      <c r="H6687" s="110" t="s">
        <v>8710</v>
      </c>
      <c r="I6687" s="30" t="e">
        <f>VLOOKUP(H6687,'合同高级查询数据-4月返'!A:A,1,FALSE)</f>
        <v>#N/A</v>
      </c>
      <c r="J6687" s="31" t="s">
        <v>33</v>
      </c>
      <c r="K6687" s="11" t="s">
        <v>218</v>
      </c>
      <c r="L6687" s="11" t="s">
        <v>8711</v>
      </c>
      <c r="M6687" s="113" t="s">
        <v>8702</v>
      </c>
      <c r="N6687" s="34">
        <v>43922</v>
      </c>
      <c r="O6687" s="35" t="s">
        <v>37</v>
      </c>
      <c r="P6687" s="465">
        <v>50</v>
      </c>
      <c r="Q6687" s="459">
        <v>128</v>
      </c>
      <c r="R6687" s="465">
        <f t="shared" si="195"/>
        <v>6400</v>
      </c>
      <c r="S6687" s="31">
        <v>202304</v>
      </c>
      <c r="T6687" s="60" t="s">
        <v>8712</v>
      </c>
      <c r="U6687" s="411"/>
      <c r="V6687" s="411"/>
      <c r="W6687" s="411"/>
      <c r="X6687" s="500"/>
      <c r="Y6687" s="500"/>
    </row>
    <row r="6688" s="3" customFormat="1" customHeight="1" spans="1:25">
      <c r="A6688" s="11" t="s">
        <v>109</v>
      </c>
      <c r="B6688" s="11" t="s">
        <v>7422</v>
      </c>
      <c r="C6688" s="11" t="s">
        <v>216</v>
      </c>
      <c r="D6688" s="35" t="s">
        <v>7585</v>
      </c>
      <c r="E6688" s="13" t="s">
        <v>8640</v>
      </c>
      <c r="F6688" s="11" t="s">
        <v>8641</v>
      </c>
      <c r="G6688" s="11" t="s">
        <v>31</v>
      </c>
      <c r="H6688" s="110" t="s">
        <v>8710</v>
      </c>
      <c r="I6688" s="30" t="e">
        <f>VLOOKUP(H6688,'合同高级查询数据-4月返'!A:A,1,FALSE)</f>
        <v>#N/A</v>
      </c>
      <c r="J6688" s="31" t="s">
        <v>33</v>
      </c>
      <c r="K6688" s="11" t="s">
        <v>218</v>
      </c>
      <c r="L6688" s="11" t="s">
        <v>8711</v>
      </c>
      <c r="M6688" s="113" t="s">
        <v>8702</v>
      </c>
      <c r="N6688" s="34">
        <v>44742</v>
      </c>
      <c r="O6688" s="35" t="s">
        <v>37</v>
      </c>
      <c r="P6688" s="465">
        <v>0</v>
      </c>
      <c r="Q6688" s="459">
        <v>-160</v>
      </c>
      <c r="R6688" s="465">
        <f t="shared" si="195"/>
        <v>0</v>
      </c>
      <c r="S6688" s="31">
        <v>202304</v>
      </c>
      <c r="T6688" s="60" t="s">
        <v>8713</v>
      </c>
      <c r="U6688" s="411"/>
      <c r="V6688" s="411"/>
      <c r="W6688" s="411"/>
      <c r="X6688" s="500"/>
      <c r="Y6688" s="500"/>
    </row>
    <row r="6689" s="3" customFormat="1" customHeight="1" spans="1:25">
      <c r="A6689" s="11" t="s">
        <v>109</v>
      </c>
      <c r="B6689" s="11" t="s">
        <v>7422</v>
      </c>
      <c r="C6689" s="11" t="s">
        <v>216</v>
      </c>
      <c r="D6689" s="35" t="s">
        <v>7585</v>
      </c>
      <c r="E6689" s="13" t="s">
        <v>8640</v>
      </c>
      <c r="F6689" s="11" t="s">
        <v>8641</v>
      </c>
      <c r="G6689" s="11" t="s">
        <v>31</v>
      </c>
      <c r="H6689" s="110" t="s">
        <v>8710</v>
      </c>
      <c r="I6689" s="30" t="e">
        <f>VLOOKUP(H6689,'合同高级查询数据-4月返'!A:A,1,FALSE)</f>
        <v>#N/A</v>
      </c>
      <c r="J6689" s="31" t="s">
        <v>33</v>
      </c>
      <c r="K6689" s="11" t="s">
        <v>218</v>
      </c>
      <c r="L6689" s="11" t="s">
        <v>8711</v>
      </c>
      <c r="M6689" s="113" t="s">
        <v>8702</v>
      </c>
      <c r="N6689" s="34">
        <v>44742</v>
      </c>
      <c r="O6689" s="35" t="s">
        <v>37</v>
      </c>
      <c r="P6689" s="465">
        <v>50</v>
      </c>
      <c r="Q6689" s="459">
        <v>-128</v>
      </c>
      <c r="R6689" s="465">
        <f t="shared" si="195"/>
        <v>-6400</v>
      </c>
      <c r="S6689" s="31">
        <v>202304</v>
      </c>
      <c r="T6689" s="60" t="s">
        <v>8713</v>
      </c>
      <c r="U6689" s="411"/>
      <c r="V6689" s="411"/>
      <c r="W6689" s="411"/>
      <c r="X6689" s="500"/>
      <c r="Y6689" s="500"/>
    </row>
    <row r="6690" s="5" customFormat="1" customHeight="1" spans="1:25">
      <c r="A6690" s="24" t="s">
        <v>109</v>
      </c>
      <c r="B6690" s="24" t="s">
        <v>7422</v>
      </c>
      <c r="C6690" s="24" t="s">
        <v>216</v>
      </c>
      <c r="D6690" s="22" t="s">
        <v>7585</v>
      </c>
      <c r="E6690" s="23" t="s">
        <v>8640</v>
      </c>
      <c r="F6690" s="24" t="s">
        <v>8641</v>
      </c>
      <c r="G6690" s="24" t="s">
        <v>31</v>
      </c>
      <c r="H6690" s="25" t="s">
        <v>8700</v>
      </c>
      <c r="I6690" s="46" t="e">
        <f>VLOOKUP(H6690,'合同高级查询数据-4月返'!A:A,1,FALSE)</f>
        <v>#N/A</v>
      </c>
      <c r="J6690" s="47" t="s">
        <v>33</v>
      </c>
      <c r="K6690" s="24" t="s">
        <v>218</v>
      </c>
      <c r="L6690" s="24" t="s">
        <v>8711</v>
      </c>
      <c r="M6690" s="49" t="s">
        <v>8702</v>
      </c>
      <c r="N6690" s="50"/>
      <c r="O6690" s="22" t="s">
        <v>179</v>
      </c>
      <c r="P6690" s="52">
        <v>0</v>
      </c>
      <c r="Q6690" s="70">
        <v>0</v>
      </c>
      <c r="R6690" s="52">
        <f t="shared" si="195"/>
        <v>0</v>
      </c>
      <c r="S6690" s="47">
        <v>202304</v>
      </c>
      <c r="T6690" s="123" t="s">
        <v>8714</v>
      </c>
      <c r="U6690" s="48"/>
      <c r="V6690" s="48"/>
      <c r="W6690" s="48"/>
      <c r="X6690" s="493">
        <v>44409</v>
      </c>
      <c r="Y6690" s="493">
        <v>44773</v>
      </c>
    </row>
    <row r="6691" s="5" customFormat="1" customHeight="1" spans="1:25">
      <c r="A6691" s="24" t="s">
        <v>109</v>
      </c>
      <c r="B6691" s="24" t="s">
        <v>7422</v>
      </c>
      <c r="C6691" s="24" t="s">
        <v>216</v>
      </c>
      <c r="D6691" s="22" t="s">
        <v>7585</v>
      </c>
      <c r="E6691" s="23" t="s">
        <v>8640</v>
      </c>
      <c r="F6691" s="24" t="s">
        <v>8641</v>
      </c>
      <c r="G6691" s="24" t="s">
        <v>88</v>
      </c>
      <c r="H6691" s="25" t="s">
        <v>8700</v>
      </c>
      <c r="I6691" s="46" t="e">
        <f>VLOOKUP(H6691,'合同高级查询数据-4月返'!A:A,1,FALSE)</f>
        <v>#N/A</v>
      </c>
      <c r="J6691" s="47" t="s">
        <v>162</v>
      </c>
      <c r="K6691" s="24" t="s">
        <v>218</v>
      </c>
      <c r="L6691" s="24" t="s">
        <v>8711</v>
      </c>
      <c r="M6691" s="49" t="s">
        <v>8702</v>
      </c>
      <c r="N6691" s="50">
        <v>43922</v>
      </c>
      <c r="O6691" s="493" t="s">
        <v>92</v>
      </c>
      <c r="P6691" s="52">
        <v>5000</v>
      </c>
      <c r="Q6691" s="70">
        <v>3</v>
      </c>
      <c r="R6691" s="52">
        <f t="shared" si="195"/>
        <v>15000</v>
      </c>
      <c r="S6691" s="47">
        <v>202304</v>
      </c>
      <c r="T6691" s="123" t="s">
        <v>8715</v>
      </c>
      <c r="U6691" s="48"/>
      <c r="V6691" s="48"/>
      <c r="W6691" s="48"/>
      <c r="X6691" s="493">
        <v>44409</v>
      </c>
      <c r="Y6691" s="493">
        <v>44773</v>
      </c>
    </row>
    <row r="6692" s="5" customFormat="1" customHeight="1" spans="1:25">
      <c r="A6692" s="24" t="s">
        <v>109</v>
      </c>
      <c r="B6692" s="24" t="s">
        <v>7422</v>
      </c>
      <c r="C6692" s="24" t="s">
        <v>216</v>
      </c>
      <c r="D6692" s="22" t="s">
        <v>7585</v>
      </c>
      <c r="E6692" s="23" t="s">
        <v>8640</v>
      </c>
      <c r="F6692" s="24" t="s">
        <v>8641</v>
      </c>
      <c r="G6692" s="24" t="s">
        <v>88</v>
      </c>
      <c r="H6692" s="25" t="s">
        <v>8700</v>
      </c>
      <c r="I6692" s="46" t="e">
        <f>VLOOKUP(H6692,'合同高级查询数据-4月返'!A:A,1,FALSE)</f>
        <v>#N/A</v>
      </c>
      <c r="J6692" s="47" t="s">
        <v>162</v>
      </c>
      <c r="K6692" s="24" t="s">
        <v>218</v>
      </c>
      <c r="L6692" s="24" t="s">
        <v>8711</v>
      </c>
      <c r="M6692" s="49" t="s">
        <v>8702</v>
      </c>
      <c r="N6692" s="50">
        <v>43855</v>
      </c>
      <c r="O6692" s="493" t="s">
        <v>92</v>
      </c>
      <c r="P6692" s="52">
        <v>5000</v>
      </c>
      <c r="Q6692" s="70">
        <v>-3</v>
      </c>
      <c r="R6692" s="52">
        <f t="shared" si="195"/>
        <v>-15000</v>
      </c>
      <c r="S6692" s="47">
        <v>202304</v>
      </c>
      <c r="T6692" s="123" t="s">
        <v>8716</v>
      </c>
      <c r="U6692" s="48"/>
      <c r="V6692" s="48"/>
      <c r="W6692" s="48"/>
      <c r="X6692" s="493">
        <v>44409</v>
      </c>
      <c r="Y6692" s="493">
        <v>44773</v>
      </c>
    </row>
    <row r="6693" s="5" customFormat="1" customHeight="1" spans="1:25">
      <c r="A6693" s="24" t="s">
        <v>109</v>
      </c>
      <c r="B6693" s="24" t="s">
        <v>7422</v>
      </c>
      <c r="C6693" s="24" t="s">
        <v>216</v>
      </c>
      <c r="D6693" s="22" t="s">
        <v>7585</v>
      </c>
      <c r="E6693" s="23" t="s">
        <v>8640</v>
      </c>
      <c r="F6693" s="24" t="s">
        <v>8641</v>
      </c>
      <c r="G6693" s="24" t="s">
        <v>88</v>
      </c>
      <c r="H6693" s="25" t="s">
        <v>8700</v>
      </c>
      <c r="I6693" s="46" t="e">
        <f>VLOOKUP(H6693,'合同高级查询数据-4月返'!A:A,1,FALSE)</f>
        <v>#N/A</v>
      </c>
      <c r="J6693" s="47" t="s">
        <v>162</v>
      </c>
      <c r="K6693" s="24" t="s">
        <v>218</v>
      </c>
      <c r="L6693" s="24" t="s">
        <v>8711</v>
      </c>
      <c r="M6693" s="49" t="s">
        <v>8702</v>
      </c>
      <c r="N6693" s="50">
        <v>43856</v>
      </c>
      <c r="O6693" s="493" t="s">
        <v>92</v>
      </c>
      <c r="P6693" s="52">
        <v>5000</v>
      </c>
      <c r="Q6693" s="70">
        <v>3</v>
      </c>
      <c r="R6693" s="52">
        <f t="shared" si="195"/>
        <v>15000</v>
      </c>
      <c r="S6693" s="47">
        <v>202304</v>
      </c>
      <c r="T6693" s="123" t="s">
        <v>8717</v>
      </c>
      <c r="U6693" s="48"/>
      <c r="V6693" s="48"/>
      <c r="W6693" s="48"/>
      <c r="X6693" s="493">
        <v>44409</v>
      </c>
      <c r="Y6693" s="493">
        <v>44773</v>
      </c>
    </row>
    <row r="6694" s="5" customFormat="1" customHeight="1" spans="1:25">
      <c r="A6694" s="24" t="s">
        <v>109</v>
      </c>
      <c r="B6694" s="24" t="s">
        <v>7422</v>
      </c>
      <c r="C6694" s="24" t="s">
        <v>216</v>
      </c>
      <c r="D6694" s="22" t="s">
        <v>7585</v>
      </c>
      <c r="E6694" s="23" t="s">
        <v>8640</v>
      </c>
      <c r="F6694" s="24" t="s">
        <v>8641</v>
      </c>
      <c r="G6694" s="24" t="s">
        <v>88</v>
      </c>
      <c r="H6694" s="25" t="s">
        <v>8700</v>
      </c>
      <c r="I6694" s="46" t="e">
        <f>VLOOKUP(H6694,'合同高级查询数据-4月返'!A:A,1,FALSE)</f>
        <v>#N/A</v>
      </c>
      <c r="J6694" s="47" t="s">
        <v>162</v>
      </c>
      <c r="K6694" s="24" t="s">
        <v>218</v>
      </c>
      <c r="L6694" s="24" t="s">
        <v>8711</v>
      </c>
      <c r="M6694" s="49" t="s">
        <v>8702</v>
      </c>
      <c r="N6694" s="50">
        <v>44228</v>
      </c>
      <c r="O6694" s="493" t="s">
        <v>92</v>
      </c>
      <c r="P6694" s="52">
        <v>5000</v>
      </c>
      <c r="Q6694" s="70">
        <v>3</v>
      </c>
      <c r="R6694" s="52">
        <f t="shared" si="195"/>
        <v>15000</v>
      </c>
      <c r="S6694" s="47">
        <v>202304</v>
      </c>
      <c r="T6694" s="123" t="s">
        <v>8718</v>
      </c>
      <c r="U6694" s="48"/>
      <c r="V6694" s="48"/>
      <c r="W6694" s="48"/>
      <c r="X6694" s="493">
        <v>44409</v>
      </c>
      <c r="Y6694" s="493">
        <v>44773</v>
      </c>
    </row>
    <row r="6695" s="5" customFormat="1" customHeight="1" spans="1:25">
      <c r="A6695" s="24" t="s">
        <v>109</v>
      </c>
      <c r="B6695" s="24" t="s">
        <v>7422</v>
      </c>
      <c r="C6695" s="24" t="s">
        <v>216</v>
      </c>
      <c r="D6695" s="22" t="s">
        <v>7585</v>
      </c>
      <c r="E6695" s="23" t="s">
        <v>8640</v>
      </c>
      <c r="F6695" s="24" t="s">
        <v>8641</v>
      </c>
      <c r="G6695" s="24" t="s">
        <v>88</v>
      </c>
      <c r="H6695" s="25" t="s">
        <v>8700</v>
      </c>
      <c r="I6695" s="46" t="e">
        <f>VLOOKUP(H6695,'合同高级查询数据-4月返'!A:A,1,FALSE)</f>
        <v>#N/A</v>
      </c>
      <c r="J6695" s="47" t="s">
        <v>162</v>
      </c>
      <c r="K6695" s="24" t="s">
        <v>218</v>
      </c>
      <c r="L6695" s="24" t="s">
        <v>8711</v>
      </c>
      <c r="M6695" s="49" t="s">
        <v>8702</v>
      </c>
      <c r="N6695" s="50">
        <v>44651</v>
      </c>
      <c r="O6695" s="493" t="s">
        <v>92</v>
      </c>
      <c r="P6695" s="52">
        <v>5000</v>
      </c>
      <c r="Q6695" s="70">
        <v>-3</v>
      </c>
      <c r="R6695" s="52">
        <f t="shared" si="195"/>
        <v>-15000</v>
      </c>
      <c r="S6695" s="47">
        <v>202304</v>
      </c>
      <c r="T6695" s="123" t="s">
        <v>8719</v>
      </c>
      <c r="U6695" s="48"/>
      <c r="V6695" s="48"/>
      <c r="W6695" s="48"/>
      <c r="X6695" s="493">
        <v>44409</v>
      </c>
      <c r="Y6695" s="493">
        <v>44773</v>
      </c>
    </row>
    <row r="6696" s="5" customFormat="1" customHeight="1" spans="1:25">
      <c r="A6696" s="24" t="s">
        <v>109</v>
      </c>
      <c r="B6696" s="24" t="s">
        <v>7422</v>
      </c>
      <c r="C6696" s="24" t="s">
        <v>216</v>
      </c>
      <c r="D6696" s="22" t="s">
        <v>7585</v>
      </c>
      <c r="E6696" s="23" t="s">
        <v>8640</v>
      </c>
      <c r="F6696" s="24" t="s">
        <v>8641</v>
      </c>
      <c r="G6696" s="24" t="s">
        <v>88</v>
      </c>
      <c r="H6696" s="25" t="s">
        <v>8700</v>
      </c>
      <c r="I6696" s="46" t="e">
        <f>VLOOKUP(H6696,'合同高级查询数据-4月返'!A:A,1,FALSE)</f>
        <v>#N/A</v>
      </c>
      <c r="J6696" s="47" t="s">
        <v>162</v>
      </c>
      <c r="K6696" s="24" t="s">
        <v>218</v>
      </c>
      <c r="L6696" s="24" t="s">
        <v>8711</v>
      </c>
      <c r="M6696" s="49" t="s">
        <v>8702</v>
      </c>
      <c r="N6696" s="50">
        <v>44742</v>
      </c>
      <c r="O6696" s="493" t="s">
        <v>92</v>
      </c>
      <c r="P6696" s="52">
        <v>5000</v>
      </c>
      <c r="Q6696" s="70">
        <v>-3</v>
      </c>
      <c r="R6696" s="52">
        <f t="shared" si="195"/>
        <v>-15000</v>
      </c>
      <c r="S6696" s="47">
        <v>202304</v>
      </c>
      <c r="T6696" s="123" t="s">
        <v>8720</v>
      </c>
      <c r="U6696" s="48"/>
      <c r="V6696" s="48"/>
      <c r="W6696" s="48"/>
      <c r="X6696" s="493">
        <v>44409</v>
      </c>
      <c r="Y6696" s="493">
        <v>44773</v>
      </c>
    </row>
    <row r="6697" s="5" customFormat="1" customHeight="1" spans="1:25">
      <c r="A6697" s="24" t="s">
        <v>109</v>
      </c>
      <c r="B6697" s="24" t="s">
        <v>7422</v>
      </c>
      <c r="C6697" s="24" t="s">
        <v>238</v>
      </c>
      <c r="D6697" s="22" t="s">
        <v>7585</v>
      </c>
      <c r="E6697" s="23" t="s">
        <v>8640</v>
      </c>
      <c r="F6697" s="24" t="s">
        <v>8641</v>
      </c>
      <c r="G6697" s="24" t="s">
        <v>31</v>
      </c>
      <c r="H6697" s="25" t="s">
        <v>8721</v>
      </c>
      <c r="I6697" s="46" t="e">
        <f>VLOOKUP(H6697,'合同高级查询数据-4月返'!A:A,1,FALSE)</f>
        <v>#N/A</v>
      </c>
      <c r="J6697" s="47" t="s">
        <v>33</v>
      </c>
      <c r="K6697" s="24" t="s">
        <v>240</v>
      </c>
      <c r="L6697" s="24" t="s">
        <v>8722</v>
      </c>
      <c r="M6697" s="49" t="s">
        <v>8723</v>
      </c>
      <c r="N6697" s="50">
        <v>44502</v>
      </c>
      <c r="O6697" s="493" t="s">
        <v>37</v>
      </c>
      <c r="P6697" s="52">
        <v>0</v>
      </c>
      <c r="Q6697" s="70">
        <v>288</v>
      </c>
      <c r="R6697" s="52">
        <f t="shared" si="195"/>
        <v>0</v>
      </c>
      <c r="S6697" s="47">
        <v>202304</v>
      </c>
      <c r="T6697" s="123" t="s">
        <v>8724</v>
      </c>
      <c r="U6697" s="48"/>
      <c r="V6697" s="48"/>
      <c r="W6697" s="48"/>
      <c r="X6697" s="50">
        <v>44866</v>
      </c>
      <c r="Y6697" s="50">
        <v>45230</v>
      </c>
    </row>
    <row r="6698" s="5" customFormat="1" customHeight="1" spans="1:25">
      <c r="A6698" s="24" t="s">
        <v>109</v>
      </c>
      <c r="B6698" s="24" t="s">
        <v>7422</v>
      </c>
      <c r="C6698" s="24" t="s">
        <v>238</v>
      </c>
      <c r="D6698" s="22" t="s">
        <v>7585</v>
      </c>
      <c r="E6698" s="23" t="s">
        <v>8640</v>
      </c>
      <c r="F6698" s="24" t="s">
        <v>8641</v>
      </c>
      <c r="G6698" s="24" t="s">
        <v>31</v>
      </c>
      <c r="H6698" s="25" t="s">
        <v>8721</v>
      </c>
      <c r="I6698" s="46" t="e">
        <f>VLOOKUP(H6698,'合同高级查询数据-4月返'!A:A,1,FALSE)</f>
        <v>#N/A</v>
      </c>
      <c r="J6698" s="47" t="s">
        <v>33</v>
      </c>
      <c r="K6698" s="24" t="s">
        <v>240</v>
      </c>
      <c r="L6698" s="24" t="s">
        <v>8722</v>
      </c>
      <c r="M6698" s="49" t="s">
        <v>8723</v>
      </c>
      <c r="N6698" s="50">
        <v>44791</v>
      </c>
      <c r="O6698" s="493" t="s">
        <v>37</v>
      </c>
      <c r="P6698" s="52">
        <v>0</v>
      </c>
      <c r="Q6698" s="70">
        <v>32</v>
      </c>
      <c r="R6698" s="52">
        <f t="shared" si="195"/>
        <v>0</v>
      </c>
      <c r="S6698" s="47">
        <v>202304</v>
      </c>
      <c r="T6698" s="123" t="s">
        <v>8725</v>
      </c>
      <c r="U6698" s="48"/>
      <c r="V6698" s="48"/>
      <c r="W6698" s="48"/>
      <c r="X6698" s="50">
        <v>44866</v>
      </c>
      <c r="Y6698" s="50">
        <v>45230</v>
      </c>
    </row>
    <row r="6699" s="5" customFormat="1" customHeight="1" spans="1:25">
      <c r="A6699" s="24" t="s">
        <v>109</v>
      </c>
      <c r="B6699" s="24" t="s">
        <v>7422</v>
      </c>
      <c r="C6699" s="24" t="s">
        <v>238</v>
      </c>
      <c r="D6699" s="22" t="s">
        <v>7585</v>
      </c>
      <c r="E6699" s="23" t="s">
        <v>8640</v>
      </c>
      <c r="F6699" s="24" t="s">
        <v>8641</v>
      </c>
      <c r="G6699" s="24" t="s">
        <v>31</v>
      </c>
      <c r="H6699" s="25" t="s">
        <v>8721</v>
      </c>
      <c r="I6699" s="46" t="e">
        <f>VLOOKUP(H6699,'合同高级查询数据-4月返'!A:A,1,FALSE)</f>
        <v>#N/A</v>
      </c>
      <c r="J6699" s="47" t="s">
        <v>33</v>
      </c>
      <c r="K6699" s="24" t="s">
        <v>240</v>
      </c>
      <c r="L6699" s="24" t="s">
        <v>8722</v>
      </c>
      <c r="M6699" s="49" t="s">
        <v>8723</v>
      </c>
      <c r="N6699" s="50">
        <v>44791</v>
      </c>
      <c r="O6699" s="493" t="s">
        <v>37</v>
      </c>
      <c r="P6699" s="52">
        <v>50</v>
      </c>
      <c r="Q6699" s="70">
        <v>96</v>
      </c>
      <c r="R6699" s="52">
        <f t="shared" si="195"/>
        <v>4800</v>
      </c>
      <c r="S6699" s="47">
        <v>202304</v>
      </c>
      <c r="T6699" s="123" t="s">
        <v>8725</v>
      </c>
      <c r="U6699" s="48"/>
      <c r="V6699" s="48"/>
      <c r="W6699" s="48"/>
      <c r="X6699" s="50">
        <v>44866</v>
      </c>
      <c r="Y6699" s="50">
        <v>45230</v>
      </c>
    </row>
    <row r="6700" s="5" customFormat="1" customHeight="1" spans="1:25">
      <c r="A6700" s="24" t="s">
        <v>109</v>
      </c>
      <c r="B6700" s="24" t="s">
        <v>7422</v>
      </c>
      <c r="C6700" s="24" t="s">
        <v>238</v>
      </c>
      <c r="D6700" s="22" t="s">
        <v>7585</v>
      </c>
      <c r="E6700" s="23" t="s">
        <v>8640</v>
      </c>
      <c r="F6700" s="24" t="s">
        <v>8641</v>
      </c>
      <c r="G6700" s="24" t="s">
        <v>31</v>
      </c>
      <c r="H6700" s="25" t="s">
        <v>8721</v>
      </c>
      <c r="I6700" s="46" t="e">
        <f>VLOOKUP(H6700,'合同高级查询数据-4月返'!A:A,1,FALSE)</f>
        <v>#N/A</v>
      </c>
      <c r="J6700" s="47" t="s">
        <v>33</v>
      </c>
      <c r="K6700" s="24" t="s">
        <v>240</v>
      </c>
      <c r="L6700" s="24" t="s">
        <v>8722</v>
      </c>
      <c r="M6700" s="49" t="s">
        <v>8723</v>
      </c>
      <c r="N6700" s="50">
        <v>44894</v>
      </c>
      <c r="O6700" s="493" t="s">
        <v>37</v>
      </c>
      <c r="P6700" s="52">
        <v>50</v>
      </c>
      <c r="Q6700" s="70">
        <v>-96</v>
      </c>
      <c r="R6700" s="52">
        <f t="shared" si="195"/>
        <v>-4800</v>
      </c>
      <c r="S6700" s="47">
        <v>202304</v>
      </c>
      <c r="T6700" s="123" t="s">
        <v>8726</v>
      </c>
      <c r="U6700" s="48"/>
      <c r="V6700" s="48"/>
      <c r="W6700" s="48"/>
      <c r="X6700" s="50">
        <v>44866</v>
      </c>
      <c r="Y6700" s="50">
        <v>45230</v>
      </c>
    </row>
    <row r="6701" s="5" customFormat="1" customHeight="1" spans="1:25">
      <c r="A6701" s="24" t="s">
        <v>109</v>
      </c>
      <c r="B6701" s="24" t="s">
        <v>7422</v>
      </c>
      <c r="C6701" s="24" t="s">
        <v>238</v>
      </c>
      <c r="D6701" s="22" t="s">
        <v>7585</v>
      </c>
      <c r="E6701" s="23" t="s">
        <v>8640</v>
      </c>
      <c r="F6701" s="24" t="s">
        <v>8641</v>
      </c>
      <c r="G6701" s="24" t="s">
        <v>31</v>
      </c>
      <c r="H6701" s="25" t="s">
        <v>8721</v>
      </c>
      <c r="I6701" s="46" t="e">
        <f>VLOOKUP(H6701,'合同高级查询数据-4月返'!A:A,1,FALSE)</f>
        <v>#N/A</v>
      </c>
      <c r="J6701" s="47" t="s">
        <v>33</v>
      </c>
      <c r="K6701" s="24" t="s">
        <v>240</v>
      </c>
      <c r="L6701" s="24" t="s">
        <v>8722</v>
      </c>
      <c r="M6701" s="49" t="s">
        <v>8723</v>
      </c>
      <c r="N6701" s="50">
        <v>44894</v>
      </c>
      <c r="O6701" s="493" t="s">
        <v>37</v>
      </c>
      <c r="P6701" s="52">
        <v>0</v>
      </c>
      <c r="Q6701" s="70">
        <v>-32</v>
      </c>
      <c r="R6701" s="52">
        <f t="shared" si="195"/>
        <v>0</v>
      </c>
      <c r="S6701" s="47">
        <v>202304</v>
      </c>
      <c r="T6701" s="123" t="s">
        <v>8727</v>
      </c>
      <c r="U6701" s="48"/>
      <c r="V6701" s="48"/>
      <c r="W6701" s="48"/>
      <c r="X6701" s="50">
        <v>44866</v>
      </c>
      <c r="Y6701" s="50">
        <v>45230</v>
      </c>
    </row>
    <row r="6702" s="5" customFormat="1" customHeight="1" spans="1:25">
      <c r="A6702" s="24" t="s">
        <v>109</v>
      </c>
      <c r="B6702" s="24" t="s">
        <v>7422</v>
      </c>
      <c r="C6702" s="24" t="s">
        <v>238</v>
      </c>
      <c r="D6702" s="22" t="s">
        <v>7585</v>
      </c>
      <c r="E6702" s="23" t="s">
        <v>8640</v>
      </c>
      <c r="F6702" s="24" t="s">
        <v>8641</v>
      </c>
      <c r="G6702" s="24" t="s">
        <v>88</v>
      </c>
      <c r="H6702" s="25" t="s">
        <v>8721</v>
      </c>
      <c r="I6702" s="46" t="e">
        <f>VLOOKUP(H6702,'合同高级查询数据-4月返'!A:A,1,FALSE)</f>
        <v>#N/A</v>
      </c>
      <c r="J6702" s="47" t="s">
        <v>162</v>
      </c>
      <c r="K6702" s="24" t="s">
        <v>240</v>
      </c>
      <c r="L6702" s="24" t="s">
        <v>8722</v>
      </c>
      <c r="M6702" s="49" t="s">
        <v>8723</v>
      </c>
      <c r="N6702" s="50">
        <v>44502</v>
      </c>
      <c r="O6702" s="493" t="s">
        <v>92</v>
      </c>
      <c r="P6702" s="52">
        <v>4000</v>
      </c>
      <c r="Q6702" s="70">
        <v>4</v>
      </c>
      <c r="R6702" s="52">
        <f t="shared" si="195"/>
        <v>16000</v>
      </c>
      <c r="S6702" s="47">
        <v>202304</v>
      </c>
      <c r="T6702" s="123" t="s">
        <v>8728</v>
      </c>
      <c r="U6702" s="48"/>
      <c r="V6702" s="48"/>
      <c r="W6702" s="48"/>
      <c r="X6702" s="50">
        <v>44866</v>
      </c>
      <c r="Y6702" s="50">
        <v>45230</v>
      </c>
    </row>
    <row r="6703" s="5" customFormat="1" customHeight="1" spans="1:25">
      <c r="A6703" s="24" t="s">
        <v>109</v>
      </c>
      <c r="B6703" s="24" t="s">
        <v>7422</v>
      </c>
      <c r="C6703" s="24" t="s">
        <v>238</v>
      </c>
      <c r="D6703" s="22" t="s">
        <v>7585</v>
      </c>
      <c r="E6703" s="23" t="s">
        <v>8640</v>
      </c>
      <c r="F6703" s="24" t="s">
        <v>8641</v>
      </c>
      <c r="G6703" s="24" t="s">
        <v>88</v>
      </c>
      <c r="H6703" s="25" t="s">
        <v>8721</v>
      </c>
      <c r="I6703" s="46" t="e">
        <f>VLOOKUP(H6703,'合同高级查询数据-4月返'!A:A,1,FALSE)</f>
        <v>#N/A</v>
      </c>
      <c r="J6703" s="47" t="s">
        <v>162</v>
      </c>
      <c r="K6703" s="24" t="s">
        <v>240</v>
      </c>
      <c r="L6703" s="24" t="s">
        <v>8722</v>
      </c>
      <c r="M6703" s="49" t="s">
        <v>8723</v>
      </c>
      <c r="N6703" s="50">
        <v>44791</v>
      </c>
      <c r="O6703" s="493" t="s">
        <v>92</v>
      </c>
      <c r="P6703" s="52">
        <v>4000</v>
      </c>
      <c r="Q6703" s="70">
        <v>3</v>
      </c>
      <c r="R6703" s="52">
        <f t="shared" si="195"/>
        <v>12000</v>
      </c>
      <c r="S6703" s="47">
        <v>202304</v>
      </c>
      <c r="T6703" s="123" t="s">
        <v>8729</v>
      </c>
      <c r="U6703" s="48"/>
      <c r="V6703" s="48"/>
      <c r="W6703" s="48"/>
      <c r="X6703" s="50">
        <v>44866</v>
      </c>
      <c r="Y6703" s="50">
        <v>45230</v>
      </c>
    </row>
    <row r="6704" s="5" customFormat="1" customHeight="1" spans="1:25">
      <c r="A6704" s="24" t="s">
        <v>109</v>
      </c>
      <c r="B6704" s="24" t="s">
        <v>7422</v>
      </c>
      <c r="C6704" s="24" t="s">
        <v>3237</v>
      </c>
      <c r="D6704" s="22" t="s">
        <v>7585</v>
      </c>
      <c r="E6704" s="23" t="s">
        <v>8640</v>
      </c>
      <c r="F6704" s="24" t="s">
        <v>8641</v>
      </c>
      <c r="G6704" s="24" t="s">
        <v>31</v>
      </c>
      <c r="H6704" s="25" t="s">
        <v>8730</v>
      </c>
      <c r="I6704" s="46" t="e">
        <f>VLOOKUP(H6704,'合同高级查询数据-4月返'!A:A,1,FALSE)</f>
        <v>#N/A</v>
      </c>
      <c r="J6704" s="47" t="s">
        <v>33</v>
      </c>
      <c r="K6704" s="24" t="s">
        <v>6704</v>
      </c>
      <c r="L6704" s="24" t="s">
        <v>8731</v>
      </c>
      <c r="M6704" s="49" t="s">
        <v>8732</v>
      </c>
      <c r="N6704" s="50">
        <v>44621</v>
      </c>
      <c r="O6704" s="493" t="s">
        <v>37</v>
      </c>
      <c r="P6704" s="70">
        <v>0</v>
      </c>
      <c r="Q6704" s="52">
        <v>320</v>
      </c>
      <c r="R6704" s="52">
        <f t="shared" si="195"/>
        <v>0</v>
      </c>
      <c r="S6704" s="47">
        <v>202304</v>
      </c>
      <c r="T6704" s="123" t="s">
        <v>8733</v>
      </c>
      <c r="U6704" s="48"/>
      <c r="V6704" s="48"/>
      <c r="W6704" s="48"/>
      <c r="X6704" s="50">
        <v>44621</v>
      </c>
      <c r="Y6704" s="471">
        <v>45016</v>
      </c>
    </row>
    <row r="6705" s="5" customFormat="1" customHeight="1" spans="1:25">
      <c r="A6705" s="24" t="s">
        <v>109</v>
      </c>
      <c r="B6705" s="24" t="s">
        <v>7422</v>
      </c>
      <c r="C6705" s="24" t="s">
        <v>3237</v>
      </c>
      <c r="D6705" s="22" t="s">
        <v>7585</v>
      </c>
      <c r="E6705" s="23" t="s">
        <v>8640</v>
      </c>
      <c r="F6705" s="24" t="s">
        <v>8641</v>
      </c>
      <c r="G6705" s="24" t="s">
        <v>88</v>
      </c>
      <c r="H6705" s="25" t="s">
        <v>8730</v>
      </c>
      <c r="I6705" s="46" t="e">
        <f>VLOOKUP(H6705,'合同高级查询数据-4月返'!A:A,1,FALSE)</f>
        <v>#N/A</v>
      </c>
      <c r="J6705" s="47" t="s">
        <v>162</v>
      </c>
      <c r="K6705" s="24" t="s">
        <v>6704</v>
      </c>
      <c r="L6705" s="24" t="s">
        <v>8731</v>
      </c>
      <c r="M6705" s="49" t="s">
        <v>8732</v>
      </c>
      <c r="N6705" s="50">
        <v>44621</v>
      </c>
      <c r="O6705" s="493" t="s">
        <v>92</v>
      </c>
      <c r="P6705" s="52">
        <v>4666.67</v>
      </c>
      <c r="Q6705" s="70">
        <v>4</v>
      </c>
      <c r="R6705" s="52">
        <f t="shared" si="195"/>
        <v>18666.68</v>
      </c>
      <c r="S6705" s="47">
        <v>202304</v>
      </c>
      <c r="T6705" s="123" t="s">
        <v>8734</v>
      </c>
      <c r="U6705" s="48"/>
      <c r="V6705" s="48"/>
      <c r="W6705" s="48"/>
      <c r="X6705" s="50">
        <v>44621</v>
      </c>
      <c r="Y6705" s="471">
        <v>45016</v>
      </c>
    </row>
    <row r="6706" s="5" customFormat="1" customHeight="1" spans="1:25">
      <c r="A6706" s="24" t="s">
        <v>109</v>
      </c>
      <c r="B6706" s="24" t="s">
        <v>7422</v>
      </c>
      <c r="C6706" s="24" t="s">
        <v>3237</v>
      </c>
      <c r="D6706" s="22" t="s">
        <v>7585</v>
      </c>
      <c r="E6706" s="23" t="s">
        <v>8640</v>
      </c>
      <c r="F6706" s="24" t="s">
        <v>8641</v>
      </c>
      <c r="G6706" s="24" t="s">
        <v>88</v>
      </c>
      <c r="H6706" s="25" t="s">
        <v>8730</v>
      </c>
      <c r="I6706" s="46" t="e">
        <f>VLOOKUP(H6706,'合同高级查询数据-4月返'!A:A,1,FALSE)</f>
        <v>#N/A</v>
      </c>
      <c r="J6706" s="47" t="s">
        <v>162</v>
      </c>
      <c r="K6706" s="24" t="s">
        <v>6704</v>
      </c>
      <c r="L6706" s="24" t="s">
        <v>8731</v>
      </c>
      <c r="M6706" s="49" t="s">
        <v>8732</v>
      </c>
      <c r="N6706" s="50">
        <v>44831</v>
      </c>
      <c r="O6706" s="493" t="s">
        <v>92</v>
      </c>
      <c r="P6706" s="52">
        <v>4666.67</v>
      </c>
      <c r="Q6706" s="70">
        <v>-4</v>
      </c>
      <c r="R6706" s="52">
        <f t="shared" si="195"/>
        <v>-18666.68</v>
      </c>
      <c r="S6706" s="47">
        <v>202304</v>
      </c>
      <c r="T6706" s="123" t="s">
        <v>8735</v>
      </c>
      <c r="U6706" s="48"/>
      <c r="V6706" s="48"/>
      <c r="W6706" s="48"/>
      <c r="X6706" s="50">
        <v>44621</v>
      </c>
      <c r="Y6706" s="471">
        <v>45016</v>
      </c>
    </row>
    <row r="6707" s="5" customFormat="1" customHeight="1" spans="1:25">
      <c r="A6707" s="24" t="s">
        <v>109</v>
      </c>
      <c r="B6707" s="24" t="s">
        <v>7422</v>
      </c>
      <c r="C6707" s="24" t="s">
        <v>3237</v>
      </c>
      <c r="D6707" s="22" t="s">
        <v>7585</v>
      </c>
      <c r="E6707" s="23" t="s">
        <v>8640</v>
      </c>
      <c r="F6707" s="24" t="s">
        <v>8641</v>
      </c>
      <c r="G6707" s="24" t="s">
        <v>88</v>
      </c>
      <c r="H6707" s="25" t="s">
        <v>8730</v>
      </c>
      <c r="I6707" s="46" t="e">
        <f>VLOOKUP(H6707,'合同高级查询数据-4月返'!A:A,1,FALSE)</f>
        <v>#N/A</v>
      </c>
      <c r="J6707" s="47" t="s">
        <v>162</v>
      </c>
      <c r="K6707" s="24" t="s">
        <v>6704</v>
      </c>
      <c r="L6707" s="24" t="s">
        <v>8731</v>
      </c>
      <c r="M6707" s="49" t="s">
        <v>8732</v>
      </c>
      <c r="N6707" s="50">
        <v>44832</v>
      </c>
      <c r="O6707" s="493" t="s">
        <v>92</v>
      </c>
      <c r="P6707" s="52">
        <v>4666.67</v>
      </c>
      <c r="Q6707" s="70">
        <v>4</v>
      </c>
      <c r="R6707" s="52">
        <f t="shared" si="195"/>
        <v>18666.68</v>
      </c>
      <c r="S6707" s="47">
        <v>202304</v>
      </c>
      <c r="T6707" s="123" t="s">
        <v>8736</v>
      </c>
      <c r="U6707" s="48"/>
      <c r="V6707" s="48"/>
      <c r="W6707" s="48"/>
      <c r="X6707" s="50">
        <v>44621</v>
      </c>
      <c r="Y6707" s="471">
        <v>45016</v>
      </c>
    </row>
    <row r="6708" s="5" customFormat="1" customHeight="1" spans="1:25">
      <c r="A6708" s="24" t="s">
        <v>109</v>
      </c>
      <c r="B6708" s="24" t="s">
        <v>7422</v>
      </c>
      <c r="C6708" s="24" t="s">
        <v>3237</v>
      </c>
      <c r="D6708" s="22" t="s">
        <v>7585</v>
      </c>
      <c r="E6708" s="23" t="s">
        <v>8640</v>
      </c>
      <c r="F6708" s="24" t="s">
        <v>8641</v>
      </c>
      <c r="G6708" s="24" t="s">
        <v>88</v>
      </c>
      <c r="H6708" s="25" t="s">
        <v>8730</v>
      </c>
      <c r="I6708" s="46" t="e">
        <f>VLOOKUP(H6708,'合同高级查询数据-4月返'!A:A,1,FALSE)</f>
        <v>#N/A</v>
      </c>
      <c r="J6708" s="47" t="s">
        <v>162</v>
      </c>
      <c r="K6708" s="24" t="s">
        <v>6704</v>
      </c>
      <c r="L6708" s="24" t="s">
        <v>8731</v>
      </c>
      <c r="M6708" s="49" t="s">
        <v>8732</v>
      </c>
      <c r="N6708" s="50">
        <v>45016</v>
      </c>
      <c r="O6708" s="493" t="s">
        <v>92</v>
      </c>
      <c r="P6708" s="52">
        <v>4666.67</v>
      </c>
      <c r="Q6708" s="70">
        <v>-4</v>
      </c>
      <c r="R6708" s="52">
        <f t="shared" si="195"/>
        <v>-18666.68</v>
      </c>
      <c r="S6708" s="47">
        <v>202304</v>
      </c>
      <c r="T6708" s="123" t="s">
        <v>8737</v>
      </c>
      <c r="U6708" s="48"/>
      <c r="V6708" s="48"/>
      <c r="W6708" s="48"/>
      <c r="X6708" s="50">
        <v>44621</v>
      </c>
      <c r="Y6708" s="471">
        <v>45016</v>
      </c>
    </row>
    <row r="6709" s="5" customFormat="1" customHeight="1" spans="1:25">
      <c r="A6709" s="24" t="s">
        <v>109</v>
      </c>
      <c r="B6709" s="96" t="s">
        <v>7422</v>
      </c>
      <c r="C6709" s="22" t="s">
        <v>6083</v>
      </c>
      <c r="D6709" s="22" t="s">
        <v>7585</v>
      </c>
      <c r="E6709" s="23" t="s">
        <v>8738</v>
      </c>
      <c r="F6709" s="24" t="s">
        <v>8739</v>
      </c>
      <c r="G6709" s="24" t="s">
        <v>31</v>
      </c>
      <c r="H6709" s="25" t="s">
        <v>8740</v>
      </c>
      <c r="I6709" s="46" t="e">
        <f>VLOOKUP(H6709,'合同高级查询数据-4月返'!A:A,1,FALSE)</f>
        <v>#N/A</v>
      </c>
      <c r="J6709" s="47" t="s">
        <v>33</v>
      </c>
      <c r="K6709" s="24" t="s">
        <v>6103</v>
      </c>
      <c r="L6709" s="109" t="s">
        <v>8741</v>
      </c>
      <c r="M6709" s="49" t="s">
        <v>8742</v>
      </c>
      <c r="N6709" s="50">
        <v>44317</v>
      </c>
      <c r="O6709" s="22" t="s">
        <v>37</v>
      </c>
      <c r="P6709" s="52">
        <v>0</v>
      </c>
      <c r="Q6709" s="70">
        <v>288</v>
      </c>
      <c r="R6709" s="52">
        <f t="shared" si="195"/>
        <v>0</v>
      </c>
      <c r="S6709" s="47">
        <v>202304</v>
      </c>
      <c r="T6709" s="123" t="s">
        <v>8743</v>
      </c>
      <c r="U6709" s="97"/>
      <c r="V6709" s="453"/>
      <c r="W6709" s="453"/>
      <c r="X6709" s="50">
        <v>44805</v>
      </c>
      <c r="Y6709" s="267">
        <v>45169</v>
      </c>
    </row>
    <row r="6710" s="3" customFormat="1" customHeight="1" spans="1:25">
      <c r="A6710" s="11" t="s">
        <v>109</v>
      </c>
      <c r="B6710" s="102" t="s">
        <v>7422</v>
      </c>
      <c r="C6710" s="35" t="s">
        <v>6083</v>
      </c>
      <c r="D6710" s="35" t="s">
        <v>7585</v>
      </c>
      <c r="E6710" s="13" t="s">
        <v>8738</v>
      </c>
      <c r="F6710" s="11" t="s">
        <v>8739</v>
      </c>
      <c r="G6710" s="11" t="s">
        <v>31</v>
      </c>
      <c r="H6710" s="110" t="s">
        <v>8744</v>
      </c>
      <c r="I6710" s="30" t="e">
        <f>VLOOKUP(H6710,'合同高级查询数据-4月返'!A:A,1,FALSE)</f>
        <v>#N/A</v>
      </c>
      <c r="J6710" s="31" t="s">
        <v>33</v>
      </c>
      <c r="K6710" s="11" t="s">
        <v>6103</v>
      </c>
      <c r="L6710" s="32" t="s">
        <v>8741</v>
      </c>
      <c r="M6710" s="113" t="s">
        <v>8742</v>
      </c>
      <c r="N6710" s="34">
        <v>45006</v>
      </c>
      <c r="O6710" s="35" t="s">
        <v>37</v>
      </c>
      <c r="P6710" s="465">
        <v>0</v>
      </c>
      <c r="Q6710" s="459">
        <v>256</v>
      </c>
      <c r="R6710" s="465">
        <f t="shared" si="195"/>
        <v>0</v>
      </c>
      <c r="S6710" s="31">
        <v>202304</v>
      </c>
      <c r="T6710" s="60" t="s">
        <v>8745</v>
      </c>
      <c r="U6710" s="104"/>
      <c r="V6710" s="438"/>
      <c r="W6710" s="438"/>
      <c r="X6710" s="34"/>
      <c r="Y6710" s="409"/>
    </row>
    <row r="6711" s="5" customFormat="1" customHeight="1" spans="1:25">
      <c r="A6711" s="24" t="s">
        <v>109</v>
      </c>
      <c r="B6711" s="96" t="s">
        <v>7422</v>
      </c>
      <c r="C6711" s="22" t="s">
        <v>6083</v>
      </c>
      <c r="D6711" s="22" t="s">
        <v>7585</v>
      </c>
      <c r="E6711" s="23" t="s">
        <v>8738</v>
      </c>
      <c r="F6711" s="24" t="s">
        <v>8739</v>
      </c>
      <c r="G6711" s="24" t="s">
        <v>31</v>
      </c>
      <c r="H6711" s="25" t="s">
        <v>8740</v>
      </c>
      <c r="I6711" s="46" t="e">
        <f>VLOOKUP(H6711,'合同高级查询数据-4月返'!A:A,1,FALSE)</f>
        <v>#N/A</v>
      </c>
      <c r="J6711" s="47" t="s">
        <v>33</v>
      </c>
      <c r="K6711" s="24" t="s">
        <v>6103</v>
      </c>
      <c r="L6711" s="109" t="s">
        <v>8741</v>
      </c>
      <c r="M6711" s="49" t="s">
        <v>8742</v>
      </c>
      <c r="N6711" s="50"/>
      <c r="O6711" s="22" t="s">
        <v>179</v>
      </c>
      <c r="P6711" s="52">
        <v>0</v>
      </c>
      <c r="Q6711" s="70">
        <v>0</v>
      </c>
      <c r="R6711" s="52">
        <f t="shared" si="195"/>
        <v>0</v>
      </c>
      <c r="S6711" s="47">
        <v>202304</v>
      </c>
      <c r="T6711" s="123" t="s">
        <v>8746</v>
      </c>
      <c r="U6711" s="97"/>
      <c r="V6711" s="453"/>
      <c r="W6711" s="453"/>
      <c r="X6711" s="50">
        <v>44805</v>
      </c>
      <c r="Y6711" s="267">
        <v>45169</v>
      </c>
    </row>
    <row r="6712" s="3" customFormat="1" customHeight="1" spans="1:25">
      <c r="A6712" s="11" t="s">
        <v>109</v>
      </c>
      <c r="B6712" s="102" t="s">
        <v>7422</v>
      </c>
      <c r="C6712" s="35" t="s">
        <v>6083</v>
      </c>
      <c r="D6712" s="35" t="s">
        <v>7585</v>
      </c>
      <c r="E6712" s="13" t="s">
        <v>8738</v>
      </c>
      <c r="F6712" s="11" t="s">
        <v>8739</v>
      </c>
      <c r="G6712" s="11" t="s">
        <v>31</v>
      </c>
      <c r="H6712" s="110" t="s">
        <v>8744</v>
      </c>
      <c r="I6712" s="30" t="e">
        <f>VLOOKUP(H6712,'合同高级查询数据-4月返'!A:A,1,FALSE)</f>
        <v>#N/A</v>
      </c>
      <c r="J6712" s="31" t="s">
        <v>33</v>
      </c>
      <c r="K6712" s="11" t="s">
        <v>6103</v>
      </c>
      <c r="L6712" s="32" t="s">
        <v>8741</v>
      </c>
      <c r="M6712" s="113" t="s">
        <v>8742</v>
      </c>
      <c r="N6712" s="34">
        <v>45006</v>
      </c>
      <c r="O6712" s="35" t="s">
        <v>179</v>
      </c>
      <c r="P6712" s="465">
        <v>0</v>
      </c>
      <c r="Q6712" s="459">
        <v>0</v>
      </c>
      <c r="R6712" s="465">
        <f t="shared" si="195"/>
        <v>0</v>
      </c>
      <c r="S6712" s="31">
        <v>202304</v>
      </c>
      <c r="T6712" s="60" t="s">
        <v>8747</v>
      </c>
      <c r="U6712" s="104"/>
      <c r="V6712" s="438"/>
      <c r="W6712" s="438"/>
      <c r="X6712" s="34"/>
      <c r="Y6712" s="409"/>
    </row>
    <row r="6713" s="5" customFormat="1" customHeight="1" spans="1:25">
      <c r="A6713" s="24" t="s">
        <v>109</v>
      </c>
      <c r="B6713" s="96" t="s">
        <v>7422</v>
      </c>
      <c r="C6713" s="22" t="s">
        <v>6083</v>
      </c>
      <c r="D6713" s="22" t="s">
        <v>7585</v>
      </c>
      <c r="E6713" s="23" t="s">
        <v>8738</v>
      </c>
      <c r="F6713" s="24" t="s">
        <v>8739</v>
      </c>
      <c r="G6713" s="24" t="s">
        <v>88</v>
      </c>
      <c r="H6713" s="25" t="s">
        <v>8740</v>
      </c>
      <c r="I6713" s="46" t="e">
        <f>VLOOKUP(H6713,'合同高级查询数据-4月返'!A:A,1,FALSE)</f>
        <v>#N/A</v>
      </c>
      <c r="J6713" s="47" t="s">
        <v>162</v>
      </c>
      <c r="K6713" s="24" t="s">
        <v>6103</v>
      </c>
      <c r="L6713" s="109" t="s">
        <v>8741</v>
      </c>
      <c r="M6713" s="49" t="s">
        <v>8742</v>
      </c>
      <c r="N6713" s="50">
        <v>44317</v>
      </c>
      <c r="O6713" s="22" t="s">
        <v>163</v>
      </c>
      <c r="P6713" s="52">
        <v>5000</v>
      </c>
      <c r="Q6713" s="70">
        <v>4</v>
      </c>
      <c r="R6713" s="52">
        <f t="shared" si="195"/>
        <v>20000</v>
      </c>
      <c r="S6713" s="47">
        <v>202304</v>
      </c>
      <c r="T6713" s="123" t="s">
        <v>8748</v>
      </c>
      <c r="U6713" s="97"/>
      <c r="V6713" s="453"/>
      <c r="W6713" s="453"/>
      <c r="X6713" s="50">
        <v>44805</v>
      </c>
      <c r="Y6713" s="267">
        <v>45169</v>
      </c>
    </row>
    <row r="6714" s="5" customFormat="1" customHeight="1" spans="1:25">
      <c r="A6714" s="24" t="s">
        <v>109</v>
      </c>
      <c r="B6714" s="96" t="s">
        <v>7422</v>
      </c>
      <c r="C6714" s="22" t="s">
        <v>6083</v>
      </c>
      <c r="D6714" s="22" t="s">
        <v>7585</v>
      </c>
      <c r="E6714" s="23" t="s">
        <v>8738</v>
      </c>
      <c r="F6714" s="24" t="s">
        <v>8739</v>
      </c>
      <c r="G6714" s="24" t="s">
        <v>88</v>
      </c>
      <c r="H6714" s="25" t="s">
        <v>8740</v>
      </c>
      <c r="I6714" s="46" t="e">
        <f>VLOOKUP(H6714,'合同高级查询数据-4月返'!A:A,1,FALSE)</f>
        <v>#N/A</v>
      </c>
      <c r="J6714" s="47" t="s">
        <v>162</v>
      </c>
      <c r="K6714" s="24" t="s">
        <v>6103</v>
      </c>
      <c r="L6714" s="109" t="s">
        <v>8741</v>
      </c>
      <c r="M6714" s="49" t="s">
        <v>8742</v>
      </c>
      <c r="N6714" s="50">
        <v>44591</v>
      </c>
      <c r="O6714" s="22" t="s">
        <v>163</v>
      </c>
      <c r="P6714" s="52">
        <v>5000</v>
      </c>
      <c r="Q6714" s="70">
        <v>3</v>
      </c>
      <c r="R6714" s="52">
        <f t="shared" si="195"/>
        <v>15000</v>
      </c>
      <c r="S6714" s="47">
        <v>202304</v>
      </c>
      <c r="T6714" s="123" t="s">
        <v>8749</v>
      </c>
      <c r="U6714" s="97"/>
      <c r="V6714" s="453"/>
      <c r="W6714" s="453"/>
      <c r="X6714" s="50">
        <v>44805</v>
      </c>
      <c r="Y6714" s="267">
        <v>45169</v>
      </c>
    </row>
    <row r="6715" s="5" customFormat="1" customHeight="1" spans="1:25">
      <c r="A6715" s="24" t="s">
        <v>109</v>
      </c>
      <c r="B6715" s="96" t="s">
        <v>7422</v>
      </c>
      <c r="C6715" s="22" t="s">
        <v>6083</v>
      </c>
      <c r="D6715" s="22" t="s">
        <v>7585</v>
      </c>
      <c r="E6715" s="23" t="s">
        <v>8738</v>
      </c>
      <c r="F6715" s="24" t="s">
        <v>8739</v>
      </c>
      <c r="G6715" s="24" t="s">
        <v>88</v>
      </c>
      <c r="H6715" s="25" t="s">
        <v>8740</v>
      </c>
      <c r="I6715" s="46" t="e">
        <f>VLOOKUP(H6715,'合同高级查询数据-4月返'!A:A,1,FALSE)</f>
        <v>#N/A</v>
      </c>
      <c r="J6715" s="47" t="s">
        <v>162</v>
      </c>
      <c r="K6715" s="24" t="s">
        <v>6103</v>
      </c>
      <c r="L6715" s="109" t="s">
        <v>8741</v>
      </c>
      <c r="M6715" s="49" t="s">
        <v>8742</v>
      </c>
      <c r="N6715" s="50">
        <v>44809</v>
      </c>
      <c r="O6715" s="22" t="s">
        <v>163</v>
      </c>
      <c r="P6715" s="52">
        <v>5000</v>
      </c>
      <c r="Q6715" s="70">
        <v>2</v>
      </c>
      <c r="R6715" s="52">
        <f t="shared" si="195"/>
        <v>10000</v>
      </c>
      <c r="S6715" s="47">
        <v>202304</v>
      </c>
      <c r="T6715" s="123" t="s">
        <v>8750</v>
      </c>
      <c r="U6715" s="97"/>
      <c r="V6715" s="453"/>
      <c r="W6715" s="453"/>
      <c r="X6715" s="50">
        <v>44805</v>
      </c>
      <c r="Y6715" s="267">
        <v>45169</v>
      </c>
    </row>
    <row r="6716" s="3" customFormat="1" customHeight="1" spans="1:25">
      <c r="A6716" s="11" t="s">
        <v>109</v>
      </c>
      <c r="B6716" s="102" t="s">
        <v>7422</v>
      </c>
      <c r="C6716" s="35" t="s">
        <v>6083</v>
      </c>
      <c r="D6716" s="35" t="s">
        <v>7585</v>
      </c>
      <c r="E6716" s="13" t="s">
        <v>8738</v>
      </c>
      <c r="F6716" s="11" t="s">
        <v>8739</v>
      </c>
      <c r="G6716" s="11" t="s">
        <v>88</v>
      </c>
      <c r="H6716" s="110" t="s">
        <v>8744</v>
      </c>
      <c r="I6716" s="30" t="e">
        <f>VLOOKUP(H6716,'合同高级查询数据-4月返'!A:A,1,FALSE)</f>
        <v>#N/A</v>
      </c>
      <c r="J6716" s="31" t="s">
        <v>162</v>
      </c>
      <c r="K6716" s="11" t="s">
        <v>6103</v>
      </c>
      <c r="L6716" s="32" t="s">
        <v>8741</v>
      </c>
      <c r="M6716" s="113" t="s">
        <v>8742</v>
      </c>
      <c r="N6716" s="34">
        <v>45006</v>
      </c>
      <c r="O6716" s="35" t="s">
        <v>163</v>
      </c>
      <c r="P6716" s="465">
        <v>4000</v>
      </c>
      <c r="Q6716" s="459">
        <v>2</v>
      </c>
      <c r="R6716" s="465">
        <f t="shared" si="195"/>
        <v>8000</v>
      </c>
      <c r="S6716" s="31">
        <v>202304</v>
      </c>
      <c r="T6716" s="60" t="s">
        <v>8751</v>
      </c>
      <c r="U6716" s="104"/>
      <c r="V6716" s="438"/>
      <c r="W6716" s="438"/>
      <c r="X6716" s="34"/>
      <c r="Y6716" s="409"/>
    </row>
    <row r="6717" s="5" customFormat="1" customHeight="1" spans="1:25">
      <c r="A6717" s="24" t="s">
        <v>109</v>
      </c>
      <c r="B6717" s="96" t="s">
        <v>7422</v>
      </c>
      <c r="C6717" s="22" t="s">
        <v>1987</v>
      </c>
      <c r="D6717" s="22" t="s">
        <v>7585</v>
      </c>
      <c r="E6717" s="23" t="s">
        <v>8738</v>
      </c>
      <c r="F6717" s="24" t="s">
        <v>8739</v>
      </c>
      <c r="G6717" s="24" t="s">
        <v>31</v>
      </c>
      <c r="H6717" s="25" t="s">
        <v>8752</v>
      </c>
      <c r="I6717" s="46" t="e">
        <f>VLOOKUP(H6717,'合同高级查询数据-4月返'!A:A,1,FALSE)</f>
        <v>#N/A</v>
      </c>
      <c r="J6717" s="47" t="s">
        <v>33</v>
      </c>
      <c r="K6717" s="24" t="s">
        <v>8753</v>
      </c>
      <c r="L6717" s="109" t="s">
        <v>8754</v>
      </c>
      <c r="M6717" s="49" t="s">
        <v>8755</v>
      </c>
      <c r="N6717" s="50">
        <v>44501</v>
      </c>
      <c r="O6717" s="22" t="s">
        <v>37</v>
      </c>
      <c r="P6717" s="52">
        <v>0</v>
      </c>
      <c r="Q6717" s="70">
        <v>288</v>
      </c>
      <c r="R6717" s="52">
        <f t="shared" si="195"/>
        <v>0</v>
      </c>
      <c r="S6717" s="47">
        <v>202304</v>
      </c>
      <c r="T6717" s="123" t="s">
        <v>8756</v>
      </c>
      <c r="U6717" s="97"/>
      <c r="V6717" s="453"/>
      <c r="W6717" s="453"/>
      <c r="X6717" s="50">
        <v>44866</v>
      </c>
      <c r="Y6717" s="73">
        <v>45230</v>
      </c>
    </row>
    <row r="6718" s="5" customFormat="1" customHeight="1" spans="1:25">
      <c r="A6718" s="24" t="s">
        <v>109</v>
      </c>
      <c r="B6718" s="96" t="s">
        <v>7422</v>
      </c>
      <c r="C6718" s="22" t="s">
        <v>1987</v>
      </c>
      <c r="D6718" s="22" t="s">
        <v>7585</v>
      </c>
      <c r="E6718" s="23" t="s">
        <v>8738</v>
      </c>
      <c r="F6718" s="24" t="s">
        <v>8739</v>
      </c>
      <c r="G6718" s="24" t="s">
        <v>31</v>
      </c>
      <c r="H6718" s="25" t="s">
        <v>8752</v>
      </c>
      <c r="I6718" s="46" t="e">
        <f>VLOOKUP(H6718,'合同高级查询数据-4月返'!A:A,1,FALSE)</f>
        <v>#N/A</v>
      </c>
      <c r="J6718" s="47" t="s">
        <v>33</v>
      </c>
      <c r="K6718" s="24" t="s">
        <v>8753</v>
      </c>
      <c r="L6718" s="109" t="s">
        <v>8754</v>
      </c>
      <c r="M6718" s="49" t="s">
        <v>8755</v>
      </c>
      <c r="N6718" s="50">
        <v>45006</v>
      </c>
      <c r="O6718" s="22" t="s">
        <v>37</v>
      </c>
      <c r="P6718" s="52">
        <v>0</v>
      </c>
      <c r="Q6718" s="70">
        <v>-128</v>
      </c>
      <c r="R6718" s="52">
        <f t="shared" si="195"/>
        <v>0</v>
      </c>
      <c r="S6718" s="47">
        <v>202304</v>
      </c>
      <c r="T6718" s="123" t="s">
        <v>8757</v>
      </c>
      <c r="U6718" s="97"/>
      <c r="V6718" s="453"/>
      <c r="W6718" s="453"/>
      <c r="X6718" s="50">
        <v>44866</v>
      </c>
      <c r="Y6718" s="73">
        <v>45230</v>
      </c>
    </row>
    <row r="6719" s="5" customFormat="1" customHeight="1" spans="1:25">
      <c r="A6719" s="24" t="s">
        <v>109</v>
      </c>
      <c r="B6719" s="96" t="s">
        <v>7422</v>
      </c>
      <c r="C6719" s="22" t="s">
        <v>1987</v>
      </c>
      <c r="D6719" s="22" t="s">
        <v>7585</v>
      </c>
      <c r="E6719" s="23" t="s">
        <v>8738</v>
      </c>
      <c r="F6719" s="24" t="s">
        <v>8739</v>
      </c>
      <c r="G6719" s="24" t="s">
        <v>31</v>
      </c>
      <c r="H6719" s="25" t="s">
        <v>8752</v>
      </c>
      <c r="I6719" s="46" t="e">
        <f>VLOOKUP(H6719,'合同高级查询数据-4月返'!A:A,1,FALSE)</f>
        <v>#N/A</v>
      </c>
      <c r="J6719" s="47" t="s">
        <v>33</v>
      </c>
      <c r="K6719" s="24" t="s">
        <v>8753</v>
      </c>
      <c r="L6719" s="109" t="s">
        <v>8754</v>
      </c>
      <c r="M6719" s="49" t="s">
        <v>8755</v>
      </c>
      <c r="N6719" s="50">
        <v>45007</v>
      </c>
      <c r="O6719" s="22" t="s">
        <v>37</v>
      </c>
      <c r="P6719" s="52">
        <v>0</v>
      </c>
      <c r="Q6719" s="70">
        <v>128</v>
      </c>
      <c r="R6719" s="52">
        <f t="shared" si="195"/>
        <v>0</v>
      </c>
      <c r="S6719" s="47">
        <v>202304</v>
      </c>
      <c r="T6719" s="123" t="s">
        <v>8758</v>
      </c>
      <c r="U6719" s="97"/>
      <c r="V6719" s="453"/>
      <c r="W6719" s="453"/>
      <c r="X6719" s="50">
        <v>44866</v>
      </c>
      <c r="Y6719" s="73">
        <v>45230</v>
      </c>
    </row>
    <row r="6720" s="5" customFormat="1" customHeight="1" spans="1:25">
      <c r="A6720" s="24" t="s">
        <v>109</v>
      </c>
      <c r="B6720" s="96" t="s">
        <v>7422</v>
      </c>
      <c r="C6720" s="22" t="s">
        <v>1987</v>
      </c>
      <c r="D6720" s="22" t="s">
        <v>7585</v>
      </c>
      <c r="E6720" s="23" t="s">
        <v>8738</v>
      </c>
      <c r="F6720" s="24" t="s">
        <v>8739</v>
      </c>
      <c r="G6720" s="24" t="s">
        <v>31</v>
      </c>
      <c r="H6720" s="25" t="s">
        <v>8752</v>
      </c>
      <c r="I6720" s="46" t="e">
        <f>VLOOKUP(H6720,'合同高级查询数据-4月返'!A:A,1,FALSE)</f>
        <v>#N/A</v>
      </c>
      <c r="J6720" s="47" t="s">
        <v>33</v>
      </c>
      <c r="K6720" s="24" t="s">
        <v>8753</v>
      </c>
      <c r="L6720" s="109" t="s">
        <v>8754</v>
      </c>
      <c r="M6720" s="49" t="s">
        <v>8755</v>
      </c>
      <c r="N6720" s="50"/>
      <c r="O6720" s="22" t="s">
        <v>179</v>
      </c>
      <c r="P6720" s="52">
        <v>0</v>
      </c>
      <c r="Q6720" s="70">
        <v>0</v>
      </c>
      <c r="R6720" s="52">
        <f t="shared" si="195"/>
        <v>0</v>
      </c>
      <c r="S6720" s="47">
        <v>202304</v>
      </c>
      <c r="T6720" s="123" t="s">
        <v>8759</v>
      </c>
      <c r="U6720" s="97"/>
      <c r="V6720" s="453"/>
      <c r="W6720" s="453"/>
      <c r="X6720" s="50">
        <v>44866</v>
      </c>
      <c r="Y6720" s="73">
        <v>45230</v>
      </c>
    </row>
    <row r="6721" s="5" customFormat="1" customHeight="1" spans="1:25">
      <c r="A6721" s="24" t="s">
        <v>109</v>
      </c>
      <c r="B6721" s="96" t="s">
        <v>7422</v>
      </c>
      <c r="C6721" s="22" t="s">
        <v>1987</v>
      </c>
      <c r="D6721" s="22" t="s">
        <v>7585</v>
      </c>
      <c r="E6721" s="23" t="s">
        <v>8738</v>
      </c>
      <c r="F6721" s="24" t="s">
        <v>8739</v>
      </c>
      <c r="G6721" s="24" t="s">
        <v>31</v>
      </c>
      <c r="H6721" s="25" t="s">
        <v>8752</v>
      </c>
      <c r="I6721" s="46" t="e">
        <f>VLOOKUP(H6721,'合同高级查询数据-4月返'!A:A,1,FALSE)</f>
        <v>#N/A</v>
      </c>
      <c r="J6721" s="47" t="s">
        <v>33</v>
      </c>
      <c r="K6721" s="24" t="s">
        <v>8753</v>
      </c>
      <c r="L6721" s="109" t="s">
        <v>8754</v>
      </c>
      <c r="M6721" s="49" t="s">
        <v>8755</v>
      </c>
      <c r="N6721" s="50">
        <v>45007</v>
      </c>
      <c r="O6721" s="22" t="s">
        <v>179</v>
      </c>
      <c r="P6721" s="52">
        <v>0</v>
      </c>
      <c r="Q6721" s="70">
        <v>0</v>
      </c>
      <c r="R6721" s="52">
        <f t="shared" si="195"/>
        <v>0</v>
      </c>
      <c r="S6721" s="47">
        <v>202304</v>
      </c>
      <c r="T6721" s="123" t="s">
        <v>8760</v>
      </c>
      <c r="U6721" s="97"/>
      <c r="V6721" s="453"/>
      <c r="W6721" s="453"/>
      <c r="X6721" s="50">
        <v>44866</v>
      </c>
      <c r="Y6721" s="73">
        <v>45230</v>
      </c>
    </row>
    <row r="6722" s="5" customFormat="1" customHeight="1" spans="1:25">
      <c r="A6722" s="24" t="s">
        <v>109</v>
      </c>
      <c r="B6722" s="96" t="s">
        <v>7422</v>
      </c>
      <c r="C6722" s="22" t="s">
        <v>1987</v>
      </c>
      <c r="D6722" s="22" t="s">
        <v>7585</v>
      </c>
      <c r="E6722" s="23" t="s">
        <v>8738</v>
      </c>
      <c r="F6722" s="24" t="s">
        <v>8739</v>
      </c>
      <c r="G6722" s="24" t="s">
        <v>88</v>
      </c>
      <c r="H6722" s="25" t="s">
        <v>8752</v>
      </c>
      <c r="I6722" s="46" t="e">
        <f>VLOOKUP(H6722,'合同高级查询数据-4月返'!A:A,1,FALSE)</f>
        <v>#N/A</v>
      </c>
      <c r="J6722" s="47" t="s">
        <v>162</v>
      </c>
      <c r="K6722" s="24" t="s">
        <v>8753</v>
      </c>
      <c r="L6722" s="109" t="s">
        <v>8754</v>
      </c>
      <c r="M6722" s="49" t="s">
        <v>8755</v>
      </c>
      <c r="N6722" s="50">
        <v>44501</v>
      </c>
      <c r="O6722" s="22" t="s">
        <v>163</v>
      </c>
      <c r="P6722" s="52">
        <v>5000</v>
      </c>
      <c r="Q6722" s="70">
        <v>3</v>
      </c>
      <c r="R6722" s="52">
        <f t="shared" si="195"/>
        <v>15000</v>
      </c>
      <c r="S6722" s="47">
        <v>202304</v>
      </c>
      <c r="T6722" s="123" t="s">
        <v>8761</v>
      </c>
      <c r="U6722" s="97"/>
      <c r="V6722" s="453"/>
      <c r="W6722" s="453"/>
      <c r="X6722" s="50">
        <v>44866</v>
      </c>
      <c r="Y6722" s="73">
        <v>45230</v>
      </c>
    </row>
    <row r="6723" s="3" customFormat="1" customHeight="1" spans="1:25">
      <c r="A6723" s="11" t="s">
        <v>109</v>
      </c>
      <c r="B6723" s="102" t="s">
        <v>7422</v>
      </c>
      <c r="C6723" s="35" t="s">
        <v>1987</v>
      </c>
      <c r="D6723" s="35" t="s">
        <v>7585</v>
      </c>
      <c r="E6723" s="13" t="s">
        <v>8738</v>
      </c>
      <c r="F6723" s="11" t="s">
        <v>8739</v>
      </c>
      <c r="G6723" s="11" t="s">
        <v>88</v>
      </c>
      <c r="H6723" s="110" t="s">
        <v>8744</v>
      </c>
      <c r="I6723" s="30" t="e">
        <f>VLOOKUP(H6723,'合同高级查询数据-4月返'!A:A,1,FALSE)</f>
        <v>#N/A</v>
      </c>
      <c r="J6723" s="31" t="s">
        <v>162</v>
      </c>
      <c r="K6723" s="11" t="s">
        <v>8753</v>
      </c>
      <c r="L6723" s="32" t="s">
        <v>8754</v>
      </c>
      <c r="M6723" s="113" t="s">
        <v>8755</v>
      </c>
      <c r="N6723" s="34">
        <v>45007</v>
      </c>
      <c r="O6723" s="35" t="s">
        <v>163</v>
      </c>
      <c r="P6723" s="465">
        <v>5000</v>
      </c>
      <c r="Q6723" s="459">
        <v>3</v>
      </c>
      <c r="R6723" s="465">
        <f t="shared" si="195"/>
        <v>15000</v>
      </c>
      <c r="S6723" s="31">
        <v>202304</v>
      </c>
      <c r="T6723" s="60" t="s">
        <v>8762</v>
      </c>
      <c r="U6723" s="104"/>
      <c r="V6723" s="438"/>
      <c r="W6723" s="438"/>
      <c r="X6723" s="34"/>
      <c r="Y6723" s="146"/>
    </row>
    <row r="6724" s="5" customFormat="1" customHeight="1" spans="1:25">
      <c r="A6724" s="24" t="s">
        <v>109</v>
      </c>
      <c r="B6724" s="96" t="s">
        <v>7422</v>
      </c>
      <c r="C6724" s="22" t="s">
        <v>3237</v>
      </c>
      <c r="D6724" s="22" t="s">
        <v>7585</v>
      </c>
      <c r="E6724" s="23" t="s">
        <v>8738</v>
      </c>
      <c r="F6724" s="24" t="s">
        <v>8739</v>
      </c>
      <c r="G6724" s="24" t="s">
        <v>31</v>
      </c>
      <c r="H6724" s="25" t="s">
        <v>8763</v>
      </c>
      <c r="I6724" s="46" t="e">
        <f>VLOOKUP(H6724,'合同高级查询数据-4月返'!A:A,1,FALSE)</f>
        <v>#N/A</v>
      </c>
      <c r="J6724" s="47" t="s">
        <v>33</v>
      </c>
      <c r="K6724" s="24" t="s">
        <v>7622</v>
      </c>
      <c r="L6724" s="109" t="s">
        <v>8764</v>
      </c>
      <c r="M6724" s="49" t="s">
        <v>8765</v>
      </c>
      <c r="N6724" s="50">
        <v>44591</v>
      </c>
      <c r="O6724" s="22" t="s">
        <v>37</v>
      </c>
      <c r="P6724" s="52">
        <v>0</v>
      </c>
      <c r="Q6724" s="70">
        <v>640</v>
      </c>
      <c r="R6724" s="52">
        <f t="shared" si="195"/>
        <v>0</v>
      </c>
      <c r="S6724" s="47">
        <v>202304</v>
      </c>
      <c r="T6724" s="123" t="s">
        <v>8766</v>
      </c>
      <c r="U6724" s="97"/>
      <c r="V6724" s="453"/>
      <c r="W6724" s="453"/>
      <c r="X6724" s="50">
        <v>44741</v>
      </c>
      <c r="Y6724" s="493">
        <v>45169</v>
      </c>
    </row>
    <row r="6725" s="5" customFormat="1" customHeight="1" spans="1:25">
      <c r="A6725" s="24" t="s">
        <v>109</v>
      </c>
      <c r="B6725" s="96" t="s">
        <v>7422</v>
      </c>
      <c r="C6725" s="22" t="s">
        <v>3237</v>
      </c>
      <c r="D6725" s="22" t="s">
        <v>7585</v>
      </c>
      <c r="E6725" s="23" t="s">
        <v>8738</v>
      </c>
      <c r="F6725" s="24" t="s">
        <v>8739</v>
      </c>
      <c r="G6725" s="24" t="s">
        <v>31</v>
      </c>
      <c r="H6725" s="25" t="s">
        <v>8763</v>
      </c>
      <c r="I6725" s="46" t="e">
        <f>VLOOKUP(H6725,'合同高级查询数据-4月返'!A:A,1,FALSE)</f>
        <v>#N/A</v>
      </c>
      <c r="J6725" s="47" t="s">
        <v>33</v>
      </c>
      <c r="K6725" s="24" t="s">
        <v>7622</v>
      </c>
      <c r="L6725" s="109" t="s">
        <v>8764</v>
      </c>
      <c r="M6725" s="49" t="s">
        <v>8765</v>
      </c>
      <c r="N6725" s="50">
        <v>44741</v>
      </c>
      <c r="O6725" s="22" t="s">
        <v>37</v>
      </c>
      <c r="P6725" s="52">
        <v>50</v>
      </c>
      <c r="Q6725" s="70">
        <v>128</v>
      </c>
      <c r="R6725" s="52">
        <f t="shared" si="195"/>
        <v>6400</v>
      </c>
      <c r="S6725" s="47">
        <v>202304</v>
      </c>
      <c r="T6725" s="123" t="s">
        <v>8767</v>
      </c>
      <c r="U6725" s="97"/>
      <c r="V6725" s="453"/>
      <c r="W6725" s="453"/>
      <c r="X6725" s="493">
        <v>44741</v>
      </c>
      <c r="Y6725" s="493">
        <v>45169</v>
      </c>
    </row>
    <row r="6726" s="5" customFormat="1" customHeight="1" spans="1:25">
      <c r="A6726" s="24" t="s">
        <v>109</v>
      </c>
      <c r="B6726" s="96" t="s">
        <v>7422</v>
      </c>
      <c r="C6726" s="22" t="s">
        <v>3237</v>
      </c>
      <c r="D6726" s="22" t="s">
        <v>7585</v>
      </c>
      <c r="E6726" s="23" t="s">
        <v>8738</v>
      </c>
      <c r="F6726" s="24" t="s">
        <v>8739</v>
      </c>
      <c r="G6726" s="24" t="s">
        <v>31</v>
      </c>
      <c r="H6726" s="25" t="s">
        <v>8763</v>
      </c>
      <c r="I6726" s="46" t="e">
        <f>VLOOKUP(H6726,'合同高级查询数据-4月返'!A:A,1,FALSE)</f>
        <v>#N/A</v>
      </c>
      <c r="J6726" s="47" t="s">
        <v>33</v>
      </c>
      <c r="K6726" s="24" t="s">
        <v>7622</v>
      </c>
      <c r="L6726" s="109" t="s">
        <v>8764</v>
      </c>
      <c r="M6726" s="49" t="s">
        <v>8765</v>
      </c>
      <c r="N6726" s="50">
        <v>44743</v>
      </c>
      <c r="O6726" s="22" t="s">
        <v>37</v>
      </c>
      <c r="P6726" s="52">
        <v>50</v>
      </c>
      <c r="Q6726" s="70">
        <v>-128</v>
      </c>
      <c r="R6726" s="52">
        <f t="shared" si="195"/>
        <v>-6400</v>
      </c>
      <c r="S6726" s="47">
        <v>202304</v>
      </c>
      <c r="T6726" s="123" t="s">
        <v>8768</v>
      </c>
      <c r="U6726" s="97"/>
      <c r="V6726" s="453"/>
      <c r="W6726" s="453"/>
      <c r="X6726" s="493">
        <v>44741</v>
      </c>
      <c r="Y6726" s="493">
        <v>45169</v>
      </c>
    </row>
    <row r="6727" s="5" customFormat="1" customHeight="1" spans="1:25">
      <c r="A6727" s="24" t="s">
        <v>109</v>
      </c>
      <c r="B6727" s="96" t="s">
        <v>7422</v>
      </c>
      <c r="C6727" s="22" t="s">
        <v>3237</v>
      </c>
      <c r="D6727" s="22" t="s">
        <v>7585</v>
      </c>
      <c r="E6727" s="23" t="s">
        <v>8738</v>
      </c>
      <c r="F6727" s="24" t="s">
        <v>8739</v>
      </c>
      <c r="G6727" s="24" t="s">
        <v>31</v>
      </c>
      <c r="H6727" s="25" t="s">
        <v>8763</v>
      </c>
      <c r="I6727" s="46" t="e">
        <f>VLOOKUP(H6727,'合同高级查询数据-4月返'!A:A,1,FALSE)</f>
        <v>#N/A</v>
      </c>
      <c r="J6727" s="47" t="s">
        <v>33</v>
      </c>
      <c r="K6727" s="24" t="s">
        <v>7622</v>
      </c>
      <c r="L6727" s="109" t="s">
        <v>8764</v>
      </c>
      <c r="M6727" s="49" t="s">
        <v>8765</v>
      </c>
      <c r="N6727" s="50">
        <v>44743</v>
      </c>
      <c r="O6727" s="22" t="s">
        <v>37</v>
      </c>
      <c r="P6727" s="52">
        <v>0</v>
      </c>
      <c r="Q6727" s="70">
        <v>128</v>
      </c>
      <c r="R6727" s="52">
        <f t="shared" si="195"/>
        <v>0</v>
      </c>
      <c r="S6727" s="47">
        <v>202304</v>
      </c>
      <c r="T6727" s="123" t="s">
        <v>8769</v>
      </c>
      <c r="U6727" s="97"/>
      <c r="V6727" s="453"/>
      <c r="W6727" s="453"/>
      <c r="X6727" s="493">
        <v>44741</v>
      </c>
      <c r="Y6727" s="493">
        <v>45169</v>
      </c>
    </row>
    <row r="6728" s="5" customFormat="1" customHeight="1" spans="1:25">
      <c r="A6728" s="24" t="s">
        <v>109</v>
      </c>
      <c r="B6728" s="96" t="s">
        <v>7422</v>
      </c>
      <c r="C6728" s="22" t="s">
        <v>3237</v>
      </c>
      <c r="D6728" s="22" t="s">
        <v>7585</v>
      </c>
      <c r="E6728" s="23" t="s">
        <v>8738</v>
      </c>
      <c r="F6728" s="24" t="s">
        <v>8739</v>
      </c>
      <c r="G6728" s="24" t="s">
        <v>31</v>
      </c>
      <c r="H6728" s="25" t="s">
        <v>8770</v>
      </c>
      <c r="I6728" s="46" t="e">
        <f>VLOOKUP(H6728,'合同高级查询数据-4月返'!A:A,1,FALSE)</f>
        <v>#N/A</v>
      </c>
      <c r="J6728" s="47" t="s">
        <v>33</v>
      </c>
      <c r="K6728" s="24" t="s">
        <v>7622</v>
      </c>
      <c r="L6728" s="109" t="s">
        <v>8764</v>
      </c>
      <c r="M6728" s="49" t="s">
        <v>8765</v>
      </c>
      <c r="N6728" s="50">
        <v>44920</v>
      </c>
      <c r="O6728" s="22" t="s">
        <v>37</v>
      </c>
      <c r="P6728" s="52">
        <v>0</v>
      </c>
      <c r="Q6728" s="70">
        <v>128</v>
      </c>
      <c r="R6728" s="52">
        <f t="shared" si="195"/>
        <v>0</v>
      </c>
      <c r="S6728" s="47">
        <v>202304</v>
      </c>
      <c r="T6728" s="123" t="s">
        <v>8771</v>
      </c>
      <c r="U6728" s="97"/>
      <c r="V6728" s="453"/>
      <c r="W6728" s="453"/>
      <c r="X6728" s="493">
        <v>44920</v>
      </c>
      <c r="Y6728" s="493">
        <v>45169</v>
      </c>
    </row>
    <row r="6729" s="5" customFormat="1" customHeight="1" spans="1:25">
      <c r="A6729" s="24" t="s">
        <v>109</v>
      </c>
      <c r="B6729" s="96" t="s">
        <v>7422</v>
      </c>
      <c r="C6729" s="22" t="s">
        <v>3237</v>
      </c>
      <c r="D6729" s="22" t="s">
        <v>7585</v>
      </c>
      <c r="E6729" s="23" t="s">
        <v>8738</v>
      </c>
      <c r="F6729" s="24" t="s">
        <v>8739</v>
      </c>
      <c r="G6729" s="24" t="s">
        <v>31</v>
      </c>
      <c r="H6729" s="25" t="s">
        <v>8763</v>
      </c>
      <c r="I6729" s="46" t="e">
        <f>VLOOKUP(H6729,'合同高级查询数据-4月返'!A:A,1,FALSE)</f>
        <v>#N/A</v>
      </c>
      <c r="J6729" s="47" t="s">
        <v>33</v>
      </c>
      <c r="K6729" s="24" t="s">
        <v>7622</v>
      </c>
      <c r="L6729" s="109" t="s">
        <v>8764</v>
      </c>
      <c r="M6729" s="49" t="s">
        <v>8765</v>
      </c>
      <c r="N6729" s="50"/>
      <c r="O6729" s="22" t="s">
        <v>179</v>
      </c>
      <c r="P6729" s="52">
        <v>0</v>
      </c>
      <c r="Q6729" s="52">
        <v>0</v>
      </c>
      <c r="R6729" s="52">
        <f t="shared" si="195"/>
        <v>0</v>
      </c>
      <c r="S6729" s="47">
        <v>202304</v>
      </c>
      <c r="T6729" s="123" t="s">
        <v>8772</v>
      </c>
      <c r="U6729" s="97"/>
      <c r="V6729" s="453"/>
      <c r="W6729" s="453"/>
      <c r="X6729" s="50">
        <v>44741</v>
      </c>
      <c r="Y6729" s="493">
        <v>45169</v>
      </c>
    </row>
    <row r="6730" s="5" customFormat="1" customHeight="1" spans="1:25">
      <c r="A6730" s="24" t="s">
        <v>109</v>
      </c>
      <c r="B6730" s="96" t="s">
        <v>7422</v>
      </c>
      <c r="C6730" s="22" t="s">
        <v>3237</v>
      </c>
      <c r="D6730" s="22" t="s">
        <v>7585</v>
      </c>
      <c r="E6730" s="23" t="s">
        <v>8738</v>
      </c>
      <c r="F6730" s="24" t="s">
        <v>8739</v>
      </c>
      <c r="G6730" s="24" t="s">
        <v>31</v>
      </c>
      <c r="H6730" s="25" t="s">
        <v>8770</v>
      </c>
      <c r="I6730" s="46" t="e">
        <f>VLOOKUP(H6730,'合同高级查询数据-4月返'!A:A,1,FALSE)</f>
        <v>#N/A</v>
      </c>
      <c r="J6730" s="47" t="s">
        <v>33</v>
      </c>
      <c r="K6730" s="24" t="s">
        <v>7622</v>
      </c>
      <c r="L6730" s="109" t="s">
        <v>8764</v>
      </c>
      <c r="M6730" s="49" t="s">
        <v>8765</v>
      </c>
      <c r="N6730" s="50">
        <v>44920</v>
      </c>
      <c r="O6730" s="22" t="s">
        <v>179</v>
      </c>
      <c r="P6730" s="52">
        <v>0</v>
      </c>
      <c r="Q6730" s="52">
        <v>1</v>
      </c>
      <c r="R6730" s="52">
        <f t="shared" si="195"/>
        <v>0</v>
      </c>
      <c r="S6730" s="47">
        <v>202304</v>
      </c>
      <c r="T6730" s="123" t="s">
        <v>8773</v>
      </c>
      <c r="U6730" s="97"/>
      <c r="V6730" s="453"/>
      <c r="W6730" s="453"/>
      <c r="X6730" s="493">
        <v>44920</v>
      </c>
      <c r="Y6730" s="493">
        <v>45169</v>
      </c>
    </row>
    <row r="6731" s="5" customFormat="1" customHeight="1" spans="1:25">
      <c r="A6731" s="24" t="s">
        <v>109</v>
      </c>
      <c r="B6731" s="96" t="s">
        <v>7422</v>
      </c>
      <c r="C6731" s="22" t="s">
        <v>3237</v>
      </c>
      <c r="D6731" s="22" t="s">
        <v>7585</v>
      </c>
      <c r="E6731" s="23" t="s">
        <v>8738</v>
      </c>
      <c r="F6731" s="24" t="s">
        <v>8739</v>
      </c>
      <c r="G6731" s="24" t="s">
        <v>88</v>
      </c>
      <c r="H6731" s="25" t="s">
        <v>8763</v>
      </c>
      <c r="I6731" s="46" t="e">
        <f>VLOOKUP(H6731,'合同高级查询数据-4月返'!A:A,1,FALSE)</f>
        <v>#N/A</v>
      </c>
      <c r="J6731" s="47" t="s">
        <v>162</v>
      </c>
      <c r="K6731" s="24" t="s">
        <v>7622</v>
      </c>
      <c r="L6731" s="109" t="s">
        <v>8764</v>
      </c>
      <c r="M6731" s="49" t="s">
        <v>8765</v>
      </c>
      <c r="N6731" s="50">
        <v>44591</v>
      </c>
      <c r="O6731" s="22" t="s">
        <v>163</v>
      </c>
      <c r="P6731" s="52">
        <v>4800</v>
      </c>
      <c r="Q6731" s="70">
        <v>6</v>
      </c>
      <c r="R6731" s="52">
        <f t="shared" si="195"/>
        <v>28800</v>
      </c>
      <c r="S6731" s="47">
        <v>202304</v>
      </c>
      <c r="T6731" s="123" t="s">
        <v>8774</v>
      </c>
      <c r="U6731" s="97"/>
      <c r="V6731" s="453"/>
      <c r="W6731" s="453"/>
      <c r="X6731" s="493">
        <v>44741</v>
      </c>
      <c r="Y6731" s="493">
        <v>45169</v>
      </c>
    </row>
    <row r="6732" s="5" customFormat="1" customHeight="1" spans="1:25">
      <c r="A6732" s="24" t="s">
        <v>109</v>
      </c>
      <c r="B6732" s="96" t="s">
        <v>7422</v>
      </c>
      <c r="C6732" s="22" t="s">
        <v>3237</v>
      </c>
      <c r="D6732" s="22" t="s">
        <v>7585</v>
      </c>
      <c r="E6732" s="23" t="s">
        <v>8738</v>
      </c>
      <c r="F6732" s="24" t="s">
        <v>8739</v>
      </c>
      <c r="G6732" s="24" t="s">
        <v>88</v>
      </c>
      <c r="H6732" s="25" t="s">
        <v>8763</v>
      </c>
      <c r="I6732" s="46" t="e">
        <f>VLOOKUP(H6732,'合同高级查询数据-4月返'!A:A,1,FALSE)</f>
        <v>#N/A</v>
      </c>
      <c r="J6732" s="47" t="s">
        <v>162</v>
      </c>
      <c r="K6732" s="24" t="s">
        <v>7622</v>
      </c>
      <c r="L6732" s="109" t="s">
        <v>8764</v>
      </c>
      <c r="M6732" s="49" t="s">
        <v>8765</v>
      </c>
      <c r="N6732" s="50">
        <v>44741</v>
      </c>
      <c r="O6732" s="22" t="s">
        <v>163</v>
      </c>
      <c r="P6732" s="52">
        <v>4800</v>
      </c>
      <c r="Q6732" s="70">
        <v>2</v>
      </c>
      <c r="R6732" s="52">
        <f t="shared" si="195"/>
        <v>9600</v>
      </c>
      <c r="S6732" s="47">
        <v>202304</v>
      </c>
      <c r="T6732" s="123" t="s">
        <v>8775</v>
      </c>
      <c r="U6732" s="97"/>
      <c r="V6732" s="453"/>
      <c r="W6732" s="453"/>
      <c r="X6732" s="493">
        <v>44741</v>
      </c>
      <c r="Y6732" s="493">
        <v>45169</v>
      </c>
    </row>
    <row r="6733" s="5" customFormat="1" customHeight="1" spans="1:25">
      <c r="A6733" s="24" t="s">
        <v>109</v>
      </c>
      <c r="B6733" s="96" t="s">
        <v>7422</v>
      </c>
      <c r="C6733" s="22" t="s">
        <v>3237</v>
      </c>
      <c r="D6733" s="22" t="s">
        <v>7585</v>
      </c>
      <c r="E6733" s="23" t="s">
        <v>8738</v>
      </c>
      <c r="F6733" s="24" t="s">
        <v>8739</v>
      </c>
      <c r="G6733" s="24" t="s">
        <v>88</v>
      </c>
      <c r="H6733" s="25" t="s">
        <v>8763</v>
      </c>
      <c r="I6733" s="46" t="e">
        <f>VLOOKUP(H6733,'合同高级查询数据-4月返'!A:A,1,FALSE)</f>
        <v>#N/A</v>
      </c>
      <c r="J6733" s="47" t="s">
        <v>162</v>
      </c>
      <c r="K6733" s="24" t="s">
        <v>7622</v>
      </c>
      <c r="L6733" s="109" t="s">
        <v>8764</v>
      </c>
      <c r="M6733" s="49" t="s">
        <v>8765</v>
      </c>
      <c r="N6733" s="50">
        <v>44743</v>
      </c>
      <c r="O6733" s="22" t="s">
        <v>163</v>
      </c>
      <c r="P6733" s="52">
        <v>4800</v>
      </c>
      <c r="Q6733" s="70">
        <v>-2</v>
      </c>
      <c r="R6733" s="52">
        <f t="shared" si="195"/>
        <v>-9600</v>
      </c>
      <c r="S6733" s="47">
        <v>202304</v>
      </c>
      <c r="T6733" s="123" t="s">
        <v>8776</v>
      </c>
      <c r="U6733" s="97"/>
      <c r="V6733" s="453"/>
      <c r="W6733" s="453"/>
      <c r="X6733" s="493">
        <v>44741</v>
      </c>
      <c r="Y6733" s="493">
        <v>45169</v>
      </c>
    </row>
    <row r="6734" s="5" customFormat="1" customHeight="1" spans="1:25">
      <c r="A6734" s="24" t="s">
        <v>109</v>
      </c>
      <c r="B6734" s="96" t="s">
        <v>7422</v>
      </c>
      <c r="C6734" s="22" t="s">
        <v>3237</v>
      </c>
      <c r="D6734" s="22" t="s">
        <v>7585</v>
      </c>
      <c r="E6734" s="23" t="s">
        <v>8738</v>
      </c>
      <c r="F6734" s="24" t="s">
        <v>8739</v>
      </c>
      <c r="G6734" s="24" t="s">
        <v>88</v>
      </c>
      <c r="H6734" s="25" t="s">
        <v>8763</v>
      </c>
      <c r="I6734" s="46" t="e">
        <f>VLOOKUP(H6734,'合同高级查询数据-4月返'!A:A,1,FALSE)</f>
        <v>#N/A</v>
      </c>
      <c r="J6734" s="47" t="s">
        <v>162</v>
      </c>
      <c r="K6734" s="24" t="s">
        <v>7622</v>
      </c>
      <c r="L6734" s="109" t="s">
        <v>8764</v>
      </c>
      <c r="M6734" s="49" t="s">
        <v>8765</v>
      </c>
      <c r="N6734" s="50">
        <v>44743</v>
      </c>
      <c r="O6734" s="22" t="s">
        <v>163</v>
      </c>
      <c r="P6734" s="52">
        <v>4800</v>
      </c>
      <c r="Q6734" s="70">
        <v>3</v>
      </c>
      <c r="R6734" s="52">
        <f t="shared" si="195"/>
        <v>14400</v>
      </c>
      <c r="S6734" s="47">
        <v>202304</v>
      </c>
      <c r="T6734" s="123" t="s">
        <v>8777</v>
      </c>
      <c r="U6734" s="97"/>
      <c r="V6734" s="453"/>
      <c r="W6734" s="453"/>
      <c r="X6734" s="493">
        <v>44741</v>
      </c>
      <c r="Y6734" s="493">
        <v>45169</v>
      </c>
    </row>
    <row r="6735" s="5" customFormat="1" customHeight="1" spans="1:25">
      <c r="A6735" s="24" t="s">
        <v>109</v>
      </c>
      <c r="B6735" s="96" t="s">
        <v>7422</v>
      </c>
      <c r="C6735" s="22" t="s">
        <v>3237</v>
      </c>
      <c r="D6735" s="22" t="s">
        <v>7585</v>
      </c>
      <c r="E6735" s="23" t="s">
        <v>8738</v>
      </c>
      <c r="F6735" s="24" t="s">
        <v>8739</v>
      </c>
      <c r="G6735" s="24" t="s">
        <v>88</v>
      </c>
      <c r="H6735" s="25" t="s">
        <v>8763</v>
      </c>
      <c r="I6735" s="46" t="e">
        <f>VLOOKUP(H6735,'合同高级查询数据-4月返'!A:A,1,FALSE)</f>
        <v>#N/A</v>
      </c>
      <c r="J6735" s="47" t="s">
        <v>162</v>
      </c>
      <c r="K6735" s="24" t="s">
        <v>7622</v>
      </c>
      <c r="L6735" s="109" t="s">
        <v>8764</v>
      </c>
      <c r="M6735" s="49" t="s">
        <v>8765</v>
      </c>
      <c r="N6735" s="50">
        <v>44747</v>
      </c>
      <c r="O6735" s="22" t="s">
        <v>163</v>
      </c>
      <c r="P6735" s="52">
        <v>4800</v>
      </c>
      <c r="Q6735" s="70">
        <v>1</v>
      </c>
      <c r="R6735" s="52">
        <f t="shared" si="195"/>
        <v>4800</v>
      </c>
      <c r="S6735" s="47">
        <v>202304</v>
      </c>
      <c r="T6735" s="123" t="s">
        <v>8778</v>
      </c>
      <c r="U6735" s="97"/>
      <c r="V6735" s="453"/>
      <c r="W6735" s="453"/>
      <c r="X6735" s="493">
        <v>44741</v>
      </c>
      <c r="Y6735" s="493">
        <v>45169</v>
      </c>
    </row>
    <row r="6736" s="5" customFormat="1" customHeight="1" spans="1:25">
      <c r="A6736" s="24" t="s">
        <v>109</v>
      </c>
      <c r="B6736" s="96" t="s">
        <v>7422</v>
      </c>
      <c r="C6736" s="22" t="s">
        <v>3237</v>
      </c>
      <c r="D6736" s="22" t="s">
        <v>7585</v>
      </c>
      <c r="E6736" s="23" t="s">
        <v>8738</v>
      </c>
      <c r="F6736" s="24" t="s">
        <v>8739</v>
      </c>
      <c r="G6736" s="24" t="s">
        <v>88</v>
      </c>
      <c r="H6736" s="25" t="s">
        <v>8763</v>
      </c>
      <c r="I6736" s="46" t="e">
        <f>VLOOKUP(H6736,'合同高级查询数据-4月返'!A:A,1,FALSE)</f>
        <v>#N/A</v>
      </c>
      <c r="J6736" s="47" t="s">
        <v>162</v>
      </c>
      <c r="K6736" s="24" t="s">
        <v>7622</v>
      </c>
      <c r="L6736" s="109" t="s">
        <v>8764</v>
      </c>
      <c r="M6736" s="49" t="s">
        <v>8765</v>
      </c>
      <c r="N6736" s="50">
        <v>44754</v>
      </c>
      <c r="O6736" s="22" t="s">
        <v>163</v>
      </c>
      <c r="P6736" s="52">
        <v>4800</v>
      </c>
      <c r="Q6736" s="70">
        <v>-1</v>
      </c>
      <c r="R6736" s="52">
        <f t="shared" si="195"/>
        <v>-4800</v>
      </c>
      <c r="S6736" s="47">
        <v>202304</v>
      </c>
      <c r="T6736" s="123" t="s">
        <v>8779</v>
      </c>
      <c r="U6736" s="97"/>
      <c r="V6736" s="453"/>
      <c r="W6736" s="453"/>
      <c r="X6736" s="493">
        <v>44741</v>
      </c>
      <c r="Y6736" s="493">
        <v>45169</v>
      </c>
    </row>
    <row r="6737" s="5" customFormat="1" customHeight="1" spans="1:25">
      <c r="A6737" s="24" t="s">
        <v>109</v>
      </c>
      <c r="B6737" s="96" t="s">
        <v>7422</v>
      </c>
      <c r="C6737" s="22" t="s">
        <v>3237</v>
      </c>
      <c r="D6737" s="22" t="s">
        <v>7585</v>
      </c>
      <c r="E6737" s="23" t="s">
        <v>8738</v>
      </c>
      <c r="F6737" s="24" t="s">
        <v>8739</v>
      </c>
      <c r="G6737" s="24" t="s">
        <v>88</v>
      </c>
      <c r="H6737" s="25" t="s">
        <v>8770</v>
      </c>
      <c r="I6737" s="46" t="e">
        <f>VLOOKUP(H6737,'合同高级查询数据-4月返'!A:A,1,FALSE)</f>
        <v>#N/A</v>
      </c>
      <c r="J6737" s="47" t="s">
        <v>162</v>
      </c>
      <c r="K6737" s="24" t="s">
        <v>7622</v>
      </c>
      <c r="L6737" s="109" t="s">
        <v>8764</v>
      </c>
      <c r="M6737" s="49" t="s">
        <v>8765</v>
      </c>
      <c r="N6737" s="50">
        <v>44920</v>
      </c>
      <c r="O6737" s="22" t="s">
        <v>163</v>
      </c>
      <c r="P6737" s="52">
        <v>4800</v>
      </c>
      <c r="Q6737" s="70">
        <v>4</v>
      </c>
      <c r="R6737" s="52">
        <f t="shared" si="195"/>
        <v>19200</v>
      </c>
      <c r="S6737" s="47">
        <v>202304</v>
      </c>
      <c r="T6737" s="123" t="s">
        <v>8780</v>
      </c>
      <c r="U6737" s="97"/>
      <c r="V6737" s="453"/>
      <c r="W6737" s="453"/>
      <c r="X6737" s="493">
        <v>44920</v>
      </c>
      <c r="Y6737" s="493">
        <v>45169</v>
      </c>
    </row>
    <row r="6738" s="5" customFormat="1" customHeight="1" spans="1:25">
      <c r="A6738" s="24" t="s">
        <v>109</v>
      </c>
      <c r="B6738" s="96" t="s">
        <v>7422</v>
      </c>
      <c r="C6738" s="22" t="s">
        <v>3237</v>
      </c>
      <c r="D6738" s="22" t="s">
        <v>7585</v>
      </c>
      <c r="E6738" s="23" t="s">
        <v>8738</v>
      </c>
      <c r="F6738" s="24" t="s">
        <v>8739</v>
      </c>
      <c r="G6738" s="24" t="s">
        <v>88</v>
      </c>
      <c r="H6738" s="25" t="s">
        <v>8763</v>
      </c>
      <c r="I6738" s="46" t="e">
        <f>VLOOKUP(H6738,'合同高级查询数据-4月返'!A:A,1,FALSE)</f>
        <v>#N/A</v>
      </c>
      <c r="J6738" s="47" t="s">
        <v>162</v>
      </c>
      <c r="K6738" s="24" t="s">
        <v>7622</v>
      </c>
      <c r="L6738" s="109" t="s">
        <v>8764</v>
      </c>
      <c r="M6738" s="49" t="s">
        <v>8765</v>
      </c>
      <c r="N6738" s="50">
        <v>45016</v>
      </c>
      <c r="O6738" s="22" t="s">
        <v>163</v>
      </c>
      <c r="P6738" s="52">
        <v>4800</v>
      </c>
      <c r="Q6738" s="70">
        <v>-3</v>
      </c>
      <c r="R6738" s="52">
        <f t="shared" si="195"/>
        <v>-14400</v>
      </c>
      <c r="S6738" s="47">
        <v>202304</v>
      </c>
      <c r="T6738" s="123" t="s">
        <v>8781</v>
      </c>
      <c r="U6738" s="97"/>
      <c r="V6738" s="453"/>
      <c r="W6738" s="453"/>
      <c r="X6738" s="50">
        <v>44741</v>
      </c>
      <c r="Y6738" s="493">
        <v>45169</v>
      </c>
    </row>
    <row r="6739" s="5" customFormat="1" customHeight="1" spans="1:25">
      <c r="A6739" s="24" t="s">
        <v>109</v>
      </c>
      <c r="B6739" s="96" t="s">
        <v>7422</v>
      </c>
      <c r="C6739" s="22" t="s">
        <v>3951</v>
      </c>
      <c r="D6739" s="22" t="s">
        <v>28</v>
      </c>
      <c r="E6739" s="23" t="s">
        <v>8738</v>
      </c>
      <c r="F6739" s="24" t="s">
        <v>8739</v>
      </c>
      <c r="G6739" s="24" t="s">
        <v>31</v>
      </c>
      <c r="H6739" s="25" t="s">
        <v>8782</v>
      </c>
      <c r="I6739" s="46" t="e">
        <f>VLOOKUP(H6739,'合同高级查询数据-4月返'!A:A,1,FALSE)</f>
        <v>#N/A</v>
      </c>
      <c r="J6739" s="47" t="s">
        <v>33</v>
      </c>
      <c r="K6739" s="24" t="s">
        <v>3951</v>
      </c>
      <c r="L6739" s="109" t="s">
        <v>8783</v>
      </c>
      <c r="M6739" s="49" t="s">
        <v>8784</v>
      </c>
      <c r="N6739" s="50">
        <v>44924</v>
      </c>
      <c r="O6739" s="22" t="s">
        <v>37</v>
      </c>
      <c r="P6739" s="52">
        <v>0</v>
      </c>
      <c r="Q6739" s="70">
        <v>320</v>
      </c>
      <c r="R6739" s="52">
        <f t="shared" si="195"/>
        <v>0</v>
      </c>
      <c r="S6739" s="47">
        <v>202304</v>
      </c>
      <c r="T6739" s="123" t="s">
        <v>8785</v>
      </c>
      <c r="U6739" s="97"/>
      <c r="V6739" s="453"/>
      <c r="W6739" s="453"/>
      <c r="X6739" s="493">
        <v>44924</v>
      </c>
      <c r="Y6739" s="493">
        <v>45291</v>
      </c>
    </row>
    <row r="6740" s="5" customFormat="1" customHeight="1" spans="1:25">
      <c r="A6740" s="24" t="s">
        <v>109</v>
      </c>
      <c r="B6740" s="96" t="s">
        <v>7422</v>
      </c>
      <c r="C6740" s="22" t="s">
        <v>3951</v>
      </c>
      <c r="D6740" s="22" t="s">
        <v>28</v>
      </c>
      <c r="E6740" s="23" t="s">
        <v>8738</v>
      </c>
      <c r="F6740" s="24" t="s">
        <v>8739</v>
      </c>
      <c r="G6740" s="24" t="s">
        <v>31</v>
      </c>
      <c r="H6740" s="25" t="s">
        <v>8782</v>
      </c>
      <c r="I6740" s="46" t="e">
        <f>VLOOKUP(H6740,'合同高级查询数据-4月返'!A:A,1,FALSE)</f>
        <v>#N/A</v>
      </c>
      <c r="J6740" s="47" t="s">
        <v>33</v>
      </c>
      <c r="K6740" s="24" t="s">
        <v>3951</v>
      </c>
      <c r="L6740" s="109" t="s">
        <v>8783</v>
      </c>
      <c r="M6740" s="49" t="s">
        <v>8784</v>
      </c>
      <c r="N6740" s="50"/>
      <c r="O6740" s="22" t="s">
        <v>179</v>
      </c>
      <c r="P6740" s="52">
        <v>0</v>
      </c>
      <c r="Q6740" s="70">
        <v>0</v>
      </c>
      <c r="R6740" s="52">
        <f t="shared" si="195"/>
        <v>0</v>
      </c>
      <c r="S6740" s="47">
        <v>202304</v>
      </c>
      <c r="T6740" s="123" t="s">
        <v>8786</v>
      </c>
      <c r="U6740" s="97"/>
      <c r="V6740" s="453"/>
      <c r="W6740" s="453"/>
      <c r="X6740" s="493">
        <v>44924</v>
      </c>
      <c r="Y6740" s="493">
        <v>45291</v>
      </c>
    </row>
    <row r="6741" s="5" customFormat="1" customHeight="1" spans="1:25">
      <c r="A6741" s="24" t="s">
        <v>109</v>
      </c>
      <c r="B6741" s="96" t="s">
        <v>7422</v>
      </c>
      <c r="C6741" s="22" t="s">
        <v>3951</v>
      </c>
      <c r="D6741" s="22" t="s">
        <v>28</v>
      </c>
      <c r="E6741" s="23" t="s">
        <v>8738</v>
      </c>
      <c r="F6741" s="24" t="s">
        <v>8739</v>
      </c>
      <c r="G6741" s="24" t="s">
        <v>88</v>
      </c>
      <c r="H6741" s="25" t="s">
        <v>8782</v>
      </c>
      <c r="I6741" s="46" t="e">
        <f>VLOOKUP(H6741,'合同高级查询数据-4月返'!A:A,1,FALSE)</f>
        <v>#N/A</v>
      </c>
      <c r="J6741" s="47" t="s">
        <v>162</v>
      </c>
      <c r="K6741" s="24" t="s">
        <v>3951</v>
      </c>
      <c r="L6741" s="109" t="s">
        <v>8783</v>
      </c>
      <c r="M6741" s="49" t="s">
        <v>8784</v>
      </c>
      <c r="N6741" s="50">
        <v>44924</v>
      </c>
      <c r="O6741" s="22" t="s">
        <v>163</v>
      </c>
      <c r="P6741" s="52">
        <v>5000</v>
      </c>
      <c r="Q6741" s="70">
        <v>4</v>
      </c>
      <c r="R6741" s="52">
        <f t="shared" si="195"/>
        <v>20000</v>
      </c>
      <c r="S6741" s="47">
        <v>202304</v>
      </c>
      <c r="T6741" s="123" t="s">
        <v>8787</v>
      </c>
      <c r="U6741" s="97"/>
      <c r="V6741" s="453"/>
      <c r="W6741" s="453"/>
      <c r="X6741" s="493">
        <v>44924</v>
      </c>
      <c r="Y6741" s="493">
        <v>45291</v>
      </c>
    </row>
    <row r="6742" s="5" customFormat="1" customHeight="1" spans="1:25">
      <c r="A6742" s="24" t="s">
        <v>109</v>
      </c>
      <c r="B6742" s="22" t="s">
        <v>7422</v>
      </c>
      <c r="C6742" s="22" t="s">
        <v>27</v>
      </c>
      <c r="D6742" s="22" t="s">
        <v>7585</v>
      </c>
      <c r="E6742" s="23" t="s">
        <v>8738</v>
      </c>
      <c r="F6742" s="24" t="s">
        <v>8739</v>
      </c>
      <c r="G6742" s="98" t="s">
        <v>31</v>
      </c>
      <c r="H6742" s="25" t="s">
        <v>8788</v>
      </c>
      <c r="I6742" s="46" t="e">
        <f>VLOOKUP(H6742,'合同高级查询数据-4月返'!A:A,1,FALSE)</f>
        <v>#N/A</v>
      </c>
      <c r="J6742" s="47" t="s">
        <v>33</v>
      </c>
      <c r="K6742" s="98" t="s">
        <v>619</v>
      </c>
      <c r="L6742" s="98" t="s">
        <v>620</v>
      </c>
      <c r="M6742" s="49" t="s">
        <v>621</v>
      </c>
      <c r="N6742" s="50">
        <v>44927</v>
      </c>
      <c r="O6742" s="160" t="s">
        <v>37</v>
      </c>
      <c r="P6742" s="52">
        <v>0</v>
      </c>
      <c r="Q6742" s="70">
        <v>160</v>
      </c>
      <c r="R6742" s="52">
        <f t="shared" si="195"/>
        <v>0</v>
      </c>
      <c r="S6742" s="47">
        <v>202304</v>
      </c>
      <c r="T6742" s="510" t="s">
        <v>8789</v>
      </c>
      <c r="U6742" s="97"/>
      <c r="V6742" s="453"/>
      <c r="W6742" s="453"/>
      <c r="X6742" s="50">
        <v>44927</v>
      </c>
      <c r="Y6742" s="50">
        <v>45291</v>
      </c>
    </row>
    <row r="6743" s="5" customFormat="1" customHeight="1" spans="1:25">
      <c r="A6743" s="24" t="s">
        <v>109</v>
      </c>
      <c r="B6743" s="22" t="s">
        <v>7422</v>
      </c>
      <c r="C6743" s="22" t="s">
        <v>27</v>
      </c>
      <c r="D6743" s="22" t="s">
        <v>7585</v>
      </c>
      <c r="E6743" s="23" t="s">
        <v>8738</v>
      </c>
      <c r="F6743" s="24" t="s">
        <v>8739</v>
      </c>
      <c r="G6743" s="98" t="s">
        <v>31</v>
      </c>
      <c r="H6743" s="25" t="s">
        <v>8788</v>
      </c>
      <c r="I6743" s="46" t="e">
        <f>VLOOKUP(H6743,'合同高级查询数据-4月返'!A:A,1,FALSE)</f>
        <v>#N/A</v>
      </c>
      <c r="J6743" s="47" t="s">
        <v>33</v>
      </c>
      <c r="K6743" s="98" t="s">
        <v>619</v>
      </c>
      <c r="L6743" s="98" t="s">
        <v>620</v>
      </c>
      <c r="M6743" s="49" t="s">
        <v>621</v>
      </c>
      <c r="N6743" s="50">
        <v>44927</v>
      </c>
      <c r="O6743" s="160" t="s">
        <v>37</v>
      </c>
      <c r="P6743" s="52">
        <v>50</v>
      </c>
      <c r="Q6743" s="70">
        <v>128</v>
      </c>
      <c r="R6743" s="52">
        <f t="shared" si="195"/>
        <v>6400</v>
      </c>
      <c r="S6743" s="47">
        <v>202304</v>
      </c>
      <c r="T6743" s="510" t="s">
        <v>8789</v>
      </c>
      <c r="U6743" s="97"/>
      <c r="V6743" s="453"/>
      <c r="W6743" s="453"/>
      <c r="X6743" s="50">
        <v>44927</v>
      </c>
      <c r="Y6743" s="50">
        <v>45291</v>
      </c>
    </row>
    <row r="6744" s="5" customFormat="1" customHeight="1" spans="1:25">
      <c r="A6744" s="24" t="s">
        <v>109</v>
      </c>
      <c r="B6744" s="22" t="s">
        <v>7422</v>
      </c>
      <c r="C6744" s="22" t="s">
        <v>27</v>
      </c>
      <c r="D6744" s="22" t="s">
        <v>7585</v>
      </c>
      <c r="E6744" s="23" t="s">
        <v>8738</v>
      </c>
      <c r="F6744" s="24" t="s">
        <v>8739</v>
      </c>
      <c r="G6744" s="98" t="s">
        <v>31</v>
      </c>
      <c r="H6744" s="25" t="s">
        <v>8788</v>
      </c>
      <c r="I6744" s="46" t="e">
        <f>VLOOKUP(H6744,'合同高级查询数据-4月返'!A:A,1,FALSE)</f>
        <v>#N/A</v>
      </c>
      <c r="J6744" s="47" t="s">
        <v>33</v>
      </c>
      <c r="K6744" s="98" t="s">
        <v>619</v>
      </c>
      <c r="L6744" s="98" t="s">
        <v>620</v>
      </c>
      <c r="M6744" s="49" t="s">
        <v>621</v>
      </c>
      <c r="N6744" s="50">
        <v>44937</v>
      </c>
      <c r="O6744" s="160" t="s">
        <v>37</v>
      </c>
      <c r="P6744" s="52">
        <v>50</v>
      </c>
      <c r="Q6744" s="70">
        <v>-128</v>
      </c>
      <c r="R6744" s="52">
        <f t="shared" si="195"/>
        <v>-6400</v>
      </c>
      <c r="S6744" s="47">
        <v>202304</v>
      </c>
      <c r="T6744" s="510" t="s">
        <v>8790</v>
      </c>
      <c r="U6744" s="97"/>
      <c r="V6744" s="453"/>
      <c r="W6744" s="453"/>
      <c r="X6744" s="50">
        <v>44927</v>
      </c>
      <c r="Y6744" s="50">
        <v>45291</v>
      </c>
    </row>
    <row r="6745" s="5" customFormat="1" customHeight="1" spans="1:25">
      <c r="A6745" s="24" t="s">
        <v>109</v>
      </c>
      <c r="B6745" s="22" t="s">
        <v>7422</v>
      </c>
      <c r="C6745" s="22" t="s">
        <v>27</v>
      </c>
      <c r="D6745" s="22" t="s">
        <v>7585</v>
      </c>
      <c r="E6745" s="23" t="s">
        <v>8738</v>
      </c>
      <c r="F6745" s="24" t="s">
        <v>8739</v>
      </c>
      <c r="G6745" s="24" t="s">
        <v>88</v>
      </c>
      <c r="H6745" s="25" t="s">
        <v>8788</v>
      </c>
      <c r="I6745" s="46" t="e">
        <f>VLOOKUP(H6745,'合同高级查询数据-4月返'!A:A,1,FALSE)</f>
        <v>#N/A</v>
      </c>
      <c r="J6745" s="47" t="s">
        <v>162</v>
      </c>
      <c r="K6745" s="98" t="s">
        <v>619</v>
      </c>
      <c r="L6745" s="98" t="s">
        <v>620</v>
      </c>
      <c r="M6745" s="49" t="s">
        <v>621</v>
      </c>
      <c r="N6745" s="50">
        <v>44927</v>
      </c>
      <c r="O6745" s="160" t="s">
        <v>163</v>
      </c>
      <c r="P6745" s="52">
        <v>5000</v>
      </c>
      <c r="Q6745" s="70">
        <v>2</v>
      </c>
      <c r="R6745" s="52">
        <f t="shared" si="195"/>
        <v>10000</v>
      </c>
      <c r="S6745" s="47">
        <v>202304</v>
      </c>
      <c r="T6745" s="510" t="s">
        <v>8791</v>
      </c>
      <c r="U6745" s="97"/>
      <c r="V6745" s="453"/>
      <c r="W6745" s="453"/>
      <c r="X6745" s="50">
        <v>44927</v>
      </c>
      <c r="Y6745" s="50">
        <v>45291</v>
      </c>
    </row>
    <row r="6746" s="5" customFormat="1" customHeight="1" spans="1:25">
      <c r="A6746" s="21" t="s">
        <v>25</v>
      </c>
      <c r="B6746" s="96" t="s">
        <v>7422</v>
      </c>
      <c r="C6746" s="22" t="s">
        <v>39</v>
      </c>
      <c r="D6746" s="22" t="s">
        <v>7585</v>
      </c>
      <c r="E6746" s="23" t="s">
        <v>8792</v>
      </c>
      <c r="F6746" s="24" t="s">
        <v>8793</v>
      </c>
      <c r="G6746" s="24" t="s">
        <v>31</v>
      </c>
      <c r="H6746" s="25" t="s">
        <v>8794</v>
      </c>
      <c r="I6746" s="46" t="e">
        <f>VLOOKUP(H6746,'合同高级查询数据-4月返'!A:A,1,FALSE)</f>
        <v>#N/A</v>
      </c>
      <c r="J6746" s="47" t="s">
        <v>33</v>
      </c>
      <c r="K6746" s="24" t="s">
        <v>8795</v>
      </c>
      <c r="L6746" s="109" t="s">
        <v>8796</v>
      </c>
      <c r="M6746" s="49" t="s">
        <v>8797</v>
      </c>
      <c r="N6746" s="50">
        <v>44317</v>
      </c>
      <c r="O6746" s="22" t="s">
        <v>37</v>
      </c>
      <c r="P6746" s="52">
        <v>0</v>
      </c>
      <c r="Q6746" s="70">
        <v>648</v>
      </c>
      <c r="R6746" s="52">
        <f t="shared" si="195"/>
        <v>0</v>
      </c>
      <c r="S6746" s="47">
        <v>202304</v>
      </c>
      <c r="T6746" s="123" t="s">
        <v>8798</v>
      </c>
      <c r="U6746" s="97"/>
      <c r="V6746" s="453"/>
      <c r="W6746" s="453"/>
      <c r="X6746" s="493">
        <v>44866</v>
      </c>
      <c r="Y6746" s="493">
        <v>45230</v>
      </c>
    </row>
    <row r="6747" s="5" customFormat="1" customHeight="1" spans="1:25">
      <c r="A6747" s="21" t="s">
        <v>25</v>
      </c>
      <c r="B6747" s="96" t="s">
        <v>7422</v>
      </c>
      <c r="C6747" s="22" t="s">
        <v>39</v>
      </c>
      <c r="D6747" s="22" t="s">
        <v>7585</v>
      </c>
      <c r="E6747" s="23" t="s">
        <v>8792</v>
      </c>
      <c r="F6747" s="24" t="s">
        <v>8793</v>
      </c>
      <c r="G6747" s="24" t="s">
        <v>31</v>
      </c>
      <c r="H6747" s="25" t="s">
        <v>8794</v>
      </c>
      <c r="I6747" s="46" t="e">
        <f>VLOOKUP(H6747,'合同高级查询数据-4月返'!A:A,1,FALSE)</f>
        <v>#N/A</v>
      </c>
      <c r="J6747" s="47" t="s">
        <v>33</v>
      </c>
      <c r="K6747" s="24" t="s">
        <v>8795</v>
      </c>
      <c r="L6747" s="109" t="s">
        <v>8796</v>
      </c>
      <c r="M6747" s="49" t="s">
        <v>8797</v>
      </c>
      <c r="N6747" s="50"/>
      <c r="O6747" s="50" t="s">
        <v>179</v>
      </c>
      <c r="P6747" s="52">
        <v>0</v>
      </c>
      <c r="Q6747" s="70">
        <v>0</v>
      </c>
      <c r="R6747" s="52">
        <f t="shared" si="195"/>
        <v>0</v>
      </c>
      <c r="S6747" s="47">
        <v>202304</v>
      </c>
      <c r="T6747" s="123" t="s">
        <v>7787</v>
      </c>
      <c r="U6747" s="97"/>
      <c r="V6747" s="453"/>
      <c r="W6747" s="453"/>
      <c r="X6747" s="493">
        <v>44866</v>
      </c>
      <c r="Y6747" s="493">
        <v>45230</v>
      </c>
    </row>
    <row r="6748" s="5" customFormat="1" customHeight="1" spans="1:25">
      <c r="A6748" s="21" t="s">
        <v>25</v>
      </c>
      <c r="B6748" s="96" t="s">
        <v>7422</v>
      </c>
      <c r="C6748" s="22" t="s">
        <v>39</v>
      </c>
      <c r="D6748" s="22" t="s">
        <v>7585</v>
      </c>
      <c r="E6748" s="23" t="s">
        <v>8792</v>
      </c>
      <c r="F6748" s="24" t="s">
        <v>8793</v>
      </c>
      <c r="G6748" s="24" t="s">
        <v>88</v>
      </c>
      <c r="H6748" s="25" t="s">
        <v>8794</v>
      </c>
      <c r="I6748" s="46" t="e">
        <f>VLOOKUP(H6748,'合同高级查询数据-4月返'!A:A,1,FALSE)</f>
        <v>#N/A</v>
      </c>
      <c r="J6748" s="47" t="s">
        <v>162</v>
      </c>
      <c r="K6748" s="24" t="s">
        <v>8795</v>
      </c>
      <c r="L6748" s="109" t="s">
        <v>8796</v>
      </c>
      <c r="M6748" s="49" t="s">
        <v>8797</v>
      </c>
      <c r="N6748" s="50">
        <v>44317</v>
      </c>
      <c r="O6748" s="22" t="s">
        <v>3012</v>
      </c>
      <c r="P6748" s="52">
        <v>4000</v>
      </c>
      <c r="Q6748" s="70">
        <v>3</v>
      </c>
      <c r="R6748" s="52">
        <f t="shared" si="195"/>
        <v>12000</v>
      </c>
      <c r="S6748" s="47">
        <v>202304</v>
      </c>
      <c r="T6748" s="123" t="s">
        <v>8799</v>
      </c>
      <c r="U6748" s="97"/>
      <c r="V6748" s="453"/>
      <c r="W6748" s="453"/>
      <c r="X6748" s="493">
        <v>44866</v>
      </c>
      <c r="Y6748" s="493">
        <v>45230</v>
      </c>
    </row>
    <row r="6749" s="5" customFormat="1" customHeight="1" spans="1:25">
      <c r="A6749" s="21" t="s">
        <v>25</v>
      </c>
      <c r="B6749" s="96" t="s">
        <v>7422</v>
      </c>
      <c r="C6749" s="22" t="s">
        <v>39</v>
      </c>
      <c r="D6749" s="22" t="s">
        <v>7585</v>
      </c>
      <c r="E6749" s="23" t="s">
        <v>8792</v>
      </c>
      <c r="F6749" s="24" t="s">
        <v>8793</v>
      </c>
      <c r="G6749" s="24" t="s">
        <v>88</v>
      </c>
      <c r="H6749" s="25" t="s">
        <v>8794</v>
      </c>
      <c r="I6749" s="46" t="e">
        <f>VLOOKUP(H6749,'合同高级查询数据-4月返'!A:A,1,FALSE)</f>
        <v>#N/A</v>
      </c>
      <c r="J6749" s="47" t="s">
        <v>162</v>
      </c>
      <c r="K6749" s="24" t="s">
        <v>8795</v>
      </c>
      <c r="L6749" s="109" t="s">
        <v>8796</v>
      </c>
      <c r="M6749" s="49" t="s">
        <v>8797</v>
      </c>
      <c r="N6749" s="50">
        <v>44440</v>
      </c>
      <c r="O6749" s="22" t="s">
        <v>3012</v>
      </c>
      <c r="P6749" s="52">
        <v>4000</v>
      </c>
      <c r="Q6749" s="70">
        <v>2</v>
      </c>
      <c r="R6749" s="52">
        <f t="shared" si="195"/>
        <v>8000</v>
      </c>
      <c r="S6749" s="47">
        <v>202304</v>
      </c>
      <c r="T6749" s="123" t="s">
        <v>8800</v>
      </c>
      <c r="U6749" s="97"/>
      <c r="V6749" s="453"/>
      <c r="W6749" s="453"/>
      <c r="X6749" s="493">
        <v>44866</v>
      </c>
      <c r="Y6749" s="493">
        <v>45230</v>
      </c>
    </row>
    <row r="6750" s="5" customFormat="1" customHeight="1" spans="1:25">
      <c r="A6750" s="21" t="s">
        <v>25</v>
      </c>
      <c r="B6750" s="96" t="s">
        <v>7422</v>
      </c>
      <c r="C6750" s="22" t="s">
        <v>39</v>
      </c>
      <c r="D6750" s="22" t="s">
        <v>7585</v>
      </c>
      <c r="E6750" s="23" t="s">
        <v>8792</v>
      </c>
      <c r="F6750" s="24" t="s">
        <v>8793</v>
      </c>
      <c r="G6750" s="24" t="s">
        <v>88</v>
      </c>
      <c r="H6750" s="25" t="s">
        <v>8794</v>
      </c>
      <c r="I6750" s="46" t="e">
        <f>VLOOKUP(H6750,'合同高级查询数据-4月返'!A:A,1,FALSE)</f>
        <v>#N/A</v>
      </c>
      <c r="J6750" s="47" t="s">
        <v>162</v>
      </c>
      <c r="K6750" s="24" t="s">
        <v>8795</v>
      </c>
      <c r="L6750" s="109" t="s">
        <v>8796</v>
      </c>
      <c r="M6750" s="49" t="s">
        <v>8797</v>
      </c>
      <c r="N6750" s="50">
        <v>44501</v>
      </c>
      <c r="O6750" s="22" t="s">
        <v>3012</v>
      </c>
      <c r="P6750" s="52">
        <v>4000</v>
      </c>
      <c r="Q6750" s="70">
        <v>3</v>
      </c>
      <c r="R6750" s="52">
        <f t="shared" ref="R6750:R6813" si="196">ROUND(P6750*Q6750,2)</f>
        <v>12000</v>
      </c>
      <c r="S6750" s="47">
        <v>202304</v>
      </c>
      <c r="T6750" s="123" t="s">
        <v>8801</v>
      </c>
      <c r="U6750" s="97"/>
      <c r="V6750" s="453"/>
      <c r="W6750" s="453"/>
      <c r="X6750" s="493">
        <v>44866</v>
      </c>
      <c r="Y6750" s="493">
        <v>45230</v>
      </c>
    </row>
    <row r="6751" s="3" customFormat="1" customHeight="1" spans="1:25">
      <c r="A6751" s="101" t="s">
        <v>25</v>
      </c>
      <c r="B6751" s="35" t="s">
        <v>7422</v>
      </c>
      <c r="C6751" s="35" t="s">
        <v>1987</v>
      </c>
      <c r="D6751" s="35" t="s">
        <v>7585</v>
      </c>
      <c r="E6751" s="13" t="s">
        <v>8792</v>
      </c>
      <c r="F6751" s="11" t="s">
        <v>8793</v>
      </c>
      <c r="G6751" s="11" t="s">
        <v>31</v>
      </c>
      <c r="H6751" s="110" t="s">
        <v>8802</v>
      </c>
      <c r="I6751" s="30" t="e">
        <f>VLOOKUP(H6751,'合同高级查询数据-4月返'!A:A,1,FALSE)</f>
        <v>#N/A</v>
      </c>
      <c r="J6751" s="31" t="s">
        <v>33</v>
      </c>
      <c r="K6751" s="11" t="s">
        <v>8803</v>
      </c>
      <c r="L6751" s="32" t="s">
        <v>8804</v>
      </c>
      <c r="M6751" s="113" t="s">
        <v>8805</v>
      </c>
      <c r="N6751" s="34">
        <v>44652</v>
      </c>
      <c r="O6751" s="35" t="s">
        <v>37</v>
      </c>
      <c r="P6751" s="465">
        <v>0</v>
      </c>
      <c r="Q6751" s="459">
        <v>128</v>
      </c>
      <c r="R6751" s="465">
        <f t="shared" si="196"/>
        <v>0</v>
      </c>
      <c r="S6751" s="31">
        <v>202304</v>
      </c>
      <c r="T6751" s="60" t="s">
        <v>8806</v>
      </c>
      <c r="U6751" s="104"/>
      <c r="V6751" s="438"/>
      <c r="W6751" s="438"/>
      <c r="X6751" s="500"/>
      <c r="Y6751" s="500"/>
    </row>
    <row r="6752" s="3" customFormat="1" customHeight="1" spans="1:25">
      <c r="A6752" s="101" t="s">
        <v>25</v>
      </c>
      <c r="B6752" s="35" t="s">
        <v>7422</v>
      </c>
      <c r="C6752" s="35" t="s">
        <v>1987</v>
      </c>
      <c r="D6752" s="35" t="s">
        <v>7585</v>
      </c>
      <c r="E6752" s="13" t="s">
        <v>8792</v>
      </c>
      <c r="F6752" s="11" t="s">
        <v>8793</v>
      </c>
      <c r="G6752" s="11" t="s">
        <v>31</v>
      </c>
      <c r="H6752" s="110" t="s">
        <v>8802</v>
      </c>
      <c r="I6752" s="30" t="e">
        <f>VLOOKUP(H6752,'合同高级查询数据-4月返'!A:A,1,FALSE)</f>
        <v>#N/A</v>
      </c>
      <c r="J6752" s="31" t="s">
        <v>33</v>
      </c>
      <c r="K6752" s="11" t="s">
        <v>8803</v>
      </c>
      <c r="L6752" s="32" t="s">
        <v>8804</v>
      </c>
      <c r="M6752" s="113" t="s">
        <v>8805</v>
      </c>
      <c r="N6752" s="34">
        <v>44652</v>
      </c>
      <c r="O6752" s="35" t="s">
        <v>37</v>
      </c>
      <c r="P6752" s="465">
        <v>50</v>
      </c>
      <c r="Q6752" s="459">
        <v>128</v>
      </c>
      <c r="R6752" s="465">
        <f t="shared" si="196"/>
        <v>6400</v>
      </c>
      <c r="S6752" s="31">
        <v>202304</v>
      </c>
      <c r="T6752" s="60" t="s">
        <v>8807</v>
      </c>
      <c r="U6752" s="104"/>
      <c r="V6752" s="438"/>
      <c r="W6752" s="438"/>
      <c r="X6752" s="500"/>
      <c r="Y6752" s="500"/>
    </row>
    <row r="6753" s="3" customFormat="1" customHeight="1" spans="1:25">
      <c r="A6753" s="101" t="s">
        <v>25</v>
      </c>
      <c r="B6753" s="35" t="s">
        <v>7422</v>
      </c>
      <c r="C6753" s="35" t="s">
        <v>1987</v>
      </c>
      <c r="D6753" s="35" t="s">
        <v>7585</v>
      </c>
      <c r="E6753" s="13" t="s">
        <v>8792</v>
      </c>
      <c r="F6753" s="11" t="s">
        <v>8793</v>
      </c>
      <c r="G6753" s="11" t="s">
        <v>31</v>
      </c>
      <c r="H6753" s="110" t="s">
        <v>8802</v>
      </c>
      <c r="I6753" s="30" t="e">
        <f>VLOOKUP(H6753,'合同高级查询数据-4月返'!A:A,1,FALSE)</f>
        <v>#N/A</v>
      </c>
      <c r="J6753" s="31" t="s">
        <v>33</v>
      </c>
      <c r="K6753" s="11" t="s">
        <v>8803</v>
      </c>
      <c r="L6753" s="32" t="s">
        <v>8804</v>
      </c>
      <c r="M6753" s="113" t="s">
        <v>8805</v>
      </c>
      <c r="N6753" s="34">
        <v>44865</v>
      </c>
      <c r="O6753" s="35" t="s">
        <v>37</v>
      </c>
      <c r="P6753" s="465">
        <v>50</v>
      </c>
      <c r="Q6753" s="459">
        <v>-128</v>
      </c>
      <c r="R6753" s="465">
        <f t="shared" si="196"/>
        <v>-6400</v>
      </c>
      <c r="S6753" s="31">
        <v>202304</v>
      </c>
      <c r="T6753" s="60" t="s">
        <v>8808</v>
      </c>
      <c r="U6753" s="104"/>
      <c r="V6753" s="438"/>
      <c r="W6753" s="438"/>
      <c r="X6753" s="500"/>
      <c r="Y6753" s="500"/>
    </row>
    <row r="6754" s="3" customFormat="1" customHeight="1" spans="1:25">
      <c r="A6754" s="101" t="s">
        <v>25</v>
      </c>
      <c r="B6754" s="35" t="s">
        <v>7422</v>
      </c>
      <c r="C6754" s="35" t="s">
        <v>1987</v>
      </c>
      <c r="D6754" s="35" t="s">
        <v>7585</v>
      </c>
      <c r="E6754" s="13" t="s">
        <v>8792</v>
      </c>
      <c r="F6754" s="11" t="s">
        <v>8793</v>
      </c>
      <c r="G6754" s="11" t="s">
        <v>31</v>
      </c>
      <c r="H6754" s="110" t="s">
        <v>8802</v>
      </c>
      <c r="I6754" s="30" t="e">
        <f>VLOOKUP(H6754,'合同高级查询数据-4月返'!A:A,1,FALSE)</f>
        <v>#N/A</v>
      </c>
      <c r="J6754" s="31" t="s">
        <v>33</v>
      </c>
      <c r="K6754" s="11" t="s">
        <v>8803</v>
      </c>
      <c r="L6754" s="32" t="s">
        <v>8804</v>
      </c>
      <c r="M6754" s="113" t="s">
        <v>8805</v>
      </c>
      <c r="N6754" s="34"/>
      <c r="O6754" s="35" t="s">
        <v>179</v>
      </c>
      <c r="P6754" s="465">
        <v>0</v>
      </c>
      <c r="Q6754" s="465">
        <v>0</v>
      </c>
      <c r="R6754" s="465">
        <f t="shared" si="196"/>
        <v>0</v>
      </c>
      <c r="S6754" s="31">
        <v>202304</v>
      </c>
      <c r="T6754" s="60" t="s">
        <v>8809</v>
      </c>
      <c r="U6754" s="104"/>
      <c r="V6754" s="438"/>
      <c r="W6754" s="438"/>
      <c r="X6754" s="500"/>
      <c r="Y6754" s="500"/>
    </row>
    <row r="6755" s="3" customFormat="1" customHeight="1" spans="1:25">
      <c r="A6755" s="101" t="s">
        <v>25</v>
      </c>
      <c r="B6755" s="35" t="s">
        <v>7422</v>
      </c>
      <c r="C6755" s="35" t="s">
        <v>1987</v>
      </c>
      <c r="D6755" s="35" t="s">
        <v>7585</v>
      </c>
      <c r="E6755" s="13" t="s">
        <v>8792</v>
      </c>
      <c r="F6755" s="11" t="s">
        <v>8793</v>
      </c>
      <c r="G6755" s="11" t="s">
        <v>88</v>
      </c>
      <c r="H6755" s="110" t="s">
        <v>8802</v>
      </c>
      <c r="I6755" s="30" t="e">
        <f>VLOOKUP(H6755,'合同高级查询数据-4月返'!A:A,1,FALSE)</f>
        <v>#N/A</v>
      </c>
      <c r="J6755" s="31" t="s">
        <v>162</v>
      </c>
      <c r="K6755" s="11" t="s">
        <v>8803</v>
      </c>
      <c r="L6755" s="32" t="s">
        <v>8804</v>
      </c>
      <c r="M6755" s="113" t="s">
        <v>8805</v>
      </c>
      <c r="N6755" s="34">
        <v>44652</v>
      </c>
      <c r="O6755" s="35" t="s">
        <v>503</v>
      </c>
      <c r="P6755" s="465">
        <v>4000</v>
      </c>
      <c r="Q6755" s="459">
        <v>2</v>
      </c>
      <c r="R6755" s="465">
        <f t="shared" si="196"/>
        <v>8000</v>
      </c>
      <c r="S6755" s="31">
        <v>202304</v>
      </c>
      <c r="T6755" s="60" t="s">
        <v>8810</v>
      </c>
      <c r="U6755" s="104"/>
      <c r="V6755" s="438"/>
      <c r="W6755" s="438"/>
      <c r="X6755" s="500"/>
      <c r="Y6755" s="500"/>
    </row>
    <row r="6756" s="5" customFormat="1" customHeight="1" spans="1:25">
      <c r="A6756" s="21" t="s">
        <v>25</v>
      </c>
      <c r="B6756" s="96" t="s">
        <v>7422</v>
      </c>
      <c r="C6756" s="24" t="s">
        <v>3938</v>
      </c>
      <c r="D6756" s="22" t="s">
        <v>7655</v>
      </c>
      <c r="E6756" s="23" t="s">
        <v>8811</v>
      </c>
      <c r="F6756" s="24" t="s">
        <v>8812</v>
      </c>
      <c r="G6756" s="24" t="s">
        <v>31</v>
      </c>
      <c r="H6756" s="25" t="s">
        <v>8813</v>
      </c>
      <c r="I6756" s="46" t="str">
        <f>VLOOKUP(H6756,'合同高级查询数据-4月返'!A:A,1,FALSE)</f>
        <v>182315IDC00123</v>
      </c>
      <c r="J6756" s="47" t="s">
        <v>33</v>
      </c>
      <c r="K6756" s="24" t="s">
        <v>3943</v>
      </c>
      <c r="L6756" s="109" t="s">
        <v>8814</v>
      </c>
      <c r="M6756" s="49" t="s">
        <v>8815</v>
      </c>
      <c r="N6756" s="50">
        <v>44348</v>
      </c>
      <c r="O6756" s="22" t="s">
        <v>37</v>
      </c>
      <c r="P6756" s="52">
        <v>0</v>
      </c>
      <c r="Q6756" s="70">
        <v>192</v>
      </c>
      <c r="R6756" s="52">
        <f t="shared" si="196"/>
        <v>0</v>
      </c>
      <c r="S6756" s="47">
        <v>202304</v>
      </c>
      <c r="T6756" s="123" t="s">
        <v>8816</v>
      </c>
      <c r="U6756" s="97"/>
      <c r="V6756" s="453"/>
      <c r="W6756" s="453"/>
      <c r="X6756" s="50">
        <v>44927</v>
      </c>
      <c r="Y6756" s="471">
        <v>45291</v>
      </c>
    </row>
    <row r="6757" s="5" customFormat="1" customHeight="1" spans="1:25">
      <c r="A6757" s="21" t="s">
        <v>25</v>
      </c>
      <c r="B6757" s="96" t="s">
        <v>7422</v>
      </c>
      <c r="C6757" s="24" t="s">
        <v>3938</v>
      </c>
      <c r="D6757" s="22" t="s">
        <v>7655</v>
      </c>
      <c r="E6757" s="23" t="s">
        <v>8811</v>
      </c>
      <c r="F6757" s="24" t="s">
        <v>8812</v>
      </c>
      <c r="G6757" s="24" t="s">
        <v>31</v>
      </c>
      <c r="H6757" s="25" t="s">
        <v>8813</v>
      </c>
      <c r="I6757" s="46" t="str">
        <f>VLOOKUP(H6757,'合同高级查询数据-4月返'!A:A,1,FALSE)</f>
        <v>182315IDC00123</v>
      </c>
      <c r="J6757" s="47" t="s">
        <v>33</v>
      </c>
      <c r="K6757" s="24" t="s">
        <v>3943</v>
      </c>
      <c r="L6757" s="109" t="s">
        <v>8814</v>
      </c>
      <c r="M6757" s="49" t="s">
        <v>8815</v>
      </c>
      <c r="N6757" s="50">
        <v>44348</v>
      </c>
      <c r="O6757" s="22" t="s">
        <v>37</v>
      </c>
      <c r="P6757" s="52">
        <v>30</v>
      </c>
      <c r="Q6757" s="70">
        <v>32</v>
      </c>
      <c r="R6757" s="52">
        <f t="shared" si="196"/>
        <v>960</v>
      </c>
      <c r="S6757" s="47">
        <v>202304</v>
      </c>
      <c r="T6757" s="123" t="s">
        <v>8816</v>
      </c>
      <c r="U6757" s="97"/>
      <c r="V6757" s="453"/>
      <c r="W6757" s="453"/>
      <c r="X6757" s="50">
        <v>44927</v>
      </c>
      <c r="Y6757" s="471">
        <v>45291</v>
      </c>
    </row>
    <row r="6758" s="5" customFormat="1" customHeight="1" spans="1:25">
      <c r="A6758" s="21" t="s">
        <v>25</v>
      </c>
      <c r="B6758" s="96" t="s">
        <v>7422</v>
      </c>
      <c r="C6758" s="24" t="s">
        <v>3938</v>
      </c>
      <c r="D6758" s="22" t="s">
        <v>7655</v>
      </c>
      <c r="E6758" s="23" t="s">
        <v>8811</v>
      </c>
      <c r="F6758" s="24" t="s">
        <v>8812</v>
      </c>
      <c r="G6758" s="24" t="s">
        <v>31</v>
      </c>
      <c r="H6758" s="25" t="s">
        <v>8813</v>
      </c>
      <c r="I6758" s="46" t="str">
        <f>VLOOKUP(H6758,'合同高级查询数据-4月返'!A:A,1,FALSE)</f>
        <v>182315IDC00123</v>
      </c>
      <c r="J6758" s="47" t="s">
        <v>33</v>
      </c>
      <c r="K6758" s="24" t="s">
        <v>3943</v>
      </c>
      <c r="L6758" s="109" t="s">
        <v>8814</v>
      </c>
      <c r="M6758" s="49" t="s">
        <v>8815</v>
      </c>
      <c r="N6758" s="50">
        <v>44348</v>
      </c>
      <c r="O6758" s="22" t="s">
        <v>37</v>
      </c>
      <c r="P6758" s="52">
        <v>30</v>
      </c>
      <c r="Q6758" s="70">
        <v>64</v>
      </c>
      <c r="R6758" s="52">
        <f t="shared" si="196"/>
        <v>1920</v>
      </c>
      <c r="S6758" s="47">
        <v>202304</v>
      </c>
      <c r="T6758" s="123" t="s">
        <v>8816</v>
      </c>
      <c r="U6758" s="97"/>
      <c r="V6758" s="453"/>
      <c r="W6758" s="453"/>
      <c r="X6758" s="50">
        <v>44927</v>
      </c>
      <c r="Y6758" s="471">
        <v>45291</v>
      </c>
    </row>
    <row r="6759" s="5" customFormat="1" customHeight="1" spans="1:25">
      <c r="A6759" s="21" t="s">
        <v>25</v>
      </c>
      <c r="B6759" s="96" t="s">
        <v>7422</v>
      </c>
      <c r="C6759" s="24" t="s">
        <v>3938</v>
      </c>
      <c r="D6759" s="22" t="s">
        <v>7655</v>
      </c>
      <c r="E6759" s="23" t="s">
        <v>8811</v>
      </c>
      <c r="F6759" s="24" t="s">
        <v>8812</v>
      </c>
      <c r="G6759" s="24" t="s">
        <v>31</v>
      </c>
      <c r="H6759" s="25" t="s">
        <v>8813</v>
      </c>
      <c r="I6759" s="46" t="str">
        <f>VLOOKUP(H6759,'合同高级查询数据-4月返'!A:A,1,FALSE)</f>
        <v>182315IDC00123</v>
      </c>
      <c r="J6759" s="47" t="s">
        <v>33</v>
      </c>
      <c r="K6759" s="24" t="s">
        <v>3943</v>
      </c>
      <c r="L6759" s="109" t="s">
        <v>8814</v>
      </c>
      <c r="M6759" s="49" t="s">
        <v>8815</v>
      </c>
      <c r="N6759" s="50">
        <v>44551</v>
      </c>
      <c r="O6759" s="22" t="s">
        <v>37</v>
      </c>
      <c r="P6759" s="52">
        <v>0</v>
      </c>
      <c r="Q6759" s="70">
        <v>32</v>
      </c>
      <c r="R6759" s="52">
        <f t="shared" si="196"/>
        <v>0</v>
      </c>
      <c r="S6759" s="47">
        <v>202304</v>
      </c>
      <c r="T6759" s="123" t="s">
        <v>8817</v>
      </c>
      <c r="U6759" s="97"/>
      <c r="V6759" s="453"/>
      <c r="W6759" s="453"/>
      <c r="X6759" s="50">
        <v>44927</v>
      </c>
      <c r="Y6759" s="471">
        <v>45291</v>
      </c>
    </row>
    <row r="6760" s="5" customFormat="1" customHeight="1" spans="1:25">
      <c r="A6760" s="21" t="s">
        <v>25</v>
      </c>
      <c r="B6760" s="96" t="s">
        <v>7422</v>
      </c>
      <c r="C6760" s="24" t="s">
        <v>3938</v>
      </c>
      <c r="D6760" s="22" t="s">
        <v>7655</v>
      </c>
      <c r="E6760" s="23" t="s">
        <v>8811</v>
      </c>
      <c r="F6760" s="24" t="s">
        <v>8812</v>
      </c>
      <c r="G6760" s="24" t="s">
        <v>31</v>
      </c>
      <c r="H6760" s="25" t="s">
        <v>8813</v>
      </c>
      <c r="I6760" s="46" t="str">
        <f>VLOOKUP(H6760,'合同高级查询数据-4月返'!A:A,1,FALSE)</f>
        <v>182315IDC00123</v>
      </c>
      <c r="J6760" s="47" t="s">
        <v>33</v>
      </c>
      <c r="K6760" s="24" t="s">
        <v>3943</v>
      </c>
      <c r="L6760" s="109" t="s">
        <v>8814</v>
      </c>
      <c r="M6760" s="49" t="s">
        <v>8815</v>
      </c>
      <c r="N6760" s="50">
        <v>44551</v>
      </c>
      <c r="O6760" s="22" t="s">
        <v>37</v>
      </c>
      <c r="P6760" s="52">
        <v>50</v>
      </c>
      <c r="Q6760" s="70">
        <v>96</v>
      </c>
      <c r="R6760" s="52">
        <f t="shared" si="196"/>
        <v>4800</v>
      </c>
      <c r="S6760" s="47">
        <v>202304</v>
      </c>
      <c r="T6760" s="123" t="s">
        <v>8817</v>
      </c>
      <c r="U6760" s="97"/>
      <c r="V6760" s="453"/>
      <c r="W6760" s="453"/>
      <c r="X6760" s="50">
        <v>44927</v>
      </c>
      <c r="Y6760" s="471">
        <v>45291</v>
      </c>
    </row>
    <row r="6761" s="5" customFormat="1" customHeight="1" spans="1:25">
      <c r="A6761" s="21" t="s">
        <v>25</v>
      </c>
      <c r="B6761" s="96" t="s">
        <v>7422</v>
      </c>
      <c r="C6761" s="24" t="s">
        <v>3938</v>
      </c>
      <c r="D6761" s="22" t="s">
        <v>7655</v>
      </c>
      <c r="E6761" s="23" t="s">
        <v>8811</v>
      </c>
      <c r="F6761" s="24" t="s">
        <v>8812</v>
      </c>
      <c r="G6761" s="24" t="s">
        <v>31</v>
      </c>
      <c r="H6761" s="25" t="s">
        <v>8813</v>
      </c>
      <c r="I6761" s="46" t="str">
        <f>VLOOKUP(H6761,'合同高级查询数据-4月返'!A:A,1,FALSE)</f>
        <v>182315IDC00123</v>
      </c>
      <c r="J6761" s="47" t="s">
        <v>33</v>
      </c>
      <c r="K6761" s="24" t="s">
        <v>3943</v>
      </c>
      <c r="L6761" s="109" t="s">
        <v>8814</v>
      </c>
      <c r="M6761" s="49" t="s">
        <v>8815</v>
      </c>
      <c r="N6761" s="50">
        <v>44896</v>
      </c>
      <c r="O6761" s="22" t="s">
        <v>37</v>
      </c>
      <c r="P6761" s="52">
        <v>30</v>
      </c>
      <c r="Q6761" s="70">
        <v>-96</v>
      </c>
      <c r="R6761" s="52">
        <f t="shared" si="196"/>
        <v>-2880</v>
      </c>
      <c r="S6761" s="47">
        <v>202304</v>
      </c>
      <c r="T6761" s="123" t="s">
        <v>8818</v>
      </c>
      <c r="U6761" s="97"/>
      <c r="V6761" s="453"/>
      <c r="W6761" s="453"/>
      <c r="X6761" s="50">
        <v>44927</v>
      </c>
      <c r="Y6761" s="471">
        <v>45291</v>
      </c>
    </row>
    <row r="6762" s="5" customFormat="1" customHeight="1" spans="1:25">
      <c r="A6762" s="21" t="s">
        <v>25</v>
      </c>
      <c r="B6762" s="96" t="s">
        <v>7422</v>
      </c>
      <c r="C6762" s="24" t="s">
        <v>3938</v>
      </c>
      <c r="D6762" s="22" t="s">
        <v>7655</v>
      </c>
      <c r="E6762" s="23" t="s">
        <v>8811</v>
      </c>
      <c r="F6762" s="24" t="s">
        <v>8812</v>
      </c>
      <c r="G6762" s="24" t="s">
        <v>31</v>
      </c>
      <c r="H6762" s="25" t="s">
        <v>8813</v>
      </c>
      <c r="I6762" s="46" t="str">
        <f>VLOOKUP(H6762,'合同高级查询数据-4月返'!A:A,1,FALSE)</f>
        <v>182315IDC00123</v>
      </c>
      <c r="J6762" s="47" t="s">
        <v>33</v>
      </c>
      <c r="K6762" s="24" t="s">
        <v>3943</v>
      </c>
      <c r="L6762" s="109" t="s">
        <v>8814</v>
      </c>
      <c r="M6762" s="49" t="s">
        <v>8815</v>
      </c>
      <c r="N6762" s="50">
        <v>44896</v>
      </c>
      <c r="O6762" s="22" t="s">
        <v>37</v>
      </c>
      <c r="P6762" s="52">
        <v>0</v>
      </c>
      <c r="Q6762" s="70">
        <v>-32</v>
      </c>
      <c r="R6762" s="52">
        <f t="shared" si="196"/>
        <v>0</v>
      </c>
      <c r="S6762" s="47">
        <v>202304</v>
      </c>
      <c r="T6762" s="123" t="s">
        <v>8819</v>
      </c>
      <c r="U6762" s="97"/>
      <c r="V6762" s="453"/>
      <c r="W6762" s="453"/>
      <c r="X6762" s="50">
        <v>44927</v>
      </c>
      <c r="Y6762" s="471">
        <v>45291</v>
      </c>
    </row>
    <row r="6763" s="5" customFormat="1" customHeight="1" spans="1:25">
      <c r="A6763" s="21" t="s">
        <v>25</v>
      </c>
      <c r="B6763" s="96" t="s">
        <v>7422</v>
      </c>
      <c r="C6763" s="24" t="s">
        <v>3938</v>
      </c>
      <c r="D6763" s="22" t="s">
        <v>7655</v>
      </c>
      <c r="E6763" s="23" t="s">
        <v>8811</v>
      </c>
      <c r="F6763" s="24" t="s">
        <v>8812</v>
      </c>
      <c r="G6763" s="24" t="s">
        <v>88</v>
      </c>
      <c r="H6763" s="25" t="s">
        <v>8813</v>
      </c>
      <c r="I6763" s="46" t="str">
        <f>VLOOKUP(H6763,'合同高级查询数据-4月返'!A:A,1,FALSE)</f>
        <v>182315IDC00123</v>
      </c>
      <c r="J6763" s="47" t="s">
        <v>162</v>
      </c>
      <c r="K6763" s="24" t="s">
        <v>3943</v>
      </c>
      <c r="L6763" s="109" t="s">
        <v>8814</v>
      </c>
      <c r="M6763" s="49" t="s">
        <v>8815</v>
      </c>
      <c r="N6763" s="50">
        <v>44348</v>
      </c>
      <c r="O6763" s="22" t="s">
        <v>503</v>
      </c>
      <c r="P6763" s="52">
        <v>4500</v>
      </c>
      <c r="Q6763" s="70">
        <v>3</v>
      </c>
      <c r="R6763" s="52">
        <f t="shared" si="196"/>
        <v>13500</v>
      </c>
      <c r="S6763" s="47">
        <v>202304</v>
      </c>
      <c r="T6763" s="123" t="s">
        <v>8820</v>
      </c>
      <c r="U6763" s="97"/>
      <c r="V6763" s="453"/>
      <c r="W6763" s="453"/>
      <c r="X6763" s="50">
        <v>44927</v>
      </c>
      <c r="Y6763" s="471">
        <v>45291</v>
      </c>
    </row>
    <row r="6764" s="5" customFormat="1" customHeight="1" spans="1:25">
      <c r="A6764" s="21" t="s">
        <v>25</v>
      </c>
      <c r="B6764" s="96" t="s">
        <v>7422</v>
      </c>
      <c r="C6764" s="24" t="s">
        <v>3938</v>
      </c>
      <c r="D6764" s="22" t="s">
        <v>7655</v>
      </c>
      <c r="E6764" s="23" t="s">
        <v>8811</v>
      </c>
      <c r="F6764" s="24" t="s">
        <v>8812</v>
      </c>
      <c r="G6764" s="24" t="s">
        <v>88</v>
      </c>
      <c r="H6764" s="25" t="s">
        <v>8813</v>
      </c>
      <c r="I6764" s="46" t="str">
        <f>VLOOKUP(H6764,'合同高级查询数据-4月返'!A:A,1,FALSE)</f>
        <v>182315IDC00123</v>
      </c>
      <c r="J6764" s="47" t="s">
        <v>162</v>
      </c>
      <c r="K6764" s="24" t="s">
        <v>3943</v>
      </c>
      <c r="L6764" s="109" t="s">
        <v>8814</v>
      </c>
      <c r="M6764" s="49" t="s">
        <v>8815</v>
      </c>
      <c r="N6764" s="50">
        <v>44551</v>
      </c>
      <c r="O6764" s="22" t="s">
        <v>503</v>
      </c>
      <c r="P6764" s="52">
        <v>4500</v>
      </c>
      <c r="Q6764" s="70">
        <v>1</v>
      </c>
      <c r="R6764" s="52">
        <f t="shared" si="196"/>
        <v>4500</v>
      </c>
      <c r="S6764" s="47">
        <v>202304</v>
      </c>
      <c r="T6764" s="123" t="s">
        <v>8821</v>
      </c>
      <c r="U6764" s="97"/>
      <c r="V6764" s="453"/>
      <c r="W6764" s="453"/>
      <c r="X6764" s="50">
        <v>44927</v>
      </c>
      <c r="Y6764" s="471">
        <v>45291</v>
      </c>
    </row>
    <row r="6765" s="5" customFormat="1" customHeight="1" spans="1:25">
      <c r="A6765" s="21" t="s">
        <v>25</v>
      </c>
      <c r="B6765" s="96" t="s">
        <v>7422</v>
      </c>
      <c r="C6765" s="24" t="s">
        <v>3938</v>
      </c>
      <c r="D6765" s="22" t="s">
        <v>7655</v>
      </c>
      <c r="E6765" s="23" t="s">
        <v>8811</v>
      </c>
      <c r="F6765" s="24" t="s">
        <v>8812</v>
      </c>
      <c r="G6765" s="24" t="s">
        <v>88</v>
      </c>
      <c r="H6765" s="25" t="s">
        <v>8813</v>
      </c>
      <c r="I6765" s="46" t="str">
        <f>VLOOKUP(H6765,'合同高级查询数据-4月返'!A:A,1,FALSE)</f>
        <v>182315IDC00123</v>
      </c>
      <c r="J6765" s="47" t="s">
        <v>162</v>
      </c>
      <c r="K6765" s="24" t="s">
        <v>3943</v>
      </c>
      <c r="L6765" s="109" t="s">
        <v>8814</v>
      </c>
      <c r="M6765" s="49" t="s">
        <v>8815</v>
      </c>
      <c r="N6765" s="50">
        <v>44593</v>
      </c>
      <c r="O6765" s="22" t="s">
        <v>503</v>
      </c>
      <c r="P6765" s="52">
        <v>4500</v>
      </c>
      <c r="Q6765" s="70">
        <v>2</v>
      </c>
      <c r="R6765" s="52">
        <f t="shared" si="196"/>
        <v>9000</v>
      </c>
      <c r="S6765" s="47">
        <v>202304</v>
      </c>
      <c r="T6765" s="123" t="s">
        <v>8822</v>
      </c>
      <c r="U6765" s="97"/>
      <c r="V6765" s="453"/>
      <c r="W6765" s="453"/>
      <c r="X6765" s="50">
        <v>44927</v>
      </c>
      <c r="Y6765" s="471">
        <v>45291</v>
      </c>
    </row>
    <row r="6766" s="5" customFormat="1" customHeight="1" spans="1:25">
      <c r="A6766" s="21" t="s">
        <v>25</v>
      </c>
      <c r="B6766" s="96" t="s">
        <v>7422</v>
      </c>
      <c r="C6766" s="24" t="s">
        <v>3938</v>
      </c>
      <c r="D6766" s="22" t="s">
        <v>7655</v>
      </c>
      <c r="E6766" s="23" t="s">
        <v>8811</v>
      </c>
      <c r="F6766" s="24" t="s">
        <v>8812</v>
      </c>
      <c r="G6766" s="24" t="s">
        <v>88</v>
      </c>
      <c r="H6766" s="25" t="s">
        <v>8813</v>
      </c>
      <c r="I6766" s="46" t="str">
        <f>VLOOKUP(H6766,'合同高级查询数据-4月返'!A:A,1,FALSE)</f>
        <v>182315IDC00123</v>
      </c>
      <c r="J6766" s="47" t="s">
        <v>162</v>
      </c>
      <c r="K6766" s="24" t="s">
        <v>3943</v>
      </c>
      <c r="L6766" s="109" t="s">
        <v>8814</v>
      </c>
      <c r="M6766" s="49" t="s">
        <v>8815</v>
      </c>
      <c r="N6766" s="50">
        <v>44742</v>
      </c>
      <c r="O6766" s="22" t="s">
        <v>503</v>
      </c>
      <c r="P6766" s="52">
        <v>4500</v>
      </c>
      <c r="Q6766" s="70">
        <v>-1</v>
      </c>
      <c r="R6766" s="52">
        <f t="shared" si="196"/>
        <v>-4500</v>
      </c>
      <c r="S6766" s="47">
        <v>202304</v>
      </c>
      <c r="T6766" s="123" t="s">
        <v>8823</v>
      </c>
      <c r="U6766" s="97"/>
      <c r="V6766" s="453"/>
      <c r="W6766" s="453"/>
      <c r="X6766" s="50">
        <v>44927</v>
      </c>
      <c r="Y6766" s="471">
        <v>45291</v>
      </c>
    </row>
    <row r="6767" s="5" customFormat="1" customHeight="1" spans="1:25">
      <c r="A6767" s="21" t="s">
        <v>25</v>
      </c>
      <c r="B6767" s="96" t="s">
        <v>7422</v>
      </c>
      <c r="C6767" s="22" t="s">
        <v>44</v>
      </c>
      <c r="D6767" s="22" t="s">
        <v>7585</v>
      </c>
      <c r="E6767" s="23" t="s">
        <v>154</v>
      </c>
      <c r="F6767" s="24" t="s">
        <v>155</v>
      </c>
      <c r="G6767" s="24" t="s">
        <v>31</v>
      </c>
      <c r="H6767" s="25" t="s">
        <v>8824</v>
      </c>
      <c r="I6767" s="46" t="e">
        <f>VLOOKUP(H6767,'合同高级查询数据-4月返'!A:A,1,FALSE)</f>
        <v>#N/A</v>
      </c>
      <c r="J6767" s="47" t="s">
        <v>33</v>
      </c>
      <c r="K6767" s="24" t="s">
        <v>8652</v>
      </c>
      <c r="L6767" s="109" t="s">
        <v>8825</v>
      </c>
      <c r="M6767" s="49" t="s">
        <v>8826</v>
      </c>
      <c r="N6767" s="50">
        <v>44378</v>
      </c>
      <c r="O6767" s="22" t="s">
        <v>37</v>
      </c>
      <c r="P6767" s="52">
        <v>0</v>
      </c>
      <c r="Q6767" s="70">
        <v>128</v>
      </c>
      <c r="R6767" s="52">
        <f t="shared" si="196"/>
        <v>0</v>
      </c>
      <c r="S6767" s="47">
        <v>202304</v>
      </c>
      <c r="T6767" s="123" t="s">
        <v>8827</v>
      </c>
      <c r="U6767" s="97"/>
      <c r="V6767" s="453"/>
      <c r="W6767" s="453"/>
      <c r="X6767" s="50">
        <v>44378</v>
      </c>
      <c r="Y6767" s="50">
        <v>44742</v>
      </c>
    </row>
    <row r="6768" s="5" customFormat="1" customHeight="1" spans="1:25">
      <c r="A6768" s="21" t="s">
        <v>25</v>
      </c>
      <c r="B6768" s="96" t="s">
        <v>7422</v>
      </c>
      <c r="C6768" s="22" t="s">
        <v>44</v>
      </c>
      <c r="D6768" s="22" t="s">
        <v>7585</v>
      </c>
      <c r="E6768" s="23" t="s">
        <v>154</v>
      </c>
      <c r="F6768" s="24" t="s">
        <v>155</v>
      </c>
      <c r="G6768" s="24" t="s">
        <v>31</v>
      </c>
      <c r="H6768" s="25" t="s">
        <v>8824</v>
      </c>
      <c r="I6768" s="46" t="e">
        <f>VLOOKUP(H6768,'合同高级查询数据-4月返'!A:A,1,FALSE)</f>
        <v>#N/A</v>
      </c>
      <c r="J6768" s="47" t="s">
        <v>33</v>
      </c>
      <c r="K6768" s="24" t="s">
        <v>8652</v>
      </c>
      <c r="L6768" s="109" t="s">
        <v>8825</v>
      </c>
      <c r="M6768" s="49" t="s">
        <v>8826</v>
      </c>
      <c r="N6768" s="50">
        <v>44561</v>
      </c>
      <c r="O6768" s="22" t="s">
        <v>37</v>
      </c>
      <c r="P6768" s="52">
        <v>0</v>
      </c>
      <c r="Q6768" s="70">
        <v>-128</v>
      </c>
      <c r="R6768" s="52">
        <f t="shared" si="196"/>
        <v>0</v>
      </c>
      <c r="S6768" s="47">
        <v>202304</v>
      </c>
      <c r="T6768" s="123" t="s">
        <v>7758</v>
      </c>
      <c r="U6768" s="97"/>
      <c r="V6768" s="453"/>
      <c r="W6768" s="453"/>
      <c r="X6768" s="50">
        <v>44378</v>
      </c>
      <c r="Y6768" s="50">
        <v>44742</v>
      </c>
    </row>
    <row r="6769" s="5" customFormat="1" customHeight="1" spans="1:25">
      <c r="A6769" s="21" t="s">
        <v>25</v>
      </c>
      <c r="B6769" s="96" t="s">
        <v>7422</v>
      </c>
      <c r="C6769" s="22" t="s">
        <v>44</v>
      </c>
      <c r="D6769" s="22" t="s">
        <v>7585</v>
      </c>
      <c r="E6769" s="23" t="s">
        <v>154</v>
      </c>
      <c r="F6769" s="24" t="s">
        <v>155</v>
      </c>
      <c r="G6769" s="24" t="s">
        <v>31</v>
      </c>
      <c r="H6769" s="25" t="s">
        <v>8824</v>
      </c>
      <c r="I6769" s="46" t="e">
        <f>VLOOKUP(H6769,'合同高级查询数据-4月返'!A:A,1,FALSE)</f>
        <v>#N/A</v>
      </c>
      <c r="J6769" s="47" t="s">
        <v>33</v>
      </c>
      <c r="K6769" s="24" t="s">
        <v>8652</v>
      </c>
      <c r="L6769" s="109" t="s">
        <v>8825</v>
      </c>
      <c r="M6769" s="49" t="s">
        <v>8826</v>
      </c>
      <c r="N6769" s="50">
        <v>44378</v>
      </c>
      <c r="O6769" s="22" t="s">
        <v>37</v>
      </c>
      <c r="P6769" s="52">
        <v>50</v>
      </c>
      <c r="Q6769" s="70">
        <v>160</v>
      </c>
      <c r="R6769" s="52">
        <f t="shared" si="196"/>
        <v>8000</v>
      </c>
      <c r="S6769" s="47">
        <v>202304</v>
      </c>
      <c r="T6769" s="123" t="s">
        <v>8827</v>
      </c>
      <c r="U6769" s="97"/>
      <c r="V6769" s="453"/>
      <c r="W6769" s="453"/>
      <c r="X6769" s="50">
        <v>44378</v>
      </c>
      <c r="Y6769" s="50">
        <v>44742</v>
      </c>
    </row>
    <row r="6770" s="5" customFormat="1" customHeight="1" spans="1:25">
      <c r="A6770" s="21" t="s">
        <v>25</v>
      </c>
      <c r="B6770" s="96" t="s">
        <v>7422</v>
      </c>
      <c r="C6770" s="22" t="s">
        <v>44</v>
      </c>
      <c r="D6770" s="22" t="s">
        <v>7585</v>
      </c>
      <c r="E6770" s="23" t="s">
        <v>154</v>
      </c>
      <c r="F6770" s="24" t="s">
        <v>155</v>
      </c>
      <c r="G6770" s="24" t="s">
        <v>31</v>
      </c>
      <c r="H6770" s="25" t="s">
        <v>8824</v>
      </c>
      <c r="I6770" s="46" t="e">
        <f>VLOOKUP(H6770,'合同高级查询数据-4月返'!A:A,1,FALSE)</f>
        <v>#N/A</v>
      </c>
      <c r="J6770" s="47" t="s">
        <v>33</v>
      </c>
      <c r="K6770" s="24" t="s">
        <v>8652</v>
      </c>
      <c r="L6770" s="109" t="s">
        <v>8825</v>
      </c>
      <c r="M6770" s="49" t="s">
        <v>8826</v>
      </c>
      <c r="N6770" s="50">
        <v>44561</v>
      </c>
      <c r="O6770" s="22" t="s">
        <v>37</v>
      </c>
      <c r="P6770" s="52">
        <v>50</v>
      </c>
      <c r="Q6770" s="70">
        <v>-160</v>
      </c>
      <c r="R6770" s="52">
        <f t="shared" si="196"/>
        <v>-8000</v>
      </c>
      <c r="S6770" s="47">
        <v>202304</v>
      </c>
      <c r="T6770" s="123" t="s">
        <v>8828</v>
      </c>
      <c r="U6770" s="97"/>
      <c r="V6770" s="453"/>
      <c r="W6770" s="453"/>
      <c r="X6770" s="50">
        <v>44378</v>
      </c>
      <c r="Y6770" s="50">
        <v>44742</v>
      </c>
    </row>
    <row r="6771" s="5" customFormat="1" customHeight="1" spans="1:25">
      <c r="A6771" s="21" t="s">
        <v>25</v>
      </c>
      <c r="B6771" s="96" t="s">
        <v>7422</v>
      </c>
      <c r="C6771" s="22" t="s">
        <v>44</v>
      </c>
      <c r="D6771" s="22" t="s">
        <v>7585</v>
      </c>
      <c r="E6771" s="23" t="s">
        <v>154</v>
      </c>
      <c r="F6771" s="24" t="s">
        <v>155</v>
      </c>
      <c r="G6771" s="24" t="s">
        <v>88</v>
      </c>
      <c r="H6771" s="25" t="s">
        <v>8824</v>
      </c>
      <c r="I6771" s="46" t="e">
        <f>VLOOKUP(H6771,'合同高级查询数据-4月返'!A:A,1,FALSE)</f>
        <v>#N/A</v>
      </c>
      <c r="J6771" s="47" t="s">
        <v>162</v>
      </c>
      <c r="K6771" s="24" t="s">
        <v>8652</v>
      </c>
      <c r="L6771" s="109" t="s">
        <v>8825</v>
      </c>
      <c r="M6771" s="49" t="s">
        <v>8826</v>
      </c>
      <c r="N6771" s="50">
        <v>44378</v>
      </c>
      <c r="O6771" s="22" t="s">
        <v>1535</v>
      </c>
      <c r="P6771" s="52">
        <v>3750</v>
      </c>
      <c r="Q6771" s="70">
        <v>4</v>
      </c>
      <c r="R6771" s="52">
        <f t="shared" si="196"/>
        <v>15000</v>
      </c>
      <c r="S6771" s="47">
        <v>202304</v>
      </c>
      <c r="T6771" s="123" t="s">
        <v>8829</v>
      </c>
      <c r="U6771" s="97"/>
      <c r="V6771" s="453"/>
      <c r="W6771" s="453"/>
      <c r="X6771" s="50">
        <v>44378</v>
      </c>
      <c r="Y6771" s="50">
        <v>44742</v>
      </c>
    </row>
    <row r="6772" s="5" customFormat="1" customHeight="1" spans="1:25">
      <c r="A6772" s="21" t="s">
        <v>25</v>
      </c>
      <c r="B6772" s="96" t="s">
        <v>7422</v>
      </c>
      <c r="C6772" s="22" t="s">
        <v>44</v>
      </c>
      <c r="D6772" s="22" t="s">
        <v>7585</v>
      </c>
      <c r="E6772" s="23" t="s">
        <v>154</v>
      </c>
      <c r="F6772" s="24" t="s">
        <v>155</v>
      </c>
      <c r="G6772" s="24" t="s">
        <v>88</v>
      </c>
      <c r="H6772" s="25" t="s">
        <v>8824</v>
      </c>
      <c r="I6772" s="46" t="e">
        <f>VLOOKUP(H6772,'合同高级查询数据-4月返'!A:A,1,FALSE)</f>
        <v>#N/A</v>
      </c>
      <c r="J6772" s="47" t="s">
        <v>162</v>
      </c>
      <c r="K6772" s="24" t="s">
        <v>8652</v>
      </c>
      <c r="L6772" s="109" t="s">
        <v>8825</v>
      </c>
      <c r="M6772" s="49" t="s">
        <v>8826</v>
      </c>
      <c r="N6772" s="50">
        <v>44394</v>
      </c>
      <c r="O6772" s="50" t="s">
        <v>1535</v>
      </c>
      <c r="P6772" s="486">
        <v>3750</v>
      </c>
      <c r="Q6772" s="486">
        <v>1</v>
      </c>
      <c r="R6772" s="52">
        <f t="shared" si="196"/>
        <v>3750</v>
      </c>
      <c r="S6772" s="47">
        <v>202304</v>
      </c>
      <c r="T6772" s="123" t="s">
        <v>8830</v>
      </c>
      <c r="U6772" s="97"/>
      <c r="V6772" s="453"/>
      <c r="W6772" s="453"/>
      <c r="X6772" s="50">
        <v>44378</v>
      </c>
      <c r="Y6772" s="50">
        <v>44742</v>
      </c>
    </row>
    <row r="6773" s="5" customFormat="1" customHeight="1" spans="1:25">
      <c r="A6773" s="21" t="s">
        <v>25</v>
      </c>
      <c r="B6773" s="96" t="s">
        <v>7422</v>
      </c>
      <c r="C6773" s="22" t="s">
        <v>44</v>
      </c>
      <c r="D6773" s="22" t="s">
        <v>7585</v>
      </c>
      <c r="E6773" s="23" t="s">
        <v>154</v>
      </c>
      <c r="F6773" s="24" t="s">
        <v>155</v>
      </c>
      <c r="G6773" s="24" t="s">
        <v>88</v>
      </c>
      <c r="H6773" s="25" t="s">
        <v>8824</v>
      </c>
      <c r="I6773" s="46" t="e">
        <f>VLOOKUP(H6773,'合同高级查询数据-4月返'!A:A,1,FALSE)</f>
        <v>#N/A</v>
      </c>
      <c r="J6773" s="47" t="s">
        <v>162</v>
      </c>
      <c r="K6773" s="24" t="s">
        <v>8652</v>
      </c>
      <c r="L6773" s="109" t="s">
        <v>8825</v>
      </c>
      <c r="M6773" s="49" t="s">
        <v>8826</v>
      </c>
      <c r="N6773" s="50">
        <v>44561</v>
      </c>
      <c r="O6773" s="50" t="s">
        <v>1535</v>
      </c>
      <c r="P6773" s="486">
        <v>3750</v>
      </c>
      <c r="Q6773" s="486">
        <v>-5</v>
      </c>
      <c r="R6773" s="52">
        <f t="shared" si="196"/>
        <v>-18750</v>
      </c>
      <c r="S6773" s="47">
        <v>202304</v>
      </c>
      <c r="T6773" s="123" t="s">
        <v>8831</v>
      </c>
      <c r="U6773" s="97"/>
      <c r="V6773" s="453"/>
      <c r="W6773" s="453"/>
      <c r="X6773" s="50">
        <v>44378</v>
      </c>
      <c r="Y6773" s="50">
        <v>44742</v>
      </c>
    </row>
    <row r="6774" s="5" customFormat="1" customHeight="1" spans="1:25">
      <c r="A6774" s="21" t="s">
        <v>25</v>
      </c>
      <c r="B6774" s="96" t="s">
        <v>7422</v>
      </c>
      <c r="C6774" s="22" t="s">
        <v>1987</v>
      </c>
      <c r="D6774" s="22" t="s">
        <v>7585</v>
      </c>
      <c r="E6774" s="23" t="s">
        <v>8832</v>
      </c>
      <c r="F6774" s="24" t="s">
        <v>8833</v>
      </c>
      <c r="G6774" s="24" t="s">
        <v>31</v>
      </c>
      <c r="H6774" s="25" t="s">
        <v>8834</v>
      </c>
      <c r="I6774" s="46" t="e">
        <f>VLOOKUP(H6774,'合同高级查询数据-4月返'!A:A,1,FALSE)</f>
        <v>#N/A</v>
      </c>
      <c r="J6774" s="47" t="s">
        <v>33</v>
      </c>
      <c r="K6774" s="24" t="s">
        <v>8835</v>
      </c>
      <c r="L6774" s="109" t="s">
        <v>8836</v>
      </c>
      <c r="M6774" s="49" t="s">
        <v>8837</v>
      </c>
      <c r="N6774" s="50">
        <v>44411</v>
      </c>
      <c r="O6774" s="22" t="s">
        <v>37</v>
      </c>
      <c r="P6774" s="52">
        <v>0</v>
      </c>
      <c r="Q6774" s="70">
        <v>288</v>
      </c>
      <c r="R6774" s="52">
        <f t="shared" si="196"/>
        <v>0</v>
      </c>
      <c r="S6774" s="47">
        <v>202304</v>
      </c>
      <c r="T6774" s="123" t="s">
        <v>8838</v>
      </c>
      <c r="U6774" s="97"/>
      <c r="V6774" s="453"/>
      <c r="W6774" s="453"/>
      <c r="X6774" s="50">
        <v>44774</v>
      </c>
      <c r="Y6774" s="50">
        <v>44834</v>
      </c>
    </row>
    <row r="6775" s="5" customFormat="1" customHeight="1" spans="1:25">
      <c r="A6775" s="21" t="s">
        <v>25</v>
      </c>
      <c r="B6775" s="96" t="s">
        <v>7422</v>
      </c>
      <c r="C6775" s="22" t="s">
        <v>1987</v>
      </c>
      <c r="D6775" s="22" t="s">
        <v>7585</v>
      </c>
      <c r="E6775" s="23" t="s">
        <v>8832</v>
      </c>
      <c r="F6775" s="24" t="s">
        <v>8833</v>
      </c>
      <c r="G6775" s="24" t="s">
        <v>31</v>
      </c>
      <c r="H6775" s="25" t="s">
        <v>8834</v>
      </c>
      <c r="I6775" s="46" t="e">
        <f>VLOOKUP(H6775,'合同高级查询数据-4月返'!A:A,1,FALSE)</f>
        <v>#N/A</v>
      </c>
      <c r="J6775" s="47" t="s">
        <v>33</v>
      </c>
      <c r="K6775" s="24" t="s">
        <v>8835</v>
      </c>
      <c r="L6775" s="109" t="s">
        <v>8836</v>
      </c>
      <c r="M6775" s="49" t="s">
        <v>8837</v>
      </c>
      <c r="N6775" s="50">
        <v>44834</v>
      </c>
      <c r="O6775" s="22" t="s">
        <v>37</v>
      </c>
      <c r="P6775" s="52">
        <v>0</v>
      </c>
      <c r="Q6775" s="70">
        <v>-288</v>
      </c>
      <c r="R6775" s="52">
        <f t="shared" si="196"/>
        <v>0</v>
      </c>
      <c r="S6775" s="47">
        <v>202304</v>
      </c>
      <c r="T6775" s="123" t="s">
        <v>6878</v>
      </c>
      <c r="U6775" s="97"/>
      <c r="V6775" s="453"/>
      <c r="W6775" s="453"/>
      <c r="X6775" s="50">
        <v>44774</v>
      </c>
      <c r="Y6775" s="50">
        <v>44834</v>
      </c>
    </row>
    <row r="6776" s="5" customFormat="1" customHeight="1" spans="1:25">
      <c r="A6776" s="21" t="s">
        <v>25</v>
      </c>
      <c r="B6776" s="96" t="s">
        <v>7422</v>
      </c>
      <c r="C6776" s="22" t="s">
        <v>1987</v>
      </c>
      <c r="D6776" s="22" t="s">
        <v>7585</v>
      </c>
      <c r="E6776" s="23" t="s">
        <v>8832</v>
      </c>
      <c r="F6776" s="24" t="s">
        <v>8833</v>
      </c>
      <c r="G6776" s="24" t="s">
        <v>31</v>
      </c>
      <c r="H6776" s="25" t="s">
        <v>8834</v>
      </c>
      <c r="I6776" s="46" t="e">
        <f>VLOOKUP(H6776,'合同高级查询数据-4月返'!A:A,1,FALSE)</f>
        <v>#N/A</v>
      </c>
      <c r="J6776" s="47" t="s">
        <v>33</v>
      </c>
      <c r="K6776" s="24" t="s">
        <v>8835</v>
      </c>
      <c r="L6776" s="109" t="s">
        <v>8836</v>
      </c>
      <c r="M6776" s="49" t="s">
        <v>8837</v>
      </c>
      <c r="N6776" s="50"/>
      <c r="O6776" s="22" t="s">
        <v>179</v>
      </c>
      <c r="P6776" s="52">
        <v>0</v>
      </c>
      <c r="Q6776" s="52">
        <v>0</v>
      </c>
      <c r="R6776" s="52">
        <f t="shared" si="196"/>
        <v>0</v>
      </c>
      <c r="S6776" s="47">
        <v>202304</v>
      </c>
      <c r="T6776" s="123" t="s">
        <v>8839</v>
      </c>
      <c r="U6776" s="97"/>
      <c r="V6776" s="453"/>
      <c r="W6776" s="453"/>
      <c r="X6776" s="50">
        <v>44774</v>
      </c>
      <c r="Y6776" s="50">
        <v>44834</v>
      </c>
    </row>
    <row r="6777" s="5" customFormat="1" customHeight="1" spans="1:25">
      <c r="A6777" s="21" t="s">
        <v>25</v>
      </c>
      <c r="B6777" s="96" t="s">
        <v>7422</v>
      </c>
      <c r="C6777" s="22" t="s">
        <v>1987</v>
      </c>
      <c r="D6777" s="22" t="s">
        <v>7585</v>
      </c>
      <c r="E6777" s="23" t="s">
        <v>8832</v>
      </c>
      <c r="F6777" s="24" t="s">
        <v>8833</v>
      </c>
      <c r="G6777" s="24" t="s">
        <v>88</v>
      </c>
      <c r="H6777" s="25" t="s">
        <v>8834</v>
      </c>
      <c r="I6777" s="46" t="e">
        <f>VLOOKUP(H6777,'合同高级查询数据-4月返'!A:A,1,FALSE)</f>
        <v>#N/A</v>
      </c>
      <c r="J6777" s="47" t="s">
        <v>162</v>
      </c>
      <c r="K6777" s="24" t="s">
        <v>8835</v>
      </c>
      <c r="L6777" s="109" t="s">
        <v>8836</v>
      </c>
      <c r="M6777" s="49" t="s">
        <v>8837</v>
      </c>
      <c r="N6777" s="50">
        <v>44411</v>
      </c>
      <c r="O6777" s="22" t="s">
        <v>163</v>
      </c>
      <c r="P6777" s="52">
        <v>0</v>
      </c>
      <c r="Q6777" s="70">
        <v>3</v>
      </c>
      <c r="R6777" s="52">
        <f t="shared" si="196"/>
        <v>0</v>
      </c>
      <c r="S6777" s="47">
        <v>202304</v>
      </c>
      <c r="T6777" s="123" t="s">
        <v>8840</v>
      </c>
      <c r="U6777" s="97"/>
      <c r="V6777" s="453"/>
      <c r="W6777" s="453"/>
      <c r="X6777" s="50">
        <v>44774</v>
      </c>
      <c r="Y6777" s="50">
        <v>44834</v>
      </c>
    </row>
    <row r="6778" s="5" customFormat="1" customHeight="1" spans="1:25">
      <c r="A6778" s="21" t="s">
        <v>25</v>
      </c>
      <c r="B6778" s="96" t="s">
        <v>7422</v>
      </c>
      <c r="C6778" s="22" t="s">
        <v>1987</v>
      </c>
      <c r="D6778" s="22" t="s">
        <v>7585</v>
      </c>
      <c r="E6778" s="23" t="s">
        <v>8832</v>
      </c>
      <c r="F6778" s="24" t="s">
        <v>8833</v>
      </c>
      <c r="G6778" s="24" t="s">
        <v>88</v>
      </c>
      <c r="H6778" s="25" t="s">
        <v>8834</v>
      </c>
      <c r="I6778" s="46" t="e">
        <f>VLOOKUP(H6778,'合同高级查询数据-4月返'!A:A,1,FALSE)</f>
        <v>#N/A</v>
      </c>
      <c r="J6778" s="47" t="s">
        <v>162</v>
      </c>
      <c r="K6778" s="24" t="s">
        <v>8835</v>
      </c>
      <c r="L6778" s="109" t="s">
        <v>8836</v>
      </c>
      <c r="M6778" s="49" t="s">
        <v>8837</v>
      </c>
      <c r="N6778" s="50">
        <v>44834</v>
      </c>
      <c r="O6778" s="22" t="s">
        <v>163</v>
      </c>
      <c r="P6778" s="52">
        <v>0</v>
      </c>
      <c r="Q6778" s="70">
        <v>-3</v>
      </c>
      <c r="R6778" s="52">
        <f t="shared" si="196"/>
        <v>0</v>
      </c>
      <c r="S6778" s="47">
        <v>202304</v>
      </c>
      <c r="T6778" s="123" t="s">
        <v>8841</v>
      </c>
      <c r="U6778" s="97"/>
      <c r="V6778" s="453"/>
      <c r="W6778" s="453"/>
      <c r="X6778" s="50">
        <v>44774</v>
      </c>
      <c r="Y6778" s="50">
        <v>44834</v>
      </c>
    </row>
    <row r="6779" s="5" customFormat="1" customHeight="1" spans="1:25">
      <c r="A6779" s="21" t="s">
        <v>25</v>
      </c>
      <c r="B6779" s="96" t="s">
        <v>7422</v>
      </c>
      <c r="C6779" s="22" t="s">
        <v>1987</v>
      </c>
      <c r="D6779" s="22" t="s">
        <v>7585</v>
      </c>
      <c r="E6779" s="23" t="s">
        <v>8832</v>
      </c>
      <c r="F6779" s="24" t="s">
        <v>8833</v>
      </c>
      <c r="G6779" s="24" t="s">
        <v>31</v>
      </c>
      <c r="H6779" s="25" t="s">
        <v>8842</v>
      </c>
      <c r="I6779" s="46" t="e">
        <f>VLOOKUP(H6779,'合同高级查询数据-4月返'!A:A,1,FALSE)</f>
        <v>#N/A</v>
      </c>
      <c r="J6779" s="47" t="s">
        <v>33</v>
      </c>
      <c r="K6779" s="24" t="s">
        <v>8031</v>
      </c>
      <c r="L6779" s="109" t="s">
        <v>8843</v>
      </c>
      <c r="M6779" s="49" t="s">
        <v>8844</v>
      </c>
      <c r="N6779" s="50">
        <v>44470</v>
      </c>
      <c r="O6779" s="22" t="s">
        <v>37</v>
      </c>
      <c r="P6779" s="52">
        <v>0</v>
      </c>
      <c r="Q6779" s="70">
        <v>288</v>
      </c>
      <c r="R6779" s="52">
        <f t="shared" si="196"/>
        <v>0</v>
      </c>
      <c r="S6779" s="47">
        <v>202304</v>
      </c>
      <c r="T6779" s="123" t="s">
        <v>8845</v>
      </c>
      <c r="U6779" s="97"/>
      <c r="V6779" s="453"/>
      <c r="W6779" s="453"/>
      <c r="X6779" s="50">
        <v>44470</v>
      </c>
      <c r="Y6779" s="50">
        <v>44834</v>
      </c>
    </row>
    <row r="6780" s="5" customFormat="1" customHeight="1" spans="1:25">
      <c r="A6780" s="21" t="s">
        <v>25</v>
      </c>
      <c r="B6780" s="96" t="s">
        <v>7422</v>
      </c>
      <c r="C6780" s="22" t="s">
        <v>1987</v>
      </c>
      <c r="D6780" s="22" t="s">
        <v>7585</v>
      </c>
      <c r="E6780" s="23" t="s">
        <v>8832</v>
      </c>
      <c r="F6780" s="24" t="s">
        <v>8833</v>
      </c>
      <c r="G6780" s="24" t="s">
        <v>31</v>
      </c>
      <c r="H6780" s="25" t="s">
        <v>8842</v>
      </c>
      <c r="I6780" s="46" t="e">
        <f>VLOOKUP(H6780,'合同高级查询数据-4月返'!A:A,1,FALSE)</f>
        <v>#N/A</v>
      </c>
      <c r="J6780" s="47" t="s">
        <v>33</v>
      </c>
      <c r="K6780" s="24" t="s">
        <v>8031</v>
      </c>
      <c r="L6780" s="109" t="s">
        <v>8843</v>
      </c>
      <c r="M6780" s="49" t="s">
        <v>8844</v>
      </c>
      <c r="N6780" s="50">
        <v>44834</v>
      </c>
      <c r="O6780" s="22" t="s">
        <v>37</v>
      </c>
      <c r="P6780" s="52">
        <v>0</v>
      </c>
      <c r="Q6780" s="70">
        <v>-288</v>
      </c>
      <c r="R6780" s="52">
        <f t="shared" si="196"/>
        <v>0</v>
      </c>
      <c r="S6780" s="47">
        <v>202304</v>
      </c>
      <c r="T6780" s="123" t="s">
        <v>6878</v>
      </c>
      <c r="U6780" s="97"/>
      <c r="V6780" s="453"/>
      <c r="W6780" s="453"/>
      <c r="X6780" s="50">
        <v>44470</v>
      </c>
      <c r="Y6780" s="50">
        <v>44834</v>
      </c>
    </row>
    <row r="6781" s="5" customFormat="1" customHeight="1" spans="1:25">
      <c r="A6781" s="21" t="s">
        <v>25</v>
      </c>
      <c r="B6781" s="96" t="s">
        <v>7422</v>
      </c>
      <c r="C6781" s="22" t="s">
        <v>1987</v>
      </c>
      <c r="D6781" s="22" t="s">
        <v>7585</v>
      </c>
      <c r="E6781" s="23" t="s">
        <v>8832</v>
      </c>
      <c r="F6781" s="24" t="s">
        <v>8833</v>
      </c>
      <c r="G6781" s="24" t="s">
        <v>31</v>
      </c>
      <c r="H6781" s="25" t="s">
        <v>8842</v>
      </c>
      <c r="I6781" s="46" t="e">
        <f>VLOOKUP(H6781,'合同高级查询数据-4月返'!A:A,1,FALSE)</f>
        <v>#N/A</v>
      </c>
      <c r="J6781" s="47" t="s">
        <v>33</v>
      </c>
      <c r="K6781" s="24" t="s">
        <v>8031</v>
      </c>
      <c r="L6781" s="109" t="s">
        <v>8843</v>
      </c>
      <c r="M6781" s="49" t="s">
        <v>8844</v>
      </c>
      <c r="N6781" s="50"/>
      <c r="O6781" s="22" t="s">
        <v>179</v>
      </c>
      <c r="P6781" s="52">
        <v>0</v>
      </c>
      <c r="Q6781" s="52">
        <v>0</v>
      </c>
      <c r="R6781" s="52">
        <f t="shared" si="196"/>
        <v>0</v>
      </c>
      <c r="S6781" s="47">
        <v>202304</v>
      </c>
      <c r="T6781" s="123" t="s">
        <v>8846</v>
      </c>
      <c r="U6781" s="97"/>
      <c r="V6781" s="453"/>
      <c r="W6781" s="453"/>
      <c r="X6781" s="50">
        <v>44470</v>
      </c>
      <c r="Y6781" s="50">
        <v>44834</v>
      </c>
    </row>
    <row r="6782" s="5" customFormat="1" customHeight="1" spans="1:25">
      <c r="A6782" s="21" t="s">
        <v>25</v>
      </c>
      <c r="B6782" s="96" t="s">
        <v>7422</v>
      </c>
      <c r="C6782" s="22" t="s">
        <v>1987</v>
      </c>
      <c r="D6782" s="22" t="s">
        <v>7585</v>
      </c>
      <c r="E6782" s="23" t="s">
        <v>8832</v>
      </c>
      <c r="F6782" s="24" t="s">
        <v>8833</v>
      </c>
      <c r="G6782" s="24" t="s">
        <v>88</v>
      </c>
      <c r="H6782" s="25" t="s">
        <v>8842</v>
      </c>
      <c r="I6782" s="46" t="e">
        <f>VLOOKUP(H6782,'合同高级查询数据-4月返'!A:A,1,FALSE)</f>
        <v>#N/A</v>
      </c>
      <c r="J6782" s="47" t="s">
        <v>162</v>
      </c>
      <c r="K6782" s="24" t="s">
        <v>8031</v>
      </c>
      <c r="L6782" s="109" t="s">
        <v>8843</v>
      </c>
      <c r="M6782" s="49" t="s">
        <v>8844</v>
      </c>
      <c r="N6782" s="50">
        <v>44470</v>
      </c>
      <c r="O6782" s="22" t="s">
        <v>163</v>
      </c>
      <c r="P6782" s="52">
        <v>0</v>
      </c>
      <c r="Q6782" s="70">
        <v>4</v>
      </c>
      <c r="R6782" s="52">
        <f t="shared" si="196"/>
        <v>0</v>
      </c>
      <c r="S6782" s="47">
        <v>202304</v>
      </c>
      <c r="T6782" s="123" t="s">
        <v>8847</v>
      </c>
      <c r="U6782" s="97"/>
      <c r="V6782" s="453"/>
      <c r="W6782" s="453"/>
      <c r="X6782" s="50">
        <v>44470</v>
      </c>
      <c r="Y6782" s="50">
        <v>44834</v>
      </c>
    </row>
    <row r="6783" s="5" customFormat="1" customHeight="1" spans="1:25">
      <c r="A6783" s="21" t="s">
        <v>25</v>
      </c>
      <c r="B6783" s="96" t="s">
        <v>7422</v>
      </c>
      <c r="C6783" s="22" t="s">
        <v>1987</v>
      </c>
      <c r="D6783" s="22" t="s">
        <v>7585</v>
      </c>
      <c r="E6783" s="23" t="s">
        <v>8832</v>
      </c>
      <c r="F6783" s="24" t="s">
        <v>8833</v>
      </c>
      <c r="G6783" s="24" t="s">
        <v>88</v>
      </c>
      <c r="H6783" s="25" t="s">
        <v>8842</v>
      </c>
      <c r="I6783" s="46" t="e">
        <f>VLOOKUP(H6783,'合同高级查询数据-4月返'!A:A,1,FALSE)</f>
        <v>#N/A</v>
      </c>
      <c r="J6783" s="47" t="s">
        <v>162</v>
      </c>
      <c r="K6783" s="24" t="s">
        <v>8031</v>
      </c>
      <c r="L6783" s="109" t="s">
        <v>8843</v>
      </c>
      <c r="M6783" s="49" t="s">
        <v>8844</v>
      </c>
      <c r="N6783" s="50">
        <v>44834</v>
      </c>
      <c r="O6783" s="22" t="s">
        <v>163</v>
      </c>
      <c r="P6783" s="52">
        <v>0</v>
      </c>
      <c r="Q6783" s="70">
        <v>-4</v>
      </c>
      <c r="R6783" s="52">
        <f t="shared" si="196"/>
        <v>0</v>
      </c>
      <c r="S6783" s="47">
        <v>202304</v>
      </c>
      <c r="T6783" s="123" t="s">
        <v>8848</v>
      </c>
      <c r="U6783" s="97"/>
      <c r="V6783" s="453"/>
      <c r="W6783" s="453"/>
      <c r="X6783" s="50">
        <v>44470</v>
      </c>
      <c r="Y6783" s="50">
        <v>44834</v>
      </c>
    </row>
    <row r="6784" s="5" customFormat="1" customHeight="1" spans="1:25">
      <c r="A6784" s="21" t="s">
        <v>109</v>
      </c>
      <c r="B6784" s="96" t="s">
        <v>7422</v>
      </c>
      <c r="C6784" s="22" t="s">
        <v>3237</v>
      </c>
      <c r="D6784" s="22" t="s">
        <v>7585</v>
      </c>
      <c r="E6784" s="23" t="s">
        <v>8849</v>
      </c>
      <c r="F6784" s="24" t="s">
        <v>8850</v>
      </c>
      <c r="G6784" s="24" t="s">
        <v>31</v>
      </c>
      <c r="H6784" s="25" t="s">
        <v>8851</v>
      </c>
      <c r="I6784" s="46" t="e">
        <f>VLOOKUP(H6784,'合同高级查询数据-4月返'!A:A,1,FALSE)</f>
        <v>#N/A</v>
      </c>
      <c r="J6784" s="47" t="s">
        <v>33</v>
      </c>
      <c r="K6784" s="24" t="s">
        <v>7622</v>
      </c>
      <c r="L6784" s="109" t="s">
        <v>8852</v>
      </c>
      <c r="M6784" s="49" t="s">
        <v>8853</v>
      </c>
      <c r="N6784" s="50">
        <v>44409</v>
      </c>
      <c r="O6784" s="22" t="s">
        <v>37</v>
      </c>
      <c r="P6784" s="52">
        <v>0</v>
      </c>
      <c r="Q6784" s="70">
        <v>128</v>
      </c>
      <c r="R6784" s="52">
        <f t="shared" si="196"/>
        <v>0</v>
      </c>
      <c r="S6784" s="47">
        <v>202304</v>
      </c>
      <c r="T6784" s="123" t="s">
        <v>8854</v>
      </c>
      <c r="U6784" s="97"/>
      <c r="V6784" s="453"/>
      <c r="W6784" s="453"/>
      <c r="X6784" s="50">
        <v>44409</v>
      </c>
      <c r="Y6784" s="50">
        <v>44773</v>
      </c>
    </row>
    <row r="6785" s="5" customFormat="1" customHeight="1" spans="1:25">
      <c r="A6785" s="21" t="s">
        <v>109</v>
      </c>
      <c r="B6785" s="96" t="s">
        <v>7422</v>
      </c>
      <c r="C6785" s="22" t="s">
        <v>3237</v>
      </c>
      <c r="D6785" s="22" t="s">
        <v>7585</v>
      </c>
      <c r="E6785" s="23" t="s">
        <v>8849</v>
      </c>
      <c r="F6785" s="24" t="s">
        <v>8850</v>
      </c>
      <c r="G6785" s="24" t="s">
        <v>31</v>
      </c>
      <c r="H6785" s="25" t="s">
        <v>8851</v>
      </c>
      <c r="I6785" s="46" t="e">
        <f>VLOOKUP(H6785,'合同高级查询数据-4月返'!A:A,1,FALSE)</f>
        <v>#N/A</v>
      </c>
      <c r="J6785" s="47" t="s">
        <v>33</v>
      </c>
      <c r="K6785" s="24" t="s">
        <v>7622</v>
      </c>
      <c r="L6785" s="109" t="s">
        <v>8852</v>
      </c>
      <c r="M6785" s="49" t="s">
        <v>8853</v>
      </c>
      <c r="N6785" s="50">
        <v>44409</v>
      </c>
      <c r="O6785" s="22" t="s">
        <v>37</v>
      </c>
      <c r="P6785" s="52">
        <v>50</v>
      </c>
      <c r="Q6785" s="70">
        <v>160</v>
      </c>
      <c r="R6785" s="52">
        <f t="shared" si="196"/>
        <v>8000</v>
      </c>
      <c r="S6785" s="47">
        <v>202304</v>
      </c>
      <c r="T6785" s="123" t="s">
        <v>8854</v>
      </c>
      <c r="U6785" s="97"/>
      <c r="V6785" s="453"/>
      <c r="W6785" s="453"/>
      <c r="X6785" s="50">
        <v>44409</v>
      </c>
      <c r="Y6785" s="50">
        <v>44773</v>
      </c>
    </row>
    <row r="6786" s="5" customFormat="1" customHeight="1" spans="1:25">
      <c r="A6786" s="21" t="s">
        <v>109</v>
      </c>
      <c r="B6786" s="96" t="s">
        <v>7422</v>
      </c>
      <c r="C6786" s="22" t="s">
        <v>3237</v>
      </c>
      <c r="D6786" s="22" t="s">
        <v>7585</v>
      </c>
      <c r="E6786" s="23" t="s">
        <v>8849</v>
      </c>
      <c r="F6786" s="24" t="s">
        <v>8850</v>
      </c>
      <c r="G6786" s="24" t="s">
        <v>31</v>
      </c>
      <c r="H6786" s="25" t="s">
        <v>8851</v>
      </c>
      <c r="I6786" s="46" t="e">
        <f>VLOOKUP(H6786,'合同高级查询数据-4月返'!A:A,1,FALSE)</f>
        <v>#N/A</v>
      </c>
      <c r="J6786" s="47" t="s">
        <v>33</v>
      </c>
      <c r="K6786" s="24" t="s">
        <v>7622</v>
      </c>
      <c r="L6786" s="109" t="s">
        <v>8852</v>
      </c>
      <c r="M6786" s="49" t="s">
        <v>8853</v>
      </c>
      <c r="N6786" s="50">
        <v>44561</v>
      </c>
      <c r="O6786" s="22" t="s">
        <v>37</v>
      </c>
      <c r="P6786" s="52">
        <v>0</v>
      </c>
      <c r="Q6786" s="70">
        <v>-128</v>
      </c>
      <c r="R6786" s="52">
        <f t="shared" si="196"/>
        <v>0</v>
      </c>
      <c r="S6786" s="47">
        <v>202304</v>
      </c>
      <c r="T6786" s="123" t="s">
        <v>7758</v>
      </c>
      <c r="U6786" s="97"/>
      <c r="V6786" s="453"/>
      <c r="W6786" s="453"/>
      <c r="X6786" s="50">
        <v>44409</v>
      </c>
      <c r="Y6786" s="50">
        <v>44773</v>
      </c>
    </row>
    <row r="6787" s="5" customFormat="1" customHeight="1" spans="1:25">
      <c r="A6787" s="21" t="s">
        <v>109</v>
      </c>
      <c r="B6787" s="96" t="s">
        <v>7422</v>
      </c>
      <c r="C6787" s="22" t="s">
        <v>3237</v>
      </c>
      <c r="D6787" s="22" t="s">
        <v>7585</v>
      </c>
      <c r="E6787" s="23" t="s">
        <v>8849</v>
      </c>
      <c r="F6787" s="24" t="s">
        <v>8850</v>
      </c>
      <c r="G6787" s="24" t="s">
        <v>31</v>
      </c>
      <c r="H6787" s="25" t="s">
        <v>8851</v>
      </c>
      <c r="I6787" s="46" t="e">
        <f>VLOOKUP(H6787,'合同高级查询数据-4月返'!A:A,1,FALSE)</f>
        <v>#N/A</v>
      </c>
      <c r="J6787" s="47" t="s">
        <v>33</v>
      </c>
      <c r="K6787" s="24" t="s">
        <v>7622</v>
      </c>
      <c r="L6787" s="109" t="s">
        <v>8852</v>
      </c>
      <c r="M6787" s="49" t="s">
        <v>8853</v>
      </c>
      <c r="N6787" s="50">
        <v>44561</v>
      </c>
      <c r="O6787" s="22" t="s">
        <v>37</v>
      </c>
      <c r="P6787" s="52">
        <v>50</v>
      </c>
      <c r="Q6787" s="70">
        <v>-160</v>
      </c>
      <c r="R6787" s="52">
        <f t="shared" si="196"/>
        <v>-8000</v>
      </c>
      <c r="S6787" s="47">
        <v>202304</v>
      </c>
      <c r="T6787" s="123" t="s">
        <v>7758</v>
      </c>
      <c r="U6787" s="97"/>
      <c r="V6787" s="453"/>
      <c r="W6787" s="453"/>
      <c r="X6787" s="50">
        <v>44409</v>
      </c>
      <c r="Y6787" s="50">
        <v>44773</v>
      </c>
    </row>
    <row r="6788" s="5" customFormat="1" customHeight="1" spans="1:25">
      <c r="A6788" s="21" t="s">
        <v>109</v>
      </c>
      <c r="B6788" s="96" t="s">
        <v>7422</v>
      </c>
      <c r="C6788" s="22" t="s">
        <v>3237</v>
      </c>
      <c r="D6788" s="22" t="s">
        <v>7585</v>
      </c>
      <c r="E6788" s="23" t="s">
        <v>8849</v>
      </c>
      <c r="F6788" s="24" t="s">
        <v>8850</v>
      </c>
      <c r="G6788" s="24" t="s">
        <v>31</v>
      </c>
      <c r="H6788" s="25" t="s">
        <v>8851</v>
      </c>
      <c r="I6788" s="46" t="e">
        <f>VLOOKUP(H6788,'合同高级查询数据-4月返'!A:A,1,FALSE)</f>
        <v>#N/A</v>
      </c>
      <c r="J6788" s="47" t="s">
        <v>33</v>
      </c>
      <c r="K6788" s="24" t="s">
        <v>7622</v>
      </c>
      <c r="L6788" s="109" t="s">
        <v>8852</v>
      </c>
      <c r="M6788" s="49" t="s">
        <v>8853</v>
      </c>
      <c r="N6788" s="50"/>
      <c r="O6788" s="22" t="s">
        <v>179</v>
      </c>
      <c r="P6788" s="52">
        <v>0</v>
      </c>
      <c r="Q6788" s="52">
        <v>0</v>
      </c>
      <c r="R6788" s="52">
        <f t="shared" si="196"/>
        <v>0</v>
      </c>
      <c r="S6788" s="47">
        <v>202304</v>
      </c>
      <c r="T6788" s="123" t="s">
        <v>8855</v>
      </c>
      <c r="U6788" s="97"/>
      <c r="V6788" s="453"/>
      <c r="W6788" s="453"/>
      <c r="X6788" s="50">
        <v>44409</v>
      </c>
      <c r="Y6788" s="50">
        <v>44773</v>
      </c>
    </row>
    <row r="6789" s="5" customFormat="1" customHeight="1" spans="1:25">
      <c r="A6789" s="21" t="s">
        <v>109</v>
      </c>
      <c r="B6789" s="96" t="s">
        <v>7422</v>
      </c>
      <c r="C6789" s="22" t="s">
        <v>3237</v>
      </c>
      <c r="D6789" s="22" t="s">
        <v>7585</v>
      </c>
      <c r="E6789" s="23" t="s">
        <v>8849</v>
      </c>
      <c r="F6789" s="24" t="s">
        <v>8850</v>
      </c>
      <c r="G6789" s="24" t="s">
        <v>88</v>
      </c>
      <c r="H6789" s="25" t="s">
        <v>8851</v>
      </c>
      <c r="I6789" s="46" t="e">
        <f>VLOOKUP(H6789,'合同高级查询数据-4月返'!A:A,1,FALSE)</f>
        <v>#N/A</v>
      </c>
      <c r="J6789" s="47" t="s">
        <v>162</v>
      </c>
      <c r="K6789" s="24" t="s">
        <v>7622</v>
      </c>
      <c r="L6789" s="109" t="s">
        <v>8852</v>
      </c>
      <c r="M6789" s="49" t="s">
        <v>8853</v>
      </c>
      <c r="N6789" s="50">
        <v>44409</v>
      </c>
      <c r="O6789" s="22" t="s">
        <v>1535</v>
      </c>
      <c r="P6789" s="52">
        <v>4500</v>
      </c>
      <c r="Q6789" s="70">
        <v>4</v>
      </c>
      <c r="R6789" s="52">
        <f t="shared" si="196"/>
        <v>18000</v>
      </c>
      <c r="S6789" s="47">
        <v>202304</v>
      </c>
      <c r="T6789" s="123" t="s">
        <v>8856</v>
      </c>
      <c r="U6789" s="97"/>
      <c r="V6789" s="453"/>
      <c r="W6789" s="453"/>
      <c r="X6789" s="50">
        <v>44409</v>
      </c>
      <c r="Y6789" s="50">
        <v>44773</v>
      </c>
    </row>
    <row r="6790" s="5" customFormat="1" customHeight="1" spans="1:25">
      <c r="A6790" s="21" t="s">
        <v>109</v>
      </c>
      <c r="B6790" s="96" t="s">
        <v>7422</v>
      </c>
      <c r="C6790" s="22" t="s">
        <v>3237</v>
      </c>
      <c r="D6790" s="22" t="s">
        <v>7585</v>
      </c>
      <c r="E6790" s="23" t="s">
        <v>8849</v>
      </c>
      <c r="F6790" s="24" t="s">
        <v>8850</v>
      </c>
      <c r="G6790" s="24" t="s">
        <v>88</v>
      </c>
      <c r="H6790" s="25" t="s">
        <v>8851</v>
      </c>
      <c r="I6790" s="46" t="e">
        <f>VLOOKUP(H6790,'合同高级查询数据-4月返'!A:A,1,FALSE)</f>
        <v>#N/A</v>
      </c>
      <c r="J6790" s="47" t="s">
        <v>162</v>
      </c>
      <c r="K6790" s="24" t="s">
        <v>7622</v>
      </c>
      <c r="L6790" s="109" t="s">
        <v>8852</v>
      </c>
      <c r="M6790" s="49" t="s">
        <v>8853</v>
      </c>
      <c r="N6790" s="50">
        <v>44561</v>
      </c>
      <c r="O6790" s="22" t="s">
        <v>1535</v>
      </c>
      <c r="P6790" s="52">
        <v>4500</v>
      </c>
      <c r="Q6790" s="70">
        <v>-4</v>
      </c>
      <c r="R6790" s="52">
        <f t="shared" si="196"/>
        <v>-18000</v>
      </c>
      <c r="S6790" s="47">
        <v>202304</v>
      </c>
      <c r="T6790" s="123" t="s">
        <v>8857</v>
      </c>
      <c r="U6790" s="97"/>
      <c r="V6790" s="453"/>
      <c r="W6790" s="453"/>
      <c r="X6790" s="50">
        <v>44409</v>
      </c>
      <c r="Y6790" s="50">
        <v>44773</v>
      </c>
    </row>
    <row r="6791" s="5" customFormat="1" customHeight="1" spans="1:25">
      <c r="A6791" s="24" t="s">
        <v>109</v>
      </c>
      <c r="B6791" s="96" t="s">
        <v>7422</v>
      </c>
      <c r="C6791" s="22" t="s">
        <v>512</v>
      </c>
      <c r="D6791" s="22" t="s">
        <v>7655</v>
      </c>
      <c r="E6791" s="23" t="s">
        <v>8858</v>
      </c>
      <c r="F6791" s="24" t="s">
        <v>8859</v>
      </c>
      <c r="G6791" s="24" t="s">
        <v>31</v>
      </c>
      <c r="H6791" s="25" t="s">
        <v>8860</v>
      </c>
      <c r="I6791" s="46" t="e">
        <f>VLOOKUP(H6791,'合同高级查询数据-4月返'!A:A,1,FALSE)</f>
        <v>#N/A</v>
      </c>
      <c r="J6791" s="47" t="s">
        <v>33</v>
      </c>
      <c r="K6791" s="24" t="s">
        <v>516</v>
      </c>
      <c r="L6791" s="109" t="s">
        <v>8861</v>
      </c>
      <c r="M6791" s="49" t="s">
        <v>8585</v>
      </c>
      <c r="N6791" s="50">
        <v>44409</v>
      </c>
      <c r="O6791" s="22" t="s">
        <v>37</v>
      </c>
      <c r="P6791" s="52">
        <v>0</v>
      </c>
      <c r="Q6791" s="70">
        <v>1000</v>
      </c>
      <c r="R6791" s="52">
        <f t="shared" si="196"/>
        <v>0</v>
      </c>
      <c r="S6791" s="47">
        <v>202304</v>
      </c>
      <c r="T6791" s="123" t="s">
        <v>8862</v>
      </c>
      <c r="U6791" s="97"/>
      <c r="V6791" s="453"/>
      <c r="W6791" s="453"/>
      <c r="X6791" s="50">
        <v>44409</v>
      </c>
      <c r="Y6791" s="50">
        <v>44773</v>
      </c>
    </row>
    <row r="6792" s="5" customFormat="1" customHeight="1" spans="1:25">
      <c r="A6792" s="24" t="s">
        <v>109</v>
      </c>
      <c r="B6792" s="96" t="s">
        <v>7422</v>
      </c>
      <c r="C6792" s="22" t="s">
        <v>512</v>
      </c>
      <c r="D6792" s="22" t="s">
        <v>7655</v>
      </c>
      <c r="E6792" s="23" t="s">
        <v>8858</v>
      </c>
      <c r="F6792" s="24" t="s">
        <v>8859</v>
      </c>
      <c r="G6792" s="24" t="s">
        <v>31</v>
      </c>
      <c r="H6792" s="25" t="s">
        <v>8860</v>
      </c>
      <c r="I6792" s="46" t="e">
        <f>VLOOKUP(H6792,'合同高级查询数据-4月返'!A:A,1,FALSE)</f>
        <v>#N/A</v>
      </c>
      <c r="J6792" s="47" t="s">
        <v>33</v>
      </c>
      <c r="K6792" s="24" t="s">
        <v>516</v>
      </c>
      <c r="L6792" s="109" t="s">
        <v>8861</v>
      </c>
      <c r="M6792" s="49" t="s">
        <v>8585</v>
      </c>
      <c r="N6792" s="50"/>
      <c r="O6792" s="22" t="s">
        <v>179</v>
      </c>
      <c r="P6792" s="52">
        <v>0</v>
      </c>
      <c r="Q6792" s="52">
        <v>0</v>
      </c>
      <c r="R6792" s="52">
        <f t="shared" si="196"/>
        <v>0</v>
      </c>
      <c r="S6792" s="47">
        <v>202304</v>
      </c>
      <c r="T6792" s="123" t="s">
        <v>8863</v>
      </c>
      <c r="U6792" s="97"/>
      <c r="V6792" s="453"/>
      <c r="W6792" s="453"/>
      <c r="X6792" s="50">
        <v>44409</v>
      </c>
      <c r="Y6792" s="50">
        <v>44773</v>
      </c>
    </row>
    <row r="6793" s="5" customFormat="1" customHeight="1" spans="1:25">
      <c r="A6793" s="24" t="s">
        <v>109</v>
      </c>
      <c r="B6793" s="96" t="s">
        <v>7422</v>
      </c>
      <c r="C6793" s="22" t="s">
        <v>512</v>
      </c>
      <c r="D6793" s="22" t="s">
        <v>7655</v>
      </c>
      <c r="E6793" s="23" t="s">
        <v>8858</v>
      </c>
      <c r="F6793" s="24" t="s">
        <v>8859</v>
      </c>
      <c r="G6793" s="24" t="s">
        <v>88</v>
      </c>
      <c r="H6793" s="25" t="s">
        <v>8860</v>
      </c>
      <c r="I6793" s="46" t="e">
        <f>VLOOKUP(H6793,'合同高级查询数据-4月返'!A:A,1,FALSE)</f>
        <v>#N/A</v>
      </c>
      <c r="J6793" s="47" t="s">
        <v>162</v>
      </c>
      <c r="K6793" s="24" t="s">
        <v>516</v>
      </c>
      <c r="L6793" s="109" t="s">
        <v>8861</v>
      </c>
      <c r="M6793" s="49" t="s">
        <v>8585</v>
      </c>
      <c r="N6793" s="50">
        <v>44409</v>
      </c>
      <c r="O6793" s="22" t="s">
        <v>92</v>
      </c>
      <c r="P6793" s="52">
        <v>5500</v>
      </c>
      <c r="Q6793" s="70">
        <v>10</v>
      </c>
      <c r="R6793" s="52">
        <f t="shared" si="196"/>
        <v>55000</v>
      </c>
      <c r="S6793" s="47">
        <v>202304</v>
      </c>
      <c r="T6793" s="123" t="s">
        <v>8864</v>
      </c>
      <c r="U6793" s="97"/>
      <c r="V6793" s="453"/>
      <c r="W6793" s="453"/>
      <c r="X6793" s="50">
        <v>44409</v>
      </c>
      <c r="Y6793" s="50">
        <v>44773</v>
      </c>
    </row>
    <row r="6794" s="5" customFormat="1" customHeight="1" spans="1:25">
      <c r="A6794" s="24" t="s">
        <v>109</v>
      </c>
      <c r="B6794" s="96" t="s">
        <v>7422</v>
      </c>
      <c r="C6794" s="22" t="s">
        <v>512</v>
      </c>
      <c r="D6794" s="22" t="s">
        <v>7655</v>
      </c>
      <c r="E6794" s="23" t="s">
        <v>8858</v>
      </c>
      <c r="F6794" s="24" t="s">
        <v>8859</v>
      </c>
      <c r="G6794" s="24" t="s">
        <v>88</v>
      </c>
      <c r="H6794" s="25" t="s">
        <v>8860</v>
      </c>
      <c r="I6794" s="46" t="e">
        <f>VLOOKUP(H6794,'合同高级查询数据-4月返'!A:A,1,FALSE)</f>
        <v>#N/A</v>
      </c>
      <c r="J6794" s="47" t="s">
        <v>162</v>
      </c>
      <c r="K6794" s="24" t="s">
        <v>516</v>
      </c>
      <c r="L6794" s="109" t="s">
        <v>8861</v>
      </c>
      <c r="M6794" s="49" t="s">
        <v>8585</v>
      </c>
      <c r="N6794" s="50">
        <v>44712</v>
      </c>
      <c r="O6794" s="22" t="s">
        <v>92</v>
      </c>
      <c r="P6794" s="52">
        <v>5500</v>
      </c>
      <c r="Q6794" s="70">
        <v>-10</v>
      </c>
      <c r="R6794" s="52">
        <f t="shared" si="196"/>
        <v>-55000</v>
      </c>
      <c r="S6794" s="47">
        <v>202304</v>
      </c>
      <c r="T6794" s="123" t="s">
        <v>8865</v>
      </c>
      <c r="U6794" s="97"/>
      <c r="V6794" s="453"/>
      <c r="W6794" s="453"/>
      <c r="X6794" s="50">
        <v>44409</v>
      </c>
      <c r="Y6794" s="50">
        <v>44773</v>
      </c>
    </row>
    <row r="6795" s="5" customFormat="1" customHeight="1" spans="1:25">
      <c r="A6795" s="24" t="s">
        <v>109</v>
      </c>
      <c r="B6795" s="96" t="s">
        <v>7422</v>
      </c>
      <c r="C6795" s="96" t="s">
        <v>512</v>
      </c>
      <c r="D6795" s="22" t="s">
        <v>7655</v>
      </c>
      <c r="E6795" s="23" t="s">
        <v>8858</v>
      </c>
      <c r="F6795" s="24" t="s">
        <v>8859</v>
      </c>
      <c r="G6795" s="24" t="s">
        <v>31</v>
      </c>
      <c r="H6795" s="25" t="s">
        <v>8860</v>
      </c>
      <c r="I6795" s="46" t="e">
        <f>VLOOKUP(H6795,'合同高级查询数据-4月返'!A:A,1,FALSE)</f>
        <v>#N/A</v>
      </c>
      <c r="J6795" s="47" t="s">
        <v>33</v>
      </c>
      <c r="K6795" s="24" t="s">
        <v>516</v>
      </c>
      <c r="L6795" s="109" t="s">
        <v>8866</v>
      </c>
      <c r="M6795" s="49" t="s">
        <v>8867</v>
      </c>
      <c r="N6795" s="50">
        <v>44440</v>
      </c>
      <c r="O6795" s="22" t="s">
        <v>37</v>
      </c>
      <c r="P6795" s="52">
        <v>0</v>
      </c>
      <c r="Q6795" s="70">
        <v>1000</v>
      </c>
      <c r="R6795" s="52">
        <f t="shared" si="196"/>
        <v>0</v>
      </c>
      <c r="S6795" s="47">
        <v>202304</v>
      </c>
      <c r="T6795" s="123" t="s">
        <v>8868</v>
      </c>
      <c r="U6795" s="97"/>
      <c r="V6795" s="453"/>
      <c r="W6795" s="453"/>
      <c r="X6795" s="50">
        <v>44409</v>
      </c>
      <c r="Y6795" s="50">
        <v>44773</v>
      </c>
    </row>
    <row r="6796" s="5" customFormat="1" customHeight="1" spans="1:25">
      <c r="A6796" s="24" t="s">
        <v>109</v>
      </c>
      <c r="B6796" s="96" t="s">
        <v>7422</v>
      </c>
      <c r="C6796" s="96" t="s">
        <v>512</v>
      </c>
      <c r="D6796" s="22" t="s">
        <v>7655</v>
      </c>
      <c r="E6796" s="23" t="s">
        <v>8858</v>
      </c>
      <c r="F6796" s="24" t="s">
        <v>8859</v>
      </c>
      <c r="G6796" s="24" t="s">
        <v>31</v>
      </c>
      <c r="H6796" s="25" t="s">
        <v>8860</v>
      </c>
      <c r="I6796" s="46" t="e">
        <f>VLOOKUP(H6796,'合同高级查询数据-4月返'!A:A,1,FALSE)</f>
        <v>#N/A</v>
      </c>
      <c r="J6796" s="47" t="s">
        <v>33</v>
      </c>
      <c r="K6796" s="24" t="s">
        <v>516</v>
      </c>
      <c r="L6796" s="109" t="s">
        <v>8866</v>
      </c>
      <c r="M6796" s="49" t="s">
        <v>8867</v>
      </c>
      <c r="N6796" s="50"/>
      <c r="O6796" s="22" t="s">
        <v>179</v>
      </c>
      <c r="P6796" s="52">
        <v>0</v>
      </c>
      <c r="Q6796" s="52">
        <v>0</v>
      </c>
      <c r="R6796" s="52">
        <f t="shared" si="196"/>
        <v>0</v>
      </c>
      <c r="S6796" s="47">
        <v>202304</v>
      </c>
      <c r="T6796" s="123" t="s">
        <v>8863</v>
      </c>
      <c r="U6796" s="97"/>
      <c r="V6796" s="453"/>
      <c r="W6796" s="453"/>
      <c r="X6796" s="50">
        <v>44409</v>
      </c>
      <c r="Y6796" s="50">
        <v>44773</v>
      </c>
    </row>
    <row r="6797" s="5" customFormat="1" customHeight="1" spans="1:25">
      <c r="A6797" s="24" t="s">
        <v>109</v>
      </c>
      <c r="B6797" s="96" t="s">
        <v>7422</v>
      </c>
      <c r="C6797" s="96" t="s">
        <v>512</v>
      </c>
      <c r="D6797" s="22" t="s">
        <v>7655</v>
      </c>
      <c r="E6797" s="23" t="s">
        <v>8858</v>
      </c>
      <c r="F6797" s="24" t="s">
        <v>8859</v>
      </c>
      <c r="G6797" s="24" t="s">
        <v>88</v>
      </c>
      <c r="H6797" s="25" t="s">
        <v>8860</v>
      </c>
      <c r="I6797" s="46" t="e">
        <f>VLOOKUP(H6797,'合同高级查询数据-4月返'!A:A,1,FALSE)</f>
        <v>#N/A</v>
      </c>
      <c r="J6797" s="47" t="s">
        <v>162</v>
      </c>
      <c r="K6797" s="24" t="s">
        <v>516</v>
      </c>
      <c r="L6797" s="109" t="s">
        <v>8866</v>
      </c>
      <c r="M6797" s="49" t="s">
        <v>8867</v>
      </c>
      <c r="N6797" s="50">
        <v>44440</v>
      </c>
      <c r="O6797" s="22" t="s">
        <v>92</v>
      </c>
      <c r="P6797" s="52">
        <v>5500</v>
      </c>
      <c r="Q6797" s="70">
        <v>6</v>
      </c>
      <c r="R6797" s="52">
        <f t="shared" si="196"/>
        <v>33000</v>
      </c>
      <c r="S6797" s="47">
        <v>202304</v>
      </c>
      <c r="T6797" s="123" t="s">
        <v>8869</v>
      </c>
      <c r="U6797" s="97"/>
      <c r="V6797" s="453"/>
      <c r="W6797" s="453"/>
      <c r="X6797" s="50">
        <v>44409</v>
      </c>
      <c r="Y6797" s="50">
        <v>44773</v>
      </c>
    </row>
    <row r="6798" s="5" customFormat="1" customHeight="1" spans="1:25">
      <c r="A6798" s="24" t="s">
        <v>109</v>
      </c>
      <c r="B6798" s="96" t="s">
        <v>7422</v>
      </c>
      <c r="C6798" s="96" t="s">
        <v>512</v>
      </c>
      <c r="D6798" s="22" t="s">
        <v>7655</v>
      </c>
      <c r="E6798" s="23" t="s">
        <v>8858</v>
      </c>
      <c r="F6798" s="24" t="s">
        <v>8859</v>
      </c>
      <c r="G6798" s="24" t="s">
        <v>88</v>
      </c>
      <c r="H6798" s="25" t="s">
        <v>8860</v>
      </c>
      <c r="I6798" s="46" t="e">
        <f>VLOOKUP(H6798,'合同高级查询数据-4月返'!A:A,1,FALSE)</f>
        <v>#N/A</v>
      </c>
      <c r="J6798" s="47" t="s">
        <v>162</v>
      </c>
      <c r="K6798" s="24" t="s">
        <v>516</v>
      </c>
      <c r="L6798" s="109" t="s">
        <v>8866</v>
      </c>
      <c r="M6798" s="49" t="s">
        <v>8867</v>
      </c>
      <c r="N6798" s="50">
        <v>44440</v>
      </c>
      <c r="O6798" s="22" t="s">
        <v>92</v>
      </c>
      <c r="P6798" s="52">
        <v>5500</v>
      </c>
      <c r="Q6798" s="70">
        <v>-6</v>
      </c>
      <c r="R6798" s="52">
        <f t="shared" si="196"/>
        <v>-33000</v>
      </c>
      <c r="S6798" s="47">
        <v>202304</v>
      </c>
      <c r="T6798" s="123" t="s">
        <v>8870</v>
      </c>
      <c r="U6798" s="97"/>
      <c r="V6798" s="453"/>
      <c r="W6798" s="453"/>
      <c r="X6798" s="50">
        <v>44409</v>
      </c>
      <c r="Y6798" s="50">
        <v>44773</v>
      </c>
    </row>
    <row r="6799" s="5" customFormat="1" customHeight="1" spans="1:25">
      <c r="A6799" s="24" t="s">
        <v>109</v>
      </c>
      <c r="B6799" s="96" t="s">
        <v>7422</v>
      </c>
      <c r="C6799" s="96" t="s">
        <v>512</v>
      </c>
      <c r="D6799" s="22" t="s">
        <v>7655</v>
      </c>
      <c r="E6799" s="23" t="s">
        <v>8858</v>
      </c>
      <c r="F6799" s="24" t="s">
        <v>8859</v>
      </c>
      <c r="G6799" s="24" t="s">
        <v>88</v>
      </c>
      <c r="H6799" s="25" t="s">
        <v>8860</v>
      </c>
      <c r="I6799" s="46" t="e">
        <f>VLOOKUP(H6799,'合同高级查询数据-4月返'!A:A,1,FALSE)</f>
        <v>#N/A</v>
      </c>
      <c r="J6799" s="47" t="s">
        <v>162</v>
      </c>
      <c r="K6799" s="24" t="s">
        <v>516</v>
      </c>
      <c r="L6799" s="109" t="s">
        <v>8866</v>
      </c>
      <c r="M6799" s="49" t="s">
        <v>8867</v>
      </c>
      <c r="N6799" s="50">
        <v>44440</v>
      </c>
      <c r="O6799" s="22" t="s">
        <v>92</v>
      </c>
      <c r="P6799" s="52">
        <v>5500</v>
      </c>
      <c r="Q6799" s="70">
        <v>5</v>
      </c>
      <c r="R6799" s="52">
        <f t="shared" si="196"/>
        <v>27500</v>
      </c>
      <c r="S6799" s="47">
        <v>202304</v>
      </c>
      <c r="T6799" s="123" t="s">
        <v>8871</v>
      </c>
      <c r="U6799" s="97"/>
      <c r="V6799" s="453"/>
      <c r="W6799" s="453"/>
      <c r="X6799" s="50">
        <v>44409</v>
      </c>
      <c r="Y6799" s="50">
        <v>44773</v>
      </c>
    </row>
    <row r="6800" s="5" customFormat="1" customHeight="1" spans="1:25">
      <c r="A6800" s="24" t="s">
        <v>109</v>
      </c>
      <c r="B6800" s="96" t="s">
        <v>7422</v>
      </c>
      <c r="C6800" s="96" t="s">
        <v>512</v>
      </c>
      <c r="D6800" s="22" t="s">
        <v>7655</v>
      </c>
      <c r="E6800" s="23" t="s">
        <v>8858</v>
      </c>
      <c r="F6800" s="24" t="s">
        <v>8859</v>
      </c>
      <c r="G6800" s="24" t="s">
        <v>88</v>
      </c>
      <c r="H6800" s="25" t="s">
        <v>8860</v>
      </c>
      <c r="I6800" s="46" t="e">
        <f>VLOOKUP(H6800,'合同高级查询数据-4月返'!A:A,1,FALSE)</f>
        <v>#N/A</v>
      </c>
      <c r="J6800" s="47" t="s">
        <v>162</v>
      </c>
      <c r="K6800" s="24" t="s">
        <v>516</v>
      </c>
      <c r="L6800" s="109" t="s">
        <v>8866</v>
      </c>
      <c r="M6800" s="49" t="s">
        <v>8867</v>
      </c>
      <c r="N6800" s="50">
        <v>44712</v>
      </c>
      <c r="O6800" s="22" t="s">
        <v>92</v>
      </c>
      <c r="P6800" s="52">
        <v>5500</v>
      </c>
      <c r="Q6800" s="70">
        <v>-5</v>
      </c>
      <c r="R6800" s="52">
        <f t="shared" si="196"/>
        <v>-27500</v>
      </c>
      <c r="S6800" s="47">
        <v>202304</v>
      </c>
      <c r="T6800" s="123" t="s">
        <v>8872</v>
      </c>
      <c r="U6800" s="97"/>
      <c r="V6800" s="453"/>
      <c r="W6800" s="453"/>
      <c r="X6800" s="50">
        <v>44409</v>
      </c>
      <c r="Y6800" s="73">
        <v>44773</v>
      </c>
    </row>
    <row r="6801" s="5" customFormat="1" customHeight="1" spans="1:25">
      <c r="A6801" s="24" t="s">
        <v>152</v>
      </c>
      <c r="B6801" s="22" t="s">
        <v>7422</v>
      </c>
      <c r="C6801" s="22" t="s">
        <v>512</v>
      </c>
      <c r="D6801" s="22" t="s">
        <v>7655</v>
      </c>
      <c r="E6801" s="23" t="s">
        <v>8873</v>
      </c>
      <c r="F6801" s="24" t="s">
        <v>8874</v>
      </c>
      <c r="G6801" s="24" t="s">
        <v>31</v>
      </c>
      <c r="H6801" s="25" t="s">
        <v>8875</v>
      </c>
      <c r="I6801" s="46" t="e">
        <f>VLOOKUP(H6801,'合同高级查询数据-4月返'!A:A,1,FALSE)</f>
        <v>#N/A</v>
      </c>
      <c r="J6801" s="47" t="s">
        <v>33</v>
      </c>
      <c r="K6801" s="24" t="s">
        <v>8876</v>
      </c>
      <c r="L6801" s="109" t="s">
        <v>8877</v>
      </c>
      <c r="M6801" s="49" t="s">
        <v>8878</v>
      </c>
      <c r="N6801" s="50">
        <v>44440</v>
      </c>
      <c r="O6801" s="22" t="s">
        <v>37</v>
      </c>
      <c r="P6801" s="52">
        <v>0</v>
      </c>
      <c r="Q6801" s="70">
        <v>128</v>
      </c>
      <c r="R6801" s="52">
        <f t="shared" si="196"/>
        <v>0</v>
      </c>
      <c r="S6801" s="47">
        <v>202304</v>
      </c>
      <c r="T6801" s="123" t="s">
        <v>8879</v>
      </c>
      <c r="U6801" s="97"/>
      <c r="V6801" s="453"/>
      <c r="W6801" s="453"/>
      <c r="X6801" s="267">
        <v>44440</v>
      </c>
      <c r="Y6801" s="267">
        <v>44804</v>
      </c>
    </row>
    <row r="6802" s="5" customFormat="1" customHeight="1" spans="1:25">
      <c r="A6802" s="24" t="s">
        <v>152</v>
      </c>
      <c r="B6802" s="22" t="s">
        <v>7422</v>
      </c>
      <c r="C6802" s="22" t="s">
        <v>512</v>
      </c>
      <c r="D6802" s="22" t="s">
        <v>7655</v>
      </c>
      <c r="E6802" s="23" t="s">
        <v>8873</v>
      </c>
      <c r="F6802" s="24" t="s">
        <v>8874</v>
      </c>
      <c r="G6802" s="24" t="s">
        <v>31</v>
      </c>
      <c r="H6802" s="25" t="s">
        <v>8875</v>
      </c>
      <c r="I6802" s="46" t="e">
        <f>VLOOKUP(H6802,'合同高级查询数据-4月返'!A:A,1,FALSE)</f>
        <v>#N/A</v>
      </c>
      <c r="J6802" s="47" t="s">
        <v>33</v>
      </c>
      <c r="K6802" s="24" t="s">
        <v>8876</v>
      </c>
      <c r="L6802" s="109" t="s">
        <v>8877</v>
      </c>
      <c r="M6802" s="49" t="s">
        <v>8878</v>
      </c>
      <c r="N6802" s="50">
        <v>44651</v>
      </c>
      <c r="O6802" s="22" t="s">
        <v>37</v>
      </c>
      <c r="P6802" s="52">
        <v>0</v>
      </c>
      <c r="Q6802" s="70">
        <v>-128</v>
      </c>
      <c r="R6802" s="52">
        <f t="shared" si="196"/>
        <v>0</v>
      </c>
      <c r="S6802" s="47">
        <v>202304</v>
      </c>
      <c r="T6802" s="123" t="s">
        <v>8880</v>
      </c>
      <c r="U6802" s="97"/>
      <c r="V6802" s="453"/>
      <c r="W6802" s="453"/>
      <c r="X6802" s="267">
        <v>44440</v>
      </c>
      <c r="Y6802" s="267">
        <v>44804</v>
      </c>
    </row>
    <row r="6803" s="5" customFormat="1" customHeight="1" spans="1:25">
      <c r="A6803" s="24" t="s">
        <v>152</v>
      </c>
      <c r="B6803" s="22" t="s">
        <v>7422</v>
      </c>
      <c r="C6803" s="22" t="s">
        <v>512</v>
      </c>
      <c r="D6803" s="22" t="s">
        <v>7655</v>
      </c>
      <c r="E6803" s="23" t="s">
        <v>8873</v>
      </c>
      <c r="F6803" s="24" t="s">
        <v>8874</v>
      </c>
      <c r="G6803" s="24" t="s">
        <v>88</v>
      </c>
      <c r="H6803" s="25" t="s">
        <v>8875</v>
      </c>
      <c r="I6803" s="46" t="e">
        <f>VLOOKUP(H6803,'合同高级查询数据-4月返'!A:A,1,FALSE)</f>
        <v>#N/A</v>
      </c>
      <c r="J6803" s="47" t="s">
        <v>162</v>
      </c>
      <c r="K6803" s="24" t="s">
        <v>8876</v>
      </c>
      <c r="L6803" s="109" t="s">
        <v>8877</v>
      </c>
      <c r="M6803" s="49" t="s">
        <v>8878</v>
      </c>
      <c r="N6803" s="50">
        <v>44440</v>
      </c>
      <c r="O6803" s="22" t="s">
        <v>92</v>
      </c>
      <c r="P6803" s="52">
        <v>4000</v>
      </c>
      <c r="Q6803" s="70">
        <v>2</v>
      </c>
      <c r="R6803" s="52">
        <f t="shared" si="196"/>
        <v>8000</v>
      </c>
      <c r="S6803" s="47">
        <v>202304</v>
      </c>
      <c r="T6803" s="123" t="s">
        <v>8881</v>
      </c>
      <c r="U6803" s="97"/>
      <c r="V6803" s="453"/>
      <c r="W6803" s="453"/>
      <c r="X6803" s="267">
        <v>44440</v>
      </c>
      <c r="Y6803" s="267">
        <v>44804</v>
      </c>
    </row>
    <row r="6804" s="5" customFormat="1" customHeight="1" spans="1:25">
      <c r="A6804" s="24" t="s">
        <v>152</v>
      </c>
      <c r="B6804" s="22" t="s">
        <v>7422</v>
      </c>
      <c r="C6804" s="22" t="s">
        <v>512</v>
      </c>
      <c r="D6804" s="22" t="s">
        <v>7655</v>
      </c>
      <c r="E6804" s="23" t="s">
        <v>8873</v>
      </c>
      <c r="F6804" s="24" t="s">
        <v>8874</v>
      </c>
      <c r="G6804" s="24" t="s">
        <v>88</v>
      </c>
      <c r="H6804" s="25" t="s">
        <v>8875</v>
      </c>
      <c r="I6804" s="46" t="e">
        <f>VLOOKUP(H6804,'合同高级查询数据-4月返'!A:A,1,FALSE)</f>
        <v>#N/A</v>
      </c>
      <c r="J6804" s="47" t="s">
        <v>162</v>
      </c>
      <c r="K6804" s="24" t="s">
        <v>8876</v>
      </c>
      <c r="L6804" s="109" t="s">
        <v>8877</v>
      </c>
      <c r="M6804" s="49" t="s">
        <v>8878</v>
      </c>
      <c r="N6804" s="50">
        <v>44651</v>
      </c>
      <c r="O6804" s="22" t="s">
        <v>92</v>
      </c>
      <c r="P6804" s="52">
        <v>4000</v>
      </c>
      <c r="Q6804" s="70">
        <v>-2</v>
      </c>
      <c r="R6804" s="52">
        <f t="shared" si="196"/>
        <v>-8000</v>
      </c>
      <c r="S6804" s="47">
        <v>202304</v>
      </c>
      <c r="T6804" s="123" t="s">
        <v>8880</v>
      </c>
      <c r="U6804" s="97"/>
      <c r="V6804" s="453"/>
      <c r="W6804" s="453"/>
      <c r="X6804" s="267">
        <v>44440</v>
      </c>
      <c r="Y6804" s="267">
        <v>44804</v>
      </c>
    </row>
    <row r="6805" s="5" customFormat="1" customHeight="1" spans="1:25">
      <c r="A6805" s="24" t="s">
        <v>152</v>
      </c>
      <c r="B6805" s="22" t="s">
        <v>7422</v>
      </c>
      <c r="C6805" s="22" t="s">
        <v>125</v>
      </c>
      <c r="D6805" s="22" t="s">
        <v>7655</v>
      </c>
      <c r="E6805" s="23" t="s">
        <v>8882</v>
      </c>
      <c r="F6805" s="24" t="s">
        <v>8883</v>
      </c>
      <c r="G6805" s="24" t="s">
        <v>31</v>
      </c>
      <c r="H6805" s="25" t="s">
        <v>8884</v>
      </c>
      <c r="I6805" s="46" t="e">
        <f>VLOOKUP(H6805,'合同高级查询数据-4月返'!A:A,1,FALSE)</f>
        <v>#N/A</v>
      </c>
      <c r="J6805" s="47" t="s">
        <v>33</v>
      </c>
      <c r="K6805" s="24" t="s">
        <v>5652</v>
      </c>
      <c r="L6805" s="109" t="s">
        <v>8885</v>
      </c>
      <c r="M6805" s="49" t="s">
        <v>8886</v>
      </c>
      <c r="N6805" s="50">
        <v>44470</v>
      </c>
      <c r="O6805" s="22" t="s">
        <v>37</v>
      </c>
      <c r="P6805" s="52">
        <v>0</v>
      </c>
      <c r="Q6805" s="70">
        <v>224</v>
      </c>
      <c r="R6805" s="52">
        <f t="shared" si="196"/>
        <v>0</v>
      </c>
      <c r="S6805" s="47">
        <v>202304</v>
      </c>
      <c r="T6805" s="123" t="s">
        <v>8887</v>
      </c>
      <c r="U6805" s="97"/>
      <c r="V6805" s="453"/>
      <c r="W6805" s="453"/>
      <c r="X6805" s="50">
        <v>44593</v>
      </c>
      <c r="Y6805" s="50">
        <v>44957</v>
      </c>
    </row>
    <row r="6806" s="5" customFormat="1" customHeight="1" spans="1:25">
      <c r="A6806" s="24" t="s">
        <v>152</v>
      </c>
      <c r="B6806" s="22" t="s">
        <v>7422</v>
      </c>
      <c r="C6806" s="22" t="s">
        <v>125</v>
      </c>
      <c r="D6806" s="22" t="s">
        <v>7655</v>
      </c>
      <c r="E6806" s="23" t="s">
        <v>8882</v>
      </c>
      <c r="F6806" s="24" t="s">
        <v>8883</v>
      </c>
      <c r="G6806" s="24" t="s">
        <v>31</v>
      </c>
      <c r="H6806" s="25" t="s">
        <v>8884</v>
      </c>
      <c r="I6806" s="46" t="e">
        <f>VLOOKUP(H6806,'合同高级查询数据-4月返'!A:A,1,FALSE)</f>
        <v>#N/A</v>
      </c>
      <c r="J6806" s="47" t="s">
        <v>33</v>
      </c>
      <c r="K6806" s="24" t="s">
        <v>5652</v>
      </c>
      <c r="L6806" s="109" t="s">
        <v>8885</v>
      </c>
      <c r="M6806" s="49" t="s">
        <v>8886</v>
      </c>
      <c r="N6806" s="50">
        <v>44470</v>
      </c>
      <c r="O6806" s="22" t="s">
        <v>37</v>
      </c>
      <c r="P6806" s="52">
        <v>50</v>
      </c>
      <c r="Q6806" s="70">
        <v>64</v>
      </c>
      <c r="R6806" s="52">
        <f t="shared" si="196"/>
        <v>3200</v>
      </c>
      <c r="S6806" s="47">
        <v>202304</v>
      </c>
      <c r="T6806" s="123" t="s">
        <v>8887</v>
      </c>
      <c r="U6806" s="97"/>
      <c r="V6806" s="453"/>
      <c r="W6806" s="453"/>
      <c r="X6806" s="50">
        <v>44593</v>
      </c>
      <c r="Y6806" s="50">
        <v>44957</v>
      </c>
    </row>
    <row r="6807" s="5" customFormat="1" customHeight="1" spans="1:25">
      <c r="A6807" s="24" t="s">
        <v>152</v>
      </c>
      <c r="B6807" s="22" t="s">
        <v>7422</v>
      </c>
      <c r="C6807" s="22" t="s">
        <v>125</v>
      </c>
      <c r="D6807" s="22" t="s">
        <v>7655</v>
      </c>
      <c r="E6807" s="23" t="s">
        <v>8882</v>
      </c>
      <c r="F6807" s="24" t="s">
        <v>8883</v>
      </c>
      <c r="G6807" s="24" t="s">
        <v>31</v>
      </c>
      <c r="H6807" s="25" t="s">
        <v>8884</v>
      </c>
      <c r="I6807" s="46" t="e">
        <f>VLOOKUP(H6807,'合同高级查询数据-4月返'!A:A,1,FALSE)</f>
        <v>#N/A</v>
      </c>
      <c r="J6807" s="47" t="s">
        <v>33</v>
      </c>
      <c r="K6807" s="24" t="s">
        <v>5652</v>
      </c>
      <c r="L6807" s="109" t="s">
        <v>8885</v>
      </c>
      <c r="M6807" s="49" t="s">
        <v>8886</v>
      </c>
      <c r="N6807" s="50">
        <v>44712</v>
      </c>
      <c r="O6807" s="22" t="s">
        <v>37</v>
      </c>
      <c r="P6807" s="52">
        <v>0</v>
      </c>
      <c r="Q6807" s="70">
        <v>-224</v>
      </c>
      <c r="R6807" s="52">
        <f t="shared" si="196"/>
        <v>0</v>
      </c>
      <c r="S6807" s="47">
        <v>202304</v>
      </c>
      <c r="T6807" s="123" t="s">
        <v>8888</v>
      </c>
      <c r="U6807" s="97"/>
      <c r="V6807" s="453"/>
      <c r="W6807" s="453"/>
      <c r="X6807" s="50">
        <v>44593</v>
      </c>
      <c r="Y6807" s="50">
        <v>44957</v>
      </c>
    </row>
    <row r="6808" s="5" customFormat="1" customHeight="1" spans="1:25">
      <c r="A6808" s="24" t="s">
        <v>152</v>
      </c>
      <c r="B6808" s="22" t="s">
        <v>7422</v>
      </c>
      <c r="C6808" s="22" t="s">
        <v>125</v>
      </c>
      <c r="D6808" s="22" t="s">
        <v>7655</v>
      </c>
      <c r="E6808" s="23" t="s">
        <v>8882</v>
      </c>
      <c r="F6808" s="24" t="s">
        <v>8883</v>
      </c>
      <c r="G6808" s="24" t="s">
        <v>31</v>
      </c>
      <c r="H6808" s="25" t="s">
        <v>8884</v>
      </c>
      <c r="I6808" s="46" t="e">
        <f>VLOOKUP(H6808,'合同高级查询数据-4月返'!A:A,1,FALSE)</f>
        <v>#N/A</v>
      </c>
      <c r="J6808" s="47" t="s">
        <v>33</v>
      </c>
      <c r="K6808" s="24" t="s">
        <v>5652</v>
      </c>
      <c r="L6808" s="109" t="s">
        <v>8885</v>
      </c>
      <c r="M6808" s="49" t="s">
        <v>8886</v>
      </c>
      <c r="N6808" s="50">
        <v>44712</v>
      </c>
      <c r="O6808" s="22" t="s">
        <v>37</v>
      </c>
      <c r="P6808" s="52">
        <v>50</v>
      </c>
      <c r="Q6808" s="70">
        <v>-64</v>
      </c>
      <c r="R6808" s="52">
        <f t="shared" si="196"/>
        <v>-3200</v>
      </c>
      <c r="S6808" s="47">
        <v>202304</v>
      </c>
      <c r="T6808" s="123" t="s">
        <v>8888</v>
      </c>
      <c r="U6808" s="97"/>
      <c r="V6808" s="453"/>
      <c r="W6808" s="453"/>
      <c r="X6808" s="50">
        <v>44593</v>
      </c>
      <c r="Y6808" s="50">
        <v>44957</v>
      </c>
    </row>
    <row r="6809" s="5" customFormat="1" customHeight="1" spans="1:25">
      <c r="A6809" s="24" t="s">
        <v>152</v>
      </c>
      <c r="B6809" s="22" t="s">
        <v>7422</v>
      </c>
      <c r="C6809" s="22" t="s">
        <v>125</v>
      </c>
      <c r="D6809" s="22" t="s">
        <v>7655</v>
      </c>
      <c r="E6809" s="23" t="s">
        <v>8882</v>
      </c>
      <c r="F6809" s="24" t="s">
        <v>8883</v>
      </c>
      <c r="G6809" s="24" t="s">
        <v>31</v>
      </c>
      <c r="H6809" s="25" t="s">
        <v>8884</v>
      </c>
      <c r="I6809" s="46" t="e">
        <f>VLOOKUP(H6809,'合同高级查询数据-4月返'!A:A,1,FALSE)</f>
        <v>#N/A</v>
      </c>
      <c r="J6809" s="47" t="s">
        <v>33</v>
      </c>
      <c r="K6809" s="24" t="s">
        <v>5652</v>
      </c>
      <c r="L6809" s="109" t="s">
        <v>8885</v>
      </c>
      <c r="M6809" s="49" t="s">
        <v>8886</v>
      </c>
      <c r="N6809" s="50"/>
      <c r="O6809" s="22" t="s">
        <v>179</v>
      </c>
      <c r="P6809" s="52">
        <v>0</v>
      </c>
      <c r="Q6809" s="70">
        <v>0</v>
      </c>
      <c r="R6809" s="52">
        <f t="shared" si="196"/>
        <v>0</v>
      </c>
      <c r="S6809" s="47">
        <v>202304</v>
      </c>
      <c r="T6809" s="123" t="s">
        <v>8889</v>
      </c>
      <c r="U6809" s="97"/>
      <c r="V6809" s="453"/>
      <c r="W6809" s="453"/>
      <c r="X6809" s="50">
        <v>44593</v>
      </c>
      <c r="Y6809" s="50">
        <v>44957</v>
      </c>
    </row>
    <row r="6810" s="5" customFormat="1" customHeight="1" spans="1:25">
      <c r="A6810" s="24" t="s">
        <v>152</v>
      </c>
      <c r="B6810" s="22" t="s">
        <v>7422</v>
      </c>
      <c r="C6810" s="22" t="s">
        <v>125</v>
      </c>
      <c r="D6810" s="22" t="s">
        <v>7655</v>
      </c>
      <c r="E6810" s="23" t="s">
        <v>8882</v>
      </c>
      <c r="F6810" s="24" t="s">
        <v>8883</v>
      </c>
      <c r="G6810" s="24" t="s">
        <v>88</v>
      </c>
      <c r="H6810" s="25" t="s">
        <v>8884</v>
      </c>
      <c r="I6810" s="46" t="e">
        <f>VLOOKUP(H6810,'合同高级查询数据-4月返'!A:A,1,FALSE)</f>
        <v>#N/A</v>
      </c>
      <c r="J6810" s="47" t="s">
        <v>162</v>
      </c>
      <c r="K6810" s="24" t="s">
        <v>5652</v>
      </c>
      <c r="L6810" s="109" t="s">
        <v>8885</v>
      </c>
      <c r="M6810" s="49" t="s">
        <v>8886</v>
      </c>
      <c r="N6810" s="50">
        <v>44470</v>
      </c>
      <c r="O6810" s="22" t="s">
        <v>4123</v>
      </c>
      <c r="P6810" s="52">
        <v>5000</v>
      </c>
      <c r="Q6810" s="70">
        <v>3</v>
      </c>
      <c r="R6810" s="52">
        <f t="shared" si="196"/>
        <v>15000</v>
      </c>
      <c r="S6810" s="47">
        <v>202304</v>
      </c>
      <c r="T6810" s="123" t="s">
        <v>8890</v>
      </c>
      <c r="U6810" s="97"/>
      <c r="V6810" s="453"/>
      <c r="W6810" s="453"/>
      <c r="X6810" s="50">
        <v>44593</v>
      </c>
      <c r="Y6810" s="50">
        <v>44957</v>
      </c>
    </row>
    <row r="6811" s="5" customFormat="1" customHeight="1" spans="1:25">
      <c r="A6811" s="24" t="s">
        <v>152</v>
      </c>
      <c r="B6811" s="22" t="s">
        <v>7422</v>
      </c>
      <c r="C6811" s="22" t="s">
        <v>125</v>
      </c>
      <c r="D6811" s="22" t="s">
        <v>7655</v>
      </c>
      <c r="E6811" s="23" t="s">
        <v>8882</v>
      </c>
      <c r="F6811" s="24" t="s">
        <v>8883</v>
      </c>
      <c r="G6811" s="24" t="s">
        <v>88</v>
      </c>
      <c r="H6811" s="25" t="s">
        <v>8884</v>
      </c>
      <c r="I6811" s="46" t="e">
        <f>VLOOKUP(H6811,'合同高级查询数据-4月返'!A:A,1,FALSE)</f>
        <v>#N/A</v>
      </c>
      <c r="J6811" s="47" t="s">
        <v>162</v>
      </c>
      <c r="K6811" s="24" t="s">
        <v>5652</v>
      </c>
      <c r="L6811" s="109" t="s">
        <v>8885</v>
      </c>
      <c r="M6811" s="49" t="s">
        <v>8886</v>
      </c>
      <c r="N6811" s="50">
        <v>44712</v>
      </c>
      <c r="O6811" s="22" t="s">
        <v>4123</v>
      </c>
      <c r="P6811" s="52">
        <v>5000</v>
      </c>
      <c r="Q6811" s="70">
        <v>-3</v>
      </c>
      <c r="R6811" s="52">
        <f t="shared" si="196"/>
        <v>-15000</v>
      </c>
      <c r="S6811" s="47">
        <v>202304</v>
      </c>
      <c r="T6811" s="123" t="s">
        <v>8891</v>
      </c>
      <c r="U6811" s="97"/>
      <c r="V6811" s="453"/>
      <c r="W6811" s="453"/>
      <c r="X6811" s="50">
        <v>44593</v>
      </c>
      <c r="Y6811" s="50">
        <v>44957</v>
      </c>
    </row>
    <row r="6812" s="5" customFormat="1" customHeight="1" spans="1:25">
      <c r="A6812" s="24" t="s">
        <v>109</v>
      </c>
      <c r="B6812" s="22" t="s">
        <v>7422</v>
      </c>
      <c r="C6812" s="22" t="s">
        <v>238</v>
      </c>
      <c r="D6812" s="22" t="s">
        <v>7585</v>
      </c>
      <c r="E6812" s="23" t="s">
        <v>8892</v>
      </c>
      <c r="F6812" s="24" t="s">
        <v>8893</v>
      </c>
      <c r="G6812" s="24" t="s">
        <v>31</v>
      </c>
      <c r="H6812" s="25" t="s">
        <v>8894</v>
      </c>
      <c r="I6812" s="46" t="e">
        <f>VLOOKUP(H6812,'合同高级查询数据-4月返'!A:A,1,FALSE)</f>
        <v>#N/A</v>
      </c>
      <c r="J6812" s="47" t="s">
        <v>33</v>
      </c>
      <c r="K6812" s="24" t="s">
        <v>1256</v>
      </c>
      <c r="L6812" s="22" t="s">
        <v>2212</v>
      </c>
      <c r="M6812" s="49" t="s">
        <v>8895</v>
      </c>
      <c r="N6812" s="50">
        <v>44470</v>
      </c>
      <c r="O6812" s="22" t="s">
        <v>37</v>
      </c>
      <c r="P6812" s="52">
        <v>0</v>
      </c>
      <c r="Q6812" s="70">
        <v>288</v>
      </c>
      <c r="R6812" s="52">
        <f t="shared" si="196"/>
        <v>0</v>
      </c>
      <c r="S6812" s="47">
        <v>202304</v>
      </c>
      <c r="T6812" s="123" t="s">
        <v>8896</v>
      </c>
      <c r="U6812" s="97"/>
      <c r="V6812" s="453"/>
      <c r="W6812" s="453"/>
      <c r="X6812" s="50">
        <v>44835</v>
      </c>
      <c r="Y6812" s="50">
        <v>45199</v>
      </c>
    </row>
    <row r="6813" s="5" customFormat="1" customHeight="1" spans="1:25">
      <c r="A6813" s="24" t="s">
        <v>109</v>
      </c>
      <c r="B6813" s="22" t="s">
        <v>7422</v>
      </c>
      <c r="C6813" s="22" t="s">
        <v>238</v>
      </c>
      <c r="D6813" s="22" t="s">
        <v>7585</v>
      </c>
      <c r="E6813" s="23" t="s">
        <v>8892</v>
      </c>
      <c r="F6813" s="24" t="s">
        <v>8893</v>
      </c>
      <c r="G6813" s="24" t="s">
        <v>31</v>
      </c>
      <c r="H6813" s="25" t="s">
        <v>8894</v>
      </c>
      <c r="I6813" s="46" t="e">
        <f>VLOOKUP(H6813,'合同高级查询数据-4月返'!A:A,1,FALSE)</f>
        <v>#N/A</v>
      </c>
      <c r="J6813" s="47" t="s">
        <v>33</v>
      </c>
      <c r="K6813" s="24" t="s">
        <v>1256</v>
      </c>
      <c r="L6813" s="22" t="s">
        <v>8897</v>
      </c>
      <c r="M6813" s="49" t="s">
        <v>8895</v>
      </c>
      <c r="N6813" s="50">
        <v>44805</v>
      </c>
      <c r="O6813" s="22" t="s">
        <v>37</v>
      </c>
      <c r="P6813" s="52">
        <v>0</v>
      </c>
      <c r="Q6813" s="70">
        <v>160</v>
      </c>
      <c r="R6813" s="52">
        <f t="shared" si="196"/>
        <v>0</v>
      </c>
      <c r="S6813" s="47">
        <v>202304</v>
      </c>
      <c r="T6813" s="123" t="s">
        <v>8898</v>
      </c>
      <c r="U6813" s="97"/>
      <c r="V6813" s="453"/>
      <c r="W6813" s="453"/>
      <c r="X6813" s="50">
        <v>44835</v>
      </c>
      <c r="Y6813" s="50">
        <v>45199</v>
      </c>
    </row>
    <row r="6814" s="5" customFormat="1" customHeight="1" spans="1:25">
      <c r="A6814" s="24" t="s">
        <v>109</v>
      </c>
      <c r="B6814" s="22" t="s">
        <v>7422</v>
      </c>
      <c r="C6814" s="22" t="s">
        <v>238</v>
      </c>
      <c r="D6814" s="22" t="s">
        <v>7585</v>
      </c>
      <c r="E6814" s="23" t="s">
        <v>8892</v>
      </c>
      <c r="F6814" s="24" t="s">
        <v>8893</v>
      </c>
      <c r="G6814" s="24" t="s">
        <v>31</v>
      </c>
      <c r="H6814" s="25" t="s">
        <v>8894</v>
      </c>
      <c r="I6814" s="46" t="e">
        <f>VLOOKUP(H6814,'合同高级查询数据-4月返'!A:A,1,FALSE)</f>
        <v>#N/A</v>
      </c>
      <c r="J6814" s="47" t="s">
        <v>33</v>
      </c>
      <c r="K6814" s="24" t="s">
        <v>1256</v>
      </c>
      <c r="L6814" s="22" t="s">
        <v>8897</v>
      </c>
      <c r="M6814" s="49" t="s">
        <v>8895</v>
      </c>
      <c r="N6814" s="50"/>
      <c r="O6814" s="22" t="s">
        <v>179</v>
      </c>
      <c r="P6814" s="52">
        <v>0</v>
      </c>
      <c r="Q6814" s="70">
        <v>0</v>
      </c>
      <c r="R6814" s="52">
        <f t="shared" ref="R6814:R6877" si="197">ROUND(P6814*Q6814,2)</f>
        <v>0</v>
      </c>
      <c r="S6814" s="47">
        <v>202304</v>
      </c>
      <c r="T6814" s="123" t="s">
        <v>7787</v>
      </c>
      <c r="U6814" s="97"/>
      <c r="V6814" s="453"/>
      <c r="W6814" s="453"/>
      <c r="X6814" s="50">
        <v>44835</v>
      </c>
      <c r="Y6814" s="50">
        <v>45199</v>
      </c>
    </row>
    <row r="6815" s="5" customFormat="1" customHeight="1" spans="1:25">
      <c r="A6815" s="24" t="s">
        <v>109</v>
      </c>
      <c r="B6815" s="22" t="s">
        <v>7422</v>
      </c>
      <c r="C6815" s="22" t="s">
        <v>238</v>
      </c>
      <c r="D6815" s="22" t="s">
        <v>7585</v>
      </c>
      <c r="E6815" s="23" t="s">
        <v>8892</v>
      </c>
      <c r="F6815" s="24" t="s">
        <v>8893</v>
      </c>
      <c r="G6815" s="24" t="s">
        <v>88</v>
      </c>
      <c r="H6815" s="25" t="s">
        <v>8894</v>
      </c>
      <c r="I6815" s="46" t="e">
        <f>VLOOKUP(H6815,'合同高级查询数据-4月返'!A:A,1,FALSE)</f>
        <v>#N/A</v>
      </c>
      <c r="J6815" s="47" t="s">
        <v>162</v>
      </c>
      <c r="K6815" s="24" t="s">
        <v>1256</v>
      </c>
      <c r="L6815" s="22" t="s">
        <v>8899</v>
      </c>
      <c r="M6815" s="49" t="s">
        <v>8895</v>
      </c>
      <c r="N6815" s="50">
        <v>44470</v>
      </c>
      <c r="O6815" s="22" t="s">
        <v>503</v>
      </c>
      <c r="P6815" s="52">
        <v>3750</v>
      </c>
      <c r="Q6815" s="70">
        <v>4</v>
      </c>
      <c r="R6815" s="52">
        <f t="shared" si="197"/>
        <v>15000</v>
      </c>
      <c r="S6815" s="47">
        <v>202304</v>
      </c>
      <c r="T6815" s="123" t="s">
        <v>8900</v>
      </c>
      <c r="U6815" s="97"/>
      <c r="V6815" s="453"/>
      <c r="W6815" s="453"/>
      <c r="X6815" s="50">
        <v>44835</v>
      </c>
      <c r="Y6815" s="50">
        <v>45199</v>
      </c>
    </row>
    <row r="6816" s="5" customFormat="1" customHeight="1" spans="1:25">
      <c r="A6816" s="24" t="s">
        <v>109</v>
      </c>
      <c r="B6816" s="22" t="s">
        <v>7422</v>
      </c>
      <c r="C6816" s="22" t="s">
        <v>238</v>
      </c>
      <c r="D6816" s="22" t="s">
        <v>7585</v>
      </c>
      <c r="E6816" s="23" t="s">
        <v>8892</v>
      </c>
      <c r="F6816" s="24" t="s">
        <v>8893</v>
      </c>
      <c r="G6816" s="24" t="s">
        <v>88</v>
      </c>
      <c r="H6816" s="25" t="s">
        <v>8894</v>
      </c>
      <c r="I6816" s="46" t="e">
        <f>VLOOKUP(H6816,'合同高级查询数据-4月返'!A:A,1,FALSE)</f>
        <v>#N/A</v>
      </c>
      <c r="J6816" s="47" t="s">
        <v>162</v>
      </c>
      <c r="K6816" s="24" t="s">
        <v>1256</v>
      </c>
      <c r="L6816" s="22" t="s">
        <v>8899</v>
      </c>
      <c r="M6816" s="49" t="s">
        <v>8895</v>
      </c>
      <c r="N6816" s="50">
        <v>44501</v>
      </c>
      <c r="O6816" s="22" t="s">
        <v>503</v>
      </c>
      <c r="P6816" s="52">
        <v>3750</v>
      </c>
      <c r="Q6816" s="70">
        <v>2</v>
      </c>
      <c r="R6816" s="52">
        <f t="shared" si="197"/>
        <v>7500</v>
      </c>
      <c r="S6816" s="47">
        <v>202304</v>
      </c>
      <c r="T6816" s="123" t="s">
        <v>8901</v>
      </c>
      <c r="U6816" s="97"/>
      <c r="V6816" s="453"/>
      <c r="W6816" s="453"/>
      <c r="X6816" s="50">
        <v>44835</v>
      </c>
      <c r="Y6816" s="50">
        <v>45199</v>
      </c>
    </row>
    <row r="6817" s="5" customFormat="1" customHeight="1" spans="1:25">
      <c r="A6817" s="24" t="s">
        <v>109</v>
      </c>
      <c r="B6817" s="22" t="s">
        <v>7422</v>
      </c>
      <c r="C6817" s="22" t="s">
        <v>238</v>
      </c>
      <c r="D6817" s="22" t="s">
        <v>7585</v>
      </c>
      <c r="E6817" s="23" t="s">
        <v>8892</v>
      </c>
      <c r="F6817" s="24" t="s">
        <v>8893</v>
      </c>
      <c r="G6817" s="24" t="s">
        <v>31</v>
      </c>
      <c r="H6817" s="25" t="s">
        <v>8902</v>
      </c>
      <c r="I6817" s="46" t="e">
        <f>VLOOKUP(H6817,'合同高级查询数据-4月返'!A:A,1,FALSE)</f>
        <v>#N/A</v>
      </c>
      <c r="J6817" s="47" t="s">
        <v>33</v>
      </c>
      <c r="K6817" s="24" t="s">
        <v>1256</v>
      </c>
      <c r="L6817" s="22" t="s">
        <v>8903</v>
      </c>
      <c r="M6817" s="49" t="s">
        <v>8895</v>
      </c>
      <c r="N6817" s="50">
        <v>44682</v>
      </c>
      <c r="O6817" s="22" t="s">
        <v>37</v>
      </c>
      <c r="P6817" s="52">
        <v>0</v>
      </c>
      <c r="Q6817" s="70">
        <v>288</v>
      </c>
      <c r="R6817" s="52">
        <f t="shared" si="197"/>
        <v>0</v>
      </c>
      <c r="S6817" s="47">
        <v>202304</v>
      </c>
      <c r="T6817" s="123" t="s">
        <v>8904</v>
      </c>
      <c r="U6817" s="97"/>
      <c r="V6817" s="453"/>
      <c r="W6817" s="453"/>
      <c r="X6817" s="50">
        <v>44682</v>
      </c>
      <c r="Y6817" s="50">
        <v>45046</v>
      </c>
    </row>
    <row r="6818" s="5" customFormat="1" customHeight="1" spans="1:25">
      <c r="A6818" s="24" t="s">
        <v>109</v>
      </c>
      <c r="B6818" s="22" t="s">
        <v>7422</v>
      </c>
      <c r="C6818" s="22" t="s">
        <v>238</v>
      </c>
      <c r="D6818" s="22" t="s">
        <v>7585</v>
      </c>
      <c r="E6818" s="23" t="s">
        <v>8892</v>
      </c>
      <c r="F6818" s="24" t="s">
        <v>8893</v>
      </c>
      <c r="G6818" s="24" t="s">
        <v>31</v>
      </c>
      <c r="H6818" s="25" t="s">
        <v>8902</v>
      </c>
      <c r="I6818" s="46" t="e">
        <f>VLOOKUP(H6818,'合同高级查询数据-4月返'!A:A,1,FALSE)</f>
        <v>#N/A</v>
      </c>
      <c r="J6818" s="47" t="s">
        <v>33</v>
      </c>
      <c r="K6818" s="24" t="s">
        <v>1256</v>
      </c>
      <c r="L6818" s="22" t="s">
        <v>8903</v>
      </c>
      <c r="M6818" s="49" t="s">
        <v>8895</v>
      </c>
      <c r="N6818" s="50"/>
      <c r="O6818" s="22" t="s">
        <v>179</v>
      </c>
      <c r="P6818" s="52">
        <v>0</v>
      </c>
      <c r="Q6818" s="70">
        <v>0</v>
      </c>
      <c r="R6818" s="52">
        <f t="shared" si="197"/>
        <v>0</v>
      </c>
      <c r="S6818" s="47">
        <v>202304</v>
      </c>
      <c r="T6818" s="123" t="s">
        <v>8905</v>
      </c>
      <c r="U6818" s="97"/>
      <c r="V6818" s="453"/>
      <c r="W6818" s="453"/>
      <c r="X6818" s="50">
        <v>44682</v>
      </c>
      <c r="Y6818" s="50">
        <v>45046</v>
      </c>
    </row>
    <row r="6819" s="5" customFormat="1" customHeight="1" spans="1:25">
      <c r="A6819" s="24" t="s">
        <v>109</v>
      </c>
      <c r="B6819" s="22" t="s">
        <v>7422</v>
      </c>
      <c r="C6819" s="22" t="s">
        <v>238</v>
      </c>
      <c r="D6819" s="22" t="s">
        <v>7585</v>
      </c>
      <c r="E6819" s="23" t="s">
        <v>8892</v>
      </c>
      <c r="F6819" s="24" t="s">
        <v>8893</v>
      </c>
      <c r="G6819" s="24" t="s">
        <v>88</v>
      </c>
      <c r="H6819" s="25" t="s">
        <v>8902</v>
      </c>
      <c r="I6819" s="46" t="e">
        <f>VLOOKUP(H6819,'合同高级查询数据-4月返'!A:A,1,FALSE)</f>
        <v>#N/A</v>
      </c>
      <c r="J6819" s="47" t="s">
        <v>162</v>
      </c>
      <c r="K6819" s="24" t="s">
        <v>1256</v>
      </c>
      <c r="L6819" s="22" t="s">
        <v>8903</v>
      </c>
      <c r="M6819" s="49" t="s">
        <v>8895</v>
      </c>
      <c r="N6819" s="50">
        <v>44682</v>
      </c>
      <c r="O6819" s="22" t="s">
        <v>503</v>
      </c>
      <c r="P6819" s="52">
        <v>3750</v>
      </c>
      <c r="Q6819" s="70">
        <v>4</v>
      </c>
      <c r="R6819" s="52">
        <f t="shared" si="197"/>
        <v>15000</v>
      </c>
      <c r="S6819" s="47">
        <v>202304</v>
      </c>
      <c r="T6819" s="123" t="s">
        <v>8906</v>
      </c>
      <c r="U6819" s="97"/>
      <c r="V6819" s="453"/>
      <c r="W6819" s="453"/>
      <c r="X6819" s="50">
        <v>44682</v>
      </c>
      <c r="Y6819" s="50">
        <v>45046</v>
      </c>
    </row>
    <row r="6820" s="5" customFormat="1" customHeight="1" spans="1:25">
      <c r="A6820" s="24" t="s">
        <v>152</v>
      </c>
      <c r="B6820" s="22" t="s">
        <v>7422</v>
      </c>
      <c r="C6820" s="22" t="s">
        <v>227</v>
      </c>
      <c r="D6820" s="22" t="s">
        <v>28</v>
      </c>
      <c r="E6820" s="23" t="s">
        <v>8907</v>
      </c>
      <c r="F6820" s="24" t="s">
        <v>8908</v>
      </c>
      <c r="G6820" s="24" t="s">
        <v>31</v>
      </c>
      <c r="H6820" s="25" t="s">
        <v>8909</v>
      </c>
      <c r="I6820" s="46" t="e">
        <f>VLOOKUP(H6820,'合同高级查询数据-4月返'!A:A,1,FALSE)</f>
        <v>#N/A</v>
      </c>
      <c r="J6820" s="47" t="s">
        <v>33</v>
      </c>
      <c r="K6820" s="24" t="s">
        <v>8910</v>
      </c>
      <c r="L6820" s="109" t="s">
        <v>8911</v>
      </c>
      <c r="M6820" s="49" t="s">
        <v>8912</v>
      </c>
      <c r="N6820" s="50">
        <v>44470</v>
      </c>
      <c r="O6820" s="22" t="s">
        <v>37</v>
      </c>
      <c r="P6820" s="52">
        <v>0</v>
      </c>
      <c r="Q6820" s="70">
        <v>320</v>
      </c>
      <c r="R6820" s="52">
        <f t="shared" si="197"/>
        <v>0</v>
      </c>
      <c r="S6820" s="47">
        <v>202304</v>
      </c>
      <c r="T6820" s="123" t="s">
        <v>8913</v>
      </c>
      <c r="U6820" s="97"/>
      <c r="V6820" s="453"/>
      <c r="W6820" s="453"/>
      <c r="X6820" s="50">
        <v>44470</v>
      </c>
      <c r="Y6820" s="50">
        <v>45199</v>
      </c>
    </row>
    <row r="6821" s="5" customFormat="1" customHeight="1" spans="1:25">
      <c r="A6821" s="24" t="s">
        <v>152</v>
      </c>
      <c r="B6821" s="22" t="s">
        <v>7422</v>
      </c>
      <c r="C6821" s="22" t="s">
        <v>227</v>
      </c>
      <c r="D6821" s="22" t="s">
        <v>28</v>
      </c>
      <c r="E6821" s="23" t="s">
        <v>8907</v>
      </c>
      <c r="F6821" s="24" t="s">
        <v>8908</v>
      </c>
      <c r="G6821" s="24" t="s">
        <v>31</v>
      </c>
      <c r="H6821" s="25" t="s">
        <v>8909</v>
      </c>
      <c r="I6821" s="46" t="e">
        <f>VLOOKUP(H6821,'合同高级查询数据-4月返'!A:A,1,FALSE)</f>
        <v>#N/A</v>
      </c>
      <c r="J6821" s="47" t="s">
        <v>33</v>
      </c>
      <c r="K6821" s="24" t="s">
        <v>8910</v>
      </c>
      <c r="L6821" s="109" t="s">
        <v>8911</v>
      </c>
      <c r="M6821" s="49" t="s">
        <v>8912</v>
      </c>
      <c r="N6821" s="50"/>
      <c r="O6821" s="22" t="s">
        <v>179</v>
      </c>
      <c r="P6821" s="52">
        <v>0</v>
      </c>
      <c r="Q6821" s="70">
        <v>0</v>
      </c>
      <c r="R6821" s="52">
        <f t="shared" si="197"/>
        <v>0</v>
      </c>
      <c r="S6821" s="47">
        <v>202304</v>
      </c>
      <c r="T6821" s="123" t="s">
        <v>8914</v>
      </c>
      <c r="U6821" s="97"/>
      <c r="V6821" s="453"/>
      <c r="W6821" s="453"/>
      <c r="X6821" s="50">
        <v>44470</v>
      </c>
      <c r="Y6821" s="50">
        <v>45199</v>
      </c>
    </row>
    <row r="6822" s="5" customFormat="1" customHeight="1" spans="1:25">
      <c r="A6822" s="24" t="s">
        <v>152</v>
      </c>
      <c r="B6822" s="22" t="s">
        <v>7422</v>
      </c>
      <c r="C6822" s="22" t="s">
        <v>227</v>
      </c>
      <c r="D6822" s="22" t="s">
        <v>28</v>
      </c>
      <c r="E6822" s="23" t="s">
        <v>8907</v>
      </c>
      <c r="F6822" s="24" t="s">
        <v>8908</v>
      </c>
      <c r="G6822" s="24" t="s">
        <v>88</v>
      </c>
      <c r="H6822" s="25" t="s">
        <v>8909</v>
      </c>
      <c r="I6822" s="46" t="e">
        <f>VLOOKUP(H6822,'合同高级查询数据-4月返'!A:A,1,FALSE)</f>
        <v>#N/A</v>
      </c>
      <c r="J6822" s="47" t="s">
        <v>162</v>
      </c>
      <c r="K6822" s="24" t="s">
        <v>8910</v>
      </c>
      <c r="L6822" s="109" t="s">
        <v>8911</v>
      </c>
      <c r="M6822" s="49" t="s">
        <v>8912</v>
      </c>
      <c r="N6822" s="50">
        <v>44470</v>
      </c>
      <c r="O6822" s="22" t="s">
        <v>163</v>
      </c>
      <c r="P6822" s="52">
        <v>0</v>
      </c>
      <c r="Q6822" s="70">
        <v>5</v>
      </c>
      <c r="R6822" s="52">
        <f t="shared" si="197"/>
        <v>0</v>
      </c>
      <c r="S6822" s="47">
        <v>202304</v>
      </c>
      <c r="T6822" s="123" t="s">
        <v>8915</v>
      </c>
      <c r="U6822" s="97"/>
      <c r="V6822" s="453"/>
      <c r="W6822" s="453"/>
      <c r="X6822" s="50">
        <v>44470</v>
      </c>
      <c r="Y6822" s="50">
        <v>45199</v>
      </c>
    </row>
    <row r="6823" s="5" customFormat="1" customHeight="1" spans="1:25">
      <c r="A6823" s="24" t="s">
        <v>109</v>
      </c>
      <c r="B6823" s="22" t="s">
        <v>7422</v>
      </c>
      <c r="C6823" s="22" t="s">
        <v>144</v>
      </c>
      <c r="D6823" s="22" t="s">
        <v>28</v>
      </c>
      <c r="E6823" s="23" t="s">
        <v>8916</v>
      </c>
      <c r="F6823" s="24" t="s">
        <v>8917</v>
      </c>
      <c r="G6823" s="24" t="s">
        <v>31</v>
      </c>
      <c r="H6823" s="25" t="s">
        <v>8918</v>
      </c>
      <c r="I6823" s="46" t="e">
        <f>VLOOKUP(H6823,'合同高级查询数据-4月返'!A:A,1,FALSE)</f>
        <v>#N/A</v>
      </c>
      <c r="J6823" s="47" t="s">
        <v>33</v>
      </c>
      <c r="K6823" s="24" t="s">
        <v>3433</v>
      </c>
      <c r="L6823" s="109" t="s">
        <v>8919</v>
      </c>
      <c r="M6823" s="49" t="s">
        <v>8920</v>
      </c>
      <c r="N6823" s="50">
        <v>44470</v>
      </c>
      <c r="O6823" s="22" t="s">
        <v>37</v>
      </c>
      <c r="P6823" s="52">
        <v>0</v>
      </c>
      <c r="Q6823" s="70">
        <v>288</v>
      </c>
      <c r="R6823" s="52">
        <f t="shared" si="197"/>
        <v>0</v>
      </c>
      <c r="S6823" s="47">
        <v>202304</v>
      </c>
      <c r="T6823" s="123" t="s">
        <v>8921</v>
      </c>
      <c r="U6823" s="97"/>
      <c r="V6823" s="453"/>
      <c r="W6823" s="453"/>
      <c r="X6823" s="50">
        <v>44470</v>
      </c>
      <c r="Y6823" s="50">
        <v>44834</v>
      </c>
    </row>
    <row r="6824" s="5" customFormat="1" customHeight="1" spans="1:25">
      <c r="A6824" s="24" t="s">
        <v>109</v>
      </c>
      <c r="B6824" s="22" t="s">
        <v>7422</v>
      </c>
      <c r="C6824" s="22" t="s">
        <v>144</v>
      </c>
      <c r="D6824" s="22" t="s">
        <v>28</v>
      </c>
      <c r="E6824" s="23" t="s">
        <v>8916</v>
      </c>
      <c r="F6824" s="24" t="s">
        <v>8917</v>
      </c>
      <c r="G6824" s="24" t="s">
        <v>31</v>
      </c>
      <c r="H6824" s="25" t="s">
        <v>8918</v>
      </c>
      <c r="I6824" s="46" t="e">
        <f>VLOOKUP(H6824,'合同高级查询数据-4月返'!A:A,1,FALSE)</f>
        <v>#N/A</v>
      </c>
      <c r="J6824" s="47" t="s">
        <v>33</v>
      </c>
      <c r="K6824" s="24" t="s">
        <v>3433</v>
      </c>
      <c r="L6824" s="109" t="s">
        <v>8919</v>
      </c>
      <c r="M6824" s="49" t="s">
        <v>8920</v>
      </c>
      <c r="N6824" s="50">
        <v>44526</v>
      </c>
      <c r="O6824" s="22" t="s">
        <v>37</v>
      </c>
      <c r="P6824" s="52">
        <v>0</v>
      </c>
      <c r="Q6824" s="70">
        <v>-288</v>
      </c>
      <c r="R6824" s="52">
        <f t="shared" si="197"/>
        <v>0</v>
      </c>
      <c r="S6824" s="47">
        <v>202304</v>
      </c>
      <c r="T6824" s="123" t="s">
        <v>8922</v>
      </c>
      <c r="U6824" s="97"/>
      <c r="V6824" s="453"/>
      <c r="W6824" s="453"/>
      <c r="X6824" s="50">
        <v>44470</v>
      </c>
      <c r="Y6824" s="50">
        <v>44834</v>
      </c>
    </row>
    <row r="6825" s="5" customFormat="1" customHeight="1" spans="1:25">
      <c r="A6825" s="24" t="s">
        <v>109</v>
      </c>
      <c r="B6825" s="22" t="s">
        <v>7422</v>
      </c>
      <c r="C6825" s="22" t="s">
        <v>144</v>
      </c>
      <c r="D6825" s="22" t="s">
        <v>28</v>
      </c>
      <c r="E6825" s="23" t="s">
        <v>8916</v>
      </c>
      <c r="F6825" s="24" t="s">
        <v>8917</v>
      </c>
      <c r="G6825" s="24" t="s">
        <v>88</v>
      </c>
      <c r="H6825" s="25" t="s">
        <v>8918</v>
      </c>
      <c r="I6825" s="46" t="e">
        <f>VLOOKUP(H6825,'合同高级查询数据-4月返'!A:A,1,FALSE)</f>
        <v>#N/A</v>
      </c>
      <c r="J6825" s="47" t="s">
        <v>162</v>
      </c>
      <c r="K6825" s="24" t="s">
        <v>3433</v>
      </c>
      <c r="L6825" s="109" t="s">
        <v>8919</v>
      </c>
      <c r="M6825" s="49" t="s">
        <v>8920</v>
      </c>
      <c r="N6825" s="50">
        <v>44470</v>
      </c>
      <c r="O6825" s="22" t="s">
        <v>163</v>
      </c>
      <c r="P6825" s="52">
        <v>4000</v>
      </c>
      <c r="Q6825" s="70">
        <v>3</v>
      </c>
      <c r="R6825" s="52">
        <f t="shared" si="197"/>
        <v>12000</v>
      </c>
      <c r="S6825" s="47">
        <v>202304</v>
      </c>
      <c r="T6825" s="123" t="s">
        <v>8923</v>
      </c>
      <c r="U6825" s="97"/>
      <c r="V6825" s="453"/>
      <c r="W6825" s="453"/>
      <c r="X6825" s="50">
        <v>44470</v>
      </c>
      <c r="Y6825" s="50">
        <v>44834</v>
      </c>
    </row>
    <row r="6826" s="5" customFormat="1" customHeight="1" spans="1:25">
      <c r="A6826" s="24" t="s">
        <v>109</v>
      </c>
      <c r="B6826" s="22" t="s">
        <v>7422</v>
      </c>
      <c r="C6826" s="22" t="s">
        <v>144</v>
      </c>
      <c r="D6826" s="22" t="s">
        <v>28</v>
      </c>
      <c r="E6826" s="23" t="s">
        <v>8916</v>
      </c>
      <c r="F6826" s="24" t="s">
        <v>8917</v>
      </c>
      <c r="G6826" s="24" t="s">
        <v>88</v>
      </c>
      <c r="H6826" s="25" t="s">
        <v>8918</v>
      </c>
      <c r="I6826" s="46" t="e">
        <f>VLOOKUP(H6826,'合同高级查询数据-4月返'!A:A,1,FALSE)</f>
        <v>#N/A</v>
      </c>
      <c r="J6826" s="47" t="s">
        <v>162</v>
      </c>
      <c r="K6826" s="24" t="s">
        <v>3433</v>
      </c>
      <c r="L6826" s="109" t="s">
        <v>8919</v>
      </c>
      <c r="M6826" s="49" t="s">
        <v>8920</v>
      </c>
      <c r="N6826" s="50">
        <v>44526</v>
      </c>
      <c r="O6826" s="22" t="s">
        <v>163</v>
      </c>
      <c r="P6826" s="52">
        <v>4000</v>
      </c>
      <c r="Q6826" s="70">
        <v>-3</v>
      </c>
      <c r="R6826" s="52">
        <f t="shared" si="197"/>
        <v>-12000</v>
      </c>
      <c r="S6826" s="47">
        <v>202304</v>
      </c>
      <c r="T6826" s="123" t="s">
        <v>8924</v>
      </c>
      <c r="U6826" s="97"/>
      <c r="V6826" s="453"/>
      <c r="W6826" s="453"/>
      <c r="X6826" s="50">
        <v>44470</v>
      </c>
      <c r="Y6826" s="50">
        <v>44834</v>
      </c>
    </row>
    <row r="6827" s="5" customFormat="1" customHeight="1" spans="1:25">
      <c r="A6827" s="24" t="s">
        <v>109</v>
      </c>
      <c r="B6827" s="22" t="s">
        <v>7422</v>
      </c>
      <c r="C6827" s="22" t="s">
        <v>144</v>
      </c>
      <c r="D6827" s="22" t="s">
        <v>28</v>
      </c>
      <c r="E6827" s="23" t="s">
        <v>8916</v>
      </c>
      <c r="F6827" s="24" t="s">
        <v>8917</v>
      </c>
      <c r="G6827" s="24" t="s">
        <v>31</v>
      </c>
      <c r="H6827" s="25" t="s">
        <v>8925</v>
      </c>
      <c r="I6827" s="46" t="e">
        <f>VLOOKUP(H6827,'合同高级查询数据-4月返'!A:A,1,FALSE)</f>
        <v>#N/A</v>
      </c>
      <c r="J6827" s="47" t="s">
        <v>33</v>
      </c>
      <c r="K6827" s="24" t="s">
        <v>3433</v>
      </c>
      <c r="L6827" s="109" t="s">
        <v>8926</v>
      </c>
      <c r="M6827" s="49" t="s">
        <v>8920</v>
      </c>
      <c r="N6827" s="50">
        <v>44713</v>
      </c>
      <c r="O6827" s="22" t="s">
        <v>37</v>
      </c>
      <c r="P6827" s="52">
        <v>0</v>
      </c>
      <c r="Q6827" s="70">
        <v>288</v>
      </c>
      <c r="R6827" s="52">
        <f t="shared" si="197"/>
        <v>0</v>
      </c>
      <c r="S6827" s="47">
        <v>202304</v>
      </c>
      <c r="T6827" s="123" t="s">
        <v>8927</v>
      </c>
      <c r="U6827" s="97"/>
      <c r="V6827" s="453"/>
      <c r="W6827" s="453"/>
      <c r="X6827" s="50">
        <v>44713</v>
      </c>
      <c r="Y6827" s="50">
        <v>45077</v>
      </c>
    </row>
    <row r="6828" s="5" customFormat="1" customHeight="1" spans="1:25">
      <c r="A6828" s="24" t="s">
        <v>109</v>
      </c>
      <c r="B6828" s="22" t="s">
        <v>7422</v>
      </c>
      <c r="C6828" s="22" t="s">
        <v>144</v>
      </c>
      <c r="D6828" s="22" t="s">
        <v>28</v>
      </c>
      <c r="E6828" s="23" t="s">
        <v>8916</v>
      </c>
      <c r="F6828" s="24" t="s">
        <v>8917</v>
      </c>
      <c r="G6828" s="24" t="s">
        <v>31</v>
      </c>
      <c r="H6828" s="25" t="s">
        <v>8925</v>
      </c>
      <c r="I6828" s="46" t="e">
        <f>VLOOKUP(H6828,'合同高级查询数据-4月返'!A:A,1,FALSE)</f>
        <v>#N/A</v>
      </c>
      <c r="J6828" s="47" t="s">
        <v>33</v>
      </c>
      <c r="K6828" s="24" t="s">
        <v>3433</v>
      </c>
      <c r="L6828" s="109" t="s">
        <v>8926</v>
      </c>
      <c r="M6828" s="49" t="s">
        <v>8920</v>
      </c>
      <c r="N6828" s="50">
        <v>44776</v>
      </c>
      <c r="O6828" s="22" t="s">
        <v>37</v>
      </c>
      <c r="P6828" s="52">
        <v>0</v>
      </c>
      <c r="Q6828" s="70">
        <v>-128</v>
      </c>
      <c r="R6828" s="52">
        <f t="shared" si="197"/>
        <v>0</v>
      </c>
      <c r="S6828" s="47">
        <v>202304</v>
      </c>
      <c r="T6828" s="123" t="s">
        <v>8928</v>
      </c>
      <c r="U6828" s="97"/>
      <c r="V6828" s="453"/>
      <c r="W6828" s="453"/>
      <c r="X6828" s="50">
        <v>44713</v>
      </c>
      <c r="Y6828" s="50">
        <v>45077</v>
      </c>
    </row>
    <row r="6829" s="5" customFormat="1" customHeight="1" spans="1:25">
      <c r="A6829" s="24" t="s">
        <v>109</v>
      </c>
      <c r="B6829" s="22" t="s">
        <v>7422</v>
      </c>
      <c r="C6829" s="22" t="s">
        <v>144</v>
      </c>
      <c r="D6829" s="22" t="s">
        <v>28</v>
      </c>
      <c r="E6829" s="23" t="s">
        <v>8916</v>
      </c>
      <c r="F6829" s="24" t="s">
        <v>8917</v>
      </c>
      <c r="G6829" s="24" t="s">
        <v>31</v>
      </c>
      <c r="H6829" s="25" t="s">
        <v>8925</v>
      </c>
      <c r="I6829" s="46" t="e">
        <f>VLOOKUP(H6829,'合同高级查询数据-4月返'!A:A,1,FALSE)</f>
        <v>#N/A</v>
      </c>
      <c r="J6829" s="47" t="s">
        <v>33</v>
      </c>
      <c r="K6829" s="24" t="s">
        <v>3433</v>
      </c>
      <c r="L6829" s="109" t="s">
        <v>8926</v>
      </c>
      <c r="M6829" s="49" t="s">
        <v>8920</v>
      </c>
      <c r="N6829" s="50"/>
      <c r="O6829" s="22" t="s">
        <v>179</v>
      </c>
      <c r="P6829" s="52">
        <v>0</v>
      </c>
      <c r="Q6829" s="70">
        <v>0</v>
      </c>
      <c r="R6829" s="52">
        <f t="shared" si="197"/>
        <v>0</v>
      </c>
      <c r="S6829" s="47">
        <v>202304</v>
      </c>
      <c r="T6829" s="123" t="s">
        <v>8929</v>
      </c>
      <c r="U6829" s="97"/>
      <c r="V6829" s="453"/>
      <c r="W6829" s="453"/>
      <c r="X6829" s="493">
        <v>44713</v>
      </c>
      <c r="Y6829" s="493">
        <v>45077</v>
      </c>
    </row>
    <row r="6830" s="5" customFormat="1" customHeight="1" spans="1:25">
      <c r="A6830" s="24" t="s">
        <v>109</v>
      </c>
      <c r="B6830" s="22" t="s">
        <v>7422</v>
      </c>
      <c r="C6830" s="22" t="s">
        <v>144</v>
      </c>
      <c r="D6830" s="22" t="s">
        <v>28</v>
      </c>
      <c r="E6830" s="23" t="s">
        <v>8916</v>
      </c>
      <c r="F6830" s="24" t="s">
        <v>8917</v>
      </c>
      <c r="G6830" s="24" t="s">
        <v>88</v>
      </c>
      <c r="H6830" s="25" t="s">
        <v>8925</v>
      </c>
      <c r="I6830" s="46" t="e">
        <f>VLOOKUP(H6830,'合同高级查询数据-4月返'!A:A,1,FALSE)</f>
        <v>#N/A</v>
      </c>
      <c r="J6830" s="47" t="s">
        <v>162</v>
      </c>
      <c r="K6830" s="24" t="s">
        <v>3433</v>
      </c>
      <c r="L6830" s="109" t="s">
        <v>8926</v>
      </c>
      <c r="M6830" s="49" t="s">
        <v>8920</v>
      </c>
      <c r="N6830" s="50">
        <v>44713</v>
      </c>
      <c r="O6830" s="22" t="s">
        <v>163</v>
      </c>
      <c r="P6830" s="52">
        <v>4000</v>
      </c>
      <c r="Q6830" s="70">
        <v>3</v>
      </c>
      <c r="R6830" s="52">
        <f t="shared" si="197"/>
        <v>12000</v>
      </c>
      <c r="S6830" s="47">
        <v>202304</v>
      </c>
      <c r="T6830" s="123" t="s">
        <v>8930</v>
      </c>
      <c r="U6830" s="97"/>
      <c r="V6830" s="453"/>
      <c r="W6830" s="453"/>
      <c r="X6830" s="50">
        <v>44713</v>
      </c>
      <c r="Y6830" s="50">
        <v>45077</v>
      </c>
    </row>
    <row r="6831" s="3" customFormat="1" customHeight="1" spans="1:25">
      <c r="A6831" s="11" t="s">
        <v>152</v>
      </c>
      <c r="B6831" s="35" t="s">
        <v>7422</v>
      </c>
      <c r="C6831" s="35" t="s">
        <v>188</v>
      </c>
      <c r="D6831" s="35" t="s">
        <v>28</v>
      </c>
      <c r="E6831" s="13" t="s">
        <v>8931</v>
      </c>
      <c r="F6831" s="11" t="s">
        <v>8932</v>
      </c>
      <c r="G6831" s="11" t="s">
        <v>31</v>
      </c>
      <c r="H6831" s="110" t="s">
        <v>8933</v>
      </c>
      <c r="I6831" s="30" t="e">
        <f>VLOOKUP(H6831,'合同高级查询数据-4月返'!A:A,1,FALSE)</f>
        <v>#N/A</v>
      </c>
      <c r="J6831" s="31" t="s">
        <v>33</v>
      </c>
      <c r="K6831" s="11" t="s">
        <v>7877</v>
      </c>
      <c r="L6831" s="32" t="s">
        <v>8934</v>
      </c>
      <c r="M6831" s="113" t="s">
        <v>8935</v>
      </c>
      <c r="N6831" s="34">
        <v>44501</v>
      </c>
      <c r="O6831" s="35" t="s">
        <v>37</v>
      </c>
      <c r="P6831" s="465">
        <v>0</v>
      </c>
      <c r="Q6831" s="459">
        <v>288</v>
      </c>
      <c r="R6831" s="465">
        <f t="shared" si="197"/>
        <v>0</v>
      </c>
      <c r="S6831" s="31">
        <v>202304</v>
      </c>
      <c r="T6831" s="60" t="s">
        <v>8936</v>
      </c>
      <c r="U6831" s="104"/>
      <c r="V6831" s="438"/>
      <c r="W6831" s="438"/>
      <c r="X6831" s="34"/>
      <c r="Y6831" s="34"/>
    </row>
    <row r="6832" s="3" customFormat="1" customHeight="1" spans="1:25">
      <c r="A6832" s="11" t="s">
        <v>152</v>
      </c>
      <c r="B6832" s="35" t="s">
        <v>7422</v>
      </c>
      <c r="C6832" s="35" t="s">
        <v>188</v>
      </c>
      <c r="D6832" s="35" t="s">
        <v>28</v>
      </c>
      <c r="E6832" s="13" t="s">
        <v>8931</v>
      </c>
      <c r="F6832" s="11" t="s">
        <v>8932</v>
      </c>
      <c r="G6832" s="11" t="s">
        <v>31</v>
      </c>
      <c r="H6832" s="110" t="s">
        <v>8933</v>
      </c>
      <c r="I6832" s="30" t="e">
        <f>VLOOKUP(H6832,'合同高级查询数据-4月返'!A:A,1,FALSE)</f>
        <v>#N/A</v>
      </c>
      <c r="J6832" s="31" t="s">
        <v>33</v>
      </c>
      <c r="K6832" s="11" t="s">
        <v>7877</v>
      </c>
      <c r="L6832" s="32" t="s">
        <v>8934</v>
      </c>
      <c r="M6832" s="113" t="s">
        <v>8935</v>
      </c>
      <c r="N6832" s="34">
        <v>44936</v>
      </c>
      <c r="O6832" s="35" t="s">
        <v>37</v>
      </c>
      <c r="P6832" s="465">
        <v>0</v>
      </c>
      <c r="Q6832" s="459">
        <v>-288</v>
      </c>
      <c r="R6832" s="465">
        <f t="shared" si="197"/>
        <v>0</v>
      </c>
      <c r="S6832" s="31">
        <v>202304</v>
      </c>
      <c r="T6832" s="60" t="s">
        <v>8937</v>
      </c>
      <c r="U6832" s="104"/>
      <c r="V6832" s="438"/>
      <c r="W6832" s="438"/>
      <c r="X6832" s="34"/>
      <c r="Y6832" s="34"/>
    </row>
    <row r="6833" s="3" customFormat="1" customHeight="1" spans="1:25">
      <c r="A6833" s="11" t="s">
        <v>152</v>
      </c>
      <c r="B6833" s="35" t="s">
        <v>7422</v>
      </c>
      <c r="C6833" s="35" t="s">
        <v>188</v>
      </c>
      <c r="D6833" s="35" t="s">
        <v>28</v>
      </c>
      <c r="E6833" s="13" t="s">
        <v>8931</v>
      </c>
      <c r="F6833" s="11" t="s">
        <v>8932</v>
      </c>
      <c r="G6833" s="11" t="s">
        <v>31</v>
      </c>
      <c r="H6833" s="110" t="s">
        <v>8933</v>
      </c>
      <c r="I6833" s="30" t="e">
        <f>VLOOKUP(H6833,'合同高级查询数据-4月返'!A:A,1,FALSE)</f>
        <v>#N/A</v>
      </c>
      <c r="J6833" s="31" t="s">
        <v>33</v>
      </c>
      <c r="K6833" s="11" t="s">
        <v>7877</v>
      </c>
      <c r="L6833" s="32" t="s">
        <v>8934</v>
      </c>
      <c r="M6833" s="113" t="s">
        <v>8935</v>
      </c>
      <c r="N6833" s="34">
        <v>44937</v>
      </c>
      <c r="O6833" s="35" t="s">
        <v>37</v>
      </c>
      <c r="P6833" s="465">
        <v>0</v>
      </c>
      <c r="Q6833" s="459">
        <v>160</v>
      </c>
      <c r="R6833" s="465">
        <f t="shared" si="197"/>
        <v>0</v>
      </c>
      <c r="S6833" s="31">
        <v>202304</v>
      </c>
      <c r="T6833" s="60" t="s">
        <v>8937</v>
      </c>
      <c r="U6833" s="104"/>
      <c r="V6833" s="438"/>
      <c r="W6833" s="438"/>
      <c r="X6833" s="34"/>
      <c r="Y6833" s="34"/>
    </row>
    <row r="6834" s="3" customFormat="1" customHeight="1" spans="1:25">
      <c r="A6834" s="11" t="s">
        <v>152</v>
      </c>
      <c r="B6834" s="35" t="s">
        <v>7422</v>
      </c>
      <c r="C6834" s="35" t="s">
        <v>188</v>
      </c>
      <c r="D6834" s="35" t="s">
        <v>28</v>
      </c>
      <c r="E6834" s="13" t="s">
        <v>8931</v>
      </c>
      <c r="F6834" s="11" t="s">
        <v>8932</v>
      </c>
      <c r="G6834" s="11" t="s">
        <v>31</v>
      </c>
      <c r="H6834" s="110" t="s">
        <v>8933</v>
      </c>
      <c r="I6834" s="30" t="e">
        <f>VLOOKUP(H6834,'合同高级查询数据-4月返'!A:A,1,FALSE)</f>
        <v>#N/A</v>
      </c>
      <c r="J6834" s="31" t="s">
        <v>33</v>
      </c>
      <c r="K6834" s="11" t="s">
        <v>7877</v>
      </c>
      <c r="L6834" s="32" t="s">
        <v>8934</v>
      </c>
      <c r="M6834" s="113" t="s">
        <v>8935</v>
      </c>
      <c r="N6834" s="34"/>
      <c r="O6834" s="35" t="s">
        <v>179</v>
      </c>
      <c r="P6834" s="465">
        <v>0</v>
      </c>
      <c r="Q6834" s="459">
        <v>0</v>
      </c>
      <c r="R6834" s="465">
        <f t="shared" si="197"/>
        <v>0</v>
      </c>
      <c r="S6834" s="31">
        <v>202304</v>
      </c>
      <c r="T6834" s="60" t="s">
        <v>7692</v>
      </c>
      <c r="U6834" s="104"/>
      <c r="V6834" s="438"/>
      <c r="W6834" s="438"/>
      <c r="X6834" s="34"/>
      <c r="Y6834" s="34"/>
    </row>
    <row r="6835" s="3" customFormat="1" customHeight="1" spans="1:25">
      <c r="A6835" s="11" t="s">
        <v>152</v>
      </c>
      <c r="B6835" s="35" t="s">
        <v>7422</v>
      </c>
      <c r="C6835" s="35" t="s">
        <v>188</v>
      </c>
      <c r="D6835" s="35" t="s">
        <v>28</v>
      </c>
      <c r="E6835" s="13" t="s">
        <v>8931</v>
      </c>
      <c r="F6835" s="11" t="s">
        <v>8932</v>
      </c>
      <c r="G6835" s="11" t="s">
        <v>88</v>
      </c>
      <c r="H6835" s="110" t="s">
        <v>8933</v>
      </c>
      <c r="I6835" s="30" t="e">
        <f>VLOOKUP(H6835,'合同高级查询数据-4月返'!A:A,1,FALSE)</f>
        <v>#N/A</v>
      </c>
      <c r="J6835" s="31" t="s">
        <v>162</v>
      </c>
      <c r="K6835" s="11" t="s">
        <v>7877</v>
      </c>
      <c r="L6835" s="32" t="s">
        <v>8934</v>
      </c>
      <c r="M6835" s="113" t="s">
        <v>8935</v>
      </c>
      <c r="N6835" s="34">
        <v>44501</v>
      </c>
      <c r="O6835" s="35" t="s">
        <v>163</v>
      </c>
      <c r="P6835" s="465">
        <v>3500</v>
      </c>
      <c r="Q6835" s="459">
        <v>4</v>
      </c>
      <c r="R6835" s="465">
        <f t="shared" si="197"/>
        <v>14000</v>
      </c>
      <c r="S6835" s="31">
        <v>202304</v>
      </c>
      <c r="T6835" s="60" t="s">
        <v>8938</v>
      </c>
      <c r="U6835" s="104"/>
      <c r="V6835" s="438"/>
      <c r="W6835" s="438"/>
      <c r="X6835" s="34"/>
      <c r="Y6835" s="34"/>
    </row>
    <row r="6836" s="3" customFormat="1" customHeight="1" spans="1:25">
      <c r="A6836" s="11" t="s">
        <v>152</v>
      </c>
      <c r="B6836" s="35" t="s">
        <v>7422</v>
      </c>
      <c r="C6836" s="35" t="s">
        <v>188</v>
      </c>
      <c r="D6836" s="35" t="s">
        <v>28</v>
      </c>
      <c r="E6836" s="13" t="s">
        <v>8931</v>
      </c>
      <c r="F6836" s="11" t="s">
        <v>8932</v>
      </c>
      <c r="G6836" s="11" t="s">
        <v>88</v>
      </c>
      <c r="H6836" s="110" t="s">
        <v>8933</v>
      </c>
      <c r="I6836" s="30" t="e">
        <f>VLOOKUP(H6836,'合同高级查询数据-4月返'!A:A,1,FALSE)</f>
        <v>#N/A</v>
      </c>
      <c r="J6836" s="31" t="s">
        <v>162</v>
      </c>
      <c r="K6836" s="11" t="s">
        <v>7877</v>
      </c>
      <c r="L6836" s="32" t="s">
        <v>8934</v>
      </c>
      <c r="M6836" s="113" t="s">
        <v>8935</v>
      </c>
      <c r="N6836" s="34">
        <v>44936</v>
      </c>
      <c r="O6836" s="35" t="s">
        <v>163</v>
      </c>
      <c r="P6836" s="465">
        <v>3500</v>
      </c>
      <c r="Q6836" s="459">
        <v>-4</v>
      </c>
      <c r="R6836" s="465">
        <f t="shared" si="197"/>
        <v>-14000</v>
      </c>
      <c r="S6836" s="31">
        <v>202304</v>
      </c>
      <c r="T6836" s="60" t="s">
        <v>8939</v>
      </c>
      <c r="U6836" s="104"/>
      <c r="V6836" s="438"/>
      <c r="W6836" s="438"/>
      <c r="X6836" s="34"/>
      <c r="Y6836" s="34"/>
    </row>
    <row r="6837" s="3" customFormat="1" customHeight="1" spans="1:25">
      <c r="A6837" s="11" t="s">
        <v>152</v>
      </c>
      <c r="B6837" s="35" t="s">
        <v>7422</v>
      </c>
      <c r="C6837" s="35" t="s">
        <v>188</v>
      </c>
      <c r="D6837" s="35" t="s">
        <v>28</v>
      </c>
      <c r="E6837" s="13" t="s">
        <v>8931</v>
      </c>
      <c r="F6837" s="11" t="s">
        <v>8932</v>
      </c>
      <c r="G6837" s="11" t="s">
        <v>88</v>
      </c>
      <c r="H6837" s="110" t="s">
        <v>8933</v>
      </c>
      <c r="I6837" s="30" t="e">
        <f>VLOOKUP(H6837,'合同高级查询数据-4月返'!A:A,1,FALSE)</f>
        <v>#N/A</v>
      </c>
      <c r="J6837" s="31" t="s">
        <v>162</v>
      </c>
      <c r="K6837" s="11" t="s">
        <v>7877</v>
      </c>
      <c r="L6837" s="32" t="s">
        <v>8934</v>
      </c>
      <c r="M6837" s="113" t="s">
        <v>8935</v>
      </c>
      <c r="N6837" s="34">
        <v>44937</v>
      </c>
      <c r="O6837" s="35" t="s">
        <v>163</v>
      </c>
      <c r="P6837" s="465">
        <v>3500</v>
      </c>
      <c r="Q6837" s="459">
        <v>4</v>
      </c>
      <c r="R6837" s="465">
        <f t="shared" si="197"/>
        <v>14000</v>
      </c>
      <c r="S6837" s="31">
        <v>202304</v>
      </c>
      <c r="T6837" s="60" t="s">
        <v>8939</v>
      </c>
      <c r="U6837" s="104"/>
      <c r="V6837" s="438"/>
      <c r="W6837" s="438"/>
      <c r="X6837" s="34"/>
      <c r="Y6837" s="34"/>
    </row>
    <row r="6838" s="3" customFormat="1" customHeight="1" spans="1:25">
      <c r="A6838" s="11" t="s">
        <v>152</v>
      </c>
      <c r="B6838" s="35" t="s">
        <v>7422</v>
      </c>
      <c r="C6838" s="35" t="s">
        <v>188</v>
      </c>
      <c r="D6838" s="35" t="s">
        <v>28</v>
      </c>
      <c r="E6838" s="30" t="s">
        <v>8931</v>
      </c>
      <c r="F6838" s="35" t="s">
        <v>8932</v>
      </c>
      <c r="G6838" s="11" t="s">
        <v>31</v>
      </c>
      <c r="H6838" s="110" t="s">
        <v>8933</v>
      </c>
      <c r="I6838" s="30" t="e">
        <f>VLOOKUP(H6838,'合同高级查询数据-4月返'!A:A,1,FALSE)</f>
        <v>#N/A</v>
      </c>
      <c r="J6838" s="31" t="s">
        <v>33</v>
      </c>
      <c r="K6838" s="11" t="s">
        <v>7877</v>
      </c>
      <c r="L6838" s="35" t="s">
        <v>8940</v>
      </c>
      <c r="M6838" s="35" t="s">
        <v>8935</v>
      </c>
      <c r="N6838" s="34">
        <v>44593</v>
      </c>
      <c r="O6838" s="35" t="s">
        <v>37</v>
      </c>
      <c r="P6838" s="488">
        <v>0</v>
      </c>
      <c r="Q6838" s="488">
        <v>288</v>
      </c>
      <c r="R6838" s="465">
        <f t="shared" si="197"/>
        <v>0</v>
      </c>
      <c r="S6838" s="31">
        <v>202304</v>
      </c>
      <c r="T6838" s="30" t="s">
        <v>8941</v>
      </c>
      <c r="U6838" s="35"/>
      <c r="V6838" s="494"/>
      <c r="W6838" s="35"/>
      <c r="X6838" s="34"/>
      <c r="Y6838" s="34"/>
    </row>
    <row r="6839" s="3" customFormat="1" customHeight="1" spans="1:25">
      <c r="A6839" s="11" t="s">
        <v>152</v>
      </c>
      <c r="B6839" s="35" t="s">
        <v>7422</v>
      </c>
      <c r="C6839" s="35" t="s">
        <v>188</v>
      </c>
      <c r="D6839" s="35" t="s">
        <v>28</v>
      </c>
      <c r="E6839" s="30" t="s">
        <v>8931</v>
      </c>
      <c r="F6839" s="35" t="s">
        <v>8932</v>
      </c>
      <c r="G6839" s="11" t="s">
        <v>31</v>
      </c>
      <c r="H6839" s="110" t="s">
        <v>8933</v>
      </c>
      <c r="I6839" s="30" t="e">
        <f>VLOOKUP(H6839,'合同高级查询数据-4月返'!A:A,1,FALSE)</f>
        <v>#N/A</v>
      </c>
      <c r="J6839" s="31" t="s">
        <v>33</v>
      </c>
      <c r="K6839" s="11" t="s">
        <v>7877</v>
      </c>
      <c r="L6839" s="35" t="s">
        <v>8940</v>
      </c>
      <c r="M6839" s="35" t="s">
        <v>8935</v>
      </c>
      <c r="N6839" s="34">
        <v>44868</v>
      </c>
      <c r="O6839" s="35" t="s">
        <v>37</v>
      </c>
      <c r="P6839" s="488">
        <v>0</v>
      </c>
      <c r="Q6839" s="488">
        <v>-128</v>
      </c>
      <c r="R6839" s="465">
        <f t="shared" si="197"/>
        <v>0</v>
      </c>
      <c r="S6839" s="31">
        <v>202304</v>
      </c>
      <c r="T6839" s="30" t="s">
        <v>8942</v>
      </c>
      <c r="U6839" s="35"/>
      <c r="V6839" s="494"/>
      <c r="W6839" s="35"/>
      <c r="X6839" s="34"/>
      <c r="Y6839" s="34"/>
    </row>
    <row r="6840" s="5" customFormat="1" customHeight="1" spans="1:25">
      <c r="A6840" s="24" t="s">
        <v>152</v>
      </c>
      <c r="B6840" s="22" t="s">
        <v>7422</v>
      </c>
      <c r="C6840" s="22" t="s">
        <v>188</v>
      </c>
      <c r="D6840" s="22" t="s">
        <v>28</v>
      </c>
      <c r="E6840" s="46" t="s">
        <v>8931</v>
      </c>
      <c r="F6840" s="22" t="s">
        <v>8932</v>
      </c>
      <c r="G6840" s="24" t="s">
        <v>31</v>
      </c>
      <c r="H6840" s="47" t="s">
        <v>8943</v>
      </c>
      <c r="I6840" s="46" t="e">
        <f>VLOOKUP(H6840,'合同高级查询数据-4月返'!A:A,1,FALSE)</f>
        <v>#N/A</v>
      </c>
      <c r="J6840" s="47" t="s">
        <v>33</v>
      </c>
      <c r="K6840" s="24" t="s">
        <v>7877</v>
      </c>
      <c r="L6840" s="22" t="s">
        <v>8940</v>
      </c>
      <c r="M6840" s="22" t="s">
        <v>8935</v>
      </c>
      <c r="N6840" s="50">
        <v>44733</v>
      </c>
      <c r="O6840" s="22" t="s">
        <v>37</v>
      </c>
      <c r="P6840" s="486">
        <v>0</v>
      </c>
      <c r="Q6840" s="486">
        <v>128</v>
      </c>
      <c r="R6840" s="52">
        <f t="shared" si="197"/>
        <v>0</v>
      </c>
      <c r="S6840" s="47">
        <v>202304</v>
      </c>
      <c r="T6840" s="46" t="s">
        <v>8944</v>
      </c>
      <c r="U6840" s="22"/>
      <c r="V6840" s="72"/>
      <c r="W6840" s="22"/>
      <c r="X6840" s="50">
        <v>44743</v>
      </c>
      <c r="Y6840" s="50">
        <v>45016</v>
      </c>
    </row>
    <row r="6841" s="3" customFormat="1" customHeight="1" spans="1:25">
      <c r="A6841" s="11" t="s">
        <v>152</v>
      </c>
      <c r="B6841" s="35" t="s">
        <v>7422</v>
      </c>
      <c r="C6841" s="35" t="s">
        <v>188</v>
      </c>
      <c r="D6841" s="35" t="s">
        <v>28</v>
      </c>
      <c r="E6841" s="30" t="s">
        <v>8931</v>
      </c>
      <c r="F6841" s="35" t="s">
        <v>8932</v>
      </c>
      <c r="G6841" s="11" t="s">
        <v>31</v>
      </c>
      <c r="H6841" s="110" t="s">
        <v>8933</v>
      </c>
      <c r="I6841" s="30" t="e">
        <f>VLOOKUP(H6841,'合同高级查询数据-4月返'!A:A,1,FALSE)</f>
        <v>#N/A</v>
      </c>
      <c r="J6841" s="31" t="s">
        <v>33</v>
      </c>
      <c r="K6841" s="11" t="s">
        <v>7877</v>
      </c>
      <c r="L6841" s="35" t="s">
        <v>8940</v>
      </c>
      <c r="M6841" s="35" t="s">
        <v>8935</v>
      </c>
      <c r="N6841" s="34">
        <v>44937</v>
      </c>
      <c r="O6841" s="35" t="s">
        <v>37</v>
      </c>
      <c r="P6841" s="488">
        <v>0</v>
      </c>
      <c r="Q6841" s="488">
        <v>-128</v>
      </c>
      <c r="R6841" s="465">
        <f t="shared" si="197"/>
        <v>0</v>
      </c>
      <c r="S6841" s="31">
        <v>202304</v>
      </c>
      <c r="T6841" s="30" t="s">
        <v>8945</v>
      </c>
      <c r="U6841" s="35"/>
      <c r="V6841" s="494"/>
      <c r="W6841" s="35"/>
      <c r="X6841" s="34"/>
      <c r="Y6841" s="34"/>
    </row>
    <row r="6842" s="3" customFormat="1" customHeight="1" spans="1:25">
      <c r="A6842" s="11" t="s">
        <v>152</v>
      </c>
      <c r="B6842" s="35" t="s">
        <v>7422</v>
      </c>
      <c r="C6842" s="35" t="s">
        <v>188</v>
      </c>
      <c r="D6842" s="35" t="s">
        <v>28</v>
      </c>
      <c r="E6842" s="30" t="s">
        <v>8931</v>
      </c>
      <c r="F6842" s="35" t="s">
        <v>8932</v>
      </c>
      <c r="G6842" s="11" t="s">
        <v>31</v>
      </c>
      <c r="H6842" s="110" t="s">
        <v>8933</v>
      </c>
      <c r="I6842" s="30" t="e">
        <f>VLOOKUP(H6842,'合同高级查询数据-4月返'!A:A,1,FALSE)</f>
        <v>#N/A</v>
      </c>
      <c r="J6842" s="31" t="s">
        <v>33</v>
      </c>
      <c r="K6842" s="11" t="s">
        <v>7877</v>
      </c>
      <c r="L6842" s="35" t="s">
        <v>8940</v>
      </c>
      <c r="M6842" s="35" t="s">
        <v>8935</v>
      </c>
      <c r="N6842" s="34">
        <v>44938</v>
      </c>
      <c r="O6842" s="35" t="s">
        <v>37</v>
      </c>
      <c r="P6842" s="488">
        <v>0</v>
      </c>
      <c r="Q6842" s="488">
        <v>128</v>
      </c>
      <c r="R6842" s="465">
        <f t="shared" si="197"/>
        <v>0</v>
      </c>
      <c r="S6842" s="31">
        <v>202304</v>
      </c>
      <c r="T6842" s="30" t="s">
        <v>8945</v>
      </c>
      <c r="U6842" s="35"/>
      <c r="V6842" s="494"/>
      <c r="W6842" s="35"/>
      <c r="X6842" s="34"/>
      <c r="Y6842" s="34"/>
    </row>
    <row r="6843" s="5" customFormat="1" customHeight="1" spans="1:25">
      <c r="A6843" s="24" t="s">
        <v>152</v>
      </c>
      <c r="B6843" s="22" t="s">
        <v>7422</v>
      </c>
      <c r="C6843" s="22" t="s">
        <v>188</v>
      </c>
      <c r="D6843" s="22" t="s">
        <v>28</v>
      </c>
      <c r="E6843" s="46" t="s">
        <v>8931</v>
      </c>
      <c r="F6843" s="22" t="s">
        <v>8932</v>
      </c>
      <c r="G6843" s="24" t="s">
        <v>31</v>
      </c>
      <c r="H6843" s="25" t="s">
        <v>8943</v>
      </c>
      <c r="I6843" s="46" t="e">
        <f>VLOOKUP(H6843,'合同高级查询数据-4月返'!A:A,1,FALSE)</f>
        <v>#N/A</v>
      </c>
      <c r="J6843" s="47" t="s">
        <v>33</v>
      </c>
      <c r="K6843" s="24" t="s">
        <v>7877</v>
      </c>
      <c r="L6843" s="22" t="s">
        <v>8940</v>
      </c>
      <c r="M6843" s="22" t="s">
        <v>8935</v>
      </c>
      <c r="N6843" s="50">
        <v>44957</v>
      </c>
      <c r="O6843" s="22" t="s">
        <v>37</v>
      </c>
      <c r="P6843" s="486">
        <v>0</v>
      </c>
      <c r="Q6843" s="486">
        <v>-128</v>
      </c>
      <c r="R6843" s="52">
        <f t="shared" si="197"/>
        <v>0</v>
      </c>
      <c r="S6843" s="47">
        <v>202304</v>
      </c>
      <c r="T6843" s="46" t="s">
        <v>8946</v>
      </c>
      <c r="U6843" s="22"/>
      <c r="V6843" s="72"/>
      <c r="W6843" s="22"/>
      <c r="X6843" s="50">
        <v>44743</v>
      </c>
      <c r="Y6843" s="50">
        <v>45016</v>
      </c>
    </row>
    <row r="6844" s="3" customFormat="1" customHeight="1" spans="1:25">
      <c r="A6844" s="11" t="s">
        <v>152</v>
      </c>
      <c r="B6844" s="35" t="s">
        <v>7422</v>
      </c>
      <c r="C6844" s="35" t="s">
        <v>188</v>
      </c>
      <c r="D6844" s="35" t="s">
        <v>28</v>
      </c>
      <c r="E6844" s="30" t="s">
        <v>8931</v>
      </c>
      <c r="F6844" s="35" t="s">
        <v>8932</v>
      </c>
      <c r="G6844" s="11" t="s">
        <v>31</v>
      </c>
      <c r="H6844" s="110" t="s">
        <v>8933</v>
      </c>
      <c r="I6844" s="30" t="e">
        <f>VLOOKUP(H6844,'合同高级查询数据-4月返'!A:A,1,FALSE)</f>
        <v>#N/A</v>
      </c>
      <c r="J6844" s="31" t="s">
        <v>33</v>
      </c>
      <c r="K6844" s="11" t="s">
        <v>7877</v>
      </c>
      <c r="L6844" s="35" t="s">
        <v>8940</v>
      </c>
      <c r="M6844" s="35" t="s">
        <v>8935</v>
      </c>
      <c r="N6844" s="34"/>
      <c r="O6844" s="35" t="s">
        <v>179</v>
      </c>
      <c r="P6844" s="488">
        <v>0</v>
      </c>
      <c r="Q6844" s="488">
        <v>0</v>
      </c>
      <c r="R6844" s="465">
        <f t="shared" si="197"/>
        <v>0</v>
      </c>
      <c r="S6844" s="31">
        <v>202304</v>
      </c>
      <c r="T6844" s="30" t="s">
        <v>8947</v>
      </c>
      <c r="U6844" s="35"/>
      <c r="V6844" s="494"/>
      <c r="W6844" s="35"/>
      <c r="X6844" s="34"/>
      <c r="Y6844" s="34"/>
    </row>
    <row r="6845" s="3" customFormat="1" customHeight="1" spans="1:25">
      <c r="A6845" s="11" t="s">
        <v>152</v>
      </c>
      <c r="B6845" s="35" t="s">
        <v>7422</v>
      </c>
      <c r="C6845" s="35" t="s">
        <v>188</v>
      </c>
      <c r="D6845" s="35" t="s">
        <v>28</v>
      </c>
      <c r="E6845" s="30" t="s">
        <v>8931</v>
      </c>
      <c r="F6845" s="35" t="s">
        <v>8932</v>
      </c>
      <c r="G6845" s="11" t="s">
        <v>88</v>
      </c>
      <c r="H6845" s="110" t="s">
        <v>8933</v>
      </c>
      <c r="I6845" s="30" t="e">
        <f>VLOOKUP(H6845,'合同高级查询数据-4月返'!A:A,1,FALSE)</f>
        <v>#N/A</v>
      </c>
      <c r="J6845" s="31" t="s">
        <v>162</v>
      </c>
      <c r="K6845" s="11" t="s">
        <v>7877</v>
      </c>
      <c r="L6845" s="35" t="s">
        <v>8940</v>
      </c>
      <c r="M6845" s="35" t="s">
        <v>8935</v>
      </c>
      <c r="N6845" s="34">
        <v>44593</v>
      </c>
      <c r="O6845" s="35" t="s">
        <v>163</v>
      </c>
      <c r="P6845" s="465">
        <v>3500</v>
      </c>
      <c r="Q6845" s="488">
        <v>4</v>
      </c>
      <c r="R6845" s="465">
        <f t="shared" si="197"/>
        <v>14000</v>
      </c>
      <c r="S6845" s="31">
        <v>202304</v>
      </c>
      <c r="T6845" s="30" t="s">
        <v>8948</v>
      </c>
      <c r="U6845" s="35"/>
      <c r="V6845" s="494"/>
      <c r="W6845" s="35"/>
      <c r="X6845" s="34"/>
      <c r="Y6845" s="34"/>
    </row>
    <row r="6846" s="5" customFormat="1" customHeight="1" spans="1:25">
      <c r="A6846" s="24" t="s">
        <v>152</v>
      </c>
      <c r="B6846" s="22" t="s">
        <v>7422</v>
      </c>
      <c r="C6846" s="22" t="s">
        <v>188</v>
      </c>
      <c r="D6846" s="22" t="s">
        <v>28</v>
      </c>
      <c r="E6846" s="46" t="s">
        <v>8931</v>
      </c>
      <c r="F6846" s="22" t="s">
        <v>8932</v>
      </c>
      <c r="G6846" s="24" t="s">
        <v>88</v>
      </c>
      <c r="H6846" s="25" t="s">
        <v>8943</v>
      </c>
      <c r="I6846" s="46" t="e">
        <f>VLOOKUP(H6846,'合同高级查询数据-4月返'!A:A,1,FALSE)</f>
        <v>#N/A</v>
      </c>
      <c r="J6846" s="47" t="s">
        <v>162</v>
      </c>
      <c r="K6846" s="24" t="s">
        <v>7877</v>
      </c>
      <c r="L6846" s="22" t="s">
        <v>8940</v>
      </c>
      <c r="M6846" s="22" t="s">
        <v>8935</v>
      </c>
      <c r="N6846" s="50">
        <v>44733</v>
      </c>
      <c r="O6846" s="22" t="s">
        <v>163</v>
      </c>
      <c r="P6846" s="52">
        <v>3500</v>
      </c>
      <c r="Q6846" s="486">
        <v>2</v>
      </c>
      <c r="R6846" s="52">
        <f t="shared" si="197"/>
        <v>7000</v>
      </c>
      <c r="S6846" s="47">
        <v>202304</v>
      </c>
      <c r="T6846" s="46" t="s">
        <v>8949</v>
      </c>
      <c r="U6846" s="22"/>
      <c r="V6846" s="72"/>
      <c r="W6846" s="22"/>
      <c r="X6846" s="50">
        <v>44743</v>
      </c>
      <c r="Y6846" s="50">
        <v>45016</v>
      </c>
    </row>
    <row r="6847" s="3" customFormat="1" customHeight="1" spans="1:25">
      <c r="A6847" s="11" t="s">
        <v>152</v>
      </c>
      <c r="B6847" s="35" t="s">
        <v>7422</v>
      </c>
      <c r="C6847" s="35" t="s">
        <v>188</v>
      </c>
      <c r="D6847" s="35" t="s">
        <v>28</v>
      </c>
      <c r="E6847" s="30" t="s">
        <v>8931</v>
      </c>
      <c r="F6847" s="35" t="s">
        <v>8932</v>
      </c>
      <c r="G6847" s="11" t="s">
        <v>88</v>
      </c>
      <c r="H6847" s="110" t="s">
        <v>8933</v>
      </c>
      <c r="I6847" s="30" t="e">
        <f>VLOOKUP(H6847,'合同高级查询数据-4月返'!A:A,1,FALSE)</f>
        <v>#N/A</v>
      </c>
      <c r="J6847" s="31" t="s">
        <v>162</v>
      </c>
      <c r="K6847" s="11" t="s">
        <v>7877</v>
      </c>
      <c r="L6847" s="35" t="s">
        <v>8940</v>
      </c>
      <c r="M6847" s="35" t="s">
        <v>8935</v>
      </c>
      <c r="N6847" s="34">
        <v>44937</v>
      </c>
      <c r="O6847" s="35" t="s">
        <v>163</v>
      </c>
      <c r="P6847" s="465">
        <v>3500</v>
      </c>
      <c r="Q6847" s="488">
        <v>-4</v>
      </c>
      <c r="R6847" s="465">
        <f t="shared" si="197"/>
        <v>-14000</v>
      </c>
      <c r="S6847" s="31">
        <v>202304</v>
      </c>
      <c r="T6847" s="30" t="s">
        <v>8950</v>
      </c>
      <c r="U6847" s="35"/>
      <c r="V6847" s="494"/>
      <c r="W6847" s="35"/>
      <c r="X6847" s="34"/>
      <c r="Y6847" s="34"/>
    </row>
    <row r="6848" s="3" customFormat="1" customHeight="1" spans="1:25">
      <c r="A6848" s="11" t="s">
        <v>152</v>
      </c>
      <c r="B6848" s="35" t="s">
        <v>7422</v>
      </c>
      <c r="C6848" s="35" t="s">
        <v>188</v>
      </c>
      <c r="D6848" s="35" t="s">
        <v>28</v>
      </c>
      <c r="E6848" s="30" t="s">
        <v>8931</v>
      </c>
      <c r="F6848" s="35" t="s">
        <v>8932</v>
      </c>
      <c r="G6848" s="11" t="s">
        <v>88</v>
      </c>
      <c r="H6848" s="110" t="s">
        <v>8933</v>
      </c>
      <c r="I6848" s="30" t="e">
        <f>VLOOKUP(H6848,'合同高级查询数据-4月返'!A:A,1,FALSE)</f>
        <v>#N/A</v>
      </c>
      <c r="J6848" s="31" t="s">
        <v>162</v>
      </c>
      <c r="K6848" s="11" t="s">
        <v>7877</v>
      </c>
      <c r="L6848" s="35" t="s">
        <v>8940</v>
      </c>
      <c r="M6848" s="35" t="s">
        <v>8935</v>
      </c>
      <c r="N6848" s="34">
        <v>44938</v>
      </c>
      <c r="O6848" s="35" t="s">
        <v>163</v>
      </c>
      <c r="P6848" s="465">
        <v>3500</v>
      </c>
      <c r="Q6848" s="488">
        <v>4</v>
      </c>
      <c r="R6848" s="465">
        <f t="shared" si="197"/>
        <v>14000</v>
      </c>
      <c r="S6848" s="31">
        <v>202304</v>
      </c>
      <c r="T6848" s="30" t="s">
        <v>8950</v>
      </c>
      <c r="U6848" s="35"/>
      <c r="V6848" s="494"/>
      <c r="W6848" s="35"/>
      <c r="X6848" s="34"/>
      <c r="Y6848" s="34"/>
    </row>
    <row r="6849" s="5" customFormat="1" customHeight="1" spans="1:25">
      <c r="A6849" s="24" t="s">
        <v>152</v>
      </c>
      <c r="B6849" s="22" t="s">
        <v>7422</v>
      </c>
      <c r="C6849" s="22" t="s">
        <v>188</v>
      </c>
      <c r="D6849" s="22" t="s">
        <v>28</v>
      </c>
      <c r="E6849" s="46" t="s">
        <v>8931</v>
      </c>
      <c r="F6849" s="22" t="s">
        <v>8932</v>
      </c>
      <c r="G6849" s="24" t="s">
        <v>88</v>
      </c>
      <c r="H6849" s="25" t="s">
        <v>8943</v>
      </c>
      <c r="I6849" s="46" t="e">
        <f>VLOOKUP(H6849,'合同高级查询数据-4月返'!A:A,1,FALSE)</f>
        <v>#N/A</v>
      </c>
      <c r="J6849" s="47" t="s">
        <v>162</v>
      </c>
      <c r="K6849" s="24" t="s">
        <v>7877</v>
      </c>
      <c r="L6849" s="22" t="s">
        <v>8940</v>
      </c>
      <c r="M6849" s="22" t="s">
        <v>8935</v>
      </c>
      <c r="N6849" s="50">
        <v>44957</v>
      </c>
      <c r="O6849" s="22" t="s">
        <v>163</v>
      </c>
      <c r="P6849" s="52">
        <v>3500</v>
      </c>
      <c r="Q6849" s="486">
        <v>-2</v>
      </c>
      <c r="R6849" s="52">
        <f t="shared" si="197"/>
        <v>-7000</v>
      </c>
      <c r="S6849" s="47">
        <v>202304</v>
      </c>
      <c r="T6849" s="46" t="s">
        <v>8951</v>
      </c>
      <c r="U6849" s="22"/>
      <c r="V6849" s="72"/>
      <c r="W6849" s="22"/>
      <c r="X6849" s="50">
        <v>44743</v>
      </c>
      <c r="Y6849" s="50">
        <v>45016</v>
      </c>
    </row>
    <row r="6850" s="5" customFormat="1" customHeight="1" spans="1:25">
      <c r="A6850" s="24" t="s">
        <v>152</v>
      </c>
      <c r="B6850" s="22" t="s">
        <v>7422</v>
      </c>
      <c r="C6850" s="22" t="s">
        <v>188</v>
      </c>
      <c r="D6850" s="22" t="s">
        <v>28</v>
      </c>
      <c r="E6850" s="46" t="s">
        <v>8931</v>
      </c>
      <c r="F6850" s="22" t="s">
        <v>8932</v>
      </c>
      <c r="G6850" s="24" t="s">
        <v>31</v>
      </c>
      <c r="H6850" s="47" t="s">
        <v>8952</v>
      </c>
      <c r="I6850" s="46" t="e">
        <f>VLOOKUP(H6850,'合同高级查询数据-4月返'!A:A,1,FALSE)</f>
        <v>#N/A</v>
      </c>
      <c r="J6850" s="47" t="s">
        <v>33</v>
      </c>
      <c r="K6850" s="24" t="s">
        <v>7576</v>
      </c>
      <c r="L6850" s="22" t="s">
        <v>8953</v>
      </c>
      <c r="M6850" s="22" t="s">
        <v>7578</v>
      </c>
      <c r="N6850" s="50">
        <v>44654</v>
      </c>
      <c r="O6850" s="22" t="s">
        <v>37</v>
      </c>
      <c r="P6850" s="486">
        <v>0</v>
      </c>
      <c r="Q6850" s="486">
        <v>288</v>
      </c>
      <c r="R6850" s="52">
        <f t="shared" si="197"/>
        <v>0</v>
      </c>
      <c r="S6850" s="47">
        <v>202304</v>
      </c>
      <c r="T6850" s="46" t="s">
        <v>8954</v>
      </c>
      <c r="U6850" s="22"/>
      <c r="V6850" s="72"/>
      <c r="W6850" s="22"/>
      <c r="X6850" s="50">
        <v>44654</v>
      </c>
      <c r="Y6850" s="50">
        <v>45016</v>
      </c>
    </row>
    <row r="6851" s="5" customFormat="1" customHeight="1" spans="1:25">
      <c r="A6851" s="24" t="s">
        <v>152</v>
      </c>
      <c r="B6851" s="22" t="s">
        <v>7422</v>
      </c>
      <c r="C6851" s="22" t="s">
        <v>188</v>
      </c>
      <c r="D6851" s="22" t="s">
        <v>28</v>
      </c>
      <c r="E6851" s="46" t="s">
        <v>8931</v>
      </c>
      <c r="F6851" s="22" t="s">
        <v>8932</v>
      </c>
      <c r="G6851" s="24" t="s">
        <v>31</v>
      </c>
      <c r="H6851" s="47" t="s">
        <v>8952</v>
      </c>
      <c r="I6851" s="46" t="e">
        <f>VLOOKUP(H6851,'合同高级查询数据-4月返'!A:A,1,FALSE)</f>
        <v>#N/A</v>
      </c>
      <c r="J6851" s="47" t="s">
        <v>33</v>
      </c>
      <c r="K6851" s="24" t="s">
        <v>7576</v>
      </c>
      <c r="L6851" s="22" t="s">
        <v>8953</v>
      </c>
      <c r="M6851" s="22" t="s">
        <v>7578</v>
      </c>
      <c r="N6851" s="50"/>
      <c r="O6851" s="22" t="s">
        <v>179</v>
      </c>
      <c r="P6851" s="486">
        <v>0</v>
      </c>
      <c r="Q6851" s="486">
        <v>0</v>
      </c>
      <c r="R6851" s="52">
        <f t="shared" si="197"/>
        <v>0</v>
      </c>
      <c r="S6851" s="47">
        <v>202304</v>
      </c>
      <c r="T6851" s="46" t="s">
        <v>8955</v>
      </c>
      <c r="U6851" s="22"/>
      <c r="V6851" s="72"/>
      <c r="W6851" s="22"/>
      <c r="X6851" s="50">
        <v>44654</v>
      </c>
      <c r="Y6851" s="50">
        <v>45016</v>
      </c>
    </row>
    <row r="6852" s="5" customFormat="1" customHeight="1" spans="1:25">
      <c r="A6852" s="24" t="s">
        <v>152</v>
      </c>
      <c r="B6852" s="22" t="s">
        <v>7422</v>
      </c>
      <c r="C6852" s="22" t="s">
        <v>188</v>
      </c>
      <c r="D6852" s="22" t="s">
        <v>28</v>
      </c>
      <c r="E6852" s="46" t="s">
        <v>8931</v>
      </c>
      <c r="F6852" s="22" t="s">
        <v>8932</v>
      </c>
      <c r="G6852" s="24" t="s">
        <v>88</v>
      </c>
      <c r="H6852" s="47" t="s">
        <v>8952</v>
      </c>
      <c r="I6852" s="46" t="e">
        <f>VLOOKUP(H6852,'合同高级查询数据-4月返'!A:A,1,FALSE)</f>
        <v>#N/A</v>
      </c>
      <c r="J6852" s="47" t="s">
        <v>162</v>
      </c>
      <c r="K6852" s="24" t="s">
        <v>7576</v>
      </c>
      <c r="L6852" s="22" t="s">
        <v>8953</v>
      </c>
      <c r="M6852" s="22" t="s">
        <v>7578</v>
      </c>
      <c r="N6852" s="50">
        <v>44654</v>
      </c>
      <c r="O6852" s="22" t="s">
        <v>503</v>
      </c>
      <c r="P6852" s="486">
        <v>4000</v>
      </c>
      <c r="Q6852" s="486">
        <v>3</v>
      </c>
      <c r="R6852" s="52">
        <f t="shared" si="197"/>
        <v>12000</v>
      </c>
      <c r="S6852" s="47">
        <v>202304</v>
      </c>
      <c r="T6852" s="46" t="s">
        <v>8956</v>
      </c>
      <c r="U6852" s="22"/>
      <c r="V6852" s="72"/>
      <c r="W6852" s="22"/>
      <c r="X6852" s="50">
        <v>44654</v>
      </c>
      <c r="Y6852" s="50">
        <v>45016</v>
      </c>
    </row>
    <row r="6853" s="5" customFormat="1" customHeight="1" spans="1:25">
      <c r="A6853" s="24" t="s">
        <v>152</v>
      </c>
      <c r="B6853" s="22" t="s">
        <v>7422</v>
      </c>
      <c r="C6853" s="22" t="s">
        <v>188</v>
      </c>
      <c r="D6853" s="22" t="s">
        <v>28</v>
      </c>
      <c r="E6853" s="46" t="s">
        <v>8931</v>
      </c>
      <c r="F6853" s="22" t="s">
        <v>8932</v>
      </c>
      <c r="G6853" s="24" t="s">
        <v>88</v>
      </c>
      <c r="H6853" s="47" t="s">
        <v>8952</v>
      </c>
      <c r="I6853" s="46" t="e">
        <f>VLOOKUP(H6853,'合同高级查询数据-4月返'!A:A,1,FALSE)</f>
        <v>#N/A</v>
      </c>
      <c r="J6853" s="47" t="s">
        <v>162</v>
      </c>
      <c r="K6853" s="24" t="s">
        <v>7576</v>
      </c>
      <c r="L6853" s="22" t="s">
        <v>8953</v>
      </c>
      <c r="M6853" s="22" t="s">
        <v>7578</v>
      </c>
      <c r="N6853" s="50">
        <v>44757</v>
      </c>
      <c r="O6853" s="22" t="s">
        <v>503</v>
      </c>
      <c r="P6853" s="486">
        <v>4000</v>
      </c>
      <c r="Q6853" s="486">
        <v>-3</v>
      </c>
      <c r="R6853" s="52">
        <f t="shared" si="197"/>
        <v>-12000</v>
      </c>
      <c r="S6853" s="47">
        <v>202304</v>
      </c>
      <c r="T6853" s="46" t="s">
        <v>8957</v>
      </c>
      <c r="U6853" s="22"/>
      <c r="V6853" s="72"/>
      <c r="W6853" s="22"/>
      <c r="X6853" s="50">
        <v>44654</v>
      </c>
      <c r="Y6853" s="50">
        <v>45016</v>
      </c>
    </row>
    <row r="6854" s="5" customFormat="1" customHeight="1" spans="1:25">
      <c r="A6854" s="24" t="s">
        <v>25</v>
      </c>
      <c r="B6854" s="22" t="s">
        <v>7422</v>
      </c>
      <c r="C6854" s="22" t="s">
        <v>188</v>
      </c>
      <c r="D6854" s="22" t="s">
        <v>28</v>
      </c>
      <c r="E6854" s="46" t="s">
        <v>8931</v>
      </c>
      <c r="F6854" s="22" t="s">
        <v>8932</v>
      </c>
      <c r="G6854" s="24" t="s">
        <v>31</v>
      </c>
      <c r="H6854" s="47" t="s">
        <v>8958</v>
      </c>
      <c r="I6854" s="46" t="e">
        <f>VLOOKUP(H6854,'合同高级查询数据-4月返'!A:A,1,FALSE)</f>
        <v>#N/A</v>
      </c>
      <c r="J6854" s="47" t="s">
        <v>33</v>
      </c>
      <c r="K6854" s="24" t="s">
        <v>8959</v>
      </c>
      <c r="L6854" s="22" t="s">
        <v>8960</v>
      </c>
      <c r="M6854" s="22" t="s">
        <v>8961</v>
      </c>
      <c r="N6854" s="50">
        <v>44744</v>
      </c>
      <c r="O6854" s="22" t="s">
        <v>37</v>
      </c>
      <c r="P6854" s="486">
        <v>0</v>
      </c>
      <c r="Q6854" s="486">
        <v>288</v>
      </c>
      <c r="R6854" s="52">
        <f t="shared" si="197"/>
        <v>0</v>
      </c>
      <c r="S6854" s="47">
        <v>202304</v>
      </c>
      <c r="T6854" s="46" t="s">
        <v>8962</v>
      </c>
      <c r="U6854" s="22"/>
      <c r="V6854" s="72"/>
      <c r="W6854" s="22"/>
      <c r="X6854" s="50">
        <v>44744</v>
      </c>
      <c r="Y6854" s="50">
        <v>45016</v>
      </c>
    </row>
    <row r="6855" s="5" customFormat="1" customHeight="1" spans="1:25">
      <c r="A6855" s="24" t="s">
        <v>25</v>
      </c>
      <c r="B6855" s="22" t="s">
        <v>7422</v>
      </c>
      <c r="C6855" s="22" t="s">
        <v>188</v>
      </c>
      <c r="D6855" s="22" t="s">
        <v>28</v>
      </c>
      <c r="E6855" s="46" t="s">
        <v>8931</v>
      </c>
      <c r="F6855" s="22" t="s">
        <v>8932</v>
      </c>
      <c r="G6855" s="24" t="s">
        <v>31</v>
      </c>
      <c r="H6855" s="47" t="s">
        <v>8958</v>
      </c>
      <c r="I6855" s="46" t="e">
        <f>VLOOKUP(H6855,'合同高级查询数据-4月返'!A:A,1,FALSE)</f>
        <v>#N/A</v>
      </c>
      <c r="J6855" s="47" t="s">
        <v>33</v>
      </c>
      <c r="K6855" s="24" t="s">
        <v>8959</v>
      </c>
      <c r="L6855" s="22" t="s">
        <v>8960</v>
      </c>
      <c r="M6855" s="22" t="s">
        <v>8961</v>
      </c>
      <c r="N6855" s="50"/>
      <c r="O6855" s="22"/>
      <c r="P6855" s="486">
        <v>0</v>
      </c>
      <c r="Q6855" s="486">
        <v>0</v>
      </c>
      <c r="R6855" s="52">
        <f t="shared" si="197"/>
        <v>0</v>
      </c>
      <c r="S6855" s="47">
        <v>202304</v>
      </c>
      <c r="T6855" s="46" t="s">
        <v>8963</v>
      </c>
      <c r="U6855" s="22"/>
      <c r="V6855" s="72"/>
      <c r="W6855" s="22"/>
      <c r="X6855" s="50">
        <v>44744</v>
      </c>
      <c r="Y6855" s="50">
        <v>45016</v>
      </c>
    </row>
    <row r="6856" s="5" customFormat="1" customHeight="1" spans="1:25">
      <c r="A6856" s="24" t="s">
        <v>25</v>
      </c>
      <c r="B6856" s="22" t="s">
        <v>7422</v>
      </c>
      <c r="C6856" s="22" t="s">
        <v>188</v>
      </c>
      <c r="D6856" s="22" t="s">
        <v>28</v>
      </c>
      <c r="E6856" s="46" t="s">
        <v>8931</v>
      </c>
      <c r="F6856" s="22" t="s">
        <v>8932</v>
      </c>
      <c r="G6856" s="24" t="s">
        <v>88</v>
      </c>
      <c r="H6856" s="47" t="s">
        <v>8958</v>
      </c>
      <c r="I6856" s="46" t="e">
        <f>VLOOKUP(H6856,'合同高级查询数据-4月返'!A:A,1,FALSE)</f>
        <v>#N/A</v>
      </c>
      <c r="J6856" s="47" t="s">
        <v>162</v>
      </c>
      <c r="K6856" s="24" t="s">
        <v>8959</v>
      </c>
      <c r="L6856" s="22" t="s">
        <v>8960</v>
      </c>
      <c r="M6856" s="22" t="s">
        <v>8961</v>
      </c>
      <c r="N6856" s="50">
        <v>44744</v>
      </c>
      <c r="O6856" s="22" t="s">
        <v>92</v>
      </c>
      <c r="P6856" s="486">
        <v>4500</v>
      </c>
      <c r="Q6856" s="486">
        <v>5</v>
      </c>
      <c r="R6856" s="52">
        <f t="shared" si="197"/>
        <v>22500</v>
      </c>
      <c r="S6856" s="47">
        <v>202304</v>
      </c>
      <c r="T6856" s="46" t="s">
        <v>8964</v>
      </c>
      <c r="U6856" s="22"/>
      <c r="V6856" s="72"/>
      <c r="W6856" s="22"/>
      <c r="X6856" s="50">
        <v>44744</v>
      </c>
      <c r="Y6856" s="50">
        <v>45016</v>
      </c>
    </row>
    <row r="6857" s="5" customFormat="1" customHeight="1" spans="1:25">
      <c r="A6857" s="24" t="s">
        <v>25</v>
      </c>
      <c r="B6857" s="22" t="s">
        <v>7422</v>
      </c>
      <c r="C6857" s="22" t="s">
        <v>188</v>
      </c>
      <c r="D6857" s="22" t="s">
        <v>28</v>
      </c>
      <c r="E6857" s="46" t="s">
        <v>8931</v>
      </c>
      <c r="F6857" s="22" t="s">
        <v>8932</v>
      </c>
      <c r="G6857" s="24" t="s">
        <v>88</v>
      </c>
      <c r="H6857" s="47" t="s">
        <v>8958</v>
      </c>
      <c r="I6857" s="46" t="e">
        <f>VLOOKUP(H6857,'合同高级查询数据-4月返'!A:A,1,FALSE)</f>
        <v>#N/A</v>
      </c>
      <c r="J6857" s="47" t="s">
        <v>162</v>
      </c>
      <c r="K6857" s="24" t="s">
        <v>8959</v>
      </c>
      <c r="L6857" s="22" t="s">
        <v>8960</v>
      </c>
      <c r="M6857" s="22" t="s">
        <v>8961</v>
      </c>
      <c r="N6857" s="50">
        <v>44795</v>
      </c>
      <c r="O6857" s="22" t="s">
        <v>92</v>
      </c>
      <c r="P6857" s="486">
        <v>4500</v>
      </c>
      <c r="Q6857" s="486">
        <v>-1</v>
      </c>
      <c r="R6857" s="52">
        <f t="shared" si="197"/>
        <v>-4500</v>
      </c>
      <c r="S6857" s="47">
        <v>202304</v>
      </c>
      <c r="T6857" s="46" t="s">
        <v>8965</v>
      </c>
      <c r="U6857" s="22"/>
      <c r="V6857" s="72"/>
      <c r="W6857" s="22"/>
      <c r="X6857" s="50">
        <v>44744</v>
      </c>
      <c r="Y6857" s="50">
        <v>45016</v>
      </c>
    </row>
    <row r="6858" s="5" customFormat="1" customHeight="1" spans="1:25">
      <c r="A6858" s="24" t="s">
        <v>25</v>
      </c>
      <c r="B6858" s="22" t="s">
        <v>7422</v>
      </c>
      <c r="C6858" s="22" t="s">
        <v>188</v>
      </c>
      <c r="D6858" s="22" t="s">
        <v>28</v>
      </c>
      <c r="E6858" s="46" t="s">
        <v>8931</v>
      </c>
      <c r="F6858" s="22" t="s">
        <v>8932</v>
      </c>
      <c r="G6858" s="24" t="s">
        <v>88</v>
      </c>
      <c r="H6858" s="47" t="s">
        <v>8958</v>
      </c>
      <c r="I6858" s="46" t="e">
        <f>VLOOKUP(H6858,'合同高级查询数据-4月返'!A:A,1,FALSE)</f>
        <v>#N/A</v>
      </c>
      <c r="J6858" s="47" t="s">
        <v>162</v>
      </c>
      <c r="K6858" s="24" t="s">
        <v>8959</v>
      </c>
      <c r="L6858" s="22" t="s">
        <v>8960</v>
      </c>
      <c r="M6858" s="22" t="s">
        <v>8961</v>
      </c>
      <c r="N6858" s="50">
        <v>44985</v>
      </c>
      <c r="O6858" s="22" t="s">
        <v>92</v>
      </c>
      <c r="P6858" s="486">
        <v>4500</v>
      </c>
      <c r="Q6858" s="486">
        <v>-4</v>
      </c>
      <c r="R6858" s="52">
        <f t="shared" si="197"/>
        <v>-18000</v>
      </c>
      <c r="S6858" s="47">
        <v>202304</v>
      </c>
      <c r="T6858" s="46" t="s">
        <v>8966</v>
      </c>
      <c r="U6858" s="22"/>
      <c r="V6858" s="72"/>
      <c r="W6858" s="22"/>
      <c r="X6858" s="50">
        <v>44744</v>
      </c>
      <c r="Y6858" s="50">
        <v>45016</v>
      </c>
    </row>
    <row r="6859" s="3" customFormat="1" customHeight="1" spans="1:25">
      <c r="A6859" s="11" t="s">
        <v>152</v>
      </c>
      <c r="B6859" s="35" t="s">
        <v>7422</v>
      </c>
      <c r="C6859" s="35" t="s">
        <v>188</v>
      </c>
      <c r="D6859" s="35" t="s">
        <v>28</v>
      </c>
      <c r="E6859" s="30" t="s">
        <v>8931</v>
      </c>
      <c r="F6859" s="35" t="s">
        <v>8932</v>
      </c>
      <c r="G6859" s="11" t="s">
        <v>31</v>
      </c>
      <c r="H6859" s="31" t="s">
        <v>8967</v>
      </c>
      <c r="I6859" s="30" t="e">
        <f>VLOOKUP(H6859,'合同高级查询数据-4月返'!A:A,1,FALSE)</f>
        <v>#N/A</v>
      </c>
      <c r="J6859" s="31" t="s">
        <v>33</v>
      </c>
      <c r="K6859" s="11" t="s">
        <v>8968</v>
      </c>
      <c r="L6859" s="35" t="s">
        <v>8969</v>
      </c>
      <c r="M6859" s="35" t="s">
        <v>8970</v>
      </c>
      <c r="N6859" s="34">
        <v>44806</v>
      </c>
      <c r="O6859" s="35" t="s">
        <v>37</v>
      </c>
      <c r="P6859" s="488">
        <v>0</v>
      </c>
      <c r="Q6859" s="488">
        <v>288</v>
      </c>
      <c r="R6859" s="465">
        <f t="shared" si="197"/>
        <v>0</v>
      </c>
      <c r="S6859" s="31">
        <v>202304</v>
      </c>
      <c r="T6859" s="30" t="s">
        <v>8971</v>
      </c>
      <c r="U6859" s="35"/>
      <c r="V6859" s="494"/>
      <c r="W6859" s="35"/>
      <c r="X6859" s="34"/>
      <c r="Y6859" s="34"/>
    </row>
    <row r="6860" s="3" customFormat="1" customHeight="1" spans="1:25">
      <c r="A6860" s="11" t="s">
        <v>152</v>
      </c>
      <c r="B6860" s="35" t="s">
        <v>7422</v>
      </c>
      <c r="C6860" s="35" t="s">
        <v>188</v>
      </c>
      <c r="D6860" s="35" t="s">
        <v>28</v>
      </c>
      <c r="E6860" s="30" t="s">
        <v>8931</v>
      </c>
      <c r="F6860" s="35" t="s">
        <v>8932</v>
      </c>
      <c r="G6860" s="11" t="s">
        <v>31</v>
      </c>
      <c r="H6860" s="31" t="s">
        <v>8967</v>
      </c>
      <c r="I6860" s="30" t="e">
        <f>VLOOKUP(H6860,'合同高级查询数据-4月返'!A:A,1,FALSE)</f>
        <v>#N/A</v>
      </c>
      <c r="J6860" s="31" t="s">
        <v>33</v>
      </c>
      <c r="K6860" s="11" t="s">
        <v>8968</v>
      </c>
      <c r="L6860" s="35" t="s">
        <v>8969</v>
      </c>
      <c r="M6860" s="35" t="s">
        <v>8970</v>
      </c>
      <c r="N6860" s="34"/>
      <c r="O6860" s="35" t="s">
        <v>179</v>
      </c>
      <c r="P6860" s="488">
        <v>0</v>
      </c>
      <c r="Q6860" s="488">
        <v>0</v>
      </c>
      <c r="R6860" s="465">
        <f t="shared" si="197"/>
        <v>0</v>
      </c>
      <c r="S6860" s="31">
        <v>202304</v>
      </c>
      <c r="T6860" s="30" t="s">
        <v>8972</v>
      </c>
      <c r="U6860" s="35"/>
      <c r="V6860" s="494"/>
      <c r="W6860" s="35"/>
      <c r="X6860" s="34"/>
      <c r="Y6860" s="34"/>
    </row>
    <row r="6861" s="3" customFormat="1" customHeight="1" spans="1:25">
      <c r="A6861" s="11" t="s">
        <v>152</v>
      </c>
      <c r="B6861" s="35" t="s">
        <v>7422</v>
      </c>
      <c r="C6861" s="35" t="s">
        <v>188</v>
      </c>
      <c r="D6861" s="35" t="s">
        <v>28</v>
      </c>
      <c r="E6861" s="30" t="s">
        <v>8931</v>
      </c>
      <c r="F6861" s="35" t="s">
        <v>8932</v>
      </c>
      <c r="G6861" s="11" t="s">
        <v>88</v>
      </c>
      <c r="H6861" s="31" t="s">
        <v>8967</v>
      </c>
      <c r="I6861" s="30" t="e">
        <f>VLOOKUP(H6861,'合同高级查询数据-4月返'!A:A,1,FALSE)</f>
        <v>#N/A</v>
      </c>
      <c r="J6861" s="31" t="s">
        <v>162</v>
      </c>
      <c r="K6861" s="11" t="s">
        <v>8968</v>
      </c>
      <c r="L6861" s="35" t="s">
        <v>8969</v>
      </c>
      <c r="M6861" s="35" t="s">
        <v>8970</v>
      </c>
      <c r="N6861" s="34">
        <v>44806</v>
      </c>
      <c r="O6861" s="35" t="s">
        <v>92</v>
      </c>
      <c r="P6861" s="488">
        <v>3000</v>
      </c>
      <c r="Q6861" s="488">
        <v>3</v>
      </c>
      <c r="R6861" s="465">
        <f t="shared" si="197"/>
        <v>9000</v>
      </c>
      <c r="S6861" s="31">
        <v>202304</v>
      </c>
      <c r="T6861" s="30" t="s">
        <v>8973</v>
      </c>
      <c r="U6861" s="35"/>
      <c r="V6861" s="494"/>
      <c r="W6861" s="35"/>
      <c r="X6861" s="34"/>
      <c r="Y6861" s="34"/>
    </row>
    <row r="6862" s="5" customFormat="1" customHeight="1" spans="1:25">
      <c r="A6862" s="24" t="s">
        <v>25</v>
      </c>
      <c r="B6862" s="22" t="s">
        <v>7422</v>
      </c>
      <c r="C6862" s="22" t="s">
        <v>188</v>
      </c>
      <c r="D6862" s="22" t="s">
        <v>28</v>
      </c>
      <c r="E6862" s="46" t="s">
        <v>8931</v>
      </c>
      <c r="F6862" s="22" t="s">
        <v>8932</v>
      </c>
      <c r="G6862" s="24" t="s">
        <v>31</v>
      </c>
      <c r="H6862" s="47" t="s">
        <v>8974</v>
      </c>
      <c r="I6862" s="46" t="e">
        <f>VLOOKUP(H6862,'合同高级查询数据-4月返'!A:A,1,FALSE)</f>
        <v>#N/A</v>
      </c>
      <c r="J6862" s="47" t="s">
        <v>33</v>
      </c>
      <c r="K6862" s="24" t="s">
        <v>8968</v>
      </c>
      <c r="L6862" s="22" t="s">
        <v>8975</v>
      </c>
      <c r="M6862" s="22" t="s">
        <v>8976</v>
      </c>
      <c r="N6862" s="50">
        <v>44805</v>
      </c>
      <c r="O6862" s="72" t="s">
        <v>37</v>
      </c>
      <c r="P6862" s="486">
        <v>0</v>
      </c>
      <c r="Q6862" s="486">
        <v>288</v>
      </c>
      <c r="R6862" s="52">
        <f t="shared" si="197"/>
        <v>0</v>
      </c>
      <c r="S6862" s="47">
        <v>202304</v>
      </c>
      <c r="T6862" s="46" t="s">
        <v>8977</v>
      </c>
      <c r="U6862" s="22"/>
      <c r="V6862" s="72"/>
      <c r="W6862" s="22"/>
      <c r="X6862" s="50">
        <v>44805</v>
      </c>
      <c r="Y6862" s="471">
        <v>45016</v>
      </c>
    </row>
    <row r="6863" s="5" customFormat="1" customHeight="1" spans="1:25">
      <c r="A6863" s="24" t="s">
        <v>25</v>
      </c>
      <c r="B6863" s="22" t="s">
        <v>7422</v>
      </c>
      <c r="C6863" s="22" t="s">
        <v>188</v>
      </c>
      <c r="D6863" s="22" t="s">
        <v>28</v>
      </c>
      <c r="E6863" s="46" t="s">
        <v>8931</v>
      </c>
      <c r="F6863" s="22" t="s">
        <v>8932</v>
      </c>
      <c r="G6863" s="24" t="s">
        <v>31</v>
      </c>
      <c r="H6863" s="47" t="s">
        <v>8974</v>
      </c>
      <c r="I6863" s="46" t="e">
        <f>VLOOKUP(H6863,'合同高级查询数据-4月返'!A:A,1,FALSE)</f>
        <v>#N/A</v>
      </c>
      <c r="J6863" s="47" t="s">
        <v>33</v>
      </c>
      <c r="K6863" s="24" t="s">
        <v>8968</v>
      </c>
      <c r="L6863" s="22" t="s">
        <v>8975</v>
      </c>
      <c r="M6863" s="22" t="s">
        <v>8976</v>
      </c>
      <c r="N6863" s="50"/>
      <c r="O6863" s="22" t="s">
        <v>179</v>
      </c>
      <c r="P6863" s="486">
        <v>0</v>
      </c>
      <c r="Q6863" s="486">
        <v>0</v>
      </c>
      <c r="R6863" s="52">
        <f t="shared" si="197"/>
        <v>0</v>
      </c>
      <c r="S6863" s="47">
        <v>202304</v>
      </c>
      <c r="T6863" s="46" t="s">
        <v>8978</v>
      </c>
      <c r="U6863" s="22"/>
      <c r="V6863" s="72"/>
      <c r="W6863" s="22"/>
      <c r="X6863" s="50">
        <v>44805</v>
      </c>
      <c r="Y6863" s="471">
        <v>45016</v>
      </c>
    </row>
    <row r="6864" s="5" customFormat="1" customHeight="1" spans="1:25">
      <c r="A6864" s="24" t="s">
        <v>25</v>
      </c>
      <c r="B6864" s="22" t="s">
        <v>7422</v>
      </c>
      <c r="C6864" s="22" t="s">
        <v>188</v>
      </c>
      <c r="D6864" s="22" t="s">
        <v>28</v>
      </c>
      <c r="E6864" s="46" t="s">
        <v>8931</v>
      </c>
      <c r="F6864" s="22" t="s">
        <v>8932</v>
      </c>
      <c r="G6864" s="24" t="s">
        <v>88</v>
      </c>
      <c r="H6864" s="47" t="s">
        <v>8974</v>
      </c>
      <c r="I6864" s="46" t="e">
        <f>VLOOKUP(H6864,'合同高级查询数据-4月返'!A:A,1,FALSE)</f>
        <v>#N/A</v>
      </c>
      <c r="J6864" s="47" t="s">
        <v>162</v>
      </c>
      <c r="K6864" s="24" t="s">
        <v>8968</v>
      </c>
      <c r="L6864" s="22" t="s">
        <v>8975</v>
      </c>
      <c r="M6864" s="22" t="s">
        <v>8976</v>
      </c>
      <c r="N6864" s="50">
        <v>44805</v>
      </c>
      <c r="O6864" s="72" t="s">
        <v>92</v>
      </c>
      <c r="P6864" s="486">
        <v>4500</v>
      </c>
      <c r="Q6864" s="486">
        <v>3</v>
      </c>
      <c r="R6864" s="52">
        <f t="shared" si="197"/>
        <v>13500</v>
      </c>
      <c r="S6864" s="47">
        <v>202304</v>
      </c>
      <c r="T6864" s="46" t="s">
        <v>8979</v>
      </c>
      <c r="U6864" s="22"/>
      <c r="V6864" s="72"/>
      <c r="W6864" s="22"/>
      <c r="X6864" s="50">
        <v>44805</v>
      </c>
      <c r="Y6864" s="471">
        <v>45016</v>
      </c>
    </row>
    <row r="6865" s="5" customFormat="1" customHeight="1" spans="1:25">
      <c r="A6865" s="24" t="s">
        <v>25</v>
      </c>
      <c r="B6865" s="22" t="s">
        <v>7422</v>
      </c>
      <c r="C6865" s="22" t="s">
        <v>188</v>
      </c>
      <c r="D6865" s="22" t="s">
        <v>28</v>
      </c>
      <c r="E6865" s="46" t="s">
        <v>8931</v>
      </c>
      <c r="F6865" s="22" t="s">
        <v>8932</v>
      </c>
      <c r="G6865" s="24" t="s">
        <v>88</v>
      </c>
      <c r="H6865" s="47" t="s">
        <v>8974</v>
      </c>
      <c r="I6865" s="46" t="e">
        <f>VLOOKUP(H6865,'合同高级查询数据-4月返'!A:A,1,FALSE)</f>
        <v>#N/A</v>
      </c>
      <c r="J6865" s="47" t="s">
        <v>162</v>
      </c>
      <c r="K6865" s="24" t="s">
        <v>8968</v>
      </c>
      <c r="L6865" s="22" t="s">
        <v>8975</v>
      </c>
      <c r="M6865" s="22" t="s">
        <v>8976</v>
      </c>
      <c r="N6865" s="50">
        <v>45016</v>
      </c>
      <c r="O6865" s="72" t="s">
        <v>92</v>
      </c>
      <c r="P6865" s="486">
        <v>4500</v>
      </c>
      <c r="Q6865" s="486">
        <v>-3</v>
      </c>
      <c r="R6865" s="52">
        <f t="shared" si="197"/>
        <v>-13500</v>
      </c>
      <c r="S6865" s="47">
        <v>202304</v>
      </c>
      <c r="T6865" s="46" t="s">
        <v>8980</v>
      </c>
      <c r="U6865" s="22"/>
      <c r="V6865" s="72"/>
      <c r="W6865" s="22"/>
      <c r="X6865" s="50">
        <v>44805</v>
      </c>
      <c r="Y6865" s="471">
        <v>45016</v>
      </c>
    </row>
    <row r="6866" s="5" customFormat="1" customHeight="1" spans="1:25">
      <c r="A6866" s="24" t="s">
        <v>25</v>
      </c>
      <c r="B6866" s="22" t="s">
        <v>7422</v>
      </c>
      <c r="C6866" s="22" t="s">
        <v>3237</v>
      </c>
      <c r="D6866" s="22" t="s">
        <v>7585</v>
      </c>
      <c r="E6866" s="23" t="s">
        <v>8981</v>
      </c>
      <c r="F6866" s="24" t="s">
        <v>8982</v>
      </c>
      <c r="G6866" s="24" t="s">
        <v>31</v>
      </c>
      <c r="H6866" s="25" t="s">
        <v>8983</v>
      </c>
      <c r="I6866" s="46" t="e">
        <f>VLOOKUP(H6866,'合同高级查询数据-4月返'!A:A,1,FALSE)</f>
        <v>#N/A</v>
      </c>
      <c r="J6866" s="47" t="s">
        <v>33</v>
      </c>
      <c r="K6866" s="22" t="s">
        <v>7622</v>
      </c>
      <c r="L6866" s="22" t="s">
        <v>7938</v>
      </c>
      <c r="M6866" s="22" t="s">
        <v>7939</v>
      </c>
      <c r="N6866" s="50">
        <v>44470</v>
      </c>
      <c r="O6866" s="22" t="s">
        <v>37</v>
      </c>
      <c r="P6866" s="486">
        <v>0</v>
      </c>
      <c r="Q6866" s="486">
        <v>288</v>
      </c>
      <c r="R6866" s="52">
        <f t="shared" si="197"/>
        <v>0</v>
      </c>
      <c r="S6866" s="47">
        <v>202304</v>
      </c>
      <c r="T6866" s="123" t="s">
        <v>8984</v>
      </c>
      <c r="U6866" s="97"/>
      <c r="V6866" s="453"/>
      <c r="W6866" s="453"/>
      <c r="X6866" s="50">
        <v>44470</v>
      </c>
      <c r="Y6866" s="50">
        <v>44834</v>
      </c>
    </row>
    <row r="6867" s="5" customFormat="1" customHeight="1" spans="1:25">
      <c r="A6867" s="24" t="s">
        <v>25</v>
      </c>
      <c r="B6867" s="22" t="s">
        <v>7422</v>
      </c>
      <c r="C6867" s="22" t="s">
        <v>3237</v>
      </c>
      <c r="D6867" s="22" t="s">
        <v>7585</v>
      </c>
      <c r="E6867" s="23" t="s">
        <v>8981</v>
      </c>
      <c r="F6867" s="24" t="s">
        <v>8982</v>
      </c>
      <c r="G6867" s="24" t="s">
        <v>31</v>
      </c>
      <c r="H6867" s="25" t="s">
        <v>8983</v>
      </c>
      <c r="I6867" s="46" t="e">
        <f>VLOOKUP(H6867,'合同高级查询数据-4月返'!A:A,1,FALSE)</f>
        <v>#N/A</v>
      </c>
      <c r="J6867" s="47" t="s">
        <v>33</v>
      </c>
      <c r="K6867" s="22" t="s">
        <v>7622</v>
      </c>
      <c r="L6867" s="22" t="s">
        <v>7938</v>
      </c>
      <c r="M6867" s="22" t="s">
        <v>7939</v>
      </c>
      <c r="N6867" s="50">
        <v>44712</v>
      </c>
      <c r="O6867" s="22" t="s">
        <v>37</v>
      </c>
      <c r="P6867" s="52">
        <v>0</v>
      </c>
      <c r="Q6867" s="70">
        <v>-288</v>
      </c>
      <c r="R6867" s="52">
        <f t="shared" si="197"/>
        <v>0</v>
      </c>
      <c r="S6867" s="47">
        <v>202304</v>
      </c>
      <c r="T6867" s="123" t="s">
        <v>8985</v>
      </c>
      <c r="U6867" s="97"/>
      <c r="V6867" s="453"/>
      <c r="W6867" s="453"/>
      <c r="X6867" s="50">
        <v>44470</v>
      </c>
      <c r="Y6867" s="73">
        <v>44834</v>
      </c>
    </row>
    <row r="6868" s="5" customFormat="1" customHeight="1" spans="1:25">
      <c r="A6868" s="24" t="s">
        <v>25</v>
      </c>
      <c r="B6868" s="22" t="s">
        <v>7422</v>
      </c>
      <c r="C6868" s="22" t="s">
        <v>3237</v>
      </c>
      <c r="D6868" s="22" t="s">
        <v>7585</v>
      </c>
      <c r="E6868" s="23" t="s">
        <v>8981</v>
      </c>
      <c r="F6868" s="24" t="s">
        <v>8982</v>
      </c>
      <c r="G6868" s="24" t="s">
        <v>31</v>
      </c>
      <c r="H6868" s="25" t="s">
        <v>8983</v>
      </c>
      <c r="I6868" s="46" t="e">
        <f>VLOOKUP(H6868,'合同高级查询数据-4月返'!A:A,1,FALSE)</f>
        <v>#N/A</v>
      </c>
      <c r="J6868" s="47" t="s">
        <v>33</v>
      </c>
      <c r="K6868" s="24" t="s">
        <v>7622</v>
      </c>
      <c r="L6868" s="109" t="s">
        <v>7942</v>
      </c>
      <c r="M6868" s="49" t="s">
        <v>7943</v>
      </c>
      <c r="N6868" s="50">
        <v>44470</v>
      </c>
      <c r="O6868" s="22" t="s">
        <v>37</v>
      </c>
      <c r="P6868" s="52">
        <v>0</v>
      </c>
      <c r="Q6868" s="70">
        <v>288</v>
      </c>
      <c r="R6868" s="52">
        <f t="shared" si="197"/>
        <v>0</v>
      </c>
      <c r="S6868" s="47">
        <v>202304</v>
      </c>
      <c r="T6868" s="123" t="s">
        <v>8986</v>
      </c>
      <c r="U6868" s="97"/>
      <c r="V6868" s="453"/>
      <c r="W6868" s="453"/>
      <c r="X6868" s="50">
        <v>44470</v>
      </c>
      <c r="Y6868" s="50">
        <v>44834</v>
      </c>
    </row>
    <row r="6869" s="5" customFormat="1" customHeight="1" spans="1:25">
      <c r="A6869" s="24" t="s">
        <v>25</v>
      </c>
      <c r="B6869" s="22" t="s">
        <v>7422</v>
      </c>
      <c r="C6869" s="22" t="s">
        <v>3237</v>
      </c>
      <c r="D6869" s="22" t="s">
        <v>7585</v>
      </c>
      <c r="E6869" s="23" t="s">
        <v>8981</v>
      </c>
      <c r="F6869" s="24" t="s">
        <v>8982</v>
      </c>
      <c r="G6869" s="24" t="s">
        <v>31</v>
      </c>
      <c r="H6869" s="25" t="s">
        <v>8983</v>
      </c>
      <c r="I6869" s="46" t="e">
        <f>VLOOKUP(H6869,'合同高级查询数据-4月返'!A:A,1,FALSE)</f>
        <v>#N/A</v>
      </c>
      <c r="J6869" s="47" t="s">
        <v>33</v>
      </c>
      <c r="K6869" s="24" t="s">
        <v>7622</v>
      </c>
      <c r="L6869" s="109" t="s">
        <v>7942</v>
      </c>
      <c r="M6869" s="49" t="s">
        <v>7943</v>
      </c>
      <c r="N6869" s="50">
        <v>44712</v>
      </c>
      <c r="O6869" s="22" t="s">
        <v>37</v>
      </c>
      <c r="P6869" s="52">
        <v>0</v>
      </c>
      <c r="Q6869" s="70">
        <v>-288</v>
      </c>
      <c r="R6869" s="52">
        <f t="shared" si="197"/>
        <v>0</v>
      </c>
      <c r="S6869" s="47">
        <v>202304</v>
      </c>
      <c r="T6869" s="123" t="s">
        <v>8987</v>
      </c>
      <c r="U6869" s="97"/>
      <c r="V6869" s="453"/>
      <c r="W6869" s="453"/>
      <c r="X6869" s="50">
        <v>44470</v>
      </c>
      <c r="Y6869" s="73">
        <v>44834</v>
      </c>
    </row>
    <row r="6870" s="5" customFormat="1" customHeight="1" spans="1:25">
      <c r="A6870" s="24" t="s">
        <v>25</v>
      </c>
      <c r="B6870" s="22" t="s">
        <v>7422</v>
      </c>
      <c r="C6870" s="22" t="s">
        <v>3237</v>
      </c>
      <c r="D6870" s="22" t="s">
        <v>7585</v>
      </c>
      <c r="E6870" s="23" t="s">
        <v>8981</v>
      </c>
      <c r="F6870" s="24" t="s">
        <v>8982</v>
      </c>
      <c r="G6870" s="24" t="s">
        <v>31</v>
      </c>
      <c r="H6870" s="25" t="s">
        <v>8983</v>
      </c>
      <c r="I6870" s="46" t="e">
        <f>VLOOKUP(H6870,'合同高级查询数据-4月返'!A:A,1,FALSE)</f>
        <v>#N/A</v>
      </c>
      <c r="J6870" s="47" t="s">
        <v>33</v>
      </c>
      <c r="K6870" s="24" t="s">
        <v>7622</v>
      </c>
      <c r="L6870" s="109" t="s">
        <v>8988</v>
      </c>
      <c r="M6870" s="22" t="s">
        <v>7943</v>
      </c>
      <c r="N6870" s="50"/>
      <c r="O6870" s="22" t="s">
        <v>179</v>
      </c>
      <c r="P6870" s="52">
        <v>0</v>
      </c>
      <c r="Q6870" s="70">
        <v>0</v>
      </c>
      <c r="R6870" s="52">
        <f t="shared" si="197"/>
        <v>0</v>
      </c>
      <c r="S6870" s="47">
        <v>202304</v>
      </c>
      <c r="T6870" s="123" t="s">
        <v>8989</v>
      </c>
      <c r="U6870" s="97"/>
      <c r="V6870" s="453"/>
      <c r="W6870" s="453"/>
      <c r="X6870" s="50">
        <v>44470</v>
      </c>
      <c r="Y6870" s="50">
        <v>44834</v>
      </c>
    </row>
    <row r="6871" s="5" customFormat="1" customHeight="1" spans="1:25">
      <c r="A6871" s="24" t="s">
        <v>25</v>
      </c>
      <c r="B6871" s="22" t="s">
        <v>7422</v>
      </c>
      <c r="C6871" s="22" t="s">
        <v>3237</v>
      </c>
      <c r="D6871" s="22" t="s">
        <v>7585</v>
      </c>
      <c r="E6871" s="23" t="s">
        <v>8981</v>
      </c>
      <c r="F6871" s="24" t="s">
        <v>8982</v>
      </c>
      <c r="G6871" s="24" t="s">
        <v>88</v>
      </c>
      <c r="H6871" s="25" t="s">
        <v>8983</v>
      </c>
      <c r="I6871" s="46" t="e">
        <f>VLOOKUP(H6871,'合同高级查询数据-4月返'!A:A,1,FALSE)</f>
        <v>#N/A</v>
      </c>
      <c r="J6871" s="47" t="s">
        <v>162</v>
      </c>
      <c r="K6871" s="22" t="s">
        <v>7622</v>
      </c>
      <c r="L6871" s="22" t="s">
        <v>7938</v>
      </c>
      <c r="M6871" s="22" t="s">
        <v>7943</v>
      </c>
      <c r="N6871" s="50">
        <v>44470</v>
      </c>
      <c r="O6871" s="22" t="s">
        <v>702</v>
      </c>
      <c r="P6871" s="486">
        <v>4500</v>
      </c>
      <c r="Q6871" s="486">
        <v>7</v>
      </c>
      <c r="R6871" s="52">
        <f t="shared" si="197"/>
        <v>31500</v>
      </c>
      <c r="S6871" s="47">
        <v>202304</v>
      </c>
      <c r="T6871" s="123" t="s">
        <v>8990</v>
      </c>
      <c r="U6871" s="97"/>
      <c r="V6871" s="453"/>
      <c r="W6871" s="453"/>
      <c r="X6871" s="50">
        <v>44470</v>
      </c>
      <c r="Y6871" s="50">
        <v>44834</v>
      </c>
    </row>
    <row r="6872" s="5" customFormat="1" customHeight="1" spans="1:25">
      <c r="A6872" s="24" t="s">
        <v>25</v>
      </c>
      <c r="B6872" s="22" t="s">
        <v>7422</v>
      </c>
      <c r="C6872" s="22" t="s">
        <v>3237</v>
      </c>
      <c r="D6872" s="22" t="s">
        <v>7585</v>
      </c>
      <c r="E6872" s="23" t="s">
        <v>8981</v>
      </c>
      <c r="F6872" s="24" t="s">
        <v>8982</v>
      </c>
      <c r="G6872" s="24" t="s">
        <v>88</v>
      </c>
      <c r="H6872" s="25" t="s">
        <v>8983</v>
      </c>
      <c r="I6872" s="46" t="e">
        <f>VLOOKUP(H6872,'合同高级查询数据-4月返'!A:A,1,FALSE)</f>
        <v>#N/A</v>
      </c>
      <c r="J6872" s="47" t="s">
        <v>162</v>
      </c>
      <c r="K6872" s="22" t="s">
        <v>7622</v>
      </c>
      <c r="L6872" s="22" t="s">
        <v>7938</v>
      </c>
      <c r="M6872" s="22" t="s">
        <v>7943</v>
      </c>
      <c r="N6872" s="50">
        <v>44712</v>
      </c>
      <c r="O6872" s="22" t="s">
        <v>702</v>
      </c>
      <c r="P6872" s="486">
        <v>4500</v>
      </c>
      <c r="Q6872" s="486">
        <v>-7</v>
      </c>
      <c r="R6872" s="52">
        <f t="shared" si="197"/>
        <v>-31500</v>
      </c>
      <c r="S6872" s="47">
        <v>202304</v>
      </c>
      <c r="T6872" s="123" t="s">
        <v>8991</v>
      </c>
      <c r="U6872" s="97"/>
      <c r="V6872" s="453"/>
      <c r="W6872" s="453"/>
      <c r="X6872" s="50">
        <v>44470</v>
      </c>
      <c r="Y6872" s="73">
        <v>44834</v>
      </c>
    </row>
    <row r="6873" s="5" customFormat="1" customHeight="1" spans="1:25">
      <c r="A6873" s="24" t="s">
        <v>25</v>
      </c>
      <c r="B6873" s="22" t="s">
        <v>7422</v>
      </c>
      <c r="C6873" s="22" t="s">
        <v>3237</v>
      </c>
      <c r="D6873" s="22" t="s">
        <v>7585</v>
      </c>
      <c r="E6873" s="23" t="s">
        <v>8981</v>
      </c>
      <c r="F6873" s="24" t="s">
        <v>8982</v>
      </c>
      <c r="G6873" s="24" t="s">
        <v>88</v>
      </c>
      <c r="H6873" s="25" t="s">
        <v>8983</v>
      </c>
      <c r="I6873" s="46" t="e">
        <f>VLOOKUP(H6873,'合同高级查询数据-4月返'!A:A,1,FALSE)</f>
        <v>#N/A</v>
      </c>
      <c r="J6873" s="47" t="s">
        <v>162</v>
      </c>
      <c r="K6873" s="24" t="s">
        <v>7622</v>
      </c>
      <c r="L6873" s="109" t="s">
        <v>7942</v>
      </c>
      <c r="M6873" s="49" t="s">
        <v>7943</v>
      </c>
      <c r="N6873" s="50">
        <v>44470</v>
      </c>
      <c r="O6873" s="22" t="s">
        <v>702</v>
      </c>
      <c r="P6873" s="52">
        <v>4500</v>
      </c>
      <c r="Q6873" s="70">
        <v>4</v>
      </c>
      <c r="R6873" s="52">
        <f t="shared" si="197"/>
        <v>18000</v>
      </c>
      <c r="S6873" s="47">
        <v>202304</v>
      </c>
      <c r="T6873" s="123" t="s">
        <v>8992</v>
      </c>
      <c r="U6873" s="97"/>
      <c r="V6873" s="453"/>
      <c r="W6873" s="453"/>
      <c r="X6873" s="50">
        <v>44470</v>
      </c>
      <c r="Y6873" s="50">
        <v>44834</v>
      </c>
    </row>
    <row r="6874" s="5" customFormat="1" customHeight="1" spans="1:25">
      <c r="A6874" s="24" t="s">
        <v>25</v>
      </c>
      <c r="B6874" s="22" t="s">
        <v>7422</v>
      </c>
      <c r="C6874" s="22" t="s">
        <v>3237</v>
      </c>
      <c r="D6874" s="22" t="s">
        <v>7585</v>
      </c>
      <c r="E6874" s="23" t="s">
        <v>8981</v>
      </c>
      <c r="F6874" s="24" t="s">
        <v>8982</v>
      </c>
      <c r="G6874" s="24" t="s">
        <v>88</v>
      </c>
      <c r="H6874" s="25" t="s">
        <v>8983</v>
      </c>
      <c r="I6874" s="46" t="e">
        <f>VLOOKUP(H6874,'合同高级查询数据-4月返'!A:A,1,FALSE)</f>
        <v>#N/A</v>
      </c>
      <c r="J6874" s="47" t="s">
        <v>162</v>
      </c>
      <c r="K6874" s="24" t="s">
        <v>7622</v>
      </c>
      <c r="L6874" s="109" t="s">
        <v>7942</v>
      </c>
      <c r="M6874" s="49" t="s">
        <v>7943</v>
      </c>
      <c r="N6874" s="50">
        <v>44712</v>
      </c>
      <c r="O6874" s="22" t="s">
        <v>702</v>
      </c>
      <c r="P6874" s="486">
        <v>4500</v>
      </c>
      <c r="Q6874" s="70">
        <v>-4</v>
      </c>
      <c r="R6874" s="52">
        <f t="shared" si="197"/>
        <v>-18000</v>
      </c>
      <c r="S6874" s="47">
        <v>202304</v>
      </c>
      <c r="T6874" s="123" t="s">
        <v>8993</v>
      </c>
      <c r="U6874" s="97"/>
      <c r="V6874" s="453"/>
      <c r="W6874" s="453"/>
      <c r="X6874" s="50">
        <v>44470</v>
      </c>
      <c r="Y6874" s="73">
        <v>44834</v>
      </c>
    </row>
    <row r="6875" s="3" customFormat="1" customHeight="1" spans="1:25">
      <c r="A6875" s="11" t="s">
        <v>25</v>
      </c>
      <c r="B6875" s="35" t="s">
        <v>7422</v>
      </c>
      <c r="C6875" s="35" t="s">
        <v>3237</v>
      </c>
      <c r="D6875" s="35" t="s">
        <v>7585</v>
      </c>
      <c r="E6875" s="13" t="s">
        <v>8981</v>
      </c>
      <c r="F6875" s="11" t="s">
        <v>8982</v>
      </c>
      <c r="G6875" s="135" t="s">
        <v>31</v>
      </c>
      <c r="H6875" s="110" t="s">
        <v>8994</v>
      </c>
      <c r="I6875" s="30" t="e">
        <f>VLOOKUP(H6875,'合同高级查询数据-4月返'!A:A,1,FALSE)</f>
        <v>#N/A</v>
      </c>
      <c r="J6875" s="31" t="s">
        <v>33</v>
      </c>
      <c r="K6875" s="135" t="s">
        <v>6391</v>
      </c>
      <c r="L6875" s="415" t="s">
        <v>7991</v>
      </c>
      <c r="M6875" s="113" t="s">
        <v>7992</v>
      </c>
      <c r="N6875" s="34">
        <v>44470</v>
      </c>
      <c r="O6875" s="134" t="s">
        <v>37</v>
      </c>
      <c r="P6875" s="465">
        <v>0</v>
      </c>
      <c r="Q6875" s="459">
        <v>144</v>
      </c>
      <c r="R6875" s="465">
        <f t="shared" si="197"/>
        <v>0</v>
      </c>
      <c r="S6875" s="31">
        <v>202304</v>
      </c>
      <c r="T6875" s="515" t="s">
        <v>8995</v>
      </c>
      <c r="U6875" s="104"/>
      <c r="V6875" s="438"/>
      <c r="W6875" s="438"/>
      <c r="X6875" s="34"/>
      <c r="Y6875" s="34"/>
    </row>
    <row r="6876" s="3" customFormat="1" customHeight="1" spans="1:25">
      <c r="A6876" s="11" t="s">
        <v>25</v>
      </c>
      <c r="B6876" s="35" t="s">
        <v>7422</v>
      </c>
      <c r="C6876" s="35" t="s">
        <v>3237</v>
      </c>
      <c r="D6876" s="35" t="s">
        <v>7585</v>
      </c>
      <c r="E6876" s="13" t="s">
        <v>8981</v>
      </c>
      <c r="F6876" s="11" t="s">
        <v>8982</v>
      </c>
      <c r="G6876" s="135" t="s">
        <v>31</v>
      </c>
      <c r="H6876" s="110" t="s">
        <v>8994</v>
      </c>
      <c r="I6876" s="30" t="e">
        <f>VLOOKUP(H6876,'合同高级查询数据-4月返'!A:A,1,FALSE)</f>
        <v>#N/A</v>
      </c>
      <c r="J6876" s="31" t="s">
        <v>33</v>
      </c>
      <c r="K6876" s="135" t="s">
        <v>6391</v>
      </c>
      <c r="L6876" s="415" t="s">
        <v>7991</v>
      </c>
      <c r="M6876" s="113" t="s">
        <v>7992</v>
      </c>
      <c r="N6876" s="34">
        <v>44470</v>
      </c>
      <c r="O6876" s="134" t="s">
        <v>37</v>
      </c>
      <c r="P6876" s="465">
        <v>50</v>
      </c>
      <c r="Q6876" s="459">
        <v>144</v>
      </c>
      <c r="R6876" s="465">
        <f t="shared" si="197"/>
        <v>7200</v>
      </c>
      <c r="S6876" s="31">
        <v>202304</v>
      </c>
      <c r="T6876" s="515" t="s">
        <v>8995</v>
      </c>
      <c r="U6876" s="104"/>
      <c r="V6876" s="438"/>
      <c r="W6876" s="438"/>
      <c r="X6876" s="34"/>
      <c r="Y6876" s="34"/>
    </row>
    <row r="6877" s="3" customFormat="1" customHeight="1" spans="1:25">
      <c r="A6877" s="11" t="s">
        <v>25</v>
      </c>
      <c r="B6877" s="35" t="s">
        <v>7422</v>
      </c>
      <c r="C6877" s="35" t="s">
        <v>3237</v>
      </c>
      <c r="D6877" s="35" t="s">
        <v>7585</v>
      </c>
      <c r="E6877" s="13" t="s">
        <v>8981</v>
      </c>
      <c r="F6877" s="11" t="s">
        <v>8982</v>
      </c>
      <c r="G6877" s="135" t="s">
        <v>31</v>
      </c>
      <c r="H6877" s="110" t="s">
        <v>8994</v>
      </c>
      <c r="I6877" s="30" t="e">
        <f>VLOOKUP(H6877,'合同高级查询数据-4月返'!A:A,1,FALSE)</f>
        <v>#N/A</v>
      </c>
      <c r="J6877" s="31" t="s">
        <v>33</v>
      </c>
      <c r="K6877" s="135" t="s">
        <v>6391</v>
      </c>
      <c r="L6877" s="415" t="s">
        <v>7991</v>
      </c>
      <c r="M6877" s="113" t="s">
        <v>7992</v>
      </c>
      <c r="N6877" s="34">
        <v>44742</v>
      </c>
      <c r="O6877" s="134" t="s">
        <v>37</v>
      </c>
      <c r="P6877" s="465">
        <v>0</v>
      </c>
      <c r="Q6877" s="459">
        <v>-144</v>
      </c>
      <c r="R6877" s="465">
        <f t="shared" si="197"/>
        <v>0</v>
      </c>
      <c r="S6877" s="31">
        <v>202304</v>
      </c>
      <c r="T6877" s="515" t="s">
        <v>8996</v>
      </c>
      <c r="U6877" s="104"/>
      <c r="V6877" s="438"/>
      <c r="W6877" s="438"/>
      <c r="X6877" s="34"/>
      <c r="Y6877" s="34"/>
    </row>
    <row r="6878" s="3" customFormat="1" customHeight="1" spans="1:25">
      <c r="A6878" s="11" t="s">
        <v>25</v>
      </c>
      <c r="B6878" s="35" t="s">
        <v>7422</v>
      </c>
      <c r="C6878" s="35" t="s">
        <v>3237</v>
      </c>
      <c r="D6878" s="35" t="s">
        <v>7585</v>
      </c>
      <c r="E6878" s="13" t="s">
        <v>8981</v>
      </c>
      <c r="F6878" s="11" t="s">
        <v>8982</v>
      </c>
      <c r="G6878" s="135" t="s">
        <v>31</v>
      </c>
      <c r="H6878" s="110" t="s">
        <v>8994</v>
      </c>
      <c r="I6878" s="30" t="e">
        <f>VLOOKUP(H6878,'合同高级查询数据-4月返'!A:A,1,FALSE)</f>
        <v>#N/A</v>
      </c>
      <c r="J6878" s="31" t="s">
        <v>33</v>
      </c>
      <c r="K6878" s="135" t="s">
        <v>6391</v>
      </c>
      <c r="L6878" s="415" t="s">
        <v>7991</v>
      </c>
      <c r="M6878" s="113" t="s">
        <v>7992</v>
      </c>
      <c r="N6878" s="34">
        <v>44742</v>
      </c>
      <c r="O6878" s="134" t="s">
        <v>37</v>
      </c>
      <c r="P6878" s="465">
        <v>50</v>
      </c>
      <c r="Q6878" s="459">
        <v>-144</v>
      </c>
      <c r="R6878" s="465">
        <f t="shared" ref="R6878:R6941" si="198">ROUND(P6878*Q6878,2)</f>
        <v>-7200</v>
      </c>
      <c r="S6878" s="31">
        <v>202304</v>
      </c>
      <c r="T6878" s="515" t="s">
        <v>8996</v>
      </c>
      <c r="U6878" s="104"/>
      <c r="V6878" s="438"/>
      <c r="W6878" s="438"/>
      <c r="X6878" s="34"/>
      <c r="Y6878" s="34"/>
    </row>
    <row r="6879" s="5" customFormat="1" customHeight="1" spans="1:25">
      <c r="A6879" s="24" t="s">
        <v>25</v>
      </c>
      <c r="B6879" s="22" t="s">
        <v>7422</v>
      </c>
      <c r="C6879" s="22" t="s">
        <v>3237</v>
      </c>
      <c r="D6879" s="22" t="s">
        <v>7585</v>
      </c>
      <c r="E6879" s="23" t="s">
        <v>8981</v>
      </c>
      <c r="F6879" s="24" t="s">
        <v>8982</v>
      </c>
      <c r="G6879" s="98" t="s">
        <v>31</v>
      </c>
      <c r="H6879" s="25" t="s">
        <v>8997</v>
      </c>
      <c r="I6879" s="46" t="e">
        <f>VLOOKUP(H6879,'合同高级查询数据-4月返'!A:A,1,FALSE)</f>
        <v>#N/A</v>
      </c>
      <c r="J6879" s="47" t="s">
        <v>33</v>
      </c>
      <c r="K6879" s="98" t="s">
        <v>6391</v>
      </c>
      <c r="L6879" s="163" t="s">
        <v>7991</v>
      </c>
      <c r="M6879" s="49" t="s">
        <v>7992</v>
      </c>
      <c r="N6879" s="50"/>
      <c r="O6879" s="22" t="s">
        <v>179</v>
      </c>
      <c r="P6879" s="52">
        <v>0</v>
      </c>
      <c r="Q6879" s="52">
        <v>0</v>
      </c>
      <c r="R6879" s="52">
        <f t="shared" si="198"/>
        <v>0</v>
      </c>
      <c r="S6879" s="47">
        <v>202304</v>
      </c>
      <c r="T6879" s="510" t="s">
        <v>8998</v>
      </c>
      <c r="U6879" s="97"/>
      <c r="V6879" s="453"/>
      <c r="W6879" s="453"/>
      <c r="X6879" s="50">
        <v>44593</v>
      </c>
      <c r="Y6879" s="50">
        <v>44834</v>
      </c>
    </row>
    <row r="6880" s="5" customFormat="1" customHeight="1" spans="1:25">
      <c r="A6880" s="24" t="s">
        <v>25</v>
      </c>
      <c r="B6880" s="22" t="s">
        <v>7422</v>
      </c>
      <c r="C6880" s="22" t="s">
        <v>3237</v>
      </c>
      <c r="D6880" s="22" t="s">
        <v>7585</v>
      </c>
      <c r="E6880" s="23" t="s">
        <v>8981</v>
      </c>
      <c r="F6880" s="24" t="s">
        <v>8982</v>
      </c>
      <c r="G6880" s="24" t="s">
        <v>88</v>
      </c>
      <c r="H6880" s="25" t="s">
        <v>8997</v>
      </c>
      <c r="I6880" s="46" t="e">
        <f>VLOOKUP(H6880,'合同高级查询数据-4月返'!A:A,1,FALSE)</f>
        <v>#N/A</v>
      </c>
      <c r="J6880" s="47" t="s">
        <v>162</v>
      </c>
      <c r="K6880" s="98" t="s">
        <v>6391</v>
      </c>
      <c r="L6880" s="163" t="s">
        <v>7991</v>
      </c>
      <c r="M6880" s="49" t="s">
        <v>7992</v>
      </c>
      <c r="N6880" s="50">
        <v>44470</v>
      </c>
      <c r="O6880" s="160" t="s">
        <v>92</v>
      </c>
      <c r="P6880" s="52">
        <v>4500</v>
      </c>
      <c r="Q6880" s="70">
        <v>3</v>
      </c>
      <c r="R6880" s="52">
        <f t="shared" si="198"/>
        <v>13500</v>
      </c>
      <c r="S6880" s="47">
        <v>202304</v>
      </c>
      <c r="T6880" s="510" t="s">
        <v>8999</v>
      </c>
      <c r="U6880" s="97"/>
      <c r="V6880" s="453"/>
      <c r="W6880" s="453"/>
      <c r="X6880" s="50">
        <v>44593</v>
      </c>
      <c r="Y6880" s="50">
        <v>44834</v>
      </c>
    </row>
    <row r="6881" s="5" customFormat="1" customHeight="1" spans="1:25">
      <c r="A6881" s="24" t="s">
        <v>25</v>
      </c>
      <c r="B6881" s="22" t="s">
        <v>7422</v>
      </c>
      <c r="C6881" s="22" t="s">
        <v>3237</v>
      </c>
      <c r="D6881" s="22" t="s">
        <v>7585</v>
      </c>
      <c r="E6881" s="23" t="s">
        <v>8981</v>
      </c>
      <c r="F6881" s="24" t="s">
        <v>8982</v>
      </c>
      <c r="G6881" s="24" t="s">
        <v>88</v>
      </c>
      <c r="H6881" s="25" t="s">
        <v>8997</v>
      </c>
      <c r="I6881" s="46" t="e">
        <f>VLOOKUP(H6881,'合同高级查询数据-4月返'!A:A,1,FALSE)</f>
        <v>#N/A</v>
      </c>
      <c r="J6881" s="47" t="s">
        <v>162</v>
      </c>
      <c r="K6881" s="98" t="s">
        <v>6391</v>
      </c>
      <c r="L6881" s="163" t="s">
        <v>7991</v>
      </c>
      <c r="M6881" s="49" t="s">
        <v>7992</v>
      </c>
      <c r="N6881" s="50">
        <v>44742</v>
      </c>
      <c r="O6881" s="160" t="s">
        <v>92</v>
      </c>
      <c r="P6881" s="52">
        <v>4500</v>
      </c>
      <c r="Q6881" s="70">
        <v>-3</v>
      </c>
      <c r="R6881" s="52">
        <f t="shared" si="198"/>
        <v>-13500</v>
      </c>
      <c r="S6881" s="47">
        <v>202304</v>
      </c>
      <c r="T6881" s="510" t="s">
        <v>9000</v>
      </c>
      <c r="U6881" s="97"/>
      <c r="V6881" s="453"/>
      <c r="W6881" s="453"/>
      <c r="X6881" s="50">
        <v>44593</v>
      </c>
      <c r="Y6881" s="50">
        <v>44834</v>
      </c>
    </row>
    <row r="6882" s="5" customFormat="1" customHeight="1" spans="1:25">
      <c r="A6882" s="21" t="s">
        <v>25</v>
      </c>
      <c r="B6882" s="22" t="s">
        <v>7422</v>
      </c>
      <c r="C6882" s="22" t="s">
        <v>1987</v>
      </c>
      <c r="D6882" s="22" t="s">
        <v>7585</v>
      </c>
      <c r="E6882" s="23" t="s">
        <v>8981</v>
      </c>
      <c r="F6882" s="24" t="s">
        <v>8982</v>
      </c>
      <c r="G6882" s="24" t="s">
        <v>31</v>
      </c>
      <c r="H6882" s="25" t="s">
        <v>9001</v>
      </c>
      <c r="I6882" s="46" t="str">
        <f>VLOOKUP(H6882,'合同高级查询数据-4月返'!A:A,1,FALSE)</f>
        <v>182315IDC00125</v>
      </c>
      <c r="J6882" s="47" t="s">
        <v>33</v>
      </c>
      <c r="K6882" s="24" t="s">
        <v>8031</v>
      </c>
      <c r="L6882" s="109" t="s">
        <v>8032</v>
      </c>
      <c r="M6882" s="49" t="s">
        <v>8033</v>
      </c>
      <c r="N6882" s="50">
        <v>44958</v>
      </c>
      <c r="O6882" s="22" t="s">
        <v>37</v>
      </c>
      <c r="P6882" s="52">
        <v>0</v>
      </c>
      <c r="Q6882" s="70">
        <v>288</v>
      </c>
      <c r="R6882" s="52">
        <f t="shared" si="198"/>
        <v>0</v>
      </c>
      <c r="S6882" s="47">
        <v>202304</v>
      </c>
      <c r="T6882" s="123" t="s">
        <v>8034</v>
      </c>
      <c r="U6882" s="97"/>
      <c r="V6882" s="453"/>
      <c r="W6882" s="453"/>
      <c r="X6882" s="50">
        <v>44958</v>
      </c>
      <c r="Y6882" s="471">
        <v>45199</v>
      </c>
    </row>
    <row r="6883" s="5" customFormat="1" customHeight="1" spans="1:25">
      <c r="A6883" s="21" t="s">
        <v>25</v>
      </c>
      <c r="B6883" s="22" t="s">
        <v>7422</v>
      </c>
      <c r="C6883" s="22" t="s">
        <v>1987</v>
      </c>
      <c r="D6883" s="22" t="s">
        <v>7585</v>
      </c>
      <c r="E6883" s="23" t="s">
        <v>8981</v>
      </c>
      <c r="F6883" s="24" t="s">
        <v>8982</v>
      </c>
      <c r="G6883" s="24" t="s">
        <v>31</v>
      </c>
      <c r="H6883" s="25" t="s">
        <v>9001</v>
      </c>
      <c r="I6883" s="46" t="str">
        <f>VLOOKUP(H6883,'合同高级查询数据-4月返'!A:A,1,FALSE)</f>
        <v>182315IDC00125</v>
      </c>
      <c r="J6883" s="47" t="s">
        <v>33</v>
      </c>
      <c r="K6883" s="24" t="s">
        <v>8031</v>
      </c>
      <c r="L6883" s="109" t="s">
        <v>8032</v>
      </c>
      <c r="M6883" s="49" t="s">
        <v>8033</v>
      </c>
      <c r="N6883" s="50"/>
      <c r="O6883" s="22" t="s">
        <v>179</v>
      </c>
      <c r="P6883" s="52">
        <v>0</v>
      </c>
      <c r="Q6883" s="70">
        <v>0</v>
      </c>
      <c r="R6883" s="52">
        <f t="shared" si="198"/>
        <v>0</v>
      </c>
      <c r="S6883" s="47">
        <v>202304</v>
      </c>
      <c r="T6883" s="123" t="s">
        <v>9002</v>
      </c>
      <c r="U6883" s="97"/>
      <c r="V6883" s="453"/>
      <c r="W6883" s="453"/>
      <c r="X6883" s="50">
        <v>44958</v>
      </c>
      <c r="Y6883" s="471">
        <v>45199</v>
      </c>
    </row>
    <row r="6884" s="5" customFormat="1" customHeight="1" spans="1:25">
      <c r="A6884" s="21" t="s">
        <v>25</v>
      </c>
      <c r="B6884" s="22" t="s">
        <v>7422</v>
      </c>
      <c r="C6884" s="22" t="s">
        <v>1987</v>
      </c>
      <c r="D6884" s="22" t="s">
        <v>7585</v>
      </c>
      <c r="E6884" s="23" t="s">
        <v>8981</v>
      </c>
      <c r="F6884" s="24" t="s">
        <v>8982</v>
      </c>
      <c r="G6884" s="24" t="s">
        <v>88</v>
      </c>
      <c r="H6884" s="25" t="s">
        <v>9001</v>
      </c>
      <c r="I6884" s="46" t="str">
        <f>VLOOKUP(H6884,'合同高级查询数据-4月返'!A:A,1,FALSE)</f>
        <v>182315IDC00125</v>
      </c>
      <c r="J6884" s="47" t="s">
        <v>162</v>
      </c>
      <c r="K6884" s="24" t="s">
        <v>8031</v>
      </c>
      <c r="L6884" s="109" t="s">
        <v>8032</v>
      </c>
      <c r="M6884" s="49" t="s">
        <v>8033</v>
      </c>
      <c r="N6884" s="50">
        <v>44958</v>
      </c>
      <c r="O6884" s="22" t="s">
        <v>163</v>
      </c>
      <c r="P6884" s="52">
        <v>4000</v>
      </c>
      <c r="Q6884" s="70">
        <v>4</v>
      </c>
      <c r="R6884" s="52">
        <f t="shared" si="198"/>
        <v>16000</v>
      </c>
      <c r="S6884" s="47">
        <v>202304</v>
      </c>
      <c r="T6884" s="123" t="s">
        <v>8037</v>
      </c>
      <c r="U6884" s="97"/>
      <c r="V6884" s="453"/>
      <c r="W6884" s="453"/>
      <c r="X6884" s="50">
        <v>44958</v>
      </c>
      <c r="Y6884" s="471">
        <v>45199</v>
      </c>
    </row>
    <row r="6885" s="5" customFormat="1" customHeight="1" spans="1:25">
      <c r="A6885" s="21" t="s">
        <v>25</v>
      </c>
      <c r="B6885" s="22" t="s">
        <v>7422</v>
      </c>
      <c r="C6885" s="22" t="s">
        <v>44</v>
      </c>
      <c r="D6885" s="22" t="s">
        <v>7585</v>
      </c>
      <c r="E6885" s="23" t="s">
        <v>8981</v>
      </c>
      <c r="F6885" s="24" t="s">
        <v>8982</v>
      </c>
      <c r="G6885" s="24" t="s">
        <v>31</v>
      </c>
      <c r="H6885" s="25" t="s">
        <v>9003</v>
      </c>
      <c r="I6885" s="46" t="str">
        <f>VLOOKUP(H6885,'合同高级查询数据-4月返'!A:A,1,FALSE)</f>
        <v>182315IDC00108</v>
      </c>
      <c r="J6885" s="47" t="s">
        <v>33</v>
      </c>
      <c r="K6885" s="24" t="s">
        <v>296</v>
      </c>
      <c r="L6885" s="109" t="s">
        <v>8039</v>
      </c>
      <c r="M6885" s="49" t="s">
        <v>8040</v>
      </c>
      <c r="N6885" s="50">
        <v>44958</v>
      </c>
      <c r="O6885" s="22" t="s">
        <v>37</v>
      </c>
      <c r="P6885" s="486">
        <v>0</v>
      </c>
      <c r="Q6885" s="70">
        <v>288</v>
      </c>
      <c r="R6885" s="52">
        <f t="shared" si="198"/>
        <v>0</v>
      </c>
      <c r="S6885" s="47">
        <v>202304</v>
      </c>
      <c r="T6885" s="123" t="s">
        <v>8041</v>
      </c>
      <c r="U6885" s="97"/>
      <c r="V6885" s="453"/>
      <c r="W6885" s="453"/>
      <c r="X6885" s="50">
        <v>44958</v>
      </c>
      <c r="Y6885" s="471">
        <v>45199</v>
      </c>
    </row>
    <row r="6886" s="5" customFormat="1" customHeight="1" spans="1:25">
      <c r="A6886" s="21" t="s">
        <v>25</v>
      </c>
      <c r="B6886" s="22" t="s">
        <v>7422</v>
      </c>
      <c r="C6886" s="22" t="s">
        <v>44</v>
      </c>
      <c r="D6886" s="22" t="s">
        <v>7585</v>
      </c>
      <c r="E6886" s="23" t="s">
        <v>8981</v>
      </c>
      <c r="F6886" s="24" t="s">
        <v>8982</v>
      </c>
      <c r="G6886" s="24" t="s">
        <v>31</v>
      </c>
      <c r="H6886" s="25" t="s">
        <v>9003</v>
      </c>
      <c r="I6886" s="46" t="str">
        <f>VLOOKUP(H6886,'合同高级查询数据-4月返'!A:A,1,FALSE)</f>
        <v>182315IDC00108</v>
      </c>
      <c r="J6886" s="47" t="s">
        <v>33</v>
      </c>
      <c r="K6886" s="24" t="s">
        <v>296</v>
      </c>
      <c r="L6886" s="109" t="s">
        <v>8039</v>
      </c>
      <c r="M6886" s="49" t="s">
        <v>8040</v>
      </c>
      <c r="N6886" s="50"/>
      <c r="O6886" s="22" t="s">
        <v>179</v>
      </c>
      <c r="P6886" s="486">
        <v>0</v>
      </c>
      <c r="Q6886" s="70">
        <v>0</v>
      </c>
      <c r="R6886" s="52">
        <f t="shared" si="198"/>
        <v>0</v>
      </c>
      <c r="S6886" s="47">
        <v>202304</v>
      </c>
      <c r="T6886" s="123" t="s">
        <v>9002</v>
      </c>
      <c r="U6886" s="97"/>
      <c r="V6886" s="453"/>
      <c r="W6886" s="453"/>
      <c r="X6886" s="50">
        <v>44958</v>
      </c>
      <c r="Y6886" s="471">
        <v>45199</v>
      </c>
    </row>
    <row r="6887" s="5" customFormat="1" customHeight="1" spans="1:25">
      <c r="A6887" s="21" t="s">
        <v>25</v>
      </c>
      <c r="B6887" s="22" t="s">
        <v>7422</v>
      </c>
      <c r="C6887" s="22" t="s">
        <v>44</v>
      </c>
      <c r="D6887" s="22" t="s">
        <v>7585</v>
      </c>
      <c r="E6887" s="23" t="s">
        <v>8981</v>
      </c>
      <c r="F6887" s="24" t="s">
        <v>8982</v>
      </c>
      <c r="G6887" s="24" t="s">
        <v>88</v>
      </c>
      <c r="H6887" s="25" t="s">
        <v>9003</v>
      </c>
      <c r="I6887" s="46" t="str">
        <f>VLOOKUP(H6887,'合同高级查询数据-4月返'!A:A,1,FALSE)</f>
        <v>182315IDC00108</v>
      </c>
      <c r="J6887" s="47" t="s">
        <v>162</v>
      </c>
      <c r="K6887" s="24" t="s">
        <v>296</v>
      </c>
      <c r="L6887" s="109" t="s">
        <v>8039</v>
      </c>
      <c r="M6887" s="49" t="s">
        <v>8040</v>
      </c>
      <c r="N6887" s="50">
        <v>44958</v>
      </c>
      <c r="O6887" s="22" t="s">
        <v>163</v>
      </c>
      <c r="P6887" s="52">
        <v>4000</v>
      </c>
      <c r="Q6887" s="70">
        <v>5</v>
      </c>
      <c r="R6887" s="52">
        <f t="shared" si="198"/>
        <v>20000</v>
      </c>
      <c r="S6887" s="47">
        <v>202304</v>
      </c>
      <c r="T6887" s="123" t="s">
        <v>8043</v>
      </c>
      <c r="U6887" s="97"/>
      <c r="V6887" s="453"/>
      <c r="W6887" s="453"/>
      <c r="X6887" s="50">
        <v>44958</v>
      </c>
      <c r="Y6887" s="471">
        <v>45199</v>
      </c>
    </row>
    <row r="6888" s="5" customFormat="1" customHeight="1" spans="1:25">
      <c r="A6888" s="21" t="s">
        <v>25</v>
      </c>
      <c r="B6888" s="22" t="s">
        <v>7422</v>
      </c>
      <c r="C6888" s="22" t="s">
        <v>44</v>
      </c>
      <c r="D6888" s="22" t="s">
        <v>7585</v>
      </c>
      <c r="E6888" s="23" t="s">
        <v>8981</v>
      </c>
      <c r="F6888" s="24" t="s">
        <v>8982</v>
      </c>
      <c r="G6888" s="24" t="s">
        <v>88</v>
      </c>
      <c r="H6888" s="25" t="s">
        <v>9003</v>
      </c>
      <c r="I6888" s="46" t="str">
        <f>VLOOKUP(H6888,'合同高级查询数据-4月返'!A:A,1,FALSE)</f>
        <v>182315IDC00108</v>
      </c>
      <c r="J6888" s="47" t="s">
        <v>162</v>
      </c>
      <c r="K6888" s="24" t="s">
        <v>296</v>
      </c>
      <c r="L6888" s="109" t="s">
        <v>8039</v>
      </c>
      <c r="M6888" s="49" t="s">
        <v>8040</v>
      </c>
      <c r="N6888" s="50">
        <v>44958</v>
      </c>
      <c r="O6888" s="22" t="s">
        <v>163</v>
      </c>
      <c r="P6888" s="52">
        <v>4000</v>
      </c>
      <c r="Q6888" s="70">
        <v>1</v>
      </c>
      <c r="R6888" s="52">
        <f t="shared" si="198"/>
        <v>4000</v>
      </c>
      <c r="S6888" s="47">
        <v>202304</v>
      </c>
      <c r="T6888" s="123" t="s">
        <v>8045</v>
      </c>
      <c r="U6888" s="97"/>
      <c r="V6888" s="453"/>
      <c r="W6888" s="453"/>
      <c r="X6888" s="50">
        <v>44958</v>
      </c>
      <c r="Y6888" s="471">
        <v>45199</v>
      </c>
    </row>
    <row r="6889" s="5" customFormat="1" customHeight="1" spans="1:25">
      <c r="A6889" s="21" t="s">
        <v>25</v>
      </c>
      <c r="B6889" s="22" t="s">
        <v>7422</v>
      </c>
      <c r="C6889" s="22" t="s">
        <v>3237</v>
      </c>
      <c r="D6889" s="22" t="s">
        <v>7585</v>
      </c>
      <c r="E6889" s="23" t="s">
        <v>8981</v>
      </c>
      <c r="F6889" s="24" t="s">
        <v>8982</v>
      </c>
      <c r="G6889" s="24" t="s">
        <v>31</v>
      </c>
      <c r="H6889" s="25" t="s">
        <v>9004</v>
      </c>
      <c r="I6889" s="46" t="str">
        <f>VLOOKUP(H6889,'合同高级查询数据-4月返'!A:A,1,FALSE)</f>
        <v>182315IDC00127</v>
      </c>
      <c r="J6889" s="47" t="s">
        <v>33</v>
      </c>
      <c r="K6889" s="24" t="s">
        <v>6391</v>
      </c>
      <c r="L6889" s="109" t="s">
        <v>8054</v>
      </c>
      <c r="M6889" s="49" t="s">
        <v>8055</v>
      </c>
      <c r="N6889" s="50">
        <v>44958</v>
      </c>
      <c r="O6889" s="22" t="s">
        <v>37</v>
      </c>
      <c r="P6889" s="52">
        <v>0</v>
      </c>
      <c r="Q6889" s="70">
        <v>288</v>
      </c>
      <c r="R6889" s="52">
        <f t="shared" si="198"/>
        <v>0</v>
      </c>
      <c r="S6889" s="47">
        <v>202304</v>
      </c>
      <c r="T6889" s="123" t="s">
        <v>8056</v>
      </c>
      <c r="U6889" s="97"/>
      <c r="V6889" s="453"/>
      <c r="W6889" s="453"/>
      <c r="X6889" s="50">
        <v>44958</v>
      </c>
      <c r="Y6889" s="471">
        <v>45230</v>
      </c>
    </row>
    <row r="6890" s="5" customFormat="1" customHeight="1" spans="1:25">
      <c r="A6890" s="21" t="s">
        <v>25</v>
      </c>
      <c r="B6890" s="22" t="s">
        <v>7422</v>
      </c>
      <c r="C6890" s="22" t="s">
        <v>3237</v>
      </c>
      <c r="D6890" s="22" t="s">
        <v>7585</v>
      </c>
      <c r="E6890" s="23" t="s">
        <v>8981</v>
      </c>
      <c r="F6890" s="24" t="s">
        <v>8982</v>
      </c>
      <c r="G6890" s="24" t="s">
        <v>31</v>
      </c>
      <c r="H6890" s="25" t="s">
        <v>9004</v>
      </c>
      <c r="I6890" s="46" t="str">
        <f>VLOOKUP(H6890,'合同高级查询数据-4月返'!A:A,1,FALSE)</f>
        <v>182315IDC00127</v>
      </c>
      <c r="J6890" s="47" t="s">
        <v>33</v>
      </c>
      <c r="K6890" s="24" t="s">
        <v>6391</v>
      </c>
      <c r="L6890" s="109" t="s">
        <v>8054</v>
      </c>
      <c r="M6890" s="49" t="s">
        <v>8055</v>
      </c>
      <c r="N6890" s="50">
        <v>44958</v>
      </c>
      <c r="O6890" s="22" t="s">
        <v>37</v>
      </c>
      <c r="P6890" s="52">
        <v>0</v>
      </c>
      <c r="Q6890" s="70">
        <v>-128</v>
      </c>
      <c r="R6890" s="52">
        <f t="shared" si="198"/>
        <v>0</v>
      </c>
      <c r="S6890" s="47">
        <v>202304</v>
      </c>
      <c r="T6890" s="123" t="s">
        <v>8057</v>
      </c>
      <c r="U6890" s="97"/>
      <c r="V6890" s="453"/>
      <c r="W6890" s="453"/>
      <c r="X6890" s="50">
        <v>44958</v>
      </c>
      <c r="Y6890" s="471">
        <v>45230</v>
      </c>
    </row>
    <row r="6891" s="5" customFormat="1" customHeight="1" spans="1:25">
      <c r="A6891" s="21" t="s">
        <v>25</v>
      </c>
      <c r="B6891" s="22" t="s">
        <v>7422</v>
      </c>
      <c r="C6891" s="22" t="s">
        <v>3237</v>
      </c>
      <c r="D6891" s="22" t="s">
        <v>7585</v>
      </c>
      <c r="E6891" s="23" t="s">
        <v>8981</v>
      </c>
      <c r="F6891" s="24" t="s">
        <v>8982</v>
      </c>
      <c r="G6891" s="24" t="s">
        <v>31</v>
      </c>
      <c r="H6891" s="25" t="s">
        <v>9004</v>
      </c>
      <c r="I6891" s="46" t="str">
        <f>VLOOKUP(H6891,'合同高级查询数据-4月返'!A:A,1,FALSE)</f>
        <v>182315IDC00127</v>
      </c>
      <c r="J6891" s="47" t="s">
        <v>33</v>
      </c>
      <c r="K6891" s="24" t="s">
        <v>6391</v>
      </c>
      <c r="L6891" s="109" t="s">
        <v>8054</v>
      </c>
      <c r="M6891" s="49" t="s">
        <v>8055</v>
      </c>
      <c r="N6891" s="50"/>
      <c r="O6891" s="22" t="s">
        <v>179</v>
      </c>
      <c r="P6891" s="486">
        <v>0</v>
      </c>
      <c r="Q6891" s="70">
        <v>0</v>
      </c>
      <c r="R6891" s="52">
        <f t="shared" si="198"/>
        <v>0</v>
      </c>
      <c r="S6891" s="47">
        <v>202304</v>
      </c>
      <c r="T6891" s="123" t="s">
        <v>9005</v>
      </c>
      <c r="U6891" s="97"/>
      <c r="V6891" s="453"/>
      <c r="W6891" s="453"/>
      <c r="X6891" s="50">
        <v>44958</v>
      </c>
      <c r="Y6891" s="471">
        <v>45230</v>
      </c>
    </row>
    <row r="6892" s="5" customFormat="1" customHeight="1" spans="1:25">
      <c r="A6892" s="21" t="s">
        <v>25</v>
      </c>
      <c r="B6892" s="22" t="s">
        <v>7422</v>
      </c>
      <c r="C6892" s="22" t="s">
        <v>3237</v>
      </c>
      <c r="D6892" s="22" t="s">
        <v>7585</v>
      </c>
      <c r="E6892" s="23" t="s">
        <v>8981</v>
      </c>
      <c r="F6892" s="24" t="s">
        <v>8982</v>
      </c>
      <c r="G6892" s="24" t="s">
        <v>88</v>
      </c>
      <c r="H6892" s="25" t="s">
        <v>9004</v>
      </c>
      <c r="I6892" s="46" t="str">
        <f>VLOOKUP(H6892,'合同高级查询数据-4月返'!A:A,1,FALSE)</f>
        <v>182315IDC00127</v>
      </c>
      <c r="J6892" s="47" t="s">
        <v>162</v>
      </c>
      <c r="K6892" s="24" t="s">
        <v>6391</v>
      </c>
      <c r="L6892" s="109" t="s">
        <v>8054</v>
      </c>
      <c r="M6892" s="49" t="s">
        <v>8055</v>
      </c>
      <c r="N6892" s="50">
        <v>44958</v>
      </c>
      <c r="O6892" s="22" t="s">
        <v>163</v>
      </c>
      <c r="P6892" s="52">
        <v>4000</v>
      </c>
      <c r="Q6892" s="70">
        <v>5</v>
      </c>
      <c r="R6892" s="52">
        <f t="shared" si="198"/>
        <v>20000</v>
      </c>
      <c r="S6892" s="47">
        <v>202304</v>
      </c>
      <c r="T6892" s="123" t="s">
        <v>8059</v>
      </c>
      <c r="U6892" s="97"/>
      <c r="V6892" s="453"/>
      <c r="W6892" s="453"/>
      <c r="X6892" s="50">
        <v>44958</v>
      </c>
      <c r="Y6892" s="471">
        <v>45230</v>
      </c>
    </row>
    <row r="6893" s="5" customFormat="1" customHeight="1" spans="1:25">
      <c r="A6893" s="21" t="s">
        <v>25</v>
      </c>
      <c r="B6893" s="22" t="s">
        <v>7422</v>
      </c>
      <c r="C6893" s="22" t="s">
        <v>3237</v>
      </c>
      <c r="D6893" s="22" t="s">
        <v>7585</v>
      </c>
      <c r="E6893" s="23" t="s">
        <v>8981</v>
      </c>
      <c r="F6893" s="24" t="s">
        <v>8982</v>
      </c>
      <c r="G6893" s="24" t="s">
        <v>88</v>
      </c>
      <c r="H6893" s="25" t="s">
        <v>9004</v>
      </c>
      <c r="I6893" s="46" t="str">
        <f>VLOOKUP(H6893,'合同高级查询数据-4月返'!A:A,1,FALSE)</f>
        <v>182315IDC00127</v>
      </c>
      <c r="J6893" s="47" t="s">
        <v>162</v>
      </c>
      <c r="K6893" s="24" t="s">
        <v>6391</v>
      </c>
      <c r="L6893" s="109" t="s">
        <v>8054</v>
      </c>
      <c r="M6893" s="49" t="s">
        <v>8055</v>
      </c>
      <c r="N6893" s="50">
        <v>44958</v>
      </c>
      <c r="O6893" s="22" t="s">
        <v>163</v>
      </c>
      <c r="P6893" s="52">
        <v>4000</v>
      </c>
      <c r="Q6893" s="70">
        <v>-2</v>
      </c>
      <c r="R6893" s="52">
        <f t="shared" si="198"/>
        <v>-8000</v>
      </c>
      <c r="S6893" s="47">
        <v>202304</v>
      </c>
      <c r="T6893" s="123" t="s">
        <v>8060</v>
      </c>
      <c r="U6893" s="97"/>
      <c r="V6893" s="453"/>
      <c r="W6893" s="453"/>
      <c r="X6893" s="50">
        <v>44958</v>
      </c>
      <c r="Y6893" s="471">
        <v>45230</v>
      </c>
    </row>
    <row r="6894" s="5" customFormat="1" customHeight="1" spans="1:25">
      <c r="A6894" s="24" t="s">
        <v>25</v>
      </c>
      <c r="B6894" s="22" t="s">
        <v>7422</v>
      </c>
      <c r="C6894" s="22" t="s">
        <v>144</v>
      </c>
      <c r="D6894" s="22" t="s">
        <v>28</v>
      </c>
      <c r="E6894" s="23" t="s">
        <v>9006</v>
      </c>
      <c r="F6894" s="24" t="s">
        <v>9007</v>
      </c>
      <c r="G6894" s="98" t="s">
        <v>31</v>
      </c>
      <c r="H6894" s="25" t="s">
        <v>9008</v>
      </c>
      <c r="I6894" s="46" t="e">
        <f>VLOOKUP(H6894,'合同高级查询数据-4月返'!A:A,1,FALSE)</f>
        <v>#N/A</v>
      </c>
      <c r="J6894" s="47" t="s">
        <v>33</v>
      </c>
      <c r="K6894" s="98" t="s">
        <v>9009</v>
      </c>
      <c r="L6894" s="163" t="s">
        <v>9010</v>
      </c>
      <c r="M6894" s="49" t="s">
        <v>9011</v>
      </c>
      <c r="N6894" s="50">
        <v>44531</v>
      </c>
      <c r="O6894" s="160" t="s">
        <v>37</v>
      </c>
      <c r="P6894" s="52">
        <v>0</v>
      </c>
      <c r="Q6894" s="70">
        <v>160</v>
      </c>
      <c r="R6894" s="52">
        <f t="shared" si="198"/>
        <v>0</v>
      </c>
      <c r="S6894" s="47">
        <v>202304</v>
      </c>
      <c r="T6894" s="510" t="s">
        <v>9012</v>
      </c>
      <c r="U6894" s="97"/>
      <c r="V6894" s="453"/>
      <c r="W6894" s="453"/>
      <c r="X6894" s="50">
        <v>44531</v>
      </c>
      <c r="Y6894" s="50">
        <v>45260</v>
      </c>
    </row>
    <row r="6895" s="5" customFormat="1" customHeight="1" spans="1:25">
      <c r="A6895" s="24" t="s">
        <v>25</v>
      </c>
      <c r="B6895" s="22" t="s">
        <v>7422</v>
      </c>
      <c r="C6895" s="22" t="s">
        <v>144</v>
      </c>
      <c r="D6895" s="22" t="s">
        <v>28</v>
      </c>
      <c r="E6895" s="23" t="s">
        <v>9006</v>
      </c>
      <c r="F6895" s="24" t="s">
        <v>9007</v>
      </c>
      <c r="G6895" s="98" t="s">
        <v>31</v>
      </c>
      <c r="H6895" s="25" t="s">
        <v>9008</v>
      </c>
      <c r="I6895" s="46" t="e">
        <f>VLOOKUP(H6895,'合同高级查询数据-4月返'!A:A,1,FALSE)</f>
        <v>#N/A</v>
      </c>
      <c r="J6895" s="47" t="s">
        <v>33</v>
      </c>
      <c r="K6895" s="98" t="s">
        <v>9009</v>
      </c>
      <c r="L6895" s="163" t="s">
        <v>9010</v>
      </c>
      <c r="M6895" s="49" t="s">
        <v>9011</v>
      </c>
      <c r="N6895" s="50">
        <v>44531</v>
      </c>
      <c r="O6895" s="160" t="s">
        <v>37</v>
      </c>
      <c r="P6895" s="52">
        <v>45</v>
      </c>
      <c r="Q6895" s="70">
        <v>128</v>
      </c>
      <c r="R6895" s="52">
        <f t="shared" si="198"/>
        <v>5760</v>
      </c>
      <c r="S6895" s="47">
        <v>202304</v>
      </c>
      <c r="T6895" s="510" t="s">
        <v>9012</v>
      </c>
      <c r="U6895" s="97"/>
      <c r="V6895" s="453"/>
      <c r="W6895" s="453"/>
      <c r="X6895" s="50">
        <v>44531</v>
      </c>
      <c r="Y6895" s="50">
        <v>45260</v>
      </c>
    </row>
    <row r="6896" s="5" customFormat="1" customHeight="1" spans="1:25">
      <c r="A6896" s="24" t="s">
        <v>25</v>
      </c>
      <c r="B6896" s="22" t="s">
        <v>7422</v>
      </c>
      <c r="C6896" s="22" t="s">
        <v>144</v>
      </c>
      <c r="D6896" s="22" t="s">
        <v>28</v>
      </c>
      <c r="E6896" s="23" t="s">
        <v>9006</v>
      </c>
      <c r="F6896" s="24" t="s">
        <v>9007</v>
      </c>
      <c r="G6896" s="98" t="s">
        <v>31</v>
      </c>
      <c r="H6896" s="25" t="s">
        <v>9008</v>
      </c>
      <c r="I6896" s="46" t="e">
        <f>VLOOKUP(H6896,'合同高级查询数据-4月返'!A:A,1,FALSE)</f>
        <v>#N/A</v>
      </c>
      <c r="J6896" s="47" t="s">
        <v>33</v>
      </c>
      <c r="K6896" s="98" t="s">
        <v>9009</v>
      </c>
      <c r="L6896" s="163" t="s">
        <v>9010</v>
      </c>
      <c r="M6896" s="49" t="s">
        <v>9011</v>
      </c>
      <c r="N6896" s="50">
        <v>44874</v>
      </c>
      <c r="O6896" s="160" t="s">
        <v>37</v>
      </c>
      <c r="P6896" s="52">
        <v>45</v>
      </c>
      <c r="Q6896" s="70">
        <v>-128</v>
      </c>
      <c r="R6896" s="52">
        <f t="shared" si="198"/>
        <v>-5760</v>
      </c>
      <c r="S6896" s="47">
        <v>202304</v>
      </c>
      <c r="T6896" s="510" t="s">
        <v>9013</v>
      </c>
      <c r="U6896" s="97"/>
      <c r="V6896" s="453"/>
      <c r="W6896" s="453"/>
      <c r="X6896" s="50">
        <v>44531</v>
      </c>
      <c r="Y6896" s="50">
        <v>45260</v>
      </c>
    </row>
    <row r="6897" s="5" customFormat="1" customHeight="1" spans="1:25">
      <c r="A6897" s="24" t="s">
        <v>25</v>
      </c>
      <c r="B6897" s="22" t="s">
        <v>7422</v>
      </c>
      <c r="C6897" s="22" t="s">
        <v>144</v>
      </c>
      <c r="D6897" s="22" t="s">
        <v>28</v>
      </c>
      <c r="E6897" s="23" t="s">
        <v>9006</v>
      </c>
      <c r="F6897" s="24" t="s">
        <v>9007</v>
      </c>
      <c r="G6897" s="98" t="s">
        <v>31</v>
      </c>
      <c r="H6897" s="25" t="s">
        <v>9008</v>
      </c>
      <c r="I6897" s="46" t="e">
        <f>VLOOKUP(H6897,'合同高级查询数据-4月返'!A:A,1,FALSE)</f>
        <v>#N/A</v>
      </c>
      <c r="J6897" s="47" t="s">
        <v>33</v>
      </c>
      <c r="K6897" s="98" t="s">
        <v>9009</v>
      </c>
      <c r="L6897" s="163" t="s">
        <v>9010</v>
      </c>
      <c r="M6897" s="49" t="s">
        <v>9011</v>
      </c>
      <c r="N6897" s="50"/>
      <c r="O6897" s="160" t="s">
        <v>179</v>
      </c>
      <c r="P6897" s="52">
        <v>0</v>
      </c>
      <c r="Q6897" s="52">
        <v>0</v>
      </c>
      <c r="R6897" s="52">
        <f t="shared" si="198"/>
        <v>0</v>
      </c>
      <c r="S6897" s="47">
        <v>202304</v>
      </c>
      <c r="T6897" s="510" t="s">
        <v>9014</v>
      </c>
      <c r="U6897" s="97"/>
      <c r="V6897" s="453"/>
      <c r="W6897" s="453"/>
      <c r="X6897" s="50">
        <v>44531</v>
      </c>
      <c r="Y6897" s="50">
        <v>45260</v>
      </c>
    </row>
    <row r="6898" s="5" customFormat="1" customHeight="1" spans="1:25">
      <c r="A6898" s="24" t="s">
        <v>25</v>
      </c>
      <c r="B6898" s="22" t="s">
        <v>7422</v>
      </c>
      <c r="C6898" s="22" t="s">
        <v>144</v>
      </c>
      <c r="D6898" s="22" t="s">
        <v>28</v>
      </c>
      <c r="E6898" s="23" t="s">
        <v>9006</v>
      </c>
      <c r="F6898" s="24" t="s">
        <v>9007</v>
      </c>
      <c r="G6898" s="24" t="s">
        <v>88</v>
      </c>
      <c r="H6898" s="25" t="s">
        <v>9008</v>
      </c>
      <c r="I6898" s="46" t="e">
        <f>VLOOKUP(H6898,'合同高级查询数据-4月返'!A:A,1,FALSE)</f>
        <v>#N/A</v>
      </c>
      <c r="J6898" s="47" t="s">
        <v>162</v>
      </c>
      <c r="K6898" s="98" t="s">
        <v>9009</v>
      </c>
      <c r="L6898" s="163" t="s">
        <v>9010</v>
      </c>
      <c r="M6898" s="49" t="s">
        <v>9011</v>
      </c>
      <c r="N6898" s="50">
        <v>44531</v>
      </c>
      <c r="O6898" s="160" t="s">
        <v>92</v>
      </c>
      <c r="P6898" s="52">
        <v>3750</v>
      </c>
      <c r="Q6898" s="70">
        <v>3</v>
      </c>
      <c r="R6898" s="52">
        <f t="shared" si="198"/>
        <v>11250</v>
      </c>
      <c r="S6898" s="47">
        <v>202304</v>
      </c>
      <c r="T6898" s="510" t="s">
        <v>9015</v>
      </c>
      <c r="U6898" s="97"/>
      <c r="V6898" s="453"/>
      <c r="W6898" s="453"/>
      <c r="X6898" s="50">
        <v>44531</v>
      </c>
      <c r="Y6898" s="50">
        <v>45260</v>
      </c>
    </row>
    <row r="6899" s="3" customFormat="1" customHeight="1" spans="1:25">
      <c r="A6899" s="11" t="s">
        <v>25</v>
      </c>
      <c r="B6899" s="35" t="s">
        <v>7422</v>
      </c>
      <c r="C6899" s="35" t="s">
        <v>39</v>
      </c>
      <c r="D6899" s="35" t="s">
        <v>7585</v>
      </c>
      <c r="E6899" s="13" t="s">
        <v>9016</v>
      </c>
      <c r="F6899" s="11" t="s">
        <v>9017</v>
      </c>
      <c r="G6899" s="135" t="s">
        <v>31</v>
      </c>
      <c r="H6899" s="110" t="s">
        <v>9018</v>
      </c>
      <c r="I6899" s="30" t="e">
        <f>VLOOKUP(H6899,'合同高级查询数据-4月返'!A:A,1,FALSE)</f>
        <v>#N/A</v>
      </c>
      <c r="J6899" s="31" t="s">
        <v>497</v>
      </c>
      <c r="K6899" s="135" t="s">
        <v>40</v>
      </c>
      <c r="L6899" s="415" t="s">
        <v>9019</v>
      </c>
      <c r="M6899" s="113" t="s">
        <v>3768</v>
      </c>
      <c r="N6899" s="34">
        <v>44545</v>
      </c>
      <c r="O6899" s="134" t="s">
        <v>37</v>
      </c>
      <c r="P6899" s="465">
        <v>50</v>
      </c>
      <c r="Q6899" s="459">
        <v>512</v>
      </c>
      <c r="R6899" s="465">
        <f t="shared" si="198"/>
        <v>25600</v>
      </c>
      <c r="S6899" s="31">
        <v>202304</v>
      </c>
      <c r="T6899" s="515" t="s">
        <v>9020</v>
      </c>
      <c r="U6899" s="104"/>
      <c r="V6899" s="438"/>
      <c r="W6899" s="438"/>
      <c r="X6899" s="34"/>
      <c r="Y6899" s="34"/>
    </row>
    <row r="6900" s="3" customFormat="1" customHeight="1" spans="1:25">
      <c r="A6900" s="11" t="s">
        <v>25</v>
      </c>
      <c r="B6900" s="35" t="s">
        <v>7422</v>
      </c>
      <c r="C6900" s="35" t="s">
        <v>39</v>
      </c>
      <c r="D6900" s="35" t="s">
        <v>7585</v>
      </c>
      <c r="E6900" s="13" t="s">
        <v>9016</v>
      </c>
      <c r="F6900" s="11" t="s">
        <v>9017</v>
      </c>
      <c r="G6900" s="135" t="s">
        <v>31</v>
      </c>
      <c r="H6900" s="110" t="s">
        <v>9018</v>
      </c>
      <c r="I6900" s="30" t="e">
        <f>VLOOKUP(H6900,'合同高级查询数据-4月返'!A:A,1,FALSE)</f>
        <v>#N/A</v>
      </c>
      <c r="J6900" s="31" t="s">
        <v>497</v>
      </c>
      <c r="K6900" s="135" t="s">
        <v>40</v>
      </c>
      <c r="L6900" s="415" t="s">
        <v>9019</v>
      </c>
      <c r="M6900" s="113" t="s">
        <v>3768</v>
      </c>
      <c r="N6900" s="34">
        <v>44620</v>
      </c>
      <c r="O6900" s="134" t="s">
        <v>37</v>
      </c>
      <c r="P6900" s="465">
        <v>50</v>
      </c>
      <c r="Q6900" s="459">
        <v>-256</v>
      </c>
      <c r="R6900" s="465">
        <f t="shared" si="198"/>
        <v>-12800</v>
      </c>
      <c r="S6900" s="31">
        <v>202304</v>
      </c>
      <c r="T6900" s="515" t="s">
        <v>9021</v>
      </c>
      <c r="U6900" s="104"/>
      <c r="V6900" s="438"/>
      <c r="W6900" s="438"/>
      <c r="X6900" s="34"/>
      <c r="Y6900" s="34"/>
    </row>
    <row r="6901" s="3" customFormat="1" customHeight="1" spans="1:25">
      <c r="A6901" s="11" t="s">
        <v>25</v>
      </c>
      <c r="B6901" s="35" t="s">
        <v>7422</v>
      </c>
      <c r="C6901" s="35" t="s">
        <v>39</v>
      </c>
      <c r="D6901" s="35" t="s">
        <v>7585</v>
      </c>
      <c r="E6901" s="13" t="s">
        <v>9016</v>
      </c>
      <c r="F6901" s="11" t="s">
        <v>9017</v>
      </c>
      <c r="G6901" s="135" t="s">
        <v>31</v>
      </c>
      <c r="H6901" s="110" t="s">
        <v>9018</v>
      </c>
      <c r="I6901" s="30" t="e">
        <f>VLOOKUP(H6901,'合同高级查询数据-4月返'!A:A,1,FALSE)</f>
        <v>#N/A</v>
      </c>
      <c r="J6901" s="31" t="s">
        <v>33</v>
      </c>
      <c r="K6901" s="135" t="s">
        <v>40</v>
      </c>
      <c r="L6901" s="415" t="s">
        <v>9019</v>
      </c>
      <c r="M6901" s="113" t="s">
        <v>9022</v>
      </c>
      <c r="N6901" s="34">
        <v>44621</v>
      </c>
      <c r="O6901" s="134" t="s">
        <v>37</v>
      </c>
      <c r="P6901" s="465">
        <v>50</v>
      </c>
      <c r="Q6901" s="459">
        <v>256</v>
      </c>
      <c r="R6901" s="465">
        <f t="shared" si="198"/>
        <v>12800</v>
      </c>
      <c r="S6901" s="31">
        <v>202304</v>
      </c>
      <c r="T6901" s="515" t="s">
        <v>9023</v>
      </c>
      <c r="U6901" s="104"/>
      <c r="V6901" s="438"/>
      <c r="W6901" s="438"/>
      <c r="X6901" s="34"/>
      <c r="Y6901" s="34"/>
    </row>
    <row r="6902" s="3" customFormat="1" customHeight="1" spans="1:25">
      <c r="A6902" s="11" t="s">
        <v>25</v>
      </c>
      <c r="B6902" s="35" t="s">
        <v>7422</v>
      </c>
      <c r="C6902" s="35" t="s">
        <v>39</v>
      </c>
      <c r="D6902" s="35" t="s">
        <v>7585</v>
      </c>
      <c r="E6902" s="13" t="s">
        <v>9016</v>
      </c>
      <c r="F6902" s="11" t="s">
        <v>9017</v>
      </c>
      <c r="G6902" s="135" t="s">
        <v>31</v>
      </c>
      <c r="H6902" s="110" t="s">
        <v>9018</v>
      </c>
      <c r="I6902" s="30" t="e">
        <f>VLOOKUP(H6902,'合同高级查询数据-4月返'!A:A,1,FALSE)</f>
        <v>#N/A</v>
      </c>
      <c r="J6902" s="31" t="s">
        <v>33</v>
      </c>
      <c r="K6902" s="135" t="s">
        <v>40</v>
      </c>
      <c r="L6902" s="415" t="s">
        <v>9019</v>
      </c>
      <c r="M6902" s="113" t="s">
        <v>9022</v>
      </c>
      <c r="N6902" s="34">
        <v>44762</v>
      </c>
      <c r="O6902" s="134" t="s">
        <v>37</v>
      </c>
      <c r="P6902" s="465">
        <v>50</v>
      </c>
      <c r="Q6902" s="459">
        <v>-128</v>
      </c>
      <c r="R6902" s="465">
        <f t="shared" si="198"/>
        <v>-6400</v>
      </c>
      <c r="S6902" s="31">
        <v>202304</v>
      </c>
      <c r="T6902" s="515" t="s">
        <v>9024</v>
      </c>
      <c r="U6902" s="104"/>
      <c r="V6902" s="438"/>
      <c r="W6902" s="438"/>
      <c r="X6902" s="34"/>
      <c r="Y6902" s="34"/>
    </row>
    <row r="6903" s="3" customFormat="1" customHeight="1" spans="1:25">
      <c r="A6903" s="11" t="s">
        <v>25</v>
      </c>
      <c r="B6903" s="35" t="s">
        <v>7422</v>
      </c>
      <c r="C6903" s="35" t="s">
        <v>39</v>
      </c>
      <c r="D6903" s="35" t="s">
        <v>7585</v>
      </c>
      <c r="E6903" s="13" t="s">
        <v>9016</v>
      </c>
      <c r="F6903" s="11" t="s">
        <v>9017</v>
      </c>
      <c r="G6903" s="135" t="s">
        <v>31</v>
      </c>
      <c r="H6903" s="110" t="s">
        <v>9018</v>
      </c>
      <c r="I6903" s="30" t="e">
        <f>VLOOKUP(H6903,'合同高级查询数据-4月返'!A:A,1,FALSE)</f>
        <v>#N/A</v>
      </c>
      <c r="J6903" s="31" t="s">
        <v>497</v>
      </c>
      <c r="K6903" s="135" t="s">
        <v>40</v>
      </c>
      <c r="L6903" s="415" t="s">
        <v>9019</v>
      </c>
      <c r="M6903" s="113" t="s">
        <v>3768</v>
      </c>
      <c r="N6903" s="34">
        <v>44763</v>
      </c>
      <c r="O6903" s="134" t="s">
        <v>37</v>
      </c>
      <c r="P6903" s="465">
        <v>50</v>
      </c>
      <c r="Q6903" s="459">
        <v>128</v>
      </c>
      <c r="R6903" s="465">
        <f t="shared" si="198"/>
        <v>6400</v>
      </c>
      <c r="S6903" s="31">
        <v>202304</v>
      </c>
      <c r="T6903" s="515" t="s">
        <v>9025</v>
      </c>
      <c r="U6903" s="104"/>
      <c r="V6903" s="438"/>
      <c r="W6903" s="438"/>
      <c r="X6903" s="34"/>
      <c r="Y6903" s="34"/>
    </row>
    <row r="6904" s="3" customFormat="1" customHeight="1" spans="1:25">
      <c r="A6904" s="11" t="s">
        <v>25</v>
      </c>
      <c r="B6904" s="35" t="s">
        <v>7422</v>
      </c>
      <c r="C6904" s="35" t="s">
        <v>39</v>
      </c>
      <c r="D6904" s="35" t="s">
        <v>7585</v>
      </c>
      <c r="E6904" s="13" t="s">
        <v>9016</v>
      </c>
      <c r="F6904" s="11" t="s">
        <v>9017</v>
      </c>
      <c r="G6904" s="135" t="s">
        <v>31</v>
      </c>
      <c r="H6904" s="110" t="s">
        <v>9018</v>
      </c>
      <c r="I6904" s="30" t="e">
        <f>VLOOKUP(H6904,'合同高级查询数据-4月返'!A:A,1,FALSE)</f>
        <v>#N/A</v>
      </c>
      <c r="J6904" s="31" t="s">
        <v>33</v>
      </c>
      <c r="K6904" s="135" t="s">
        <v>40</v>
      </c>
      <c r="L6904" s="415" t="s">
        <v>9019</v>
      </c>
      <c r="M6904" s="113" t="s">
        <v>9022</v>
      </c>
      <c r="N6904" s="34">
        <v>45016</v>
      </c>
      <c r="O6904" s="134" t="s">
        <v>37</v>
      </c>
      <c r="P6904" s="465">
        <v>50</v>
      </c>
      <c r="Q6904" s="459">
        <v>-128</v>
      </c>
      <c r="R6904" s="465">
        <f t="shared" si="198"/>
        <v>-6400</v>
      </c>
      <c r="S6904" s="31">
        <v>202304</v>
      </c>
      <c r="T6904" s="515" t="s">
        <v>9026</v>
      </c>
      <c r="U6904" s="104"/>
      <c r="V6904" s="438"/>
      <c r="W6904" s="438"/>
      <c r="X6904" s="34"/>
      <c r="Y6904" s="34"/>
    </row>
    <row r="6905" s="3" customFormat="1" customHeight="1" spans="1:25">
      <c r="A6905" s="11" t="s">
        <v>25</v>
      </c>
      <c r="B6905" s="35" t="s">
        <v>7422</v>
      </c>
      <c r="C6905" s="35" t="s">
        <v>39</v>
      </c>
      <c r="D6905" s="35" t="s">
        <v>7585</v>
      </c>
      <c r="E6905" s="13" t="s">
        <v>9016</v>
      </c>
      <c r="F6905" s="11" t="s">
        <v>9017</v>
      </c>
      <c r="G6905" s="135" t="s">
        <v>31</v>
      </c>
      <c r="H6905" s="110" t="s">
        <v>9018</v>
      </c>
      <c r="I6905" s="30" t="e">
        <f>VLOOKUP(H6905,'合同高级查询数据-4月返'!A:A,1,FALSE)</f>
        <v>#N/A</v>
      </c>
      <c r="J6905" s="31" t="s">
        <v>497</v>
      </c>
      <c r="K6905" s="135" t="s">
        <v>40</v>
      </c>
      <c r="L6905" s="415" t="s">
        <v>9019</v>
      </c>
      <c r="M6905" s="113" t="s">
        <v>3768</v>
      </c>
      <c r="N6905" s="34">
        <v>45017</v>
      </c>
      <c r="O6905" s="134" t="s">
        <v>37</v>
      </c>
      <c r="P6905" s="465">
        <v>50</v>
      </c>
      <c r="Q6905" s="459">
        <v>128</v>
      </c>
      <c r="R6905" s="465">
        <f t="shared" si="198"/>
        <v>6400</v>
      </c>
      <c r="S6905" s="31">
        <v>202304</v>
      </c>
      <c r="T6905" s="515" t="s">
        <v>9027</v>
      </c>
      <c r="U6905" s="104"/>
      <c r="V6905" s="438"/>
      <c r="W6905" s="438"/>
      <c r="X6905" s="34"/>
      <c r="Y6905" s="34"/>
    </row>
    <row r="6906" s="3" customFormat="1" customHeight="1" spans="1:25">
      <c r="A6906" s="11" t="s">
        <v>25</v>
      </c>
      <c r="B6906" s="35" t="s">
        <v>7422</v>
      </c>
      <c r="C6906" s="35" t="s">
        <v>39</v>
      </c>
      <c r="D6906" s="35" t="s">
        <v>7585</v>
      </c>
      <c r="E6906" s="13" t="s">
        <v>9016</v>
      </c>
      <c r="F6906" s="11" t="s">
        <v>9017</v>
      </c>
      <c r="G6906" s="135" t="s">
        <v>31</v>
      </c>
      <c r="H6906" s="110" t="s">
        <v>9018</v>
      </c>
      <c r="I6906" s="30" t="e">
        <f>VLOOKUP(H6906,'合同高级查询数据-4月返'!A:A,1,FALSE)</f>
        <v>#N/A</v>
      </c>
      <c r="J6906" s="31" t="s">
        <v>497</v>
      </c>
      <c r="K6906" s="135" t="s">
        <v>40</v>
      </c>
      <c r="L6906" s="415" t="s">
        <v>9019</v>
      </c>
      <c r="M6906" s="113" t="s">
        <v>3768</v>
      </c>
      <c r="N6906" s="34">
        <v>44545</v>
      </c>
      <c r="O6906" s="134" t="s">
        <v>179</v>
      </c>
      <c r="P6906" s="465">
        <v>0</v>
      </c>
      <c r="Q6906" s="459">
        <v>1</v>
      </c>
      <c r="R6906" s="465">
        <f t="shared" si="198"/>
        <v>0</v>
      </c>
      <c r="S6906" s="31">
        <v>202304</v>
      </c>
      <c r="T6906" s="515" t="s">
        <v>9028</v>
      </c>
      <c r="U6906" s="104"/>
      <c r="V6906" s="438"/>
      <c r="W6906" s="438"/>
      <c r="X6906" s="34"/>
      <c r="Y6906" s="34"/>
    </row>
    <row r="6907" s="3" customFormat="1" customHeight="1" spans="1:25">
      <c r="A6907" s="11" t="s">
        <v>152</v>
      </c>
      <c r="B6907" s="35" t="s">
        <v>7422</v>
      </c>
      <c r="C6907" s="35" t="s">
        <v>39</v>
      </c>
      <c r="D6907" s="35" t="s">
        <v>7585</v>
      </c>
      <c r="E6907" s="13" t="s">
        <v>9016</v>
      </c>
      <c r="F6907" s="11" t="s">
        <v>9017</v>
      </c>
      <c r="G6907" s="135" t="s">
        <v>31</v>
      </c>
      <c r="H6907" s="110" t="s">
        <v>9018</v>
      </c>
      <c r="I6907" s="30" t="e">
        <f>VLOOKUP(H6907,'合同高级查询数据-4月返'!A:A,1,FALSE)</f>
        <v>#N/A</v>
      </c>
      <c r="J6907" s="31" t="s">
        <v>497</v>
      </c>
      <c r="K6907" s="135" t="s">
        <v>40</v>
      </c>
      <c r="L6907" s="415" t="s">
        <v>9029</v>
      </c>
      <c r="M6907" s="113" t="s">
        <v>3768</v>
      </c>
      <c r="N6907" s="34">
        <v>44545</v>
      </c>
      <c r="O6907" s="134" t="s">
        <v>37</v>
      </c>
      <c r="P6907" s="465">
        <v>50</v>
      </c>
      <c r="Q6907" s="459">
        <v>512</v>
      </c>
      <c r="R6907" s="465">
        <f t="shared" si="198"/>
        <v>25600</v>
      </c>
      <c r="S6907" s="31">
        <v>202304</v>
      </c>
      <c r="T6907" s="515" t="s">
        <v>9030</v>
      </c>
      <c r="U6907" s="104"/>
      <c r="V6907" s="438"/>
      <c r="W6907" s="438"/>
      <c r="X6907" s="34"/>
      <c r="Y6907" s="34"/>
    </row>
    <row r="6908" s="3" customFormat="1" customHeight="1" spans="1:25">
      <c r="A6908" s="11" t="s">
        <v>152</v>
      </c>
      <c r="B6908" s="35" t="s">
        <v>7422</v>
      </c>
      <c r="C6908" s="35" t="s">
        <v>39</v>
      </c>
      <c r="D6908" s="35" t="s">
        <v>7585</v>
      </c>
      <c r="E6908" s="13" t="s">
        <v>9016</v>
      </c>
      <c r="F6908" s="11" t="s">
        <v>9017</v>
      </c>
      <c r="G6908" s="135" t="s">
        <v>31</v>
      </c>
      <c r="H6908" s="110" t="s">
        <v>9018</v>
      </c>
      <c r="I6908" s="30" t="e">
        <f>VLOOKUP(H6908,'合同高级查询数据-4月返'!A:A,1,FALSE)</f>
        <v>#N/A</v>
      </c>
      <c r="J6908" s="31" t="s">
        <v>497</v>
      </c>
      <c r="K6908" s="135" t="s">
        <v>40</v>
      </c>
      <c r="L6908" s="415" t="s">
        <v>9029</v>
      </c>
      <c r="M6908" s="113" t="s">
        <v>3768</v>
      </c>
      <c r="N6908" s="34">
        <v>44742</v>
      </c>
      <c r="O6908" s="134" t="s">
        <v>37</v>
      </c>
      <c r="P6908" s="465">
        <v>50</v>
      </c>
      <c r="Q6908" s="459">
        <v>-256</v>
      </c>
      <c r="R6908" s="465">
        <f t="shared" si="198"/>
        <v>-12800</v>
      </c>
      <c r="S6908" s="31">
        <v>202304</v>
      </c>
      <c r="T6908" s="515" t="s">
        <v>9031</v>
      </c>
      <c r="U6908" s="104"/>
      <c r="V6908" s="438"/>
      <c r="W6908" s="438"/>
      <c r="X6908" s="34"/>
      <c r="Y6908" s="34"/>
    </row>
    <row r="6909" s="3" customFormat="1" customHeight="1" spans="1:25">
      <c r="A6909" s="11" t="s">
        <v>152</v>
      </c>
      <c r="B6909" s="35" t="s">
        <v>7422</v>
      </c>
      <c r="C6909" s="35" t="s">
        <v>39</v>
      </c>
      <c r="D6909" s="35" t="s">
        <v>7585</v>
      </c>
      <c r="E6909" s="13" t="s">
        <v>9016</v>
      </c>
      <c r="F6909" s="11" t="s">
        <v>9017</v>
      </c>
      <c r="G6909" s="135" t="s">
        <v>31</v>
      </c>
      <c r="H6909" s="110" t="s">
        <v>9018</v>
      </c>
      <c r="I6909" s="30" t="e">
        <f>VLOOKUP(H6909,'合同高级查询数据-4月返'!A:A,1,FALSE)</f>
        <v>#N/A</v>
      </c>
      <c r="J6909" s="31" t="s">
        <v>33</v>
      </c>
      <c r="K6909" s="135" t="s">
        <v>40</v>
      </c>
      <c r="L6909" s="415" t="s">
        <v>9029</v>
      </c>
      <c r="M6909" s="113" t="s">
        <v>9022</v>
      </c>
      <c r="N6909" s="34">
        <v>44743</v>
      </c>
      <c r="O6909" s="134" t="s">
        <v>37</v>
      </c>
      <c r="P6909" s="465">
        <v>50</v>
      </c>
      <c r="Q6909" s="459">
        <v>256</v>
      </c>
      <c r="R6909" s="465">
        <f t="shared" si="198"/>
        <v>12800</v>
      </c>
      <c r="S6909" s="31">
        <v>202304</v>
      </c>
      <c r="T6909" s="515" t="s">
        <v>9032</v>
      </c>
      <c r="U6909" s="104"/>
      <c r="V6909" s="438"/>
      <c r="W6909" s="438"/>
      <c r="X6909" s="34"/>
      <c r="Y6909" s="34"/>
    </row>
    <row r="6910" s="3" customFormat="1" customHeight="1" spans="1:25">
      <c r="A6910" s="11" t="s">
        <v>152</v>
      </c>
      <c r="B6910" s="35" t="s">
        <v>7422</v>
      </c>
      <c r="C6910" s="35" t="s">
        <v>39</v>
      </c>
      <c r="D6910" s="35" t="s">
        <v>7585</v>
      </c>
      <c r="E6910" s="13" t="s">
        <v>9016</v>
      </c>
      <c r="F6910" s="11" t="s">
        <v>9017</v>
      </c>
      <c r="G6910" s="135" t="s">
        <v>31</v>
      </c>
      <c r="H6910" s="110" t="s">
        <v>9018</v>
      </c>
      <c r="I6910" s="30" t="e">
        <f>VLOOKUP(H6910,'合同高级查询数据-4月返'!A:A,1,FALSE)</f>
        <v>#N/A</v>
      </c>
      <c r="J6910" s="31" t="s">
        <v>33</v>
      </c>
      <c r="K6910" s="135" t="s">
        <v>40</v>
      </c>
      <c r="L6910" s="415" t="s">
        <v>9029</v>
      </c>
      <c r="M6910" s="113" t="s">
        <v>9022</v>
      </c>
      <c r="N6910" s="34">
        <v>45016</v>
      </c>
      <c r="O6910" s="134" t="s">
        <v>37</v>
      </c>
      <c r="P6910" s="465">
        <v>50</v>
      </c>
      <c r="Q6910" s="459">
        <v>-128</v>
      </c>
      <c r="R6910" s="465">
        <f t="shared" si="198"/>
        <v>-6400</v>
      </c>
      <c r="S6910" s="31">
        <v>202304</v>
      </c>
      <c r="T6910" s="515" t="s">
        <v>9033</v>
      </c>
      <c r="U6910" s="104"/>
      <c r="V6910" s="438"/>
      <c r="W6910" s="438"/>
      <c r="X6910" s="34"/>
      <c r="Y6910" s="34"/>
    </row>
    <row r="6911" s="3" customFormat="1" customHeight="1" spans="1:25">
      <c r="A6911" s="11" t="s">
        <v>152</v>
      </c>
      <c r="B6911" s="35" t="s">
        <v>7422</v>
      </c>
      <c r="C6911" s="35" t="s">
        <v>39</v>
      </c>
      <c r="D6911" s="35" t="s">
        <v>7585</v>
      </c>
      <c r="E6911" s="13" t="s">
        <v>9016</v>
      </c>
      <c r="F6911" s="11" t="s">
        <v>9017</v>
      </c>
      <c r="G6911" s="135" t="s">
        <v>31</v>
      </c>
      <c r="H6911" s="110" t="s">
        <v>9018</v>
      </c>
      <c r="I6911" s="30" t="e">
        <f>VLOOKUP(H6911,'合同高级查询数据-4月返'!A:A,1,FALSE)</f>
        <v>#N/A</v>
      </c>
      <c r="J6911" s="31" t="s">
        <v>497</v>
      </c>
      <c r="K6911" s="135" t="s">
        <v>40</v>
      </c>
      <c r="L6911" s="415" t="s">
        <v>9029</v>
      </c>
      <c r="M6911" s="113" t="s">
        <v>3768</v>
      </c>
      <c r="N6911" s="34">
        <v>45017</v>
      </c>
      <c r="O6911" s="134" t="s">
        <v>37</v>
      </c>
      <c r="P6911" s="465">
        <v>50</v>
      </c>
      <c r="Q6911" s="459">
        <v>128</v>
      </c>
      <c r="R6911" s="465">
        <f t="shared" si="198"/>
        <v>6400</v>
      </c>
      <c r="S6911" s="31">
        <v>202304</v>
      </c>
      <c r="T6911" s="515" t="s">
        <v>9034</v>
      </c>
      <c r="U6911" s="104"/>
      <c r="V6911" s="438"/>
      <c r="W6911" s="438"/>
      <c r="X6911" s="34"/>
      <c r="Y6911" s="34"/>
    </row>
    <row r="6912" s="3" customFormat="1" customHeight="1" spans="1:25">
      <c r="A6912" s="11" t="s">
        <v>152</v>
      </c>
      <c r="B6912" s="35" t="s">
        <v>7422</v>
      </c>
      <c r="C6912" s="35" t="s">
        <v>39</v>
      </c>
      <c r="D6912" s="35" t="s">
        <v>7585</v>
      </c>
      <c r="E6912" s="13" t="s">
        <v>9016</v>
      </c>
      <c r="F6912" s="11" t="s">
        <v>9017</v>
      </c>
      <c r="G6912" s="135" t="s">
        <v>31</v>
      </c>
      <c r="H6912" s="110" t="s">
        <v>9018</v>
      </c>
      <c r="I6912" s="30" t="e">
        <f>VLOOKUP(H6912,'合同高级查询数据-4月返'!A:A,1,FALSE)</f>
        <v>#N/A</v>
      </c>
      <c r="J6912" s="31" t="s">
        <v>33</v>
      </c>
      <c r="K6912" s="135" t="s">
        <v>40</v>
      </c>
      <c r="L6912" s="415" t="s">
        <v>9029</v>
      </c>
      <c r="M6912" s="113" t="s">
        <v>9022</v>
      </c>
      <c r="N6912" s="34">
        <v>44762</v>
      </c>
      <c r="O6912" s="134" t="s">
        <v>37</v>
      </c>
      <c r="P6912" s="465">
        <v>50</v>
      </c>
      <c r="Q6912" s="459">
        <v>-128</v>
      </c>
      <c r="R6912" s="465">
        <f t="shared" si="198"/>
        <v>-6400</v>
      </c>
      <c r="S6912" s="31">
        <v>202304</v>
      </c>
      <c r="T6912" s="515" t="s">
        <v>9035</v>
      </c>
      <c r="U6912" s="104"/>
      <c r="V6912" s="438"/>
      <c r="W6912" s="438"/>
      <c r="X6912" s="34"/>
      <c r="Y6912" s="34"/>
    </row>
    <row r="6913" s="3" customFormat="1" customHeight="1" spans="1:25">
      <c r="A6913" s="11" t="s">
        <v>152</v>
      </c>
      <c r="B6913" s="35" t="s">
        <v>7422</v>
      </c>
      <c r="C6913" s="35" t="s">
        <v>39</v>
      </c>
      <c r="D6913" s="35" t="s">
        <v>7585</v>
      </c>
      <c r="E6913" s="13" t="s">
        <v>9016</v>
      </c>
      <c r="F6913" s="11" t="s">
        <v>9017</v>
      </c>
      <c r="G6913" s="135" t="s">
        <v>31</v>
      </c>
      <c r="H6913" s="110" t="s">
        <v>9018</v>
      </c>
      <c r="I6913" s="30" t="e">
        <f>VLOOKUP(H6913,'合同高级查询数据-4月返'!A:A,1,FALSE)</f>
        <v>#N/A</v>
      </c>
      <c r="J6913" s="31" t="s">
        <v>497</v>
      </c>
      <c r="K6913" s="135" t="s">
        <v>40</v>
      </c>
      <c r="L6913" s="415" t="s">
        <v>9029</v>
      </c>
      <c r="M6913" s="113" t="s">
        <v>3768</v>
      </c>
      <c r="N6913" s="34">
        <v>44763</v>
      </c>
      <c r="O6913" s="134" t="s">
        <v>37</v>
      </c>
      <c r="P6913" s="465">
        <v>50</v>
      </c>
      <c r="Q6913" s="459">
        <v>128</v>
      </c>
      <c r="R6913" s="465">
        <f t="shared" si="198"/>
        <v>6400</v>
      </c>
      <c r="S6913" s="31">
        <v>202304</v>
      </c>
      <c r="T6913" s="515" t="s">
        <v>9036</v>
      </c>
      <c r="U6913" s="104"/>
      <c r="V6913" s="438"/>
      <c r="W6913" s="438"/>
      <c r="X6913" s="34"/>
      <c r="Y6913" s="34"/>
    </row>
    <row r="6914" s="3" customFormat="1" customHeight="1" spans="1:25">
      <c r="A6914" s="11" t="s">
        <v>152</v>
      </c>
      <c r="B6914" s="35" t="s">
        <v>7422</v>
      </c>
      <c r="C6914" s="35" t="s">
        <v>39</v>
      </c>
      <c r="D6914" s="35" t="s">
        <v>7585</v>
      </c>
      <c r="E6914" s="13" t="s">
        <v>9016</v>
      </c>
      <c r="F6914" s="11" t="s">
        <v>9017</v>
      </c>
      <c r="G6914" s="135" t="s">
        <v>31</v>
      </c>
      <c r="H6914" s="110" t="s">
        <v>9018</v>
      </c>
      <c r="I6914" s="30" t="e">
        <f>VLOOKUP(H6914,'合同高级查询数据-4月返'!A:A,1,FALSE)</f>
        <v>#N/A</v>
      </c>
      <c r="J6914" s="31" t="s">
        <v>497</v>
      </c>
      <c r="K6914" s="135" t="s">
        <v>40</v>
      </c>
      <c r="L6914" s="415" t="s">
        <v>9029</v>
      </c>
      <c r="M6914" s="113" t="s">
        <v>3768</v>
      </c>
      <c r="N6914" s="34">
        <v>45036</v>
      </c>
      <c r="O6914" s="134" t="s">
        <v>37</v>
      </c>
      <c r="P6914" s="465">
        <v>50</v>
      </c>
      <c r="Q6914" s="459">
        <v>512</v>
      </c>
      <c r="R6914" s="465">
        <f>ROUND(P6914*Q6914*11/30,2)</f>
        <v>9386.67</v>
      </c>
      <c r="S6914" s="31">
        <v>202304</v>
      </c>
      <c r="T6914" s="515" t="s">
        <v>9037</v>
      </c>
      <c r="U6914" s="104"/>
      <c r="V6914" s="438"/>
      <c r="W6914" s="438"/>
      <c r="X6914" s="34"/>
      <c r="Y6914" s="34"/>
    </row>
    <row r="6915" s="3" customFormat="1" customHeight="1" spans="1:25">
      <c r="A6915" s="11" t="s">
        <v>152</v>
      </c>
      <c r="B6915" s="35" t="s">
        <v>7422</v>
      </c>
      <c r="C6915" s="35" t="s">
        <v>39</v>
      </c>
      <c r="D6915" s="35" t="s">
        <v>7585</v>
      </c>
      <c r="E6915" s="13" t="s">
        <v>9016</v>
      </c>
      <c r="F6915" s="11" t="s">
        <v>9017</v>
      </c>
      <c r="G6915" s="135" t="s">
        <v>31</v>
      </c>
      <c r="H6915" s="110" t="s">
        <v>9018</v>
      </c>
      <c r="I6915" s="30" t="e">
        <f>VLOOKUP(H6915,'合同高级查询数据-4月返'!A:A,1,FALSE)</f>
        <v>#N/A</v>
      </c>
      <c r="J6915" s="31" t="s">
        <v>497</v>
      </c>
      <c r="K6915" s="135" t="s">
        <v>40</v>
      </c>
      <c r="L6915" s="415" t="s">
        <v>9029</v>
      </c>
      <c r="M6915" s="113" t="s">
        <v>3768</v>
      </c>
      <c r="N6915" s="34">
        <v>44545</v>
      </c>
      <c r="O6915" s="134" t="s">
        <v>179</v>
      </c>
      <c r="P6915" s="465">
        <v>0</v>
      </c>
      <c r="Q6915" s="459">
        <v>1</v>
      </c>
      <c r="R6915" s="465">
        <f t="shared" si="198"/>
        <v>0</v>
      </c>
      <c r="S6915" s="31">
        <v>202304</v>
      </c>
      <c r="T6915" s="515" t="s">
        <v>9038</v>
      </c>
      <c r="U6915" s="104"/>
      <c r="V6915" s="438"/>
      <c r="W6915" s="438"/>
      <c r="X6915" s="34"/>
      <c r="Y6915" s="34"/>
    </row>
    <row r="6916" s="3" customFormat="1" customHeight="1" spans="1:25">
      <c r="A6916" s="11" t="s">
        <v>109</v>
      </c>
      <c r="B6916" s="35" t="s">
        <v>7422</v>
      </c>
      <c r="C6916" s="35" t="s">
        <v>39</v>
      </c>
      <c r="D6916" s="35" t="s">
        <v>7585</v>
      </c>
      <c r="E6916" s="13" t="s">
        <v>9016</v>
      </c>
      <c r="F6916" s="11" t="s">
        <v>9017</v>
      </c>
      <c r="G6916" s="135" t="s">
        <v>31</v>
      </c>
      <c r="H6916" s="110" t="s">
        <v>9018</v>
      </c>
      <c r="I6916" s="30" t="e">
        <f>VLOOKUP(H6916,'合同高级查询数据-4月返'!A:A,1,FALSE)</f>
        <v>#N/A</v>
      </c>
      <c r="J6916" s="31" t="s">
        <v>497</v>
      </c>
      <c r="K6916" s="135" t="s">
        <v>40</v>
      </c>
      <c r="L6916" s="415" t="s">
        <v>9039</v>
      </c>
      <c r="M6916" s="113" t="s">
        <v>3768</v>
      </c>
      <c r="N6916" s="34">
        <v>44545</v>
      </c>
      <c r="O6916" s="134" t="s">
        <v>37</v>
      </c>
      <c r="P6916" s="465">
        <v>50</v>
      </c>
      <c r="Q6916" s="459">
        <v>512</v>
      </c>
      <c r="R6916" s="465">
        <f t="shared" si="198"/>
        <v>25600</v>
      </c>
      <c r="S6916" s="31">
        <v>202304</v>
      </c>
      <c r="T6916" s="515" t="s">
        <v>9040</v>
      </c>
      <c r="U6916" s="104"/>
      <c r="V6916" s="438"/>
      <c r="W6916" s="438"/>
      <c r="X6916" s="34"/>
      <c r="Y6916" s="34"/>
    </row>
    <row r="6917" s="3" customFormat="1" customHeight="1" spans="1:25">
      <c r="A6917" s="11" t="s">
        <v>109</v>
      </c>
      <c r="B6917" s="35" t="s">
        <v>7422</v>
      </c>
      <c r="C6917" s="35" t="s">
        <v>39</v>
      </c>
      <c r="D6917" s="35" t="s">
        <v>7585</v>
      </c>
      <c r="E6917" s="13" t="s">
        <v>9016</v>
      </c>
      <c r="F6917" s="11" t="s">
        <v>9017</v>
      </c>
      <c r="G6917" s="135" t="s">
        <v>31</v>
      </c>
      <c r="H6917" s="110" t="s">
        <v>9018</v>
      </c>
      <c r="I6917" s="30" t="e">
        <f>VLOOKUP(H6917,'合同高级查询数据-4月返'!A:A,1,FALSE)</f>
        <v>#N/A</v>
      </c>
      <c r="J6917" s="31" t="s">
        <v>497</v>
      </c>
      <c r="K6917" s="135" t="s">
        <v>40</v>
      </c>
      <c r="L6917" s="415" t="s">
        <v>9039</v>
      </c>
      <c r="M6917" s="113" t="s">
        <v>3768</v>
      </c>
      <c r="N6917" s="34">
        <v>44620</v>
      </c>
      <c r="O6917" s="134" t="s">
        <v>37</v>
      </c>
      <c r="P6917" s="465">
        <v>50</v>
      </c>
      <c r="Q6917" s="459">
        <v>-256</v>
      </c>
      <c r="R6917" s="465">
        <f t="shared" si="198"/>
        <v>-12800</v>
      </c>
      <c r="S6917" s="31">
        <v>202304</v>
      </c>
      <c r="T6917" s="515" t="s">
        <v>9041</v>
      </c>
      <c r="U6917" s="104"/>
      <c r="V6917" s="438"/>
      <c r="W6917" s="438"/>
      <c r="X6917" s="34"/>
      <c r="Y6917" s="34"/>
    </row>
    <row r="6918" s="3" customFormat="1" customHeight="1" spans="1:25">
      <c r="A6918" s="11" t="s">
        <v>109</v>
      </c>
      <c r="B6918" s="35" t="s">
        <v>7422</v>
      </c>
      <c r="C6918" s="35" t="s">
        <v>39</v>
      </c>
      <c r="D6918" s="35" t="s">
        <v>7585</v>
      </c>
      <c r="E6918" s="13" t="s">
        <v>9016</v>
      </c>
      <c r="F6918" s="11" t="s">
        <v>9017</v>
      </c>
      <c r="G6918" s="135" t="s">
        <v>31</v>
      </c>
      <c r="H6918" s="110" t="s">
        <v>9018</v>
      </c>
      <c r="I6918" s="30" t="e">
        <f>VLOOKUP(H6918,'合同高级查询数据-4月返'!A:A,1,FALSE)</f>
        <v>#N/A</v>
      </c>
      <c r="J6918" s="31" t="s">
        <v>33</v>
      </c>
      <c r="K6918" s="135" t="s">
        <v>40</v>
      </c>
      <c r="L6918" s="415" t="s">
        <v>9039</v>
      </c>
      <c r="M6918" s="113" t="s">
        <v>9022</v>
      </c>
      <c r="N6918" s="34">
        <v>44621</v>
      </c>
      <c r="O6918" s="134" t="s">
        <v>37</v>
      </c>
      <c r="P6918" s="465">
        <v>50</v>
      </c>
      <c r="Q6918" s="459">
        <v>256</v>
      </c>
      <c r="R6918" s="465">
        <f t="shared" si="198"/>
        <v>12800</v>
      </c>
      <c r="S6918" s="31">
        <v>202304</v>
      </c>
      <c r="T6918" s="515" t="s">
        <v>9042</v>
      </c>
      <c r="U6918" s="104"/>
      <c r="V6918" s="438"/>
      <c r="W6918" s="438"/>
      <c r="X6918" s="34"/>
      <c r="Y6918" s="34"/>
    </row>
    <row r="6919" s="3" customFormat="1" customHeight="1" spans="1:25">
      <c r="A6919" s="11" t="s">
        <v>109</v>
      </c>
      <c r="B6919" s="35" t="s">
        <v>7422</v>
      </c>
      <c r="C6919" s="35" t="s">
        <v>39</v>
      </c>
      <c r="D6919" s="35" t="s">
        <v>7585</v>
      </c>
      <c r="E6919" s="13" t="s">
        <v>9016</v>
      </c>
      <c r="F6919" s="11" t="s">
        <v>9017</v>
      </c>
      <c r="G6919" s="135" t="s">
        <v>31</v>
      </c>
      <c r="H6919" s="110" t="s">
        <v>9018</v>
      </c>
      <c r="I6919" s="30" t="e">
        <f>VLOOKUP(H6919,'合同高级查询数据-4月返'!A:A,1,FALSE)</f>
        <v>#N/A</v>
      </c>
      <c r="J6919" s="31" t="s">
        <v>33</v>
      </c>
      <c r="K6919" s="135" t="s">
        <v>40</v>
      </c>
      <c r="L6919" s="415" t="s">
        <v>9039</v>
      </c>
      <c r="M6919" s="113" t="s">
        <v>9022</v>
      </c>
      <c r="N6919" s="34">
        <v>44762</v>
      </c>
      <c r="O6919" s="134" t="s">
        <v>37</v>
      </c>
      <c r="P6919" s="465">
        <v>50</v>
      </c>
      <c r="Q6919" s="459">
        <v>-128</v>
      </c>
      <c r="R6919" s="465">
        <f t="shared" si="198"/>
        <v>-6400</v>
      </c>
      <c r="S6919" s="31">
        <v>202304</v>
      </c>
      <c r="T6919" s="515" t="s">
        <v>9043</v>
      </c>
      <c r="U6919" s="104"/>
      <c r="V6919" s="438"/>
      <c r="W6919" s="438"/>
      <c r="X6919" s="34"/>
      <c r="Y6919" s="34"/>
    </row>
    <row r="6920" s="3" customFormat="1" customHeight="1" spans="1:25">
      <c r="A6920" s="11" t="s">
        <v>109</v>
      </c>
      <c r="B6920" s="35" t="s">
        <v>7422</v>
      </c>
      <c r="C6920" s="35" t="s">
        <v>39</v>
      </c>
      <c r="D6920" s="35" t="s">
        <v>7585</v>
      </c>
      <c r="E6920" s="13" t="s">
        <v>9016</v>
      </c>
      <c r="F6920" s="11" t="s">
        <v>9017</v>
      </c>
      <c r="G6920" s="135" t="s">
        <v>31</v>
      </c>
      <c r="H6920" s="110" t="s">
        <v>9018</v>
      </c>
      <c r="I6920" s="30" t="e">
        <f>VLOOKUP(H6920,'合同高级查询数据-4月返'!A:A,1,FALSE)</f>
        <v>#N/A</v>
      </c>
      <c r="J6920" s="31" t="s">
        <v>497</v>
      </c>
      <c r="K6920" s="135" t="s">
        <v>40</v>
      </c>
      <c r="L6920" s="415" t="s">
        <v>9039</v>
      </c>
      <c r="M6920" s="113" t="s">
        <v>3768</v>
      </c>
      <c r="N6920" s="34">
        <v>44763</v>
      </c>
      <c r="O6920" s="134" t="s">
        <v>37</v>
      </c>
      <c r="P6920" s="465">
        <v>50</v>
      </c>
      <c r="Q6920" s="459">
        <v>128</v>
      </c>
      <c r="R6920" s="465">
        <f t="shared" si="198"/>
        <v>6400</v>
      </c>
      <c r="S6920" s="31">
        <v>202304</v>
      </c>
      <c r="T6920" s="515" t="s">
        <v>9044</v>
      </c>
      <c r="U6920" s="104"/>
      <c r="V6920" s="438"/>
      <c r="W6920" s="438"/>
      <c r="X6920" s="34"/>
      <c r="Y6920" s="34"/>
    </row>
    <row r="6921" s="3" customFormat="1" customHeight="1" spans="1:25">
      <c r="A6921" s="11" t="s">
        <v>109</v>
      </c>
      <c r="B6921" s="35" t="s">
        <v>7422</v>
      </c>
      <c r="C6921" s="35" t="s">
        <v>39</v>
      </c>
      <c r="D6921" s="35" t="s">
        <v>7585</v>
      </c>
      <c r="E6921" s="13" t="s">
        <v>9016</v>
      </c>
      <c r="F6921" s="11" t="s">
        <v>9017</v>
      </c>
      <c r="G6921" s="135" t="s">
        <v>31</v>
      </c>
      <c r="H6921" s="110" t="s">
        <v>9018</v>
      </c>
      <c r="I6921" s="30" t="e">
        <f>VLOOKUP(H6921,'合同高级查询数据-4月返'!A:A,1,FALSE)</f>
        <v>#N/A</v>
      </c>
      <c r="J6921" s="31" t="s">
        <v>33</v>
      </c>
      <c r="K6921" s="135" t="s">
        <v>40</v>
      </c>
      <c r="L6921" s="415" t="s">
        <v>9039</v>
      </c>
      <c r="M6921" s="113" t="s">
        <v>9022</v>
      </c>
      <c r="N6921" s="34">
        <v>45016</v>
      </c>
      <c r="O6921" s="134" t="s">
        <v>37</v>
      </c>
      <c r="P6921" s="465">
        <v>50</v>
      </c>
      <c r="Q6921" s="459">
        <v>-128</v>
      </c>
      <c r="R6921" s="465">
        <f t="shared" si="198"/>
        <v>-6400</v>
      </c>
      <c r="S6921" s="31">
        <v>202304</v>
      </c>
      <c r="T6921" s="515" t="s">
        <v>9045</v>
      </c>
      <c r="U6921" s="104"/>
      <c r="V6921" s="438"/>
      <c r="W6921" s="438"/>
      <c r="X6921" s="34"/>
      <c r="Y6921" s="34"/>
    </row>
    <row r="6922" s="3" customFormat="1" customHeight="1" spans="1:25">
      <c r="A6922" s="11" t="s">
        <v>109</v>
      </c>
      <c r="B6922" s="35" t="s">
        <v>7422</v>
      </c>
      <c r="C6922" s="35" t="s">
        <v>39</v>
      </c>
      <c r="D6922" s="35" t="s">
        <v>7585</v>
      </c>
      <c r="E6922" s="13" t="s">
        <v>9016</v>
      </c>
      <c r="F6922" s="11" t="s">
        <v>9017</v>
      </c>
      <c r="G6922" s="135" t="s">
        <v>31</v>
      </c>
      <c r="H6922" s="110" t="s">
        <v>9018</v>
      </c>
      <c r="I6922" s="30" t="e">
        <f>VLOOKUP(H6922,'合同高级查询数据-4月返'!A:A,1,FALSE)</f>
        <v>#N/A</v>
      </c>
      <c r="J6922" s="31" t="s">
        <v>497</v>
      </c>
      <c r="K6922" s="135" t="s">
        <v>40</v>
      </c>
      <c r="L6922" s="415" t="s">
        <v>9039</v>
      </c>
      <c r="M6922" s="113" t="s">
        <v>3768</v>
      </c>
      <c r="N6922" s="34">
        <v>45017</v>
      </c>
      <c r="O6922" s="134" t="s">
        <v>37</v>
      </c>
      <c r="P6922" s="465">
        <v>50</v>
      </c>
      <c r="Q6922" s="459">
        <v>128</v>
      </c>
      <c r="R6922" s="465">
        <f t="shared" si="198"/>
        <v>6400</v>
      </c>
      <c r="S6922" s="31">
        <v>202304</v>
      </c>
      <c r="T6922" s="515" t="s">
        <v>9046</v>
      </c>
      <c r="U6922" s="104"/>
      <c r="V6922" s="438"/>
      <c r="W6922" s="438"/>
      <c r="X6922" s="34"/>
      <c r="Y6922" s="34"/>
    </row>
    <row r="6923" s="3" customFormat="1" customHeight="1" spans="1:25">
      <c r="A6923" s="11" t="s">
        <v>109</v>
      </c>
      <c r="B6923" s="35" t="s">
        <v>7422</v>
      </c>
      <c r="C6923" s="35" t="s">
        <v>39</v>
      </c>
      <c r="D6923" s="35" t="s">
        <v>7585</v>
      </c>
      <c r="E6923" s="13" t="s">
        <v>9016</v>
      </c>
      <c r="F6923" s="11" t="s">
        <v>9017</v>
      </c>
      <c r="G6923" s="135" t="s">
        <v>31</v>
      </c>
      <c r="H6923" s="110" t="s">
        <v>9018</v>
      </c>
      <c r="I6923" s="30" t="e">
        <f>VLOOKUP(H6923,'合同高级查询数据-4月返'!A:A,1,FALSE)</f>
        <v>#N/A</v>
      </c>
      <c r="J6923" s="31" t="s">
        <v>497</v>
      </c>
      <c r="K6923" s="135" t="s">
        <v>40</v>
      </c>
      <c r="L6923" s="415" t="s">
        <v>9039</v>
      </c>
      <c r="M6923" s="113" t="s">
        <v>3768</v>
      </c>
      <c r="N6923" s="34">
        <v>44545</v>
      </c>
      <c r="O6923" s="134" t="s">
        <v>179</v>
      </c>
      <c r="P6923" s="465">
        <v>0</v>
      </c>
      <c r="Q6923" s="459">
        <v>1</v>
      </c>
      <c r="R6923" s="465">
        <f t="shared" si="198"/>
        <v>0</v>
      </c>
      <c r="S6923" s="31">
        <v>202304</v>
      </c>
      <c r="T6923" s="515" t="s">
        <v>9047</v>
      </c>
      <c r="U6923" s="104"/>
      <c r="V6923" s="438"/>
      <c r="W6923" s="438"/>
      <c r="X6923" s="34"/>
      <c r="Y6923" s="34"/>
    </row>
    <row r="6924" s="3" customFormat="1" customHeight="1" spans="1:25">
      <c r="A6924" s="11" t="s">
        <v>109</v>
      </c>
      <c r="B6924" s="35" t="s">
        <v>7422</v>
      </c>
      <c r="C6924" s="35" t="s">
        <v>39</v>
      </c>
      <c r="D6924" s="35" t="s">
        <v>7585</v>
      </c>
      <c r="E6924" s="13" t="s">
        <v>9016</v>
      </c>
      <c r="F6924" s="11" t="s">
        <v>9017</v>
      </c>
      <c r="G6924" s="135" t="s">
        <v>88</v>
      </c>
      <c r="H6924" s="110" t="s">
        <v>9048</v>
      </c>
      <c r="I6924" s="30" t="e">
        <f>VLOOKUP(H6924,'合同高级查询数据-4月返'!A:A,1,FALSE)</f>
        <v>#N/A</v>
      </c>
      <c r="J6924" s="31" t="s">
        <v>162</v>
      </c>
      <c r="K6924" s="135" t="s">
        <v>40</v>
      </c>
      <c r="L6924" s="415" t="s">
        <v>9049</v>
      </c>
      <c r="M6924" s="113" t="s">
        <v>9022</v>
      </c>
      <c r="N6924" s="34">
        <v>44621</v>
      </c>
      <c r="O6924" s="134" t="s">
        <v>503</v>
      </c>
      <c r="P6924" s="465">
        <v>5000</v>
      </c>
      <c r="Q6924" s="459">
        <v>4</v>
      </c>
      <c r="R6924" s="465">
        <f t="shared" si="198"/>
        <v>20000</v>
      </c>
      <c r="S6924" s="31">
        <v>202304</v>
      </c>
      <c r="T6924" s="515" t="s">
        <v>9050</v>
      </c>
      <c r="U6924" s="104"/>
      <c r="V6924" s="438"/>
      <c r="W6924" s="438"/>
      <c r="X6924" s="34"/>
      <c r="Y6924" s="34"/>
    </row>
    <row r="6925" s="5" customFormat="1" customHeight="1" spans="1:25">
      <c r="A6925" s="24" t="s">
        <v>152</v>
      </c>
      <c r="B6925" s="22" t="s">
        <v>7422</v>
      </c>
      <c r="C6925" s="22" t="s">
        <v>153</v>
      </c>
      <c r="D6925" s="22" t="s">
        <v>7585</v>
      </c>
      <c r="E6925" s="23" t="s">
        <v>3238</v>
      </c>
      <c r="F6925" s="24" t="s">
        <v>7523</v>
      </c>
      <c r="G6925" s="98" t="s">
        <v>31</v>
      </c>
      <c r="H6925" s="25" t="s">
        <v>9051</v>
      </c>
      <c r="I6925" s="46" t="e">
        <f>VLOOKUP(H6925,'合同高级查询数据-4月返'!A:A,1,FALSE)</f>
        <v>#N/A</v>
      </c>
      <c r="J6925" s="47" t="s">
        <v>33</v>
      </c>
      <c r="K6925" s="98" t="s">
        <v>157</v>
      </c>
      <c r="L6925" s="163" t="s">
        <v>9052</v>
      </c>
      <c r="M6925" s="49" t="s">
        <v>9053</v>
      </c>
      <c r="N6925" s="50">
        <v>44562</v>
      </c>
      <c r="O6925" s="160" t="s">
        <v>37</v>
      </c>
      <c r="P6925" s="52">
        <v>0</v>
      </c>
      <c r="Q6925" s="70">
        <v>320</v>
      </c>
      <c r="R6925" s="52">
        <f t="shared" si="198"/>
        <v>0</v>
      </c>
      <c r="S6925" s="47">
        <v>202304</v>
      </c>
      <c r="T6925" s="510" t="s">
        <v>9054</v>
      </c>
      <c r="U6925" s="97"/>
      <c r="V6925" s="453"/>
      <c r="W6925" s="453"/>
      <c r="X6925" s="50">
        <v>44652</v>
      </c>
      <c r="Y6925" s="50">
        <v>44681</v>
      </c>
    </row>
    <row r="6926" s="5" customFormat="1" customHeight="1" spans="1:25">
      <c r="A6926" s="24" t="s">
        <v>152</v>
      </c>
      <c r="B6926" s="22" t="s">
        <v>7422</v>
      </c>
      <c r="C6926" s="22" t="s">
        <v>153</v>
      </c>
      <c r="D6926" s="22" t="s">
        <v>7585</v>
      </c>
      <c r="E6926" s="23" t="s">
        <v>3238</v>
      </c>
      <c r="F6926" s="24" t="s">
        <v>7523</v>
      </c>
      <c r="G6926" s="98" t="s">
        <v>31</v>
      </c>
      <c r="H6926" s="25" t="s">
        <v>9051</v>
      </c>
      <c r="I6926" s="46" t="e">
        <f>VLOOKUP(H6926,'合同高级查询数据-4月返'!A:A,1,FALSE)</f>
        <v>#N/A</v>
      </c>
      <c r="J6926" s="47" t="s">
        <v>33</v>
      </c>
      <c r="K6926" s="98" t="s">
        <v>157</v>
      </c>
      <c r="L6926" s="163" t="s">
        <v>9052</v>
      </c>
      <c r="M6926" s="49" t="s">
        <v>9053</v>
      </c>
      <c r="N6926" s="50"/>
      <c r="O6926" s="160" t="s">
        <v>179</v>
      </c>
      <c r="P6926" s="52">
        <v>0</v>
      </c>
      <c r="Q6926" s="52">
        <v>0</v>
      </c>
      <c r="R6926" s="52">
        <f t="shared" si="198"/>
        <v>0</v>
      </c>
      <c r="S6926" s="47">
        <v>202304</v>
      </c>
      <c r="T6926" s="510" t="s">
        <v>9055</v>
      </c>
      <c r="U6926" s="97"/>
      <c r="V6926" s="453"/>
      <c r="W6926" s="453"/>
      <c r="X6926" s="50">
        <v>44652</v>
      </c>
      <c r="Y6926" s="50">
        <v>44681</v>
      </c>
    </row>
    <row r="6927" s="5" customFormat="1" customHeight="1" spans="1:25">
      <c r="A6927" s="24" t="s">
        <v>152</v>
      </c>
      <c r="B6927" s="22" t="s">
        <v>7422</v>
      </c>
      <c r="C6927" s="22" t="s">
        <v>153</v>
      </c>
      <c r="D6927" s="22" t="s">
        <v>7585</v>
      </c>
      <c r="E6927" s="23" t="s">
        <v>3238</v>
      </c>
      <c r="F6927" s="24" t="s">
        <v>7523</v>
      </c>
      <c r="G6927" s="24" t="s">
        <v>88</v>
      </c>
      <c r="H6927" s="25" t="s">
        <v>9051</v>
      </c>
      <c r="I6927" s="46" t="e">
        <f>VLOOKUP(H6927,'合同高级查询数据-4月返'!A:A,1,FALSE)</f>
        <v>#N/A</v>
      </c>
      <c r="J6927" s="47" t="s">
        <v>162</v>
      </c>
      <c r="K6927" s="98" t="s">
        <v>157</v>
      </c>
      <c r="L6927" s="163" t="s">
        <v>9052</v>
      </c>
      <c r="M6927" s="49" t="s">
        <v>9053</v>
      </c>
      <c r="N6927" s="50">
        <v>44562</v>
      </c>
      <c r="O6927" s="160" t="s">
        <v>163</v>
      </c>
      <c r="P6927" s="52">
        <v>4000</v>
      </c>
      <c r="Q6927" s="70">
        <v>3</v>
      </c>
      <c r="R6927" s="52">
        <f t="shared" si="198"/>
        <v>12000</v>
      </c>
      <c r="S6927" s="47">
        <v>202304</v>
      </c>
      <c r="T6927" s="510" t="s">
        <v>9056</v>
      </c>
      <c r="U6927" s="97"/>
      <c r="V6927" s="453"/>
      <c r="W6927" s="453"/>
      <c r="X6927" s="50">
        <v>44652</v>
      </c>
      <c r="Y6927" s="50">
        <v>44681</v>
      </c>
    </row>
    <row r="6928" s="5" customFormat="1" customHeight="1" spans="1:25">
      <c r="A6928" s="24" t="s">
        <v>152</v>
      </c>
      <c r="B6928" s="22" t="s">
        <v>7422</v>
      </c>
      <c r="C6928" s="22" t="s">
        <v>153</v>
      </c>
      <c r="D6928" s="22" t="s">
        <v>7585</v>
      </c>
      <c r="E6928" s="23" t="s">
        <v>3238</v>
      </c>
      <c r="F6928" s="24" t="s">
        <v>7523</v>
      </c>
      <c r="G6928" s="24" t="s">
        <v>88</v>
      </c>
      <c r="H6928" s="25" t="s">
        <v>9051</v>
      </c>
      <c r="I6928" s="46" t="e">
        <f>VLOOKUP(H6928,'合同高级查询数据-4月返'!A:A,1,FALSE)</f>
        <v>#N/A</v>
      </c>
      <c r="J6928" s="47" t="s">
        <v>162</v>
      </c>
      <c r="K6928" s="98" t="s">
        <v>157</v>
      </c>
      <c r="L6928" s="163" t="s">
        <v>9052</v>
      </c>
      <c r="M6928" s="49" t="s">
        <v>9053</v>
      </c>
      <c r="N6928" s="50">
        <v>44669</v>
      </c>
      <c r="O6928" s="160" t="s">
        <v>163</v>
      </c>
      <c r="P6928" s="52">
        <v>4000</v>
      </c>
      <c r="Q6928" s="70">
        <v>-3</v>
      </c>
      <c r="R6928" s="52">
        <f t="shared" si="198"/>
        <v>-12000</v>
      </c>
      <c r="S6928" s="47">
        <v>202304</v>
      </c>
      <c r="T6928" s="510" t="s">
        <v>9057</v>
      </c>
      <c r="U6928" s="97"/>
      <c r="V6928" s="453"/>
      <c r="W6928" s="453"/>
      <c r="X6928" s="50">
        <v>44652</v>
      </c>
      <c r="Y6928" s="50">
        <v>44681</v>
      </c>
    </row>
    <row r="6929" s="5" customFormat="1" customHeight="1" spans="1:25">
      <c r="A6929" s="24" t="s">
        <v>109</v>
      </c>
      <c r="B6929" s="22" t="s">
        <v>7422</v>
      </c>
      <c r="C6929" s="22" t="s">
        <v>196</v>
      </c>
      <c r="D6929" s="22" t="s">
        <v>7655</v>
      </c>
      <c r="E6929" s="23" t="s">
        <v>9058</v>
      </c>
      <c r="F6929" s="24" t="s">
        <v>9059</v>
      </c>
      <c r="G6929" s="98" t="s">
        <v>31</v>
      </c>
      <c r="H6929" s="25" t="s">
        <v>9060</v>
      </c>
      <c r="I6929" s="46" t="e">
        <f>VLOOKUP(H6929,'合同高级查询数据-4月返'!A:A,1,FALSE)</f>
        <v>#N/A</v>
      </c>
      <c r="J6929" s="47" t="s">
        <v>33</v>
      </c>
      <c r="K6929" s="98" t="s">
        <v>198</v>
      </c>
      <c r="L6929" s="163" t="s">
        <v>9061</v>
      </c>
      <c r="M6929" s="49" t="s">
        <v>9062</v>
      </c>
      <c r="N6929" s="50">
        <v>44562</v>
      </c>
      <c r="O6929" s="160" t="s">
        <v>37</v>
      </c>
      <c r="P6929" s="52">
        <v>0</v>
      </c>
      <c r="Q6929" s="70">
        <v>288</v>
      </c>
      <c r="R6929" s="52">
        <f t="shared" si="198"/>
        <v>0</v>
      </c>
      <c r="S6929" s="47">
        <v>202304</v>
      </c>
      <c r="T6929" s="510" t="s">
        <v>9063</v>
      </c>
      <c r="U6929" s="97"/>
      <c r="V6929" s="453"/>
      <c r="W6929" s="453"/>
      <c r="X6929" s="50">
        <v>44562</v>
      </c>
      <c r="Y6929" s="50">
        <v>44592</v>
      </c>
    </row>
    <row r="6930" s="5" customFormat="1" customHeight="1" spans="1:25">
      <c r="A6930" s="24" t="s">
        <v>109</v>
      </c>
      <c r="B6930" s="22" t="s">
        <v>7422</v>
      </c>
      <c r="C6930" s="22" t="s">
        <v>196</v>
      </c>
      <c r="D6930" s="22" t="s">
        <v>7655</v>
      </c>
      <c r="E6930" s="23" t="s">
        <v>9058</v>
      </c>
      <c r="F6930" s="24" t="s">
        <v>9059</v>
      </c>
      <c r="G6930" s="98" t="s">
        <v>31</v>
      </c>
      <c r="H6930" s="25" t="s">
        <v>9060</v>
      </c>
      <c r="I6930" s="46" t="e">
        <f>VLOOKUP(H6930,'合同高级查询数据-4月返'!A:A,1,FALSE)</f>
        <v>#N/A</v>
      </c>
      <c r="J6930" s="47" t="s">
        <v>33</v>
      </c>
      <c r="K6930" s="98" t="s">
        <v>198</v>
      </c>
      <c r="L6930" s="163" t="s">
        <v>9061</v>
      </c>
      <c r="M6930" s="49" t="s">
        <v>9062</v>
      </c>
      <c r="N6930" s="50">
        <v>44592</v>
      </c>
      <c r="O6930" s="160" t="s">
        <v>37</v>
      </c>
      <c r="P6930" s="52">
        <v>0</v>
      </c>
      <c r="Q6930" s="70">
        <v>-288</v>
      </c>
      <c r="R6930" s="52">
        <f t="shared" si="198"/>
        <v>0</v>
      </c>
      <c r="S6930" s="47">
        <v>202304</v>
      </c>
      <c r="T6930" s="510" t="s">
        <v>7771</v>
      </c>
      <c r="U6930" s="97"/>
      <c r="V6930" s="453"/>
      <c r="W6930" s="453"/>
      <c r="X6930" s="50">
        <v>44562</v>
      </c>
      <c r="Y6930" s="50">
        <v>44592</v>
      </c>
    </row>
    <row r="6931" s="5" customFormat="1" customHeight="1" spans="1:25">
      <c r="A6931" s="24" t="s">
        <v>109</v>
      </c>
      <c r="B6931" s="22" t="s">
        <v>7422</v>
      </c>
      <c r="C6931" s="22" t="s">
        <v>196</v>
      </c>
      <c r="D6931" s="22" t="s">
        <v>7655</v>
      </c>
      <c r="E6931" s="23" t="s">
        <v>9058</v>
      </c>
      <c r="F6931" s="24" t="s">
        <v>9059</v>
      </c>
      <c r="G6931" s="98" t="s">
        <v>31</v>
      </c>
      <c r="H6931" s="25" t="s">
        <v>9060</v>
      </c>
      <c r="I6931" s="46" t="e">
        <f>VLOOKUP(H6931,'合同高级查询数据-4月返'!A:A,1,FALSE)</f>
        <v>#N/A</v>
      </c>
      <c r="J6931" s="47" t="s">
        <v>33</v>
      </c>
      <c r="K6931" s="98" t="s">
        <v>198</v>
      </c>
      <c r="L6931" s="163" t="s">
        <v>9061</v>
      </c>
      <c r="M6931" s="49" t="s">
        <v>9062</v>
      </c>
      <c r="N6931" s="50">
        <v>44562</v>
      </c>
      <c r="O6931" s="160" t="s">
        <v>179</v>
      </c>
      <c r="P6931" s="52">
        <v>0</v>
      </c>
      <c r="Q6931" s="52">
        <v>0</v>
      </c>
      <c r="R6931" s="52">
        <f t="shared" si="198"/>
        <v>0</v>
      </c>
      <c r="S6931" s="47">
        <v>202304</v>
      </c>
      <c r="T6931" s="510" t="s">
        <v>9064</v>
      </c>
      <c r="U6931" s="97"/>
      <c r="V6931" s="453"/>
      <c r="W6931" s="453"/>
      <c r="X6931" s="50">
        <v>44562</v>
      </c>
      <c r="Y6931" s="50">
        <v>44592</v>
      </c>
    </row>
    <row r="6932" s="5" customFormat="1" customHeight="1" spans="1:25">
      <c r="A6932" s="24" t="s">
        <v>109</v>
      </c>
      <c r="B6932" s="22" t="s">
        <v>7422</v>
      </c>
      <c r="C6932" s="22" t="s">
        <v>196</v>
      </c>
      <c r="D6932" s="22" t="s">
        <v>7655</v>
      </c>
      <c r="E6932" s="23" t="s">
        <v>9058</v>
      </c>
      <c r="F6932" s="24" t="s">
        <v>9059</v>
      </c>
      <c r="G6932" s="24" t="s">
        <v>88</v>
      </c>
      <c r="H6932" s="25" t="s">
        <v>9060</v>
      </c>
      <c r="I6932" s="46" t="e">
        <f>VLOOKUP(H6932,'合同高级查询数据-4月返'!A:A,1,FALSE)</f>
        <v>#N/A</v>
      </c>
      <c r="J6932" s="47" t="s">
        <v>162</v>
      </c>
      <c r="K6932" s="98" t="s">
        <v>198</v>
      </c>
      <c r="L6932" s="163" t="s">
        <v>9061</v>
      </c>
      <c r="M6932" s="49" t="s">
        <v>9062</v>
      </c>
      <c r="N6932" s="50">
        <v>44562</v>
      </c>
      <c r="O6932" s="160" t="s">
        <v>561</v>
      </c>
      <c r="P6932" s="52">
        <v>5800</v>
      </c>
      <c r="Q6932" s="70">
        <v>3</v>
      </c>
      <c r="R6932" s="52">
        <f t="shared" si="198"/>
        <v>17400</v>
      </c>
      <c r="S6932" s="47">
        <v>202304</v>
      </c>
      <c r="T6932" s="510" t="s">
        <v>9065</v>
      </c>
      <c r="U6932" s="97"/>
      <c r="V6932" s="453"/>
      <c r="W6932" s="453"/>
      <c r="X6932" s="50">
        <v>44562</v>
      </c>
      <c r="Y6932" s="50">
        <v>44592</v>
      </c>
    </row>
    <row r="6933" s="5" customFormat="1" customHeight="1" spans="1:25">
      <c r="A6933" s="24" t="s">
        <v>109</v>
      </c>
      <c r="B6933" s="22" t="s">
        <v>7422</v>
      </c>
      <c r="C6933" s="22" t="s">
        <v>196</v>
      </c>
      <c r="D6933" s="22" t="s">
        <v>7655</v>
      </c>
      <c r="E6933" s="23" t="s">
        <v>9058</v>
      </c>
      <c r="F6933" s="24" t="s">
        <v>9059</v>
      </c>
      <c r="G6933" s="24" t="s">
        <v>88</v>
      </c>
      <c r="H6933" s="25" t="s">
        <v>9060</v>
      </c>
      <c r="I6933" s="46" t="e">
        <f>VLOOKUP(H6933,'合同高级查询数据-4月返'!A:A,1,FALSE)</f>
        <v>#N/A</v>
      </c>
      <c r="J6933" s="47" t="s">
        <v>162</v>
      </c>
      <c r="K6933" s="98" t="s">
        <v>198</v>
      </c>
      <c r="L6933" s="163" t="s">
        <v>9061</v>
      </c>
      <c r="M6933" s="49" t="s">
        <v>9062</v>
      </c>
      <c r="N6933" s="50">
        <v>44592</v>
      </c>
      <c r="O6933" s="160" t="s">
        <v>561</v>
      </c>
      <c r="P6933" s="52">
        <v>5800</v>
      </c>
      <c r="Q6933" s="70">
        <v>-3</v>
      </c>
      <c r="R6933" s="52">
        <f t="shared" si="198"/>
        <v>-17400</v>
      </c>
      <c r="S6933" s="47">
        <v>202304</v>
      </c>
      <c r="T6933" s="510" t="s">
        <v>7771</v>
      </c>
      <c r="U6933" s="97"/>
      <c r="V6933" s="453"/>
      <c r="W6933" s="453"/>
      <c r="X6933" s="50">
        <v>44562</v>
      </c>
      <c r="Y6933" s="50">
        <v>44592</v>
      </c>
    </row>
    <row r="6934" s="5" customFormat="1" customHeight="1" spans="1:25">
      <c r="A6934" s="24" t="s">
        <v>25</v>
      </c>
      <c r="B6934" s="22" t="s">
        <v>7422</v>
      </c>
      <c r="C6934" s="22" t="s">
        <v>3237</v>
      </c>
      <c r="D6934" s="22" t="s">
        <v>7585</v>
      </c>
      <c r="E6934" s="23" t="s">
        <v>9066</v>
      </c>
      <c r="F6934" s="24" t="s">
        <v>9067</v>
      </c>
      <c r="G6934" s="98" t="s">
        <v>31</v>
      </c>
      <c r="H6934" s="25" t="s">
        <v>9068</v>
      </c>
      <c r="I6934" s="46" t="e">
        <f>VLOOKUP(H6934,'合同高级查询数据-4月返'!A:A,1,FALSE)</f>
        <v>#N/A</v>
      </c>
      <c r="J6934" s="47" t="s">
        <v>33</v>
      </c>
      <c r="K6934" s="98" t="s">
        <v>6704</v>
      </c>
      <c r="L6934" s="163" t="s">
        <v>9069</v>
      </c>
      <c r="M6934" s="49" t="s">
        <v>9070</v>
      </c>
      <c r="N6934" s="50">
        <v>44593</v>
      </c>
      <c r="O6934" s="160" t="s">
        <v>37</v>
      </c>
      <c r="P6934" s="52">
        <v>0</v>
      </c>
      <c r="Q6934" s="70">
        <v>512</v>
      </c>
      <c r="R6934" s="52">
        <f t="shared" si="198"/>
        <v>0</v>
      </c>
      <c r="S6934" s="47">
        <v>202304</v>
      </c>
      <c r="T6934" s="510" t="s">
        <v>9071</v>
      </c>
      <c r="U6934" s="97"/>
      <c r="V6934" s="453"/>
      <c r="W6934" s="453"/>
      <c r="X6934" s="50">
        <v>44593</v>
      </c>
      <c r="Y6934" s="50">
        <v>44773</v>
      </c>
    </row>
    <row r="6935" s="5" customFormat="1" customHeight="1" spans="1:25">
      <c r="A6935" s="24" t="s">
        <v>25</v>
      </c>
      <c r="B6935" s="22" t="s">
        <v>7422</v>
      </c>
      <c r="C6935" s="22" t="s">
        <v>3237</v>
      </c>
      <c r="D6935" s="22" t="s">
        <v>7585</v>
      </c>
      <c r="E6935" s="23" t="s">
        <v>9066</v>
      </c>
      <c r="F6935" s="24" t="s">
        <v>9067</v>
      </c>
      <c r="G6935" s="98" t="s">
        <v>31</v>
      </c>
      <c r="H6935" s="25" t="s">
        <v>9068</v>
      </c>
      <c r="I6935" s="46" t="e">
        <f>VLOOKUP(H6935,'合同高级查询数据-4月返'!A:A,1,FALSE)</f>
        <v>#N/A</v>
      </c>
      <c r="J6935" s="47" t="s">
        <v>33</v>
      </c>
      <c r="K6935" s="98" t="s">
        <v>6704</v>
      </c>
      <c r="L6935" s="163" t="s">
        <v>9069</v>
      </c>
      <c r="M6935" s="49" t="s">
        <v>9070</v>
      </c>
      <c r="N6935" s="50"/>
      <c r="O6935" s="160" t="s">
        <v>179</v>
      </c>
      <c r="P6935" s="52">
        <v>0</v>
      </c>
      <c r="Q6935" s="52">
        <v>0</v>
      </c>
      <c r="R6935" s="52">
        <f t="shared" si="198"/>
        <v>0</v>
      </c>
      <c r="S6935" s="47">
        <v>202304</v>
      </c>
      <c r="T6935" s="510" t="s">
        <v>9072</v>
      </c>
      <c r="U6935" s="97"/>
      <c r="V6935" s="453"/>
      <c r="W6935" s="453"/>
      <c r="X6935" s="50">
        <v>44593</v>
      </c>
      <c r="Y6935" s="50">
        <v>44773</v>
      </c>
    </row>
    <row r="6936" s="5" customFormat="1" customHeight="1" spans="1:25">
      <c r="A6936" s="24" t="s">
        <v>25</v>
      </c>
      <c r="B6936" s="22" t="s">
        <v>7422</v>
      </c>
      <c r="C6936" s="22" t="s">
        <v>3237</v>
      </c>
      <c r="D6936" s="22" t="s">
        <v>7585</v>
      </c>
      <c r="E6936" s="23" t="s">
        <v>9066</v>
      </c>
      <c r="F6936" s="24" t="s">
        <v>9067</v>
      </c>
      <c r="G6936" s="24" t="s">
        <v>88</v>
      </c>
      <c r="H6936" s="25" t="s">
        <v>9068</v>
      </c>
      <c r="I6936" s="46" t="e">
        <f>VLOOKUP(H6936,'合同高级查询数据-4月返'!A:A,1,FALSE)</f>
        <v>#N/A</v>
      </c>
      <c r="J6936" s="47" t="s">
        <v>162</v>
      </c>
      <c r="K6936" s="98" t="s">
        <v>6704</v>
      </c>
      <c r="L6936" s="163" t="s">
        <v>9069</v>
      </c>
      <c r="M6936" s="49" t="s">
        <v>9070</v>
      </c>
      <c r="N6936" s="50">
        <v>44593</v>
      </c>
      <c r="O6936" s="160" t="s">
        <v>1535</v>
      </c>
      <c r="P6936" s="52">
        <v>5000</v>
      </c>
      <c r="Q6936" s="70">
        <v>4</v>
      </c>
      <c r="R6936" s="52">
        <f t="shared" si="198"/>
        <v>20000</v>
      </c>
      <c r="S6936" s="47">
        <v>202304</v>
      </c>
      <c r="T6936" s="510" t="s">
        <v>9073</v>
      </c>
      <c r="U6936" s="97"/>
      <c r="V6936" s="453"/>
      <c r="W6936" s="453"/>
      <c r="X6936" s="50">
        <v>44593</v>
      </c>
      <c r="Y6936" s="50">
        <v>44773</v>
      </c>
    </row>
    <row r="6937" s="5" customFormat="1" customHeight="1" spans="1:25">
      <c r="A6937" s="24" t="s">
        <v>25</v>
      </c>
      <c r="B6937" s="22" t="s">
        <v>7422</v>
      </c>
      <c r="C6937" s="22" t="s">
        <v>3237</v>
      </c>
      <c r="D6937" s="22" t="s">
        <v>7585</v>
      </c>
      <c r="E6937" s="23" t="s">
        <v>9066</v>
      </c>
      <c r="F6937" s="24" t="s">
        <v>9067</v>
      </c>
      <c r="G6937" s="24" t="s">
        <v>88</v>
      </c>
      <c r="H6937" s="25" t="s">
        <v>9068</v>
      </c>
      <c r="I6937" s="46" t="e">
        <f>VLOOKUP(H6937,'合同高级查询数据-4月返'!A:A,1,FALSE)</f>
        <v>#N/A</v>
      </c>
      <c r="J6937" s="47" t="s">
        <v>162</v>
      </c>
      <c r="K6937" s="98" t="s">
        <v>6704</v>
      </c>
      <c r="L6937" s="163" t="s">
        <v>9069</v>
      </c>
      <c r="M6937" s="49" t="s">
        <v>9070</v>
      </c>
      <c r="N6937" s="50">
        <v>44773</v>
      </c>
      <c r="O6937" s="160" t="s">
        <v>1535</v>
      </c>
      <c r="P6937" s="52">
        <v>5000</v>
      </c>
      <c r="Q6937" s="70">
        <v>-4</v>
      </c>
      <c r="R6937" s="52">
        <f t="shared" si="198"/>
        <v>-20000</v>
      </c>
      <c r="S6937" s="47">
        <v>202304</v>
      </c>
      <c r="T6937" s="510" t="s">
        <v>9074</v>
      </c>
      <c r="U6937" s="97"/>
      <c r="V6937" s="453"/>
      <c r="W6937" s="453"/>
      <c r="X6937" s="50">
        <v>44593</v>
      </c>
      <c r="Y6937" s="50">
        <v>44773</v>
      </c>
    </row>
    <row r="6938" s="5" customFormat="1" customHeight="1" spans="1:25">
      <c r="A6938" s="24" t="s">
        <v>109</v>
      </c>
      <c r="B6938" s="22" t="s">
        <v>7422</v>
      </c>
      <c r="C6938" s="22" t="s">
        <v>27</v>
      </c>
      <c r="D6938" s="22" t="s">
        <v>7585</v>
      </c>
      <c r="E6938" s="46" t="s">
        <v>9075</v>
      </c>
      <c r="F6938" s="22" t="s">
        <v>9076</v>
      </c>
      <c r="G6938" s="24" t="s">
        <v>31</v>
      </c>
      <c r="H6938" s="47" t="s">
        <v>9077</v>
      </c>
      <c r="I6938" s="46" t="e">
        <f>VLOOKUP(H6938,'合同高级查询数据-4月返'!A:A,1,FALSE)</f>
        <v>#N/A</v>
      </c>
      <c r="J6938" s="47" t="s">
        <v>33</v>
      </c>
      <c r="K6938" s="22" t="s">
        <v>34</v>
      </c>
      <c r="L6938" s="22" t="s">
        <v>9078</v>
      </c>
      <c r="M6938" s="22" t="s">
        <v>9079</v>
      </c>
      <c r="N6938" s="50">
        <v>44593</v>
      </c>
      <c r="O6938" s="22" t="s">
        <v>37</v>
      </c>
      <c r="P6938" s="486">
        <v>0</v>
      </c>
      <c r="Q6938" s="486">
        <v>128</v>
      </c>
      <c r="R6938" s="486">
        <f t="shared" si="198"/>
        <v>0</v>
      </c>
      <c r="S6938" s="47">
        <v>202304</v>
      </c>
      <c r="T6938" s="46" t="s">
        <v>9080</v>
      </c>
      <c r="U6938" s="22"/>
      <c r="V6938" s="72"/>
      <c r="W6938" s="22"/>
      <c r="X6938" s="50">
        <v>44958</v>
      </c>
      <c r="Y6938" s="50">
        <v>45322</v>
      </c>
    </row>
    <row r="6939" s="5" customFormat="1" customHeight="1" spans="1:25">
      <c r="A6939" s="24" t="s">
        <v>109</v>
      </c>
      <c r="B6939" s="22" t="s">
        <v>7422</v>
      </c>
      <c r="C6939" s="22" t="s">
        <v>27</v>
      </c>
      <c r="D6939" s="22" t="s">
        <v>7585</v>
      </c>
      <c r="E6939" s="46" t="s">
        <v>9075</v>
      </c>
      <c r="F6939" s="22" t="s">
        <v>9076</v>
      </c>
      <c r="G6939" s="24" t="s">
        <v>31</v>
      </c>
      <c r="H6939" s="47" t="s">
        <v>9077</v>
      </c>
      <c r="I6939" s="46" t="e">
        <f>VLOOKUP(H6939,'合同高级查询数据-4月返'!A:A,1,FALSE)</f>
        <v>#N/A</v>
      </c>
      <c r="J6939" s="47" t="s">
        <v>33</v>
      </c>
      <c r="K6939" s="22" t="s">
        <v>34</v>
      </c>
      <c r="L6939" s="22" t="s">
        <v>9078</v>
      </c>
      <c r="M6939" s="22" t="s">
        <v>9079</v>
      </c>
      <c r="N6939" s="50"/>
      <c r="O6939" s="22" t="s">
        <v>179</v>
      </c>
      <c r="P6939" s="486">
        <v>0</v>
      </c>
      <c r="Q6939" s="486">
        <v>0</v>
      </c>
      <c r="R6939" s="486">
        <f t="shared" si="198"/>
        <v>0</v>
      </c>
      <c r="S6939" s="47">
        <v>202304</v>
      </c>
      <c r="T6939" s="46" t="s">
        <v>9081</v>
      </c>
      <c r="U6939" s="22"/>
      <c r="V6939" s="72"/>
      <c r="W6939" s="22"/>
      <c r="X6939" s="50">
        <v>44958</v>
      </c>
      <c r="Y6939" s="50">
        <v>45322</v>
      </c>
    </row>
    <row r="6940" s="5" customFormat="1" customHeight="1" spans="1:25">
      <c r="A6940" s="24" t="s">
        <v>109</v>
      </c>
      <c r="B6940" s="22" t="s">
        <v>7422</v>
      </c>
      <c r="C6940" s="22" t="s">
        <v>27</v>
      </c>
      <c r="D6940" s="22" t="s">
        <v>7585</v>
      </c>
      <c r="E6940" s="46" t="s">
        <v>9075</v>
      </c>
      <c r="F6940" s="22" t="s">
        <v>9076</v>
      </c>
      <c r="G6940" s="24" t="s">
        <v>88</v>
      </c>
      <c r="H6940" s="47" t="s">
        <v>9077</v>
      </c>
      <c r="I6940" s="46" t="e">
        <f>VLOOKUP(H6940,'合同高级查询数据-4月返'!A:A,1,FALSE)</f>
        <v>#N/A</v>
      </c>
      <c r="J6940" s="47" t="s">
        <v>162</v>
      </c>
      <c r="K6940" s="22" t="s">
        <v>34</v>
      </c>
      <c r="L6940" s="22" t="s">
        <v>9078</v>
      </c>
      <c r="M6940" s="22" t="s">
        <v>9079</v>
      </c>
      <c r="N6940" s="50">
        <v>44593</v>
      </c>
      <c r="O6940" s="22" t="s">
        <v>163</v>
      </c>
      <c r="P6940" s="486">
        <v>4200</v>
      </c>
      <c r="Q6940" s="486">
        <v>2</v>
      </c>
      <c r="R6940" s="486">
        <f t="shared" si="198"/>
        <v>8400</v>
      </c>
      <c r="S6940" s="47">
        <v>202304</v>
      </c>
      <c r="T6940" s="46" t="s">
        <v>9082</v>
      </c>
      <c r="U6940" s="22"/>
      <c r="V6940" s="72"/>
      <c r="W6940" s="22"/>
      <c r="X6940" s="50">
        <v>44958</v>
      </c>
      <c r="Y6940" s="50">
        <v>45322</v>
      </c>
    </row>
    <row r="6941" s="5" customFormat="1" customHeight="1" spans="1:25">
      <c r="A6941" s="24" t="s">
        <v>152</v>
      </c>
      <c r="B6941" s="22" t="s">
        <v>7422</v>
      </c>
      <c r="C6941" s="22" t="s">
        <v>813</v>
      </c>
      <c r="D6941" s="22" t="s">
        <v>7585</v>
      </c>
      <c r="E6941" s="46" t="s">
        <v>9083</v>
      </c>
      <c r="F6941" s="22" t="s">
        <v>9084</v>
      </c>
      <c r="G6941" s="24" t="s">
        <v>31</v>
      </c>
      <c r="H6941" s="22" t="s">
        <v>9085</v>
      </c>
      <c r="I6941" s="46" t="e">
        <f>VLOOKUP(H6941,'合同高级查询数据-4月返'!A:A,1,FALSE)</f>
        <v>#N/A</v>
      </c>
      <c r="J6941" s="47" t="s">
        <v>33</v>
      </c>
      <c r="K6941" s="22" t="s">
        <v>813</v>
      </c>
      <c r="L6941" s="22" t="s">
        <v>9086</v>
      </c>
      <c r="M6941" s="22" t="s">
        <v>9087</v>
      </c>
      <c r="N6941" s="50">
        <v>44593</v>
      </c>
      <c r="O6941" s="22" t="s">
        <v>37</v>
      </c>
      <c r="P6941" s="486">
        <v>0</v>
      </c>
      <c r="Q6941" s="486">
        <v>256</v>
      </c>
      <c r="R6941" s="486">
        <f t="shared" si="198"/>
        <v>0</v>
      </c>
      <c r="S6941" s="47">
        <v>202304</v>
      </c>
      <c r="T6941" s="46" t="s">
        <v>9088</v>
      </c>
      <c r="U6941" s="22"/>
      <c r="V6941" s="72"/>
      <c r="W6941" s="22"/>
      <c r="X6941" s="50">
        <v>44958</v>
      </c>
      <c r="Y6941" s="50">
        <v>45322</v>
      </c>
    </row>
    <row r="6942" s="5" customFormat="1" customHeight="1" spans="1:25">
      <c r="A6942" s="24" t="s">
        <v>152</v>
      </c>
      <c r="B6942" s="22" t="s">
        <v>7422</v>
      </c>
      <c r="C6942" s="22" t="s">
        <v>813</v>
      </c>
      <c r="D6942" s="22" t="s">
        <v>7585</v>
      </c>
      <c r="E6942" s="46" t="s">
        <v>9083</v>
      </c>
      <c r="F6942" s="22" t="s">
        <v>9084</v>
      </c>
      <c r="G6942" s="24" t="s">
        <v>31</v>
      </c>
      <c r="H6942" s="22" t="s">
        <v>9085</v>
      </c>
      <c r="I6942" s="46" t="e">
        <f>VLOOKUP(H6942,'合同高级查询数据-4月返'!A:A,1,FALSE)</f>
        <v>#N/A</v>
      </c>
      <c r="J6942" s="47" t="s">
        <v>33</v>
      </c>
      <c r="K6942" s="22" t="s">
        <v>813</v>
      </c>
      <c r="L6942" s="22" t="s">
        <v>9086</v>
      </c>
      <c r="M6942" s="22" t="s">
        <v>9087</v>
      </c>
      <c r="N6942" s="50">
        <v>44593</v>
      </c>
      <c r="O6942" s="22" t="s">
        <v>37</v>
      </c>
      <c r="P6942" s="486">
        <v>50</v>
      </c>
      <c r="Q6942" s="486">
        <v>32</v>
      </c>
      <c r="R6942" s="486">
        <f t="shared" ref="R6942:R6969" si="199">ROUND(P6942*Q6942,2)</f>
        <v>1600</v>
      </c>
      <c r="S6942" s="47">
        <v>202304</v>
      </c>
      <c r="T6942" s="46" t="s">
        <v>9088</v>
      </c>
      <c r="U6942" s="22"/>
      <c r="V6942" s="72"/>
      <c r="W6942" s="22"/>
      <c r="X6942" s="50">
        <v>44958</v>
      </c>
      <c r="Y6942" s="50">
        <v>45322</v>
      </c>
    </row>
    <row r="6943" s="5" customFormat="1" customHeight="1" spans="1:25">
      <c r="A6943" s="24" t="s">
        <v>152</v>
      </c>
      <c r="B6943" s="22" t="s">
        <v>7422</v>
      </c>
      <c r="C6943" s="22" t="s">
        <v>813</v>
      </c>
      <c r="D6943" s="22" t="s">
        <v>7585</v>
      </c>
      <c r="E6943" s="46" t="s">
        <v>9083</v>
      </c>
      <c r="F6943" s="22" t="s">
        <v>9084</v>
      </c>
      <c r="G6943" s="24" t="s">
        <v>31</v>
      </c>
      <c r="H6943" s="22" t="s">
        <v>9085</v>
      </c>
      <c r="I6943" s="46" t="e">
        <f>VLOOKUP(H6943,'合同高级查询数据-4月返'!A:A,1,FALSE)</f>
        <v>#N/A</v>
      </c>
      <c r="J6943" s="47" t="s">
        <v>33</v>
      </c>
      <c r="K6943" s="22" t="s">
        <v>813</v>
      </c>
      <c r="L6943" s="22" t="s">
        <v>9086</v>
      </c>
      <c r="M6943" s="22" t="s">
        <v>9087</v>
      </c>
      <c r="N6943" s="50">
        <v>44889</v>
      </c>
      <c r="O6943" s="22" t="s">
        <v>37</v>
      </c>
      <c r="P6943" s="486">
        <v>50</v>
      </c>
      <c r="Q6943" s="486">
        <v>-32</v>
      </c>
      <c r="R6943" s="486">
        <f t="shared" si="199"/>
        <v>-1600</v>
      </c>
      <c r="S6943" s="47">
        <v>202304</v>
      </c>
      <c r="T6943" s="46" t="s">
        <v>9089</v>
      </c>
      <c r="U6943" s="22"/>
      <c r="V6943" s="72"/>
      <c r="W6943" s="22"/>
      <c r="X6943" s="50">
        <v>44958</v>
      </c>
      <c r="Y6943" s="50">
        <v>45322</v>
      </c>
    </row>
    <row r="6944" s="5" customFormat="1" customHeight="1" spans="1:25">
      <c r="A6944" s="24" t="s">
        <v>152</v>
      </c>
      <c r="B6944" s="22" t="s">
        <v>7422</v>
      </c>
      <c r="C6944" s="22" t="s">
        <v>813</v>
      </c>
      <c r="D6944" s="22" t="s">
        <v>7585</v>
      </c>
      <c r="E6944" s="46" t="s">
        <v>9083</v>
      </c>
      <c r="F6944" s="22" t="s">
        <v>9084</v>
      </c>
      <c r="G6944" s="24" t="s">
        <v>31</v>
      </c>
      <c r="H6944" s="22" t="s">
        <v>9085</v>
      </c>
      <c r="I6944" s="46" t="e">
        <f>VLOOKUP(H6944,'合同高级查询数据-4月返'!A:A,1,FALSE)</f>
        <v>#N/A</v>
      </c>
      <c r="J6944" s="47" t="s">
        <v>33</v>
      </c>
      <c r="K6944" s="22" t="s">
        <v>813</v>
      </c>
      <c r="L6944" s="22" t="s">
        <v>9086</v>
      </c>
      <c r="M6944" s="22" t="s">
        <v>9087</v>
      </c>
      <c r="N6944" s="50">
        <v>44889</v>
      </c>
      <c r="O6944" s="22" t="s">
        <v>37</v>
      </c>
      <c r="P6944" s="486">
        <v>0</v>
      </c>
      <c r="Q6944" s="486">
        <v>-96</v>
      </c>
      <c r="R6944" s="486">
        <f t="shared" si="199"/>
        <v>0</v>
      </c>
      <c r="S6944" s="47">
        <v>202304</v>
      </c>
      <c r="T6944" s="46" t="s">
        <v>9089</v>
      </c>
      <c r="U6944" s="22"/>
      <c r="V6944" s="72"/>
      <c r="W6944" s="22"/>
      <c r="X6944" s="50">
        <v>44958</v>
      </c>
      <c r="Y6944" s="50">
        <v>45322</v>
      </c>
    </row>
    <row r="6945" s="5" customFormat="1" customHeight="1" spans="1:25">
      <c r="A6945" s="24" t="s">
        <v>152</v>
      </c>
      <c r="B6945" s="22" t="s">
        <v>7422</v>
      </c>
      <c r="C6945" s="22" t="s">
        <v>813</v>
      </c>
      <c r="D6945" s="22" t="s">
        <v>7585</v>
      </c>
      <c r="E6945" s="46" t="s">
        <v>9083</v>
      </c>
      <c r="F6945" s="22" t="s">
        <v>9084</v>
      </c>
      <c r="G6945" s="24" t="s">
        <v>31</v>
      </c>
      <c r="H6945" s="22" t="s">
        <v>9085</v>
      </c>
      <c r="I6945" s="46" t="e">
        <f>VLOOKUP(H6945,'合同高级查询数据-4月返'!A:A,1,FALSE)</f>
        <v>#N/A</v>
      </c>
      <c r="J6945" s="47" t="s">
        <v>33</v>
      </c>
      <c r="K6945" s="22" t="s">
        <v>813</v>
      </c>
      <c r="L6945" s="22" t="s">
        <v>9086</v>
      </c>
      <c r="M6945" s="22" t="s">
        <v>9087</v>
      </c>
      <c r="N6945" s="50"/>
      <c r="O6945" s="22" t="s">
        <v>179</v>
      </c>
      <c r="P6945" s="486">
        <v>0</v>
      </c>
      <c r="Q6945" s="486">
        <v>0</v>
      </c>
      <c r="R6945" s="486">
        <f t="shared" si="199"/>
        <v>0</v>
      </c>
      <c r="S6945" s="47">
        <v>202304</v>
      </c>
      <c r="T6945" s="46" t="s">
        <v>9090</v>
      </c>
      <c r="U6945" s="22"/>
      <c r="V6945" s="72"/>
      <c r="W6945" s="22"/>
      <c r="X6945" s="50">
        <v>44958</v>
      </c>
      <c r="Y6945" s="50">
        <v>45322</v>
      </c>
    </row>
    <row r="6946" s="5" customFormat="1" customHeight="1" spans="1:25">
      <c r="A6946" s="24" t="s">
        <v>152</v>
      </c>
      <c r="B6946" s="22" t="s">
        <v>7422</v>
      </c>
      <c r="C6946" s="22" t="s">
        <v>813</v>
      </c>
      <c r="D6946" s="22" t="s">
        <v>7585</v>
      </c>
      <c r="E6946" s="46" t="s">
        <v>9083</v>
      </c>
      <c r="F6946" s="22" t="s">
        <v>9084</v>
      </c>
      <c r="G6946" s="24" t="s">
        <v>88</v>
      </c>
      <c r="H6946" s="22" t="s">
        <v>9085</v>
      </c>
      <c r="I6946" s="46" t="e">
        <f>VLOOKUP(H6946,'合同高级查询数据-4月返'!A:A,1,FALSE)</f>
        <v>#N/A</v>
      </c>
      <c r="J6946" s="47" t="s">
        <v>162</v>
      </c>
      <c r="K6946" s="22" t="s">
        <v>813</v>
      </c>
      <c r="L6946" s="22" t="s">
        <v>9086</v>
      </c>
      <c r="M6946" s="22" t="s">
        <v>9087</v>
      </c>
      <c r="N6946" s="50">
        <v>44593</v>
      </c>
      <c r="O6946" s="22" t="s">
        <v>503</v>
      </c>
      <c r="P6946" s="486">
        <v>6150</v>
      </c>
      <c r="Q6946" s="486">
        <v>2</v>
      </c>
      <c r="R6946" s="486">
        <f t="shared" si="199"/>
        <v>12300</v>
      </c>
      <c r="S6946" s="47">
        <v>202304</v>
      </c>
      <c r="T6946" s="46" t="s">
        <v>9091</v>
      </c>
      <c r="U6946" s="22"/>
      <c r="V6946" s="72"/>
      <c r="W6946" s="22"/>
      <c r="X6946" s="50">
        <v>44958</v>
      </c>
      <c r="Y6946" s="50">
        <v>45322</v>
      </c>
    </row>
    <row r="6947" s="5" customFormat="1" customHeight="1" spans="1:25">
      <c r="A6947" s="21" t="s">
        <v>25</v>
      </c>
      <c r="B6947" s="22" t="s">
        <v>7422</v>
      </c>
      <c r="C6947" s="22" t="s">
        <v>39</v>
      </c>
      <c r="D6947" s="22" t="s">
        <v>7585</v>
      </c>
      <c r="E6947" s="46" t="s">
        <v>9092</v>
      </c>
      <c r="F6947" s="22" t="s">
        <v>9093</v>
      </c>
      <c r="G6947" s="24" t="s">
        <v>31</v>
      </c>
      <c r="H6947" s="22" t="s">
        <v>9094</v>
      </c>
      <c r="I6947" s="46" t="str">
        <f>VLOOKUP(H6947,'合同高级查询数据-4月返'!A:A,1,FALSE)</f>
        <v>182315IDC00136</v>
      </c>
      <c r="J6947" s="47" t="s">
        <v>33</v>
      </c>
      <c r="K6947" s="22" t="s">
        <v>40</v>
      </c>
      <c r="L6947" s="22" t="s">
        <v>9095</v>
      </c>
      <c r="M6947" s="22" t="s">
        <v>9096</v>
      </c>
      <c r="N6947" s="50">
        <v>44652</v>
      </c>
      <c r="O6947" s="22" t="s">
        <v>37</v>
      </c>
      <c r="P6947" s="486">
        <v>0</v>
      </c>
      <c r="Q6947" s="486">
        <v>288</v>
      </c>
      <c r="R6947" s="52">
        <f t="shared" si="199"/>
        <v>0</v>
      </c>
      <c r="S6947" s="47">
        <v>202304</v>
      </c>
      <c r="T6947" s="46" t="s">
        <v>9097</v>
      </c>
      <c r="U6947" s="22"/>
      <c r="V6947" s="72"/>
      <c r="W6947" s="22"/>
      <c r="X6947" s="50">
        <v>45017</v>
      </c>
      <c r="Y6947" s="50">
        <v>45382</v>
      </c>
    </row>
    <row r="6948" s="5" customFormat="1" customHeight="1" spans="1:25">
      <c r="A6948" s="21" t="s">
        <v>25</v>
      </c>
      <c r="B6948" s="22" t="s">
        <v>7422</v>
      </c>
      <c r="C6948" s="22" t="s">
        <v>39</v>
      </c>
      <c r="D6948" s="22" t="s">
        <v>7585</v>
      </c>
      <c r="E6948" s="46" t="s">
        <v>9092</v>
      </c>
      <c r="F6948" s="22" t="s">
        <v>9093</v>
      </c>
      <c r="G6948" s="24" t="s">
        <v>31</v>
      </c>
      <c r="H6948" s="22" t="s">
        <v>9094</v>
      </c>
      <c r="I6948" s="46" t="str">
        <f>VLOOKUP(H6948,'合同高级查询数据-4月返'!A:A,1,FALSE)</f>
        <v>182315IDC00136</v>
      </c>
      <c r="J6948" s="47" t="s">
        <v>33</v>
      </c>
      <c r="K6948" s="22" t="s">
        <v>40</v>
      </c>
      <c r="L6948" s="22" t="s">
        <v>9095</v>
      </c>
      <c r="M6948" s="22" t="s">
        <v>9096</v>
      </c>
      <c r="N6948" s="50"/>
      <c r="O6948" s="22" t="s">
        <v>179</v>
      </c>
      <c r="P6948" s="486">
        <v>0</v>
      </c>
      <c r="Q6948" s="486">
        <v>0</v>
      </c>
      <c r="R6948" s="52">
        <f t="shared" si="199"/>
        <v>0</v>
      </c>
      <c r="S6948" s="47">
        <v>202304</v>
      </c>
      <c r="T6948" s="46" t="s">
        <v>9098</v>
      </c>
      <c r="U6948" s="22"/>
      <c r="V6948" s="72"/>
      <c r="W6948" s="22"/>
      <c r="X6948" s="50">
        <v>45017</v>
      </c>
      <c r="Y6948" s="50">
        <v>45382</v>
      </c>
    </row>
    <row r="6949" s="5" customFormat="1" customHeight="1" spans="1:25">
      <c r="A6949" s="21" t="s">
        <v>25</v>
      </c>
      <c r="B6949" s="22" t="s">
        <v>7422</v>
      </c>
      <c r="C6949" s="22" t="s">
        <v>39</v>
      </c>
      <c r="D6949" s="22" t="s">
        <v>7585</v>
      </c>
      <c r="E6949" s="46" t="s">
        <v>9092</v>
      </c>
      <c r="F6949" s="22" t="s">
        <v>9093</v>
      </c>
      <c r="G6949" s="24" t="s">
        <v>88</v>
      </c>
      <c r="H6949" s="22" t="s">
        <v>9094</v>
      </c>
      <c r="I6949" s="46" t="str">
        <f>VLOOKUP(H6949,'合同高级查询数据-4月返'!A:A,1,FALSE)</f>
        <v>182315IDC00136</v>
      </c>
      <c r="J6949" s="47" t="s">
        <v>162</v>
      </c>
      <c r="K6949" s="22" t="s">
        <v>40</v>
      </c>
      <c r="L6949" s="22" t="s">
        <v>9095</v>
      </c>
      <c r="M6949" s="22" t="s">
        <v>9096</v>
      </c>
      <c r="N6949" s="50">
        <v>44652</v>
      </c>
      <c r="O6949" s="22" t="s">
        <v>4123</v>
      </c>
      <c r="P6949" s="486">
        <v>5000</v>
      </c>
      <c r="Q6949" s="486">
        <v>4</v>
      </c>
      <c r="R6949" s="52">
        <f t="shared" si="199"/>
        <v>20000</v>
      </c>
      <c r="S6949" s="47">
        <v>202304</v>
      </c>
      <c r="T6949" s="46" t="s">
        <v>9099</v>
      </c>
      <c r="U6949" s="22"/>
      <c r="V6949" s="72"/>
      <c r="W6949" s="22"/>
      <c r="X6949" s="50">
        <v>45017</v>
      </c>
      <c r="Y6949" s="50">
        <v>45382</v>
      </c>
    </row>
    <row r="6950" s="5" customFormat="1" customHeight="1" spans="1:25">
      <c r="A6950" s="21" t="s">
        <v>25</v>
      </c>
      <c r="B6950" s="22" t="s">
        <v>7422</v>
      </c>
      <c r="C6950" s="22" t="s">
        <v>3951</v>
      </c>
      <c r="D6950" s="22" t="s">
        <v>28</v>
      </c>
      <c r="E6950" s="46" t="s">
        <v>9092</v>
      </c>
      <c r="F6950" s="22" t="s">
        <v>9093</v>
      </c>
      <c r="G6950" s="24" t="s">
        <v>31</v>
      </c>
      <c r="H6950" s="22" t="s">
        <v>9100</v>
      </c>
      <c r="I6950" s="46" t="e">
        <f>VLOOKUP(H6950,'合同高级查询数据-4月返'!A:A,1,FALSE)</f>
        <v>#N/A</v>
      </c>
      <c r="J6950" s="47" t="s">
        <v>33</v>
      </c>
      <c r="K6950" s="22" t="s">
        <v>3951</v>
      </c>
      <c r="L6950" s="22" t="s">
        <v>9101</v>
      </c>
      <c r="M6950" s="22" t="s">
        <v>9102</v>
      </c>
      <c r="N6950" s="50">
        <v>44835</v>
      </c>
      <c r="O6950" s="22" t="s">
        <v>37</v>
      </c>
      <c r="P6950" s="486">
        <v>0</v>
      </c>
      <c r="Q6950" s="486">
        <v>288</v>
      </c>
      <c r="R6950" s="52">
        <f t="shared" si="199"/>
        <v>0</v>
      </c>
      <c r="S6950" s="47">
        <v>202304</v>
      </c>
      <c r="T6950" s="46" t="s">
        <v>9103</v>
      </c>
      <c r="U6950" s="22"/>
      <c r="V6950" s="72"/>
      <c r="W6950" s="22"/>
      <c r="X6950" s="50">
        <v>44835</v>
      </c>
      <c r="Y6950" s="50">
        <v>45199</v>
      </c>
    </row>
    <row r="6951" s="5" customFormat="1" customHeight="1" spans="1:25">
      <c r="A6951" s="21" t="s">
        <v>25</v>
      </c>
      <c r="B6951" s="22" t="s">
        <v>7422</v>
      </c>
      <c r="C6951" s="22" t="s">
        <v>3951</v>
      </c>
      <c r="D6951" s="22" t="s">
        <v>28</v>
      </c>
      <c r="E6951" s="46" t="s">
        <v>9092</v>
      </c>
      <c r="F6951" s="22" t="s">
        <v>9093</v>
      </c>
      <c r="G6951" s="24" t="s">
        <v>31</v>
      </c>
      <c r="H6951" s="22" t="s">
        <v>9100</v>
      </c>
      <c r="I6951" s="46" t="e">
        <f>VLOOKUP(H6951,'合同高级查询数据-4月返'!A:A,1,FALSE)</f>
        <v>#N/A</v>
      </c>
      <c r="J6951" s="47" t="s">
        <v>33</v>
      </c>
      <c r="K6951" s="22" t="s">
        <v>3951</v>
      </c>
      <c r="L6951" s="22" t="s">
        <v>9101</v>
      </c>
      <c r="M6951" s="22" t="s">
        <v>9102</v>
      </c>
      <c r="N6951" s="50"/>
      <c r="O6951" s="22" t="s">
        <v>179</v>
      </c>
      <c r="P6951" s="486">
        <v>0</v>
      </c>
      <c r="Q6951" s="486">
        <v>0</v>
      </c>
      <c r="R6951" s="52">
        <f t="shared" si="199"/>
        <v>0</v>
      </c>
      <c r="S6951" s="47">
        <v>202304</v>
      </c>
      <c r="T6951" s="46" t="s">
        <v>9104</v>
      </c>
      <c r="U6951" s="22"/>
      <c r="V6951" s="72"/>
      <c r="W6951" s="22"/>
      <c r="X6951" s="50">
        <v>44835</v>
      </c>
      <c r="Y6951" s="50">
        <v>45199</v>
      </c>
    </row>
    <row r="6952" s="5" customFormat="1" customHeight="1" spans="1:25">
      <c r="A6952" s="21" t="s">
        <v>25</v>
      </c>
      <c r="B6952" s="22" t="s">
        <v>7422</v>
      </c>
      <c r="C6952" s="22" t="s">
        <v>3951</v>
      </c>
      <c r="D6952" s="22" t="s">
        <v>28</v>
      </c>
      <c r="E6952" s="46" t="s">
        <v>9092</v>
      </c>
      <c r="F6952" s="22" t="s">
        <v>9093</v>
      </c>
      <c r="G6952" s="24" t="s">
        <v>88</v>
      </c>
      <c r="H6952" s="22" t="s">
        <v>9100</v>
      </c>
      <c r="I6952" s="46" t="e">
        <f>VLOOKUP(H6952,'合同高级查询数据-4月返'!A:A,1,FALSE)</f>
        <v>#N/A</v>
      </c>
      <c r="J6952" s="47" t="s">
        <v>162</v>
      </c>
      <c r="K6952" s="22" t="s">
        <v>3951</v>
      </c>
      <c r="L6952" s="22" t="s">
        <v>9101</v>
      </c>
      <c r="M6952" s="22" t="s">
        <v>9102</v>
      </c>
      <c r="N6952" s="50">
        <v>44835</v>
      </c>
      <c r="O6952" s="22" t="s">
        <v>92</v>
      </c>
      <c r="P6952" s="486">
        <v>4000</v>
      </c>
      <c r="Q6952" s="486">
        <v>3</v>
      </c>
      <c r="R6952" s="52">
        <f t="shared" si="199"/>
        <v>12000</v>
      </c>
      <c r="S6952" s="47">
        <v>202304</v>
      </c>
      <c r="T6952" s="46" t="s">
        <v>9105</v>
      </c>
      <c r="U6952" s="22"/>
      <c r="V6952" s="72"/>
      <c r="W6952" s="22"/>
      <c r="X6952" s="50">
        <v>44835</v>
      </c>
      <c r="Y6952" s="50">
        <v>45199</v>
      </c>
    </row>
    <row r="6953" s="5" customFormat="1" customHeight="1" spans="1:25">
      <c r="A6953" s="24" t="s">
        <v>152</v>
      </c>
      <c r="B6953" s="22" t="s">
        <v>7422</v>
      </c>
      <c r="C6953" s="22" t="s">
        <v>125</v>
      </c>
      <c r="D6953" s="22" t="s">
        <v>7655</v>
      </c>
      <c r="E6953" s="46" t="s">
        <v>9106</v>
      </c>
      <c r="F6953" s="22" t="s">
        <v>9107</v>
      </c>
      <c r="G6953" s="24" t="s">
        <v>31</v>
      </c>
      <c r="H6953" s="22" t="s">
        <v>9108</v>
      </c>
      <c r="I6953" s="46" t="e">
        <f>VLOOKUP(H6953,'合同高级查询数据-4月返'!A:A,1,FALSE)</f>
        <v>#N/A</v>
      </c>
      <c r="J6953" s="47" t="s">
        <v>33</v>
      </c>
      <c r="K6953" s="22" t="s">
        <v>9109</v>
      </c>
      <c r="L6953" s="22" t="s">
        <v>9110</v>
      </c>
      <c r="M6953" s="22" t="s">
        <v>9111</v>
      </c>
      <c r="N6953" s="50">
        <v>44714</v>
      </c>
      <c r="O6953" s="22" t="s">
        <v>37</v>
      </c>
      <c r="P6953" s="486">
        <v>0</v>
      </c>
      <c r="Q6953" s="486">
        <v>160</v>
      </c>
      <c r="R6953" s="52">
        <f t="shared" si="199"/>
        <v>0</v>
      </c>
      <c r="S6953" s="47">
        <v>202304</v>
      </c>
      <c r="T6953" s="46" t="s">
        <v>9112</v>
      </c>
      <c r="U6953" s="22"/>
      <c r="V6953" s="72"/>
      <c r="W6953" s="22"/>
      <c r="X6953" s="50">
        <v>44714</v>
      </c>
      <c r="Y6953" s="50">
        <v>45077</v>
      </c>
    </row>
    <row r="6954" s="5" customFormat="1" customHeight="1" spans="1:25">
      <c r="A6954" s="24" t="s">
        <v>152</v>
      </c>
      <c r="B6954" s="22" t="s">
        <v>7422</v>
      </c>
      <c r="C6954" s="22" t="s">
        <v>125</v>
      </c>
      <c r="D6954" s="22" t="s">
        <v>7655</v>
      </c>
      <c r="E6954" s="46" t="s">
        <v>9106</v>
      </c>
      <c r="F6954" s="22" t="s">
        <v>9107</v>
      </c>
      <c r="G6954" s="24" t="s">
        <v>31</v>
      </c>
      <c r="H6954" s="22" t="s">
        <v>9108</v>
      </c>
      <c r="I6954" s="46" t="e">
        <f>VLOOKUP(H6954,'合同高级查询数据-4月返'!A:A,1,FALSE)</f>
        <v>#N/A</v>
      </c>
      <c r="J6954" s="47" t="s">
        <v>33</v>
      </c>
      <c r="K6954" s="22" t="s">
        <v>9109</v>
      </c>
      <c r="L6954" s="22" t="s">
        <v>9110</v>
      </c>
      <c r="M6954" s="22" t="s">
        <v>9111</v>
      </c>
      <c r="N6954" s="50"/>
      <c r="O6954" s="22" t="s">
        <v>179</v>
      </c>
      <c r="P6954" s="486">
        <v>0</v>
      </c>
      <c r="Q6954" s="486">
        <v>0</v>
      </c>
      <c r="R6954" s="52">
        <f t="shared" si="199"/>
        <v>0</v>
      </c>
      <c r="S6954" s="47">
        <v>202304</v>
      </c>
      <c r="T6954" s="46" t="s">
        <v>9113</v>
      </c>
      <c r="U6954" s="22"/>
      <c r="V6954" s="72"/>
      <c r="W6954" s="22"/>
      <c r="X6954" s="50">
        <v>44714</v>
      </c>
      <c r="Y6954" s="50">
        <v>45077</v>
      </c>
    </row>
    <row r="6955" s="5" customFormat="1" customHeight="1" spans="1:25">
      <c r="A6955" s="24" t="s">
        <v>152</v>
      </c>
      <c r="B6955" s="22" t="s">
        <v>7422</v>
      </c>
      <c r="C6955" s="22" t="s">
        <v>125</v>
      </c>
      <c r="D6955" s="22" t="s">
        <v>7655</v>
      </c>
      <c r="E6955" s="46" t="s">
        <v>9106</v>
      </c>
      <c r="F6955" s="22" t="s">
        <v>9107</v>
      </c>
      <c r="G6955" s="24" t="s">
        <v>88</v>
      </c>
      <c r="H6955" s="22" t="s">
        <v>9108</v>
      </c>
      <c r="I6955" s="46" t="e">
        <f>VLOOKUP(H6955,'合同高级查询数据-4月返'!A:A,1,FALSE)</f>
        <v>#N/A</v>
      </c>
      <c r="J6955" s="47" t="s">
        <v>162</v>
      </c>
      <c r="K6955" s="22" t="s">
        <v>9109</v>
      </c>
      <c r="L6955" s="22" t="s">
        <v>9110</v>
      </c>
      <c r="M6955" s="22" t="s">
        <v>9111</v>
      </c>
      <c r="N6955" s="50">
        <v>44714</v>
      </c>
      <c r="O6955" s="22" t="s">
        <v>163</v>
      </c>
      <c r="P6955" s="486">
        <v>4500</v>
      </c>
      <c r="Q6955" s="486">
        <v>2</v>
      </c>
      <c r="R6955" s="52">
        <f t="shared" si="199"/>
        <v>9000</v>
      </c>
      <c r="S6955" s="47">
        <v>202304</v>
      </c>
      <c r="T6955" s="46" t="s">
        <v>9114</v>
      </c>
      <c r="U6955" s="22"/>
      <c r="V6955" s="72"/>
      <c r="W6955" s="22"/>
      <c r="X6955" s="50">
        <v>44714</v>
      </c>
      <c r="Y6955" s="50">
        <v>45077</v>
      </c>
    </row>
    <row r="6956" s="5" customFormat="1" customHeight="1" spans="1:25">
      <c r="A6956" s="24" t="s">
        <v>109</v>
      </c>
      <c r="B6956" s="22" t="s">
        <v>7422</v>
      </c>
      <c r="C6956" s="22" t="s">
        <v>512</v>
      </c>
      <c r="D6956" s="22" t="s">
        <v>7655</v>
      </c>
      <c r="E6956" s="46" t="s">
        <v>9115</v>
      </c>
      <c r="F6956" s="22" t="s">
        <v>9116</v>
      </c>
      <c r="G6956" s="24" t="s">
        <v>31</v>
      </c>
      <c r="H6956" s="22" t="s">
        <v>9117</v>
      </c>
      <c r="I6956" s="46" t="e">
        <f>VLOOKUP(H6956,'合同高级查询数据-4月返'!A:A,1,FALSE)</f>
        <v>#N/A</v>
      </c>
      <c r="J6956" s="47" t="s">
        <v>33</v>
      </c>
      <c r="K6956" s="22" t="s">
        <v>516</v>
      </c>
      <c r="L6956" s="22" t="s">
        <v>9118</v>
      </c>
      <c r="M6956" s="22" t="s">
        <v>9119</v>
      </c>
      <c r="N6956" s="50">
        <v>44713</v>
      </c>
      <c r="O6956" s="22" t="s">
        <v>37</v>
      </c>
      <c r="P6956" s="486">
        <v>0</v>
      </c>
      <c r="Q6956" s="486">
        <v>160</v>
      </c>
      <c r="R6956" s="52">
        <f t="shared" si="199"/>
        <v>0</v>
      </c>
      <c r="S6956" s="47">
        <v>202304</v>
      </c>
      <c r="T6956" s="46" t="s">
        <v>9120</v>
      </c>
      <c r="U6956" s="22"/>
      <c r="V6956" s="72"/>
      <c r="W6956" s="22"/>
      <c r="X6956" s="50">
        <v>44713</v>
      </c>
      <c r="Y6956" s="50">
        <v>45077</v>
      </c>
    </row>
    <row r="6957" s="5" customFormat="1" customHeight="1" spans="1:25">
      <c r="A6957" s="24" t="s">
        <v>109</v>
      </c>
      <c r="B6957" s="22" t="s">
        <v>7422</v>
      </c>
      <c r="C6957" s="22" t="s">
        <v>512</v>
      </c>
      <c r="D6957" s="22" t="s">
        <v>7655</v>
      </c>
      <c r="E6957" s="46" t="s">
        <v>9115</v>
      </c>
      <c r="F6957" s="22" t="s">
        <v>9116</v>
      </c>
      <c r="G6957" s="24" t="s">
        <v>31</v>
      </c>
      <c r="H6957" s="22" t="s">
        <v>9117</v>
      </c>
      <c r="I6957" s="46" t="e">
        <f>VLOOKUP(H6957,'合同高级查询数据-4月返'!A:A,1,FALSE)</f>
        <v>#N/A</v>
      </c>
      <c r="J6957" s="47" t="s">
        <v>33</v>
      </c>
      <c r="K6957" s="22" t="s">
        <v>516</v>
      </c>
      <c r="L6957" s="22" t="s">
        <v>9118</v>
      </c>
      <c r="M6957" s="22" t="s">
        <v>9119</v>
      </c>
      <c r="N6957" s="50"/>
      <c r="O6957" s="22" t="s">
        <v>179</v>
      </c>
      <c r="P6957" s="486">
        <v>0</v>
      </c>
      <c r="Q6957" s="486">
        <v>0</v>
      </c>
      <c r="R6957" s="52">
        <f t="shared" si="199"/>
        <v>0</v>
      </c>
      <c r="S6957" s="47">
        <v>202304</v>
      </c>
      <c r="T6957" s="46" t="s">
        <v>9121</v>
      </c>
      <c r="U6957" s="22"/>
      <c r="V6957" s="72"/>
      <c r="W6957" s="22"/>
      <c r="X6957" s="50">
        <v>44713</v>
      </c>
      <c r="Y6957" s="50">
        <v>45077</v>
      </c>
    </row>
    <row r="6958" s="5" customFormat="1" customHeight="1" spans="1:25">
      <c r="A6958" s="24" t="s">
        <v>109</v>
      </c>
      <c r="B6958" s="22" t="s">
        <v>7422</v>
      </c>
      <c r="C6958" s="22" t="s">
        <v>512</v>
      </c>
      <c r="D6958" s="22" t="s">
        <v>7655</v>
      </c>
      <c r="E6958" s="46" t="s">
        <v>9115</v>
      </c>
      <c r="F6958" s="22" t="s">
        <v>9116</v>
      </c>
      <c r="G6958" s="24" t="s">
        <v>88</v>
      </c>
      <c r="H6958" s="22" t="s">
        <v>9117</v>
      </c>
      <c r="I6958" s="46" t="e">
        <f>VLOOKUP(H6958,'合同高级查询数据-4月返'!A:A,1,FALSE)</f>
        <v>#N/A</v>
      </c>
      <c r="J6958" s="47" t="s">
        <v>162</v>
      </c>
      <c r="K6958" s="22" t="s">
        <v>516</v>
      </c>
      <c r="L6958" s="22" t="s">
        <v>9118</v>
      </c>
      <c r="M6958" s="22" t="s">
        <v>9119</v>
      </c>
      <c r="N6958" s="50">
        <v>44713</v>
      </c>
      <c r="O6958" s="22" t="s">
        <v>163</v>
      </c>
      <c r="P6958" s="486">
        <v>5000</v>
      </c>
      <c r="Q6958" s="486">
        <v>2</v>
      </c>
      <c r="R6958" s="52">
        <f t="shared" si="199"/>
        <v>10000</v>
      </c>
      <c r="S6958" s="47">
        <v>202304</v>
      </c>
      <c r="T6958" s="46" t="s">
        <v>9122</v>
      </c>
      <c r="U6958" s="22"/>
      <c r="V6958" s="72"/>
      <c r="W6958" s="22"/>
      <c r="X6958" s="50">
        <v>44713</v>
      </c>
      <c r="Y6958" s="50">
        <v>45077</v>
      </c>
    </row>
    <row r="6959" s="5" customFormat="1" customHeight="1" spans="1:25">
      <c r="A6959" s="21" t="s">
        <v>25</v>
      </c>
      <c r="B6959" s="22" t="s">
        <v>7422</v>
      </c>
      <c r="C6959" s="22" t="s">
        <v>238</v>
      </c>
      <c r="D6959" s="22" t="s">
        <v>7585</v>
      </c>
      <c r="E6959" s="46" t="s">
        <v>9123</v>
      </c>
      <c r="F6959" s="22" t="s">
        <v>9124</v>
      </c>
      <c r="G6959" s="24" t="s">
        <v>31</v>
      </c>
      <c r="H6959" s="22" t="s">
        <v>9125</v>
      </c>
      <c r="I6959" s="46" t="e">
        <f>VLOOKUP(H6959,'合同高级查询数据-4月返'!A:A,1,FALSE)</f>
        <v>#N/A</v>
      </c>
      <c r="J6959" s="47" t="s">
        <v>33</v>
      </c>
      <c r="K6959" s="22" t="s">
        <v>2225</v>
      </c>
      <c r="L6959" s="22" t="s">
        <v>9126</v>
      </c>
      <c r="M6959" s="22" t="s">
        <v>9127</v>
      </c>
      <c r="N6959" s="50">
        <v>44774</v>
      </c>
      <c r="O6959" s="22" t="s">
        <v>37</v>
      </c>
      <c r="P6959" s="486">
        <v>30</v>
      </c>
      <c r="Q6959" s="486">
        <v>288</v>
      </c>
      <c r="R6959" s="52">
        <f t="shared" si="199"/>
        <v>8640</v>
      </c>
      <c r="S6959" s="47">
        <v>202304</v>
      </c>
      <c r="T6959" s="46" t="s">
        <v>9128</v>
      </c>
      <c r="U6959" s="22"/>
      <c r="V6959" s="72"/>
      <c r="W6959" s="22"/>
      <c r="X6959" s="50">
        <v>44774</v>
      </c>
      <c r="Y6959" s="50">
        <v>45138</v>
      </c>
    </row>
    <row r="6960" s="5" customFormat="1" customHeight="1" spans="1:25">
      <c r="A6960" s="21" t="s">
        <v>25</v>
      </c>
      <c r="B6960" s="22" t="s">
        <v>7422</v>
      </c>
      <c r="C6960" s="22" t="s">
        <v>238</v>
      </c>
      <c r="D6960" s="22" t="s">
        <v>7585</v>
      </c>
      <c r="E6960" s="46" t="s">
        <v>9123</v>
      </c>
      <c r="F6960" s="22" t="s">
        <v>9124</v>
      </c>
      <c r="G6960" s="24" t="s">
        <v>31</v>
      </c>
      <c r="H6960" s="22" t="s">
        <v>9125</v>
      </c>
      <c r="I6960" s="46" t="e">
        <f>VLOOKUP(H6960,'合同高级查询数据-4月返'!A:A,1,FALSE)</f>
        <v>#N/A</v>
      </c>
      <c r="J6960" s="47" t="s">
        <v>33</v>
      </c>
      <c r="K6960" s="22" t="s">
        <v>2225</v>
      </c>
      <c r="L6960" s="22" t="s">
        <v>9126</v>
      </c>
      <c r="M6960" s="22" t="s">
        <v>9127</v>
      </c>
      <c r="N6960" s="50">
        <v>44908</v>
      </c>
      <c r="O6960" s="22" t="s">
        <v>37</v>
      </c>
      <c r="P6960" s="486">
        <v>30</v>
      </c>
      <c r="Q6960" s="486">
        <v>-128</v>
      </c>
      <c r="R6960" s="52">
        <f t="shared" si="199"/>
        <v>-3840</v>
      </c>
      <c r="S6960" s="47">
        <v>202304</v>
      </c>
      <c r="T6960" s="46" t="s">
        <v>9129</v>
      </c>
      <c r="U6960" s="22"/>
      <c r="V6960" s="72"/>
      <c r="W6960" s="22"/>
      <c r="X6960" s="50">
        <v>44774</v>
      </c>
      <c r="Y6960" s="50">
        <v>45138</v>
      </c>
    </row>
    <row r="6961" s="5" customFormat="1" customHeight="1" spans="1:25">
      <c r="A6961" s="21" t="s">
        <v>25</v>
      </c>
      <c r="B6961" s="22" t="s">
        <v>7422</v>
      </c>
      <c r="C6961" s="22" t="s">
        <v>238</v>
      </c>
      <c r="D6961" s="22" t="s">
        <v>7585</v>
      </c>
      <c r="E6961" s="46" t="s">
        <v>9123</v>
      </c>
      <c r="F6961" s="22" t="s">
        <v>9124</v>
      </c>
      <c r="G6961" s="24" t="s">
        <v>31</v>
      </c>
      <c r="H6961" s="22" t="s">
        <v>9125</v>
      </c>
      <c r="I6961" s="46" t="e">
        <f>VLOOKUP(H6961,'合同高级查询数据-4月返'!A:A,1,FALSE)</f>
        <v>#N/A</v>
      </c>
      <c r="J6961" s="47" t="s">
        <v>33</v>
      </c>
      <c r="K6961" s="22" t="s">
        <v>2225</v>
      </c>
      <c r="L6961" s="22" t="s">
        <v>9126</v>
      </c>
      <c r="M6961" s="22" t="s">
        <v>9127</v>
      </c>
      <c r="N6961" s="50"/>
      <c r="O6961" s="22" t="s">
        <v>179</v>
      </c>
      <c r="P6961" s="486">
        <v>0</v>
      </c>
      <c r="Q6961" s="486">
        <v>0</v>
      </c>
      <c r="R6961" s="52">
        <f t="shared" si="199"/>
        <v>0</v>
      </c>
      <c r="S6961" s="47">
        <v>202304</v>
      </c>
      <c r="T6961" s="46" t="s">
        <v>9130</v>
      </c>
      <c r="U6961" s="22"/>
      <c r="V6961" s="72"/>
      <c r="W6961" s="22"/>
      <c r="X6961" s="50">
        <v>44774</v>
      </c>
      <c r="Y6961" s="50">
        <v>45138</v>
      </c>
    </row>
    <row r="6962" s="5" customFormat="1" customHeight="1" spans="1:25">
      <c r="A6962" s="21" t="s">
        <v>25</v>
      </c>
      <c r="B6962" s="22" t="s">
        <v>7422</v>
      </c>
      <c r="C6962" s="22" t="s">
        <v>238</v>
      </c>
      <c r="D6962" s="22" t="s">
        <v>7585</v>
      </c>
      <c r="E6962" s="46" t="s">
        <v>9123</v>
      </c>
      <c r="F6962" s="22" t="s">
        <v>9124</v>
      </c>
      <c r="G6962" s="24" t="s">
        <v>88</v>
      </c>
      <c r="H6962" s="22" t="s">
        <v>9125</v>
      </c>
      <c r="I6962" s="46" t="e">
        <f>VLOOKUP(H6962,'合同高级查询数据-4月返'!A:A,1,FALSE)</f>
        <v>#N/A</v>
      </c>
      <c r="J6962" s="47" t="s">
        <v>162</v>
      </c>
      <c r="K6962" s="22" t="s">
        <v>2225</v>
      </c>
      <c r="L6962" s="22" t="s">
        <v>9126</v>
      </c>
      <c r="M6962" s="22" t="s">
        <v>9127</v>
      </c>
      <c r="N6962" s="50">
        <v>44774</v>
      </c>
      <c r="O6962" s="22" t="s">
        <v>702</v>
      </c>
      <c r="P6962" s="486">
        <v>3500</v>
      </c>
      <c r="Q6962" s="486">
        <v>5</v>
      </c>
      <c r="R6962" s="52">
        <f t="shared" si="199"/>
        <v>17500</v>
      </c>
      <c r="S6962" s="47">
        <v>202304</v>
      </c>
      <c r="T6962" s="46" t="s">
        <v>9131</v>
      </c>
      <c r="U6962" s="22"/>
      <c r="V6962" s="72"/>
      <c r="W6962" s="22"/>
      <c r="X6962" s="50">
        <v>44774</v>
      </c>
      <c r="Y6962" s="50">
        <v>45138</v>
      </c>
    </row>
    <row r="6963" s="5" customFormat="1" customHeight="1" spans="1:25">
      <c r="A6963" s="21" t="s">
        <v>25</v>
      </c>
      <c r="B6963" s="22" t="s">
        <v>7422</v>
      </c>
      <c r="C6963" s="22" t="s">
        <v>238</v>
      </c>
      <c r="D6963" s="22" t="s">
        <v>7585</v>
      </c>
      <c r="E6963" s="46" t="s">
        <v>9123</v>
      </c>
      <c r="F6963" s="22" t="s">
        <v>9124</v>
      </c>
      <c r="G6963" s="24" t="s">
        <v>88</v>
      </c>
      <c r="H6963" s="22" t="s">
        <v>9132</v>
      </c>
      <c r="I6963" s="46" t="e">
        <f>VLOOKUP(H6963,'合同高级查询数据-4月返'!A:A,1,FALSE)</f>
        <v>#N/A</v>
      </c>
      <c r="J6963" s="47" t="s">
        <v>162</v>
      </c>
      <c r="K6963" s="22" t="s">
        <v>2225</v>
      </c>
      <c r="L6963" s="22" t="s">
        <v>9126</v>
      </c>
      <c r="M6963" s="22" t="s">
        <v>9127</v>
      </c>
      <c r="N6963" s="50">
        <v>44939</v>
      </c>
      <c r="O6963" s="22" t="s">
        <v>163</v>
      </c>
      <c r="P6963" s="486">
        <v>3500</v>
      </c>
      <c r="Q6963" s="486">
        <v>2</v>
      </c>
      <c r="R6963" s="52">
        <f t="shared" si="199"/>
        <v>7000</v>
      </c>
      <c r="S6963" s="47">
        <v>202304</v>
      </c>
      <c r="T6963" s="46" t="s">
        <v>9133</v>
      </c>
      <c r="U6963" s="22"/>
      <c r="V6963" s="72"/>
      <c r="W6963" s="22"/>
      <c r="X6963" s="50">
        <v>44939</v>
      </c>
      <c r="Y6963" s="50">
        <v>45138</v>
      </c>
    </row>
    <row r="6964" s="5" customFormat="1" customHeight="1" spans="1:25">
      <c r="A6964" s="21" t="s">
        <v>25</v>
      </c>
      <c r="B6964" s="22" t="s">
        <v>7422</v>
      </c>
      <c r="C6964" s="22" t="s">
        <v>238</v>
      </c>
      <c r="D6964" s="22" t="s">
        <v>7585</v>
      </c>
      <c r="E6964" s="23" t="s">
        <v>9134</v>
      </c>
      <c r="F6964" s="24" t="s">
        <v>9135</v>
      </c>
      <c r="G6964" s="24" t="s">
        <v>31</v>
      </c>
      <c r="H6964" s="25" t="s">
        <v>9136</v>
      </c>
      <c r="I6964" s="46" t="e">
        <f>VLOOKUP(H6964,'合同高级查询数据-4月返'!A:A,1,FALSE)</f>
        <v>#N/A</v>
      </c>
      <c r="J6964" s="47" t="s">
        <v>33</v>
      </c>
      <c r="K6964" s="24" t="s">
        <v>7918</v>
      </c>
      <c r="L6964" s="109" t="s">
        <v>9137</v>
      </c>
      <c r="M6964" s="49" t="s">
        <v>9138</v>
      </c>
      <c r="N6964" s="50">
        <v>44835</v>
      </c>
      <c r="O6964" s="22" t="s">
        <v>37</v>
      </c>
      <c r="P6964" s="52">
        <v>0</v>
      </c>
      <c r="Q6964" s="70">
        <v>160</v>
      </c>
      <c r="R6964" s="52">
        <f t="shared" si="199"/>
        <v>0</v>
      </c>
      <c r="S6964" s="47">
        <v>202304</v>
      </c>
      <c r="T6964" s="123" t="s">
        <v>9139</v>
      </c>
      <c r="U6964" s="97"/>
      <c r="V6964" s="516"/>
      <c r="W6964" s="453"/>
      <c r="X6964" s="50">
        <v>44835</v>
      </c>
      <c r="Y6964" s="50">
        <v>45199</v>
      </c>
    </row>
    <row r="6965" s="5" customFormat="1" customHeight="1" spans="1:25">
      <c r="A6965" s="21" t="s">
        <v>25</v>
      </c>
      <c r="B6965" s="22" t="s">
        <v>7422</v>
      </c>
      <c r="C6965" s="22" t="s">
        <v>238</v>
      </c>
      <c r="D6965" s="22" t="s">
        <v>7585</v>
      </c>
      <c r="E6965" s="23" t="s">
        <v>9134</v>
      </c>
      <c r="F6965" s="24" t="s">
        <v>9135</v>
      </c>
      <c r="G6965" s="24" t="s">
        <v>31</v>
      </c>
      <c r="H6965" s="25" t="s">
        <v>9136</v>
      </c>
      <c r="I6965" s="46" t="e">
        <f>VLOOKUP(H6965,'合同高级查询数据-4月返'!A:A,1,FALSE)</f>
        <v>#N/A</v>
      </c>
      <c r="J6965" s="47" t="s">
        <v>33</v>
      </c>
      <c r="K6965" s="24" t="s">
        <v>7918</v>
      </c>
      <c r="L6965" s="109" t="s">
        <v>9137</v>
      </c>
      <c r="M6965" s="49" t="s">
        <v>9138</v>
      </c>
      <c r="N6965" s="50">
        <v>44835</v>
      </c>
      <c r="O6965" s="22" t="s">
        <v>37</v>
      </c>
      <c r="P6965" s="52">
        <v>50</v>
      </c>
      <c r="Q6965" s="70">
        <v>128</v>
      </c>
      <c r="R6965" s="52">
        <f t="shared" si="199"/>
        <v>6400</v>
      </c>
      <c r="S6965" s="47">
        <v>202304</v>
      </c>
      <c r="T6965" s="123" t="s">
        <v>9139</v>
      </c>
      <c r="U6965" s="97"/>
      <c r="V6965" s="516"/>
      <c r="W6965" s="453"/>
      <c r="X6965" s="50">
        <v>44835</v>
      </c>
      <c r="Y6965" s="50">
        <v>45199</v>
      </c>
    </row>
    <row r="6966" s="5" customFormat="1" customHeight="1" spans="1:25">
      <c r="A6966" s="21" t="s">
        <v>25</v>
      </c>
      <c r="B6966" s="22" t="s">
        <v>7422</v>
      </c>
      <c r="C6966" s="22" t="s">
        <v>238</v>
      </c>
      <c r="D6966" s="22" t="s">
        <v>7585</v>
      </c>
      <c r="E6966" s="23" t="s">
        <v>9134</v>
      </c>
      <c r="F6966" s="24" t="s">
        <v>9135</v>
      </c>
      <c r="G6966" s="24" t="s">
        <v>31</v>
      </c>
      <c r="H6966" s="25" t="s">
        <v>9136</v>
      </c>
      <c r="I6966" s="46" t="e">
        <f>VLOOKUP(H6966,'合同高级查询数据-4月返'!A:A,1,FALSE)</f>
        <v>#N/A</v>
      </c>
      <c r="J6966" s="47" t="s">
        <v>33</v>
      </c>
      <c r="K6966" s="24" t="s">
        <v>7918</v>
      </c>
      <c r="L6966" s="109" t="s">
        <v>9137</v>
      </c>
      <c r="M6966" s="49" t="s">
        <v>9138</v>
      </c>
      <c r="N6966" s="50">
        <v>44861</v>
      </c>
      <c r="O6966" s="22" t="s">
        <v>37</v>
      </c>
      <c r="P6966" s="52">
        <v>50</v>
      </c>
      <c r="Q6966" s="70">
        <v>-128</v>
      </c>
      <c r="R6966" s="52">
        <f t="shared" si="199"/>
        <v>-6400</v>
      </c>
      <c r="S6966" s="47">
        <v>202304</v>
      </c>
      <c r="T6966" s="123" t="s">
        <v>9140</v>
      </c>
      <c r="U6966" s="97"/>
      <c r="V6966" s="516"/>
      <c r="W6966" s="453"/>
      <c r="X6966" s="50">
        <v>44835</v>
      </c>
      <c r="Y6966" s="50">
        <v>45199</v>
      </c>
    </row>
    <row r="6967" s="5" customFormat="1" customHeight="1" spans="1:25">
      <c r="A6967" s="21" t="s">
        <v>25</v>
      </c>
      <c r="B6967" s="22" t="s">
        <v>7422</v>
      </c>
      <c r="C6967" s="22" t="s">
        <v>238</v>
      </c>
      <c r="D6967" s="22" t="s">
        <v>7585</v>
      </c>
      <c r="E6967" s="23" t="s">
        <v>9134</v>
      </c>
      <c r="F6967" s="24" t="s">
        <v>9135</v>
      </c>
      <c r="G6967" s="24" t="s">
        <v>31</v>
      </c>
      <c r="H6967" s="25" t="s">
        <v>9136</v>
      </c>
      <c r="I6967" s="46" t="e">
        <f>VLOOKUP(H6967,'合同高级查询数据-4月返'!A:A,1,FALSE)</f>
        <v>#N/A</v>
      </c>
      <c r="J6967" s="47" t="s">
        <v>33</v>
      </c>
      <c r="K6967" s="24" t="s">
        <v>7918</v>
      </c>
      <c r="L6967" s="109" t="s">
        <v>9137</v>
      </c>
      <c r="M6967" s="49" t="s">
        <v>9138</v>
      </c>
      <c r="N6967" s="50"/>
      <c r="O6967" s="22" t="s">
        <v>179</v>
      </c>
      <c r="P6967" s="52">
        <v>0</v>
      </c>
      <c r="Q6967" s="70">
        <v>0</v>
      </c>
      <c r="R6967" s="52">
        <f t="shared" si="199"/>
        <v>0</v>
      </c>
      <c r="S6967" s="47">
        <v>202304</v>
      </c>
      <c r="T6967" s="123" t="s">
        <v>9141</v>
      </c>
      <c r="U6967" s="97"/>
      <c r="V6967" s="516"/>
      <c r="W6967" s="453"/>
      <c r="X6967" s="50">
        <v>44835</v>
      </c>
      <c r="Y6967" s="50">
        <v>45199</v>
      </c>
    </row>
    <row r="6968" s="5" customFormat="1" customHeight="1" spans="1:25">
      <c r="A6968" s="21" t="s">
        <v>25</v>
      </c>
      <c r="B6968" s="22" t="s">
        <v>7422</v>
      </c>
      <c r="C6968" s="22" t="s">
        <v>238</v>
      </c>
      <c r="D6968" s="22" t="s">
        <v>7585</v>
      </c>
      <c r="E6968" s="23" t="s">
        <v>9134</v>
      </c>
      <c r="F6968" s="24" t="s">
        <v>9135</v>
      </c>
      <c r="G6968" s="24" t="s">
        <v>88</v>
      </c>
      <c r="H6968" s="25" t="s">
        <v>9136</v>
      </c>
      <c r="I6968" s="46" t="e">
        <f>VLOOKUP(H6968,'合同高级查询数据-4月返'!A:A,1,FALSE)</f>
        <v>#N/A</v>
      </c>
      <c r="J6968" s="47" t="s">
        <v>162</v>
      </c>
      <c r="K6968" s="24" t="s">
        <v>7918</v>
      </c>
      <c r="L6968" s="109" t="s">
        <v>9137</v>
      </c>
      <c r="M6968" s="49" t="s">
        <v>9138</v>
      </c>
      <c r="N6968" s="50">
        <v>44835</v>
      </c>
      <c r="O6968" s="22" t="s">
        <v>92</v>
      </c>
      <c r="P6968" s="52">
        <v>4000</v>
      </c>
      <c r="Q6968" s="70">
        <v>4</v>
      </c>
      <c r="R6968" s="52">
        <f t="shared" si="199"/>
        <v>16000</v>
      </c>
      <c r="S6968" s="47">
        <v>202304</v>
      </c>
      <c r="T6968" s="123" t="s">
        <v>9142</v>
      </c>
      <c r="U6968" s="97"/>
      <c r="V6968" s="516"/>
      <c r="W6968" s="453"/>
      <c r="X6968" s="50">
        <v>44835</v>
      </c>
      <c r="Y6968" s="50">
        <v>45199</v>
      </c>
    </row>
    <row r="6969" s="5" customFormat="1" customHeight="1" spans="1:25">
      <c r="A6969" s="21" t="s">
        <v>109</v>
      </c>
      <c r="B6969" s="22" t="s">
        <v>7422</v>
      </c>
      <c r="C6969" s="22" t="s">
        <v>238</v>
      </c>
      <c r="D6969" s="22" t="s">
        <v>7585</v>
      </c>
      <c r="E6969" s="23" t="s">
        <v>9134</v>
      </c>
      <c r="F6969" s="24" t="s">
        <v>9135</v>
      </c>
      <c r="G6969" s="24" t="s">
        <v>31</v>
      </c>
      <c r="H6969" s="25" t="s">
        <v>9143</v>
      </c>
      <c r="I6969" s="46" t="e">
        <f>VLOOKUP(H6969,'合同高级查询数据-4月返'!A:A,1,FALSE)</f>
        <v>#N/A</v>
      </c>
      <c r="J6969" s="47" t="s">
        <v>33</v>
      </c>
      <c r="K6969" s="24" t="s">
        <v>7918</v>
      </c>
      <c r="L6969" s="109" t="s">
        <v>9144</v>
      </c>
      <c r="M6969" s="22" t="s">
        <v>9145</v>
      </c>
      <c r="N6969" s="50">
        <v>44835</v>
      </c>
      <c r="O6969" s="22" t="s">
        <v>37</v>
      </c>
      <c r="P6969" s="52">
        <v>0</v>
      </c>
      <c r="Q6969" s="70">
        <v>160</v>
      </c>
      <c r="R6969" s="52">
        <f t="shared" si="199"/>
        <v>0</v>
      </c>
      <c r="S6969" s="47">
        <v>202304</v>
      </c>
      <c r="T6969" s="123" t="s">
        <v>9146</v>
      </c>
      <c r="U6969" s="97"/>
      <c r="V6969" s="516"/>
      <c r="W6969" s="453"/>
      <c r="X6969" s="50">
        <v>44835</v>
      </c>
      <c r="Y6969" s="50">
        <v>45199</v>
      </c>
    </row>
    <row r="6970" s="5" customFormat="1" customHeight="1" spans="1:25">
      <c r="A6970" s="21" t="s">
        <v>109</v>
      </c>
      <c r="B6970" s="22" t="s">
        <v>7422</v>
      </c>
      <c r="C6970" s="22" t="s">
        <v>238</v>
      </c>
      <c r="D6970" s="22" t="s">
        <v>7585</v>
      </c>
      <c r="E6970" s="23" t="s">
        <v>9134</v>
      </c>
      <c r="F6970" s="24" t="s">
        <v>9135</v>
      </c>
      <c r="G6970" s="24" t="s">
        <v>31</v>
      </c>
      <c r="H6970" s="25" t="s">
        <v>9143</v>
      </c>
      <c r="I6970" s="46" t="e">
        <f>VLOOKUP(H6970,'合同高级查询数据-4月返'!A:A,1,FALSE)</f>
        <v>#N/A</v>
      </c>
      <c r="J6970" s="47" t="s">
        <v>33</v>
      </c>
      <c r="K6970" s="24" t="s">
        <v>7918</v>
      </c>
      <c r="L6970" s="109" t="s">
        <v>9144</v>
      </c>
      <c r="M6970" s="22" t="s">
        <v>9145</v>
      </c>
      <c r="N6970" s="50">
        <v>44835</v>
      </c>
      <c r="O6970" s="22" t="s">
        <v>179</v>
      </c>
      <c r="P6970" s="486">
        <v>0</v>
      </c>
      <c r="Q6970" s="486">
        <v>0</v>
      </c>
      <c r="R6970" s="52"/>
      <c r="S6970" s="47">
        <v>202304</v>
      </c>
      <c r="T6970" s="123" t="s">
        <v>9147</v>
      </c>
      <c r="U6970" s="97"/>
      <c r="V6970" s="516"/>
      <c r="W6970" s="453"/>
      <c r="X6970" s="50">
        <v>44835</v>
      </c>
      <c r="Y6970" s="50">
        <v>45199</v>
      </c>
    </row>
    <row r="6971" s="5" customFormat="1" customHeight="1" spans="1:25">
      <c r="A6971" s="21" t="s">
        <v>109</v>
      </c>
      <c r="B6971" s="22" t="s">
        <v>7422</v>
      </c>
      <c r="C6971" s="22" t="s">
        <v>238</v>
      </c>
      <c r="D6971" s="22" t="s">
        <v>7585</v>
      </c>
      <c r="E6971" s="23" t="s">
        <v>9134</v>
      </c>
      <c r="F6971" s="24" t="s">
        <v>9135</v>
      </c>
      <c r="G6971" s="24" t="s">
        <v>88</v>
      </c>
      <c r="H6971" s="25" t="s">
        <v>9143</v>
      </c>
      <c r="I6971" s="46" t="e">
        <f>VLOOKUP(H6971,'合同高级查询数据-4月返'!A:A,1,FALSE)</f>
        <v>#N/A</v>
      </c>
      <c r="J6971" s="47" t="s">
        <v>162</v>
      </c>
      <c r="K6971" s="24" t="s">
        <v>7918</v>
      </c>
      <c r="L6971" s="109" t="s">
        <v>9144</v>
      </c>
      <c r="M6971" s="22" t="s">
        <v>9145</v>
      </c>
      <c r="N6971" s="50">
        <v>44835</v>
      </c>
      <c r="O6971" s="22" t="s">
        <v>92</v>
      </c>
      <c r="P6971" s="52">
        <v>4000</v>
      </c>
      <c r="Q6971" s="70">
        <v>1</v>
      </c>
      <c r="R6971" s="52">
        <f>ROUND(P6971*Q6971,2)</f>
        <v>4000</v>
      </c>
      <c r="S6971" s="47">
        <v>202304</v>
      </c>
      <c r="T6971" s="123" t="s">
        <v>9148</v>
      </c>
      <c r="U6971" s="97"/>
      <c r="V6971" s="516"/>
      <c r="W6971" s="453"/>
      <c r="X6971" s="50">
        <v>44835</v>
      </c>
      <c r="Y6971" s="50">
        <v>45199</v>
      </c>
    </row>
    <row r="6972" s="5" customFormat="1" customHeight="1" spans="1:25">
      <c r="A6972" s="21" t="s">
        <v>152</v>
      </c>
      <c r="B6972" s="22" t="s">
        <v>7422</v>
      </c>
      <c r="C6972" s="22" t="s">
        <v>238</v>
      </c>
      <c r="D6972" s="22" t="s">
        <v>7585</v>
      </c>
      <c r="E6972" s="23" t="s">
        <v>9134</v>
      </c>
      <c r="F6972" s="24" t="s">
        <v>9135</v>
      </c>
      <c r="G6972" s="24" t="s">
        <v>31</v>
      </c>
      <c r="H6972" s="25" t="s">
        <v>9149</v>
      </c>
      <c r="I6972" s="46" t="e">
        <f>VLOOKUP(H6972,'合同高级查询数据-4月返'!A:A,1,FALSE)</f>
        <v>#N/A</v>
      </c>
      <c r="J6972" s="47" t="s">
        <v>33</v>
      </c>
      <c r="K6972" s="24" t="s">
        <v>7918</v>
      </c>
      <c r="L6972" s="109" t="s">
        <v>1898</v>
      </c>
      <c r="M6972" s="22" t="s">
        <v>9150</v>
      </c>
      <c r="N6972" s="50">
        <v>44835</v>
      </c>
      <c r="O6972" s="22" t="s">
        <v>37</v>
      </c>
      <c r="P6972" s="52">
        <v>0</v>
      </c>
      <c r="Q6972" s="70">
        <v>64</v>
      </c>
      <c r="R6972" s="52">
        <f>ROUND(P6972*Q6972,2)</f>
        <v>0</v>
      </c>
      <c r="S6972" s="47">
        <v>202304</v>
      </c>
      <c r="T6972" s="123" t="s">
        <v>9151</v>
      </c>
      <c r="U6972" s="97"/>
      <c r="V6972" s="516"/>
      <c r="W6972" s="453"/>
      <c r="X6972" s="50">
        <v>44835</v>
      </c>
      <c r="Y6972" s="50">
        <v>45199</v>
      </c>
    </row>
    <row r="6973" s="5" customFormat="1" customHeight="1" spans="1:25">
      <c r="A6973" s="21" t="s">
        <v>152</v>
      </c>
      <c r="B6973" s="22" t="s">
        <v>7422</v>
      </c>
      <c r="C6973" s="22" t="s">
        <v>238</v>
      </c>
      <c r="D6973" s="22" t="s">
        <v>7585</v>
      </c>
      <c r="E6973" s="23" t="s">
        <v>9134</v>
      </c>
      <c r="F6973" s="24" t="s">
        <v>9135</v>
      </c>
      <c r="G6973" s="24" t="s">
        <v>31</v>
      </c>
      <c r="H6973" s="25" t="s">
        <v>9149</v>
      </c>
      <c r="I6973" s="46" t="e">
        <f>VLOOKUP(H6973,'合同高级查询数据-4月返'!A:A,1,FALSE)</f>
        <v>#N/A</v>
      </c>
      <c r="J6973" s="47" t="s">
        <v>33</v>
      </c>
      <c r="K6973" s="24" t="s">
        <v>7918</v>
      </c>
      <c r="L6973" s="109" t="s">
        <v>1898</v>
      </c>
      <c r="M6973" s="22" t="s">
        <v>9150</v>
      </c>
      <c r="N6973" s="50">
        <v>44835</v>
      </c>
      <c r="O6973" s="22" t="s">
        <v>179</v>
      </c>
      <c r="P6973" s="486">
        <v>0</v>
      </c>
      <c r="Q6973" s="486">
        <v>0</v>
      </c>
      <c r="R6973" s="52"/>
      <c r="S6973" s="47">
        <v>202304</v>
      </c>
      <c r="T6973" s="123" t="s">
        <v>9152</v>
      </c>
      <c r="U6973" s="97"/>
      <c r="V6973" s="516"/>
      <c r="W6973" s="453"/>
      <c r="X6973" s="50">
        <v>44835</v>
      </c>
      <c r="Y6973" s="50">
        <v>45199</v>
      </c>
    </row>
    <row r="6974" s="5" customFormat="1" customHeight="1" spans="1:25">
      <c r="A6974" s="21" t="s">
        <v>152</v>
      </c>
      <c r="B6974" s="22" t="s">
        <v>7422</v>
      </c>
      <c r="C6974" s="22" t="s">
        <v>238</v>
      </c>
      <c r="D6974" s="22" t="s">
        <v>7585</v>
      </c>
      <c r="E6974" s="23" t="s">
        <v>9134</v>
      </c>
      <c r="F6974" s="24" t="s">
        <v>9135</v>
      </c>
      <c r="G6974" s="24" t="s">
        <v>88</v>
      </c>
      <c r="H6974" s="25" t="s">
        <v>9149</v>
      </c>
      <c r="I6974" s="46" t="e">
        <f>VLOOKUP(H6974,'合同高级查询数据-4月返'!A:A,1,FALSE)</f>
        <v>#N/A</v>
      </c>
      <c r="J6974" s="47" t="s">
        <v>162</v>
      </c>
      <c r="K6974" s="24" t="s">
        <v>7918</v>
      </c>
      <c r="L6974" s="109" t="s">
        <v>1898</v>
      </c>
      <c r="M6974" s="22" t="s">
        <v>9150</v>
      </c>
      <c r="N6974" s="50">
        <v>44835</v>
      </c>
      <c r="O6974" s="22" t="s">
        <v>92</v>
      </c>
      <c r="P6974" s="52">
        <v>4000</v>
      </c>
      <c r="Q6974" s="70">
        <v>1</v>
      </c>
      <c r="R6974" s="52">
        <f t="shared" ref="R6974:R6990" si="200">ROUND(P6974*Q6974,2)</f>
        <v>4000</v>
      </c>
      <c r="S6974" s="47">
        <v>202304</v>
      </c>
      <c r="T6974" s="123" t="s">
        <v>9153</v>
      </c>
      <c r="U6974" s="97"/>
      <c r="V6974" s="516"/>
      <c r="W6974" s="453"/>
      <c r="X6974" s="50">
        <v>44835</v>
      </c>
      <c r="Y6974" s="50">
        <v>45199</v>
      </c>
    </row>
    <row r="6975" s="3" customFormat="1" customHeight="1" spans="1:25">
      <c r="A6975" s="11" t="s">
        <v>109</v>
      </c>
      <c r="B6975" s="35" t="s">
        <v>7422</v>
      </c>
      <c r="C6975" s="35" t="s">
        <v>238</v>
      </c>
      <c r="D6975" s="35" t="s">
        <v>7585</v>
      </c>
      <c r="E6975" s="13" t="s">
        <v>9154</v>
      </c>
      <c r="F6975" s="11" t="s">
        <v>9155</v>
      </c>
      <c r="G6975" s="11" t="s">
        <v>31</v>
      </c>
      <c r="H6975" s="110" t="s">
        <v>9156</v>
      </c>
      <c r="I6975" s="30" t="e">
        <f>VLOOKUP(H6975,'合同高级查询数据-4月返'!A:A,1,FALSE)</f>
        <v>#N/A</v>
      </c>
      <c r="J6975" s="31" t="s">
        <v>33</v>
      </c>
      <c r="K6975" s="11" t="s">
        <v>9157</v>
      </c>
      <c r="L6975" s="411" t="s">
        <v>9158</v>
      </c>
      <c r="M6975" s="113" t="s">
        <v>2360</v>
      </c>
      <c r="N6975" s="34">
        <v>44835</v>
      </c>
      <c r="O6975" s="35" t="s">
        <v>37</v>
      </c>
      <c r="P6975" s="465">
        <v>0</v>
      </c>
      <c r="Q6975" s="459">
        <v>288</v>
      </c>
      <c r="R6975" s="465">
        <f t="shared" si="200"/>
        <v>0</v>
      </c>
      <c r="S6975" s="31">
        <v>202304</v>
      </c>
      <c r="T6975" s="60" t="s">
        <v>9159</v>
      </c>
      <c r="U6975" s="104"/>
      <c r="V6975" s="517"/>
      <c r="W6975" s="438"/>
      <c r="X6975" s="34"/>
      <c r="Y6975" s="34"/>
    </row>
    <row r="6976" s="3" customFormat="1" customHeight="1" spans="1:25">
      <c r="A6976" s="11" t="s">
        <v>109</v>
      </c>
      <c r="B6976" s="35" t="s">
        <v>7422</v>
      </c>
      <c r="C6976" s="35" t="s">
        <v>238</v>
      </c>
      <c r="D6976" s="35" t="s">
        <v>7585</v>
      </c>
      <c r="E6976" s="13" t="s">
        <v>9154</v>
      </c>
      <c r="F6976" s="11" t="s">
        <v>9155</v>
      </c>
      <c r="G6976" s="11" t="s">
        <v>31</v>
      </c>
      <c r="H6976" s="110" t="s">
        <v>9156</v>
      </c>
      <c r="I6976" s="30" t="e">
        <f>VLOOKUP(H6976,'合同高级查询数据-4月返'!A:A,1,FALSE)</f>
        <v>#N/A</v>
      </c>
      <c r="J6976" s="31" t="s">
        <v>33</v>
      </c>
      <c r="K6976" s="11" t="s">
        <v>9157</v>
      </c>
      <c r="L6976" s="411" t="s">
        <v>9158</v>
      </c>
      <c r="M6976" s="113" t="s">
        <v>2360</v>
      </c>
      <c r="N6976" s="34">
        <v>45007</v>
      </c>
      <c r="O6976" s="35" t="s">
        <v>37</v>
      </c>
      <c r="P6976" s="465">
        <v>0</v>
      </c>
      <c r="Q6976" s="459">
        <v>-128</v>
      </c>
      <c r="R6976" s="465">
        <f t="shared" si="200"/>
        <v>0</v>
      </c>
      <c r="S6976" s="31">
        <v>202304</v>
      </c>
      <c r="T6976" s="60" t="s">
        <v>9160</v>
      </c>
      <c r="U6976" s="104"/>
      <c r="V6976" s="517"/>
      <c r="W6976" s="438"/>
      <c r="X6976" s="34"/>
      <c r="Y6976" s="34"/>
    </row>
    <row r="6977" s="3" customFormat="1" customHeight="1" spans="1:25">
      <c r="A6977" s="11" t="s">
        <v>109</v>
      </c>
      <c r="B6977" s="35" t="s">
        <v>7422</v>
      </c>
      <c r="C6977" s="35" t="s">
        <v>238</v>
      </c>
      <c r="D6977" s="35" t="s">
        <v>7585</v>
      </c>
      <c r="E6977" s="13" t="s">
        <v>9154</v>
      </c>
      <c r="F6977" s="11" t="s">
        <v>9155</v>
      </c>
      <c r="G6977" s="11" t="s">
        <v>31</v>
      </c>
      <c r="H6977" s="110" t="s">
        <v>9156</v>
      </c>
      <c r="I6977" s="30" t="e">
        <f>VLOOKUP(H6977,'合同高级查询数据-4月返'!A:A,1,FALSE)</f>
        <v>#N/A</v>
      </c>
      <c r="J6977" s="31" t="s">
        <v>33</v>
      </c>
      <c r="K6977" s="11" t="s">
        <v>9157</v>
      </c>
      <c r="L6977" s="411" t="s">
        <v>9158</v>
      </c>
      <c r="M6977" s="113" t="s">
        <v>2360</v>
      </c>
      <c r="N6977" s="34">
        <v>45008</v>
      </c>
      <c r="O6977" s="35" t="s">
        <v>37</v>
      </c>
      <c r="P6977" s="465">
        <v>0</v>
      </c>
      <c r="Q6977" s="459">
        <v>128</v>
      </c>
      <c r="R6977" s="465">
        <f t="shared" si="200"/>
        <v>0</v>
      </c>
      <c r="S6977" s="31">
        <v>202304</v>
      </c>
      <c r="T6977" s="60" t="s">
        <v>9161</v>
      </c>
      <c r="U6977" s="104"/>
      <c r="V6977" s="517"/>
      <c r="W6977" s="438"/>
      <c r="X6977" s="34"/>
      <c r="Y6977" s="34"/>
    </row>
    <row r="6978" s="3" customFormat="1" customHeight="1" spans="1:25">
      <c r="A6978" s="11" t="s">
        <v>109</v>
      </c>
      <c r="B6978" s="35" t="s">
        <v>7422</v>
      </c>
      <c r="C6978" s="35" t="s">
        <v>238</v>
      </c>
      <c r="D6978" s="35" t="s">
        <v>7585</v>
      </c>
      <c r="E6978" s="13" t="s">
        <v>9154</v>
      </c>
      <c r="F6978" s="11" t="s">
        <v>9155</v>
      </c>
      <c r="G6978" s="11" t="s">
        <v>31</v>
      </c>
      <c r="H6978" s="110" t="s">
        <v>9156</v>
      </c>
      <c r="I6978" s="30" t="e">
        <f>VLOOKUP(H6978,'合同高级查询数据-4月返'!A:A,1,FALSE)</f>
        <v>#N/A</v>
      </c>
      <c r="J6978" s="31" t="s">
        <v>33</v>
      </c>
      <c r="K6978" s="11" t="s">
        <v>9157</v>
      </c>
      <c r="L6978" s="411" t="s">
        <v>9158</v>
      </c>
      <c r="M6978" s="113" t="s">
        <v>2360</v>
      </c>
      <c r="N6978" s="34"/>
      <c r="O6978" s="35" t="s">
        <v>179</v>
      </c>
      <c r="P6978" s="465">
        <v>0</v>
      </c>
      <c r="Q6978" s="459">
        <v>0</v>
      </c>
      <c r="R6978" s="465">
        <f t="shared" si="200"/>
        <v>0</v>
      </c>
      <c r="S6978" s="31">
        <v>202304</v>
      </c>
      <c r="T6978" s="60" t="s">
        <v>9162</v>
      </c>
      <c r="U6978" s="104"/>
      <c r="V6978" s="517"/>
      <c r="W6978" s="438"/>
      <c r="X6978" s="34"/>
      <c r="Y6978" s="34"/>
    </row>
    <row r="6979" s="3" customFormat="1" customHeight="1" spans="1:25">
      <c r="A6979" s="11" t="s">
        <v>109</v>
      </c>
      <c r="B6979" s="35" t="s">
        <v>7422</v>
      </c>
      <c r="C6979" s="35" t="s">
        <v>238</v>
      </c>
      <c r="D6979" s="35" t="s">
        <v>7585</v>
      </c>
      <c r="E6979" s="13" t="s">
        <v>9154</v>
      </c>
      <c r="F6979" s="11" t="s">
        <v>9155</v>
      </c>
      <c r="G6979" s="11" t="s">
        <v>88</v>
      </c>
      <c r="H6979" s="110" t="s">
        <v>9156</v>
      </c>
      <c r="I6979" s="30" t="e">
        <f>VLOOKUP(H6979,'合同高级查询数据-4月返'!A:A,1,FALSE)</f>
        <v>#N/A</v>
      </c>
      <c r="J6979" s="31" t="s">
        <v>162</v>
      </c>
      <c r="K6979" s="11" t="s">
        <v>9157</v>
      </c>
      <c r="L6979" s="411" t="s">
        <v>9158</v>
      </c>
      <c r="M6979" s="113" t="s">
        <v>2360</v>
      </c>
      <c r="N6979" s="34">
        <v>44835</v>
      </c>
      <c r="O6979" s="35" t="s">
        <v>92</v>
      </c>
      <c r="P6979" s="465">
        <v>4500</v>
      </c>
      <c r="Q6979" s="459">
        <v>2</v>
      </c>
      <c r="R6979" s="465">
        <f t="shared" si="200"/>
        <v>9000</v>
      </c>
      <c r="S6979" s="31">
        <v>202304</v>
      </c>
      <c r="T6979" s="60" t="s">
        <v>9163</v>
      </c>
      <c r="U6979" s="104"/>
      <c r="V6979" s="517"/>
      <c r="W6979" s="438"/>
      <c r="X6979" s="34"/>
      <c r="Y6979" s="34"/>
    </row>
    <row r="6980" s="3" customFormat="1" customHeight="1" spans="1:25">
      <c r="A6980" s="101" t="s">
        <v>109</v>
      </c>
      <c r="B6980" s="35" t="s">
        <v>7422</v>
      </c>
      <c r="C6980" s="35" t="s">
        <v>153</v>
      </c>
      <c r="D6980" s="35" t="s">
        <v>7585</v>
      </c>
      <c r="E6980" s="13" t="s">
        <v>9164</v>
      </c>
      <c r="F6980" s="11" t="s">
        <v>9165</v>
      </c>
      <c r="G6980" s="11" t="s">
        <v>31</v>
      </c>
      <c r="H6980" s="110" t="s">
        <v>9166</v>
      </c>
      <c r="I6980" s="30" t="e">
        <f>VLOOKUP(H6980,'合同高级查询数据-4月返'!A:A,1,FALSE)</f>
        <v>#N/A</v>
      </c>
      <c r="J6980" s="31" t="s">
        <v>33</v>
      </c>
      <c r="K6980" s="11" t="s">
        <v>157</v>
      </c>
      <c r="L6980" s="411" t="s">
        <v>9167</v>
      </c>
      <c r="M6980" s="113" t="s">
        <v>9168</v>
      </c>
      <c r="N6980" s="34">
        <v>44927</v>
      </c>
      <c r="O6980" s="35" t="s">
        <v>37</v>
      </c>
      <c r="P6980" s="465">
        <v>50</v>
      </c>
      <c r="Q6980" s="459">
        <v>512</v>
      </c>
      <c r="R6980" s="465">
        <f t="shared" si="200"/>
        <v>25600</v>
      </c>
      <c r="S6980" s="31">
        <v>202304</v>
      </c>
      <c r="T6980" s="60" t="s">
        <v>9169</v>
      </c>
      <c r="U6980" s="104"/>
      <c r="V6980" s="517"/>
      <c r="W6980" s="438"/>
      <c r="X6980" s="34"/>
      <c r="Y6980" s="34"/>
    </row>
    <row r="6981" s="3" customFormat="1" customHeight="1" spans="1:25">
      <c r="A6981" s="101" t="s">
        <v>109</v>
      </c>
      <c r="B6981" s="35" t="s">
        <v>7422</v>
      </c>
      <c r="C6981" s="35" t="s">
        <v>153</v>
      </c>
      <c r="D6981" s="35" t="s">
        <v>7585</v>
      </c>
      <c r="E6981" s="13" t="s">
        <v>9164</v>
      </c>
      <c r="F6981" s="11" t="s">
        <v>9165</v>
      </c>
      <c r="G6981" s="11" t="s">
        <v>88</v>
      </c>
      <c r="H6981" s="110" t="s">
        <v>9166</v>
      </c>
      <c r="I6981" s="30" t="e">
        <f>VLOOKUP(H6981,'合同高级查询数据-4月返'!A:A,1,FALSE)</f>
        <v>#N/A</v>
      </c>
      <c r="J6981" s="31" t="s">
        <v>162</v>
      </c>
      <c r="K6981" s="11" t="s">
        <v>157</v>
      </c>
      <c r="L6981" s="411" t="s">
        <v>9167</v>
      </c>
      <c r="M6981" s="113" t="s">
        <v>9168</v>
      </c>
      <c r="N6981" s="34">
        <v>44927</v>
      </c>
      <c r="O6981" s="35" t="s">
        <v>561</v>
      </c>
      <c r="P6981" s="465">
        <v>0</v>
      </c>
      <c r="Q6981" s="459">
        <v>19</v>
      </c>
      <c r="R6981" s="465">
        <f t="shared" si="200"/>
        <v>0</v>
      </c>
      <c r="S6981" s="31">
        <v>202304</v>
      </c>
      <c r="T6981" s="60" t="s">
        <v>9170</v>
      </c>
      <c r="U6981" s="104"/>
      <c r="V6981" s="517"/>
      <c r="W6981" s="438"/>
      <c r="X6981" s="34"/>
      <c r="Y6981" s="34"/>
    </row>
    <row r="6982" s="3" customFormat="1" customHeight="1" spans="1:25">
      <c r="A6982" s="101" t="s">
        <v>25</v>
      </c>
      <c r="B6982" s="35" t="s">
        <v>7422</v>
      </c>
      <c r="C6982" s="35" t="s">
        <v>44</v>
      </c>
      <c r="D6982" s="35" t="s">
        <v>7585</v>
      </c>
      <c r="E6982" s="13" t="s">
        <v>9171</v>
      </c>
      <c r="F6982" s="11" t="s">
        <v>9172</v>
      </c>
      <c r="G6982" s="11" t="s">
        <v>31</v>
      </c>
      <c r="H6982" s="110" t="s">
        <v>9173</v>
      </c>
      <c r="I6982" s="30" t="e">
        <f>VLOOKUP(H6982,'合同高级查询数据-4月返'!A:A,1,FALSE)</f>
        <v>#N/A</v>
      </c>
      <c r="J6982" s="31" t="s">
        <v>33</v>
      </c>
      <c r="K6982" s="11" t="s">
        <v>203</v>
      </c>
      <c r="L6982" s="32" t="s">
        <v>9174</v>
      </c>
      <c r="M6982" s="113" t="s">
        <v>9175</v>
      </c>
      <c r="N6982" s="34">
        <v>44623</v>
      </c>
      <c r="O6982" s="35" t="s">
        <v>37</v>
      </c>
      <c r="P6982" s="518">
        <v>0</v>
      </c>
      <c r="Q6982" s="523">
        <v>128</v>
      </c>
      <c r="R6982" s="518">
        <f t="shared" si="200"/>
        <v>0</v>
      </c>
      <c r="S6982" s="31">
        <v>202304</v>
      </c>
      <c r="T6982" s="60" t="s">
        <v>9176</v>
      </c>
      <c r="U6982" s="104"/>
      <c r="V6982" s="104"/>
      <c r="W6982" s="438"/>
      <c r="X6982" s="131"/>
      <c r="Y6982" s="131"/>
    </row>
    <row r="6983" s="3" customFormat="1" customHeight="1" spans="1:25">
      <c r="A6983" s="101" t="s">
        <v>25</v>
      </c>
      <c r="B6983" s="35" t="s">
        <v>7422</v>
      </c>
      <c r="C6983" s="35" t="s">
        <v>44</v>
      </c>
      <c r="D6983" s="35" t="s">
        <v>7585</v>
      </c>
      <c r="E6983" s="13" t="s">
        <v>9171</v>
      </c>
      <c r="F6983" s="11" t="s">
        <v>9172</v>
      </c>
      <c r="G6983" s="11" t="s">
        <v>88</v>
      </c>
      <c r="H6983" s="110" t="s">
        <v>9173</v>
      </c>
      <c r="I6983" s="30" t="e">
        <f>VLOOKUP(H6983,'合同高级查询数据-4月返'!A:A,1,FALSE)</f>
        <v>#N/A</v>
      </c>
      <c r="J6983" s="31" t="s">
        <v>162</v>
      </c>
      <c r="K6983" s="11" t="s">
        <v>203</v>
      </c>
      <c r="L6983" s="32" t="s">
        <v>9174</v>
      </c>
      <c r="M6983" s="113" t="s">
        <v>9175</v>
      </c>
      <c r="N6983" s="34">
        <v>44623</v>
      </c>
      <c r="O6983" s="35" t="s">
        <v>503</v>
      </c>
      <c r="P6983" s="518">
        <v>0</v>
      </c>
      <c r="Q6983" s="523">
        <v>2</v>
      </c>
      <c r="R6983" s="518">
        <f t="shared" si="200"/>
        <v>0</v>
      </c>
      <c r="S6983" s="31">
        <v>202304</v>
      </c>
      <c r="T6983" s="60" t="s">
        <v>9177</v>
      </c>
      <c r="U6983" s="104"/>
      <c r="V6983" s="104"/>
      <c r="W6983" s="438"/>
      <c r="X6983" s="131"/>
      <c r="Y6983" s="131"/>
    </row>
    <row r="6984" s="5" customFormat="1" customHeight="1" spans="1:25">
      <c r="A6984" s="21" t="s">
        <v>25</v>
      </c>
      <c r="B6984" s="22" t="s">
        <v>7422</v>
      </c>
      <c r="C6984" s="22" t="s">
        <v>44</v>
      </c>
      <c r="D6984" s="22" t="s">
        <v>7585</v>
      </c>
      <c r="E6984" s="23" t="s">
        <v>9171</v>
      </c>
      <c r="F6984" s="24" t="s">
        <v>9172</v>
      </c>
      <c r="G6984" s="24" t="s">
        <v>31</v>
      </c>
      <c r="H6984" s="25" t="s">
        <v>9178</v>
      </c>
      <c r="I6984" s="46" t="e">
        <f>VLOOKUP(H6984,'合同高级查询数据-4月返'!A:A,1,FALSE)</f>
        <v>#N/A</v>
      </c>
      <c r="J6984" s="47" t="s">
        <v>33</v>
      </c>
      <c r="K6984" s="24" t="s">
        <v>203</v>
      </c>
      <c r="L6984" s="109" t="s">
        <v>9179</v>
      </c>
      <c r="M6984" s="49" t="s">
        <v>9180</v>
      </c>
      <c r="N6984" s="50">
        <v>44448</v>
      </c>
      <c r="O6984" s="22" t="s">
        <v>37</v>
      </c>
      <c r="P6984" s="519">
        <v>0</v>
      </c>
      <c r="Q6984" s="524">
        <v>128</v>
      </c>
      <c r="R6984" s="519">
        <f t="shared" si="200"/>
        <v>0</v>
      </c>
      <c r="S6984" s="47">
        <v>202304</v>
      </c>
      <c r="T6984" s="123" t="s">
        <v>9181</v>
      </c>
      <c r="U6984" s="97"/>
      <c r="V6984" s="97"/>
      <c r="W6984" s="453"/>
      <c r="X6984" s="116">
        <v>44805</v>
      </c>
      <c r="Y6984" s="116">
        <v>45169</v>
      </c>
    </row>
    <row r="6985" s="5" customFormat="1" customHeight="1" spans="1:25">
      <c r="A6985" s="21" t="s">
        <v>25</v>
      </c>
      <c r="B6985" s="22" t="s">
        <v>7422</v>
      </c>
      <c r="C6985" s="22" t="s">
        <v>44</v>
      </c>
      <c r="D6985" s="22" t="s">
        <v>7585</v>
      </c>
      <c r="E6985" s="23" t="s">
        <v>9171</v>
      </c>
      <c r="F6985" s="24" t="s">
        <v>9172</v>
      </c>
      <c r="G6985" s="24" t="s">
        <v>31</v>
      </c>
      <c r="H6985" s="25" t="s">
        <v>9178</v>
      </c>
      <c r="I6985" s="46" t="e">
        <f>VLOOKUP(H6985,'合同高级查询数据-4月返'!A:A,1,FALSE)</f>
        <v>#N/A</v>
      </c>
      <c r="J6985" s="47" t="s">
        <v>33</v>
      </c>
      <c r="K6985" s="24" t="s">
        <v>203</v>
      </c>
      <c r="L6985" s="109" t="s">
        <v>9179</v>
      </c>
      <c r="M6985" s="49" t="s">
        <v>9180</v>
      </c>
      <c r="N6985" s="50">
        <v>44448</v>
      </c>
      <c r="O6985" s="22" t="s">
        <v>37</v>
      </c>
      <c r="P6985" s="519">
        <v>100</v>
      </c>
      <c r="Q6985" s="524">
        <v>32</v>
      </c>
      <c r="R6985" s="519">
        <f t="shared" si="200"/>
        <v>3200</v>
      </c>
      <c r="S6985" s="47">
        <v>202304</v>
      </c>
      <c r="T6985" s="123" t="s">
        <v>9181</v>
      </c>
      <c r="U6985" s="97"/>
      <c r="V6985" s="97"/>
      <c r="W6985" s="453"/>
      <c r="X6985" s="116">
        <v>44805</v>
      </c>
      <c r="Y6985" s="116">
        <v>45169</v>
      </c>
    </row>
    <row r="6986" s="5" customFormat="1" customHeight="1" spans="1:25">
      <c r="A6986" s="21" t="s">
        <v>25</v>
      </c>
      <c r="B6986" s="22" t="s">
        <v>7422</v>
      </c>
      <c r="C6986" s="22" t="s">
        <v>44</v>
      </c>
      <c r="D6986" s="22" t="s">
        <v>7585</v>
      </c>
      <c r="E6986" s="23" t="s">
        <v>9171</v>
      </c>
      <c r="F6986" s="24" t="s">
        <v>9172</v>
      </c>
      <c r="G6986" s="24" t="s">
        <v>88</v>
      </c>
      <c r="H6986" s="25" t="s">
        <v>9178</v>
      </c>
      <c r="I6986" s="46" t="e">
        <f>VLOOKUP(H6986,'合同高级查询数据-4月返'!A:A,1,FALSE)</f>
        <v>#N/A</v>
      </c>
      <c r="J6986" s="47" t="s">
        <v>162</v>
      </c>
      <c r="K6986" s="24" t="s">
        <v>203</v>
      </c>
      <c r="L6986" s="109" t="s">
        <v>9179</v>
      </c>
      <c r="M6986" s="49" t="s">
        <v>9180</v>
      </c>
      <c r="N6986" s="50">
        <v>44448</v>
      </c>
      <c r="O6986" s="22" t="s">
        <v>163</v>
      </c>
      <c r="P6986" s="519">
        <v>0</v>
      </c>
      <c r="Q6986" s="524">
        <v>2</v>
      </c>
      <c r="R6986" s="519">
        <f t="shared" si="200"/>
        <v>0</v>
      </c>
      <c r="S6986" s="47">
        <v>202304</v>
      </c>
      <c r="T6986" s="123" t="s">
        <v>9182</v>
      </c>
      <c r="U6986" s="97"/>
      <c r="V6986" s="97"/>
      <c r="W6986" s="453"/>
      <c r="X6986" s="116">
        <v>44805</v>
      </c>
      <c r="Y6986" s="116">
        <v>45169</v>
      </c>
    </row>
    <row r="6987" s="3" customFormat="1" customHeight="1" spans="1:25">
      <c r="A6987" s="101" t="s">
        <v>25</v>
      </c>
      <c r="B6987" s="35" t="s">
        <v>7422</v>
      </c>
      <c r="C6987" s="35" t="s">
        <v>188</v>
      </c>
      <c r="D6987" s="35" t="s">
        <v>28</v>
      </c>
      <c r="E6987" s="13" t="s">
        <v>9183</v>
      </c>
      <c r="F6987" s="11" t="s">
        <v>9184</v>
      </c>
      <c r="G6987" s="11" t="s">
        <v>31</v>
      </c>
      <c r="H6987" s="110" t="s">
        <v>9185</v>
      </c>
      <c r="I6987" s="30" t="e">
        <f>VLOOKUP(H6987,'合同高级查询数据-4月返'!A:A,1,FALSE)</f>
        <v>#N/A</v>
      </c>
      <c r="J6987" s="31" t="s">
        <v>33</v>
      </c>
      <c r="K6987" s="110" t="s">
        <v>9186</v>
      </c>
      <c r="L6987" s="110" t="s">
        <v>9187</v>
      </c>
      <c r="M6987" s="110" t="s">
        <v>9188</v>
      </c>
      <c r="N6987" s="34">
        <v>45017</v>
      </c>
      <c r="O6987" s="35" t="s">
        <v>37</v>
      </c>
      <c r="P6987" s="465">
        <v>0</v>
      </c>
      <c r="Q6987" s="459">
        <v>160</v>
      </c>
      <c r="R6987" s="465">
        <f t="shared" si="200"/>
        <v>0</v>
      </c>
      <c r="S6987" s="31">
        <v>202304</v>
      </c>
      <c r="T6987" s="60" t="s">
        <v>9189</v>
      </c>
      <c r="U6987" s="104"/>
      <c r="V6987" s="517"/>
      <c r="W6987" s="438"/>
      <c r="X6987" s="34"/>
      <c r="Y6987" s="34"/>
    </row>
    <row r="6988" s="3" customFormat="1" customHeight="1" spans="1:25">
      <c r="A6988" s="101" t="s">
        <v>25</v>
      </c>
      <c r="B6988" s="35" t="s">
        <v>7422</v>
      </c>
      <c r="C6988" s="35" t="s">
        <v>188</v>
      </c>
      <c r="D6988" s="35" t="s">
        <v>28</v>
      </c>
      <c r="E6988" s="13" t="s">
        <v>9183</v>
      </c>
      <c r="F6988" s="11" t="s">
        <v>9184</v>
      </c>
      <c r="G6988" s="11" t="s">
        <v>88</v>
      </c>
      <c r="H6988" s="110" t="s">
        <v>9185</v>
      </c>
      <c r="I6988" s="30" t="e">
        <f>VLOOKUP(H6988,'合同高级查询数据-4月返'!A:A,1,FALSE)</f>
        <v>#N/A</v>
      </c>
      <c r="J6988" s="31" t="s">
        <v>162</v>
      </c>
      <c r="K6988" s="110" t="s">
        <v>9186</v>
      </c>
      <c r="L6988" s="110" t="s">
        <v>9187</v>
      </c>
      <c r="M6988" s="110" t="s">
        <v>9188</v>
      </c>
      <c r="N6988" s="34">
        <v>45017</v>
      </c>
      <c r="O6988" s="35" t="s">
        <v>163</v>
      </c>
      <c r="P6988" s="465">
        <v>3500</v>
      </c>
      <c r="Q6988" s="459">
        <v>4</v>
      </c>
      <c r="R6988" s="465">
        <f t="shared" si="200"/>
        <v>14000</v>
      </c>
      <c r="S6988" s="31">
        <v>202304</v>
      </c>
      <c r="T6988" s="472" t="s">
        <v>9190</v>
      </c>
      <c r="U6988" s="104"/>
      <c r="V6988" s="517"/>
      <c r="W6988" s="438"/>
      <c r="X6988" s="34"/>
      <c r="Y6988" s="34"/>
    </row>
    <row r="6989" s="3" customFormat="1" customHeight="1" spans="1:25">
      <c r="A6989" s="101" t="s">
        <v>25</v>
      </c>
      <c r="B6989" s="35" t="s">
        <v>7422</v>
      </c>
      <c r="C6989" s="35" t="s">
        <v>188</v>
      </c>
      <c r="D6989" s="35" t="s">
        <v>28</v>
      </c>
      <c r="E6989" s="13" t="s">
        <v>9183</v>
      </c>
      <c r="F6989" s="11" t="s">
        <v>9184</v>
      </c>
      <c r="G6989" s="11" t="s">
        <v>31</v>
      </c>
      <c r="H6989" s="110" t="s">
        <v>9185</v>
      </c>
      <c r="I6989" s="30" t="e">
        <f>VLOOKUP(H6989,'合同高级查询数据-4月返'!A:A,1,FALSE)</f>
        <v>#N/A</v>
      </c>
      <c r="J6989" s="31" t="s">
        <v>33</v>
      </c>
      <c r="K6989" s="110" t="s">
        <v>9186</v>
      </c>
      <c r="L6989" s="110" t="s">
        <v>9191</v>
      </c>
      <c r="M6989" s="110" t="s">
        <v>9188</v>
      </c>
      <c r="N6989" s="34">
        <v>45017</v>
      </c>
      <c r="O6989" s="35" t="s">
        <v>37</v>
      </c>
      <c r="P6989" s="465">
        <v>0</v>
      </c>
      <c r="Q6989" s="459">
        <v>160</v>
      </c>
      <c r="R6989" s="465">
        <f t="shared" si="200"/>
        <v>0</v>
      </c>
      <c r="S6989" s="31">
        <v>202304</v>
      </c>
      <c r="T6989" s="60" t="s">
        <v>9192</v>
      </c>
      <c r="U6989" s="104"/>
      <c r="V6989" s="517"/>
      <c r="W6989" s="438"/>
      <c r="X6989" s="34"/>
      <c r="Y6989" s="34"/>
    </row>
    <row r="6990" s="3" customFormat="1" customHeight="1" spans="1:25">
      <c r="A6990" s="101" t="s">
        <v>25</v>
      </c>
      <c r="B6990" s="35" t="s">
        <v>7422</v>
      </c>
      <c r="C6990" s="35" t="s">
        <v>188</v>
      </c>
      <c r="D6990" s="35" t="s">
        <v>28</v>
      </c>
      <c r="E6990" s="13" t="s">
        <v>9183</v>
      </c>
      <c r="F6990" s="11" t="s">
        <v>9184</v>
      </c>
      <c r="G6990" s="11" t="s">
        <v>88</v>
      </c>
      <c r="H6990" s="110" t="s">
        <v>9185</v>
      </c>
      <c r="I6990" s="30" t="e">
        <f>VLOOKUP(H6990,'合同高级查询数据-4月返'!A:A,1,FALSE)</f>
        <v>#N/A</v>
      </c>
      <c r="J6990" s="31" t="s">
        <v>162</v>
      </c>
      <c r="K6990" s="110" t="s">
        <v>9186</v>
      </c>
      <c r="L6990" s="110" t="s">
        <v>9191</v>
      </c>
      <c r="M6990" s="110" t="s">
        <v>9188</v>
      </c>
      <c r="N6990" s="34">
        <v>45017</v>
      </c>
      <c r="O6990" s="35" t="s">
        <v>163</v>
      </c>
      <c r="P6990" s="465">
        <v>3500</v>
      </c>
      <c r="Q6990" s="459">
        <v>4</v>
      </c>
      <c r="R6990" s="465">
        <f t="shared" si="200"/>
        <v>14000</v>
      </c>
      <c r="S6990" s="31">
        <v>202304</v>
      </c>
      <c r="T6990" s="472" t="s">
        <v>9193</v>
      </c>
      <c r="U6990" s="104"/>
      <c r="V6990" s="517"/>
      <c r="W6990" s="438"/>
      <c r="X6990" s="34"/>
      <c r="Y6990" s="34"/>
    </row>
    <row r="6991" s="3" customFormat="1" customHeight="1" spans="1:25">
      <c r="A6991" s="101" t="s">
        <v>25</v>
      </c>
      <c r="B6991" s="35" t="s">
        <v>7422</v>
      </c>
      <c r="C6991" s="35" t="s">
        <v>153</v>
      </c>
      <c r="D6991" s="35" t="s">
        <v>7585</v>
      </c>
      <c r="E6991" s="13" t="s">
        <v>9194</v>
      </c>
      <c r="F6991" s="11" t="s">
        <v>9195</v>
      </c>
      <c r="G6991" s="11" t="s">
        <v>31</v>
      </c>
      <c r="H6991" s="110" t="s">
        <v>9196</v>
      </c>
      <c r="I6991" s="30" t="e">
        <f>VLOOKUP(H6991,'合同高级查询数据-4月返'!A:A,1,FALSE)</f>
        <v>#N/A</v>
      </c>
      <c r="J6991" s="31" t="s">
        <v>33</v>
      </c>
      <c r="K6991" s="11" t="s">
        <v>3021</v>
      </c>
      <c r="L6991" s="32" t="s">
        <v>9197</v>
      </c>
      <c r="M6991" s="113" t="s">
        <v>3023</v>
      </c>
      <c r="N6991" s="34">
        <v>45022</v>
      </c>
      <c r="O6991" s="35" t="s">
        <v>37</v>
      </c>
      <c r="P6991" s="518">
        <v>25</v>
      </c>
      <c r="Q6991" s="523">
        <v>256</v>
      </c>
      <c r="R6991" s="518">
        <f>ROUND(P6991*Q6991*25/30,2)</f>
        <v>5333.33</v>
      </c>
      <c r="S6991" s="31">
        <v>202304</v>
      </c>
      <c r="T6991" s="60" t="s">
        <v>9198</v>
      </c>
      <c r="U6991" s="104"/>
      <c r="V6991" s="104"/>
      <c r="W6991" s="438"/>
      <c r="X6991" s="131"/>
      <c r="Y6991" s="131"/>
    </row>
    <row r="6992" s="3" customFormat="1" customHeight="1" spans="1:25">
      <c r="A6992" s="101" t="s">
        <v>152</v>
      </c>
      <c r="B6992" s="35" t="s">
        <v>7422</v>
      </c>
      <c r="C6992" s="35" t="s">
        <v>153</v>
      </c>
      <c r="D6992" s="35" t="s">
        <v>7585</v>
      </c>
      <c r="E6992" s="13" t="s">
        <v>9194</v>
      </c>
      <c r="F6992" s="11" t="s">
        <v>9195</v>
      </c>
      <c r="G6992" s="11" t="s">
        <v>31</v>
      </c>
      <c r="H6992" s="110" t="s">
        <v>9196</v>
      </c>
      <c r="I6992" s="30" t="e">
        <f>VLOOKUP(H6992,'合同高级查询数据-4月返'!A:A,1,FALSE)</f>
        <v>#N/A</v>
      </c>
      <c r="J6992" s="31" t="s">
        <v>33</v>
      </c>
      <c r="K6992" s="11" t="s">
        <v>3021</v>
      </c>
      <c r="L6992" s="32" t="s">
        <v>9199</v>
      </c>
      <c r="M6992" s="113" t="s">
        <v>3023</v>
      </c>
      <c r="N6992" s="34">
        <v>45022</v>
      </c>
      <c r="O6992" s="35" t="s">
        <v>37</v>
      </c>
      <c r="P6992" s="518">
        <v>25</v>
      </c>
      <c r="Q6992" s="523">
        <v>256</v>
      </c>
      <c r="R6992" s="518">
        <f>ROUND(P6992*Q6992*25/30,2)</f>
        <v>5333.33</v>
      </c>
      <c r="S6992" s="31">
        <v>202304</v>
      </c>
      <c r="T6992" s="60" t="s">
        <v>9200</v>
      </c>
      <c r="U6992" s="104"/>
      <c r="V6992" s="104"/>
      <c r="W6992" s="438"/>
      <c r="X6992" s="131"/>
      <c r="Y6992" s="131"/>
    </row>
    <row r="6993" s="3" customFormat="1" customHeight="1" spans="1:25">
      <c r="A6993" s="101" t="s">
        <v>152</v>
      </c>
      <c r="B6993" s="35" t="s">
        <v>7422</v>
      </c>
      <c r="C6993" s="35" t="s">
        <v>153</v>
      </c>
      <c r="D6993" s="35" t="s">
        <v>7585</v>
      </c>
      <c r="E6993" s="13" t="s">
        <v>9194</v>
      </c>
      <c r="F6993" s="11" t="s">
        <v>9195</v>
      </c>
      <c r="G6993" s="11" t="s">
        <v>88</v>
      </c>
      <c r="H6993" s="110" t="s">
        <v>9196</v>
      </c>
      <c r="I6993" s="30" t="e">
        <f>VLOOKUP(H6993,'合同高级查询数据-4月返'!A:A,1,FALSE)</f>
        <v>#N/A</v>
      </c>
      <c r="J6993" s="31" t="s">
        <v>162</v>
      </c>
      <c r="K6993" s="11" t="s">
        <v>3021</v>
      </c>
      <c r="L6993" s="32" t="s">
        <v>9201</v>
      </c>
      <c r="M6993" s="113" t="s">
        <v>3023</v>
      </c>
      <c r="N6993" s="34">
        <v>45022</v>
      </c>
      <c r="O6993" s="35" t="s">
        <v>503</v>
      </c>
      <c r="P6993" s="518">
        <v>5960</v>
      </c>
      <c r="Q6993" s="523">
        <v>18</v>
      </c>
      <c r="R6993" s="518">
        <f>ROUND(P6993*Q6993*25/30,2)</f>
        <v>89400</v>
      </c>
      <c r="S6993" s="31">
        <v>202304</v>
      </c>
      <c r="T6993" s="472" t="s">
        <v>9202</v>
      </c>
      <c r="U6993" s="104"/>
      <c r="V6993" s="104"/>
      <c r="W6993" s="438"/>
      <c r="X6993" s="131"/>
      <c r="Y6993" s="131"/>
    </row>
    <row r="6994" s="3" customFormat="1" customHeight="1" spans="1:25">
      <c r="A6994" s="101" t="s">
        <v>152</v>
      </c>
      <c r="B6994" s="35" t="s">
        <v>7422</v>
      </c>
      <c r="C6994" s="35" t="s">
        <v>153</v>
      </c>
      <c r="D6994" s="35" t="s">
        <v>7585</v>
      </c>
      <c r="E6994" s="13" t="s">
        <v>9203</v>
      </c>
      <c r="F6994" s="11" t="s">
        <v>9204</v>
      </c>
      <c r="G6994" s="11" t="s">
        <v>31</v>
      </c>
      <c r="H6994" s="110" t="s">
        <v>9205</v>
      </c>
      <c r="I6994" s="30" t="e">
        <f>VLOOKUP(H6994,'合同高级查询数据-4月返'!A:A,1,FALSE)</f>
        <v>#N/A</v>
      </c>
      <c r="J6994" s="31" t="s">
        <v>33</v>
      </c>
      <c r="K6994" s="11" t="s">
        <v>157</v>
      </c>
      <c r="L6994" s="411" t="s">
        <v>9206</v>
      </c>
      <c r="M6994" s="113" t="s">
        <v>9207</v>
      </c>
      <c r="N6994" s="34">
        <v>45017</v>
      </c>
      <c r="O6994" s="35" t="s">
        <v>37</v>
      </c>
      <c r="P6994" s="465">
        <v>0</v>
      </c>
      <c r="Q6994" s="459">
        <v>288</v>
      </c>
      <c r="R6994" s="465">
        <f t="shared" ref="R6994:R7057" si="201">ROUND(P6994*Q6994,2)</f>
        <v>0</v>
      </c>
      <c r="S6994" s="31">
        <v>202304</v>
      </c>
      <c r="T6994" s="60" t="s">
        <v>9208</v>
      </c>
      <c r="U6994" s="104"/>
      <c r="V6994" s="517"/>
      <c r="W6994" s="438"/>
      <c r="X6994" s="34"/>
      <c r="Y6994" s="34"/>
    </row>
    <row r="6995" s="3" customFormat="1" customHeight="1" spans="1:25">
      <c r="A6995" s="101" t="s">
        <v>152</v>
      </c>
      <c r="B6995" s="35" t="s">
        <v>7422</v>
      </c>
      <c r="C6995" s="35" t="s">
        <v>153</v>
      </c>
      <c r="D6995" s="35" t="s">
        <v>7585</v>
      </c>
      <c r="E6995" s="13" t="s">
        <v>9203</v>
      </c>
      <c r="F6995" s="11" t="s">
        <v>9204</v>
      </c>
      <c r="G6995" s="11" t="s">
        <v>31</v>
      </c>
      <c r="H6995" s="110" t="s">
        <v>9205</v>
      </c>
      <c r="I6995" s="30" t="e">
        <f>VLOOKUP(H6995,'合同高级查询数据-4月返'!A:A,1,FALSE)</f>
        <v>#N/A</v>
      </c>
      <c r="J6995" s="31" t="s">
        <v>33</v>
      </c>
      <c r="K6995" s="11" t="s">
        <v>157</v>
      </c>
      <c r="L6995" s="411" t="s">
        <v>9206</v>
      </c>
      <c r="M6995" s="113" t="s">
        <v>9207</v>
      </c>
      <c r="N6995" s="34">
        <v>45040</v>
      </c>
      <c r="O6995" s="35" t="s">
        <v>37</v>
      </c>
      <c r="P6995" s="465">
        <v>30</v>
      </c>
      <c r="Q6995" s="459">
        <v>128</v>
      </c>
      <c r="R6995" s="465">
        <f>ROUND(P6995*Q6995*7/30,2)</f>
        <v>896</v>
      </c>
      <c r="S6995" s="31">
        <v>202304</v>
      </c>
      <c r="T6995" s="60" t="s">
        <v>9209</v>
      </c>
      <c r="U6995" s="104"/>
      <c r="V6995" s="517"/>
      <c r="W6995" s="438"/>
      <c r="X6995" s="34"/>
      <c r="Y6995" s="34"/>
    </row>
    <row r="6996" s="3" customFormat="1" customHeight="1" spans="1:25">
      <c r="A6996" s="101" t="s">
        <v>152</v>
      </c>
      <c r="B6996" s="35" t="s">
        <v>7422</v>
      </c>
      <c r="C6996" s="35" t="s">
        <v>153</v>
      </c>
      <c r="D6996" s="35" t="s">
        <v>7585</v>
      </c>
      <c r="E6996" s="13" t="s">
        <v>9203</v>
      </c>
      <c r="F6996" s="11" t="s">
        <v>9204</v>
      </c>
      <c r="G6996" s="11" t="s">
        <v>31</v>
      </c>
      <c r="H6996" s="110" t="s">
        <v>9205</v>
      </c>
      <c r="I6996" s="30" t="e">
        <f>VLOOKUP(H6996,'合同高级查询数据-4月返'!A:A,1,FALSE)</f>
        <v>#N/A</v>
      </c>
      <c r="J6996" s="31" t="s">
        <v>33</v>
      </c>
      <c r="K6996" s="11" t="s">
        <v>157</v>
      </c>
      <c r="L6996" s="411" t="s">
        <v>9206</v>
      </c>
      <c r="M6996" s="113" t="s">
        <v>9207</v>
      </c>
      <c r="N6996" s="34">
        <v>45017</v>
      </c>
      <c r="O6996" s="35" t="s">
        <v>179</v>
      </c>
      <c r="P6996" s="465">
        <v>0</v>
      </c>
      <c r="Q6996" s="459">
        <v>1</v>
      </c>
      <c r="R6996" s="465">
        <f t="shared" si="201"/>
        <v>0</v>
      </c>
      <c r="S6996" s="31">
        <v>202304</v>
      </c>
      <c r="T6996" s="60" t="s">
        <v>9210</v>
      </c>
      <c r="U6996" s="104"/>
      <c r="V6996" s="517"/>
      <c r="W6996" s="438"/>
      <c r="X6996" s="34"/>
      <c r="Y6996" s="34"/>
    </row>
    <row r="6997" s="3" customFormat="1" customHeight="1" spans="1:25">
      <c r="A6997" s="101" t="s">
        <v>152</v>
      </c>
      <c r="B6997" s="35" t="s">
        <v>7422</v>
      </c>
      <c r="C6997" s="35" t="s">
        <v>153</v>
      </c>
      <c r="D6997" s="35" t="s">
        <v>7585</v>
      </c>
      <c r="E6997" s="13" t="s">
        <v>9203</v>
      </c>
      <c r="F6997" s="11" t="s">
        <v>9204</v>
      </c>
      <c r="G6997" s="11" t="s">
        <v>31</v>
      </c>
      <c r="H6997" s="110" t="s">
        <v>9205</v>
      </c>
      <c r="I6997" s="30" t="e">
        <f>VLOOKUP(H6997,'合同高级查询数据-4月返'!A:A,1,FALSE)</f>
        <v>#N/A</v>
      </c>
      <c r="J6997" s="31" t="s">
        <v>33</v>
      </c>
      <c r="K6997" s="11" t="s">
        <v>157</v>
      </c>
      <c r="L6997" s="411" t="s">
        <v>9206</v>
      </c>
      <c r="M6997" s="113" t="s">
        <v>9207</v>
      </c>
      <c r="N6997" s="34">
        <v>45040</v>
      </c>
      <c r="O6997" s="35" t="s">
        <v>179</v>
      </c>
      <c r="P6997" s="465">
        <v>0</v>
      </c>
      <c r="Q6997" s="459">
        <v>1</v>
      </c>
      <c r="R6997" s="465">
        <f t="shared" si="201"/>
        <v>0</v>
      </c>
      <c r="S6997" s="31">
        <v>202304</v>
      </c>
      <c r="T6997" s="60" t="s">
        <v>9211</v>
      </c>
      <c r="U6997" s="104"/>
      <c r="V6997" s="517"/>
      <c r="W6997" s="438"/>
      <c r="X6997" s="34"/>
      <c r="Y6997" s="34"/>
    </row>
    <row r="6998" s="3" customFormat="1" customHeight="1" spans="1:25">
      <c r="A6998" s="101" t="s">
        <v>152</v>
      </c>
      <c r="B6998" s="35" t="s">
        <v>7422</v>
      </c>
      <c r="C6998" s="35" t="s">
        <v>153</v>
      </c>
      <c r="D6998" s="35" t="s">
        <v>7585</v>
      </c>
      <c r="E6998" s="13" t="s">
        <v>9203</v>
      </c>
      <c r="F6998" s="11" t="s">
        <v>9204</v>
      </c>
      <c r="G6998" s="11" t="s">
        <v>88</v>
      </c>
      <c r="H6998" s="110" t="s">
        <v>9205</v>
      </c>
      <c r="I6998" s="30" t="e">
        <f>VLOOKUP(H6998,'合同高级查询数据-4月返'!A:A,1,FALSE)</f>
        <v>#N/A</v>
      </c>
      <c r="J6998" s="31" t="s">
        <v>162</v>
      </c>
      <c r="K6998" s="11" t="s">
        <v>157</v>
      </c>
      <c r="L6998" s="411" t="s">
        <v>9206</v>
      </c>
      <c r="M6998" s="113" t="s">
        <v>9207</v>
      </c>
      <c r="N6998" s="34">
        <v>45017</v>
      </c>
      <c r="O6998" s="35" t="s">
        <v>1306</v>
      </c>
      <c r="P6998" s="465">
        <v>0</v>
      </c>
      <c r="Q6998" s="459">
        <v>1</v>
      </c>
      <c r="R6998" s="465">
        <f t="shared" si="201"/>
        <v>0</v>
      </c>
      <c r="S6998" s="31">
        <v>202304</v>
      </c>
      <c r="T6998" s="472" t="s">
        <v>9212</v>
      </c>
      <c r="U6998" s="104"/>
      <c r="V6998" s="517"/>
      <c r="W6998" s="438"/>
      <c r="X6998" s="34"/>
      <c r="Y6998" s="34"/>
    </row>
    <row r="6999" s="3" customFormat="1" customHeight="1" spans="1:25">
      <c r="A6999" s="101" t="s">
        <v>109</v>
      </c>
      <c r="B6999" s="35" t="s">
        <v>7422</v>
      </c>
      <c r="C6999" s="35" t="s">
        <v>153</v>
      </c>
      <c r="D6999" s="35" t="s">
        <v>7585</v>
      </c>
      <c r="E6999" s="13" t="s">
        <v>9203</v>
      </c>
      <c r="F6999" s="11" t="s">
        <v>9204</v>
      </c>
      <c r="G6999" s="11" t="s">
        <v>31</v>
      </c>
      <c r="H6999" s="110" t="s">
        <v>9205</v>
      </c>
      <c r="I6999" s="30" t="e">
        <f>VLOOKUP(H6999,'合同高级查询数据-4月返'!A:A,1,FALSE)</f>
        <v>#N/A</v>
      </c>
      <c r="J6999" s="31" t="s">
        <v>33</v>
      </c>
      <c r="K6999" s="11" t="s">
        <v>157</v>
      </c>
      <c r="L6999" s="411" t="s">
        <v>9213</v>
      </c>
      <c r="M6999" s="113" t="s">
        <v>9214</v>
      </c>
      <c r="N6999" s="34">
        <v>45017</v>
      </c>
      <c r="O6999" s="35" t="s">
        <v>37</v>
      </c>
      <c r="P6999" s="465">
        <v>0</v>
      </c>
      <c r="Q6999" s="459">
        <v>288</v>
      </c>
      <c r="R6999" s="465">
        <f t="shared" si="201"/>
        <v>0</v>
      </c>
      <c r="S6999" s="31">
        <v>202304</v>
      </c>
      <c r="T6999" s="60" t="s">
        <v>9215</v>
      </c>
      <c r="U6999" s="104"/>
      <c r="V6999" s="517"/>
      <c r="W6999" s="438"/>
      <c r="X6999" s="34"/>
      <c r="Y6999" s="34"/>
    </row>
    <row r="7000" s="3" customFormat="1" customHeight="1" spans="1:25">
      <c r="A7000" s="101" t="s">
        <v>109</v>
      </c>
      <c r="B7000" s="35" t="s">
        <v>7422</v>
      </c>
      <c r="C7000" s="35" t="s">
        <v>153</v>
      </c>
      <c r="D7000" s="35" t="s">
        <v>7585</v>
      </c>
      <c r="E7000" s="13" t="s">
        <v>9203</v>
      </c>
      <c r="F7000" s="11" t="s">
        <v>9204</v>
      </c>
      <c r="G7000" s="11" t="s">
        <v>31</v>
      </c>
      <c r="H7000" s="110" t="s">
        <v>9205</v>
      </c>
      <c r="I7000" s="30" t="e">
        <f>VLOOKUP(H7000,'合同高级查询数据-4月返'!A:A,1,FALSE)</f>
        <v>#N/A</v>
      </c>
      <c r="J7000" s="31" t="s">
        <v>33</v>
      </c>
      <c r="K7000" s="11" t="s">
        <v>157</v>
      </c>
      <c r="L7000" s="411" t="s">
        <v>9213</v>
      </c>
      <c r="M7000" s="113" t="s">
        <v>9214</v>
      </c>
      <c r="N7000" s="34">
        <v>45017</v>
      </c>
      <c r="O7000" s="35" t="s">
        <v>179</v>
      </c>
      <c r="P7000" s="465">
        <v>0</v>
      </c>
      <c r="Q7000" s="459">
        <v>1</v>
      </c>
      <c r="R7000" s="465">
        <f t="shared" si="201"/>
        <v>0</v>
      </c>
      <c r="S7000" s="31">
        <v>202304</v>
      </c>
      <c r="T7000" s="60" t="s">
        <v>9216</v>
      </c>
      <c r="U7000" s="104"/>
      <c r="V7000" s="517"/>
      <c r="W7000" s="438"/>
      <c r="X7000" s="34"/>
      <c r="Y7000" s="34"/>
    </row>
    <row r="7001" s="3" customFormat="1" customHeight="1" spans="1:25">
      <c r="A7001" s="101" t="s">
        <v>109</v>
      </c>
      <c r="B7001" s="35" t="s">
        <v>7422</v>
      </c>
      <c r="C7001" s="35" t="s">
        <v>153</v>
      </c>
      <c r="D7001" s="35" t="s">
        <v>7585</v>
      </c>
      <c r="E7001" s="13" t="s">
        <v>9203</v>
      </c>
      <c r="F7001" s="11" t="s">
        <v>9204</v>
      </c>
      <c r="G7001" s="11" t="s">
        <v>31</v>
      </c>
      <c r="H7001" s="110" t="s">
        <v>9205</v>
      </c>
      <c r="I7001" s="30" t="e">
        <f>VLOOKUP(H7001,'合同高级查询数据-4月返'!A:A,1,FALSE)</f>
        <v>#N/A</v>
      </c>
      <c r="J7001" s="31" t="s">
        <v>33</v>
      </c>
      <c r="K7001" s="11" t="s">
        <v>157</v>
      </c>
      <c r="L7001" s="411" t="s">
        <v>9213</v>
      </c>
      <c r="M7001" s="113" t="s">
        <v>9214</v>
      </c>
      <c r="N7001" s="34">
        <v>45040</v>
      </c>
      <c r="O7001" s="35" t="s">
        <v>179</v>
      </c>
      <c r="P7001" s="465">
        <v>0</v>
      </c>
      <c r="Q7001" s="459">
        <v>1</v>
      </c>
      <c r="R7001" s="465">
        <f t="shared" si="201"/>
        <v>0</v>
      </c>
      <c r="S7001" s="31">
        <v>202304</v>
      </c>
      <c r="T7001" s="60" t="s">
        <v>9217</v>
      </c>
      <c r="U7001" s="104"/>
      <c r="V7001" s="517"/>
      <c r="W7001" s="438"/>
      <c r="X7001" s="34"/>
      <c r="Y7001" s="34"/>
    </row>
    <row r="7002" s="3" customFormat="1" customHeight="1" spans="1:25">
      <c r="A7002" s="101" t="s">
        <v>109</v>
      </c>
      <c r="B7002" s="35" t="s">
        <v>7422</v>
      </c>
      <c r="C7002" s="35" t="s">
        <v>153</v>
      </c>
      <c r="D7002" s="35" t="s">
        <v>7585</v>
      </c>
      <c r="E7002" s="13" t="s">
        <v>9203</v>
      </c>
      <c r="F7002" s="11" t="s">
        <v>9204</v>
      </c>
      <c r="G7002" s="11" t="s">
        <v>88</v>
      </c>
      <c r="H7002" s="110" t="s">
        <v>9205</v>
      </c>
      <c r="I7002" s="30" t="e">
        <f>VLOOKUP(H7002,'合同高级查询数据-4月返'!A:A,1,FALSE)</f>
        <v>#N/A</v>
      </c>
      <c r="J7002" s="31" t="s">
        <v>162</v>
      </c>
      <c r="K7002" s="11" t="s">
        <v>157</v>
      </c>
      <c r="L7002" s="411" t="s">
        <v>9213</v>
      </c>
      <c r="M7002" s="113" t="s">
        <v>9214</v>
      </c>
      <c r="N7002" s="34">
        <v>45017</v>
      </c>
      <c r="O7002" s="35" t="s">
        <v>1306</v>
      </c>
      <c r="P7002" s="465">
        <v>0</v>
      </c>
      <c r="Q7002" s="459">
        <v>1</v>
      </c>
      <c r="R7002" s="465">
        <f t="shared" si="201"/>
        <v>0</v>
      </c>
      <c r="S7002" s="31">
        <v>202304</v>
      </c>
      <c r="T7002" s="472" t="s">
        <v>9218</v>
      </c>
      <c r="U7002" s="104"/>
      <c r="V7002" s="517"/>
      <c r="W7002" s="438"/>
      <c r="X7002" s="34"/>
      <c r="Y7002" s="34"/>
    </row>
    <row r="7003" s="3" customFormat="1" customHeight="1" spans="1:25">
      <c r="A7003" s="11" t="s">
        <v>109</v>
      </c>
      <c r="B7003" s="35" t="s">
        <v>7422</v>
      </c>
      <c r="C7003" s="35" t="s">
        <v>39</v>
      </c>
      <c r="D7003" s="35" t="s">
        <v>7585</v>
      </c>
      <c r="E7003" s="13" t="s">
        <v>9219</v>
      </c>
      <c r="F7003" s="11" t="s">
        <v>9220</v>
      </c>
      <c r="G7003" s="135" t="s">
        <v>31</v>
      </c>
      <c r="H7003" s="110" t="s">
        <v>9221</v>
      </c>
      <c r="I7003" s="30" t="e">
        <f>VLOOKUP(H7003,'合同高级查询数据-4月返'!A:A,1,FALSE)</f>
        <v>#N/A</v>
      </c>
      <c r="J7003" s="31" t="s">
        <v>497</v>
      </c>
      <c r="K7003" s="135" t="s">
        <v>40</v>
      </c>
      <c r="L7003" s="415" t="s">
        <v>9222</v>
      </c>
      <c r="M7003" s="113" t="s">
        <v>9223</v>
      </c>
      <c r="N7003" s="34">
        <v>44673</v>
      </c>
      <c r="O7003" s="134" t="s">
        <v>37</v>
      </c>
      <c r="P7003" s="465">
        <v>50</v>
      </c>
      <c r="Q7003" s="459">
        <v>520</v>
      </c>
      <c r="R7003" s="465">
        <f>ROUND(P7003*Q7003*9/30,2)</f>
        <v>7800</v>
      </c>
      <c r="S7003" s="31">
        <v>202304</v>
      </c>
      <c r="T7003" s="515" t="s">
        <v>9224</v>
      </c>
      <c r="U7003" s="104"/>
      <c r="V7003" s="438"/>
      <c r="W7003" s="438"/>
      <c r="X7003" s="34"/>
      <c r="Y7003" s="34"/>
    </row>
    <row r="7004" s="3" customFormat="1" customHeight="1" spans="1:25">
      <c r="A7004" s="11" t="s">
        <v>109</v>
      </c>
      <c r="B7004" s="35" t="s">
        <v>7422</v>
      </c>
      <c r="C7004" s="35" t="s">
        <v>39</v>
      </c>
      <c r="D7004" s="35" t="s">
        <v>7585</v>
      </c>
      <c r="E7004" s="13" t="s">
        <v>9219</v>
      </c>
      <c r="F7004" s="11" t="s">
        <v>9220</v>
      </c>
      <c r="G7004" s="135" t="s">
        <v>88</v>
      </c>
      <c r="H7004" s="110" t="s">
        <v>9221</v>
      </c>
      <c r="I7004" s="30" t="e">
        <f>VLOOKUP(H7004,'合同高级查询数据-4月返'!A:A,1,FALSE)</f>
        <v>#N/A</v>
      </c>
      <c r="J7004" s="31" t="s">
        <v>90</v>
      </c>
      <c r="K7004" s="135" t="s">
        <v>40</v>
      </c>
      <c r="L7004" s="415" t="s">
        <v>9222</v>
      </c>
      <c r="M7004" s="113" t="s">
        <v>9223</v>
      </c>
      <c r="N7004" s="34">
        <v>45038</v>
      </c>
      <c r="O7004" s="134" t="s">
        <v>1746</v>
      </c>
      <c r="P7004" s="465">
        <v>4800</v>
      </c>
      <c r="Q7004" s="459">
        <v>1</v>
      </c>
      <c r="R7004" s="465">
        <f>ROUND(P7004*Q7004*9/30,2)</f>
        <v>1440</v>
      </c>
      <c r="S7004" s="31">
        <v>202304</v>
      </c>
      <c r="T7004" s="525" t="s">
        <v>9225</v>
      </c>
      <c r="U7004" s="104"/>
      <c r="V7004" s="438"/>
      <c r="W7004" s="438"/>
      <c r="X7004" s="34"/>
      <c r="Y7004" s="34"/>
    </row>
    <row r="7005" s="3" customFormat="1" customHeight="1" spans="1:25">
      <c r="A7005" s="101" t="s">
        <v>109</v>
      </c>
      <c r="B7005" s="35" t="s">
        <v>7422</v>
      </c>
      <c r="C7005" s="35" t="s">
        <v>3237</v>
      </c>
      <c r="D7005" s="35" t="s">
        <v>7585</v>
      </c>
      <c r="E7005" s="13" t="s">
        <v>9226</v>
      </c>
      <c r="F7005" s="11" t="s">
        <v>9227</v>
      </c>
      <c r="G7005" s="11" t="s">
        <v>31</v>
      </c>
      <c r="H7005" s="110" t="s">
        <v>9228</v>
      </c>
      <c r="I7005" s="30" t="e">
        <f>VLOOKUP(H7005,'合同高级查询数据-4月返'!A:A,1,FALSE)</f>
        <v>#N/A</v>
      </c>
      <c r="J7005" s="31" t="s">
        <v>33</v>
      </c>
      <c r="K7005" s="110" t="s">
        <v>7363</v>
      </c>
      <c r="L7005" s="110" t="s">
        <v>9229</v>
      </c>
      <c r="M7005" s="110" t="s">
        <v>9230</v>
      </c>
      <c r="N7005" s="34">
        <v>45017</v>
      </c>
      <c r="O7005" s="35" t="s">
        <v>37</v>
      </c>
      <c r="P7005" s="465">
        <v>0</v>
      </c>
      <c r="Q7005" s="459">
        <v>160</v>
      </c>
      <c r="R7005" s="465">
        <f t="shared" si="201"/>
        <v>0</v>
      </c>
      <c r="S7005" s="31">
        <v>202304</v>
      </c>
      <c r="T7005" s="60" t="s">
        <v>9231</v>
      </c>
      <c r="U7005" s="104"/>
      <c r="V7005" s="517"/>
      <c r="W7005" s="438"/>
      <c r="X7005" s="34"/>
      <c r="Y7005" s="34"/>
    </row>
    <row r="7006" s="3" customFormat="1" customHeight="1" spans="1:25">
      <c r="A7006" s="101" t="s">
        <v>109</v>
      </c>
      <c r="B7006" s="35" t="s">
        <v>7422</v>
      </c>
      <c r="C7006" s="35" t="s">
        <v>3237</v>
      </c>
      <c r="D7006" s="35" t="s">
        <v>7585</v>
      </c>
      <c r="E7006" s="13" t="s">
        <v>9226</v>
      </c>
      <c r="F7006" s="11" t="s">
        <v>9227</v>
      </c>
      <c r="G7006" s="11" t="s">
        <v>88</v>
      </c>
      <c r="H7006" s="110" t="s">
        <v>9228</v>
      </c>
      <c r="I7006" s="30" t="e">
        <f>VLOOKUP(H7006,'合同高级查询数据-4月返'!A:A,1,FALSE)</f>
        <v>#N/A</v>
      </c>
      <c r="J7006" s="31" t="s">
        <v>162</v>
      </c>
      <c r="K7006" s="110" t="s">
        <v>7363</v>
      </c>
      <c r="L7006" s="110" t="s">
        <v>9229</v>
      </c>
      <c r="M7006" s="110" t="s">
        <v>9230</v>
      </c>
      <c r="N7006" s="34">
        <v>45017</v>
      </c>
      <c r="O7006" s="35" t="s">
        <v>92</v>
      </c>
      <c r="P7006" s="465">
        <v>4000</v>
      </c>
      <c r="Q7006" s="459">
        <v>6</v>
      </c>
      <c r="R7006" s="465">
        <f t="shared" si="201"/>
        <v>24000</v>
      </c>
      <c r="S7006" s="31">
        <v>202304</v>
      </c>
      <c r="T7006" s="472" t="s">
        <v>9232</v>
      </c>
      <c r="U7006" s="104"/>
      <c r="V7006" s="517"/>
      <c r="W7006" s="438"/>
      <c r="X7006" s="34"/>
      <c r="Y7006" s="34"/>
    </row>
    <row r="7007" s="3" customFormat="1" customHeight="1" spans="1:25">
      <c r="A7007" s="35" t="s">
        <v>61</v>
      </c>
      <c r="B7007" s="35" t="s">
        <v>9233</v>
      </c>
      <c r="C7007" s="35" t="s">
        <v>84</v>
      </c>
      <c r="D7007" s="35" t="s">
        <v>85</v>
      </c>
      <c r="E7007" s="30" t="s">
        <v>9234</v>
      </c>
      <c r="F7007" s="35" t="s">
        <v>9235</v>
      </c>
      <c r="G7007" s="35" t="s">
        <v>78</v>
      </c>
      <c r="H7007" s="35" t="s">
        <v>9236</v>
      </c>
      <c r="I7007" s="30" t="e">
        <f>VLOOKUP(H7007,'合同高级查询数据-4月返'!A:A,1,FALSE)</f>
        <v>#N/A</v>
      </c>
      <c r="J7007" s="35" t="s">
        <v>9237</v>
      </c>
      <c r="K7007" s="520" t="s">
        <v>9238</v>
      </c>
      <c r="L7007" s="35"/>
      <c r="M7007" s="35"/>
      <c r="N7007" s="34">
        <v>44593</v>
      </c>
      <c r="O7007" s="35"/>
      <c r="P7007" s="125">
        <v>74900</v>
      </c>
      <c r="Q7007" s="526">
        <v>1</v>
      </c>
      <c r="R7007" s="125">
        <f t="shared" si="201"/>
        <v>74900</v>
      </c>
      <c r="S7007" s="31">
        <v>202304</v>
      </c>
      <c r="T7007" s="30" t="s">
        <v>9239</v>
      </c>
      <c r="U7007" s="527"/>
      <c r="V7007" s="104"/>
      <c r="W7007" s="528"/>
      <c r="X7007" s="34"/>
      <c r="Y7007" s="34"/>
    </row>
    <row r="7008" s="3" customFormat="1" customHeight="1" spans="1:25">
      <c r="A7008" s="35" t="s">
        <v>61</v>
      </c>
      <c r="B7008" s="35" t="s">
        <v>9233</v>
      </c>
      <c r="C7008" s="35" t="s">
        <v>84</v>
      </c>
      <c r="D7008" s="35" t="s">
        <v>85</v>
      </c>
      <c r="E7008" s="30" t="s">
        <v>9240</v>
      </c>
      <c r="F7008" s="35" t="s">
        <v>9241</v>
      </c>
      <c r="G7008" s="35" t="s">
        <v>31</v>
      </c>
      <c r="H7008" s="35" t="s">
        <v>9242</v>
      </c>
      <c r="I7008" s="30" t="e">
        <f>VLOOKUP(H7008,'合同高级查询数据-4月返'!A:A,1,FALSE)</f>
        <v>#N/A</v>
      </c>
      <c r="J7008" s="31" t="s">
        <v>33</v>
      </c>
      <c r="K7008" s="35" t="s">
        <v>63</v>
      </c>
      <c r="L7008" s="477" t="s">
        <v>9243</v>
      </c>
      <c r="M7008" s="35" t="s">
        <v>9244</v>
      </c>
      <c r="N7008" s="34" t="s">
        <v>1329</v>
      </c>
      <c r="O7008" s="35" t="s">
        <v>37</v>
      </c>
      <c r="P7008" s="521">
        <v>0</v>
      </c>
      <c r="Q7008" s="459">
        <v>512</v>
      </c>
      <c r="R7008" s="125">
        <f t="shared" si="201"/>
        <v>0</v>
      </c>
      <c r="S7008" s="31">
        <v>202304</v>
      </c>
      <c r="T7008" s="529" t="s">
        <v>9245</v>
      </c>
      <c r="U7008" s="529"/>
      <c r="V7008" s="411"/>
      <c r="W7008" s="494"/>
      <c r="X7008" s="34"/>
      <c r="Y7008" s="34"/>
    </row>
    <row r="7009" s="3" customFormat="1" customHeight="1" spans="1:25">
      <c r="A7009" s="35" t="s">
        <v>61</v>
      </c>
      <c r="B7009" s="35" t="s">
        <v>9233</v>
      </c>
      <c r="C7009" s="35" t="s">
        <v>84</v>
      </c>
      <c r="D7009" s="35" t="s">
        <v>85</v>
      </c>
      <c r="E7009" s="30" t="s">
        <v>9240</v>
      </c>
      <c r="F7009" s="35" t="s">
        <v>9241</v>
      </c>
      <c r="G7009" s="35" t="s">
        <v>31</v>
      </c>
      <c r="H7009" s="35" t="s">
        <v>9242</v>
      </c>
      <c r="I7009" s="30" t="e">
        <f>VLOOKUP(H7009,'合同高级查询数据-4月返'!A:A,1,FALSE)</f>
        <v>#N/A</v>
      </c>
      <c r="J7009" s="31" t="s">
        <v>33</v>
      </c>
      <c r="K7009" s="35" t="s">
        <v>813</v>
      </c>
      <c r="L7009" s="477" t="s">
        <v>815</v>
      </c>
      <c r="M7009" s="35" t="s">
        <v>9246</v>
      </c>
      <c r="N7009" s="34" t="s">
        <v>1329</v>
      </c>
      <c r="O7009" s="35" t="s">
        <v>37</v>
      </c>
      <c r="P7009" s="521">
        <v>0</v>
      </c>
      <c r="Q7009" s="459">
        <v>128</v>
      </c>
      <c r="R7009" s="125">
        <f t="shared" si="201"/>
        <v>0</v>
      </c>
      <c r="S7009" s="31">
        <v>202304</v>
      </c>
      <c r="T7009" s="529" t="s">
        <v>9247</v>
      </c>
      <c r="U7009" s="529"/>
      <c r="V7009" s="411"/>
      <c r="W7009" s="494"/>
      <c r="X7009" s="34"/>
      <c r="Y7009" s="34"/>
    </row>
    <row r="7010" s="3" customFormat="1" customHeight="1" spans="1:25">
      <c r="A7010" s="35" t="s">
        <v>61</v>
      </c>
      <c r="B7010" s="35" t="s">
        <v>9233</v>
      </c>
      <c r="C7010" s="35" t="s">
        <v>84</v>
      </c>
      <c r="D7010" s="35" t="s">
        <v>85</v>
      </c>
      <c r="E7010" s="30" t="s">
        <v>9240</v>
      </c>
      <c r="F7010" s="35" t="s">
        <v>9241</v>
      </c>
      <c r="G7010" s="35" t="s">
        <v>31</v>
      </c>
      <c r="H7010" s="35" t="s">
        <v>9242</v>
      </c>
      <c r="I7010" s="30" t="e">
        <f>VLOOKUP(H7010,'合同高级查询数据-4月返'!A:A,1,FALSE)</f>
        <v>#N/A</v>
      </c>
      <c r="J7010" s="31" t="s">
        <v>33</v>
      </c>
      <c r="K7010" s="35" t="s">
        <v>40</v>
      </c>
      <c r="L7010" s="477" t="s">
        <v>9248</v>
      </c>
      <c r="M7010" s="35" t="s">
        <v>9249</v>
      </c>
      <c r="N7010" s="34" t="s">
        <v>1329</v>
      </c>
      <c r="O7010" s="35" t="s">
        <v>37</v>
      </c>
      <c r="P7010" s="521">
        <v>0</v>
      </c>
      <c r="Q7010" s="459">
        <v>128</v>
      </c>
      <c r="R7010" s="125">
        <f t="shared" si="201"/>
        <v>0</v>
      </c>
      <c r="S7010" s="31">
        <v>202304</v>
      </c>
      <c r="T7010" s="529" t="s">
        <v>9250</v>
      </c>
      <c r="U7010" s="529"/>
      <c r="V7010" s="411"/>
      <c r="W7010" s="494"/>
      <c r="X7010" s="34"/>
      <c r="Y7010" s="34"/>
    </row>
    <row r="7011" s="3" customFormat="1" customHeight="1" spans="1:25">
      <c r="A7011" s="35" t="s">
        <v>61</v>
      </c>
      <c r="B7011" s="35" t="s">
        <v>9233</v>
      </c>
      <c r="C7011" s="35" t="s">
        <v>84</v>
      </c>
      <c r="D7011" s="35" t="s">
        <v>85</v>
      </c>
      <c r="E7011" s="30" t="s">
        <v>9240</v>
      </c>
      <c r="F7011" s="35" t="s">
        <v>9241</v>
      </c>
      <c r="G7011" s="35" t="s">
        <v>31</v>
      </c>
      <c r="H7011" s="35" t="s">
        <v>9242</v>
      </c>
      <c r="I7011" s="30" t="e">
        <f>VLOOKUP(H7011,'合同高级查询数据-4月返'!A:A,1,FALSE)</f>
        <v>#N/A</v>
      </c>
      <c r="J7011" s="31" t="s">
        <v>33</v>
      </c>
      <c r="K7011" s="35" t="s">
        <v>6391</v>
      </c>
      <c r="L7011" s="477" t="s">
        <v>9251</v>
      </c>
      <c r="M7011" s="35" t="s">
        <v>9252</v>
      </c>
      <c r="N7011" s="34" t="s">
        <v>1329</v>
      </c>
      <c r="O7011" s="35" t="s">
        <v>37</v>
      </c>
      <c r="P7011" s="521">
        <v>0</v>
      </c>
      <c r="Q7011" s="459">
        <v>288</v>
      </c>
      <c r="R7011" s="125">
        <f t="shared" si="201"/>
        <v>0</v>
      </c>
      <c r="S7011" s="31">
        <v>202304</v>
      </c>
      <c r="T7011" s="529" t="s">
        <v>9253</v>
      </c>
      <c r="U7011" s="529"/>
      <c r="V7011" s="411"/>
      <c r="W7011" s="494"/>
      <c r="X7011" s="34"/>
      <c r="Y7011" s="34"/>
    </row>
    <row r="7012" s="3" customFormat="1" customHeight="1" spans="1:25">
      <c r="A7012" s="35" t="s">
        <v>61</v>
      </c>
      <c r="B7012" s="35" t="s">
        <v>9233</v>
      </c>
      <c r="C7012" s="35" t="s">
        <v>84</v>
      </c>
      <c r="D7012" s="35" t="s">
        <v>85</v>
      </c>
      <c r="E7012" s="30" t="s">
        <v>9240</v>
      </c>
      <c r="F7012" s="35" t="s">
        <v>9241</v>
      </c>
      <c r="G7012" s="35" t="s">
        <v>31</v>
      </c>
      <c r="H7012" s="35" t="s">
        <v>9242</v>
      </c>
      <c r="I7012" s="30" t="e">
        <f>VLOOKUP(H7012,'合同高级查询数据-4月返'!A:A,1,FALSE)</f>
        <v>#N/A</v>
      </c>
      <c r="J7012" s="31" t="s">
        <v>33</v>
      </c>
      <c r="K7012" s="35" t="s">
        <v>516</v>
      </c>
      <c r="L7012" s="477" t="s">
        <v>9254</v>
      </c>
      <c r="M7012" s="35" t="s">
        <v>9255</v>
      </c>
      <c r="N7012" s="34" t="s">
        <v>1329</v>
      </c>
      <c r="O7012" s="35" t="s">
        <v>37</v>
      </c>
      <c r="P7012" s="521">
        <v>0</v>
      </c>
      <c r="Q7012" s="459">
        <v>256</v>
      </c>
      <c r="R7012" s="125">
        <f t="shared" si="201"/>
        <v>0</v>
      </c>
      <c r="S7012" s="31">
        <v>202304</v>
      </c>
      <c r="T7012" s="529" t="s">
        <v>9256</v>
      </c>
      <c r="U7012" s="529"/>
      <c r="V7012" s="411"/>
      <c r="W7012" s="494"/>
      <c r="X7012" s="34"/>
      <c r="Y7012" s="34"/>
    </row>
    <row r="7013" s="3" customFormat="1" customHeight="1" spans="1:25">
      <c r="A7013" s="35" t="s">
        <v>61</v>
      </c>
      <c r="B7013" s="35" t="s">
        <v>9233</v>
      </c>
      <c r="C7013" s="35" t="s">
        <v>84</v>
      </c>
      <c r="D7013" s="35" t="s">
        <v>85</v>
      </c>
      <c r="E7013" s="30" t="s">
        <v>9240</v>
      </c>
      <c r="F7013" s="35" t="s">
        <v>9241</v>
      </c>
      <c r="G7013" s="35" t="s">
        <v>31</v>
      </c>
      <c r="H7013" s="35" t="s">
        <v>9242</v>
      </c>
      <c r="I7013" s="30" t="e">
        <f>VLOOKUP(H7013,'合同高级查询数据-4月返'!A:A,1,FALSE)</f>
        <v>#N/A</v>
      </c>
      <c r="J7013" s="31" t="s">
        <v>33</v>
      </c>
      <c r="K7013" s="35" t="s">
        <v>136</v>
      </c>
      <c r="L7013" s="477" t="s">
        <v>9257</v>
      </c>
      <c r="M7013" s="35" t="s">
        <v>9258</v>
      </c>
      <c r="N7013" s="34" t="s">
        <v>1329</v>
      </c>
      <c r="O7013" s="35" t="s">
        <v>37</v>
      </c>
      <c r="P7013" s="521">
        <v>0</v>
      </c>
      <c r="Q7013" s="459">
        <v>128</v>
      </c>
      <c r="R7013" s="125">
        <f t="shared" si="201"/>
        <v>0</v>
      </c>
      <c r="S7013" s="31">
        <v>202304</v>
      </c>
      <c r="T7013" s="529" t="s">
        <v>9259</v>
      </c>
      <c r="U7013" s="529"/>
      <c r="V7013" s="411"/>
      <c r="W7013" s="494"/>
      <c r="X7013" s="34"/>
      <c r="Y7013" s="34"/>
    </row>
    <row r="7014" s="3" customFormat="1" customHeight="1" spans="1:25">
      <c r="A7014" s="35" t="s">
        <v>61</v>
      </c>
      <c r="B7014" s="35" t="s">
        <v>9233</v>
      </c>
      <c r="C7014" s="35" t="s">
        <v>84</v>
      </c>
      <c r="D7014" s="35" t="s">
        <v>85</v>
      </c>
      <c r="E7014" s="30" t="s">
        <v>9240</v>
      </c>
      <c r="F7014" s="35" t="s">
        <v>9241</v>
      </c>
      <c r="G7014" s="35" t="s">
        <v>31</v>
      </c>
      <c r="H7014" s="35" t="s">
        <v>9242</v>
      </c>
      <c r="I7014" s="30" t="e">
        <f>VLOOKUP(H7014,'合同高级查询数据-4月返'!A:A,1,FALSE)</f>
        <v>#N/A</v>
      </c>
      <c r="J7014" s="31" t="s">
        <v>33</v>
      </c>
      <c r="K7014" s="35" t="s">
        <v>3929</v>
      </c>
      <c r="L7014" s="477" t="s">
        <v>9260</v>
      </c>
      <c r="M7014" s="35" t="s">
        <v>9261</v>
      </c>
      <c r="N7014" s="34" t="s">
        <v>1329</v>
      </c>
      <c r="O7014" s="35" t="s">
        <v>37</v>
      </c>
      <c r="P7014" s="521">
        <v>0</v>
      </c>
      <c r="Q7014" s="459">
        <v>256</v>
      </c>
      <c r="R7014" s="125">
        <f t="shared" si="201"/>
        <v>0</v>
      </c>
      <c r="S7014" s="31">
        <v>202304</v>
      </c>
      <c r="T7014" s="529" t="s">
        <v>9262</v>
      </c>
      <c r="U7014" s="529"/>
      <c r="V7014" s="411"/>
      <c r="W7014" s="494"/>
      <c r="X7014" s="34"/>
      <c r="Y7014" s="34"/>
    </row>
    <row r="7015" s="3" customFormat="1" customHeight="1" spans="1:25">
      <c r="A7015" s="35" t="s">
        <v>61</v>
      </c>
      <c r="B7015" s="35" t="s">
        <v>9233</v>
      </c>
      <c r="C7015" s="35" t="s">
        <v>84</v>
      </c>
      <c r="D7015" s="35" t="s">
        <v>85</v>
      </c>
      <c r="E7015" s="30" t="s">
        <v>9240</v>
      </c>
      <c r="F7015" s="35" t="s">
        <v>9241</v>
      </c>
      <c r="G7015" s="35" t="s">
        <v>88</v>
      </c>
      <c r="H7015" s="35" t="s">
        <v>9263</v>
      </c>
      <c r="I7015" s="30" t="e">
        <f>VLOOKUP(H7015,'合同高级查询数据-4月返'!A:A,1,FALSE)</f>
        <v>#N/A</v>
      </c>
      <c r="J7015" s="35" t="s">
        <v>162</v>
      </c>
      <c r="K7015" s="520" t="s">
        <v>7363</v>
      </c>
      <c r="L7015" s="477" t="s">
        <v>9264</v>
      </c>
      <c r="M7015" s="35" t="s">
        <v>9265</v>
      </c>
      <c r="N7015" s="34">
        <v>42948</v>
      </c>
      <c r="O7015" s="35" t="s">
        <v>1535</v>
      </c>
      <c r="P7015" s="125">
        <v>4450</v>
      </c>
      <c r="Q7015" s="526">
        <v>8</v>
      </c>
      <c r="R7015" s="125">
        <f t="shared" si="201"/>
        <v>35600</v>
      </c>
      <c r="S7015" s="31">
        <v>202304</v>
      </c>
      <c r="T7015" s="530" t="s">
        <v>9266</v>
      </c>
      <c r="U7015" s="530"/>
      <c r="V7015" s="104"/>
      <c r="W7015" s="104"/>
      <c r="X7015" s="34"/>
      <c r="Y7015" s="34"/>
    </row>
    <row r="7016" s="3" customFormat="1" customHeight="1" spans="1:25">
      <c r="A7016" s="35" t="s">
        <v>61</v>
      </c>
      <c r="B7016" s="35" t="s">
        <v>9233</v>
      </c>
      <c r="C7016" s="35" t="s">
        <v>84</v>
      </c>
      <c r="D7016" s="35" t="s">
        <v>85</v>
      </c>
      <c r="E7016" s="30" t="s">
        <v>9240</v>
      </c>
      <c r="F7016" s="35" t="s">
        <v>9241</v>
      </c>
      <c r="G7016" s="35" t="s">
        <v>88</v>
      </c>
      <c r="H7016" s="35" t="s">
        <v>9263</v>
      </c>
      <c r="I7016" s="30" t="e">
        <f>VLOOKUP(H7016,'合同高级查询数据-4月返'!A:A,1,FALSE)</f>
        <v>#N/A</v>
      </c>
      <c r="J7016" s="35" t="s">
        <v>162</v>
      </c>
      <c r="K7016" s="520" t="s">
        <v>7363</v>
      </c>
      <c r="L7016" s="477" t="s">
        <v>9264</v>
      </c>
      <c r="M7016" s="35" t="s">
        <v>9265</v>
      </c>
      <c r="N7016" s="34">
        <v>44146</v>
      </c>
      <c r="O7016" s="35" t="s">
        <v>1535</v>
      </c>
      <c r="P7016" s="125">
        <v>4450</v>
      </c>
      <c r="Q7016" s="526">
        <v>-4</v>
      </c>
      <c r="R7016" s="125">
        <f t="shared" si="201"/>
        <v>-17800</v>
      </c>
      <c r="S7016" s="31">
        <v>202304</v>
      </c>
      <c r="T7016" s="530" t="s">
        <v>9267</v>
      </c>
      <c r="U7016" s="530"/>
      <c r="V7016" s="104"/>
      <c r="W7016" s="104"/>
      <c r="X7016" s="34"/>
      <c r="Y7016" s="34"/>
    </row>
    <row r="7017" s="3" customFormat="1" customHeight="1" spans="1:25">
      <c r="A7017" s="35" t="s">
        <v>61</v>
      </c>
      <c r="B7017" s="35" t="s">
        <v>9233</v>
      </c>
      <c r="C7017" s="35" t="s">
        <v>84</v>
      </c>
      <c r="D7017" s="35" t="s">
        <v>85</v>
      </c>
      <c r="E7017" s="30" t="s">
        <v>9240</v>
      </c>
      <c r="F7017" s="35" t="s">
        <v>9241</v>
      </c>
      <c r="G7017" s="35" t="s">
        <v>88</v>
      </c>
      <c r="H7017" s="35" t="s">
        <v>9263</v>
      </c>
      <c r="I7017" s="30" t="e">
        <f>VLOOKUP(H7017,'合同高级查询数据-4月返'!A:A,1,FALSE)</f>
        <v>#N/A</v>
      </c>
      <c r="J7017" s="35" t="s">
        <v>162</v>
      </c>
      <c r="K7017" s="520" t="s">
        <v>7363</v>
      </c>
      <c r="L7017" s="477" t="s">
        <v>9264</v>
      </c>
      <c r="M7017" s="35" t="s">
        <v>9265</v>
      </c>
      <c r="N7017" s="34">
        <v>44316</v>
      </c>
      <c r="O7017" s="35" t="s">
        <v>1535</v>
      </c>
      <c r="P7017" s="125">
        <v>4450</v>
      </c>
      <c r="Q7017" s="526">
        <v>-4</v>
      </c>
      <c r="R7017" s="125">
        <f t="shared" si="201"/>
        <v>-17800</v>
      </c>
      <c r="S7017" s="31">
        <v>202304</v>
      </c>
      <c r="T7017" s="530" t="s">
        <v>9268</v>
      </c>
      <c r="U7017" s="530"/>
      <c r="V7017" s="104"/>
      <c r="W7017" s="104"/>
      <c r="X7017" s="34"/>
      <c r="Y7017" s="34"/>
    </row>
    <row r="7018" s="3" customFormat="1" customHeight="1" spans="1:25">
      <c r="A7018" s="35" t="s">
        <v>61</v>
      </c>
      <c r="B7018" s="35" t="s">
        <v>9233</v>
      </c>
      <c r="C7018" s="35" t="s">
        <v>84</v>
      </c>
      <c r="D7018" s="35" t="s">
        <v>85</v>
      </c>
      <c r="E7018" s="30" t="s">
        <v>9240</v>
      </c>
      <c r="F7018" s="35" t="s">
        <v>9241</v>
      </c>
      <c r="G7018" s="35" t="s">
        <v>88</v>
      </c>
      <c r="H7018" s="35" t="s">
        <v>9263</v>
      </c>
      <c r="I7018" s="30" t="e">
        <f>VLOOKUP(H7018,'合同高级查询数据-4月返'!A:A,1,FALSE)</f>
        <v>#N/A</v>
      </c>
      <c r="J7018" s="35" t="s">
        <v>162</v>
      </c>
      <c r="K7018" s="520" t="s">
        <v>813</v>
      </c>
      <c r="L7018" s="477" t="s">
        <v>815</v>
      </c>
      <c r="M7018" s="35" t="s">
        <v>9246</v>
      </c>
      <c r="N7018" s="34">
        <v>43210</v>
      </c>
      <c r="O7018" s="35" t="s">
        <v>1535</v>
      </c>
      <c r="P7018" s="125">
        <v>4450</v>
      </c>
      <c r="Q7018" s="526">
        <v>2</v>
      </c>
      <c r="R7018" s="125">
        <f t="shared" si="201"/>
        <v>8900</v>
      </c>
      <c r="S7018" s="31">
        <v>202304</v>
      </c>
      <c r="T7018" s="530" t="s">
        <v>9269</v>
      </c>
      <c r="U7018" s="530"/>
      <c r="V7018" s="104"/>
      <c r="W7018" s="104"/>
      <c r="X7018" s="34"/>
      <c r="Y7018" s="34"/>
    </row>
    <row r="7019" s="3" customFormat="1" customHeight="1" spans="1:25">
      <c r="A7019" s="35" t="s">
        <v>61</v>
      </c>
      <c r="B7019" s="35" t="s">
        <v>9233</v>
      </c>
      <c r="C7019" s="35" t="s">
        <v>84</v>
      </c>
      <c r="D7019" s="35" t="s">
        <v>85</v>
      </c>
      <c r="E7019" s="30" t="s">
        <v>9240</v>
      </c>
      <c r="F7019" s="35" t="s">
        <v>9241</v>
      </c>
      <c r="G7019" s="35" t="s">
        <v>88</v>
      </c>
      <c r="H7019" s="35" t="s">
        <v>9270</v>
      </c>
      <c r="I7019" s="30" t="e">
        <f>VLOOKUP(H7019,'合同高级查询数据-4月返'!A:A,1,FALSE)</f>
        <v>#N/A</v>
      </c>
      <c r="J7019" s="35" t="s">
        <v>162</v>
      </c>
      <c r="K7019" s="520" t="s">
        <v>813</v>
      </c>
      <c r="L7019" s="477" t="s">
        <v>815</v>
      </c>
      <c r="M7019" s="35" t="s">
        <v>9246</v>
      </c>
      <c r="N7019" s="34">
        <v>44579</v>
      </c>
      <c r="O7019" s="35" t="s">
        <v>1535</v>
      </c>
      <c r="P7019" s="125">
        <v>4450</v>
      </c>
      <c r="Q7019" s="526">
        <v>1</v>
      </c>
      <c r="R7019" s="125">
        <f t="shared" si="201"/>
        <v>4450</v>
      </c>
      <c r="S7019" s="31">
        <v>202304</v>
      </c>
      <c r="T7019" s="530" t="s">
        <v>9271</v>
      </c>
      <c r="U7019" s="530"/>
      <c r="V7019" s="104"/>
      <c r="W7019" s="104"/>
      <c r="X7019" s="34"/>
      <c r="Y7019" s="34"/>
    </row>
    <row r="7020" s="3" customFormat="1" customHeight="1" spans="1:25">
      <c r="A7020" s="35" t="s">
        <v>61</v>
      </c>
      <c r="B7020" s="35" t="s">
        <v>9233</v>
      </c>
      <c r="C7020" s="35" t="s">
        <v>84</v>
      </c>
      <c r="D7020" s="35" t="s">
        <v>85</v>
      </c>
      <c r="E7020" s="30" t="s">
        <v>9240</v>
      </c>
      <c r="F7020" s="35" t="s">
        <v>9241</v>
      </c>
      <c r="G7020" s="35" t="s">
        <v>88</v>
      </c>
      <c r="H7020" s="35" t="s">
        <v>9263</v>
      </c>
      <c r="I7020" s="30" t="e">
        <f>VLOOKUP(H7020,'合同高级查询数据-4月返'!A:A,1,FALSE)</f>
        <v>#N/A</v>
      </c>
      <c r="J7020" s="35" t="s">
        <v>162</v>
      </c>
      <c r="K7020" s="520" t="s">
        <v>40</v>
      </c>
      <c r="L7020" s="477" t="s">
        <v>9248</v>
      </c>
      <c r="M7020" s="35" t="s">
        <v>9249</v>
      </c>
      <c r="N7020" s="34">
        <v>43259</v>
      </c>
      <c r="O7020" s="35" t="s">
        <v>1535</v>
      </c>
      <c r="P7020" s="125">
        <v>4450</v>
      </c>
      <c r="Q7020" s="526">
        <v>2</v>
      </c>
      <c r="R7020" s="125">
        <f t="shared" si="201"/>
        <v>8900</v>
      </c>
      <c r="S7020" s="31">
        <v>202304</v>
      </c>
      <c r="T7020" s="530" t="s">
        <v>9272</v>
      </c>
      <c r="U7020" s="530"/>
      <c r="V7020" s="104"/>
      <c r="W7020" s="104"/>
      <c r="X7020" s="34"/>
      <c r="Y7020" s="34"/>
    </row>
    <row r="7021" s="3" customFormat="1" customHeight="1" spans="1:25">
      <c r="A7021" s="35" t="s">
        <v>61</v>
      </c>
      <c r="B7021" s="35" t="s">
        <v>9233</v>
      </c>
      <c r="C7021" s="35" t="s">
        <v>84</v>
      </c>
      <c r="D7021" s="35" t="s">
        <v>85</v>
      </c>
      <c r="E7021" s="30" t="s">
        <v>9240</v>
      </c>
      <c r="F7021" s="35" t="s">
        <v>9241</v>
      </c>
      <c r="G7021" s="35" t="s">
        <v>88</v>
      </c>
      <c r="H7021" s="35" t="s">
        <v>9263</v>
      </c>
      <c r="I7021" s="30" t="e">
        <f>VLOOKUP(H7021,'合同高级查询数据-4月返'!A:A,1,FALSE)</f>
        <v>#N/A</v>
      </c>
      <c r="J7021" s="35" t="s">
        <v>162</v>
      </c>
      <c r="K7021" s="520" t="s">
        <v>3929</v>
      </c>
      <c r="L7021" s="477" t="s">
        <v>9260</v>
      </c>
      <c r="M7021" s="35" t="s">
        <v>9261</v>
      </c>
      <c r="N7021" s="34">
        <v>43432</v>
      </c>
      <c r="O7021" s="35" t="s">
        <v>1535</v>
      </c>
      <c r="P7021" s="125">
        <v>4450</v>
      </c>
      <c r="Q7021" s="526">
        <v>5</v>
      </c>
      <c r="R7021" s="125">
        <f t="shared" si="201"/>
        <v>22250</v>
      </c>
      <c r="S7021" s="31">
        <v>202304</v>
      </c>
      <c r="T7021" s="530" t="s">
        <v>9273</v>
      </c>
      <c r="U7021" s="530"/>
      <c r="V7021" s="104"/>
      <c r="W7021" s="104"/>
      <c r="X7021" s="34"/>
      <c r="Y7021" s="34"/>
    </row>
    <row r="7022" s="3" customFormat="1" customHeight="1" spans="1:25">
      <c r="A7022" s="35" t="s">
        <v>61</v>
      </c>
      <c r="B7022" s="35" t="s">
        <v>9233</v>
      </c>
      <c r="C7022" s="35" t="s">
        <v>84</v>
      </c>
      <c r="D7022" s="35" t="s">
        <v>85</v>
      </c>
      <c r="E7022" s="30" t="s">
        <v>9240</v>
      </c>
      <c r="F7022" s="35" t="s">
        <v>9241</v>
      </c>
      <c r="G7022" s="35" t="s">
        <v>88</v>
      </c>
      <c r="H7022" s="35" t="s">
        <v>9263</v>
      </c>
      <c r="I7022" s="30" t="e">
        <f>VLOOKUP(H7022,'合同高级查询数据-4月返'!A:A,1,FALSE)</f>
        <v>#N/A</v>
      </c>
      <c r="J7022" s="35" t="s">
        <v>162</v>
      </c>
      <c r="K7022" s="520" t="s">
        <v>3929</v>
      </c>
      <c r="L7022" s="477" t="s">
        <v>9260</v>
      </c>
      <c r="M7022" s="35" t="s">
        <v>9261</v>
      </c>
      <c r="N7022" s="34">
        <v>44326</v>
      </c>
      <c r="O7022" s="35" t="s">
        <v>1535</v>
      </c>
      <c r="P7022" s="125">
        <v>4450</v>
      </c>
      <c r="Q7022" s="526">
        <v>-3</v>
      </c>
      <c r="R7022" s="125">
        <f t="shared" si="201"/>
        <v>-13350</v>
      </c>
      <c r="S7022" s="31">
        <v>202304</v>
      </c>
      <c r="T7022" s="530" t="s">
        <v>9274</v>
      </c>
      <c r="U7022" s="530"/>
      <c r="V7022" s="104"/>
      <c r="W7022" s="104"/>
      <c r="X7022" s="34"/>
      <c r="Y7022" s="34"/>
    </row>
    <row r="7023" s="3" customFormat="1" customHeight="1" spans="1:25">
      <c r="A7023" s="35" t="s">
        <v>61</v>
      </c>
      <c r="B7023" s="35" t="s">
        <v>9233</v>
      </c>
      <c r="C7023" s="35" t="s">
        <v>84</v>
      </c>
      <c r="D7023" s="35" t="s">
        <v>85</v>
      </c>
      <c r="E7023" s="30" t="s">
        <v>9240</v>
      </c>
      <c r="F7023" s="35" t="s">
        <v>9241</v>
      </c>
      <c r="G7023" s="35" t="s">
        <v>88</v>
      </c>
      <c r="H7023" s="35" t="s">
        <v>9270</v>
      </c>
      <c r="I7023" s="30" t="e">
        <f>VLOOKUP(H7023,'合同高级查询数据-4月返'!A:A,1,FALSE)</f>
        <v>#N/A</v>
      </c>
      <c r="J7023" s="35" t="s">
        <v>162</v>
      </c>
      <c r="K7023" s="520" t="s">
        <v>3929</v>
      </c>
      <c r="L7023" s="477" t="s">
        <v>9260</v>
      </c>
      <c r="M7023" s="35" t="s">
        <v>9261</v>
      </c>
      <c r="N7023" s="34">
        <v>44575</v>
      </c>
      <c r="O7023" s="35" t="s">
        <v>1535</v>
      </c>
      <c r="P7023" s="125">
        <v>4450</v>
      </c>
      <c r="Q7023" s="526">
        <v>1</v>
      </c>
      <c r="R7023" s="125">
        <f t="shared" si="201"/>
        <v>4450</v>
      </c>
      <c r="S7023" s="31">
        <v>202304</v>
      </c>
      <c r="T7023" s="530" t="s">
        <v>9275</v>
      </c>
      <c r="U7023" s="530"/>
      <c r="V7023" s="104"/>
      <c r="W7023" s="104"/>
      <c r="X7023" s="34"/>
      <c r="Y7023" s="34"/>
    </row>
    <row r="7024" s="3" customFormat="1" customHeight="1" spans="1:25">
      <c r="A7024" s="35" t="s">
        <v>61</v>
      </c>
      <c r="B7024" s="35" t="s">
        <v>9233</v>
      </c>
      <c r="C7024" s="35" t="s">
        <v>84</v>
      </c>
      <c r="D7024" s="35" t="s">
        <v>85</v>
      </c>
      <c r="E7024" s="30" t="s">
        <v>9240</v>
      </c>
      <c r="F7024" s="35" t="s">
        <v>9241</v>
      </c>
      <c r="G7024" s="35" t="s">
        <v>88</v>
      </c>
      <c r="H7024" s="35" t="s">
        <v>9263</v>
      </c>
      <c r="I7024" s="30" t="e">
        <f>VLOOKUP(H7024,'合同高级查询数据-4月返'!A:A,1,FALSE)</f>
        <v>#N/A</v>
      </c>
      <c r="J7024" s="35" t="s">
        <v>162</v>
      </c>
      <c r="K7024" s="520" t="s">
        <v>136</v>
      </c>
      <c r="L7024" s="477" t="s">
        <v>9257</v>
      </c>
      <c r="M7024" s="35" t="s">
        <v>9258</v>
      </c>
      <c r="N7024" s="34">
        <v>43425</v>
      </c>
      <c r="O7024" s="35" t="s">
        <v>1535</v>
      </c>
      <c r="P7024" s="125">
        <v>4450</v>
      </c>
      <c r="Q7024" s="526">
        <v>1</v>
      </c>
      <c r="R7024" s="125">
        <f t="shared" si="201"/>
        <v>4450</v>
      </c>
      <c r="S7024" s="31">
        <v>202304</v>
      </c>
      <c r="T7024" s="530" t="s">
        <v>9276</v>
      </c>
      <c r="U7024" s="530"/>
      <c r="V7024" s="104"/>
      <c r="W7024" s="104"/>
      <c r="X7024" s="34"/>
      <c r="Y7024" s="34"/>
    </row>
    <row r="7025" s="3" customFormat="1" customHeight="1" spans="1:25">
      <c r="A7025" s="35" t="s">
        <v>61</v>
      </c>
      <c r="B7025" s="35" t="s">
        <v>9233</v>
      </c>
      <c r="C7025" s="35" t="s">
        <v>84</v>
      </c>
      <c r="D7025" s="35" t="s">
        <v>85</v>
      </c>
      <c r="E7025" s="30" t="s">
        <v>9240</v>
      </c>
      <c r="F7025" s="35" t="s">
        <v>9241</v>
      </c>
      <c r="G7025" s="35" t="s">
        <v>88</v>
      </c>
      <c r="H7025" s="35" t="s">
        <v>9263</v>
      </c>
      <c r="I7025" s="30" t="e">
        <f>VLOOKUP(H7025,'合同高级查询数据-4月返'!A:A,1,FALSE)</f>
        <v>#N/A</v>
      </c>
      <c r="J7025" s="35" t="s">
        <v>162</v>
      </c>
      <c r="K7025" s="520" t="s">
        <v>516</v>
      </c>
      <c r="L7025" s="477" t="s">
        <v>9254</v>
      </c>
      <c r="M7025" s="35" t="s">
        <v>9255</v>
      </c>
      <c r="N7025" s="34">
        <v>43496</v>
      </c>
      <c r="O7025" s="35" t="s">
        <v>1535</v>
      </c>
      <c r="P7025" s="125">
        <v>4450</v>
      </c>
      <c r="Q7025" s="526">
        <v>5</v>
      </c>
      <c r="R7025" s="125">
        <f t="shared" si="201"/>
        <v>22250</v>
      </c>
      <c r="S7025" s="31">
        <v>202304</v>
      </c>
      <c r="T7025" s="530" t="s">
        <v>9277</v>
      </c>
      <c r="U7025" s="530"/>
      <c r="V7025" s="104"/>
      <c r="W7025" s="104"/>
      <c r="X7025" s="34"/>
      <c r="Y7025" s="34"/>
    </row>
    <row r="7026" s="3" customFormat="1" customHeight="1" spans="1:25">
      <c r="A7026" s="35" t="s">
        <v>61</v>
      </c>
      <c r="B7026" s="35" t="s">
        <v>9233</v>
      </c>
      <c r="C7026" s="35" t="s">
        <v>84</v>
      </c>
      <c r="D7026" s="35" t="s">
        <v>85</v>
      </c>
      <c r="E7026" s="30" t="s">
        <v>9240</v>
      </c>
      <c r="F7026" s="35" t="s">
        <v>9241</v>
      </c>
      <c r="G7026" s="35" t="s">
        <v>88</v>
      </c>
      <c r="H7026" s="35" t="s">
        <v>9263</v>
      </c>
      <c r="I7026" s="30" t="e">
        <f>VLOOKUP(H7026,'合同高级查询数据-4月返'!A:A,1,FALSE)</f>
        <v>#N/A</v>
      </c>
      <c r="J7026" s="35" t="s">
        <v>162</v>
      </c>
      <c r="K7026" s="520" t="s">
        <v>516</v>
      </c>
      <c r="L7026" s="477" t="s">
        <v>9254</v>
      </c>
      <c r="M7026" s="35" t="s">
        <v>9255</v>
      </c>
      <c r="N7026" s="34">
        <v>44326</v>
      </c>
      <c r="O7026" s="35" t="s">
        <v>1535</v>
      </c>
      <c r="P7026" s="125">
        <v>4450</v>
      </c>
      <c r="Q7026" s="526">
        <v>-3</v>
      </c>
      <c r="R7026" s="125">
        <f t="shared" si="201"/>
        <v>-13350</v>
      </c>
      <c r="S7026" s="31">
        <v>202304</v>
      </c>
      <c r="T7026" s="530" t="s">
        <v>9278</v>
      </c>
      <c r="U7026" s="530"/>
      <c r="V7026" s="104"/>
      <c r="W7026" s="104"/>
      <c r="X7026" s="34"/>
      <c r="Y7026" s="34"/>
    </row>
    <row r="7027" s="3" customFormat="1" customHeight="1" spans="1:25">
      <c r="A7027" s="35" t="s">
        <v>61</v>
      </c>
      <c r="B7027" s="35" t="s">
        <v>9233</v>
      </c>
      <c r="C7027" s="35" t="s">
        <v>84</v>
      </c>
      <c r="D7027" s="35" t="s">
        <v>85</v>
      </c>
      <c r="E7027" s="30" t="s">
        <v>9240</v>
      </c>
      <c r="F7027" s="35" t="s">
        <v>9241</v>
      </c>
      <c r="G7027" s="35" t="s">
        <v>88</v>
      </c>
      <c r="H7027" s="35" t="s">
        <v>9263</v>
      </c>
      <c r="I7027" s="30" t="e">
        <f>VLOOKUP(H7027,'合同高级查询数据-4月返'!A:A,1,FALSE)</f>
        <v>#N/A</v>
      </c>
      <c r="J7027" s="35" t="s">
        <v>162</v>
      </c>
      <c r="K7027" s="520" t="s">
        <v>6391</v>
      </c>
      <c r="L7027" s="477" t="s">
        <v>9251</v>
      </c>
      <c r="M7027" s="35" t="s">
        <v>9252</v>
      </c>
      <c r="N7027" s="34">
        <v>43496</v>
      </c>
      <c r="O7027" s="35" t="s">
        <v>1535</v>
      </c>
      <c r="P7027" s="125">
        <v>4450</v>
      </c>
      <c r="Q7027" s="526">
        <v>4</v>
      </c>
      <c r="R7027" s="125">
        <f t="shared" si="201"/>
        <v>17800</v>
      </c>
      <c r="S7027" s="31">
        <v>202304</v>
      </c>
      <c r="T7027" s="530" t="s">
        <v>9279</v>
      </c>
      <c r="U7027" s="530"/>
      <c r="V7027" s="104"/>
      <c r="W7027" s="104"/>
      <c r="X7027" s="34"/>
      <c r="Y7027" s="34"/>
    </row>
    <row r="7028" s="3" customFormat="1" customHeight="1" spans="1:25">
      <c r="A7028" s="35" t="s">
        <v>61</v>
      </c>
      <c r="B7028" s="35" t="s">
        <v>9233</v>
      </c>
      <c r="C7028" s="35" t="s">
        <v>84</v>
      </c>
      <c r="D7028" s="35" t="s">
        <v>85</v>
      </c>
      <c r="E7028" s="30" t="s">
        <v>9240</v>
      </c>
      <c r="F7028" s="35" t="s">
        <v>9241</v>
      </c>
      <c r="G7028" s="35" t="s">
        <v>88</v>
      </c>
      <c r="H7028" s="35" t="s">
        <v>9263</v>
      </c>
      <c r="I7028" s="30" t="e">
        <f>VLOOKUP(H7028,'合同高级查询数据-4月返'!A:A,1,FALSE)</f>
        <v>#N/A</v>
      </c>
      <c r="J7028" s="35" t="s">
        <v>162</v>
      </c>
      <c r="K7028" s="520" t="s">
        <v>6391</v>
      </c>
      <c r="L7028" s="477" t="s">
        <v>9251</v>
      </c>
      <c r="M7028" s="35" t="s">
        <v>9252</v>
      </c>
      <c r="N7028" s="34">
        <v>44154</v>
      </c>
      <c r="O7028" s="35" t="s">
        <v>1535</v>
      </c>
      <c r="P7028" s="125">
        <v>4450</v>
      </c>
      <c r="Q7028" s="526">
        <v>-4</v>
      </c>
      <c r="R7028" s="125">
        <f t="shared" si="201"/>
        <v>-17800</v>
      </c>
      <c r="S7028" s="31">
        <v>202304</v>
      </c>
      <c r="T7028" s="530" t="s">
        <v>9280</v>
      </c>
      <c r="U7028" s="530"/>
      <c r="V7028" s="104"/>
      <c r="W7028" s="104"/>
      <c r="X7028" s="34"/>
      <c r="Y7028" s="34"/>
    </row>
    <row r="7029" s="3" customFormat="1" customHeight="1" spans="1:25">
      <c r="A7029" s="35" t="s">
        <v>61</v>
      </c>
      <c r="B7029" s="35" t="s">
        <v>9233</v>
      </c>
      <c r="C7029" s="35" t="s">
        <v>84</v>
      </c>
      <c r="D7029" s="35" t="s">
        <v>85</v>
      </c>
      <c r="E7029" s="30" t="s">
        <v>9240</v>
      </c>
      <c r="F7029" s="35" t="s">
        <v>9241</v>
      </c>
      <c r="G7029" s="35" t="s">
        <v>88</v>
      </c>
      <c r="H7029" s="35" t="s">
        <v>9263</v>
      </c>
      <c r="I7029" s="30" t="e">
        <f>VLOOKUP(H7029,'合同高级查询数据-4月返'!A:A,1,FALSE)</f>
        <v>#N/A</v>
      </c>
      <c r="J7029" s="35" t="s">
        <v>162</v>
      </c>
      <c r="K7029" s="520" t="s">
        <v>6391</v>
      </c>
      <c r="L7029" s="477" t="s">
        <v>9251</v>
      </c>
      <c r="M7029" s="35" t="s">
        <v>9252</v>
      </c>
      <c r="N7029" s="34">
        <v>44154</v>
      </c>
      <c r="O7029" s="35" t="s">
        <v>1535</v>
      </c>
      <c r="P7029" s="125">
        <v>4450</v>
      </c>
      <c r="Q7029" s="526">
        <v>2</v>
      </c>
      <c r="R7029" s="125">
        <f t="shared" si="201"/>
        <v>8900</v>
      </c>
      <c r="S7029" s="31">
        <v>202304</v>
      </c>
      <c r="T7029" s="530" t="s">
        <v>9281</v>
      </c>
      <c r="U7029" s="530"/>
      <c r="V7029" s="104"/>
      <c r="W7029" s="104"/>
      <c r="X7029" s="34"/>
      <c r="Y7029" s="34"/>
    </row>
    <row r="7030" s="3" customFormat="1" customHeight="1" spans="1:25">
      <c r="A7030" s="35" t="s">
        <v>61</v>
      </c>
      <c r="B7030" s="35" t="s">
        <v>9233</v>
      </c>
      <c r="C7030" s="35" t="s">
        <v>84</v>
      </c>
      <c r="D7030" s="35" t="s">
        <v>85</v>
      </c>
      <c r="E7030" s="30" t="s">
        <v>9240</v>
      </c>
      <c r="F7030" s="35" t="s">
        <v>9241</v>
      </c>
      <c r="G7030" s="35" t="s">
        <v>88</v>
      </c>
      <c r="H7030" s="35" t="s">
        <v>9270</v>
      </c>
      <c r="I7030" s="30" t="e">
        <f>VLOOKUP(H7030,'合同高级查询数据-4月返'!A:A,1,FALSE)</f>
        <v>#N/A</v>
      </c>
      <c r="J7030" s="35" t="s">
        <v>162</v>
      </c>
      <c r="K7030" s="520" t="s">
        <v>6391</v>
      </c>
      <c r="L7030" s="477" t="s">
        <v>9251</v>
      </c>
      <c r="M7030" s="35" t="s">
        <v>9252</v>
      </c>
      <c r="N7030" s="34">
        <v>44579</v>
      </c>
      <c r="O7030" s="35" t="s">
        <v>1535</v>
      </c>
      <c r="P7030" s="125">
        <v>4450</v>
      </c>
      <c r="Q7030" s="526">
        <v>1</v>
      </c>
      <c r="R7030" s="125">
        <f t="shared" si="201"/>
        <v>4450</v>
      </c>
      <c r="S7030" s="31">
        <v>202304</v>
      </c>
      <c r="T7030" s="530" t="s">
        <v>9282</v>
      </c>
      <c r="U7030" s="530"/>
      <c r="V7030" s="104"/>
      <c r="W7030" s="104"/>
      <c r="X7030" s="34"/>
      <c r="Y7030" s="34"/>
    </row>
    <row r="7031" s="3" customFormat="1" customHeight="1" spans="1:25">
      <c r="A7031" s="35" t="s">
        <v>61</v>
      </c>
      <c r="B7031" s="35" t="s">
        <v>9233</v>
      </c>
      <c r="C7031" s="35" t="s">
        <v>84</v>
      </c>
      <c r="D7031" s="35" t="s">
        <v>85</v>
      </c>
      <c r="E7031" s="30" t="s">
        <v>9240</v>
      </c>
      <c r="F7031" s="35" t="s">
        <v>9241</v>
      </c>
      <c r="G7031" s="35" t="s">
        <v>88</v>
      </c>
      <c r="H7031" s="35" t="s">
        <v>9263</v>
      </c>
      <c r="I7031" s="30" t="e">
        <f>VLOOKUP(H7031,'合同高级查询数据-4月返'!A:A,1,FALSE)</f>
        <v>#N/A</v>
      </c>
      <c r="J7031" s="35" t="s">
        <v>162</v>
      </c>
      <c r="K7031" s="520" t="s">
        <v>63</v>
      </c>
      <c r="L7031" s="477" t="s">
        <v>9243</v>
      </c>
      <c r="M7031" s="35" t="s">
        <v>9244</v>
      </c>
      <c r="N7031" s="34">
        <v>43777</v>
      </c>
      <c r="O7031" s="35" t="s">
        <v>1535</v>
      </c>
      <c r="P7031" s="125">
        <v>4450</v>
      </c>
      <c r="Q7031" s="526">
        <v>8</v>
      </c>
      <c r="R7031" s="125">
        <f t="shared" si="201"/>
        <v>35600</v>
      </c>
      <c r="S7031" s="31">
        <v>202304</v>
      </c>
      <c r="T7031" s="530" t="s">
        <v>9283</v>
      </c>
      <c r="U7031" s="530"/>
      <c r="V7031" s="104"/>
      <c r="W7031" s="104"/>
      <c r="X7031" s="34"/>
      <c r="Y7031" s="34"/>
    </row>
    <row r="7032" s="3" customFormat="1" customHeight="1" spans="1:25">
      <c r="A7032" s="35" t="s">
        <v>61</v>
      </c>
      <c r="B7032" s="35" t="s">
        <v>9233</v>
      </c>
      <c r="C7032" s="35" t="s">
        <v>84</v>
      </c>
      <c r="D7032" s="35" t="s">
        <v>85</v>
      </c>
      <c r="E7032" s="30" t="s">
        <v>9240</v>
      </c>
      <c r="F7032" s="35" t="s">
        <v>9241</v>
      </c>
      <c r="G7032" s="35" t="s">
        <v>88</v>
      </c>
      <c r="H7032" s="35" t="s">
        <v>9263</v>
      </c>
      <c r="I7032" s="30" t="e">
        <f>VLOOKUP(H7032,'合同高级查询数据-4月返'!A:A,1,FALSE)</f>
        <v>#N/A</v>
      </c>
      <c r="J7032" s="35" t="s">
        <v>162</v>
      </c>
      <c r="K7032" s="520" t="s">
        <v>63</v>
      </c>
      <c r="L7032" s="477" t="s">
        <v>9243</v>
      </c>
      <c r="M7032" s="35" t="s">
        <v>9244</v>
      </c>
      <c r="N7032" s="34">
        <v>44326</v>
      </c>
      <c r="O7032" s="35" t="s">
        <v>1535</v>
      </c>
      <c r="P7032" s="125">
        <v>4450</v>
      </c>
      <c r="Q7032" s="526">
        <v>-4</v>
      </c>
      <c r="R7032" s="125">
        <f t="shared" si="201"/>
        <v>-17800</v>
      </c>
      <c r="S7032" s="31">
        <v>202304</v>
      </c>
      <c r="T7032" s="530" t="s">
        <v>9284</v>
      </c>
      <c r="U7032" s="530"/>
      <c r="V7032" s="104"/>
      <c r="W7032" s="104"/>
      <c r="X7032" s="34"/>
      <c r="Y7032" s="34"/>
    </row>
    <row r="7033" s="3" customFormat="1" customHeight="1" spans="1:25">
      <c r="A7033" s="35" t="s">
        <v>61</v>
      </c>
      <c r="B7033" s="35" t="s">
        <v>9233</v>
      </c>
      <c r="C7033" s="35" t="s">
        <v>84</v>
      </c>
      <c r="D7033" s="35" t="s">
        <v>85</v>
      </c>
      <c r="E7033" s="30" t="s">
        <v>9240</v>
      </c>
      <c r="F7033" s="35" t="s">
        <v>9241</v>
      </c>
      <c r="G7033" s="35" t="s">
        <v>88</v>
      </c>
      <c r="H7033" s="35" t="s">
        <v>9263</v>
      </c>
      <c r="I7033" s="30" t="e">
        <f>VLOOKUP(H7033,'合同高级查询数据-4月返'!A:A,1,FALSE)</f>
        <v>#N/A</v>
      </c>
      <c r="J7033" s="35" t="s">
        <v>162</v>
      </c>
      <c r="K7033" s="520" t="s">
        <v>63</v>
      </c>
      <c r="L7033" s="477" t="s">
        <v>9243</v>
      </c>
      <c r="M7033" s="35" t="s">
        <v>9244</v>
      </c>
      <c r="N7033" s="34">
        <v>44574</v>
      </c>
      <c r="O7033" s="35" t="s">
        <v>1535</v>
      </c>
      <c r="P7033" s="125">
        <v>4450</v>
      </c>
      <c r="Q7033" s="526">
        <v>-1</v>
      </c>
      <c r="R7033" s="125">
        <f t="shared" si="201"/>
        <v>-4450</v>
      </c>
      <c r="S7033" s="31">
        <v>202304</v>
      </c>
      <c r="T7033" s="530" t="s">
        <v>9285</v>
      </c>
      <c r="U7033" s="530"/>
      <c r="V7033" s="104"/>
      <c r="W7033" s="104"/>
      <c r="X7033" s="34"/>
      <c r="Y7033" s="34"/>
    </row>
    <row r="7034" s="5" customFormat="1" customHeight="1" spans="1:25">
      <c r="A7034" s="22" t="s">
        <v>61</v>
      </c>
      <c r="B7034" s="22" t="s">
        <v>9233</v>
      </c>
      <c r="C7034" s="22" t="s">
        <v>63</v>
      </c>
      <c r="D7034" s="22" t="s">
        <v>85</v>
      </c>
      <c r="E7034" s="46" t="s">
        <v>9286</v>
      </c>
      <c r="F7034" s="22" t="s">
        <v>9287</v>
      </c>
      <c r="G7034" s="22" t="s">
        <v>67</v>
      </c>
      <c r="H7034" s="22" t="s">
        <v>9288</v>
      </c>
      <c r="I7034" s="46" t="e">
        <f>VLOOKUP(H7034,'合同高级查询数据-4月返'!A:A,1,FALSE)</f>
        <v>#N/A</v>
      </c>
      <c r="J7034" s="22" t="s">
        <v>69</v>
      </c>
      <c r="K7034" s="522" t="s">
        <v>9289</v>
      </c>
      <c r="L7034" s="22"/>
      <c r="M7034" s="22"/>
      <c r="N7034" s="50">
        <v>43444</v>
      </c>
      <c r="O7034" s="22" t="s">
        <v>71</v>
      </c>
      <c r="P7034" s="114">
        <v>1200</v>
      </c>
      <c r="Q7034" s="531">
        <v>5.8</v>
      </c>
      <c r="R7034" s="114">
        <f t="shared" si="201"/>
        <v>6960</v>
      </c>
      <c r="S7034" s="47">
        <v>202304</v>
      </c>
      <c r="T7034" s="532" t="s">
        <v>9290</v>
      </c>
      <c r="U7034" s="532"/>
      <c r="V7034" s="97"/>
      <c r="W7034" s="97"/>
      <c r="X7034" s="50">
        <v>44166</v>
      </c>
      <c r="Y7034" s="50">
        <v>45260</v>
      </c>
    </row>
    <row r="7035" s="5" customFormat="1" customHeight="1" spans="1:25">
      <c r="A7035" s="22" t="s">
        <v>61</v>
      </c>
      <c r="B7035" s="22" t="s">
        <v>9233</v>
      </c>
      <c r="C7035" s="22" t="s">
        <v>63</v>
      </c>
      <c r="D7035" s="22" t="s">
        <v>85</v>
      </c>
      <c r="E7035" s="46" t="s">
        <v>9286</v>
      </c>
      <c r="F7035" s="22" t="s">
        <v>9287</v>
      </c>
      <c r="G7035" s="22" t="s">
        <v>67</v>
      </c>
      <c r="H7035" s="22" t="s">
        <v>9288</v>
      </c>
      <c r="I7035" s="46" t="e">
        <f>VLOOKUP(H7035,'合同高级查询数据-4月返'!A:A,1,FALSE)</f>
        <v>#N/A</v>
      </c>
      <c r="J7035" s="22" t="s">
        <v>69</v>
      </c>
      <c r="K7035" s="522" t="s">
        <v>9289</v>
      </c>
      <c r="L7035" s="22"/>
      <c r="M7035" s="22"/>
      <c r="N7035" s="50">
        <v>43503</v>
      </c>
      <c r="O7035" s="22" t="s">
        <v>71</v>
      </c>
      <c r="P7035" s="114">
        <v>1200</v>
      </c>
      <c r="Q7035" s="531">
        <v>5.8</v>
      </c>
      <c r="R7035" s="114">
        <f t="shared" si="201"/>
        <v>6960</v>
      </c>
      <c r="S7035" s="47">
        <v>202304</v>
      </c>
      <c r="T7035" s="532" t="s">
        <v>9290</v>
      </c>
      <c r="U7035" s="532"/>
      <c r="V7035" s="97"/>
      <c r="W7035" s="97"/>
      <c r="X7035" s="50">
        <v>44166</v>
      </c>
      <c r="Y7035" s="50">
        <v>45260</v>
      </c>
    </row>
    <row r="7036" s="5" customFormat="1" customHeight="1" spans="1:25">
      <c r="A7036" s="22" t="s">
        <v>61</v>
      </c>
      <c r="B7036" s="22" t="s">
        <v>9233</v>
      </c>
      <c r="C7036" s="22" t="s">
        <v>63</v>
      </c>
      <c r="D7036" s="22" t="s">
        <v>85</v>
      </c>
      <c r="E7036" s="46" t="s">
        <v>9286</v>
      </c>
      <c r="F7036" s="22" t="s">
        <v>9287</v>
      </c>
      <c r="G7036" s="22" t="s">
        <v>67</v>
      </c>
      <c r="H7036" s="22" t="s">
        <v>9288</v>
      </c>
      <c r="I7036" s="46" t="e">
        <f>VLOOKUP(H7036,'合同高级查询数据-4月返'!A:A,1,FALSE)</f>
        <v>#N/A</v>
      </c>
      <c r="J7036" s="22" t="s">
        <v>69</v>
      </c>
      <c r="K7036" s="522" t="s">
        <v>9289</v>
      </c>
      <c r="L7036" s="22"/>
      <c r="M7036" s="22"/>
      <c r="N7036" s="50">
        <v>43623</v>
      </c>
      <c r="O7036" s="22" t="s">
        <v>71</v>
      </c>
      <c r="P7036" s="114">
        <v>1200</v>
      </c>
      <c r="Q7036" s="531">
        <v>5.8</v>
      </c>
      <c r="R7036" s="114">
        <f t="shared" si="201"/>
        <v>6960</v>
      </c>
      <c r="S7036" s="47">
        <v>202304</v>
      </c>
      <c r="T7036" s="532" t="s">
        <v>9290</v>
      </c>
      <c r="U7036" s="532"/>
      <c r="V7036" s="97"/>
      <c r="W7036" s="97"/>
      <c r="X7036" s="50">
        <v>44166</v>
      </c>
      <c r="Y7036" s="50">
        <v>45260</v>
      </c>
    </row>
    <row r="7037" s="3" customFormat="1" customHeight="1" spans="1:25">
      <c r="A7037" s="35" t="s">
        <v>152</v>
      </c>
      <c r="B7037" s="35" t="s">
        <v>9291</v>
      </c>
      <c r="C7037" s="35" t="s">
        <v>512</v>
      </c>
      <c r="D7037" s="35" t="s">
        <v>85</v>
      </c>
      <c r="E7037" s="30" t="s">
        <v>9292</v>
      </c>
      <c r="F7037" s="35" t="s">
        <v>9293</v>
      </c>
      <c r="G7037" s="35" t="s">
        <v>31</v>
      </c>
      <c r="H7037" s="35" t="s">
        <v>9294</v>
      </c>
      <c r="I7037" s="30" t="e">
        <f>VLOOKUP(H7037,'合同高级查询数据-4月返'!A:A,1,FALSE)</f>
        <v>#N/A</v>
      </c>
      <c r="J7037" s="35" t="s">
        <v>33</v>
      </c>
      <c r="K7037" s="477" t="s">
        <v>9295</v>
      </c>
      <c r="L7037" s="477" t="s">
        <v>9295</v>
      </c>
      <c r="M7037" s="35" t="s">
        <v>9296</v>
      </c>
      <c r="N7037" s="34">
        <v>44621</v>
      </c>
      <c r="O7037" s="35" t="s">
        <v>37</v>
      </c>
      <c r="P7037" s="125">
        <v>0</v>
      </c>
      <c r="Q7037" s="488">
        <v>128</v>
      </c>
      <c r="R7037" s="125">
        <f t="shared" si="201"/>
        <v>0</v>
      </c>
      <c r="S7037" s="31">
        <v>202304</v>
      </c>
      <c r="T7037" s="529" t="s">
        <v>9297</v>
      </c>
      <c r="U7037" s="529"/>
      <c r="V7037" s="533"/>
      <c r="W7037" s="534"/>
      <c r="X7037" s="34"/>
      <c r="Y7037" s="34"/>
    </row>
    <row r="7038" s="3" customFormat="1" customHeight="1" spans="1:25">
      <c r="A7038" s="35" t="s">
        <v>152</v>
      </c>
      <c r="B7038" s="35" t="s">
        <v>9291</v>
      </c>
      <c r="C7038" s="35" t="s">
        <v>512</v>
      </c>
      <c r="D7038" s="35" t="s">
        <v>85</v>
      </c>
      <c r="E7038" s="30" t="s">
        <v>9292</v>
      </c>
      <c r="F7038" s="35" t="s">
        <v>9293</v>
      </c>
      <c r="G7038" s="35" t="s">
        <v>31</v>
      </c>
      <c r="H7038" s="35" t="s">
        <v>9294</v>
      </c>
      <c r="I7038" s="30" t="e">
        <f>VLOOKUP(H7038,'合同高级查询数据-4月返'!A:A,1,FALSE)</f>
        <v>#N/A</v>
      </c>
      <c r="J7038" s="35" t="s">
        <v>33</v>
      </c>
      <c r="K7038" s="477" t="s">
        <v>9295</v>
      </c>
      <c r="L7038" s="477" t="s">
        <v>9295</v>
      </c>
      <c r="M7038" s="35" t="s">
        <v>9296</v>
      </c>
      <c r="N7038" s="34">
        <v>44621</v>
      </c>
      <c r="O7038" s="35" t="s">
        <v>37</v>
      </c>
      <c r="P7038" s="125">
        <v>50</v>
      </c>
      <c r="Q7038" s="488">
        <v>256</v>
      </c>
      <c r="R7038" s="125">
        <f t="shared" si="201"/>
        <v>12800</v>
      </c>
      <c r="S7038" s="31">
        <v>202304</v>
      </c>
      <c r="T7038" s="529" t="s">
        <v>9298</v>
      </c>
      <c r="U7038" s="529"/>
      <c r="V7038" s="533"/>
      <c r="W7038" s="534"/>
      <c r="X7038" s="34"/>
      <c r="Y7038" s="34"/>
    </row>
    <row r="7039" s="3" customFormat="1" customHeight="1" spans="1:25">
      <c r="A7039" s="35" t="s">
        <v>152</v>
      </c>
      <c r="B7039" s="35" t="s">
        <v>9291</v>
      </c>
      <c r="C7039" s="35" t="s">
        <v>512</v>
      </c>
      <c r="D7039" s="35" t="s">
        <v>85</v>
      </c>
      <c r="E7039" s="30" t="s">
        <v>9292</v>
      </c>
      <c r="F7039" s="35" t="s">
        <v>9293</v>
      </c>
      <c r="G7039" s="35" t="s">
        <v>31</v>
      </c>
      <c r="H7039" s="35" t="s">
        <v>9294</v>
      </c>
      <c r="I7039" s="30" t="e">
        <f>VLOOKUP(H7039,'合同高级查询数据-4月返'!A:A,1,FALSE)</f>
        <v>#N/A</v>
      </c>
      <c r="J7039" s="35" t="s">
        <v>33</v>
      </c>
      <c r="K7039" s="477" t="s">
        <v>9295</v>
      </c>
      <c r="L7039" s="477" t="s">
        <v>9295</v>
      </c>
      <c r="M7039" s="35" t="s">
        <v>9296</v>
      </c>
      <c r="N7039" s="34">
        <v>44652</v>
      </c>
      <c r="O7039" s="35" t="s">
        <v>37</v>
      </c>
      <c r="P7039" s="125">
        <v>50</v>
      </c>
      <c r="Q7039" s="488">
        <v>128</v>
      </c>
      <c r="R7039" s="125">
        <f t="shared" si="201"/>
        <v>6400</v>
      </c>
      <c r="S7039" s="31">
        <v>202304</v>
      </c>
      <c r="T7039" s="529" t="s">
        <v>9299</v>
      </c>
      <c r="U7039" s="529"/>
      <c r="V7039" s="533"/>
      <c r="W7039" s="534"/>
      <c r="X7039" s="34"/>
      <c r="Y7039" s="34"/>
    </row>
    <row r="7040" s="3" customFormat="1" customHeight="1" spans="1:25">
      <c r="A7040" s="35" t="s">
        <v>152</v>
      </c>
      <c r="B7040" s="35" t="s">
        <v>9291</v>
      </c>
      <c r="C7040" s="35" t="s">
        <v>512</v>
      </c>
      <c r="D7040" s="35" t="s">
        <v>85</v>
      </c>
      <c r="E7040" s="30" t="s">
        <v>9292</v>
      </c>
      <c r="F7040" s="35" t="s">
        <v>9293</v>
      </c>
      <c r="G7040" s="35" t="s">
        <v>31</v>
      </c>
      <c r="H7040" s="35" t="s">
        <v>9294</v>
      </c>
      <c r="I7040" s="30" t="e">
        <f>VLOOKUP(H7040,'合同高级查询数据-4月返'!A:A,1,FALSE)</f>
        <v>#N/A</v>
      </c>
      <c r="J7040" s="35" t="s">
        <v>33</v>
      </c>
      <c r="K7040" s="477" t="s">
        <v>9295</v>
      </c>
      <c r="L7040" s="477" t="s">
        <v>9295</v>
      </c>
      <c r="M7040" s="35" t="s">
        <v>9296</v>
      </c>
      <c r="N7040" s="34">
        <v>44652</v>
      </c>
      <c r="O7040" s="34" t="s">
        <v>179</v>
      </c>
      <c r="P7040" s="125">
        <v>100</v>
      </c>
      <c r="Q7040" s="488">
        <v>1</v>
      </c>
      <c r="R7040" s="125">
        <f t="shared" si="201"/>
        <v>100</v>
      </c>
      <c r="S7040" s="31">
        <v>202304</v>
      </c>
      <c r="T7040" s="529" t="s">
        <v>9300</v>
      </c>
      <c r="U7040" s="104"/>
      <c r="V7040" s="104"/>
      <c r="W7040" s="104"/>
      <c r="X7040" s="34"/>
      <c r="Y7040" s="34"/>
    </row>
    <row r="7041" s="3" customFormat="1" customHeight="1" spans="1:25">
      <c r="A7041" s="35" t="s">
        <v>152</v>
      </c>
      <c r="B7041" s="35" t="s">
        <v>9291</v>
      </c>
      <c r="C7041" s="35" t="s">
        <v>512</v>
      </c>
      <c r="D7041" s="35" t="s">
        <v>85</v>
      </c>
      <c r="E7041" s="30" t="s">
        <v>9292</v>
      </c>
      <c r="F7041" s="35" t="s">
        <v>9293</v>
      </c>
      <c r="G7041" s="35" t="s">
        <v>31</v>
      </c>
      <c r="H7041" s="35" t="s">
        <v>9294</v>
      </c>
      <c r="I7041" s="30" t="e">
        <f>VLOOKUP(H7041,'合同高级查询数据-4月返'!A:A,1,FALSE)</f>
        <v>#N/A</v>
      </c>
      <c r="J7041" s="35" t="s">
        <v>33</v>
      </c>
      <c r="K7041" s="477" t="s">
        <v>9295</v>
      </c>
      <c r="L7041" s="477" t="s">
        <v>9295</v>
      </c>
      <c r="M7041" s="35" t="s">
        <v>9296</v>
      </c>
      <c r="N7041" s="34">
        <v>44652</v>
      </c>
      <c r="O7041" s="34" t="s">
        <v>179</v>
      </c>
      <c r="P7041" s="125"/>
      <c r="Q7041" s="488">
        <v>1</v>
      </c>
      <c r="R7041" s="125">
        <f t="shared" si="201"/>
        <v>0</v>
      </c>
      <c r="S7041" s="31">
        <v>202304</v>
      </c>
      <c r="T7041" s="529" t="s">
        <v>9301</v>
      </c>
      <c r="U7041" s="104"/>
      <c r="V7041" s="104"/>
      <c r="W7041" s="104"/>
      <c r="X7041" s="34"/>
      <c r="Y7041" s="34"/>
    </row>
    <row r="7042" s="3" customFormat="1" customHeight="1" spans="1:25">
      <c r="A7042" s="35" t="s">
        <v>152</v>
      </c>
      <c r="B7042" s="35" t="s">
        <v>9291</v>
      </c>
      <c r="C7042" s="35" t="s">
        <v>512</v>
      </c>
      <c r="D7042" s="35" t="s">
        <v>85</v>
      </c>
      <c r="E7042" s="30" t="s">
        <v>9292</v>
      </c>
      <c r="F7042" s="35" t="s">
        <v>9293</v>
      </c>
      <c r="G7042" s="35" t="s">
        <v>88</v>
      </c>
      <c r="H7042" s="35" t="s">
        <v>9294</v>
      </c>
      <c r="I7042" s="30" t="e">
        <f>VLOOKUP(H7042,'合同高级查询数据-4月返'!A:A,1,FALSE)</f>
        <v>#N/A</v>
      </c>
      <c r="J7042" s="35" t="s">
        <v>162</v>
      </c>
      <c r="K7042" s="477" t="s">
        <v>9295</v>
      </c>
      <c r="L7042" s="477" t="s">
        <v>9295</v>
      </c>
      <c r="M7042" s="35" t="s">
        <v>9296</v>
      </c>
      <c r="N7042" s="34">
        <v>44621</v>
      </c>
      <c r="O7042" s="35" t="s">
        <v>507</v>
      </c>
      <c r="P7042" s="125">
        <v>5000</v>
      </c>
      <c r="Q7042" s="526">
        <v>25</v>
      </c>
      <c r="R7042" s="125">
        <f t="shared" si="201"/>
        <v>125000</v>
      </c>
      <c r="S7042" s="31">
        <v>202304</v>
      </c>
      <c r="T7042" s="529" t="s">
        <v>9302</v>
      </c>
      <c r="U7042" s="529"/>
      <c r="V7042" s="533"/>
      <c r="W7042" s="534"/>
      <c r="X7042" s="34"/>
      <c r="Y7042" s="34"/>
    </row>
    <row r="7043" s="3" customFormat="1" customHeight="1" spans="1:25">
      <c r="A7043" s="35" t="s">
        <v>152</v>
      </c>
      <c r="B7043" s="35" t="s">
        <v>9291</v>
      </c>
      <c r="C7043" s="35" t="s">
        <v>512</v>
      </c>
      <c r="D7043" s="35" t="s">
        <v>85</v>
      </c>
      <c r="E7043" s="30" t="s">
        <v>9292</v>
      </c>
      <c r="F7043" s="35" t="s">
        <v>9293</v>
      </c>
      <c r="G7043" s="35" t="s">
        <v>88</v>
      </c>
      <c r="H7043" s="35" t="s">
        <v>9294</v>
      </c>
      <c r="I7043" s="30" t="e">
        <f>VLOOKUP(H7043,'合同高级查询数据-4月返'!A:A,1,FALSE)</f>
        <v>#N/A</v>
      </c>
      <c r="J7043" s="35" t="s">
        <v>162</v>
      </c>
      <c r="K7043" s="477" t="s">
        <v>9295</v>
      </c>
      <c r="L7043" s="477" t="s">
        <v>9295</v>
      </c>
      <c r="M7043" s="35" t="s">
        <v>9296</v>
      </c>
      <c r="N7043" s="34">
        <v>44652</v>
      </c>
      <c r="O7043" s="35" t="s">
        <v>507</v>
      </c>
      <c r="P7043" s="125">
        <v>5000</v>
      </c>
      <c r="Q7043" s="526">
        <v>1</v>
      </c>
      <c r="R7043" s="125">
        <f t="shared" si="201"/>
        <v>5000</v>
      </c>
      <c r="S7043" s="31">
        <v>202304</v>
      </c>
      <c r="T7043" s="529" t="s">
        <v>9303</v>
      </c>
      <c r="U7043" s="529"/>
      <c r="V7043" s="533"/>
      <c r="W7043" s="534"/>
      <c r="X7043" s="34"/>
      <c r="Y7043" s="34"/>
    </row>
    <row r="7044" s="3" customFormat="1" customHeight="1" spans="1:25">
      <c r="A7044" s="35" t="s">
        <v>152</v>
      </c>
      <c r="B7044" s="35" t="s">
        <v>9291</v>
      </c>
      <c r="C7044" s="35" t="s">
        <v>512</v>
      </c>
      <c r="D7044" s="35" t="s">
        <v>85</v>
      </c>
      <c r="E7044" s="30" t="s">
        <v>9292</v>
      </c>
      <c r="F7044" s="35" t="s">
        <v>9293</v>
      </c>
      <c r="G7044" s="35" t="s">
        <v>88</v>
      </c>
      <c r="H7044" s="35" t="s">
        <v>9294</v>
      </c>
      <c r="I7044" s="30" t="e">
        <f>VLOOKUP(H7044,'合同高级查询数据-4月返'!A:A,1,FALSE)</f>
        <v>#N/A</v>
      </c>
      <c r="J7044" s="35" t="s">
        <v>162</v>
      </c>
      <c r="K7044" s="477" t="s">
        <v>9295</v>
      </c>
      <c r="L7044" s="477" t="s">
        <v>9295</v>
      </c>
      <c r="M7044" s="35" t="s">
        <v>9296</v>
      </c>
      <c r="N7044" s="34">
        <v>44675</v>
      </c>
      <c r="O7044" s="35" t="s">
        <v>507</v>
      </c>
      <c r="P7044" s="125">
        <v>5000</v>
      </c>
      <c r="Q7044" s="526">
        <v>9</v>
      </c>
      <c r="R7044" s="125">
        <f t="shared" si="201"/>
        <v>45000</v>
      </c>
      <c r="S7044" s="31">
        <v>202304</v>
      </c>
      <c r="T7044" s="529" t="s">
        <v>9304</v>
      </c>
      <c r="U7044" s="529"/>
      <c r="V7044" s="533"/>
      <c r="W7044" s="534"/>
      <c r="X7044" s="34"/>
      <c r="Y7044" s="34"/>
    </row>
    <row r="7045" s="5" customFormat="1" customHeight="1" spans="1:25">
      <c r="A7045" s="22" t="s">
        <v>61</v>
      </c>
      <c r="B7045" s="22" t="s">
        <v>9233</v>
      </c>
      <c r="C7045" s="22" t="s">
        <v>84</v>
      </c>
      <c r="D7045" s="22" t="s">
        <v>85</v>
      </c>
      <c r="E7045" s="46" t="s">
        <v>9305</v>
      </c>
      <c r="F7045" s="22" t="s">
        <v>9306</v>
      </c>
      <c r="G7045" s="22" t="s">
        <v>67</v>
      </c>
      <c r="H7045" s="22" t="s">
        <v>9307</v>
      </c>
      <c r="I7045" s="46" t="e">
        <f>VLOOKUP(H7045,'合同高级查询数据-4月返'!A:A,1,FALSE)</f>
        <v>#N/A</v>
      </c>
      <c r="J7045" s="22" t="s">
        <v>69</v>
      </c>
      <c r="K7045" s="522" t="s">
        <v>9238</v>
      </c>
      <c r="L7045" s="22"/>
      <c r="M7045" s="22"/>
      <c r="N7045" s="50">
        <v>44317</v>
      </c>
      <c r="O7045" s="22" t="s">
        <v>71</v>
      </c>
      <c r="P7045" s="114">
        <v>180000</v>
      </c>
      <c r="Q7045" s="531">
        <v>1</v>
      </c>
      <c r="R7045" s="114">
        <f t="shared" si="201"/>
        <v>180000</v>
      </c>
      <c r="S7045" s="47">
        <v>202304</v>
      </c>
      <c r="T7045" s="532" t="s">
        <v>9308</v>
      </c>
      <c r="U7045" s="532"/>
      <c r="V7045" s="97"/>
      <c r="W7045" s="97"/>
      <c r="X7045" s="50">
        <v>44317</v>
      </c>
      <c r="Y7045" s="50">
        <v>44592</v>
      </c>
    </row>
    <row r="7046" s="5" customFormat="1" customHeight="1" spans="1:25">
      <c r="A7046" s="22" t="s">
        <v>61</v>
      </c>
      <c r="B7046" s="22" t="s">
        <v>9233</v>
      </c>
      <c r="C7046" s="22" t="s">
        <v>84</v>
      </c>
      <c r="D7046" s="22" t="s">
        <v>85</v>
      </c>
      <c r="E7046" s="46" t="s">
        <v>9305</v>
      </c>
      <c r="F7046" s="22" t="s">
        <v>9306</v>
      </c>
      <c r="G7046" s="22" t="s">
        <v>67</v>
      </c>
      <c r="H7046" s="22" t="s">
        <v>9307</v>
      </c>
      <c r="I7046" s="46" t="e">
        <f>VLOOKUP(H7046,'合同高级查询数据-4月返'!A:A,1,FALSE)</f>
        <v>#N/A</v>
      </c>
      <c r="J7046" s="22" t="s">
        <v>69</v>
      </c>
      <c r="K7046" s="522" t="s">
        <v>9238</v>
      </c>
      <c r="L7046" s="22"/>
      <c r="M7046" s="22"/>
      <c r="N7046" s="50">
        <v>44592</v>
      </c>
      <c r="O7046" s="22" t="s">
        <v>71</v>
      </c>
      <c r="P7046" s="114">
        <v>180000</v>
      </c>
      <c r="Q7046" s="531">
        <v>-1</v>
      </c>
      <c r="R7046" s="114">
        <f t="shared" si="201"/>
        <v>-180000</v>
      </c>
      <c r="S7046" s="47">
        <v>202304</v>
      </c>
      <c r="T7046" s="532" t="s">
        <v>9309</v>
      </c>
      <c r="U7046" s="532"/>
      <c r="V7046" s="97"/>
      <c r="W7046" s="97"/>
      <c r="X7046" s="50">
        <v>44317</v>
      </c>
      <c r="Y7046" s="50">
        <v>44592</v>
      </c>
    </row>
    <row r="7047" s="3" customFormat="1" customHeight="1" spans="1:25">
      <c r="A7047" s="35" t="s">
        <v>61</v>
      </c>
      <c r="B7047" s="35" t="s">
        <v>9233</v>
      </c>
      <c r="C7047" s="35" t="s">
        <v>84</v>
      </c>
      <c r="D7047" s="35" t="s">
        <v>85</v>
      </c>
      <c r="E7047" s="30" t="s">
        <v>9310</v>
      </c>
      <c r="F7047" s="35" t="s">
        <v>9311</v>
      </c>
      <c r="G7047" s="35" t="s">
        <v>31</v>
      </c>
      <c r="H7047" s="35" t="s">
        <v>9312</v>
      </c>
      <c r="I7047" s="30" t="e">
        <f>VLOOKUP(H7047,'合同高级查询数据-4月返'!A:A,1,FALSE)</f>
        <v>#N/A</v>
      </c>
      <c r="J7047" s="35" t="s">
        <v>33</v>
      </c>
      <c r="K7047" s="35" t="s">
        <v>63</v>
      </c>
      <c r="L7047" s="477" t="s">
        <v>9313</v>
      </c>
      <c r="M7047" s="35" t="s">
        <v>9314</v>
      </c>
      <c r="N7047" s="34" t="s">
        <v>1329</v>
      </c>
      <c r="O7047" s="35" t="s">
        <v>37</v>
      </c>
      <c r="P7047" s="521">
        <v>0</v>
      </c>
      <c r="Q7047" s="459">
        <v>256</v>
      </c>
      <c r="R7047" s="125">
        <f t="shared" si="201"/>
        <v>0</v>
      </c>
      <c r="S7047" s="31">
        <v>202304</v>
      </c>
      <c r="T7047" s="529" t="s">
        <v>9315</v>
      </c>
      <c r="U7047" s="529"/>
      <c r="V7047" s="411"/>
      <c r="W7047" s="438"/>
      <c r="X7047" s="34"/>
      <c r="Y7047" s="34"/>
    </row>
    <row r="7048" s="3" customFormat="1" customHeight="1" spans="1:25">
      <c r="A7048" s="35" t="s">
        <v>61</v>
      </c>
      <c r="B7048" s="35" t="s">
        <v>9233</v>
      </c>
      <c r="C7048" s="35" t="s">
        <v>84</v>
      </c>
      <c r="D7048" s="35" t="s">
        <v>85</v>
      </c>
      <c r="E7048" s="30" t="s">
        <v>9310</v>
      </c>
      <c r="F7048" s="35" t="s">
        <v>9311</v>
      </c>
      <c r="G7048" s="35" t="s">
        <v>31</v>
      </c>
      <c r="H7048" s="35" t="s">
        <v>9312</v>
      </c>
      <c r="I7048" s="30" t="e">
        <f>VLOOKUP(H7048,'合同高级查询数据-4月返'!A:A,1,FALSE)</f>
        <v>#N/A</v>
      </c>
      <c r="J7048" s="35" t="s">
        <v>33</v>
      </c>
      <c r="K7048" s="35" t="s">
        <v>40</v>
      </c>
      <c r="L7048" s="477" t="s">
        <v>9316</v>
      </c>
      <c r="M7048" s="35" t="s">
        <v>9317</v>
      </c>
      <c r="N7048" s="34" t="s">
        <v>1329</v>
      </c>
      <c r="O7048" s="35" t="s">
        <v>37</v>
      </c>
      <c r="P7048" s="521">
        <v>0</v>
      </c>
      <c r="Q7048" s="459">
        <v>128</v>
      </c>
      <c r="R7048" s="125">
        <f t="shared" si="201"/>
        <v>0</v>
      </c>
      <c r="S7048" s="31">
        <v>202304</v>
      </c>
      <c r="T7048" s="529" t="s">
        <v>9318</v>
      </c>
      <c r="U7048" s="529"/>
      <c r="V7048" s="411"/>
      <c r="W7048" s="438"/>
      <c r="X7048" s="34"/>
      <c r="Y7048" s="34"/>
    </row>
    <row r="7049" s="3" customFormat="1" customHeight="1" spans="1:25">
      <c r="A7049" s="35" t="s">
        <v>61</v>
      </c>
      <c r="B7049" s="35" t="s">
        <v>9233</v>
      </c>
      <c r="C7049" s="35" t="s">
        <v>84</v>
      </c>
      <c r="D7049" s="35" t="s">
        <v>85</v>
      </c>
      <c r="E7049" s="30" t="s">
        <v>9310</v>
      </c>
      <c r="F7049" s="35" t="s">
        <v>9311</v>
      </c>
      <c r="G7049" s="35" t="s">
        <v>31</v>
      </c>
      <c r="H7049" s="35" t="s">
        <v>9312</v>
      </c>
      <c r="I7049" s="30" t="e">
        <f>VLOOKUP(H7049,'合同高级查询数据-4月返'!A:A,1,FALSE)</f>
        <v>#N/A</v>
      </c>
      <c r="J7049" s="35" t="s">
        <v>33</v>
      </c>
      <c r="K7049" s="35" t="s">
        <v>813</v>
      </c>
      <c r="L7049" s="477" t="s">
        <v>9319</v>
      </c>
      <c r="M7049" s="35" t="s">
        <v>9320</v>
      </c>
      <c r="N7049" s="34" t="s">
        <v>1329</v>
      </c>
      <c r="O7049" s="35" t="s">
        <v>37</v>
      </c>
      <c r="P7049" s="521">
        <v>0</v>
      </c>
      <c r="Q7049" s="459">
        <v>128</v>
      </c>
      <c r="R7049" s="125">
        <f t="shared" si="201"/>
        <v>0</v>
      </c>
      <c r="S7049" s="31">
        <v>202304</v>
      </c>
      <c r="T7049" s="529" t="s">
        <v>9321</v>
      </c>
      <c r="U7049" s="529"/>
      <c r="V7049" s="411"/>
      <c r="W7049" s="438"/>
      <c r="X7049" s="34"/>
      <c r="Y7049" s="34"/>
    </row>
    <row r="7050" s="5" customFormat="1" customHeight="1" spans="1:25">
      <c r="A7050" s="22" t="s">
        <v>61</v>
      </c>
      <c r="B7050" s="22" t="s">
        <v>9233</v>
      </c>
      <c r="C7050" s="22" t="s">
        <v>84</v>
      </c>
      <c r="D7050" s="22" t="s">
        <v>85</v>
      </c>
      <c r="E7050" s="46" t="s">
        <v>9310</v>
      </c>
      <c r="F7050" s="22" t="s">
        <v>9311</v>
      </c>
      <c r="G7050" s="22" t="s">
        <v>88</v>
      </c>
      <c r="H7050" s="22" t="s">
        <v>9322</v>
      </c>
      <c r="I7050" s="46" t="e">
        <f>VLOOKUP(H7050,'合同高级查询数据-4月返'!A:A,1,FALSE)</f>
        <v>#N/A</v>
      </c>
      <c r="J7050" s="22" t="s">
        <v>162</v>
      </c>
      <c r="K7050" s="22" t="s">
        <v>63</v>
      </c>
      <c r="L7050" s="511" t="s">
        <v>9313</v>
      </c>
      <c r="M7050" s="22" t="s">
        <v>9314</v>
      </c>
      <c r="N7050" s="50">
        <v>41640</v>
      </c>
      <c r="O7050" s="50" t="s">
        <v>503</v>
      </c>
      <c r="P7050" s="114">
        <v>6000</v>
      </c>
      <c r="Q7050" s="531">
        <v>2</v>
      </c>
      <c r="R7050" s="114">
        <f t="shared" si="201"/>
        <v>12000</v>
      </c>
      <c r="S7050" s="47">
        <v>202304</v>
      </c>
      <c r="T7050" s="536" t="s">
        <v>9323</v>
      </c>
      <c r="U7050" s="536"/>
      <c r="V7050" s="537"/>
      <c r="W7050" s="537"/>
      <c r="X7050" s="50">
        <v>44317</v>
      </c>
      <c r="Y7050" s="50">
        <v>45046</v>
      </c>
    </row>
    <row r="7051" s="5" customFormat="1" customHeight="1" spans="1:25">
      <c r="A7051" s="22" t="s">
        <v>61</v>
      </c>
      <c r="B7051" s="22" t="s">
        <v>9233</v>
      </c>
      <c r="C7051" s="22" t="s">
        <v>84</v>
      </c>
      <c r="D7051" s="22" t="s">
        <v>85</v>
      </c>
      <c r="E7051" s="46" t="s">
        <v>9310</v>
      </c>
      <c r="F7051" s="22" t="s">
        <v>9311</v>
      </c>
      <c r="G7051" s="22" t="s">
        <v>88</v>
      </c>
      <c r="H7051" s="22" t="s">
        <v>9322</v>
      </c>
      <c r="I7051" s="46" t="e">
        <f>VLOOKUP(H7051,'合同高级查询数据-4月返'!A:A,1,FALSE)</f>
        <v>#N/A</v>
      </c>
      <c r="J7051" s="22" t="s">
        <v>162</v>
      </c>
      <c r="K7051" s="22" t="s">
        <v>63</v>
      </c>
      <c r="L7051" s="511" t="s">
        <v>9313</v>
      </c>
      <c r="M7051" s="22" t="s">
        <v>9314</v>
      </c>
      <c r="N7051" s="50">
        <v>44531</v>
      </c>
      <c r="O7051" s="50" t="s">
        <v>503</v>
      </c>
      <c r="P7051" s="114">
        <v>6000</v>
      </c>
      <c r="Q7051" s="531">
        <v>1</v>
      </c>
      <c r="R7051" s="114">
        <f t="shared" si="201"/>
        <v>6000</v>
      </c>
      <c r="S7051" s="47">
        <v>202304</v>
      </c>
      <c r="T7051" s="536" t="s">
        <v>9324</v>
      </c>
      <c r="U7051" s="536"/>
      <c r="V7051" s="537"/>
      <c r="W7051" s="537"/>
      <c r="X7051" s="50">
        <v>44317</v>
      </c>
      <c r="Y7051" s="50">
        <v>45046</v>
      </c>
    </row>
    <row r="7052" s="5" customFormat="1" customHeight="1" spans="1:25">
      <c r="A7052" s="22" t="s">
        <v>61</v>
      </c>
      <c r="B7052" s="22" t="s">
        <v>9233</v>
      </c>
      <c r="C7052" s="22" t="s">
        <v>84</v>
      </c>
      <c r="D7052" s="22" t="s">
        <v>85</v>
      </c>
      <c r="E7052" s="46" t="s">
        <v>9310</v>
      </c>
      <c r="F7052" s="22" t="s">
        <v>9311</v>
      </c>
      <c r="G7052" s="22" t="s">
        <v>88</v>
      </c>
      <c r="H7052" s="22" t="s">
        <v>9322</v>
      </c>
      <c r="I7052" s="46" t="e">
        <f>VLOOKUP(H7052,'合同高级查询数据-4月返'!A:A,1,FALSE)</f>
        <v>#N/A</v>
      </c>
      <c r="J7052" s="22" t="s">
        <v>162</v>
      </c>
      <c r="K7052" s="22" t="s">
        <v>813</v>
      </c>
      <c r="L7052" s="511" t="s">
        <v>9319</v>
      </c>
      <c r="M7052" s="22" t="s">
        <v>9320</v>
      </c>
      <c r="N7052" s="50">
        <v>43333</v>
      </c>
      <c r="O7052" s="50" t="s">
        <v>702</v>
      </c>
      <c r="P7052" s="114">
        <v>6000</v>
      </c>
      <c r="Q7052" s="531">
        <v>1</v>
      </c>
      <c r="R7052" s="114">
        <f t="shared" si="201"/>
        <v>6000</v>
      </c>
      <c r="S7052" s="47">
        <v>202304</v>
      </c>
      <c r="T7052" s="536" t="s">
        <v>9325</v>
      </c>
      <c r="U7052" s="536"/>
      <c r="V7052" s="537"/>
      <c r="W7052" s="537"/>
      <c r="X7052" s="50">
        <v>44317</v>
      </c>
      <c r="Y7052" s="50">
        <v>45046</v>
      </c>
    </row>
    <row r="7053" s="5" customFormat="1" customHeight="1" spans="1:25">
      <c r="A7053" s="22" t="s">
        <v>61</v>
      </c>
      <c r="B7053" s="22" t="s">
        <v>9233</v>
      </c>
      <c r="C7053" s="22" t="s">
        <v>84</v>
      </c>
      <c r="D7053" s="22" t="s">
        <v>85</v>
      </c>
      <c r="E7053" s="46" t="s">
        <v>9310</v>
      </c>
      <c r="F7053" s="22" t="s">
        <v>9311</v>
      </c>
      <c r="G7053" s="22" t="s">
        <v>88</v>
      </c>
      <c r="H7053" s="22" t="s">
        <v>9322</v>
      </c>
      <c r="I7053" s="46" t="e">
        <f>VLOOKUP(H7053,'合同高级查询数据-4月返'!A:A,1,FALSE)</f>
        <v>#N/A</v>
      </c>
      <c r="J7053" s="22" t="s">
        <v>162</v>
      </c>
      <c r="K7053" s="22" t="s">
        <v>40</v>
      </c>
      <c r="L7053" s="511" t="s">
        <v>9316</v>
      </c>
      <c r="M7053" s="22" t="s">
        <v>9317</v>
      </c>
      <c r="N7053" s="50">
        <v>43330</v>
      </c>
      <c r="O7053" s="50" t="s">
        <v>702</v>
      </c>
      <c r="P7053" s="114">
        <v>6000</v>
      </c>
      <c r="Q7053" s="531">
        <v>1</v>
      </c>
      <c r="R7053" s="114">
        <f t="shared" si="201"/>
        <v>6000</v>
      </c>
      <c r="S7053" s="47">
        <v>202304</v>
      </c>
      <c r="T7053" s="536" t="s">
        <v>9326</v>
      </c>
      <c r="U7053" s="536"/>
      <c r="V7053" s="537"/>
      <c r="W7053" s="537"/>
      <c r="X7053" s="50">
        <v>44317</v>
      </c>
      <c r="Y7053" s="50">
        <v>45046</v>
      </c>
    </row>
    <row r="7054" s="5" customFormat="1" customHeight="1" spans="1:25">
      <c r="A7054" s="22" t="s">
        <v>61</v>
      </c>
      <c r="B7054" s="22" t="s">
        <v>9233</v>
      </c>
      <c r="C7054" s="22" t="s">
        <v>84</v>
      </c>
      <c r="D7054" s="22" t="s">
        <v>85</v>
      </c>
      <c r="E7054" s="46" t="s">
        <v>9310</v>
      </c>
      <c r="F7054" s="22" t="s">
        <v>9311</v>
      </c>
      <c r="G7054" s="22" t="s">
        <v>67</v>
      </c>
      <c r="H7054" s="22" t="s">
        <v>9327</v>
      </c>
      <c r="I7054" s="46" t="e">
        <f>VLOOKUP(H7054,'合同高级查询数据-4月返'!A:A,1,FALSE)</f>
        <v>#N/A</v>
      </c>
      <c r="J7054" s="22" t="s">
        <v>69</v>
      </c>
      <c r="K7054" s="22" t="s">
        <v>9328</v>
      </c>
      <c r="L7054" s="511"/>
      <c r="M7054" s="22"/>
      <c r="N7054" s="50">
        <v>42347</v>
      </c>
      <c r="O7054" s="50" t="s">
        <v>71</v>
      </c>
      <c r="P7054" s="114">
        <v>89200</v>
      </c>
      <c r="Q7054" s="531">
        <v>1</v>
      </c>
      <c r="R7054" s="114">
        <f t="shared" si="201"/>
        <v>89200</v>
      </c>
      <c r="S7054" s="47">
        <v>202304</v>
      </c>
      <c r="T7054" s="536" t="s">
        <v>9329</v>
      </c>
      <c r="U7054" s="536"/>
      <c r="V7054" s="537"/>
      <c r="W7054" s="537"/>
      <c r="X7054" s="50">
        <v>43952</v>
      </c>
      <c r="Y7054" s="50">
        <v>44316</v>
      </c>
    </row>
    <row r="7055" s="5" customFormat="1" customHeight="1" spans="1:25">
      <c r="A7055" s="22" t="s">
        <v>61</v>
      </c>
      <c r="B7055" s="22" t="s">
        <v>9233</v>
      </c>
      <c r="C7055" s="22" t="s">
        <v>84</v>
      </c>
      <c r="D7055" s="22" t="s">
        <v>85</v>
      </c>
      <c r="E7055" s="46" t="s">
        <v>9310</v>
      </c>
      <c r="F7055" s="22" t="s">
        <v>9311</v>
      </c>
      <c r="G7055" s="22" t="s">
        <v>67</v>
      </c>
      <c r="H7055" s="22" t="s">
        <v>9327</v>
      </c>
      <c r="I7055" s="46" t="e">
        <f>VLOOKUP(H7055,'合同高级查询数据-4月返'!A:A,1,FALSE)</f>
        <v>#N/A</v>
      </c>
      <c r="J7055" s="22" t="s">
        <v>69</v>
      </c>
      <c r="K7055" s="22" t="s">
        <v>9328</v>
      </c>
      <c r="L7055" s="511"/>
      <c r="M7055" s="22"/>
      <c r="N7055" s="50">
        <v>44316</v>
      </c>
      <c r="O7055" s="50" t="s">
        <v>71</v>
      </c>
      <c r="P7055" s="114">
        <v>89200</v>
      </c>
      <c r="Q7055" s="531">
        <v>-1</v>
      </c>
      <c r="R7055" s="114">
        <f t="shared" si="201"/>
        <v>-89200</v>
      </c>
      <c r="S7055" s="47">
        <v>202304</v>
      </c>
      <c r="T7055" s="536" t="s">
        <v>9330</v>
      </c>
      <c r="U7055" s="536"/>
      <c r="V7055" s="537"/>
      <c r="W7055" s="537"/>
      <c r="X7055" s="50">
        <v>43952</v>
      </c>
      <c r="Y7055" s="50">
        <v>44316</v>
      </c>
    </row>
    <row r="7056" s="3" customFormat="1" customHeight="1" spans="1:25">
      <c r="A7056" s="35" t="s">
        <v>61</v>
      </c>
      <c r="B7056" s="35" t="s">
        <v>9233</v>
      </c>
      <c r="C7056" s="35" t="s">
        <v>63</v>
      </c>
      <c r="D7056" s="35" t="s">
        <v>85</v>
      </c>
      <c r="E7056" s="30" t="s">
        <v>9310</v>
      </c>
      <c r="F7056" s="35" t="s">
        <v>9311</v>
      </c>
      <c r="G7056" s="35" t="s">
        <v>31</v>
      </c>
      <c r="H7056" s="35" t="s">
        <v>9331</v>
      </c>
      <c r="I7056" s="30" t="e">
        <f>VLOOKUP(H7056,'合同高级查询数据-4月返'!A:A,1,FALSE)</f>
        <v>#N/A</v>
      </c>
      <c r="J7056" s="35" t="s">
        <v>33</v>
      </c>
      <c r="K7056" s="35"/>
      <c r="L7056" s="477" t="s">
        <v>9332</v>
      </c>
      <c r="M7056" s="35" t="s">
        <v>9333</v>
      </c>
      <c r="N7056" s="34">
        <v>44652</v>
      </c>
      <c r="O7056" s="35" t="s">
        <v>37</v>
      </c>
      <c r="P7056" s="125">
        <v>0</v>
      </c>
      <c r="Q7056" s="488">
        <v>160</v>
      </c>
      <c r="R7056" s="125">
        <f t="shared" si="201"/>
        <v>0</v>
      </c>
      <c r="S7056" s="31">
        <v>202304</v>
      </c>
      <c r="T7056" s="529" t="s">
        <v>9334</v>
      </c>
      <c r="U7056" s="529"/>
      <c r="V7056" s="533"/>
      <c r="W7056" s="534"/>
      <c r="X7056" s="34"/>
      <c r="Y7056" s="34"/>
    </row>
    <row r="7057" s="3" customFormat="1" customHeight="1" spans="1:25">
      <c r="A7057" s="35" t="s">
        <v>61</v>
      </c>
      <c r="B7057" s="35" t="s">
        <v>9233</v>
      </c>
      <c r="C7057" s="35" t="s">
        <v>63</v>
      </c>
      <c r="D7057" s="35" t="s">
        <v>85</v>
      </c>
      <c r="E7057" s="30" t="s">
        <v>9310</v>
      </c>
      <c r="F7057" s="35" t="s">
        <v>9311</v>
      </c>
      <c r="G7057" s="35" t="s">
        <v>31</v>
      </c>
      <c r="H7057" s="35" t="s">
        <v>9331</v>
      </c>
      <c r="I7057" s="30" t="e">
        <f>VLOOKUP(H7057,'合同高级查询数据-4月返'!A:A,1,FALSE)</f>
        <v>#N/A</v>
      </c>
      <c r="J7057" s="35" t="s">
        <v>33</v>
      </c>
      <c r="K7057" s="35"/>
      <c r="L7057" s="477" t="s">
        <v>9332</v>
      </c>
      <c r="M7057" s="35" t="s">
        <v>9333</v>
      </c>
      <c r="N7057" s="34">
        <v>44681</v>
      </c>
      <c r="O7057" s="35" t="s">
        <v>37</v>
      </c>
      <c r="P7057" s="125">
        <v>0</v>
      </c>
      <c r="Q7057" s="488">
        <v>-160</v>
      </c>
      <c r="R7057" s="125">
        <f t="shared" si="201"/>
        <v>0</v>
      </c>
      <c r="S7057" s="31">
        <v>202304</v>
      </c>
      <c r="T7057" s="529"/>
      <c r="U7057" s="529"/>
      <c r="V7057" s="533"/>
      <c r="W7057" s="534"/>
      <c r="X7057" s="34"/>
      <c r="Y7057" s="34"/>
    </row>
    <row r="7058" s="3" customFormat="1" customHeight="1" spans="1:25">
      <c r="A7058" s="35" t="s">
        <v>61</v>
      </c>
      <c r="B7058" s="35" t="s">
        <v>9233</v>
      </c>
      <c r="C7058" s="35" t="s">
        <v>84</v>
      </c>
      <c r="D7058" s="35" t="s">
        <v>85</v>
      </c>
      <c r="E7058" s="30" t="s">
        <v>9310</v>
      </c>
      <c r="F7058" s="35" t="s">
        <v>9311</v>
      </c>
      <c r="G7058" s="35" t="s">
        <v>88</v>
      </c>
      <c r="H7058" s="35" t="s">
        <v>9331</v>
      </c>
      <c r="I7058" s="30" t="e">
        <f>VLOOKUP(H7058,'合同高级查询数据-4月返'!A:A,1,FALSE)</f>
        <v>#N/A</v>
      </c>
      <c r="J7058" s="35" t="s">
        <v>162</v>
      </c>
      <c r="K7058" s="35" t="s">
        <v>6704</v>
      </c>
      <c r="L7058" s="477" t="s">
        <v>9335</v>
      </c>
      <c r="M7058" s="35" t="s">
        <v>9333</v>
      </c>
      <c r="N7058" s="34">
        <v>44652</v>
      </c>
      <c r="O7058" s="34" t="s">
        <v>163</v>
      </c>
      <c r="P7058" s="125">
        <v>0</v>
      </c>
      <c r="Q7058" s="526">
        <v>1</v>
      </c>
      <c r="R7058" s="125">
        <f t="shared" ref="R7058:R7119" si="202">ROUND(P7058*Q7058,2)</f>
        <v>0</v>
      </c>
      <c r="S7058" s="31">
        <v>202304</v>
      </c>
      <c r="T7058" s="529" t="s">
        <v>9336</v>
      </c>
      <c r="U7058" s="529"/>
      <c r="V7058" s="534"/>
      <c r="W7058" s="534"/>
      <c r="X7058" s="34"/>
      <c r="Y7058" s="34"/>
    </row>
    <row r="7059" s="3" customFormat="1" customHeight="1" spans="1:25">
      <c r="A7059" s="35" t="s">
        <v>61</v>
      </c>
      <c r="B7059" s="35" t="s">
        <v>9233</v>
      </c>
      <c r="C7059" s="35" t="s">
        <v>84</v>
      </c>
      <c r="D7059" s="35" t="s">
        <v>85</v>
      </c>
      <c r="E7059" s="30" t="s">
        <v>9310</v>
      </c>
      <c r="F7059" s="35" t="s">
        <v>9311</v>
      </c>
      <c r="G7059" s="35" t="s">
        <v>88</v>
      </c>
      <c r="H7059" s="35" t="s">
        <v>9331</v>
      </c>
      <c r="I7059" s="30" t="e">
        <f>VLOOKUP(H7059,'合同高级查询数据-4月返'!A:A,1,FALSE)</f>
        <v>#N/A</v>
      </c>
      <c r="J7059" s="35" t="s">
        <v>162</v>
      </c>
      <c r="K7059" s="35" t="s">
        <v>6704</v>
      </c>
      <c r="L7059" s="477" t="s">
        <v>9335</v>
      </c>
      <c r="M7059" s="35" t="s">
        <v>9333</v>
      </c>
      <c r="N7059" s="34">
        <v>44681</v>
      </c>
      <c r="O7059" s="34" t="s">
        <v>163</v>
      </c>
      <c r="P7059" s="125">
        <v>0</v>
      </c>
      <c r="Q7059" s="526">
        <v>-1</v>
      </c>
      <c r="R7059" s="125">
        <f t="shared" si="202"/>
        <v>0</v>
      </c>
      <c r="S7059" s="31">
        <v>202304</v>
      </c>
      <c r="T7059" s="529"/>
      <c r="U7059" s="529"/>
      <c r="V7059" s="534"/>
      <c r="W7059" s="534"/>
      <c r="X7059" s="34"/>
      <c r="Y7059" s="34"/>
    </row>
    <row r="7060" s="5" customFormat="1" customHeight="1" spans="1:25">
      <c r="A7060" s="22" t="s">
        <v>25</v>
      </c>
      <c r="B7060" s="22" t="s">
        <v>9337</v>
      </c>
      <c r="C7060" s="22" t="s">
        <v>44</v>
      </c>
      <c r="D7060" s="22" t="s">
        <v>642</v>
      </c>
      <c r="E7060" s="46" t="s">
        <v>8640</v>
      </c>
      <c r="F7060" s="22" t="s">
        <v>9338</v>
      </c>
      <c r="G7060" s="22" t="s">
        <v>31</v>
      </c>
      <c r="H7060" s="22" t="s">
        <v>9339</v>
      </c>
      <c r="I7060" s="46" t="e">
        <f>VLOOKUP(H7060,'合同高级查询数据-4月返'!A:A,1,FALSE)</f>
        <v>#N/A</v>
      </c>
      <c r="J7060" s="22" t="s">
        <v>33</v>
      </c>
      <c r="K7060" s="22" t="s">
        <v>9340</v>
      </c>
      <c r="L7060" s="511" t="s">
        <v>9341</v>
      </c>
      <c r="M7060" s="22" t="s">
        <v>9342</v>
      </c>
      <c r="N7060" s="50">
        <v>44713</v>
      </c>
      <c r="O7060" s="22" t="s">
        <v>37</v>
      </c>
      <c r="P7060" s="114">
        <v>0</v>
      </c>
      <c r="Q7060" s="486">
        <v>288</v>
      </c>
      <c r="R7060" s="114">
        <f t="shared" si="202"/>
        <v>0</v>
      </c>
      <c r="S7060" s="47">
        <v>202304</v>
      </c>
      <c r="T7060" s="536" t="s">
        <v>9343</v>
      </c>
      <c r="U7060" s="536"/>
      <c r="V7060" s="512"/>
      <c r="W7060" s="537"/>
      <c r="X7060" s="50">
        <v>44713</v>
      </c>
      <c r="Y7060" s="50">
        <v>45077</v>
      </c>
    </row>
    <row r="7061" s="5" customFormat="1" customHeight="1" spans="1:25">
      <c r="A7061" s="22" t="s">
        <v>25</v>
      </c>
      <c r="B7061" s="22" t="s">
        <v>9337</v>
      </c>
      <c r="C7061" s="22" t="s">
        <v>44</v>
      </c>
      <c r="D7061" s="22" t="s">
        <v>642</v>
      </c>
      <c r="E7061" s="46" t="s">
        <v>8640</v>
      </c>
      <c r="F7061" s="22" t="s">
        <v>9338</v>
      </c>
      <c r="G7061" s="22" t="s">
        <v>88</v>
      </c>
      <c r="H7061" s="22" t="s">
        <v>9339</v>
      </c>
      <c r="I7061" s="46" t="e">
        <f>VLOOKUP(H7061,'合同高级查询数据-4月返'!A:A,1,FALSE)</f>
        <v>#N/A</v>
      </c>
      <c r="J7061" s="22" t="s">
        <v>162</v>
      </c>
      <c r="K7061" s="22" t="s">
        <v>9340</v>
      </c>
      <c r="L7061" s="511" t="s">
        <v>9341</v>
      </c>
      <c r="M7061" s="22" t="s">
        <v>9342</v>
      </c>
      <c r="N7061" s="50">
        <v>44713</v>
      </c>
      <c r="O7061" s="22" t="s">
        <v>92</v>
      </c>
      <c r="P7061" s="114">
        <v>4000</v>
      </c>
      <c r="Q7061" s="531">
        <v>6</v>
      </c>
      <c r="R7061" s="114">
        <f t="shared" si="202"/>
        <v>24000</v>
      </c>
      <c r="S7061" s="47">
        <v>202304</v>
      </c>
      <c r="T7061" s="536" t="s">
        <v>9344</v>
      </c>
      <c r="U7061" s="536"/>
      <c r="V7061" s="512"/>
      <c r="W7061" s="537"/>
      <c r="X7061" s="50">
        <v>44713</v>
      </c>
      <c r="Y7061" s="50">
        <v>45077</v>
      </c>
    </row>
    <row r="7062" s="5" customFormat="1" customHeight="1" spans="1:25">
      <c r="A7062" s="22" t="s">
        <v>25</v>
      </c>
      <c r="B7062" s="22" t="s">
        <v>9337</v>
      </c>
      <c r="C7062" s="22" t="s">
        <v>44</v>
      </c>
      <c r="D7062" s="22" t="s">
        <v>642</v>
      </c>
      <c r="E7062" s="46" t="s">
        <v>8640</v>
      </c>
      <c r="F7062" s="22" t="s">
        <v>9338</v>
      </c>
      <c r="G7062" s="22" t="s">
        <v>67</v>
      </c>
      <c r="H7062" s="22" t="s">
        <v>9339</v>
      </c>
      <c r="I7062" s="46" t="e">
        <f>VLOOKUP(H7062,'合同高级查询数据-4月返'!A:A,1,FALSE)</f>
        <v>#N/A</v>
      </c>
      <c r="J7062" s="22" t="s">
        <v>69</v>
      </c>
      <c r="K7062" s="22" t="s">
        <v>9340</v>
      </c>
      <c r="L7062" s="511" t="s">
        <v>9341</v>
      </c>
      <c r="M7062" s="22" t="s">
        <v>9342</v>
      </c>
      <c r="N7062" s="50">
        <v>44713</v>
      </c>
      <c r="O7062" s="22" t="s">
        <v>9345</v>
      </c>
      <c r="P7062" s="114">
        <v>1250</v>
      </c>
      <c r="Q7062" s="531">
        <v>2</v>
      </c>
      <c r="R7062" s="114">
        <f t="shared" si="202"/>
        <v>2500</v>
      </c>
      <c r="S7062" s="47">
        <v>202304</v>
      </c>
      <c r="T7062" s="536" t="s">
        <v>9346</v>
      </c>
      <c r="U7062" s="536"/>
      <c r="V7062" s="512"/>
      <c r="W7062" s="537"/>
      <c r="X7062" s="50">
        <v>44713</v>
      </c>
      <c r="Y7062" s="50">
        <v>45077</v>
      </c>
    </row>
    <row r="7063" s="5" customFormat="1" customHeight="1" spans="1:25">
      <c r="A7063" s="22" t="s">
        <v>152</v>
      </c>
      <c r="B7063" s="22" t="s">
        <v>9337</v>
      </c>
      <c r="C7063" s="22" t="s">
        <v>44</v>
      </c>
      <c r="D7063" s="22" t="s">
        <v>642</v>
      </c>
      <c r="E7063" s="46" t="s">
        <v>8640</v>
      </c>
      <c r="F7063" s="22" t="s">
        <v>9347</v>
      </c>
      <c r="G7063" s="22" t="s">
        <v>31</v>
      </c>
      <c r="H7063" s="22" t="s">
        <v>9348</v>
      </c>
      <c r="I7063" s="46" t="e">
        <f>VLOOKUP(H7063,'合同高级查询数据-4月返'!A:A,1,FALSE)</f>
        <v>#N/A</v>
      </c>
      <c r="J7063" s="22" t="s">
        <v>33</v>
      </c>
      <c r="K7063" s="22" t="s">
        <v>9340</v>
      </c>
      <c r="L7063" s="511" t="s">
        <v>9349</v>
      </c>
      <c r="M7063" s="22" t="s">
        <v>9342</v>
      </c>
      <c r="N7063" s="50">
        <v>44713</v>
      </c>
      <c r="O7063" s="22" t="s">
        <v>37</v>
      </c>
      <c r="P7063" s="114">
        <v>0</v>
      </c>
      <c r="Q7063" s="486">
        <v>288</v>
      </c>
      <c r="R7063" s="114">
        <f t="shared" si="202"/>
        <v>0</v>
      </c>
      <c r="S7063" s="47">
        <v>202304</v>
      </c>
      <c r="T7063" s="536" t="s">
        <v>9350</v>
      </c>
      <c r="U7063" s="536"/>
      <c r="V7063" s="512"/>
      <c r="W7063" s="537"/>
      <c r="X7063" s="50">
        <v>44713</v>
      </c>
      <c r="Y7063" s="50">
        <v>45077</v>
      </c>
    </row>
    <row r="7064" s="5" customFormat="1" customHeight="1" spans="1:25">
      <c r="A7064" s="22" t="s">
        <v>152</v>
      </c>
      <c r="B7064" s="22" t="s">
        <v>9337</v>
      </c>
      <c r="C7064" s="22" t="s">
        <v>44</v>
      </c>
      <c r="D7064" s="22" t="s">
        <v>642</v>
      </c>
      <c r="E7064" s="46" t="s">
        <v>8640</v>
      </c>
      <c r="F7064" s="22" t="s">
        <v>9347</v>
      </c>
      <c r="G7064" s="22" t="s">
        <v>88</v>
      </c>
      <c r="H7064" s="22" t="s">
        <v>9348</v>
      </c>
      <c r="I7064" s="46" t="e">
        <f>VLOOKUP(H7064,'合同高级查询数据-4月返'!A:A,1,FALSE)</f>
        <v>#N/A</v>
      </c>
      <c r="J7064" s="22" t="s">
        <v>162</v>
      </c>
      <c r="K7064" s="22" t="s">
        <v>9340</v>
      </c>
      <c r="L7064" s="511" t="s">
        <v>9349</v>
      </c>
      <c r="M7064" s="22" t="s">
        <v>9342</v>
      </c>
      <c r="N7064" s="50">
        <v>44713</v>
      </c>
      <c r="O7064" s="22" t="s">
        <v>92</v>
      </c>
      <c r="P7064" s="114">
        <v>4000</v>
      </c>
      <c r="Q7064" s="531">
        <v>6</v>
      </c>
      <c r="R7064" s="114">
        <f t="shared" si="202"/>
        <v>24000</v>
      </c>
      <c r="S7064" s="47">
        <v>202304</v>
      </c>
      <c r="T7064" s="536" t="s">
        <v>9351</v>
      </c>
      <c r="U7064" s="536"/>
      <c r="V7064" s="512"/>
      <c r="W7064" s="537"/>
      <c r="X7064" s="50">
        <v>44713</v>
      </c>
      <c r="Y7064" s="50">
        <v>45077</v>
      </c>
    </row>
    <row r="7065" s="5" customFormat="1" customHeight="1" spans="1:25">
      <c r="A7065" s="22" t="s">
        <v>109</v>
      </c>
      <c r="B7065" s="22" t="s">
        <v>9337</v>
      </c>
      <c r="C7065" s="22" t="s">
        <v>44</v>
      </c>
      <c r="D7065" s="22" t="s">
        <v>642</v>
      </c>
      <c r="E7065" s="46" t="s">
        <v>8640</v>
      </c>
      <c r="F7065" s="22" t="s">
        <v>9352</v>
      </c>
      <c r="G7065" s="22" t="s">
        <v>31</v>
      </c>
      <c r="H7065" s="22" t="s">
        <v>9353</v>
      </c>
      <c r="I7065" s="46" t="e">
        <f>VLOOKUP(H7065,'合同高级查询数据-4月返'!A:A,1,FALSE)</f>
        <v>#N/A</v>
      </c>
      <c r="J7065" s="22" t="s">
        <v>33</v>
      </c>
      <c r="K7065" s="22" t="s">
        <v>9340</v>
      </c>
      <c r="L7065" s="511" t="s">
        <v>9354</v>
      </c>
      <c r="M7065" s="22" t="s">
        <v>9342</v>
      </c>
      <c r="N7065" s="50">
        <v>44713</v>
      </c>
      <c r="O7065" s="22" t="s">
        <v>37</v>
      </c>
      <c r="P7065" s="114">
        <v>0</v>
      </c>
      <c r="Q7065" s="486">
        <v>288</v>
      </c>
      <c r="R7065" s="114">
        <f t="shared" si="202"/>
        <v>0</v>
      </c>
      <c r="S7065" s="47">
        <v>202304</v>
      </c>
      <c r="T7065" s="536" t="s">
        <v>9355</v>
      </c>
      <c r="U7065" s="536"/>
      <c r="V7065" s="512"/>
      <c r="W7065" s="537"/>
      <c r="X7065" s="50">
        <v>44713</v>
      </c>
      <c r="Y7065" s="50">
        <v>45077</v>
      </c>
    </row>
    <row r="7066" s="5" customFormat="1" customHeight="1" spans="1:25">
      <c r="A7066" s="22" t="s">
        <v>109</v>
      </c>
      <c r="B7066" s="22" t="s">
        <v>9337</v>
      </c>
      <c r="C7066" s="22" t="s">
        <v>44</v>
      </c>
      <c r="D7066" s="22" t="s">
        <v>642</v>
      </c>
      <c r="E7066" s="46" t="s">
        <v>8640</v>
      </c>
      <c r="F7066" s="22" t="s">
        <v>9352</v>
      </c>
      <c r="G7066" s="22" t="s">
        <v>88</v>
      </c>
      <c r="H7066" s="22" t="s">
        <v>9353</v>
      </c>
      <c r="I7066" s="46" t="e">
        <f>VLOOKUP(H7066,'合同高级查询数据-4月返'!A:A,1,FALSE)</f>
        <v>#N/A</v>
      </c>
      <c r="J7066" s="22" t="s">
        <v>162</v>
      </c>
      <c r="K7066" s="22" t="s">
        <v>9340</v>
      </c>
      <c r="L7066" s="511" t="s">
        <v>9354</v>
      </c>
      <c r="M7066" s="22" t="s">
        <v>9342</v>
      </c>
      <c r="N7066" s="50">
        <v>44713</v>
      </c>
      <c r="O7066" s="22" t="s">
        <v>92</v>
      </c>
      <c r="P7066" s="114">
        <v>4000</v>
      </c>
      <c r="Q7066" s="531">
        <v>6</v>
      </c>
      <c r="R7066" s="114">
        <f t="shared" si="202"/>
        <v>24000</v>
      </c>
      <c r="S7066" s="47">
        <v>202304</v>
      </c>
      <c r="T7066" s="536" t="s">
        <v>9356</v>
      </c>
      <c r="U7066" s="536"/>
      <c r="V7066" s="512"/>
      <c r="W7066" s="537"/>
      <c r="X7066" s="50">
        <v>44713</v>
      </c>
      <c r="Y7066" s="50">
        <v>45077</v>
      </c>
    </row>
    <row r="7067" s="5" customFormat="1" customHeight="1" spans="1:25">
      <c r="A7067" s="22" t="s">
        <v>61</v>
      </c>
      <c r="B7067" s="22" t="s">
        <v>9337</v>
      </c>
      <c r="C7067" s="22" t="s">
        <v>44</v>
      </c>
      <c r="D7067" s="22" t="s">
        <v>85</v>
      </c>
      <c r="E7067" s="46" t="s">
        <v>9357</v>
      </c>
      <c r="F7067" s="22" t="s">
        <v>9358</v>
      </c>
      <c r="G7067" s="22" t="s">
        <v>31</v>
      </c>
      <c r="H7067" s="22" t="s">
        <v>9359</v>
      </c>
      <c r="I7067" s="46" t="e">
        <f>VLOOKUP(H7067,'合同高级查询数据-4月返'!A:A,1,FALSE)</f>
        <v>#N/A</v>
      </c>
      <c r="J7067" s="22" t="s">
        <v>33</v>
      </c>
      <c r="K7067" s="22" t="s">
        <v>9360</v>
      </c>
      <c r="L7067" s="511" t="s">
        <v>9361</v>
      </c>
      <c r="M7067" s="22" t="s">
        <v>9362</v>
      </c>
      <c r="N7067" s="50">
        <v>44819</v>
      </c>
      <c r="O7067" s="22" t="s">
        <v>37</v>
      </c>
      <c r="P7067" s="114">
        <v>0</v>
      </c>
      <c r="Q7067" s="486">
        <v>128</v>
      </c>
      <c r="R7067" s="114">
        <f t="shared" si="202"/>
        <v>0</v>
      </c>
      <c r="S7067" s="47">
        <v>202304</v>
      </c>
      <c r="T7067" s="536" t="s">
        <v>9363</v>
      </c>
      <c r="U7067" s="97"/>
      <c r="V7067" s="97"/>
      <c r="W7067" s="97"/>
      <c r="X7067" s="50">
        <v>44774</v>
      </c>
      <c r="Y7067" s="50">
        <v>45138</v>
      </c>
    </row>
    <row r="7068" s="5" customFormat="1" customHeight="1" spans="1:25">
      <c r="A7068" s="22" t="s">
        <v>61</v>
      </c>
      <c r="B7068" s="22" t="s">
        <v>9337</v>
      </c>
      <c r="C7068" s="22" t="s">
        <v>44</v>
      </c>
      <c r="D7068" s="22" t="s">
        <v>85</v>
      </c>
      <c r="E7068" s="46" t="s">
        <v>9357</v>
      </c>
      <c r="F7068" s="22" t="s">
        <v>9358</v>
      </c>
      <c r="G7068" s="22" t="s">
        <v>88</v>
      </c>
      <c r="H7068" s="22" t="s">
        <v>9359</v>
      </c>
      <c r="I7068" s="46" t="e">
        <f>VLOOKUP(H7068,'合同高级查询数据-4月返'!A:A,1,FALSE)</f>
        <v>#N/A</v>
      </c>
      <c r="J7068" s="22" t="s">
        <v>162</v>
      </c>
      <c r="K7068" s="22" t="s">
        <v>9360</v>
      </c>
      <c r="L7068" s="511" t="s">
        <v>9361</v>
      </c>
      <c r="M7068" s="22" t="s">
        <v>9362</v>
      </c>
      <c r="N7068" s="50">
        <v>44819</v>
      </c>
      <c r="O7068" s="22" t="s">
        <v>92</v>
      </c>
      <c r="P7068" s="114">
        <v>0</v>
      </c>
      <c r="Q7068" s="531">
        <v>2</v>
      </c>
      <c r="R7068" s="114">
        <f t="shared" si="202"/>
        <v>0</v>
      </c>
      <c r="S7068" s="47">
        <v>202304</v>
      </c>
      <c r="T7068" s="536" t="s">
        <v>9364</v>
      </c>
      <c r="U7068" s="97"/>
      <c r="V7068" s="97"/>
      <c r="W7068" s="97"/>
      <c r="X7068" s="50">
        <v>44774</v>
      </c>
      <c r="Y7068" s="50">
        <v>45138</v>
      </c>
    </row>
    <row r="7069" s="5" customFormat="1" customHeight="1" spans="1:25">
      <c r="A7069" s="22" t="s">
        <v>448</v>
      </c>
      <c r="B7069" s="22" t="s">
        <v>9337</v>
      </c>
      <c r="C7069" s="22" t="s">
        <v>44</v>
      </c>
      <c r="D7069" s="22" t="s">
        <v>642</v>
      </c>
      <c r="E7069" s="46" t="s">
        <v>9365</v>
      </c>
      <c r="F7069" s="22" t="s">
        <v>8121</v>
      </c>
      <c r="G7069" s="22" t="s">
        <v>31</v>
      </c>
      <c r="H7069" s="22" t="s">
        <v>9366</v>
      </c>
      <c r="I7069" s="46" t="e">
        <f>VLOOKUP(H7069,'合同高级查询数据-4月返'!A:A,1,FALSE)</f>
        <v>#N/A</v>
      </c>
      <c r="J7069" s="22" t="s">
        <v>33</v>
      </c>
      <c r="K7069" s="22" t="s">
        <v>8120</v>
      </c>
      <c r="L7069" s="22" t="s">
        <v>9367</v>
      </c>
      <c r="M7069" s="22" t="s">
        <v>9368</v>
      </c>
      <c r="N7069" s="50">
        <v>44934</v>
      </c>
      <c r="O7069" s="22" t="s">
        <v>37</v>
      </c>
      <c r="P7069" s="114">
        <v>0</v>
      </c>
      <c r="Q7069" s="531">
        <v>64</v>
      </c>
      <c r="R7069" s="114">
        <f t="shared" si="202"/>
        <v>0</v>
      </c>
      <c r="S7069" s="47">
        <v>202304</v>
      </c>
      <c r="T7069" s="536" t="s">
        <v>9369</v>
      </c>
      <c r="U7069" s="522"/>
      <c r="V7069" s="538"/>
      <c r="W7069" s="537"/>
      <c r="X7069" s="50">
        <v>44927</v>
      </c>
      <c r="Y7069" s="50">
        <v>45291</v>
      </c>
    </row>
    <row r="7070" s="5" customFormat="1" customHeight="1" spans="1:25">
      <c r="A7070" s="22" t="s">
        <v>448</v>
      </c>
      <c r="B7070" s="22" t="s">
        <v>9337</v>
      </c>
      <c r="C7070" s="22" t="s">
        <v>44</v>
      </c>
      <c r="D7070" s="22" t="s">
        <v>642</v>
      </c>
      <c r="E7070" s="46" t="s">
        <v>9365</v>
      </c>
      <c r="F7070" s="22" t="s">
        <v>8121</v>
      </c>
      <c r="G7070" s="22" t="s">
        <v>31</v>
      </c>
      <c r="H7070" s="22" t="s">
        <v>9366</v>
      </c>
      <c r="I7070" s="46" t="e">
        <f>VLOOKUP(H7070,'合同高级查询数据-4月返'!A:A,1,FALSE)</f>
        <v>#N/A</v>
      </c>
      <c r="J7070" s="22" t="s">
        <v>33</v>
      </c>
      <c r="K7070" s="22" t="s">
        <v>8120</v>
      </c>
      <c r="L7070" s="22" t="s">
        <v>9367</v>
      </c>
      <c r="M7070" s="22" t="s">
        <v>9368</v>
      </c>
      <c r="N7070" s="50">
        <v>44934</v>
      </c>
      <c r="O7070" s="22" t="s">
        <v>179</v>
      </c>
      <c r="P7070" s="114">
        <v>0</v>
      </c>
      <c r="Q7070" s="531">
        <v>1</v>
      </c>
      <c r="R7070" s="114">
        <f t="shared" si="202"/>
        <v>0</v>
      </c>
      <c r="S7070" s="47">
        <v>202304</v>
      </c>
      <c r="T7070" s="536" t="s">
        <v>9370</v>
      </c>
      <c r="U7070" s="522"/>
      <c r="V7070" s="538"/>
      <c r="W7070" s="537"/>
      <c r="X7070" s="50">
        <v>44927</v>
      </c>
      <c r="Y7070" s="50">
        <v>45291</v>
      </c>
    </row>
    <row r="7071" s="5" customFormat="1" customHeight="1" spans="1:25">
      <c r="A7071" s="22" t="s">
        <v>448</v>
      </c>
      <c r="B7071" s="22" t="s">
        <v>9337</v>
      </c>
      <c r="C7071" s="22" t="s">
        <v>44</v>
      </c>
      <c r="D7071" s="22" t="s">
        <v>642</v>
      </c>
      <c r="E7071" s="46" t="s">
        <v>9365</v>
      </c>
      <c r="F7071" s="22" t="s">
        <v>8121</v>
      </c>
      <c r="G7071" s="22" t="s">
        <v>88</v>
      </c>
      <c r="H7071" s="22" t="s">
        <v>9366</v>
      </c>
      <c r="I7071" s="46" t="e">
        <f>VLOOKUP(H7071,'合同高级查询数据-4月返'!A:A,1,FALSE)</f>
        <v>#N/A</v>
      </c>
      <c r="J7071" s="22" t="s">
        <v>162</v>
      </c>
      <c r="K7071" s="22" t="s">
        <v>8120</v>
      </c>
      <c r="L7071" s="22" t="s">
        <v>9367</v>
      </c>
      <c r="M7071" s="22" t="s">
        <v>9368</v>
      </c>
      <c r="N7071" s="50">
        <v>44934</v>
      </c>
      <c r="O7071" s="22" t="s">
        <v>702</v>
      </c>
      <c r="P7071" s="114">
        <v>0</v>
      </c>
      <c r="Q7071" s="531">
        <v>1</v>
      </c>
      <c r="R7071" s="114">
        <f t="shared" si="202"/>
        <v>0</v>
      </c>
      <c r="S7071" s="47">
        <v>202304</v>
      </c>
      <c r="T7071" s="536" t="s">
        <v>9371</v>
      </c>
      <c r="U7071" s="522"/>
      <c r="V7071" s="538"/>
      <c r="W7071" s="537"/>
      <c r="X7071" s="50">
        <v>44927</v>
      </c>
      <c r="Y7071" s="50">
        <v>45291</v>
      </c>
    </row>
    <row r="7072" s="3" customFormat="1" customHeight="1" spans="1:25">
      <c r="A7072" s="35" t="s">
        <v>448</v>
      </c>
      <c r="B7072" s="35" t="s">
        <v>9337</v>
      </c>
      <c r="C7072" s="35" t="s">
        <v>1987</v>
      </c>
      <c r="D7072" s="35" t="s">
        <v>951</v>
      </c>
      <c r="E7072" s="30" t="s">
        <v>9372</v>
      </c>
      <c r="F7072" s="35" t="s">
        <v>9373</v>
      </c>
      <c r="G7072" s="35" t="s">
        <v>31</v>
      </c>
      <c r="H7072" s="35" t="s">
        <v>9374</v>
      </c>
      <c r="I7072" s="30" t="e">
        <f>VLOOKUP(H7072,'合同高级查询数据-4月返'!A:A,1,FALSE)</f>
        <v>#N/A</v>
      </c>
      <c r="J7072" s="35" t="s">
        <v>33</v>
      </c>
      <c r="K7072" s="35" t="s">
        <v>9375</v>
      </c>
      <c r="L7072" s="477" t="s">
        <v>9376</v>
      </c>
      <c r="M7072" s="35" t="s">
        <v>9377</v>
      </c>
      <c r="N7072" s="34">
        <v>44178</v>
      </c>
      <c r="O7072" s="35" t="s">
        <v>37</v>
      </c>
      <c r="P7072" s="125">
        <v>0</v>
      </c>
      <c r="Q7072" s="488">
        <v>32</v>
      </c>
      <c r="R7072" s="125">
        <f t="shared" si="202"/>
        <v>0</v>
      </c>
      <c r="S7072" s="31">
        <v>202304</v>
      </c>
      <c r="T7072" s="530" t="s">
        <v>9378</v>
      </c>
      <c r="U7072" s="520"/>
      <c r="V7072" s="534"/>
      <c r="W7072" s="534"/>
      <c r="X7072" s="34"/>
      <c r="Y7072" s="34"/>
    </row>
    <row r="7073" s="3" customFormat="1" customHeight="1" spans="1:25">
      <c r="A7073" s="35" t="s">
        <v>448</v>
      </c>
      <c r="B7073" s="35" t="s">
        <v>9337</v>
      </c>
      <c r="C7073" s="35" t="s">
        <v>1987</v>
      </c>
      <c r="D7073" s="35" t="s">
        <v>951</v>
      </c>
      <c r="E7073" s="30" t="s">
        <v>9372</v>
      </c>
      <c r="F7073" s="35" t="s">
        <v>9373</v>
      </c>
      <c r="G7073" s="35" t="s">
        <v>31</v>
      </c>
      <c r="H7073" s="35" t="s">
        <v>9374</v>
      </c>
      <c r="I7073" s="30" t="e">
        <f>VLOOKUP(H7073,'合同高级查询数据-4月返'!A:A,1,FALSE)</f>
        <v>#N/A</v>
      </c>
      <c r="J7073" s="35" t="s">
        <v>33</v>
      </c>
      <c r="K7073" s="35" t="s">
        <v>9379</v>
      </c>
      <c r="L7073" s="477" t="s">
        <v>9376</v>
      </c>
      <c r="M7073" s="35" t="s">
        <v>9377</v>
      </c>
      <c r="N7073" s="34"/>
      <c r="O7073" s="35" t="s">
        <v>37</v>
      </c>
      <c r="P7073" s="125">
        <v>0</v>
      </c>
      <c r="Q7073" s="488">
        <v>512</v>
      </c>
      <c r="R7073" s="125">
        <f t="shared" si="202"/>
        <v>0</v>
      </c>
      <c r="S7073" s="31">
        <v>202304</v>
      </c>
      <c r="T7073" s="530" t="s">
        <v>9380</v>
      </c>
      <c r="U7073" s="520"/>
      <c r="V7073" s="534"/>
      <c r="W7073" s="534"/>
      <c r="X7073" s="34"/>
      <c r="Y7073" s="34"/>
    </row>
    <row r="7074" s="3" customFormat="1" customHeight="1" spans="1:25">
      <c r="A7074" s="35" t="s">
        <v>448</v>
      </c>
      <c r="B7074" s="35" t="s">
        <v>9337</v>
      </c>
      <c r="C7074" s="35" t="s">
        <v>1987</v>
      </c>
      <c r="D7074" s="35" t="s">
        <v>951</v>
      </c>
      <c r="E7074" s="30" t="s">
        <v>9372</v>
      </c>
      <c r="F7074" s="35" t="s">
        <v>9373</v>
      </c>
      <c r="G7074" s="35" t="s">
        <v>31</v>
      </c>
      <c r="H7074" s="35" t="s">
        <v>9374</v>
      </c>
      <c r="I7074" s="30" t="e">
        <f>VLOOKUP(H7074,'合同高级查询数据-4月返'!A:A,1,FALSE)</f>
        <v>#N/A</v>
      </c>
      <c r="J7074" s="35" t="s">
        <v>33</v>
      </c>
      <c r="K7074" s="477" t="s">
        <v>9376</v>
      </c>
      <c r="L7074" s="477" t="s">
        <v>9376</v>
      </c>
      <c r="M7074" s="35" t="s">
        <v>9377</v>
      </c>
      <c r="N7074" s="34">
        <v>44348</v>
      </c>
      <c r="O7074" s="35" t="s">
        <v>37</v>
      </c>
      <c r="P7074" s="125">
        <v>30</v>
      </c>
      <c r="Q7074" s="488">
        <v>128</v>
      </c>
      <c r="R7074" s="125">
        <f t="shared" si="202"/>
        <v>3840</v>
      </c>
      <c r="S7074" s="31">
        <v>202304</v>
      </c>
      <c r="T7074" s="530" t="s">
        <v>9381</v>
      </c>
      <c r="U7074" s="520"/>
      <c r="V7074" s="534"/>
      <c r="W7074" s="534"/>
      <c r="X7074" s="34"/>
      <c r="Y7074" s="34"/>
    </row>
    <row r="7075" s="3" customFormat="1" customHeight="1" spans="1:25">
      <c r="A7075" s="35" t="s">
        <v>448</v>
      </c>
      <c r="B7075" s="135" t="s">
        <v>9337</v>
      </c>
      <c r="C7075" s="35" t="s">
        <v>1987</v>
      </c>
      <c r="D7075" s="35" t="s">
        <v>951</v>
      </c>
      <c r="E7075" s="30" t="s">
        <v>9372</v>
      </c>
      <c r="F7075" s="35" t="s">
        <v>9373</v>
      </c>
      <c r="G7075" s="142" t="s">
        <v>31</v>
      </c>
      <c r="H7075" s="35" t="s">
        <v>9374</v>
      </c>
      <c r="I7075" s="30" t="e">
        <f>VLOOKUP(H7075,'合同高级查询数据-4月返'!A:A,1,FALSE)</f>
        <v>#N/A</v>
      </c>
      <c r="J7075" s="155" t="s">
        <v>33</v>
      </c>
      <c r="K7075" s="477" t="s">
        <v>9376</v>
      </c>
      <c r="L7075" s="174" t="s">
        <v>9376</v>
      </c>
      <c r="M7075" s="113" t="s">
        <v>9377</v>
      </c>
      <c r="N7075" s="146">
        <v>44888</v>
      </c>
      <c r="O7075" s="142" t="s">
        <v>37</v>
      </c>
      <c r="P7075" s="535">
        <v>30</v>
      </c>
      <c r="Q7075" s="459">
        <v>-128</v>
      </c>
      <c r="R7075" s="125">
        <f t="shared" si="202"/>
        <v>-3840</v>
      </c>
      <c r="S7075" s="31">
        <v>202304</v>
      </c>
      <c r="T7075" s="150" t="s">
        <v>9382</v>
      </c>
      <c r="U7075" s="141"/>
      <c r="V7075" s="159"/>
      <c r="W7075" s="159"/>
      <c r="X7075" s="34"/>
      <c r="Y7075" s="34"/>
    </row>
    <row r="7076" s="3" customFormat="1" customHeight="1" spans="1:25">
      <c r="A7076" s="35" t="s">
        <v>448</v>
      </c>
      <c r="B7076" s="35" t="s">
        <v>9337</v>
      </c>
      <c r="C7076" s="35" t="s">
        <v>1987</v>
      </c>
      <c r="D7076" s="35" t="s">
        <v>951</v>
      </c>
      <c r="E7076" s="30" t="s">
        <v>9372</v>
      </c>
      <c r="F7076" s="35" t="s">
        <v>9373</v>
      </c>
      <c r="G7076" s="35" t="s">
        <v>88</v>
      </c>
      <c r="H7076" s="35" t="s">
        <v>9374</v>
      </c>
      <c r="I7076" s="30" t="e">
        <f>VLOOKUP(H7076,'合同高级查询数据-4月返'!A:A,1,FALSE)</f>
        <v>#N/A</v>
      </c>
      <c r="J7076" s="35" t="s">
        <v>162</v>
      </c>
      <c r="K7076" s="477" t="s">
        <v>9376</v>
      </c>
      <c r="L7076" s="477" t="s">
        <v>9376</v>
      </c>
      <c r="M7076" s="35" t="s">
        <v>9377</v>
      </c>
      <c r="N7076" s="34">
        <v>43471</v>
      </c>
      <c r="O7076" s="35" t="s">
        <v>163</v>
      </c>
      <c r="P7076" s="125">
        <v>0</v>
      </c>
      <c r="Q7076" s="526">
        <v>5</v>
      </c>
      <c r="R7076" s="125">
        <f t="shared" si="202"/>
        <v>0</v>
      </c>
      <c r="S7076" s="31">
        <v>202304</v>
      </c>
      <c r="T7076" s="530" t="s">
        <v>9383</v>
      </c>
      <c r="U7076" s="520"/>
      <c r="V7076" s="534"/>
      <c r="W7076" s="534"/>
      <c r="X7076" s="34"/>
      <c r="Y7076" s="34"/>
    </row>
    <row r="7077" s="3" customFormat="1" customHeight="1" spans="1:25">
      <c r="A7077" s="35" t="s">
        <v>448</v>
      </c>
      <c r="B7077" s="35" t="s">
        <v>9337</v>
      </c>
      <c r="C7077" s="35" t="s">
        <v>1987</v>
      </c>
      <c r="D7077" s="35" t="s">
        <v>951</v>
      </c>
      <c r="E7077" s="30" t="s">
        <v>9372</v>
      </c>
      <c r="F7077" s="35" t="s">
        <v>9373</v>
      </c>
      <c r="G7077" s="35" t="s">
        <v>88</v>
      </c>
      <c r="H7077" s="35" t="s">
        <v>9374</v>
      </c>
      <c r="I7077" s="30" t="e">
        <f>VLOOKUP(H7077,'合同高级查询数据-4月返'!A:A,1,FALSE)</f>
        <v>#N/A</v>
      </c>
      <c r="J7077" s="35" t="s">
        <v>162</v>
      </c>
      <c r="K7077" s="35" t="s">
        <v>9384</v>
      </c>
      <c r="L7077" s="477" t="s">
        <v>9376</v>
      </c>
      <c r="M7077" s="35" t="s">
        <v>9377</v>
      </c>
      <c r="N7077" s="34">
        <v>43671</v>
      </c>
      <c r="O7077" s="35" t="s">
        <v>163</v>
      </c>
      <c r="P7077" s="125">
        <v>0</v>
      </c>
      <c r="Q7077" s="526">
        <v>7</v>
      </c>
      <c r="R7077" s="125">
        <f t="shared" si="202"/>
        <v>0</v>
      </c>
      <c r="S7077" s="31">
        <v>202304</v>
      </c>
      <c r="T7077" s="530" t="s">
        <v>9385</v>
      </c>
      <c r="U7077" s="520"/>
      <c r="V7077" s="534"/>
      <c r="W7077" s="534"/>
      <c r="X7077" s="34"/>
      <c r="Y7077" s="34"/>
    </row>
    <row r="7078" s="3" customFormat="1" customHeight="1" spans="1:25">
      <c r="A7078" s="35" t="s">
        <v>448</v>
      </c>
      <c r="B7078" s="35" t="s">
        <v>9337</v>
      </c>
      <c r="C7078" s="35" t="s">
        <v>1987</v>
      </c>
      <c r="D7078" s="35" t="s">
        <v>951</v>
      </c>
      <c r="E7078" s="30" t="s">
        <v>9372</v>
      </c>
      <c r="F7078" s="35" t="s">
        <v>9373</v>
      </c>
      <c r="G7078" s="35" t="s">
        <v>88</v>
      </c>
      <c r="H7078" s="35" t="s">
        <v>9374</v>
      </c>
      <c r="I7078" s="30" t="e">
        <f>VLOOKUP(H7078,'合同高级查询数据-4月返'!A:A,1,FALSE)</f>
        <v>#N/A</v>
      </c>
      <c r="J7078" s="35" t="s">
        <v>162</v>
      </c>
      <c r="K7078" s="35" t="s">
        <v>9384</v>
      </c>
      <c r="L7078" s="477" t="s">
        <v>9376</v>
      </c>
      <c r="M7078" s="35" t="s">
        <v>9377</v>
      </c>
      <c r="N7078" s="34">
        <v>44012</v>
      </c>
      <c r="O7078" s="35" t="s">
        <v>163</v>
      </c>
      <c r="P7078" s="125">
        <v>0</v>
      </c>
      <c r="Q7078" s="526">
        <v>-3</v>
      </c>
      <c r="R7078" s="125">
        <f t="shared" si="202"/>
        <v>0</v>
      </c>
      <c r="S7078" s="31">
        <v>202304</v>
      </c>
      <c r="T7078" s="530" t="s">
        <v>9386</v>
      </c>
      <c r="U7078" s="520"/>
      <c r="V7078" s="534"/>
      <c r="W7078" s="534"/>
      <c r="X7078" s="34"/>
      <c r="Y7078" s="34"/>
    </row>
    <row r="7079" s="3" customFormat="1" customHeight="1" spans="1:25">
      <c r="A7079" s="35" t="s">
        <v>448</v>
      </c>
      <c r="B7079" s="35" t="s">
        <v>9337</v>
      </c>
      <c r="C7079" s="35" t="s">
        <v>1987</v>
      </c>
      <c r="D7079" s="35" t="s">
        <v>951</v>
      </c>
      <c r="E7079" s="30" t="s">
        <v>9372</v>
      </c>
      <c r="F7079" s="35" t="s">
        <v>9373</v>
      </c>
      <c r="G7079" s="35" t="s">
        <v>88</v>
      </c>
      <c r="H7079" s="35" t="s">
        <v>9374</v>
      </c>
      <c r="I7079" s="30" t="e">
        <f>VLOOKUP(H7079,'合同高级查询数据-4月返'!A:A,1,FALSE)</f>
        <v>#N/A</v>
      </c>
      <c r="J7079" s="35" t="s">
        <v>162</v>
      </c>
      <c r="K7079" s="35" t="s">
        <v>9375</v>
      </c>
      <c r="L7079" s="477" t="s">
        <v>9376</v>
      </c>
      <c r="M7079" s="35" t="s">
        <v>9377</v>
      </c>
      <c r="N7079" s="34">
        <v>44178</v>
      </c>
      <c r="O7079" s="35" t="s">
        <v>163</v>
      </c>
      <c r="P7079" s="125">
        <v>0</v>
      </c>
      <c r="Q7079" s="526">
        <v>1</v>
      </c>
      <c r="R7079" s="125">
        <f t="shared" si="202"/>
        <v>0</v>
      </c>
      <c r="S7079" s="31">
        <v>202304</v>
      </c>
      <c r="T7079" s="530" t="s">
        <v>9387</v>
      </c>
      <c r="U7079" s="520"/>
      <c r="V7079" s="534"/>
      <c r="W7079" s="534"/>
      <c r="X7079" s="34"/>
      <c r="Y7079" s="34"/>
    </row>
    <row r="7080" s="3" customFormat="1" customHeight="1" spans="1:25">
      <c r="A7080" s="35" t="s">
        <v>448</v>
      </c>
      <c r="B7080" s="35" t="s">
        <v>9337</v>
      </c>
      <c r="C7080" s="35" t="s">
        <v>1987</v>
      </c>
      <c r="D7080" s="35" t="s">
        <v>951</v>
      </c>
      <c r="E7080" s="30" t="s">
        <v>9372</v>
      </c>
      <c r="F7080" s="35" t="s">
        <v>9373</v>
      </c>
      <c r="G7080" s="35" t="s">
        <v>88</v>
      </c>
      <c r="H7080" s="35" t="s">
        <v>9374</v>
      </c>
      <c r="I7080" s="30" t="e">
        <f>VLOOKUP(H7080,'合同高级查询数据-4月返'!A:A,1,FALSE)</f>
        <v>#N/A</v>
      </c>
      <c r="J7080" s="35" t="s">
        <v>162</v>
      </c>
      <c r="K7080" s="477" t="s">
        <v>9376</v>
      </c>
      <c r="L7080" s="477" t="s">
        <v>9376</v>
      </c>
      <c r="M7080" s="35" t="s">
        <v>9377</v>
      </c>
      <c r="N7080" s="34">
        <v>44348</v>
      </c>
      <c r="O7080" s="35" t="s">
        <v>92</v>
      </c>
      <c r="P7080" s="125">
        <v>0</v>
      </c>
      <c r="Q7080" s="526">
        <v>1</v>
      </c>
      <c r="R7080" s="125">
        <f t="shared" si="202"/>
        <v>0</v>
      </c>
      <c r="S7080" s="31">
        <v>202304</v>
      </c>
      <c r="T7080" s="530" t="s">
        <v>9388</v>
      </c>
      <c r="U7080" s="520"/>
      <c r="V7080" s="534"/>
      <c r="W7080" s="534"/>
      <c r="X7080" s="34"/>
      <c r="Y7080" s="34"/>
    </row>
    <row r="7081" s="3" customFormat="1" customHeight="1" spans="1:25">
      <c r="A7081" s="35" t="s">
        <v>448</v>
      </c>
      <c r="B7081" s="35" t="s">
        <v>9337</v>
      </c>
      <c r="C7081" s="35" t="s">
        <v>1987</v>
      </c>
      <c r="D7081" s="35" t="s">
        <v>951</v>
      </c>
      <c r="E7081" s="30" t="s">
        <v>9372</v>
      </c>
      <c r="F7081" s="35" t="s">
        <v>9373</v>
      </c>
      <c r="G7081" s="35" t="s">
        <v>88</v>
      </c>
      <c r="H7081" s="35" t="s">
        <v>9374</v>
      </c>
      <c r="I7081" s="30" t="e">
        <f>VLOOKUP(H7081,'合同高级查询数据-4月返'!A:A,1,FALSE)</f>
        <v>#N/A</v>
      </c>
      <c r="J7081" s="35" t="s">
        <v>162</v>
      </c>
      <c r="K7081" s="477" t="s">
        <v>9376</v>
      </c>
      <c r="L7081" s="477" t="s">
        <v>9376</v>
      </c>
      <c r="M7081" s="35" t="s">
        <v>9377</v>
      </c>
      <c r="N7081" s="34">
        <v>44348</v>
      </c>
      <c r="O7081" s="35" t="s">
        <v>92</v>
      </c>
      <c r="P7081" s="125">
        <v>4000</v>
      </c>
      <c r="Q7081" s="526">
        <v>1</v>
      </c>
      <c r="R7081" s="125">
        <f t="shared" si="202"/>
        <v>4000</v>
      </c>
      <c r="S7081" s="31">
        <v>202304</v>
      </c>
      <c r="T7081" s="530" t="s">
        <v>9388</v>
      </c>
      <c r="U7081" s="520"/>
      <c r="V7081" s="534"/>
      <c r="W7081" s="534"/>
      <c r="X7081" s="34"/>
      <c r="Y7081" s="34"/>
    </row>
    <row r="7082" s="3" customFormat="1" customHeight="1" spans="1:25">
      <c r="A7082" s="35" t="s">
        <v>448</v>
      </c>
      <c r="B7082" s="35" t="s">
        <v>9337</v>
      </c>
      <c r="C7082" s="35" t="s">
        <v>1987</v>
      </c>
      <c r="D7082" s="35" t="s">
        <v>951</v>
      </c>
      <c r="E7082" s="30" t="s">
        <v>9372</v>
      </c>
      <c r="F7082" s="35" t="s">
        <v>9373</v>
      </c>
      <c r="G7082" s="35" t="s">
        <v>88</v>
      </c>
      <c r="H7082" s="35" t="s">
        <v>9374</v>
      </c>
      <c r="I7082" s="30" t="e">
        <f>VLOOKUP(H7082,'合同高级查询数据-4月返'!A:A,1,FALSE)</f>
        <v>#N/A</v>
      </c>
      <c r="J7082" s="35" t="s">
        <v>162</v>
      </c>
      <c r="K7082" s="35" t="s">
        <v>9384</v>
      </c>
      <c r="L7082" s="477" t="s">
        <v>9376</v>
      </c>
      <c r="M7082" s="35" t="s">
        <v>9377</v>
      </c>
      <c r="N7082" s="34">
        <v>44501</v>
      </c>
      <c r="O7082" s="35" t="s">
        <v>163</v>
      </c>
      <c r="P7082" s="125">
        <v>0</v>
      </c>
      <c r="Q7082" s="526">
        <v>-6</v>
      </c>
      <c r="R7082" s="125">
        <f t="shared" si="202"/>
        <v>0</v>
      </c>
      <c r="S7082" s="31">
        <v>202304</v>
      </c>
      <c r="T7082" s="530" t="s">
        <v>9389</v>
      </c>
      <c r="U7082" s="520"/>
      <c r="V7082" s="534"/>
      <c r="W7082" s="534"/>
      <c r="X7082" s="34"/>
      <c r="Y7082" s="34"/>
    </row>
    <row r="7083" s="3" customFormat="1" customHeight="1" spans="1:25">
      <c r="A7083" s="35" t="s">
        <v>448</v>
      </c>
      <c r="B7083" s="35" t="s">
        <v>9337</v>
      </c>
      <c r="C7083" s="35" t="s">
        <v>1987</v>
      </c>
      <c r="D7083" s="35" t="s">
        <v>951</v>
      </c>
      <c r="E7083" s="30" t="s">
        <v>9372</v>
      </c>
      <c r="F7083" s="35" t="s">
        <v>9373</v>
      </c>
      <c r="G7083" s="35" t="s">
        <v>88</v>
      </c>
      <c r="H7083" s="35" t="s">
        <v>9374</v>
      </c>
      <c r="I7083" s="30" t="e">
        <f>VLOOKUP(H7083,'合同高级查询数据-4月返'!A:A,1,FALSE)</f>
        <v>#N/A</v>
      </c>
      <c r="J7083" s="35" t="s">
        <v>162</v>
      </c>
      <c r="K7083" s="35" t="s">
        <v>9384</v>
      </c>
      <c r="L7083" s="477" t="s">
        <v>9376</v>
      </c>
      <c r="M7083" s="35" t="s">
        <v>9377</v>
      </c>
      <c r="N7083" s="34">
        <v>44534</v>
      </c>
      <c r="O7083" s="35" t="s">
        <v>163</v>
      </c>
      <c r="P7083" s="125">
        <v>0</v>
      </c>
      <c r="Q7083" s="526">
        <v>6</v>
      </c>
      <c r="R7083" s="125">
        <f t="shared" si="202"/>
        <v>0</v>
      </c>
      <c r="S7083" s="31">
        <v>202304</v>
      </c>
      <c r="T7083" s="530" t="s">
        <v>9390</v>
      </c>
      <c r="U7083" s="520"/>
      <c r="V7083" s="534"/>
      <c r="W7083" s="534"/>
      <c r="X7083" s="34"/>
      <c r="Y7083" s="34"/>
    </row>
    <row r="7084" s="3" customFormat="1" customHeight="1" spans="1:25">
      <c r="A7084" s="35" t="s">
        <v>448</v>
      </c>
      <c r="B7084" s="35" t="s">
        <v>9337</v>
      </c>
      <c r="C7084" s="35" t="s">
        <v>1987</v>
      </c>
      <c r="D7084" s="35" t="s">
        <v>951</v>
      </c>
      <c r="E7084" s="30" t="s">
        <v>9372</v>
      </c>
      <c r="F7084" s="35" t="s">
        <v>9373</v>
      </c>
      <c r="G7084" s="35" t="s">
        <v>88</v>
      </c>
      <c r="H7084" s="35" t="s">
        <v>9374</v>
      </c>
      <c r="I7084" s="30" t="e">
        <f>VLOOKUP(H7084,'合同高级查询数据-4月返'!A:A,1,FALSE)</f>
        <v>#N/A</v>
      </c>
      <c r="J7084" s="35" t="s">
        <v>162</v>
      </c>
      <c r="K7084" s="35" t="s">
        <v>9384</v>
      </c>
      <c r="L7084" s="477" t="s">
        <v>9391</v>
      </c>
      <c r="M7084" s="35" t="s">
        <v>9377</v>
      </c>
      <c r="N7084" s="34">
        <v>44501</v>
      </c>
      <c r="O7084" s="35" t="s">
        <v>163</v>
      </c>
      <c r="P7084" s="125">
        <v>0</v>
      </c>
      <c r="Q7084" s="526">
        <v>6</v>
      </c>
      <c r="R7084" s="125">
        <f t="shared" si="202"/>
        <v>0</v>
      </c>
      <c r="S7084" s="31">
        <v>202304</v>
      </c>
      <c r="T7084" s="530" t="s">
        <v>9389</v>
      </c>
      <c r="U7084" s="520"/>
      <c r="V7084" s="534"/>
      <c r="W7084" s="534"/>
      <c r="X7084" s="34"/>
      <c r="Y7084" s="34"/>
    </row>
    <row r="7085" s="3" customFormat="1" customHeight="1" spans="1:25">
      <c r="A7085" s="35" t="s">
        <v>448</v>
      </c>
      <c r="B7085" s="35" t="s">
        <v>9337</v>
      </c>
      <c r="C7085" s="35" t="s">
        <v>1987</v>
      </c>
      <c r="D7085" s="35" t="s">
        <v>951</v>
      </c>
      <c r="E7085" s="30" t="s">
        <v>9372</v>
      </c>
      <c r="F7085" s="35" t="s">
        <v>9373</v>
      </c>
      <c r="G7085" s="35" t="s">
        <v>88</v>
      </c>
      <c r="H7085" s="35" t="s">
        <v>9374</v>
      </c>
      <c r="I7085" s="30" t="e">
        <f>VLOOKUP(H7085,'合同高级查询数据-4月返'!A:A,1,FALSE)</f>
        <v>#N/A</v>
      </c>
      <c r="J7085" s="35" t="s">
        <v>162</v>
      </c>
      <c r="K7085" s="35" t="s">
        <v>9384</v>
      </c>
      <c r="L7085" s="477" t="s">
        <v>9391</v>
      </c>
      <c r="M7085" s="35" t="s">
        <v>9377</v>
      </c>
      <c r="N7085" s="34">
        <v>44533</v>
      </c>
      <c r="O7085" s="35" t="s">
        <v>163</v>
      </c>
      <c r="P7085" s="125">
        <v>0</v>
      </c>
      <c r="Q7085" s="526">
        <v>-6</v>
      </c>
      <c r="R7085" s="125">
        <f t="shared" si="202"/>
        <v>0</v>
      </c>
      <c r="S7085" s="31">
        <v>202304</v>
      </c>
      <c r="T7085" s="530" t="s">
        <v>9392</v>
      </c>
      <c r="U7085" s="520"/>
      <c r="V7085" s="534"/>
      <c r="W7085" s="534"/>
      <c r="X7085" s="34"/>
      <c r="Y7085" s="34"/>
    </row>
    <row r="7086" s="3" customFormat="1" customHeight="1" spans="1:25">
      <c r="A7086" s="35" t="s">
        <v>448</v>
      </c>
      <c r="B7086" s="35" t="s">
        <v>9337</v>
      </c>
      <c r="C7086" s="35" t="s">
        <v>1987</v>
      </c>
      <c r="D7086" s="35" t="s">
        <v>951</v>
      </c>
      <c r="E7086" s="30" t="s">
        <v>9372</v>
      </c>
      <c r="F7086" s="35" t="s">
        <v>9373</v>
      </c>
      <c r="G7086" s="35" t="s">
        <v>88</v>
      </c>
      <c r="H7086" s="35" t="s">
        <v>9374</v>
      </c>
      <c r="I7086" s="30" t="e">
        <f>VLOOKUP(H7086,'合同高级查询数据-4月返'!A:A,1,FALSE)</f>
        <v>#N/A</v>
      </c>
      <c r="J7086" s="35" t="s">
        <v>162</v>
      </c>
      <c r="K7086" s="477" t="s">
        <v>9376</v>
      </c>
      <c r="L7086" s="477" t="s">
        <v>9376</v>
      </c>
      <c r="M7086" s="35" t="s">
        <v>9377</v>
      </c>
      <c r="N7086" s="34">
        <v>44834</v>
      </c>
      <c r="O7086" s="35" t="s">
        <v>92</v>
      </c>
      <c r="P7086" s="125">
        <v>4000</v>
      </c>
      <c r="Q7086" s="526">
        <v>-1</v>
      </c>
      <c r="R7086" s="125">
        <f t="shared" si="202"/>
        <v>-4000</v>
      </c>
      <c r="S7086" s="31">
        <v>202304</v>
      </c>
      <c r="T7086" s="530" t="s">
        <v>9393</v>
      </c>
      <c r="U7086" s="520"/>
      <c r="V7086" s="534"/>
      <c r="W7086" s="534"/>
      <c r="X7086" s="34"/>
      <c r="Y7086" s="34"/>
    </row>
    <row r="7087" s="3" customFormat="1" customHeight="1" spans="1:25">
      <c r="A7087" s="35" t="s">
        <v>448</v>
      </c>
      <c r="B7087" s="35" t="s">
        <v>9337</v>
      </c>
      <c r="C7087" s="35" t="s">
        <v>1987</v>
      </c>
      <c r="D7087" s="35" t="s">
        <v>951</v>
      </c>
      <c r="E7087" s="30" t="s">
        <v>9372</v>
      </c>
      <c r="F7087" s="35" t="s">
        <v>9373</v>
      </c>
      <c r="G7087" s="142" t="s">
        <v>31</v>
      </c>
      <c r="H7087" s="35" t="s">
        <v>9394</v>
      </c>
      <c r="I7087" s="30" t="e">
        <f>VLOOKUP(H7087,'合同高级查询数据-4月返'!A:A,1,FALSE)</f>
        <v>#N/A</v>
      </c>
      <c r="J7087" s="35" t="s">
        <v>33</v>
      </c>
      <c r="K7087" s="35" t="s">
        <v>8753</v>
      </c>
      <c r="L7087" s="477" t="s">
        <v>9395</v>
      </c>
      <c r="M7087" s="35" t="s">
        <v>9396</v>
      </c>
      <c r="N7087" s="34">
        <v>44866</v>
      </c>
      <c r="O7087" s="35" t="s">
        <v>37</v>
      </c>
      <c r="P7087" s="125">
        <v>0</v>
      </c>
      <c r="Q7087" s="488">
        <v>288</v>
      </c>
      <c r="R7087" s="125">
        <f t="shared" si="202"/>
        <v>0</v>
      </c>
      <c r="S7087" s="31">
        <v>202304</v>
      </c>
      <c r="T7087" s="530" t="s">
        <v>9397</v>
      </c>
      <c r="U7087" s="520"/>
      <c r="V7087" s="534"/>
      <c r="W7087" s="534"/>
      <c r="X7087" s="34"/>
      <c r="Y7087" s="34"/>
    </row>
    <row r="7088" s="3" customFormat="1" customHeight="1" spans="1:25">
      <c r="A7088" s="35" t="s">
        <v>448</v>
      </c>
      <c r="B7088" s="35" t="s">
        <v>9337</v>
      </c>
      <c r="C7088" s="35" t="s">
        <v>1987</v>
      </c>
      <c r="D7088" s="35" t="s">
        <v>951</v>
      </c>
      <c r="E7088" s="30" t="s">
        <v>9372</v>
      </c>
      <c r="F7088" s="35" t="s">
        <v>9373</v>
      </c>
      <c r="G7088" s="142" t="s">
        <v>31</v>
      </c>
      <c r="H7088" s="35" t="s">
        <v>9394</v>
      </c>
      <c r="I7088" s="30" t="e">
        <f>VLOOKUP(H7088,'合同高级查询数据-4月返'!A:A,1,FALSE)</f>
        <v>#N/A</v>
      </c>
      <c r="J7088" s="35" t="s">
        <v>33</v>
      </c>
      <c r="K7088" s="35" t="s">
        <v>8753</v>
      </c>
      <c r="L7088" s="477" t="s">
        <v>9395</v>
      </c>
      <c r="M7088" s="35" t="s">
        <v>9396</v>
      </c>
      <c r="N7088" s="34">
        <v>44926</v>
      </c>
      <c r="O7088" s="35" t="s">
        <v>37</v>
      </c>
      <c r="P7088" s="125">
        <v>0</v>
      </c>
      <c r="Q7088" s="488">
        <v>-288</v>
      </c>
      <c r="R7088" s="125">
        <f t="shared" si="202"/>
        <v>0</v>
      </c>
      <c r="S7088" s="31">
        <v>202304</v>
      </c>
      <c r="T7088" s="530" t="s">
        <v>9398</v>
      </c>
      <c r="U7088" s="520"/>
      <c r="V7088" s="534"/>
      <c r="W7088" s="534"/>
      <c r="X7088" s="34"/>
      <c r="Y7088" s="34"/>
    </row>
    <row r="7089" s="3" customFormat="1" customHeight="1" spans="1:25">
      <c r="A7089" s="35" t="s">
        <v>448</v>
      </c>
      <c r="B7089" s="35" t="s">
        <v>9337</v>
      </c>
      <c r="C7089" s="35" t="s">
        <v>1987</v>
      </c>
      <c r="D7089" s="35" t="s">
        <v>951</v>
      </c>
      <c r="E7089" s="30" t="s">
        <v>9372</v>
      </c>
      <c r="F7089" s="35" t="s">
        <v>9373</v>
      </c>
      <c r="G7089" s="35" t="s">
        <v>88</v>
      </c>
      <c r="H7089" s="35" t="s">
        <v>9394</v>
      </c>
      <c r="I7089" s="30" t="e">
        <f>VLOOKUP(H7089,'合同高级查询数据-4月返'!A:A,1,FALSE)</f>
        <v>#N/A</v>
      </c>
      <c r="J7089" s="35" t="s">
        <v>162</v>
      </c>
      <c r="K7089" s="35" t="s">
        <v>8753</v>
      </c>
      <c r="L7089" s="477" t="s">
        <v>9395</v>
      </c>
      <c r="M7089" s="35" t="s">
        <v>9396</v>
      </c>
      <c r="N7089" s="34">
        <v>44866</v>
      </c>
      <c r="O7089" s="35" t="s">
        <v>163</v>
      </c>
      <c r="P7089" s="125">
        <v>0</v>
      </c>
      <c r="Q7089" s="488">
        <v>6</v>
      </c>
      <c r="R7089" s="125">
        <f t="shared" si="202"/>
        <v>0</v>
      </c>
      <c r="S7089" s="31">
        <v>202304</v>
      </c>
      <c r="T7089" s="530" t="s">
        <v>9399</v>
      </c>
      <c r="U7089" s="520"/>
      <c r="V7089" s="534"/>
      <c r="W7089" s="534"/>
      <c r="X7089" s="34"/>
      <c r="Y7089" s="34"/>
    </row>
    <row r="7090" s="3" customFormat="1" customHeight="1" spans="1:25">
      <c r="A7090" s="35" t="s">
        <v>448</v>
      </c>
      <c r="B7090" s="35" t="s">
        <v>9337</v>
      </c>
      <c r="C7090" s="35" t="s">
        <v>1987</v>
      </c>
      <c r="D7090" s="35" t="s">
        <v>951</v>
      </c>
      <c r="E7090" s="30" t="s">
        <v>9372</v>
      </c>
      <c r="F7090" s="35" t="s">
        <v>9373</v>
      </c>
      <c r="G7090" s="35" t="s">
        <v>88</v>
      </c>
      <c r="H7090" s="35" t="s">
        <v>9394</v>
      </c>
      <c r="I7090" s="30" t="e">
        <f>VLOOKUP(H7090,'合同高级查询数据-4月返'!A:A,1,FALSE)</f>
        <v>#N/A</v>
      </c>
      <c r="J7090" s="35" t="s">
        <v>162</v>
      </c>
      <c r="K7090" s="35" t="s">
        <v>8753</v>
      </c>
      <c r="L7090" s="477" t="s">
        <v>9395</v>
      </c>
      <c r="M7090" s="35" t="s">
        <v>9396</v>
      </c>
      <c r="N7090" s="34">
        <v>44926</v>
      </c>
      <c r="O7090" s="35" t="s">
        <v>163</v>
      </c>
      <c r="P7090" s="125">
        <v>0</v>
      </c>
      <c r="Q7090" s="488">
        <v>-6</v>
      </c>
      <c r="R7090" s="125">
        <f t="shared" si="202"/>
        <v>0</v>
      </c>
      <c r="S7090" s="31">
        <v>202304</v>
      </c>
      <c r="T7090" s="530" t="s">
        <v>8137</v>
      </c>
      <c r="U7090" s="520"/>
      <c r="V7090" s="534"/>
      <c r="W7090" s="534"/>
      <c r="X7090" s="34"/>
      <c r="Y7090" s="34"/>
    </row>
    <row r="7091" s="3" customFormat="1" customHeight="1" spans="1:25">
      <c r="A7091" s="35" t="s">
        <v>448</v>
      </c>
      <c r="B7091" s="35" t="s">
        <v>9337</v>
      </c>
      <c r="C7091" s="35" t="s">
        <v>44</v>
      </c>
      <c r="D7091" s="35" t="s">
        <v>642</v>
      </c>
      <c r="E7091" s="30" t="s">
        <v>9400</v>
      </c>
      <c r="F7091" s="35" t="s">
        <v>9401</v>
      </c>
      <c r="G7091" s="35" t="s">
        <v>31</v>
      </c>
      <c r="H7091" s="35" t="s">
        <v>9402</v>
      </c>
      <c r="I7091" s="30" t="e">
        <f>VLOOKUP(H7091,'合同高级查询数据-4月返'!A:A,1,FALSE)</f>
        <v>#N/A</v>
      </c>
      <c r="J7091" s="35" t="s">
        <v>1273</v>
      </c>
      <c r="K7091" s="477" t="s">
        <v>9403</v>
      </c>
      <c r="L7091" s="477" t="s">
        <v>9403</v>
      </c>
      <c r="M7091" s="35" t="s">
        <v>9404</v>
      </c>
      <c r="N7091" s="34"/>
      <c r="O7091" s="35" t="s">
        <v>37</v>
      </c>
      <c r="P7091" s="125">
        <v>0</v>
      </c>
      <c r="Q7091" s="488">
        <v>780</v>
      </c>
      <c r="R7091" s="125">
        <f t="shared" si="202"/>
        <v>0</v>
      </c>
      <c r="S7091" s="31">
        <v>202304</v>
      </c>
      <c r="T7091" s="530" t="s">
        <v>9405</v>
      </c>
      <c r="U7091" s="520"/>
      <c r="V7091" s="534"/>
      <c r="W7091" s="534"/>
      <c r="X7091" s="34"/>
      <c r="Y7091" s="34"/>
    </row>
    <row r="7092" s="3" customFormat="1" customHeight="1" spans="1:25">
      <c r="A7092" s="35" t="s">
        <v>448</v>
      </c>
      <c r="B7092" s="35" t="s">
        <v>9337</v>
      </c>
      <c r="C7092" s="35" t="s">
        <v>44</v>
      </c>
      <c r="D7092" s="35" t="s">
        <v>642</v>
      </c>
      <c r="E7092" s="30" t="s">
        <v>9400</v>
      </c>
      <c r="F7092" s="35" t="s">
        <v>9401</v>
      </c>
      <c r="G7092" s="35" t="s">
        <v>31</v>
      </c>
      <c r="H7092" s="35" t="s">
        <v>9402</v>
      </c>
      <c r="I7092" s="30" t="e">
        <f>VLOOKUP(H7092,'合同高级查询数据-4月返'!A:A,1,FALSE)</f>
        <v>#N/A</v>
      </c>
      <c r="J7092" s="35" t="s">
        <v>33</v>
      </c>
      <c r="K7092" s="35" t="s">
        <v>9406</v>
      </c>
      <c r="L7092" s="35" t="s">
        <v>9406</v>
      </c>
      <c r="M7092" s="35"/>
      <c r="N7092" s="34">
        <v>43811</v>
      </c>
      <c r="O7092" s="35" t="s">
        <v>37</v>
      </c>
      <c r="P7092" s="125">
        <v>0</v>
      </c>
      <c r="Q7092" s="488">
        <v>128</v>
      </c>
      <c r="R7092" s="125">
        <f t="shared" si="202"/>
        <v>0</v>
      </c>
      <c r="S7092" s="31">
        <v>202304</v>
      </c>
      <c r="T7092" s="530" t="s">
        <v>9407</v>
      </c>
      <c r="U7092" s="520"/>
      <c r="V7092" s="534"/>
      <c r="W7092" s="534"/>
      <c r="X7092" s="34"/>
      <c r="Y7092" s="34"/>
    </row>
    <row r="7093" s="3" customFormat="1" customHeight="1" spans="1:25">
      <c r="A7093" s="35" t="s">
        <v>448</v>
      </c>
      <c r="B7093" s="35" t="s">
        <v>9337</v>
      </c>
      <c r="C7093" s="35" t="s">
        <v>44</v>
      </c>
      <c r="D7093" s="35" t="s">
        <v>642</v>
      </c>
      <c r="E7093" s="30" t="s">
        <v>9400</v>
      </c>
      <c r="F7093" s="35" t="s">
        <v>9401</v>
      </c>
      <c r="G7093" s="35" t="s">
        <v>31</v>
      </c>
      <c r="H7093" s="35" t="s">
        <v>9402</v>
      </c>
      <c r="I7093" s="30" t="e">
        <f>VLOOKUP(H7093,'合同高级查询数据-4月返'!A:A,1,FALSE)</f>
        <v>#N/A</v>
      </c>
      <c r="J7093" s="35" t="s">
        <v>33</v>
      </c>
      <c r="K7093" s="35" t="s">
        <v>9408</v>
      </c>
      <c r="L7093" s="35" t="s">
        <v>9408</v>
      </c>
      <c r="M7093" s="35"/>
      <c r="N7093" s="34">
        <v>44090</v>
      </c>
      <c r="O7093" s="35" t="s">
        <v>37</v>
      </c>
      <c r="P7093" s="125">
        <v>0</v>
      </c>
      <c r="Q7093" s="488">
        <v>288</v>
      </c>
      <c r="R7093" s="125">
        <f t="shared" si="202"/>
        <v>0</v>
      </c>
      <c r="S7093" s="31">
        <v>202304</v>
      </c>
      <c r="T7093" s="530" t="s">
        <v>9407</v>
      </c>
      <c r="U7093" s="520"/>
      <c r="V7093" s="534"/>
      <c r="W7093" s="534"/>
      <c r="X7093" s="34"/>
      <c r="Y7093" s="34"/>
    </row>
    <row r="7094" s="3" customFormat="1" customHeight="1" spans="1:25">
      <c r="A7094" s="35" t="s">
        <v>448</v>
      </c>
      <c r="B7094" s="35" t="s">
        <v>9337</v>
      </c>
      <c r="C7094" s="35" t="s">
        <v>44</v>
      </c>
      <c r="D7094" s="35" t="s">
        <v>642</v>
      </c>
      <c r="E7094" s="30" t="s">
        <v>9400</v>
      </c>
      <c r="F7094" s="35" t="s">
        <v>9401</v>
      </c>
      <c r="G7094" s="35" t="s">
        <v>31</v>
      </c>
      <c r="H7094" s="35" t="s">
        <v>9402</v>
      </c>
      <c r="I7094" s="30" t="e">
        <f>VLOOKUP(H7094,'合同高级查询数据-4月返'!A:A,1,FALSE)</f>
        <v>#N/A</v>
      </c>
      <c r="J7094" s="35" t="s">
        <v>33</v>
      </c>
      <c r="K7094" s="35" t="s">
        <v>9408</v>
      </c>
      <c r="L7094" s="35" t="s">
        <v>9408</v>
      </c>
      <c r="M7094" s="35"/>
      <c r="N7094" s="34">
        <v>44742</v>
      </c>
      <c r="O7094" s="35" t="s">
        <v>37</v>
      </c>
      <c r="P7094" s="125">
        <v>0</v>
      </c>
      <c r="Q7094" s="488">
        <v>-288</v>
      </c>
      <c r="R7094" s="125">
        <f t="shared" si="202"/>
        <v>0</v>
      </c>
      <c r="S7094" s="31">
        <v>202304</v>
      </c>
      <c r="T7094" s="530" t="s">
        <v>9409</v>
      </c>
      <c r="U7094" s="520"/>
      <c r="V7094" s="534"/>
      <c r="W7094" s="534"/>
      <c r="X7094" s="34"/>
      <c r="Y7094" s="34"/>
    </row>
    <row r="7095" s="3" customFormat="1" customHeight="1" spans="1:25">
      <c r="A7095" s="35" t="s">
        <v>448</v>
      </c>
      <c r="B7095" s="35" t="s">
        <v>9337</v>
      </c>
      <c r="C7095" s="35" t="s">
        <v>44</v>
      </c>
      <c r="D7095" s="35" t="s">
        <v>642</v>
      </c>
      <c r="E7095" s="30" t="s">
        <v>9400</v>
      </c>
      <c r="F7095" s="35" t="s">
        <v>9401</v>
      </c>
      <c r="G7095" s="35" t="s">
        <v>31</v>
      </c>
      <c r="H7095" s="35" t="s">
        <v>9402</v>
      </c>
      <c r="I7095" s="30" t="e">
        <f>VLOOKUP(H7095,'合同高级查询数据-4月返'!A:A,1,FALSE)</f>
        <v>#N/A</v>
      </c>
      <c r="J7095" s="35" t="s">
        <v>33</v>
      </c>
      <c r="K7095" s="35" t="s">
        <v>9410</v>
      </c>
      <c r="L7095" s="35" t="s">
        <v>9411</v>
      </c>
      <c r="M7095" s="35"/>
      <c r="N7095" s="34">
        <v>44090</v>
      </c>
      <c r="O7095" s="35" t="s">
        <v>37</v>
      </c>
      <c r="P7095" s="125">
        <v>0</v>
      </c>
      <c r="Q7095" s="488">
        <v>544</v>
      </c>
      <c r="R7095" s="125">
        <f t="shared" si="202"/>
        <v>0</v>
      </c>
      <c r="S7095" s="31">
        <v>202304</v>
      </c>
      <c r="T7095" s="530" t="s">
        <v>9407</v>
      </c>
      <c r="U7095" s="520"/>
      <c r="V7095" s="534"/>
      <c r="W7095" s="534"/>
      <c r="X7095" s="34"/>
      <c r="Y7095" s="34"/>
    </row>
    <row r="7096" s="3" customFormat="1" customHeight="1" spans="1:25">
      <c r="A7096" s="35" t="s">
        <v>448</v>
      </c>
      <c r="B7096" s="35" t="s">
        <v>9337</v>
      </c>
      <c r="C7096" s="35" t="s">
        <v>44</v>
      </c>
      <c r="D7096" s="35" t="s">
        <v>642</v>
      </c>
      <c r="E7096" s="30" t="s">
        <v>9400</v>
      </c>
      <c r="F7096" s="35" t="s">
        <v>9401</v>
      </c>
      <c r="G7096" s="35" t="s">
        <v>31</v>
      </c>
      <c r="H7096" s="35" t="s">
        <v>9402</v>
      </c>
      <c r="I7096" s="30" t="e">
        <f>VLOOKUP(H7096,'合同高级查询数据-4月返'!A:A,1,FALSE)</f>
        <v>#N/A</v>
      </c>
      <c r="J7096" s="35" t="s">
        <v>33</v>
      </c>
      <c r="K7096" s="35" t="s">
        <v>9406</v>
      </c>
      <c r="L7096" s="35" t="s">
        <v>9406</v>
      </c>
      <c r="M7096" s="35"/>
      <c r="N7096" s="34"/>
      <c r="O7096" s="35" t="s">
        <v>37</v>
      </c>
      <c r="P7096" s="125">
        <v>0</v>
      </c>
      <c r="Q7096" s="488">
        <f>1776+640-Q7092-Q7094-Q7095</f>
        <v>2032</v>
      </c>
      <c r="R7096" s="125">
        <f t="shared" si="202"/>
        <v>0</v>
      </c>
      <c r="S7096" s="31">
        <v>202304</v>
      </c>
      <c r="T7096" s="530" t="s">
        <v>9407</v>
      </c>
      <c r="U7096" s="520"/>
      <c r="V7096" s="534"/>
      <c r="W7096" s="534"/>
      <c r="X7096" s="34"/>
      <c r="Y7096" s="34"/>
    </row>
    <row r="7097" s="3" customFormat="1" customHeight="1" spans="1:25">
      <c r="A7097" s="35" t="s">
        <v>448</v>
      </c>
      <c r="B7097" s="35" t="s">
        <v>9337</v>
      </c>
      <c r="C7097" s="35" t="s">
        <v>44</v>
      </c>
      <c r="D7097" s="35" t="s">
        <v>642</v>
      </c>
      <c r="E7097" s="30" t="s">
        <v>9400</v>
      </c>
      <c r="F7097" s="35" t="s">
        <v>9401</v>
      </c>
      <c r="G7097" s="35" t="s">
        <v>31</v>
      </c>
      <c r="H7097" s="35" t="s">
        <v>9402</v>
      </c>
      <c r="I7097" s="30" t="e">
        <f>VLOOKUP(H7097,'合同高级查询数据-4月返'!A:A,1,FALSE)</f>
        <v>#N/A</v>
      </c>
      <c r="J7097" s="35" t="s">
        <v>33</v>
      </c>
      <c r="K7097" s="35" t="s">
        <v>9406</v>
      </c>
      <c r="L7097" s="35" t="s">
        <v>9406</v>
      </c>
      <c r="M7097" s="35"/>
      <c r="N7097" s="34">
        <v>44773</v>
      </c>
      <c r="O7097" s="35" t="s">
        <v>37</v>
      </c>
      <c r="P7097" s="125">
        <v>0</v>
      </c>
      <c r="Q7097" s="488">
        <v>-768</v>
      </c>
      <c r="R7097" s="125">
        <f t="shared" si="202"/>
        <v>0</v>
      </c>
      <c r="S7097" s="31">
        <v>202304</v>
      </c>
      <c r="T7097" s="530" t="s">
        <v>9412</v>
      </c>
      <c r="U7097" s="520"/>
      <c r="V7097" s="534"/>
      <c r="W7097" s="534"/>
      <c r="X7097" s="34"/>
      <c r="Y7097" s="34"/>
    </row>
    <row r="7098" s="3" customFormat="1" customHeight="1" spans="1:25">
      <c r="A7098" s="35" t="s">
        <v>448</v>
      </c>
      <c r="B7098" s="35" t="s">
        <v>9337</v>
      </c>
      <c r="C7098" s="35" t="s">
        <v>44</v>
      </c>
      <c r="D7098" s="35" t="s">
        <v>642</v>
      </c>
      <c r="E7098" s="30" t="s">
        <v>9400</v>
      </c>
      <c r="F7098" s="35" t="s">
        <v>9401</v>
      </c>
      <c r="G7098" s="35" t="s">
        <v>88</v>
      </c>
      <c r="H7098" s="35" t="s">
        <v>9413</v>
      </c>
      <c r="I7098" s="30" t="e">
        <f>VLOOKUP(H7098,'合同高级查询数据-4月返'!A:A,1,FALSE)</f>
        <v>#N/A</v>
      </c>
      <c r="J7098" s="35" t="s">
        <v>162</v>
      </c>
      <c r="K7098" s="35" t="s">
        <v>203</v>
      </c>
      <c r="L7098" s="35" t="s">
        <v>9408</v>
      </c>
      <c r="M7098" s="35" t="s">
        <v>9414</v>
      </c>
      <c r="N7098" s="34" t="s">
        <v>558</v>
      </c>
      <c r="O7098" s="35" t="s">
        <v>163</v>
      </c>
      <c r="P7098" s="125">
        <v>0</v>
      </c>
      <c r="Q7098" s="526">
        <v>4</v>
      </c>
      <c r="R7098" s="125">
        <f t="shared" si="202"/>
        <v>0</v>
      </c>
      <c r="S7098" s="31">
        <v>202304</v>
      </c>
      <c r="T7098" s="530" t="s">
        <v>9415</v>
      </c>
      <c r="U7098" s="520"/>
      <c r="V7098" s="534"/>
      <c r="W7098" s="534"/>
      <c r="X7098" s="34"/>
      <c r="Y7098" s="34"/>
    </row>
    <row r="7099" s="3" customFormat="1" customHeight="1" spans="1:25">
      <c r="A7099" s="35" t="s">
        <v>448</v>
      </c>
      <c r="B7099" s="35" t="s">
        <v>9337</v>
      </c>
      <c r="C7099" s="35" t="s">
        <v>44</v>
      </c>
      <c r="D7099" s="35" t="s">
        <v>642</v>
      </c>
      <c r="E7099" s="30" t="s">
        <v>9400</v>
      </c>
      <c r="F7099" s="35" t="s">
        <v>9401</v>
      </c>
      <c r="G7099" s="35" t="s">
        <v>88</v>
      </c>
      <c r="H7099" s="35" t="s">
        <v>9413</v>
      </c>
      <c r="I7099" s="30" t="e">
        <f>VLOOKUP(H7099,'合同高级查询数据-4月返'!A:A,1,FALSE)</f>
        <v>#N/A</v>
      </c>
      <c r="J7099" s="35" t="s">
        <v>162</v>
      </c>
      <c r="K7099" s="35" t="s">
        <v>203</v>
      </c>
      <c r="L7099" s="35" t="s">
        <v>9406</v>
      </c>
      <c r="M7099" s="35" t="s">
        <v>9414</v>
      </c>
      <c r="N7099" s="34" t="s">
        <v>558</v>
      </c>
      <c r="O7099" s="35" t="s">
        <v>163</v>
      </c>
      <c r="P7099" s="125">
        <v>0</v>
      </c>
      <c r="Q7099" s="526">
        <v>8</v>
      </c>
      <c r="R7099" s="125">
        <f t="shared" si="202"/>
        <v>0</v>
      </c>
      <c r="S7099" s="31">
        <v>202304</v>
      </c>
      <c r="T7099" s="530" t="s">
        <v>9416</v>
      </c>
      <c r="U7099" s="520"/>
      <c r="V7099" s="534"/>
      <c r="W7099" s="534"/>
      <c r="X7099" s="34"/>
      <c r="Y7099" s="34"/>
    </row>
    <row r="7100" s="3" customFormat="1" customHeight="1" spans="1:25">
      <c r="A7100" s="35" t="s">
        <v>448</v>
      </c>
      <c r="B7100" s="35" t="s">
        <v>9337</v>
      </c>
      <c r="C7100" s="35" t="s">
        <v>44</v>
      </c>
      <c r="D7100" s="35" t="s">
        <v>642</v>
      </c>
      <c r="E7100" s="30" t="s">
        <v>9400</v>
      </c>
      <c r="F7100" s="35" t="s">
        <v>9401</v>
      </c>
      <c r="G7100" s="35" t="s">
        <v>88</v>
      </c>
      <c r="H7100" s="35" t="s">
        <v>9417</v>
      </c>
      <c r="I7100" s="30" t="e">
        <f>VLOOKUP(H7100,'合同高级查询数据-4月返'!A:A,1,FALSE)</f>
        <v>#N/A</v>
      </c>
      <c r="J7100" s="35" t="s">
        <v>162</v>
      </c>
      <c r="K7100" s="35" t="s">
        <v>203</v>
      </c>
      <c r="L7100" s="35" t="s">
        <v>9401</v>
      </c>
      <c r="M7100" s="35" t="s">
        <v>9418</v>
      </c>
      <c r="N7100" s="34" t="s">
        <v>558</v>
      </c>
      <c r="O7100" s="35" t="s">
        <v>163</v>
      </c>
      <c r="P7100" s="125">
        <v>0</v>
      </c>
      <c r="Q7100" s="526">
        <v>11</v>
      </c>
      <c r="R7100" s="125">
        <f t="shared" si="202"/>
        <v>0</v>
      </c>
      <c r="S7100" s="31">
        <v>202304</v>
      </c>
      <c r="T7100" s="530" t="s">
        <v>9419</v>
      </c>
      <c r="U7100" s="520"/>
      <c r="V7100" s="534"/>
      <c r="W7100" s="534"/>
      <c r="X7100" s="34"/>
      <c r="Y7100" s="34"/>
    </row>
    <row r="7101" s="3" customFormat="1" customHeight="1" spans="1:25">
      <c r="A7101" s="35" t="s">
        <v>448</v>
      </c>
      <c r="B7101" s="35" t="s">
        <v>9337</v>
      </c>
      <c r="C7101" s="35" t="s">
        <v>44</v>
      </c>
      <c r="D7101" s="35" t="s">
        <v>642</v>
      </c>
      <c r="E7101" s="30" t="s">
        <v>9400</v>
      </c>
      <c r="F7101" s="35" t="s">
        <v>9401</v>
      </c>
      <c r="G7101" s="35" t="s">
        <v>88</v>
      </c>
      <c r="H7101" s="35" t="s">
        <v>9413</v>
      </c>
      <c r="I7101" s="30" t="e">
        <f>VLOOKUP(H7101,'合同高级查询数据-4月返'!A:A,1,FALSE)</f>
        <v>#N/A</v>
      </c>
      <c r="J7101" s="35" t="s">
        <v>162</v>
      </c>
      <c r="K7101" s="35" t="s">
        <v>203</v>
      </c>
      <c r="L7101" s="35" t="s">
        <v>9408</v>
      </c>
      <c r="M7101" s="35" t="s">
        <v>9414</v>
      </c>
      <c r="N7101" s="34">
        <v>44012</v>
      </c>
      <c r="O7101" s="35" t="s">
        <v>163</v>
      </c>
      <c r="P7101" s="125">
        <v>0</v>
      </c>
      <c r="Q7101" s="526">
        <v>-4</v>
      </c>
      <c r="R7101" s="125">
        <f t="shared" si="202"/>
        <v>0</v>
      </c>
      <c r="S7101" s="31">
        <v>202304</v>
      </c>
      <c r="T7101" s="530" t="s">
        <v>9420</v>
      </c>
      <c r="U7101" s="520"/>
      <c r="V7101" s="534"/>
      <c r="W7101" s="534"/>
      <c r="X7101" s="34"/>
      <c r="Y7101" s="34"/>
    </row>
    <row r="7102" s="3" customFormat="1" customHeight="1" spans="1:25">
      <c r="A7102" s="35" t="s">
        <v>448</v>
      </c>
      <c r="B7102" s="35" t="s">
        <v>9337</v>
      </c>
      <c r="C7102" s="35" t="s">
        <v>44</v>
      </c>
      <c r="D7102" s="35" t="s">
        <v>642</v>
      </c>
      <c r="E7102" s="30" t="s">
        <v>9400</v>
      </c>
      <c r="F7102" s="35" t="s">
        <v>9401</v>
      </c>
      <c r="G7102" s="35" t="s">
        <v>88</v>
      </c>
      <c r="H7102" s="35" t="s">
        <v>9417</v>
      </c>
      <c r="I7102" s="30" t="e">
        <f>VLOOKUP(H7102,'合同高级查询数据-4月返'!A:A,1,FALSE)</f>
        <v>#N/A</v>
      </c>
      <c r="J7102" s="35" t="s">
        <v>162</v>
      </c>
      <c r="K7102" s="35" t="s">
        <v>203</v>
      </c>
      <c r="L7102" s="35" t="s">
        <v>9401</v>
      </c>
      <c r="M7102" s="35" t="s">
        <v>9418</v>
      </c>
      <c r="N7102" s="34">
        <v>44012</v>
      </c>
      <c r="O7102" s="35" t="s">
        <v>163</v>
      </c>
      <c r="P7102" s="125">
        <v>0</v>
      </c>
      <c r="Q7102" s="526">
        <v>-11</v>
      </c>
      <c r="R7102" s="125">
        <f t="shared" si="202"/>
        <v>0</v>
      </c>
      <c r="S7102" s="31">
        <v>202304</v>
      </c>
      <c r="T7102" s="539" t="s">
        <v>9421</v>
      </c>
      <c r="U7102" s="520"/>
      <c r="V7102" s="534"/>
      <c r="W7102" s="534"/>
      <c r="X7102" s="34"/>
      <c r="Y7102" s="34"/>
    </row>
    <row r="7103" s="3" customFormat="1" customHeight="1" spans="1:25">
      <c r="A7103" s="35" t="s">
        <v>448</v>
      </c>
      <c r="B7103" s="35" t="s">
        <v>9337</v>
      </c>
      <c r="C7103" s="35" t="s">
        <v>44</v>
      </c>
      <c r="D7103" s="35" t="s">
        <v>642</v>
      </c>
      <c r="E7103" s="30" t="s">
        <v>9400</v>
      </c>
      <c r="F7103" s="35" t="s">
        <v>9401</v>
      </c>
      <c r="G7103" s="35" t="s">
        <v>88</v>
      </c>
      <c r="H7103" s="35" t="s">
        <v>9413</v>
      </c>
      <c r="I7103" s="30" t="e">
        <f>VLOOKUP(H7103,'合同高级查询数据-4月返'!A:A,1,FALSE)</f>
        <v>#N/A</v>
      </c>
      <c r="J7103" s="35" t="s">
        <v>162</v>
      </c>
      <c r="K7103" s="35" t="s">
        <v>203</v>
      </c>
      <c r="L7103" s="35" t="s">
        <v>9408</v>
      </c>
      <c r="M7103" s="35" t="s">
        <v>9414</v>
      </c>
      <c r="N7103" s="34">
        <v>44090</v>
      </c>
      <c r="O7103" s="35" t="s">
        <v>163</v>
      </c>
      <c r="P7103" s="125">
        <v>0</v>
      </c>
      <c r="Q7103" s="526">
        <v>4</v>
      </c>
      <c r="R7103" s="125">
        <f t="shared" si="202"/>
        <v>0</v>
      </c>
      <c r="S7103" s="31">
        <v>202304</v>
      </c>
      <c r="T7103" s="530" t="s">
        <v>9422</v>
      </c>
      <c r="U7103" s="520"/>
      <c r="V7103" s="534"/>
      <c r="W7103" s="534"/>
      <c r="X7103" s="34"/>
      <c r="Y7103" s="34"/>
    </row>
    <row r="7104" s="3" customFormat="1" customHeight="1" spans="1:25">
      <c r="A7104" s="35" t="s">
        <v>448</v>
      </c>
      <c r="B7104" s="35" t="s">
        <v>9337</v>
      </c>
      <c r="C7104" s="35" t="s">
        <v>44</v>
      </c>
      <c r="D7104" s="35" t="s">
        <v>642</v>
      </c>
      <c r="E7104" s="30" t="s">
        <v>9400</v>
      </c>
      <c r="F7104" s="35" t="s">
        <v>9401</v>
      </c>
      <c r="G7104" s="35" t="s">
        <v>88</v>
      </c>
      <c r="H7104" s="35" t="s">
        <v>9413</v>
      </c>
      <c r="I7104" s="30" t="e">
        <f>VLOOKUP(H7104,'合同高级查询数据-4月返'!A:A,1,FALSE)</f>
        <v>#N/A</v>
      </c>
      <c r="J7104" s="35" t="s">
        <v>162</v>
      </c>
      <c r="K7104" s="35" t="s">
        <v>203</v>
      </c>
      <c r="L7104" s="35" t="s">
        <v>9408</v>
      </c>
      <c r="M7104" s="35" t="s">
        <v>9414</v>
      </c>
      <c r="N7104" s="34">
        <v>44742</v>
      </c>
      <c r="O7104" s="35" t="s">
        <v>163</v>
      </c>
      <c r="P7104" s="125">
        <v>4700</v>
      </c>
      <c r="Q7104" s="526">
        <v>-4</v>
      </c>
      <c r="R7104" s="125">
        <f t="shared" si="202"/>
        <v>-18800</v>
      </c>
      <c r="S7104" s="31">
        <v>202304</v>
      </c>
      <c r="T7104" s="530" t="s">
        <v>9423</v>
      </c>
      <c r="U7104" s="520"/>
      <c r="V7104" s="534"/>
      <c r="W7104" s="534"/>
      <c r="X7104" s="34"/>
      <c r="Y7104" s="34"/>
    </row>
    <row r="7105" s="3" customFormat="1" customHeight="1" spans="1:25">
      <c r="A7105" s="35" t="s">
        <v>448</v>
      </c>
      <c r="B7105" s="35" t="s">
        <v>9337</v>
      </c>
      <c r="C7105" s="35" t="s">
        <v>44</v>
      </c>
      <c r="D7105" s="35" t="s">
        <v>642</v>
      </c>
      <c r="E7105" s="30" t="s">
        <v>9400</v>
      </c>
      <c r="F7105" s="35" t="s">
        <v>9401</v>
      </c>
      <c r="G7105" s="35" t="s">
        <v>88</v>
      </c>
      <c r="H7105" s="35" t="s">
        <v>9413</v>
      </c>
      <c r="I7105" s="30" t="e">
        <f>VLOOKUP(H7105,'合同高级查询数据-4月返'!A:A,1,FALSE)</f>
        <v>#N/A</v>
      </c>
      <c r="J7105" s="35" t="s">
        <v>162</v>
      </c>
      <c r="K7105" s="35" t="s">
        <v>203</v>
      </c>
      <c r="L7105" s="35" t="s">
        <v>9411</v>
      </c>
      <c r="M7105" s="35" t="s">
        <v>9418</v>
      </c>
      <c r="N7105" s="34">
        <v>44090</v>
      </c>
      <c r="O7105" s="35" t="s">
        <v>163</v>
      </c>
      <c r="P7105" s="125">
        <v>0</v>
      </c>
      <c r="Q7105" s="526">
        <v>8</v>
      </c>
      <c r="R7105" s="125">
        <f t="shared" si="202"/>
        <v>0</v>
      </c>
      <c r="S7105" s="31">
        <v>202304</v>
      </c>
      <c r="T7105" s="530" t="s">
        <v>9424</v>
      </c>
      <c r="U7105" s="520"/>
      <c r="V7105" s="534"/>
      <c r="W7105" s="534"/>
      <c r="X7105" s="34"/>
      <c r="Y7105" s="34"/>
    </row>
    <row r="7106" s="3" customFormat="1" customHeight="1" spans="1:25">
      <c r="A7106" s="35" t="s">
        <v>448</v>
      </c>
      <c r="B7106" s="35" t="s">
        <v>9337</v>
      </c>
      <c r="C7106" s="35" t="s">
        <v>44</v>
      </c>
      <c r="D7106" s="35" t="s">
        <v>642</v>
      </c>
      <c r="E7106" s="30" t="s">
        <v>9400</v>
      </c>
      <c r="F7106" s="35" t="s">
        <v>9401</v>
      </c>
      <c r="G7106" s="35" t="s">
        <v>88</v>
      </c>
      <c r="H7106" s="35" t="s">
        <v>9413</v>
      </c>
      <c r="I7106" s="30" t="e">
        <f>VLOOKUP(H7106,'合同高级查询数据-4月返'!A:A,1,FALSE)</f>
        <v>#N/A</v>
      </c>
      <c r="J7106" s="35" t="s">
        <v>162</v>
      </c>
      <c r="K7106" s="35" t="s">
        <v>203</v>
      </c>
      <c r="L7106" s="35" t="s">
        <v>9411</v>
      </c>
      <c r="M7106" s="35" t="s">
        <v>9404</v>
      </c>
      <c r="N7106" s="34">
        <v>44090</v>
      </c>
      <c r="O7106" s="35" t="s">
        <v>163</v>
      </c>
      <c r="P7106" s="125">
        <v>4700</v>
      </c>
      <c r="Q7106" s="526">
        <v>3</v>
      </c>
      <c r="R7106" s="125">
        <f t="shared" si="202"/>
        <v>14100</v>
      </c>
      <c r="S7106" s="31">
        <v>202304</v>
      </c>
      <c r="T7106" s="539" t="s">
        <v>9425</v>
      </c>
      <c r="U7106" s="520"/>
      <c r="V7106" s="534"/>
      <c r="W7106" s="534"/>
      <c r="X7106" s="34"/>
      <c r="Y7106" s="34"/>
    </row>
    <row r="7107" s="3" customFormat="1" customHeight="1" spans="1:25">
      <c r="A7107" s="35" t="s">
        <v>448</v>
      </c>
      <c r="B7107" s="35" t="s">
        <v>9337</v>
      </c>
      <c r="C7107" s="35" t="s">
        <v>44</v>
      </c>
      <c r="D7107" s="35" t="s">
        <v>642</v>
      </c>
      <c r="E7107" s="30" t="s">
        <v>9400</v>
      </c>
      <c r="F7107" s="35" t="s">
        <v>9401</v>
      </c>
      <c r="G7107" s="35" t="s">
        <v>88</v>
      </c>
      <c r="H7107" s="35" t="s">
        <v>9413</v>
      </c>
      <c r="I7107" s="30" t="e">
        <f>VLOOKUP(H7107,'合同高级查询数据-4月返'!A:A,1,FALSE)</f>
        <v>#N/A</v>
      </c>
      <c r="J7107" s="35" t="s">
        <v>162</v>
      </c>
      <c r="K7107" s="35" t="s">
        <v>203</v>
      </c>
      <c r="L7107" s="35" t="s">
        <v>9406</v>
      </c>
      <c r="M7107" s="35" t="s">
        <v>9414</v>
      </c>
      <c r="N7107" s="34">
        <v>44347</v>
      </c>
      <c r="O7107" s="35" t="s">
        <v>163</v>
      </c>
      <c r="P7107" s="125">
        <v>4700</v>
      </c>
      <c r="Q7107" s="526">
        <v>-3</v>
      </c>
      <c r="R7107" s="125">
        <f t="shared" si="202"/>
        <v>-14100</v>
      </c>
      <c r="S7107" s="31">
        <v>202304</v>
      </c>
      <c r="T7107" s="530" t="s">
        <v>9426</v>
      </c>
      <c r="U7107" s="520"/>
      <c r="V7107" s="534"/>
      <c r="W7107" s="534"/>
      <c r="X7107" s="34"/>
      <c r="Y7107" s="34"/>
    </row>
    <row r="7108" s="3" customFormat="1" customHeight="1" spans="1:25">
      <c r="A7108" s="35" t="s">
        <v>448</v>
      </c>
      <c r="B7108" s="35" t="s">
        <v>9337</v>
      </c>
      <c r="C7108" s="35" t="s">
        <v>44</v>
      </c>
      <c r="D7108" s="35" t="s">
        <v>642</v>
      </c>
      <c r="E7108" s="30" t="s">
        <v>9400</v>
      </c>
      <c r="F7108" s="35" t="s">
        <v>9401</v>
      </c>
      <c r="G7108" s="35" t="s">
        <v>88</v>
      </c>
      <c r="H7108" s="35" t="s">
        <v>9413</v>
      </c>
      <c r="I7108" s="30" t="e">
        <f>VLOOKUP(H7108,'合同高级查询数据-4月返'!A:A,1,FALSE)</f>
        <v>#N/A</v>
      </c>
      <c r="J7108" s="35" t="s">
        <v>162</v>
      </c>
      <c r="K7108" s="35" t="s">
        <v>203</v>
      </c>
      <c r="L7108" s="35" t="s">
        <v>9406</v>
      </c>
      <c r="M7108" s="35" t="s">
        <v>9414</v>
      </c>
      <c r="N7108" s="34">
        <v>43811</v>
      </c>
      <c r="O7108" s="35" t="s">
        <v>163</v>
      </c>
      <c r="P7108" s="125">
        <v>0</v>
      </c>
      <c r="Q7108" s="526">
        <v>2</v>
      </c>
      <c r="R7108" s="125">
        <f t="shared" si="202"/>
        <v>0</v>
      </c>
      <c r="S7108" s="31">
        <v>202304</v>
      </c>
      <c r="T7108" s="530" t="s">
        <v>9427</v>
      </c>
      <c r="U7108" s="520"/>
      <c r="V7108" s="534"/>
      <c r="W7108" s="534"/>
      <c r="X7108" s="34"/>
      <c r="Y7108" s="34"/>
    </row>
    <row r="7109" s="3" customFormat="1" customHeight="1" spans="1:25">
      <c r="A7109" s="35" t="s">
        <v>448</v>
      </c>
      <c r="B7109" s="35" t="s">
        <v>9337</v>
      </c>
      <c r="C7109" s="35" t="s">
        <v>44</v>
      </c>
      <c r="D7109" s="35" t="s">
        <v>642</v>
      </c>
      <c r="E7109" s="30" t="s">
        <v>9400</v>
      </c>
      <c r="F7109" s="35" t="s">
        <v>9401</v>
      </c>
      <c r="G7109" s="35" t="s">
        <v>88</v>
      </c>
      <c r="H7109" s="35" t="s">
        <v>9413</v>
      </c>
      <c r="I7109" s="30" t="e">
        <f>VLOOKUP(H7109,'合同高级查询数据-4月返'!A:A,1,FALSE)</f>
        <v>#N/A</v>
      </c>
      <c r="J7109" s="35" t="s">
        <v>162</v>
      </c>
      <c r="K7109" s="35" t="s">
        <v>203</v>
      </c>
      <c r="L7109" s="35" t="s">
        <v>9411</v>
      </c>
      <c r="M7109" s="35" t="s">
        <v>9414</v>
      </c>
      <c r="N7109" s="34">
        <v>44439</v>
      </c>
      <c r="O7109" s="35" t="s">
        <v>163</v>
      </c>
      <c r="P7109" s="125">
        <v>0</v>
      </c>
      <c r="Q7109" s="526">
        <v>-7</v>
      </c>
      <c r="R7109" s="125">
        <f t="shared" si="202"/>
        <v>0</v>
      </c>
      <c r="S7109" s="31">
        <v>202304</v>
      </c>
      <c r="T7109" s="530" t="s">
        <v>9428</v>
      </c>
      <c r="U7109" s="520"/>
      <c r="V7109" s="534"/>
      <c r="W7109" s="534"/>
      <c r="X7109" s="34"/>
      <c r="Y7109" s="34"/>
    </row>
    <row r="7110" s="3" customFormat="1" customHeight="1" spans="1:25">
      <c r="A7110" s="35" t="s">
        <v>448</v>
      </c>
      <c r="B7110" s="35" t="s">
        <v>9337</v>
      </c>
      <c r="C7110" s="35" t="s">
        <v>44</v>
      </c>
      <c r="D7110" s="35" t="s">
        <v>642</v>
      </c>
      <c r="E7110" s="30" t="s">
        <v>9400</v>
      </c>
      <c r="F7110" s="35" t="s">
        <v>9401</v>
      </c>
      <c r="G7110" s="35" t="s">
        <v>88</v>
      </c>
      <c r="H7110" s="35" t="s">
        <v>9413</v>
      </c>
      <c r="I7110" s="30" t="e">
        <f>VLOOKUP(H7110,'合同高级查询数据-4月返'!A:A,1,FALSE)</f>
        <v>#N/A</v>
      </c>
      <c r="J7110" s="35" t="s">
        <v>162</v>
      </c>
      <c r="K7110" s="35" t="s">
        <v>203</v>
      </c>
      <c r="L7110" s="35" t="s">
        <v>9411</v>
      </c>
      <c r="M7110" s="35" t="s">
        <v>9414</v>
      </c>
      <c r="N7110" s="34">
        <v>44439</v>
      </c>
      <c r="O7110" s="35" t="s">
        <v>163</v>
      </c>
      <c r="P7110" s="125">
        <v>4700</v>
      </c>
      <c r="Q7110" s="526">
        <v>-1</v>
      </c>
      <c r="R7110" s="125">
        <f t="shared" si="202"/>
        <v>-4700</v>
      </c>
      <c r="S7110" s="31">
        <v>202304</v>
      </c>
      <c r="T7110" s="530" t="s">
        <v>9429</v>
      </c>
      <c r="U7110" s="520"/>
      <c r="V7110" s="534"/>
      <c r="W7110" s="534"/>
      <c r="X7110" s="34"/>
      <c r="Y7110" s="34"/>
    </row>
    <row r="7111" s="3" customFormat="1" customHeight="1" spans="1:25">
      <c r="A7111" s="35" t="s">
        <v>448</v>
      </c>
      <c r="B7111" s="35" t="s">
        <v>9337</v>
      </c>
      <c r="C7111" s="35" t="s">
        <v>44</v>
      </c>
      <c r="D7111" s="35" t="s">
        <v>642</v>
      </c>
      <c r="E7111" s="30" t="s">
        <v>9400</v>
      </c>
      <c r="F7111" s="35" t="s">
        <v>9401</v>
      </c>
      <c r="G7111" s="35" t="s">
        <v>88</v>
      </c>
      <c r="H7111" s="35" t="s">
        <v>9413</v>
      </c>
      <c r="I7111" s="30" t="e">
        <f>VLOOKUP(H7111,'合同高级查询数据-4月返'!A:A,1,FALSE)</f>
        <v>#N/A</v>
      </c>
      <c r="J7111" s="35" t="s">
        <v>162</v>
      </c>
      <c r="K7111" s="35" t="s">
        <v>203</v>
      </c>
      <c r="L7111" s="35" t="s">
        <v>9411</v>
      </c>
      <c r="M7111" s="35" t="s">
        <v>9414</v>
      </c>
      <c r="N7111" s="34">
        <v>44774</v>
      </c>
      <c r="O7111" s="35" t="s">
        <v>163</v>
      </c>
      <c r="P7111" s="125">
        <v>4700</v>
      </c>
      <c r="Q7111" s="526">
        <v>2</v>
      </c>
      <c r="R7111" s="125">
        <f t="shared" si="202"/>
        <v>9400</v>
      </c>
      <c r="S7111" s="31">
        <v>202304</v>
      </c>
      <c r="T7111" s="530" t="s">
        <v>9430</v>
      </c>
      <c r="U7111" s="520"/>
      <c r="V7111" s="534"/>
      <c r="W7111" s="534"/>
      <c r="X7111" s="34"/>
      <c r="Y7111" s="34"/>
    </row>
    <row r="7112" s="3" customFormat="1" customHeight="1" spans="1:25">
      <c r="A7112" s="35" t="s">
        <v>448</v>
      </c>
      <c r="B7112" s="35" t="s">
        <v>9337</v>
      </c>
      <c r="C7112" s="35" t="s">
        <v>44</v>
      </c>
      <c r="D7112" s="35" t="s">
        <v>642</v>
      </c>
      <c r="E7112" s="30" t="s">
        <v>9400</v>
      </c>
      <c r="F7112" s="35" t="s">
        <v>9401</v>
      </c>
      <c r="G7112" s="35" t="s">
        <v>88</v>
      </c>
      <c r="H7112" s="35" t="s">
        <v>9413</v>
      </c>
      <c r="I7112" s="30" t="e">
        <f>VLOOKUP(H7112,'合同高级查询数据-4月返'!A:A,1,FALSE)</f>
        <v>#N/A</v>
      </c>
      <c r="J7112" s="35" t="s">
        <v>1287</v>
      </c>
      <c r="K7112" s="35" t="s">
        <v>203</v>
      </c>
      <c r="L7112" s="477" t="s">
        <v>9403</v>
      </c>
      <c r="M7112" s="35" t="s">
        <v>9404</v>
      </c>
      <c r="N7112" s="34"/>
      <c r="O7112" s="35" t="s">
        <v>163</v>
      </c>
      <c r="P7112" s="125">
        <v>4700</v>
      </c>
      <c r="Q7112" s="526">
        <v>6</v>
      </c>
      <c r="R7112" s="125">
        <f t="shared" si="202"/>
        <v>28200</v>
      </c>
      <c r="S7112" s="31">
        <v>202304</v>
      </c>
      <c r="T7112" s="539" t="s">
        <v>9431</v>
      </c>
      <c r="U7112" s="520"/>
      <c r="V7112" s="534"/>
      <c r="W7112" s="534"/>
      <c r="X7112" s="34"/>
      <c r="Y7112" s="34"/>
    </row>
    <row r="7113" s="3" customFormat="1" customHeight="1" spans="1:25">
      <c r="A7113" s="35" t="s">
        <v>448</v>
      </c>
      <c r="B7113" s="35" t="s">
        <v>9337</v>
      </c>
      <c r="C7113" s="35" t="s">
        <v>44</v>
      </c>
      <c r="D7113" s="35" t="s">
        <v>642</v>
      </c>
      <c r="E7113" s="30" t="s">
        <v>9400</v>
      </c>
      <c r="F7113" s="35" t="s">
        <v>9401</v>
      </c>
      <c r="G7113" s="35" t="s">
        <v>88</v>
      </c>
      <c r="H7113" s="35" t="s">
        <v>9413</v>
      </c>
      <c r="I7113" s="30" t="e">
        <f>VLOOKUP(H7113,'合同高级查询数据-4月返'!A:A,1,FALSE)</f>
        <v>#N/A</v>
      </c>
      <c r="J7113" s="35" t="s">
        <v>1287</v>
      </c>
      <c r="K7113" s="35" t="s">
        <v>203</v>
      </c>
      <c r="L7113" s="477" t="s">
        <v>9403</v>
      </c>
      <c r="M7113" s="35" t="s">
        <v>9404</v>
      </c>
      <c r="N7113" s="34">
        <v>44645</v>
      </c>
      <c r="O7113" s="35" t="s">
        <v>163</v>
      </c>
      <c r="P7113" s="125">
        <v>4700</v>
      </c>
      <c r="Q7113" s="526">
        <v>-1</v>
      </c>
      <c r="R7113" s="125">
        <f t="shared" si="202"/>
        <v>-4700</v>
      </c>
      <c r="S7113" s="31">
        <v>202304</v>
      </c>
      <c r="T7113" s="530" t="s">
        <v>9432</v>
      </c>
      <c r="U7113" s="520"/>
      <c r="V7113" s="534"/>
      <c r="W7113" s="534"/>
      <c r="X7113" s="34"/>
      <c r="Y7113" s="34"/>
    </row>
    <row r="7114" s="3" customFormat="1" customHeight="1" spans="1:25">
      <c r="A7114" s="35" t="s">
        <v>448</v>
      </c>
      <c r="B7114" s="35" t="s">
        <v>9337</v>
      </c>
      <c r="C7114" s="35" t="s">
        <v>44</v>
      </c>
      <c r="D7114" s="35" t="s">
        <v>642</v>
      </c>
      <c r="E7114" s="30" t="s">
        <v>9400</v>
      </c>
      <c r="F7114" s="35" t="s">
        <v>9401</v>
      </c>
      <c r="G7114" s="35" t="s">
        <v>88</v>
      </c>
      <c r="H7114" s="35" t="s">
        <v>9413</v>
      </c>
      <c r="I7114" s="30" t="e">
        <f>VLOOKUP(H7114,'合同高级查询数据-4月返'!A:A,1,FALSE)</f>
        <v>#N/A</v>
      </c>
      <c r="J7114" s="35" t="s">
        <v>162</v>
      </c>
      <c r="K7114" s="35" t="s">
        <v>9406</v>
      </c>
      <c r="L7114" s="35" t="s">
        <v>9406</v>
      </c>
      <c r="M7114" s="35" t="s">
        <v>9414</v>
      </c>
      <c r="N7114" s="34">
        <v>44332</v>
      </c>
      <c r="O7114" s="35" t="s">
        <v>163</v>
      </c>
      <c r="P7114" s="125">
        <v>4700</v>
      </c>
      <c r="Q7114" s="526">
        <v>1</v>
      </c>
      <c r="R7114" s="125">
        <f t="shared" si="202"/>
        <v>4700</v>
      </c>
      <c r="S7114" s="31">
        <v>202304</v>
      </c>
      <c r="T7114" s="530" t="s">
        <v>9433</v>
      </c>
      <c r="U7114" s="520"/>
      <c r="V7114" s="534"/>
      <c r="W7114" s="534"/>
      <c r="X7114" s="34"/>
      <c r="Y7114" s="34"/>
    </row>
    <row r="7115" s="3" customFormat="1" customHeight="1" spans="1:25">
      <c r="A7115" s="35" t="s">
        <v>448</v>
      </c>
      <c r="B7115" s="35" t="s">
        <v>9337</v>
      </c>
      <c r="C7115" s="35" t="s">
        <v>44</v>
      </c>
      <c r="D7115" s="35" t="s">
        <v>642</v>
      </c>
      <c r="E7115" s="30" t="s">
        <v>9400</v>
      </c>
      <c r="F7115" s="35" t="s">
        <v>9401</v>
      </c>
      <c r="G7115" s="35" t="s">
        <v>88</v>
      </c>
      <c r="H7115" s="35" t="s">
        <v>9413</v>
      </c>
      <c r="I7115" s="30" t="e">
        <f>VLOOKUP(H7115,'合同高级查询数据-4月返'!A:A,1,FALSE)</f>
        <v>#N/A</v>
      </c>
      <c r="J7115" s="35" t="s">
        <v>162</v>
      </c>
      <c r="K7115" s="35" t="s">
        <v>9406</v>
      </c>
      <c r="L7115" s="35" t="s">
        <v>9406</v>
      </c>
      <c r="M7115" s="35" t="s">
        <v>9414</v>
      </c>
      <c r="N7115" s="34">
        <v>44470</v>
      </c>
      <c r="O7115" s="35" t="s">
        <v>163</v>
      </c>
      <c r="P7115" s="125">
        <v>4700</v>
      </c>
      <c r="Q7115" s="526">
        <v>5</v>
      </c>
      <c r="R7115" s="125">
        <f t="shared" si="202"/>
        <v>23500</v>
      </c>
      <c r="S7115" s="31">
        <v>202304</v>
      </c>
      <c r="T7115" s="539" t="s">
        <v>9434</v>
      </c>
      <c r="U7115" s="520"/>
      <c r="V7115" s="534"/>
      <c r="W7115" s="534"/>
      <c r="X7115" s="34"/>
      <c r="Y7115" s="34"/>
    </row>
    <row r="7116" s="3" customFormat="1" customHeight="1" spans="1:25">
      <c r="A7116" s="35" t="s">
        <v>448</v>
      </c>
      <c r="B7116" s="35" t="s">
        <v>9337</v>
      </c>
      <c r="C7116" s="35" t="s">
        <v>44</v>
      </c>
      <c r="D7116" s="35" t="s">
        <v>642</v>
      </c>
      <c r="E7116" s="30" t="s">
        <v>9400</v>
      </c>
      <c r="F7116" s="35" t="s">
        <v>9401</v>
      </c>
      <c r="G7116" s="35" t="s">
        <v>88</v>
      </c>
      <c r="H7116" s="35" t="s">
        <v>9413</v>
      </c>
      <c r="I7116" s="30" t="e">
        <f>VLOOKUP(H7116,'合同高级查询数据-4月返'!A:A,1,FALSE)</f>
        <v>#N/A</v>
      </c>
      <c r="J7116" s="35" t="s">
        <v>162</v>
      </c>
      <c r="K7116" s="35" t="s">
        <v>9406</v>
      </c>
      <c r="L7116" s="35" t="s">
        <v>9406</v>
      </c>
      <c r="M7116" s="35" t="s">
        <v>9414</v>
      </c>
      <c r="N7116" s="34">
        <v>44470</v>
      </c>
      <c r="O7116" s="35" t="s">
        <v>163</v>
      </c>
      <c r="P7116" s="125">
        <v>0</v>
      </c>
      <c r="Q7116" s="526">
        <v>7</v>
      </c>
      <c r="R7116" s="125">
        <f t="shared" si="202"/>
        <v>0</v>
      </c>
      <c r="S7116" s="31">
        <v>202304</v>
      </c>
      <c r="T7116" s="530" t="s">
        <v>9435</v>
      </c>
      <c r="U7116" s="520"/>
      <c r="V7116" s="534"/>
      <c r="W7116" s="534"/>
      <c r="X7116" s="34"/>
      <c r="Y7116" s="34"/>
    </row>
    <row r="7117" s="3" customFormat="1" customHeight="1" spans="1:25">
      <c r="A7117" s="35" t="s">
        <v>448</v>
      </c>
      <c r="B7117" s="35" t="s">
        <v>9337</v>
      </c>
      <c r="C7117" s="35" t="s">
        <v>44</v>
      </c>
      <c r="D7117" s="35" t="s">
        <v>642</v>
      </c>
      <c r="E7117" s="30" t="s">
        <v>9400</v>
      </c>
      <c r="F7117" s="35" t="s">
        <v>9401</v>
      </c>
      <c r="G7117" s="35" t="s">
        <v>88</v>
      </c>
      <c r="H7117" s="540" t="s">
        <v>9402</v>
      </c>
      <c r="I7117" s="30" t="e">
        <f>VLOOKUP(H7117,'合同高级查询数据-4月返'!A:A,1,FALSE)</f>
        <v>#N/A</v>
      </c>
      <c r="J7117" s="35" t="s">
        <v>162</v>
      </c>
      <c r="K7117" s="35" t="s">
        <v>9406</v>
      </c>
      <c r="L7117" s="35" t="s">
        <v>9406</v>
      </c>
      <c r="M7117" s="35" t="s">
        <v>9414</v>
      </c>
      <c r="N7117" s="34">
        <v>44545</v>
      </c>
      <c r="O7117" s="35" t="s">
        <v>163</v>
      </c>
      <c r="P7117" s="125">
        <v>4700</v>
      </c>
      <c r="Q7117" s="526">
        <v>1</v>
      </c>
      <c r="R7117" s="125">
        <f t="shared" si="202"/>
        <v>4700</v>
      </c>
      <c r="S7117" s="31">
        <v>202304</v>
      </c>
      <c r="T7117" s="530" t="s">
        <v>9436</v>
      </c>
      <c r="U7117" s="520"/>
      <c r="V7117" s="534"/>
      <c r="W7117" s="534"/>
      <c r="X7117" s="34"/>
      <c r="Y7117" s="34"/>
    </row>
    <row r="7118" s="3" customFormat="1" customHeight="1" spans="1:25">
      <c r="A7118" s="35" t="s">
        <v>448</v>
      </c>
      <c r="B7118" s="35" t="s">
        <v>9337</v>
      </c>
      <c r="C7118" s="35" t="s">
        <v>44</v>
      </c>
      <c r="D7118" s="35" t="s">
        <v>642</v>
      </c>
      <c r="E7118" s="30" t="s">
        <v>9400</v>
      </c>
      <c r="F7118" s="35" t="s">
        <v>9401</v>
      </c>
      <c r="G7118" s="35" t="s">
        <v>88</v>
      </c>
      <c r="H7118" s="540" t="s">
        <v>9402</v>
      </c>
      <c r="I7118" s="30" t="e">
        <f>VLOOKUP(H7118,'合同高级查询数据-4月返'!A:A,1,FALSE)</f>
        <v>#N/A</v>
      </c>
      <c r="J7118" s="35" t="s">
        <v>162</v>
      </c>
      <c r="K7118" s="35" t="s">
        <v>9406</v>
      </c>
      <c r="L7118" s="35" t="s">
        <v>9406</v>
      </c>
      <c r="M7118" s="35" t="s">
        <v>9414</v>
      </c>
      <c r="N7118" s="34">
        <v>44576</v>
      </c>
      <c r="O7118" s="35" t="s">
        <v>163</v>
      </c>
      <c r="P7118" s="125">
        <v>4700</v>
      </c>
      <c r="Q7118" s="526">
        <v>1</v>
      </c>
      <c r="R7118" s="125">
        <f t="shared" si="202"/>
        <v>4700</v>
      </c>
      <c r="S7118" s="31">
        <v>202304</v>
      </c>
      <c r="T7118" s="530" t="s">
        <v>9437</v>
      </c>
      <c r="U7118" s="520"/>
      <c r="V7118" s="534"/>
      <c r="W7118" s="534"/>
      <c r="X7118" s="34"/>
      <c r="Y7118" s="34"/>
    </row>
    <row r="7119" s="3" customFormat="1" customHeight="1" spans="1:25">
      <c r="A7119" s="35" t="s">
        <v>448</v>
      </c>
      <c r="B7119" s="35" t="s">
        <v>9337</v>
      </c>
      <c r="C7119" s="35" t="s">
        <v>44</v>
      </c>
      <c r="D7119" s="35" t="s">
        <v>642</v>
      </c>
      <c r="E7119" s="30" t="s">
        <v>9400</v>
      </c>
      <c r="F7119" s="35" t="s">
        <v>9401</v>
      </c>
      <c r="G7119" s="35" t="s">
        <v>88</v>
      </c>
      <c r="H7119" s="35" t="s">
        <v>9413</v>
      </c>
      <c r="I7119" s="30" t="e">
        <f>VLOOKUP(H7119,'合同高级查询数据-4月返'!A:A,1,FALSE)</f>
        <v>#N/A</v>
      </c>
      <c r="J7119" s="35" t="s">
        <v>162</v>
      </c>
      <c r="K7119" s="35" t="s">
        <v>9406</v>
      </c>
      <c r="L7119" s="35" t="s">
        <v>9406</v>
      </c>
      <c r="M7119" s="35" t="s">
        <v>9414</v>
      </c>
      <c r="N7119" s="34">
        <v>44773</v>
      </c>
      <c r="O7119" s="35" t="s">
        <v>163</v>
      </c>
      <c r="P7119" s="125">
        <v>4700</v>
      </c>
      <c r="Q7119" s="526">
        <v>-5</v>
      </c>
      <c r="R7119" s="125">
        <f t="shared" si="202"/>
        <v>-23500</v>
      </c>
      <c r="S7119" s="31">
        <v>202304</v>
      </c>
      <c r="T7119" s="530" t="s">
        <v>9438</v>
      </c>
      <c r="U7119" s="520"/>
      <c r="V7119" s="534"/>
      <c r="W7119" s="534"/>
      <c r="X7119" s="34"/>
      <c r="Y7119" s="34"/>
    </row>
    <row r="7120" s="3" customFormat="1" customHeight="1" spans="1:25">
      <c r="A7120" s="35" t="s">
        <v>448</v>
      </c>
      <c r="B7120" s="35" t="s">
        <v>9337</v>
      </c>
      <c r="C7120" s="35" t="s">
        <v>44</v>
      </c>
      <c r="D7120" s="35" t="s">
        <v>642</v>
      </c>
      <c r="E7120" s="30" t="s">
        <v>9400</v>
      </c>
      <c r="F7120" s="35" t="s">
        <v>9401</v>
      </c>
      <c r="G7120" s="35" t="s">
        <v>88</v>
      </c>
      <c r="H7120" s="540" t="s">
        <v>9402</v>
      </c>
      <c r="I7120" s="30" t="e">
        <f>VLOOKUP(H7120,'合同高级查询数据-4月返'!A:A,1,FALSE)</f>
        <v>#N/A</v>
      </c>
      <c r="J7120" s="35" t="s">
        <v>1287</v>
      </c>
      <c r="K7120" s="35" t="s">
        <v>203</v>
      </c>
      <c r="L7120" s="477" t="s">
        <v>9403</v>
      </c>
      <c r="M7120" s="35" t="s">
        <v>9404</v>
      </c>
      <c r="N7120" s="34">
        <v>45040</v>
      </c>
      <c r="O7120" s="35" t="s">
        <v>163</v>
      </c>
      <c r="P7120" s="526">
        <v>4700</v>
      </c>
      <c r="Q7120" s="526">
        <v>-2</v>
      </c>
      <c r="R7120" s="541">
        <f>ROUND(P7120*Q7120*6/30,2)</f>
        <v>-1880</v>
      </c>
      <c r="S7120" s="31">
        <v>202304</v>
      </c>
      <c r="T7120" s="530" t="s">
        <v>9439</v>
      </c>
      <c r="U7120" s="520"/>
      <c r="V7120" s="534"/>
      <c r="W7120" s="534"/>
      <c r="X7120" s="34"/>
      <c r="Y7120" s="34"/>
    </row>
    <row r="7121" s="3" customFormat="1" customHeight="1" spans="1:25">
      <c r="A7121" s="35" t="s">
        <v>448</v>
      </c>
      <c r="B7121" s="35" t="s">
        <v>9337</v>
      </c>
      <c r="C7121" s="35" t="s">
        <v>44</v>
      </c>
      <c r="D7121" s="35" t="s">
        <v>642</v>
      </c>
      <c r="E7121" s="30" t="s">
        <v>9440</v>
      </c>
      <c r="F7121" s="35" t="s">
        <v>9441</v>
      </c>
      <c r="G7121" s="35" t="s">
        <v>31</v>
      </c>
      <c r="H7121" s="35" t="s">
        <v>9442</v>
      </c>
      <c r="I7121" s="30" t="e">
        <f>VLOOKUP(H7121,'合同高级查询数据-4月返'!A:A,1,FALSE)</f>
        <v>#N/A</v>
      </c>
      <c r="J7121" s="35" t="s">
        <v>33</v>
      </c>
      <c r="K7121" s="35" t="s">
        <v>9443</v>
      </c>
      <c r="L7121" s="35" t="s">
        <v>9443</v>
      </c>
      <c r="M7121" s="35" t="s">
        <v>9444</v>
      </c>
      <c r="N7121" s="34"/>
      <c r="O7121" s="35" t="s">
        <v>37</v>
      </c>
      <c r="P7121" s="125">
        <v>0</v>
      </c>
      <c r="Q7121" s="488">
        <v>512</v>
      </c>
      <c r="R7121" s="125">
        <f t="shared" ref="R7121:R7184" si="203">ROUND(P7121*Q7121,2)</f>
        <v>0</v>
      </c>
      <c r="S7121" s="31">
        <v>202304</v>
      </c>
      <c r="T7121" s="530" t="s">
        <v>9445</v>
      </c>
      <c r="U7121" s="520"/>
      <c r="V7121" s="534"/>
      <c r="W7121" s="534"/>
      <c r="X7121" s="34"/>
      <c r="Y7121" s="34"/>
    </row>
    <row r="7122" s="3" customFormat="1" customHeight="1" spans="1:25">
      <c r="A7122" s="35" t="s">
        <v>448</v>
      </c>
      <c r="B7122" s="35" t="s">
        <v>9337</v>
      </c>
      <c r="C7122" s="35" t="s">
        <v>44</v>
      </c>
      <c r="D7122" s="35" t="s">
        <v>642</v>
      </c>
      <c r="E7122" s="30" t="s">
        <v>9440</v>
      </c>
      <c r="F7122" s="35" t="s">
        <v>9441</v>
      </c>
      <c r="G7122" s="35" t="s">
        <v>31</v>
      </c>
      <c r="H7122" s="35" t="s">
        <v>9442</v>
      </c>
      <c r="I7122" s="30" t="e">
        <f>VLOOKUP(H7122,'合同高级查询数据-4月返'!A:A,1,FALSE)</f>
        <v>#N/A</v>
      </c>
      <c r="J7122" s="35" t="s">
        <v>33</v>
      </c>
      <c r="K7122" s="35" t="s">
        <v>9446</v>
      </c>
      <c r="L7122" s="35" t="s">
        <v>9446</v>
      </c>
      <c r="M7122" s="35" t="s">
        <v>9447</v>
      </c>
      <c r="N7122" s="34">
        <v>44593</v>
      </c>
      <c r="O7122" s="35" t="s">
        <v>37</v>
      </c>
      <c r="P7122" s="125">
        <v>0</v>
      </c>
      <c r="Q7122" s="488">
        <v>256</v>
      </c>
      <c r="R7122" s="125">
        <f t="shared" si="203"/>
        <v>0</v>
      </c>
      <c r="S7122" s="31">
        <v>202304</v>
      </c>
      <c r="T7122" s="529" t="s">
        <v>9448</v>
      </c>
      <c r="U7122" s="520"/>
      <c r="V7122" s="533"/>
      <c r="W7122" s="534"/>
      <c r="X7122" s="34"/>
      <c r="Y7122" s="34"/>
    </row>
    <row r="7123" s="3" customFormat="1" customHeight="1" spans="1:25">
      <c r="A7123" s="35" t="s">
        <v>448</v>
      </c>
      <c r="B7123" s="35" t="s">
        <v>9337</v>
      </c>
      <c r="C7123" s="35" t="s">
        <v>44</v>
      </c>
      <c r="D7123" s="35" t="s">
        <v>642</v>
      </c>
      <c r="E7123" s="30" t="s">
        <v>9440</v>
      </c>
      <c r="F7123" s="35" t="s">
        <v>9441</v>
      </c>
      <c r="G7123" s="35" t="s">
        <v>31</v>
      </c>
      <c r="H7123" s="35" t="s">
        <v>9442</v>
      </c>
      <c r="I7123" s="30" t="e">
        <f>VLOOKUP(H7123,'合同高级查询数据-4月返'!A:A,1,FALSE)</f>
        <v>#N/A</v>
      </c>
      <c r="J7123" s="35" t="s">
        <v>33</v>
      </c>
      <c r="K7123" s="35" t="s">
        <v>9446</v>
      </c>
      <c r="L7123" s="35" t="s">
        <v>9446</v>
      </c>
      <c r="M7123" s="35" t="s">
        <v>9447</v>
      </c>
      <c r="N7123" s="34">
        <v>44651</v>
      </c>
      <c r="O7123" s="35" t="s">
        <v>37</v>
      </c>
      <c r="P7123" s="125">
        <v>0</v>
      </c>
      <c r="Q7123" s="488">
        <v>-256</v>
      </c>
      <c r="R7123" s="125">
        <f t="shared" si="203"/>
        <v>0</v>
      </c>
      <c r="S7123" s="31">
        <v>202304</v>
      </c>
      <c r="T7123" s="529" t="s">
        <v>9449</v>
      </c>
      <c r="U7123" s="520"/>
      <c r="V7123" s="533"/>
      <c r="W7123" s="534"/>
      <c r="X7123" s="34"/>
      <c r="Y7123" s="34"/>
    </row>
    <row r="7124" s="3" customFormat="1" customHeight="1" spans="1:25">
      <c r="A7124" s="35" t="s">
        <v>448</v>
      </c>
      <c r="B7124" s="35" t="s">
        <v>9337</v>
      </c>
      <c r="C7124" s="35" t="s">
        <v>44</v>
      </c>
      <c r="D7124" s="35" t="s">
        <v>642</v>
      </c>
      <c r="E7124" s="30" t="s">
        <v>9440</v>
      </c>
      <c r="F7124" s="35" t="s">
        <v>9441</v>
      </c>
      <c r="G7124" s="35" t="s">
        <v>88</v>
      </c>
      <c r="H7124" s="35" t="s">
        <v>9442</v>
      </c>
      <c r="I7124" s="30" t="e">
        <f>VLOOKUP(H7124,'合同高级查询数据-4月返'!A:A,1,FALSE)</f>
        <v>#N/A</v>
      </c>
      <c r="J7124" s="35" t="s">
        <v>162</v>
      </c>
      <c r="K7124" s="35" t="s">
        <v>8652</v>
      </c>
      <c r="L7124" s="35" t="s">
        <v>9443</v>
      </c>
      <c r="M7124" s="35" t="s">
        <v>9444</v>
      </c>
      <c r="N7124" s="34">
        <v>41869</v>
      </c>
      <c r="O7124" s="35" t="s">
        <v>503</v>
      </c>
      <c r="P7124" s="125">
        <v>6000</v>
      </c>
      <c r="Q7124" s="526">
        <v>16</v>
      </c>
      <c r="R7124" s="125">
        <f t="shared" si="203"/>
        <v>96000</v>
      </c>
      <c r="S7124" s="31">
        <v>202304</v>
      </c>
      <c r="T7124" s="530" t="s">
        <v>9450</v>
      </c>
      <c r="U7124" s="520"/>
      <c r="V7124" s="534"/>
      <c r="W7124" s="534"/>
      <c r="X7124" s="34"/>
      <c r="Y7124" s="34"/>
    </row>
    <row r="7125" s="3" customFormat="1" customHeight="1" spans="1:25">
      <c r="A7125" s="35" t="s">
        <v>448</v>
      </c>
      <c r="B7125" s="35" t="s">
        <v>9337</v>
      </c>
      <c r="C7125" s="35" t="s">
        <v>44</v>
      </c>
      <c r="D7125" s="35" t="s">
        <v>642</v>
      </c>
      <c r="E7125" s="30" t="s">
        <v>9440</v>
      </c>
      <c r="F7125" s="35" t="s">
        <v>9441</v>
      </c>
      <c r="G7125" s="35" t="s">
        <v>88</v>
      </c>
      <c r="H7125" s="35" t="s">
        <v>9442</v>
      </c>
      <c r="I7125" s="30" t="e">
        <f>VLOOKUP(H7125,'合同高级查询数据-4月返'!A:A,1,FALSE)</f>
        <v>#N/A</v>
      </c>
      <c r="J7125" s="35" t="s">
        <v>162</v>
      </c>
      <c r="K7125" s="35" t="s">
        <v>8652</v>
      </c>
      <c r="L7125" s="35" t="s">
        <v>9443</v>
      </c>
      <c r="M7125" s="35" t="s">
        <v>9444</v>
      </c>
      <c r="N7125" s="34">
        <v>43322</v>
      </c>
      <c r="O7125" s="35" t="s">
        <v>503</v>
      </c>
      <c r="P7125" s="125">
        <v>6000</v>
      </c>
      <c r="Q7125" s="526">
        <v>4</v>
      </c>
      <c r="R7125" s="125">
        <f t="shared" si="203"/>
        <v>24000</v>
      </c>
      <c r="S7125" s="31">
        <v>202304</v>
      </c>
      <c r="T7125" s="530" t="s">
        <v>9451</v>
      </c>
      <c r="U7125" s="520"/>
      <c r="V7125" s="534"/>
      <c r="W7125" s="534"/>
      <c r="X7125" s="34"/>
      <c r="Y7125" s="34"/>
    </row>
    <row r="7126" s="3" customFormat="1" customHeight="1" spans="1:25">
      <c r="A7126" s="35" t="s">
        <v>448</v>
      </c>
      <c r="B7126" s="35" t="s">
        <v>9337</v>
      </c>
      <c r="C7126" s="35" t="s">
        <v>44</v>
      </c>
      <c r="D7126" s="35" t="s">
        <v>642</v>
      </c>
      <c r="E7126" s="30" t="s">
        <v>9440</v>
      </c>
      <c r="F7126" s="35" t="s">
        <v>9441</v>
      </c>
      <c r="G7126" s="35" t="s">
        <v>88</v>
      </c>
      <c r="H7126" s="35" t="s">
        <v>9442</v>
      </c>
      <c r="I7126" s="30" t="e">
        <f>VLOOKUP(H7126,'合同高级查询数据-4月返'!A:A,1,FALSE)</f>
        <v>#N/A</v>
      </c>
      <c r="J7126" s="35" t="s">
        <v>162</v>
      </c>
      <c r="K7126" s="35" t="s">
        <v>8652</v>
      </c>
      <c r="L7126" s="35" t="s">
        <v>9443</v>
      </c>
      <c r="M7126" s="35" t="s">
        <v>9444</v>
      </c>
      <c r="N7126" s="34">
        <v>43830</v>
      </c>
      <c r="O7126" s="35" t="s">
        <v>503</v>
      </c>
      <c r="P7126" s="125">
        <v>6000</v>
      </c>
      <c r="Q7126" s="526">
        <v>-4</v>
      </c>
      <c r="R7126" s="125">
        <f t="shared" si="203"/>
        <v>-24000</v>
      </c>
      <c r="S7126" s="31">
        <v>202304</v>
      </c>
      <c r="T7126" s="530" t="s">
        <v>9452</v>
      </c>
      <c r="U7126" s="520"/>
      <c r="V7126" s="534"/>
      <c r="W7126" s="534"/>
      <c r="X7126" s="34"/>
      <c r="Y7126" s="34"/>
    </row>
    <row r="7127" s="3" customFormat="1" customHeight="1" spans="1:25">
      <c r="A7127" s="35" t="s">
        <v>448</v>
      </c>
      <c r="B7127" s="35" t="s">
        <v>9337</v>
      </c>
      <c r="C7127" s="35" t="s">
        <v>44</v>
      </c>
      <c r="D7127" s="35" t="s">
        <v>642</v>
      </c>
      <c r="E7127" s="30" t="s">
        <v>9440</v>
      </c>
      <c r="F7127" s="35" t="s">
        <v>9441</v>
      </c>
      <c r="G7127" s="35" t="s">
        <v>88</v>
      </c>
      <c r="H7127" s="35" t="s">
        <v>9442</v>
      </c>
      <c r="I7127" s="30" t="e">
        <f>VLOOKUP(H7127,'合同高级查询数据-4月返'!A:A,1,FALSE)</f>
        <v>#N/A</v>
      </c>
      <c r="J7127" s="35" t="s">
        <v>162</v>
      </c>
      <c r="K7127" s="35" t="s">
        <v>8652</v>
      </c>
      <c r="L7127" s="35" t="s">
        <v>9443</v>
      </c>
      <c r="M7127" s="35" t="s">
        <v>9444</v>
      </c>
      <c r="N7127" s="34">
        <v>43616</v>
      </c>
      <c r="O7127" s="35" t="s">
        <v>503</v>
      </c>
      <c r="P7127" s="125">
        <v>6000</v>
      </c>
      <c r="Q7127" s="526">
        <v>-6</v>
      </c>
      <c r="R7127" s="125">
        <f t="shared" si="203"/>
        <v>-36000</v>
      </c>
      <c r="S7127" s="31">
        <v>202304</v>
      </c>
      <c r="T7127" s="530" t="s">
        <v>9453</v>
      </c>
      <c r="U7127" s="520"/>
      <c r="V7127" s="534"/>
      <c r="W7127" s="534"/>
      <c r="X7127" s="34"/>
      <c r="Y7127" s="34"/>
    </row>
    <row r="7128" s="3" customFormat="1" customHeight="1" spans="1:25">
      <c r="A7128" s="35" t="s">
        <v>448</v>
      </c>
      <c r="B7128" s="35" t="s">
        <v>9337</v>
      </c>
      <c r="C7128" s="35" t="s">
        <v>44</v>
      </c>
      <c r="D7128" s="35" t="s">
        <v>642</v>
      </c>
      <c r="E7128" s="30" t="s">
        <v>9440</v>
      </c>
      <c r="F7128" s="35" t="s">
        <v>9441</v>
      </c>
      <c r="G7128" s="35" t="s">
        <v>88</v>
      </c>
      <c r="H7128" s="35" t="s">
        <v>9442</v>
      </c>
      <c r="I7128" s="30" t="e">
        <f>VLOOKUP(H7128,'合同高级查询数据-4月返'!A:A,1,FALSE)</f>
        <v>#N/A</v>
      </c>
      <c r="J7128" s="35" t="s">
        <v>162</v>
      </c>
      <c r="K7128" s="35" t="s">
        <v>8652</v>
      </c>
      <c r="L7128" s="35" t="s">
        <v>9443</v>
      </c>
      <c r="M7128" s="35" t="s">
        <v>9444</v>
      </c>
      <c r="N7128" s="34">
        <v>44135</v>
      </c>
      <c r="O7128" s="35" t="s">
        <v>503</v>
      </c>
      <c r="P7128" s="125">
        <v>6000</v>
      </c>
      <c r="Q7128" s="526">
        <v>-2</v>
      </c>
      <c r="R7128" s="125">
        <f t="shared" si="203"/>
        <v>-12000</v>
      </c>
      <c r="S7128" s="31">
        <v>202304</v>
      </c>
      <c r="T7128" s="530" t="s">
        <v>9454</v>
      </c>
      <c r="U7128" s="520"/>
      <c r="V7128" s="534"/>
      <c r="W7128" s="534"/>
      <c r="X7128" s="34"/>
      <c r="Y7128" s="34"/>
    </row>
    <row r="7129" s="3" customFormat="1" customHeight="1" spans="1:25">
      <c r="A7129" s="35" t="s">
        <v>448</v>
      </c>
      <c r="B7129" s="35" t="s">
        <v>9337</v>
      </c>
      <c r="C7129" s="35" t="s">
        <v>44</v>
      </c>
      <c r="D7129" s="35" t="s">
        <v>642</v>
      </c>
      <c r="E7129" s="30" t="s">
        <v>9440</v>
      </c>
      <c r="F7129" s="35" t="s">
        <v>9441</v>
      </c>
      <c r="G7129" s="35" t="s">
        <v>88</v>
      </c>
      <c r="H7129" s="35" t="s">
        <v>9442</v>
      </c>
      <c r="I7129" s="30" t="e">
        <f>VLOOKUP(H7129,'合同高级查询数据-4月返'!A:A,1,FALSE)</f>
        <v>#N/A</v>
      </c>
      <c r="J7129" s="35" t="s">
        <v>162</v>
      </c>
      <c r="K7129" s="35" t="s">
        <v>8652</v>
      </c>
      <c r="L7129" s="35" t="s">
        <v>9443</v>
      </c>
      <c r="M7129" s="35" t="s">
        <v>9444</v>
      </c>
      <c r="N7129" s="34">
        <v>44681</v>
      </c>
      <c r="O7129" s="35" t="s">
        <v>503</v>
      </c>
      <c r="P7129" s="125">
        <v>6000</v>
      </c>
      <c r="Q7129" s="526">
        <v>-6</v>
      </c>
      <c r="R7129" s="125">
        <f t="shared" si="203"/>
        <v>-36000</v>
      </c>
      <c r="S7129" s="31">
        <v>202304</v>
      </c>
      <c r="T7129" s="530" t="s">
        <v>9455</v>
      </c>
      <c r="U7129" s="520"/>
      <c r="V7129" s="534"/>
      <c r="W7129" s="534"/>
      <c r="X7129" s="34"/>
      <c r="Y7129" s="34"/>
    </row>
    <row r="7130" s="3" customFormat="1" customHeight="1" spans="1:25">
      <c r="A7130" s="35" t="s">
        <v>448</v>
      </c>
      <c r="B7130" s="35" t="s">
        <v>9337</v>
      </c>
      <c r="C7130" s="35" t="s">
        <v>44</v>
      </c>
      <c r="D7130" s="35" t="s">
        <v>642</v>
      </c>
      <c r="E7130" s="30" t="s">
        <v>9440</v>
      </c>
      <c r="F7130" s="35" t="s">
        <v>9441</v>
      </c>
      <c r="G7130" s="35" t="s">
        <v>88</v>
      </c>
      <c r="H7130" s="35" t="s">
        <v>9442</v>
      </c>
      <c r="I7130" s="30" t="e">
        <f>VLOOKUP(H7130,'合同高级查询数据-4月返'!A:A,1,FALSE)</f>
        <v>#N/A</v>
      </c>
      <c r="J7130" s="35" t="s">
        <v>162</v>
      </c>
      <c r="K7130" s="35" t="s">
        <v>8652</v>
      </c>
      <c r="L7130" s="35" t="s">
        <v>9443</v>
      </c>
      <c r="M7130" s="35" t="s">
        <v>9444</v>
      </c>
      <c r="N7130" s="34">
        <v>44736</v>
      </c>
      <c r="O7130" s="35" t="s">
        <v>503</v>
      </c>
      <c r="P7130" s="125">
        <v>6000</v>
      </c>
      <c r="Q7130" s="526">
        <v>-1</v>
      </c>
      <c r="R7130" s="125">
        <f t="shared" si="203"/>
        <v>-6000</v>
      </c>
      <c r="S7130" s="31">
        <v>202304</v>
      </c>
      <c r="T7130" s="530" t="s">
        <v>9456</v>
      </c>
      <c r="U7130" s="520"/>
      <c r="V7130" s="534"/>
      <c r="W7130" s="534"/>
      <c r="X7130" s="34"/>
      <c r="Y7130" s="34"/>
    </row>
    <row r="7131" s="3" customFormat="1" customHeight="1" spans="1:25">
      <c r="A7131" s="35" t="s">
        <v>448</v>
      </c>
      <c r="B7131" s="35" t="s">
        <v>9337</v>
      </c>
      <c r="C7131" s="35" t="s">
        <v>44</v>
      </c>
      <c r="D7131" s="35" t="s">
        <v>642</v>
      </c>
      <c r="E7131" s="30" t="s">
        <v>9440</v>
      </c>
      <c r="F7131" s="35" t="s">
        <v>9441</v>
      </c>
      <c r="G7131" s="35" t="s">
        <v>88</v>
      </c>
      <c r="H7131" s="35" t="s">
        <v>9442</v>
      </c>
      <c r="I7131" s="30" t="e">
        <f>VLOOKUP(H7131,'合同高级查询数据-4月返'!A:A,1,FALSE)</f>
        <v>#N/A</v>
      </c>
      <c r="J7131" s="35" t="s">
        <v>162</v>
      </c>
      <c r="K7131" s="35" t="s">
        <v>9446</v>
      </c>
      <c r="L7131" s="35" t="s">
        <v>9446</v>
      </c>
      <c r="M7131" s="35" t="s">
        <v>9447</v>
      </c>
      <c r="N7131" s="34">
        <v>44593</v>
      </c>
      <c r="O7131" s="35" t="s">
        <v>163</v>
      </c>
      <c r="P7131" s="125">
        <v>0</v>
      </c>
      <c r="Q7131" s="526">
        <v>3</v>
      </c>
      <c r="R7131" s="125">
        <f t="shared" si="203"/>
        <v>0</v>
      </c>
      <c r="S7131" s="31">
        <v>202304</v>
      </c>
      <c r="T7131" s="529" t="s">
        <v>9457</v>
      </c>
      <c r="U7131" s="520"/>
      <c r="V7131" s="533"/>
      <c r="W7131" s="534"/>
      <c r="X7131" s="34"/>
      <c r="Y7131" s="34"/>
    </row>
    <row r="7132" s="3" customFormat="1" customHeight="1" spans="1:25">
      <c r="A7132" s="35" t="s">
        <v>448</v>
      </c>
      <c r="B7132" s="35" t="s">
        <v>9337</v>
      </c>
      <c r="C7132" s="35" t="s">
        <v>44</v>
      </c>
      <c r="D7132" s="35" t="s">
        <v>642</v>
      </c>
      <c r="E7132" s="30" t="s">
        <v>9440</v>
      </c>
      <c r="F7132" s="35" t="s">
        <v>9441</v>
      </c>
      <c r="G7132" s="35" t="s">
        <v>88</v>
      </c>
      <c r="H7132" s="35" t="s">
        <v>9442</v>
      </c>
      <c r="I7132" s="30" t="e">
        <f>VLOOKUP(H7132,'合同高级查询数据-4月返'!A:A,1,FALSE)</f>
        <v>#N/A</v>
      </c>
      <c r="J7132" s="35" t="s">
        <v>162</v>
      </c>
      <c r="K7132" s="35" t="s">
        <v>9446</v>
      </c>
      <c r="L7132" s="35" t="s">
        <v>9446</v>
      </c>
      <c r="M7132" s="35" t="s">
        <v>9447</v>
      </c>
      <c r="N7132" s="34">
        <v>44651</v>
      </c>
      <c r="O7132" s="35" t="s">
        <v>163</v>
      </c>
      <c r="P7132" s="125">
        <v>0</v>
      </c>
      <c r="Q7132" s="526">
        <v>-3</v>
      </c>
      <c r="R7132" s="125">
        <f t="shared" si="203"/>
        <v>0</v>
      </c>
      <c r="S7132" s="31">
        <v>202304</v>
      </c>
      <c r="T7132" s="529" t="s">
        <v>9458</v>
      </c>
      <c r="U7132" s="520"/>
      <c r="V7132" s="533"/>
      <c r="W7132" s="534"/>
      <c r="X7132" s="34"/>
      <c r="Y7132" s="34"/>
    </row>
    <row r="7133" s="3" customFormat="1" customHeight="1" spans="1:25">
      <c r="A7133" s="35" t="s">
        <v>446</v>
      </c>
      <c r="B7133" s="35" t="s">
        <v>9337</v>
      </c>
      <c r="C7133" s="35" t="s">
        <v>44</v>
      </c>
      <c r="D7133" s="35" t="s">
        <v>642</v>
      </c>
      <c r="E7133" s="30" t="s">
        <v>9459</v>
      </c>
      <c r="F7133" s="35" t="s">
        <v>9460</v>
      </c>
      <c r="G7133" s="35" t="s">
        <v>31</v>
      </c>
      <c r="H7133" s="35" t="s">
        <v>9461</v>
      </c>
      <c r="I7133" s="30" t="e">
        <f>VLOOKUP(H7133,'合同高级查询数据-4月返'!A:A,1,FALSE)</f>
        <v>#N/A</v>
      </c>
      <c r="J7133" s="35" t="s">
        <v>33</v>
      </c>
      <c r="K7133" s="35" t="s">
        <v>9460</v>
      </c>
      <c r="L7133" s="477" t="s">
        <v>9462</v>
      </c>
      <c r="M7133" s="35" t="s">
        <v>9463</v>
      </c>
      <c r="N7133" s="34">
        <v>44696</v>
      </c>
      <c r="O7133" s="35" t="s">
        <v>37</v>
      </c>
      <c r="P7133" s="125">
        <v>0</v>
      </c>
      <c r="Q7133" s="488">
        <v>768</v>
      </c>
      <c r="R7133" s="125">
        <f t="shared" si="203"/>
        <v>0</v>
      </c>
      <c r="S7133" s="31">
        <v>202304</v>
      </c>
      <c r="T7133" s="529" t="s">
        <v>9464</v>
      </c>
      <c r="U7133" s="529"/>
      <c r="V7133" s="542"/>
      <c r="W7133" s="534"/>
      <c r="X7133" s="34"/>
      <c r="Y7133" s="34"/>
    </row>
    <row r="7134" s="3" customFormat="1" customHeight="1" spans="1:25">
      <c r="A7134" s="35" t="s">
        <v>446</v>
      </c>
      <c r="B7134" s="35" t="s">
        <v>9337</v>
      </c>
      <c r="C7134" s="35" t="s">
        <v>44</v>
      </c>
      <c r="D7134" s="35" t="s">
        <v>642</v>
      </c>
      <c r="E7134" s="30" t="s">
        <v>9459</v>
      </c>
      <c r="F7134" s="35" t="s">
        <v>9460</v>
      </c>
      <c r="G7134" s="35" t="s">
        <v>31</v>
      </c>
      <c r="H7134" s="35" t="s">
        <v>9461</v>
      </c>
      <c r="I7134" s="30" t="e">
        <f>VLOOKUP(H7134,'合同高级查询数据-4月返'!A:A,1,FALSE)</f>
        <v>#N/A</v>
      </c>
      <c r="J7134" s="35" t="s">
        <v>33</v>
      </c>
      <c r="K7134" s="35" t="s">
        <v>9460</v>
      </c>
      <c r="L7134" s="477" t="s">
        <v>9462</v>
      </c>
      <c r="M7134" s="35" t="s">
        <v>9463</v>
      </c>
      <c r="N7134" s="34">
        <v>45016</v>
      </c>
      <c r="O7134" s="35" t="s">
        <v>37</v>
      </c>
      <c r="P7134" s="125">
        <v>0</v>
      </c>
      <c r="Q7134" s="488">
        <v>-512</v>
      </c>
      <c r="R7134" s="125">
        <f t="shared" si="203"/>
        <v>0</v>
      </c>
      <c r="S7134" s="31">
        <v>202304</v>
      </c>
      <c r="T7134" s="529" t="s">
        <v>9465</v>
      </c>
      <c r="U7134" s="529"/>
      <c r="V7134" s="542"/>
      <c r="W7134" s="534"/>
      <c r="X7134" s="34"/>
      <c r="Y7134" s="34"/>
    </row>
    <row r="7135" s="3" customFormat="1" customHeight="1" spans="1:25">
      <c r="A7135" s="35" t="s">
        <v>446</v>
      </c>
      <c r="B7135" s="35" t="s">
        <v>9337</v>
      </c>
      <c r="C7135" s="35" t="s">
        <v>44</v>
      </c>
      <c r="D7135" s="35" t="s">
        <v>642</v>
      </c>
      <c r="E7135" s="30" t="s">
        <v>9459</v>
      </c>
      <c r="F7135" s="35" t="s">
        <v>9460</v>
      </c>
      <c r="G7135" s="35" t="s">
        <v>88</v>
      </c>
      <c r="H7135" s="35" t="s">
        <v>9461</v>
      </c>
      <c r="I7135" s="30" t="e">
        <f>VLOOKUP(H7135,'合同高级查询数据-4月返'!A:A,1,FALSE)</f>
        <v>#N/A</v>
      </c>
      <c r="J7135" s="35" t="s">
        <v>162</v>
      </c>
      <c r="K7135" s="35" t="s">
        <v>9460</v>
      </c>
      <c r="L7135" s="477" t="s">
        <v>9462</v>
      </c>
      <c r="M7135" s="35" t="s">
        <v>9463</v>
      </c>
      <c r="N7135" s="34">
        <v>44696</v>
      </c>
      <c r="O7135" s="35" t="s">
        <v>92</v>
      </c>
      <c r="P7135" s="125">
        <v>0</v>
      </c>
      <c r="Q7135" s="526">
        <v>1</v>
      </c>
      <c r="R7135" s="125">
        <f t="shared" si="203"/>
        <v>0</v>
      </c>
      <c r="S7135" s="31">
        <v>202304</v>
      </c>
      <c r="T7135" s="529" t="s">
        <v>9466</v>
      </c>
      <c r="U7135" s="529"/>
      <c r="V7135" s="542"/>
      <c r="W7135" s="534"/>
      <c r="X7135" s="34"/>
      <c r="Y7135" s="34"/>
    </row>
    <row r="7136" s="3" customFormat="1" customHeight="1" spans="1:25">
      <c r="A7136" s="35" t="s">
        <v>446</v>
      </c>
      <c r="B7136" s="35" t="s">
        <v>9337</v>
      </c>
      <c r="C7136" s="35" t="s">
        <v>44</v>
      </c>
      <c r="D7136" s="35" t="s">
        <v>642</v>
      </c>
      <c r="E7136" s="30" t="s">
        <v>9459</v>
      </c>
      <c r="F7136" s="35" t="s">
        <v>9460</v>
      </c>
      <c r="G7136" s="35" t="s">
        <v>88</v>
      </c>
      <c r="H7136" s="35" t="s">
        <v>9467</v>
      </c>
      <c r="I7136" s="30" t="e">
        <f>VLOOKUP(H7136,'合同高级查询数据-4月返'!A:A,1,FALSE)</f>
        <v>#N/A</v>
      </c>
      <c r="J7136" s="35" t="s">
        <v>162</v>
      </c>
      <c r="K7136" s="35" t="s">
        <v>9460</v>
      </c>
      <c r="L7136" s="477" t="s">
        <v>9462</v>
      </c>
      <c r="M7136" s="35" t="s">
        <v>9463</v>
      </c>
      <c r="N7136" s="34">
        <v>44728</v>
      </c>
      <c r="O7136" s="35" t="s">
        <v>92</v>
      </c>
      <c r="P7136" s="125">
        <v>0</v>
      </c>
      <c r="Q7136" s="526">
        <v>11</v>
      </c>
      <c r="R7136" s="125">
        <f t="shared" si="203"/>
        <v>0</v>
      </c>
      <c r="S7136" s="31">
        <v>202304</v>
      </c>
      <c r="T7136" s="529" t="s">
        <v>9468</v>
      </c>
      <c r="U7136" s="529"/>
      <c r="V7136" s="542"/>
      <c r="W7136" s="534"/>
      <c r="X7136" s="34"/>
      <c r="Y7136" s="34"/>
    </row>
    <row r="7137" s="3" customFormat="1" customHeight="1" spans="1:25">
      <c r="A7137" s="35" t="s">
        <v>446</v>
      </c>
      <c r="B7137" s="35" t="s">
        <v>9337</v>
      </c>
      <c r="C7137" s="35" t="s">
        <v>44</v>
      </c>
      <c r="D7137" s="35" t="s">
        <v>642</v>
      </c>
      <c r="E7137" s="30" t="s">
        <v>9459</v>
      </c>
      <c r="F7137" s="35" t="s">
        <v>9460</v>
      </c>
      <c r="G7137" s="35" t="s">
        <v>88</v>
      </c>
      <c r="H7137" s="35" t="s">
        <v>9467</v>
      </c>
      <c r="I7137" s="30" t="e">
        <f>VLOOKUP(H7137,'合同高级查询数据-4月返'!A:A,1,FALSE)</f>
        <v>#N/A</v>
      </c>
      <c r="J7137" s="35" t="s">
        <v>162</v>
      </c>
      <c r="K7137" s="35" t="s">
        <v>9460</v>
      </c>
      <c r="L7137" s="477" t="s">
        <v>9462</v>
      </c>
      <c r="M7137" s="35" t="s">
        <v>9463</v>
      </c>
      <c r="N7137" s="34">
        <v>45016</v>
      </c>
      <c r="O7137" s="35" t="s">
        <v>92</v>
      </c>
      <c r="P7137" s="125">
        <v>0</v>
      </c>
      <c r="Q7137" s="526">
        <v>-4</v>
      </c>
      <c r="R7137" s="125">
        <f t="shared" si="203"/>
        <v>0</v>
      </c>
      <c r="S7137" s="31">
        <v>202304</v>
      </c>
      <c r="T7137" s="529" t="s">
        <v>9469</v>
      </c>
      <c r="U7137" s="529"/>
      <c r="V7137" s="542"/>
      <c r="W7137" s="534"/>
      <c r="X7137" s="34"/>
      <c r="Y7137" s="34"/>
    </row>
    <row r="7138" s="5" customFormat="1" customHeight="1" spans="1:25">
      <c r="A7138" s="22" t="s">
        <v>446</v>
      </c>
      <c r="B7138" s="22" t="s">
        <v>9337</v>
      </c>
      <c r="C7138" s="22" t="s">
        <v>44</v>
      </c>
      <c r="D7138" s="22" t="s">
        <v>642</v>
      </c>
      <c r="E7138" s="46" t="s">
        <v>9470</v>
      </c>
      <c r="F7138" s="22" t="s">
        <v>9471</v>
      </c>
      <c r="G7138" s="22" t="s">
        <v>31</v>
      </c>
      <c r="H7138" s="22" t="s">
        <v>9472</v>
      </c>
      <c r="I7138" s="46" t="e">
        <f>VLOOKUP(H7138,'合同高级查询数据-4月返'!A:A,1,FALSE)</f>
        <v>#N/A</v>
      </c>
      <c r="J7138" s="22" t="s">
        <v>1273</v>
      </c>
      <c r="K7138" s="22" t="s">
        <v>9473</v>
      </c>
      <c r="L7138" s="511" t="s">
        <v>9473</v>
      </c>
      <c r="M7138" s="22" t="s">
        <v>9474</v>
      </c>
      <c r="N7138" s="50" t="s">
        <v>9475</v>
      </c>
      <c r="O7138" s="22" t="s">
        <v>37</v>
      </c>
      <c r="P7138" s="114">
        <v>50</v>
      </c>
      <c r="Q7138" s="486">
        <v>448</v>
      </c>
      <c r="R7138" s="114">
        <f t="shared" si="203"/>
        <v>22400</v>
      </c>
      <c r="S7138" s="47">
        <v>202304</v>
      </c>
      <c r="T7138" s="532" t="s">
        <v>9476</v>
      </c>
      <c r="U7138" s="522"/>
      <c r="V7138" s="537"/>
      <c r="W7138" s="537"/>
      <c r="X7138" s="50">
        <v>44317</v>
      </c>
      <c r="Y7138" s="50">
        <v>45046</v>
      </c>
    </row>
    <row r="7139" s="5" customFormat="1" customHeight="1" spans="1:25">
      <c r="A7139" s="22" t="s">
        <v>446</v>
      </c>
      <c r="B7139" s="22" t="s">
        <v>9337</v>
      </c>
      <c r="C7139" s="22" t="s">
        <v>44</v>
      </c>
      <c r="D7139" s="22" t="s">
        <v>642</v>
      </c>
      <c r="E7139" s="46" t="s">
        <v>9470</v>
      </c>
      <c r="F7139" s="22" t="s">
        <v>9471</v>
      </c>
      <c r="G7139" s="22" t="s">
        <v>31</v>
      </c>
      <c r="H7139" s="22" t="s">
        <v>9472</v>
      </c>
      <c r="I7139" s="46" t="e">
        <f>VLOOKUP(H7139,'合同高级查询数据-4月返'!A:A,1,FALSE)</f>
        <v>#N/A</v>
      </c>
      <c r="J7139" s="22" t="s">
        <v>1273</v>
      </c>
      <c r="K7139" s="22" t="s">
        <v>9473</v>
      </c>
      <c r="L7139" s="511" t="s">
        <v>9473</v>
      </c>
      <c r="M7139" s="22" t="s">
        <v>9474</v>
      </c>
      <c r="N7139" s="50" t="s">
        <v>9475</v>
      </c>
      <c r="O7139" s="22" t="s">
        <v>37</v>
      </c>
      <c r="P7139" s="114">
        <v>0</v>
      </c>
      <c r="Q7139" s="486">
        <f>512-Q7138</f>
        <v>64</v>
      </c>
      <c r="R7139" s="114">
        <f t="shared" si="203"/>
        <v>0</v>
      </c>
      <c r="S7139" s="47">
        <v>202304</v>
      </c>
      <c r="T7139" s="532" t="s">
        <v>9476</v>
      </c>
      <c r="U7139" s="522"/>
      <c r="V7139" s="537"/>
      <c r="W7139" s="537"/>
      <c r="X7139" s="50">
        <v>44317</v>
      </c>
      <c r="Y7139" s="50">
        <v>45046</v>
      </c>
    </row>
    <row r="7140" s="5" customFormat="1" customHeight="1" spans="1:25">
      <c r="A7140" s="22" t="s">
        <v>446</v>
      </c>
      <c r="B7140" s="22" t="s">
        <v>9337</v>
      </c>
      <c r="C7140" s="22" t="s">
        <v>44</v>
      </c>
      <c r="D7140" s="22" t="s">
        <v>642</v>
      </c>
      <c r="E7140" s="46" t="s">
        <v>9470</v>
      </c>
      <c r="F7140" s="22" t="s">
        <v>9471</v>
      </c>
      <c r="G7140" s="22" t="s">
        <v>31</v>
      </c>
      <c r="H7140" s="22" t="s">
        <v>9472</v>
      </c>
      <c r="I7140" s="46" t="e">
        <f>VLOOKUP(H7140,'合同高级查询数据-4月返'!A:A,1,FALSE)</f>
        <v>#N/A</v>
      </c>
      <c r="J7140" s="22" t="s">
        <v>1273</v>
      </c>
      <c r="K7140" s="22" t="s">
        <v>9473</v>
      </c>
      <c r="L7140" s="511" t="s">
        <v>9473</v>
      </c>
      <c r="M7140" s="22" t="s">
        <v>9474</v>
      </c>
      <c r="N7140" s="50">
        <v>45016</v>
      </c>
      <c r="O7140" s="22" t="s">
        <v>37</v>
      </c>
      <c r="P7140" s="114">
        <v>50</v>
      </c>
      <c r="Q7140" s="486">
        <v>-448</v>
      </c>
      <c r="R7140" s="114">
        <f t="shared" si="203"/>
        <v>-22400</v>
      </c>
      <c r="S7140" s="47">
        <v>202304</v>
      </c>
      <c r="T7140" s="532" t="s">
        <v>6320</v>
      </c>
      <c r="U7140" s="522"/>
      <c r="V7140" s="537"/>
      <c r="W7140" s="537"/>
      <c r="X7140" s="50">
        <v>44317</v>
      </c>
      <c r="Y7140" s="50">
        <v>45046</v>
      </c>
    </row>
    <row r="7141" s="5" customFormat="1" customHeight="1" spans="1:25">
      <c r="A7141" s="22" t="s">
        <v>446</v>
      </c>
      <c r="B7141" s="22" t="s">
        <v>9337</v>
      </c>
      <c r="C7141" s="22" t="s">
        <v>44</v>
      </c>
      <c r="D7141" s="22" t="s">
        <v>642</v>
      </c>
      <c r="E7141" s="46" t="s">
        <v>9470</v>
      </c>
      <c r="F7141" s="22" t="s">
        <v>9471</v>
      </c>
      <c r="G7141" s="22" t="s">
        <v>31</v>
      </c>
      <c r="H7141" s="22" t="s">
        <v>9472</v>
      </c>
      <c r="I7141" s="46" t="e">
        <f>VLOOKUP(H7141,'合同高级查询数据-4月返'!A:A,1,FALSE)</f>
        <v>#N/A</v>
      </c>
      <c r="J7141" s="22" t="s">
        <v>1273</v>
      </c>
      <c r="K7141" s="22" t="s">
        <v>9473</v>
      </c>
      <c r="L7141" s="511" t="s">
        <v>9473</v>
      </c>
      <c r="M7141" s="22" t="s">
        <v>9474</v>
      </c>
      <c r="N7141" s="50">
        <v>45016</v>
      </c>
      <c r="O7141" s="22" t="s">
        <v>37</v>
      </c>
      <c r="P7141" s="114">
        <v>0</v>
      </c>
      <c r="Q7141" s="486">
        <v>-64</v>
      </c>
      <c r="R7141" s="114">
        <f t="shared" si="203"/>
        <v>0</v>
      </c>
      <c r="S7141" s="47">
        <v>202304</v>
      </c>
      <c r="T7141" s="532" t="s">
        <v>6320</v>
      </c>
      <c r="U7141" s="522"/>
      <c r="V7141" s="537"/>
      <c r="W7141" s="537"/>
      <c r="X7141" s="50">
        <v>44317</v>
      </c>
      <c r="Y7141" s="50">
        <v>45046</v>
      </c>
    </row>
    <row r="7142" s="5" customFormat="1" customHeight="1" spans="1:25">
      <c r="A7142" s="22" t="s">
        <v>446</v>
      </c>
      <c r="B7142" s="22" t="s">
        <v>9337</v>
      </c>
      <c r="C7142" s="22" t="s">
        <v>44</v>
      </c>
      <c r="D7142" s="22" t="s">
        <v>642</v>
      </c>
      <c r="E7142" s="46" t="s">
        <v>9470</v>
      </c>
      <c r="F7142" s="22" t="s">
        <v>9471</v>
      </c>
      <c r="G7142" s="22" t="s">
        <v>88</v>
      </c>
      <c r="H7142" s="22" t="s">
        <v>9472</v>
      </c>
      <c r="I7142" s="46" t="e">
        <f>VLOOKUP(H7142,'合同高级查询数据-4月返'!A:A,1,FALSE)</f>
        <v>#N/A</v>
      </c>
      <c r="J7142" s="22" t="s">
        <v>1287</v>
      </c>
      <c r="K7142" s="22" t="s">
        <v>9473</v>
      </c>
      <c r="L7142" s="511" t="s">
        <v>9473</v>
      </c>
      <c r="M7142" s="22" t="s">
        <v>9474</v>
      </c>
      <c r="N7142" s="50">
        <v>43983</v>
      </c>
      <c r="O7142" s="22" t="s">
        <v>1535</v>
      </c>
      <c r="P7142" s="114">
        <v>4000</v>
      </c>
      <c r="Q7142" s="531">
        <v>2</v>
      </c>
      <c r="R7142" s="114">
        <f t="shared" si="203"/>
        <v>8000</v>
      </c>
      <c r="S7142" s="47">
        <v>202304</v>
      </c>
      <c r="T7142" s="532" t="s">
        <v>9477</v>
      </c>
      <c r="U7142" s="522"/>
      <c r="V7142" s="537"/>
      <c r="W7142" s="537"/>
      <c r="X7142" s="50">
        <v>44317</v>
      </c>
      <c r="Y7142" s="50">
        <v>45046</v>
      </c>
    </row>
    <row r="7143" s="5" customFormat="1" customHeight="1" spans="1:25">
      <c r="A7143" s="22" t="s">
        <v>446</v>
      </c>
      <c r="B7143" s="22" t="s">
        <v>9337</v>
      </c>
      <c r="C7143" s="22" t="s">
        <v>44</v>
      </c>
      <c r="D7143" s="22" t="s">
        <v>642</v>
      </c>
      <c r="E7143" s="46" t="s">
        <v>9470</v>
      </c>
      <c r="F7143" s="22" t="s">
        <v>9471</v>
      </c>
      <c r="G7143" s="22" t="s">
        <v>88</v>
      </c>
      <c r="H7143" s="22" t="s">
        <v>9472</v>
      </c>
      <c r="I7143" s="46" t="e">
        <f>VLOOKUP(H7143,'合同高级查询数据-4月返'!A:A,1,FALSE)</f>
        <v>#N/A</v>
      </c>
      <c r="J7143" s="22" t="s">
        <v>1287</v>
      </c>
      <c r="K7143" s="22" t="s">
        <v>9473</v>
      </c>
      <c r="L7143" s="511" t="s">
        <v>9473</v>
      </c>
      <c r="M7143" s="22" t="s">
        <v>9474</v>
      </c>
      <c r="N7143" s="50">
        <v>43983</v>
      </c>
      <c r="O7143" s="22" t="s">
        <v>1535</v>
      </c>
      <c r="P7143" s="114">
        <v>0</v>
      </c>
      <c r="Q7143" s="531">
        <v>1</v>
      </c>
      <c r="R7143" s="114">
        <f t="shared" si="203"/>
        <v>0</v>
      </c>
      <c r="S7143" s="47">
        <v>202304</v>
      </c>
      <c r="T7143" s="532" t="s">
        <v>9478</v>
      </c>
      <c r="U7143" s="522"/>
      <c r="V7143" s="537"/>
      <c r="W7143" s="537"/>
      <c r="X7143" s="50">
        <v>44317</v>
      </c>
      <c r="Y7143" s="50">
        <v>45046</v>
      </c>
    </row>
    <row r="7144" s="5" customFormat="1" customHeight="1" spans="1:25">
      <c r="A7144" s="22" t="s">
        <v>446</v>
      </c>
      <c r="B7144" s="22" t="s">
        <v>9337</v>
      </c>
      <c r="C7144" s="22" t="s">
        <v>44</v>
      </c>
      <c r="D7144" s="22" t="s">
        <v>642</v>
      </c>
      <c r="E7144" s="46" t="s">
        <v>9470</v>
      </c>
      <c r="F7144" s="22" t="s">
        <v>9471</v>
      </c>
      <c r="G7144" s="22" t="s">
        <v>88</v>
      </c>
      <c r="H7144" s="22" t="s">
        <v>9472</v>
      </c>
      <c r="I7144" s="46" t="e">
        <f>VLOOKUP(H7144,'合同高级查询数据-4月返'!A:A,1,FALSE)</f>
        <v>#N/A</v>
      </c>
      <c r="J7144" s="22" t="s">
        <v>1287</v>
      </c>
      <c r="K7144" s="22" t="s">
        <v>9473</v>
      </c>
      <c r="L7144" s="511" t="s">
        <v>9473</v>
      </c>
      <c r="M7144" s="22" t="s">
        <v>9474</v>
      </c>
      <c r="N7144" s="50">
        <v>45016</v>
      </c>
      <c r="O7144" s="22" t="s">
        <v>1535</v>
      </c>
      <c r="P7144" s="114">
        <v>4000</v>
      </c>
      <c r="Q7144" s="531">
        <v>-2</v>
      </c>
      <c r="R7144" s="114">
        <f t="shared" si="203"/>
        <v>-8000</v>
      </c>
      <c r="S7144" s="47">
        <v>202304</v>
      </c>
      <c r="T7144" s="532" t="s">
        <v>6320</v>
      </c>
      <c r="U7144" s="522"/>
      <c r="V7144" s="537"/>
      <c r="W7144" s="537"/>
      <c r="X7144" s="50">
        <v>44317</v>
      </c>
      <c r="Y7144" s="50">
        <v>45046</v>
      </c>
    </row>
    <row r="7145" s="5" customFormat="1" customHeight="1" spans="1:25">
      <c r="A7145" s="22" t="s">
        <v>446</v>
      </c>
      <c r="B7145" s="22" t="s">
        <v>9337</v>
      </c>
      <c r="C7145" s="22" t="s">
        <v>44</v>
      </c>
      <c r="D7145" s="22" t="s">
        <v>642</v>
      </c>
      <c r="E7145" s="46" t="s">
        <v>9470</v>
      </c>
      <c r="F7145" s="22" t="s">
        <v>9471</v>
      </c>
      <c r="G7145" s="22" t="s">
        <v>88</v>
      </c>
      <c r="H7145" s="22" t="s">
        <v>9472</v>
      </c>
      <c r="I7145" s="46" t="e">
        <f>VLOOKUP(H7145,'合同高级查询数据-4月返'!A:A,1,FALSE)</f>
        <v>#N/A</v>
      </c>
      <c r="J7145" s="22" t="s">
        <v>1287</v>
      </c>
      <c r="K7145" s="22" t="s">
        <v>9473</v>
      </c>
      <c r="L7145" s="511" t="s">
        <v>9473</v>
      </c>
      <c r="M7145" s="22" t="s">
        <v>9474</v>
      </c>
      <c r="N7145" s="50">
        <v>45016</v>
      </c>
      <c r="O7145" s="22" t="s">
        <v>1535</v>
      </c>
      <c r="P7145" s="114">
        <v>0</v>
      </c>
      <c r="Q7145" s="531">
        <v>-1</v>
      </c>
      <c r="R7145" s="114">
        <f t="shared" si="203"/>
        <v>0</v>
      </c>
      <c r="S7145" s="47">
        <v>202304</v>
      </c>
      <c r="T7145" s="532" t="s">
        <v>6320</v>
      </c>
      <c r="U7145" s="522"/>
      <c r="V7145" s="537"/>
      <c r="W7145" s="537"/>
      <c r="X7145" s="50">
        <v>44317</v>
      </c>
      <c r="Y7145" s="50">
        <v>45046</v>
      </c>
    </row>
    <row r="7146" s="5" customFormat="1" customHeight="1" spans="1:25">
      <c r="A7146" s="22" t="s">
        <v>446</v>
      </c>
      <c r="B7146" s="22" t="s">
        <v>9337</v>
      </c>
      <c r="C7146" s="22" t="s">
        <v>44</v>
      </c>
      <c r="D7146" s="22" t="s">
        <v>642</v>
      </c>
      <c r="E7146" s="46" t="s">
        <v>9470</v>
      </c>
      <c r="F7146" s="22" t="s">
        <v>9471</v>
      </c>
      <c r="G7146" s="22" t="s">
        <v>31</v>
      </c>
      <c r="H7146" s="22" t="s">
        <v>9472</v>
      </c>
      <c r="I7146" s="46" t="e">
        <f>VLOOKUP(H7146,'合同高级查询数据-4月返'!A:A,1,FALSE)</f>
        <v>#N/A</v>
      </c>
      <c r="J7146" s="22" t="s">
        <v>33</v>
      </c>
      <c r="K7146" s="22" t="s">
        <v>9479</v>
      </c>
      <c r="L7146" s="511" t="s">
        <v>9480</v>
      </c>
      <c r="M7146" s="22" t="s">
        <v>9481</v>
      </c>
      <c r="N7146" s="50" t="s">
        <v>9475</v>
      </c>
      <c r="O7146" s="22" t="s">
        <v>37</v>
      </c>
      <c r="P7146" s="114">
        <v>0</v>
      </c>
      <c r="Q7146" s="486">
        <v>256</v>
      </c>
      <c r="R7146" s="114">
        <f t="shared" si="203"/>
        <v>0</v>
      </c>
      <c r="S7146" s="47">
        <v>202304</v>
      </c>
      <c r="T7146" s="532" t="s">
        <v>9476</v>
      </c>
      <c r="U7146" s="522"/>
      <c r="V7146" s="537"/>
      <c r="W7146" s="537"/>
      <c r="X7146" s="50">
        <v>44317</v>
      </c>
      <c r="Y7146" s="50">
        <v>45046</v>
      </c>
    </row>
    <row r="7147" s="5" customFormat="1" customHeight="1" spans="1:25">
      <c r="A7147" s="22" t="s">
        <v>446</v>
      </c>
      <c r="B7147" s="22" t="s">
        <v>9337</v>
      </c>
      <c r="C7147" s="22" t="s">
        <v>44</v>
      </c>
      <c r="D7147" s="22" t="s">
        <v>642</v>
      </c>
      <c r="E7147" s="46" t="s">
        <v>9470</v>
      </c>
      <c r="F7147" s="22" t="s">
        <v>9471</v>
      </c>
      <c r="G7147" s="22" t="s">
        <v>31</v>
      </c>
      <c r="H7147" s="22" t="s">
        <v>9472</v>
      </c>
      <c r="I7147" s="46" t="e">
        <f>VLOOKUP(H7147,'合同高级查询数据-4月返'!A:A,1,FALSE)</f>
        <v>#N/A</v>
      </c>
      <c r="J7147" s="22" t="s">
        <v>33</v>
      </c>
      <c r="K7147" s="22" t="s">
        <v>9479</v>
      </c>
      <c r="L7147" s="511" t="s">
        <v>9480</v>
      </c>
      <c r="M7147" s="22" t="s">
        <v>9481</v>
      </c>
      <c r="N7147" s="50">
        <v>44712</v>
      </c>
      <c r="O7147" s="22" t="s">
        <v>37</v>
      </c>
      <c r="P7147" s="114">
        <v>0</v>
      </c>
      <c r="Q7147" s="486">
        <v>-256</v>
      </c>
      <c r="R7147" s="114">
        <f t="shared" si="203"/>
        <v>0</v>
      </c>
      <c r="S7147" s="47">
        <v>202304</v>
      </c>
      <c r="T7147" s="532" t="s">
        <v>9482</v>
      </c>
      <c r="U7147" s="522"/>
      <c r="V7147" s="537"/>
      <c r="W7147" s="537"/>
      <c r="X7147" s="50">
        <v>44317</v>
      </c>
      <c r="Y7147" s="50">
        <v>45046</v>
      </c>
    </row>
    <row r="7148" s="5" customFormat="1" customHeight="1" spans="1:25">
      <c r="A7148" s="22" t="s">
        <v>446</v>
      </c>
      <c r="B7148" s="22" t="s">
        <v>9337</v>
      </c>
      <c r="C7148" s="22" t="s">
        <v>44</v>
      </c>
      <c r="D7148" s="22" t="s">
        <v>642</v>
      </c>
      <c r="E7148" s="46" t="s">
        <v>9470</v>
      </c>
      <c r="F7148" s="22" t="s">
        <v>9471</v>
      </c>
      <c r="G7148" s="22" t="s">
        <v>88</v>
      </c>
      <c r="H7148" s="22" t="s">
        <v>9472</v>
      </c>
      <c r="I7148" s="46" t="e">
        <f>VLOOKUP(H7148,'合同高级查询数据-4月返'!A:A,1,FALSE)</f>
        <v>#N/A</v>
      </c>
      <c r="J7148" s="22" t="s">
        <v>162</v>
      </c>
      <c r="K7148" s="22" t="s">
        <v>9479</v>
      </c>
      <c r="L7148" s="511" t="s">
        <v>9480</v>
      </c>
      <c r="M7148" s="22" t="s">
        <v>9481</v>
      </c>
      <c r="N7148" s="50" t="s">
        <v>9475</v>
      </c>
      <c r="O7148" s="22" t="s">
        <v>1535</v>
      </c>
      <c r="P7148" s="114">
        <v>0</v>
      </c>
      <c r="Q7148" s="531">
        <v>6</v>
      </c>
      <c r="R7148" s="114">
        <f t="shared" si="203"/>
        <v>0</v>
      </c>
      <c r="S7148" s="47">
        <v>202304</v>
      </c>
      <c r="T7148" s="532" t="s">
        <v>9483</v>
      </c>
      <c r="U7148" s="522"/>
      <c r="V7148" s="537"/>
      <c r="W7148" s="537"/>
      <c r="X7148" s="50">
        <v>44317</v>
      </c>
      <c r="Y7148" s="50">
        <v>45046</v>
      </c>
    </row>
    <row r="7149" s="5" customFormat="1" customHeight="1" spans="1:25">
      <c r="A7149" s="22" t="s">
        <v>446</v>
      </c>
      <c r="B7149" s="22" t="s">
        <v>9337</v>
      </c>
      <c r="C7149" s="22" t="s">
        <v>44</v>
      </c>
      <c r="D7149" s="22" t="s">
        <v>642</v>
      </c>
      <c r="E7149" s="46" t="s">
        <v>9470</v>
      </c>
      <c r="F7149" s="22" t="s">
        <v>9471</v>
      </c>
      <c r="G7149" s="22" t="s">
        <v>88</v>
      </c>
      <c r="H7149" s="22" t="s">
        <v>9472</v>
      </c>
      <c r="I7149" s="46" t="e">
        <f>VLOOKUP(H7149,'合同高级查询数据-4月返'!A:A,1,FALSE)</f>
        <v>#N/A</v>
      </c>
      <c r="J7149" s="22" t="s">
        <v>162</v>
      </c>
      <c r="K7149" s="22" t="s">
        <v>9479</v>
      </c>
      <c r="L7149" s="511" t="s">
        <v>9480</v>
      </c>
      <c r="M7149" s="22" t="s">
        <v>9481</v>
      </c>
      <c r="N7149" s="50">
        <v>43951</v>
      </c>
      <c r="O7149" s="22" t="s">
        <v>1535</v>
      </c>
      <c r="P7149" s="114">
        <v>0</v>
      </c>
      <c r="Q7149" s="531">
        <v>-3</v>
      </c>
      <c r="R7149" s="114">
        <f t="shared" si="203"/>
        <v>0</v>
      </c>
      <c r="S7149" s="47">
        <v>202304</v>
      </c>
      <c r="T7149" s="532" t="s">
        <v>9484</v>
      </c>
      <c r="U7149" s="522"/>
      <c r="V7149" s="537"/>
      <c r="W7149" s="537"/>
      <c r="X7149" s="50">
        <v>44317</v>
      </c>
      <c r="Y7149" s="50">
        <v>45046</v>
      </c>
    </row>
    <row r="7150" s="5" customFormat="1" customHeight="1" spans="1:25">
      <c r="A7150" s="22" t="s">
        <v>446</v>
      </c>
      <c r="B7150" s="22" t="s">
        <v>9337</v>
      </c>
      <c r="C7150" s="22" t="s">
        <v>44</v>
      </c>
      <c r="D7150" s="22" t="s">
        <v>642</v>
      </c>
      <c r="E7150" s="46" t="s">
        <v>9470</v>
      </c>
      <c r="F7150" s="22" t="s">
        <v>9471</v>
      </c>
      <c r="G7150" s="22" t="s">
        <v>88</v>
      </c>
      <c r="H7150" s="22" t="s">
        <v>9472</v>
      </c>
      <c r="I7150" s="46" t="e">
        <f>VLOOKUP(H7150,'合同高级查询数据-4月返'!A:A,1,FALSE)</f>
        <v>#N/A</v>
      </c>
      <c r="J7150" s="22" t="s">
        <v>162</v>
      </c>
      <c r="K7150" s="22" t="s">
        <v>9479</v>
      </c>
      <c r="L7150" s="511" t="s">
        <v>9480</v>
      </c>
      <c r="M7150" s="22" t="s">
        <v>9481</v>
      </c>
      <c r="N7150" s="50">
        <v>44712</v>
      </c>
      <c r="O7150" s="22" t="s">
        <v>1535</v>
      </c>
      <c r="P7150" s="114">
        <v>0</v>
      </c>
      <c r="Q7150" s="531">
        <v>-3</v>
      </c>
      <c r="R7150" s="114">
        <f t="shared" si="203"/>
        <v>0</v>
      </c>
      <c r="S7150" s="47">
        <v>202304</v>
      </c>
      <c r="T7150" s="532" t="s">
        <v>9485</v>
      </c>
      <c r="U7150" s="522"/>
      <c r="V7150" s="537"/>
      <c r="W7150" s="537"/>
      <c r="X7150" s="50">
        <v>44317</v>
      </c>
      <c r="Y7150" s="50">
        <v>45046</v>
      </c>
    </row>
    <row r="7151" s="5" customFormat="1" customHeight="1" spans="1:25">
      <c r="A7151" s="22" t="s">
        <v>446</v>
      </c>
      <c r="B7151" s="22" t="s">
        <v>9337</v>
      </c>
      <c r="C7151" s="22" t="s">
        <v>44</v>
      </c>
      <c r="D7151" s="22" t="s">
        <v>642</v>
      </c>
      <c r="E7151" s="46" t="s">
        <v>9486</v>
      </c>
      <c r="F7151" s="22" t="s">
        <v>9487</v>
      </c>
      <c r="G7151" s="22" t="s">
        <v>31</v>
      </c>
      <c r="H7151" s="22" t="s">
        <v>9488</v>
      </c>
      <c r="I7151" s="46" t="e">
        <f>VLOOKUP(H7151,'合同高级查询数据-4月返'!A:A,1,FALSE)</f>
        <v>#N/A</v>
      </c>
      <c r="J7151" s="22" t="s">
        <v>33</v>
      </c>
      <c r="K7151" s="22" t="s">
        <v>9487</v>
      </c>
      <c r="L7151" s="511" t="s">
        <v>9487</v>
      </c>
      <c r="M7151" s="22" t="s">
        <v>9489</v>
      </c>
      <c r="N7151" s="50">
        <v>44835</v>
      </c>
      <c r="O7151" s="22" t="s">
        <v>37</v>
      </c>
      <c r="P7151" s="114">
        <v>0</v>
      </c>
      <c r="Q7151" s="486">
        <v>1280</v>
      </c>
      <c r="R7151" s="114">
        <f t="shared" si="203"/>
        <v>0</v>
      </c>
      <c r="S7151" s="47">
        <v>202304</v>
      </c>
      <c r="T7151" s="536" t="s">
        <v>9490</v>
      </c>
      <c r="U7151" s="97"/>
      <c r="V7151" s="97"/>
      <c r="W7151" s="97"/>
      <c r="X7151" s="50">
        <v>44713</v>
      </c>
      <c r="Y7151" s="50">
        <v>45077</v>
      </c>
    </row>
    <row r="7152" s="5" customFormat="1" customHeight="1" spans="1:25">
      <c r="A7152" s="22" t="s">
        <v>446</v>
      </c>
      <c r="B7152" s="22" t="s">
        <v>9337</v>
      </c>
      <c r="C7152" s="22" t="s">
        <v>44</v>
      </c>
      <c r="D7152" s="22" t="s">
        <v>642</v>
      </c>
      <c r="E7152" s="46" t="s">
        <v>9486</v>
      </c>
      <c r="F7152" s="22" t="s">
        <v>9487</v>
      </c>
      <c r="G7152" s="22" t="s">
        <v>31</v>
      </c>
      <c r="H7152" s="22" t="s">
        <v>9488</v>
      </c>
      <c r="I7152" s="46" t="e">
        <f>VLOOKUP(H7152,'合同高级查询数据-4月返'!A:A,1,FALSE)</f>
        <v>#N/A</v>
      </c>
      <c r="J7152" s="22" t="s">
        <v>33</v>
      </c>
      <c r="K7152" s="22" t="s">
        <v>9487</v>
      </c>
      <c r="L7152" s="511" t="s">
        <v>9487</v>
      </c>
      <c r="M7152" s="22" t="s">
        <v>9489</v>
      </c>
      <c r="N7152" s="50">
        <v>44835</v>
      </c>
      <c r="O7152" s="22" t="s">
        <v>179</v>
      </c>
      <c r="P7152" s="114">
        <v>0</v>
      </c>
      <c r="Q7152" s="486">
        <v>0</v>
      </c>
      <c r="R7152" s="114">
        <f t="shared" si="203"/>
        <v>0</v>
      </c>
      <c r="S7152" s="47">
        <v>202304</v>
      </c>
      <c r="T7152" s="536" t="s">
        <v>9491</v>
      </c>
      <c r="U7152" s="97"/>
      <c r="V7152" s="97"/>
      <c r="W7152" s="97"/>
      <c r="X7152" s="50">
        <v>44713</v>
      </c>
      <c r="Y7152" s="50">
        <v>45077</v>
      </c>
    </row>
    <row r="7153" s="5" customFormat="1" customHeight="1" spans="1:25">
      <c r="A7153" s="22" t="s">
        <v>446</v>
      </c>
      <c r="B7153" s="22" t="s">
        <v>9337</v>
      </c>
      <c r="C7153" s="22" t="s">
        <v>44</v>
      </c>
      <c r="D7153" s="22" t="s">
        <v>642</v>
      </c>
      <c r="E7153" s="46" t="s">
        <v>9486</v>
      </c>
      <c r="F7153" s="22" t="s">
        <v>9487</v>
      </c>
      <c r="G7153" s="22" t="s">
        <v>88</v>
      </c>
      <c r="H7153" s="22" t="s">
        <v>9488</v>
      </c>
      <c r="I7153" s="46" t="e">
        <f>VLOOKUP(H7153,'合同高级查询数据-4月返'!A:A,1,FALSE)</f>
        <v>#N/A</v>
      </c>
      <c r="J7153" s="22" t="s">
        <v>162</v>
      </c>
      <c r="K7153" s="22" t="s">
        <v>9487</v>
      </c>
      <c r="L7153" s="511" t="s">
        <v>9487</v>
      </c>
      <c r="M7153" s="22" t="s">
        <v>9489</v>
      </c>
      <c r="N7153" s="50">
        <v>44835</v>
      </c>
      <c r="O7153" s="22" t="s">
        <v>1535</v>
      </c>
      <c r="P7153" s="114">
        <v>0</v>
      </c>
      <c r="Q7153" s="531">
        <v>10</v>
      </c>
      <c r="R7153" s="114">
        <f t="shared" si="203"/>
        <v>0</v>
      </c>
      <c r="S7153" s="47">
        <v>202304</v>
      </c>
      <c r="T7153" s="536" t="s">
        <v>9492</v>
      </c>
      <c r="U7153" s="97"/>
      <c r="V7153" s="97"/>
      <c r="W7153" s="97"/>
      <c r="X7153" s="50">
        <v>44713</v>
      </c>
      <c r="Y7153" s="50">
        <v>45077</v>
      </c>
    </row>
    <row r="7154" s="5" customFormat="1" customHeight="1" spans="1:25">
      <c r="A7154" s="22" t="s">
        <v>446</v>
      </c>
      <c r="B7154" s="22" t="s">
        <v>9337</v>
      </c>
      <c r="C7154" s="22" t="s">
        <v>44</v>
      </c>
      <c r="D7154" s="22" t="s">
        <v>642</v>
      </c>
      <c r="E7154" s="46" t="s">
        <v>9486</v>
      </c>
      <c r="F7154" s="22" t="s">
        <v>9487</v>
      </c>
      <c r="G7154" s="22" t="s">
        <v>88</v>
      </c>
      <c r="H7154" s="22" t="s">
        <v>9488</v>
      </c>
      <c r="I7154" s="46" t="e">
        <f>VLOOKUP(H7154,'合同高级查询数据-4月返'!A:A,1,FALSE)</f>
        <v>#N/A</v>
      </c>
      <c r="J7154" s="22" t="s">
        <v>162</v>
      </c>
      <c r="K7154" s="22" t="s">
        <v>9487</v>
      </c>
      <c r="L7154" s="511" t="s">
        <v>9487</v>
      </c>
      <c r="M7154" s="22" t="s">
        <v>9489</v>
      </c>
      <c r="N7154" s="50">
        <v>44866</v>
      </c>
      <c r="O7154" s="22" t="s">
        <v>1535</v>
      </c>
      <c r="P7154" s="114">
        <v>0</v>
      </c>
      <c r="Q7154" s="531">
        <v>10</v>
      </c>
      <c r="R7154" s="114">
        <f t="shared" si="203"/>
        <v>0</v>
      </c>
      <c r="S7154" s="47">
        <v>202304</v>
      </c>
      <c r="T7154" s="536" t="s">
        <v>9493</v>
      </c>
      <c r="U7154" s="97"/>
      <c r="V7154" s="97"/>
      <c r="W7154" s="97"/>
      <c r="X7154" s="50">
        <v>44713</v>
      </c>
      <c r="Y7154" s="50">
        <v>45077</v>
      </c>
    </row>
    <row r="7155" s="5" customFormat="1" customHeight="1" spans="1:25">
      <c r="A7155" s="22" t="s">
        <v>446</v>
      </c>
      <c r="B7155" s="22" t="s">
        <v>9337</v>
      </c>
      <c r="C7155" s="22" t="s">
        <v>44</v>
      </c>
      <c r="D7155" s="22" t="s">
        <v>642</v>
      </c>
      <c r="E7155" s="46" t="s">
        <v>9494</v>
      </c>
      <c r="F7155" s="22" t="s">
        <v>9495</v>
      </c>
      <c r="G7155" s="22" t="s">
        <v>31</v>
      </c>
      <c r="H7155" s="22" t="s">
        <v>9496</v>
      </c>
      <c r="I7155" s="46" t="e">
        <f>VLOOKUP(H7155,'合同高级查询数据-4月返'!A:A,1,FALSE)</f>
        <v>#N/A</v>
      </c>
      <c r="J7155" s="22" t="s">
        <v>33</v>
      </c>
      <c r="K7155" s="511" t="s">
        <v>9495</v>
      </c>
      <c r="L7155" s="511" t="s">
        <v>9495</v>
      </c>
      <c r="M7155" s="22" t="s">
        <v>9497</v>
      </c>
      <c r="N7155" s="50">
        <v>44850</v>
      </c>
      <c r="O7155" s="22" t="s">
        <v>37</v>
      </c>
      <c r="P7155" s="359">
        <v>0</v>
      </c>
      <c r="Q7155" s="486">
        <v>1280</v>
      </c>
      <c r="R7155" s="114">
        <f t="shared" si="203"/>
        <v>0</v>
      </c>
      <c r="S7155" s="47">
        <v>202304</v>
      </c>
      <c r="T7155" s="46" t="s">
        <v>9498</v>
      </c>
      <c r="U7155" s="97"/>
      <c r="V7155" s="97"/>
      <c r="W7155" s="97"/>
      <c r="X7155" s="50">
        <v>44835</v>
      </c>
      <c r="Y7155" s="50">
        <v>45199</v>
      </c>
    </row>
    <row r="7156" s="5" customFormat="1" customHeight="1" spans="1:25">
      <c r="A7156" s="22" t="s">
        <v>446</v>
      </c>
      <c r="B7156" s="22" t="s">
        <v>9337</v>
      </c>
      <c r="C7156" s="22" t="s">
        <v>44</v>
      </c>
      <c r="D7156" s="22" t="s">
        <v>642</v>
      </c>
      <c r="E7156" s="46" t="s">
        <v>9494</v>
      </c>
      <c r="F7156" s="22" t="s">
        <v>9495</v>
      </c>
      <c r="G7156" s="22" t="s">
        <v>31</v>
      </c>
      <c r="H7156" s="22" t="s">
        <v>9496</v>
      </c>
      <c r="I7156" s="46" t="e">
        <f>VLOOKUP(H7156,'合同高级查询数据-4月返'!A:A,1,FALSE)</f>
        <v>#N/A</v>
      </c>
      <c r="J7156" s="22" t="s">
        <v>33</v>
      </c>
      <c r="K7156" s="511" t="s">
        <v>9495</v>
      </c>
      <c r="L7156" s="511" t="s">
        <v>9495</v>
      </c>
      <c r="M7156" s="22" t="s">
        <v>9497</v>
      </c>
      <c r="N7156" s="50"/>
      <c r="O7156" s="22" t="s">
        <v>179</v>
      </c>
      <c r="P7156" s="359">
        <v>0</v>
      </c>
      <c r="Q7156" s="486">
        <v>0</v>
      </c>
      <c r="R7156" s="114">
        <f t="shared" si="203"/>
        <v>0</v>
      </c>
      <c r="S7156" s="47">
        <v>202304</v>
      </c>
      <c r="T7156" s="46" t="s">
        <v>9499</v>
      </c>
      <c r="U7156" s="97"/>
      <c r="V7156" s="97"/>
      <c r="W7156" s="97"/>
      <c r="X7156" s="50">
        <v>44835</v>
      </c>
      <c r="Y7156" s="50">
        <v>45199</v>
      </c>
    </row>
    <row r="7157" s="5" customFormat="1" customHeight="1" spans="1:25">
      <c r="A7157" s="22" t="s">
        <v>446</v>
      </c>
      <c r="B7157" s="22" t="s">
        <v>9337</v>
      </c>
      <c r="C7157" s="22" t="s">
        <v>44</v>
      </c>
      <c r="D7157" s="22" t="s">
        <v>642</v>
      </c>
      <c r="E7157" s="46" t="s">
        <v>9494</v>
      </c>
      <c r="F7157" s="22" t="s">
        <v>9495</v>
      </c>
      <c r="G7157" s="22" t="s">
        <v>88</v>
      </c>
      <c r="H7157" s="22" t="s">
        <v>9496</v>
      </c>
      <c r="I7157" s="46" t="e">
        <f>VLOOKUP(H7157,'合同高级查询数据-4月返'!A:A,1,FALSE)</f>
        <v>#N/A</v>
      </c>
      <c r="J7157" s="22" t="s">
        <v>162</v>
      </c>
      <c r="K7157" s="511" t="s">
        <v>9495</v>
      </c>
      <c r="L7157" s="511" t="s">
        <v>9495</v>
      </c>
      <c r="M7157" s="22" t="s">
        <v>9497</v>
      </c>
      <c r="N7157" s="50">
        <v>44850</v>
      </c>
      <c r="O7157" s="22" t="s">
        <v>1535</v>
      </c>
      <c r="P7157" s="359">
        <v>0</v>
      </c>
      <c r="Q7157" s="531">
        <v>1</v>
      </c>
      <c r="R7157" s="114">
        <f t="shared" si="203"/>
        <v>0</v>
      </c>
      <c r="S7157" s="47">
        <v>202304</v>
      </c>
      <c r="T7157" s="46" t="s">
        <v>9500</v>
      </c>
      <c r="U7157" s="97"/>
      <c r="V7157" s="97"/>
      <c r="W7157" s="97"/>
      <c r="X7157" s="50">
        <v>44835</v>
      </c>
      <c r="Y7157" s="50">
        <v>45199</v>
      </c>
    </row>
    <row r="7158" s="5" customFormat="1" customHeight="1" spans="1:25">
      <c r="A7158" s="22" t="s">
        <v>446</v>
      </c>
      <c r="B7158" s="22" t="s">
        <v>9337</v>
      </c>
      <c r="C7158" s="22" t="s">
        <v>1987</v>
      </c>
      <c r="D7158" s="22" t="s">
        <v>951</v>
      </c>
      <c r="E7158" s="46" t="s">
        <v>9501</v>
      </c>
      <c r="F7158" s="22" t="s">
        <v>9502</v>
      </c>
      <c r="G7158" s="22" t="s">
        <v>31</v>
      </c>
      <c r="H7158" s="22" t="s">
        <v>9503</v>
      </c>
      <c r="I7158" s="46" t="e">
        <f>VLOOKUP(H7158,'合同高级查询数据-4月返'!A:A,1,FALSE)</f>
        <v>#N/A</v>
      </c>
      <c r="J7158" s="22" t="s">
        <v>33</v>
      </c>
      <c r="K7158" s="22" t="s">
        <v>8753</v>
      </c>
      <c r="L7158" s="511" t="s">
        <v>9504</v>
      </c>
      <c r="M7158" s="22" t="s">
        <v>9505</v>
      </c>
      <c r="N7158" s="50">
        <v>42917</v>
      </c>
      <c r="O7158" s="22" t="s">
        <v>37</v>
      </c>
      <c r="P7158" s="114">
        <v>0</v>
      </c>
      <c r="Q7158" s="486">
        <v>224</v>
      </c>
      <c r="R7158" s="114">
        <f t="shared" si="203"/>
        <v>0</v>
      </c>
      <c r="S7158" s="47">
        <v>202304</v>
      </c>
      <c r="T7158" s="532" t="s">
        <v>9506</v>
      </c>
      <c r="U7158" s="522"/>
      <c r="V7158" s="537"/>
      <c r="W7158" s="537"/>
      <c r="X7158" s="50">
        <v>44713</v>
      </c>
      <c r="Y7158" s="50">
        <v>45077</v>
      </c>
    </row>
    <row r="7159" s="5" customFormat="1" customHeight="1" spans="1:25">
      <c r="A7159" s="22" t="s">
        <v>446</v>
      </c>
      <c r="B7159" s="22" t="s">
        <v>9337</v>
      </c>
      <c r="C7159" s="22" t="s">
        <v>1987</v>
      </c>
      <c r="D7159" s="22" t="s">
        <v>951</v>
      </c>
      <c r="E7159" s="46" t="s">
        <v>9501</v>
      </c>
      <c r="F7159" s="22" t="s">
        <v>9502</v>
      </c>
      <c r="G7159" s="22" t="s">
        <v>31</v>
      </c>
      <c r="H7159" s="22" t="s">
        <v>9503</v>
      </c>
      <c r="I7159" s="46" t="e">
        <f>VLOOKUP(H7159,'合同高级查询数据-4月返'!A:A,1,FALSE)</f>
        <v>#N/A</v>
      </c>
      <c r="J7159" s="22" t="s">
        <v>33</v>
      </c>
      <c r="K7159" s="22" t="s">
        <v>8753</v>
      </c>
      <c r="L7159" s="511" t="s">
        <v>9504</v>
      </c>
      <c r="M7159" s="22" t="s">
        <v>9505</v>
      </c>
      <c r="N7159" s="50">
        <v>42917</v>
      </c>
      <c r="O7159" s="22" t="s">
        <v>37</v>
      </c>
      <c r="P7159" s="114">
        <v>0</v>
      </c>
      <c r="Q7159" s="486">
        <v>192</v>
      </c>
      <c r="R7159" s="114">
        <f t="shared" si="203"/>
        <v>0</v>
      </c>
      <c r="S7159" s="47">
        <v>202304</v>
      </c>
      <c r="T7159" s="532" t="s">
        <v>9507</v>
      </c>
      <c r="U7159" s="522"/>
      <c r="V7159" s="537"/>
      <c r="W7159" s="537"/>
      <c r="X7159" s="50">
        <v>44713</v>
      </c>
      <c r="Y7159" s="50">
        <v>45077</v>
      </c>
    </row>
    <row r="7160" s="5" customFormat="1" customHeight="1" spans="1:25">
      <c r="A7160" s="22" t="s">
        <v>446</v>
      </c>
      <c r="B7160" s="22" t="s">
        <v>9337</v>
      </c>
      <c r="C7160" s="22" t="s">
        <v>1987</v>
      </c>
      <c r="D7160" s="22" t="s">
        <v>951</v>
      </c>
      <c r="E7160" s="46" t="s">
        <v>9501</v>
      </c>
      <c r="F7160" s="22" t="s">
        <v>9502</v>
      </c>
      <c r="G7160" s="22" t="s">
        <v>31</v>
      </c>
      <c r="H7160" s="22" t="s">
        <v>9503</v>
      </c>
      <c r="I7160" s="46" t="e">
        <f>VLOOKUP(H7160,'合同高级查询数据-4月返'!A:A,1,FALSE)</f>
        <v>#N/A</v>
      </c>
      <c r="J7160" s="22" t="s">
        <v>33</v>
      </c>
      <c r="K7160" s="22" t="s">
        <v>8753</v>
      </c>
      <c r="L7160" s="511" t="s">
        <v>9504</v>
      </c>
      <c r="M7160" s="22" t="s">
        <v>9505</v>
      </c>
      <c r="N7160" s="50">
        <v>44176</v>
      </c>
      <c r="O7160" s="22" t="s">
        <v>37</v>
      </c>
      <c r="P7160" s="114">
        <v>0</v>
      </c>
      <c r="Q7160" s="486">
        <v>128</v>
      </c>
      <c r="R7160" s="114">
        <f t="shared" si="203"/>
        <v>0</v>
      </c>
      <c r="S7160" s="47">
        <v>202304</v>
      </c>
      <c r="T7160" s="532" t="s">
        <v>9508</v>
      </c>
      <c r="U7160" s="522"/>
      <c r="V7160" s="537"/>
      <c r="W7160" s="537"/>
      <c r="X7160" s="50">
        <v>44713</v>
      </c>
      <c r="Y7160" s="50">
        <v>45077</v>
      </c>
    </row>
    <row r="7161" s="5" customFormat="1" customHeight="1" spans="1:25">
      <c r="A7161" s="22" t="s">
        <v>446</v>
      </c>
      <c r="B7161" s="22" t="s">
        <v>9337</v>
      </c>
      <c r="C7161" s="22" t="s">
        <v>1987</v>
      </c>
      <c r="D7161" s="22" t="s">
        <v>951</v>
      </c>
      <c r="E7161" s="46" t="s">
        <v>9501</v>
      </c>
      <c r="F7161" s="22" t="s">
        <v>9502</v>
      </c>
      <c r="G7161" s="22" t="s">
        <v>31</v>
      </c>
      <c r="H7161" s="22" t="s">
        <v>9503</v>
      </c>
      <c r="I7161" s="46" t="e">
        <f>VLOOKUP(H7161,'合同高级查询数据-4月返'!A:A,1,FALSE)</f>
        <v>#N/A</v>
      </c>
      <c r="J7161" s="22" t="s">
        <v>33</v>
      </c>
      <c r="K7161" s="511" t="s">
        <v>9504</v>
      </c>
      <c r="L7161" s="511" t="s">
        <v>9504</v>
      </c>
      <c r="M7161" s="22" t="s">
        <v>9505</v>
      </c>
      <c r="N7161" s="50">
        <v>44317</v>
      </c>
      <c r="O7161" s="22" t="s">
        <v>37</v>
      </c>
      <c r="P7161" s="114">
        <v>40</v>
      </c>
      <c r="Q7161" s="486">
        <v>128</v>
      </c>
      <c r="R7161" s="114">
        <f t="shared" si="203"/>
        <v>5120</v>
      </c>
      <c r="S7161" s="47">
        <v>202304</v>
      </c>
      <c r="T7161" s="532" t="s">
        <v>9509</v>
      </c>
      <c r="U7161" s="522"/>
      <c r="V7161" s="537"/>
      <c r="W7161" s="537"/>
      <c r="X7161" s="50">
        <v>44713</v>
      </c>
      <c r="Y7161" s="50">
        <v>45077</v>
      </c>
    </row>
    <row r="7162" s="5" customFormat="1" customHeight="1" spans="1:25">
      <c r="A7162" s="22" t="s">
        <v>446</v>
      </c>
      <c r="B7162" s="22" t="s">
        <v>9337</v>
      </c>
      <c r="C7162" s="22" t="s">
        <v>1987</v>
      </c>
      <c r="D7162" s="22" t="s">
        <v>951</v>
      </c>
      <c r="E7162" s="46" t="s">
        <v>9501</v>
      </c>
      <c r="F7162" s="22" t="s">
        <v>9502</v>
      </c>
      <c r="G7162" s="22" t="s">
        <v>31</v>
      </c>
      <c r="H7162" s="22" t="s">
        <v>9503</v>
      </c>
      <c r="I7162" s="46" t="e">
        <f>VLOOKUP(H7162,'合同高级查询数据-4月返'!A:A,1,FALSE)</f>
        <v>#N/A</v>
      </c>
      <c r="J7162" s="22" t="s">
        <v>33</v>
      </c>
      <c r="K7162" s="511" t="s">
        <v>9504</v>
      </c>
      <c r="L7162" s="511" t="s">
        <v>9504</v>
      </c>
      <c r="M7162" s="22" t="s">
        <v>9505</v>
      </c>
      <c r="N7162" s="50">
        <v>44773</v>
      </c>
      <c r="O7162" s="22" t="s">
        <v>37</v>
      </c>
      <c r="P7162" s="114">
        <v>0</v>
      </c>
      <c r="Q7162" s="486">
        <v>-128</v>
      </c>
      <c r="R7162" s="114">
        <f t="shared" si="203"/>
        <v>0</v>
      </c>
      <c r="S7162" s="47">
        <v>202304</v>
      </c>
      <c r="T7162" s="532" t="s">
        <v>9510</v>
      </c>
      <c r="U7162" s="522"/>
      <c r="V7162" s="537"/>
      <c r="W7162" s="537"/>
      <c r="X7162" s="50">
        <v>44713</v>
      </c>
      <c r="Y7162" s="50">
        <v>45077</v>
      </c>
    </row>
    <row r="7163" s="5" customFormat="1" customHeight="1" spans="1:25">
      <c r="A7163" s="22" t="s">
        <v>446</v>
      </c>
      <c r="B7163" s="22" t="s">
        <v>9337</v>
      </c>
      <c r="C7163" s="22" t="s">
        <v>1987</v>
      </c>
      <c r="D7163" s="22" t="s">
        <v>951</v>
      </c>
      <c r="E7163" s="46" t="s">
        <v>9501</v>
      </c>
      <c r="F7163" s="22" t="s">
        <v>9502</v>
      </c>
      <c r="G7163" s="22" t="s">
        <v>31</v>
      </c>
      <c r="H7163" s="22" t="s">
        <v>9503</v>
      </c>
      <c r="I7163" s="46" t="e">
        <f>VLOOKUP(H7163,'合同高级查询数据-4月返'!A:A,1,FALSE)</f>
        <v>#N/A</v>
      </c>
      <c r="J7163" s="22" t="s">
        <v>33</v>
      </c>
      <c r="K7163" s="511" t="s">
        <v>9504</v>
      </c>
      <c r="L7163" s="511" t="s">
        <v>9504</v>
      </c>
      <c r="M7163" s="22" t="s">
        <v>9505</v>
      </c>
      <c r="N7163" s="50">
        <v>44773</v>
      </c>
      <c r="O7163" s="22" t="s">
        <v>37</v>
      </c>
      <c r="P7163" s="114">
        <v>0</v>
      </c>
      <c r="Q7163" s="486">
        <v>-128</v>
      </c>
      <c r="R7163" s="114">
        <f t="shared" si="203"/>
        <v>0</v>
      </c>
      <c r="S7163" s="47">
        <v>202304</v>
      </c>
      <c r="T7163" s="532" t="s">
        <v>9511</v>
      </c>
      <c r="U7163" s="522"/>
      <c r="V7163" s="537"/>
      <c r="W7163" s="537"/>
      <c r="X7163" s="50">
        <v>44713</v>
      </c>
      <c r="Y7163" s="50">
        <v>45077</v>
      </c>
    </row>
    <row r="7164" s="5" customFormat="1" customHeight="1" spans="1:25">
      <c r="A7164" s="22" t="s">
        <v>446</v>
      </c>
      <c r="B7164" s="22" t="s">
        <v>9337</v>
      </c>
      <c r="C7164" s="22" t="s">
        <v>1987</v>
      </c>
      <c r="D7164" s="22" t="s">
        <v>951</v>
      </c>
      <c r="E7164" s="46" t="s">
        <v>9501</v>
      </c>
      <c r="F7164" s="22" t="s">
        <v>9502</v>
      </c>
      <c r="G7164" s="22" t="s">
        <v>88</v>
      </c>
      <c r="H7164" s="22" t="s">
        <v>9503</v>
      </c>
      <c r="I7164" s="46" t="e">
        <f>VLOOKUP(H7164,'合同高级查询数据-4月返'!A:A,1,FALSE)</f>
        <v>#N/A</v>
      </c>
      <c r="J7164" s="22" t="s">
        <v>162</v>
      </c>
      <c r="K7164" s="22" t="s">
        <v>8753</v>
      </c>
      <c r="L7164" s="511" t="s">
        <v>9504</v>
      </c>
      <c r="M7164" s="22" t="s">
        <v>9505</v>
      </c>
      <c r="N7164" s="50">
        <v>42917</v>
      </c>
      <c r="O7164" s="22" t="s">
        <v>163</v>
      </c>
      <c r="P7164" s="114">
        <v>0</v>
      </c>
      <c r="Q7164" s="531">
        <v>4</v>
      </c>
      <c r="R7164" s="114">
        <f t="shared" si="203"/>
        <v>0</v>
      </c>
      <c r="S7164" s="47">
        <v>202304</v>
      </c>
      <c r="T7164" s="532" t="s">
        <v>9512</v>
      </c>
      <c r="U7164" s="522"/>
      <c r="V7164" s="537"/>
      <c r="W7164" s="537"/>
      <c r="X7164" s="50">
        <v>44713</v>
      </c>
      <c r="Y7164" s="50">
        <v>45077</v>
      </c>
    </row>
    <row r="7165" s="5" customFormat="1" customHeight="1" spans="1:25">
      <c r="A7165" s="22" t="s">
        <v>446</v>
      </c>
      <c r="B7165" s="22" t="s">
        <v>9337</v>
      </c>
      <c r="C7165" s="22" t="s">
        <v>1987</v>
      </c>
      <c r="D7165" s="22" t="s">
        <v>951</v>
      </c>
      <c r="E7165" s="46" t="s">
        <v>9501</v>
      </c>
      <c r="F7165" s="22" t="s">
        <v>9502</v>
      </c>
      <c r="G7165" s="22" t="s">
        <v>88</v>
      </c>
      <c r="H7165" s="22" t="s">
        <v>9503</v>
      </c>
      <c r="I7165" s="46" t="e">
        <f>VLOOKUP(H7165,'合同高级查询数据-4月返'!A:A,1,FALSE)</f>
        <v>#N/A</v>
      </c>
      <c r="J7165" s="22" t="s">
        <v>162</v>
      </c>
      <c r="K7165" s="22" t="s">
        <v>8753</v>
      </c>
      <c r="L7165" s="511" t="s">
        <v>9504</v>
      </c>
      <c r="M7165" s="22" t="s">
        <v>9505</v>
      </c>
      <c r="N7165" s="50">
        <v>44317</v>
      </c>
      <c r="O7165" s="22" t="s">
        <v>163</v>
      </c>
      <c r="P7165" s="114">
        <v>0</v>
      </c>
      <c r="Q7165" s="531">
        <v>1</v>
      </c>
      <c r="R7165" s="114">
        <f t="shared" si="203"/>
        <v>0</v>
      </c>
      <c r="S7165" s="47">
        <v>202304</v>
      </c>
      <c r="T7165" s="532" t="s">
        <v>9513</v>
      </c>
      <c r="U7165" s="522"/>
      <c r="V7165" s="537"/>
      <c r="W7165" s="537"/>
      <c r="X7165" s="50">
        <v>44713</v>
      </c>
      <c r="Y7165" s="50">
        <v>45077</v>
      </c>
    </row>
    <row r="7166" s="5" customFormat="1" customHeight="1" spans="1:25">
      <c r="A7166" s="22" t="s">
        <v>446</v>
      </c>
      <c r="B7166" s="22" t="s">
        <v>9337</v>
      </c>
      <c r="C7166" s="22" t="s">
        <v>1987</v>
      </c>
      <c r="D7166" s="22" t="s">
        <v>951</v>
      </c>
      <c r="E7166" s="46" t="s">
        <v>9501</v>
      </c>
      <c r="F7166" s="22" t="s">
        <v>9502</v>
      </c>
      <c r="G7166" s="22" t="s">
        <v>88</v>
      </c>
      <c r="H7166" s="22" t="s">
        <v>9503</v>
      </c>
      <c r="I7166" s="46" t="e">
        <f>VLOOKUP(H7166,'合同高级查询数据-4月返'!A:A,1,FALSE)</f>
        <v>#N/A</v>
      </c>
      <c r="J7166" s="22" t="s">
        <v>162</v>
      </c>
      <c r="K7166" s="22" t="s">
        <v>8753</v>
      </c>
      <c r="L7166" s="511" t="s">
        <v>9504</v>
      </c>
      <c r="M7166" s="22" t="s">
        <v>9505</v>
      </c>
      <c r="N7166" s="50">
        <v>44449</v>
      </c>
      <c r="O7166" s="22" t="s">
        <v>163</v>
      </c>
      <c r="P7166" s="114">
        <v>4000</v>
      </c>
      <c r="Q7166" s="531">
        <v>1</v>
      </c>
      <c r="R7166" s="114">
        <f t="shared" si="203"/>
        <v>4000</v>
      </c>
      <c r="S7166" s="47">
        <v>202304</v>
      </c>
      <c r="T7166" s="532" t="s">
        <v>9514</v>
      </c>
      <c r="U7166" s="522"/>
      <c r="V7166" s="537"/>
      <c r="W7166" s="537"/>
      <c r="X7166" s="50">
        <v>44713</v>
      </c>
      <c r="Y7166" s="50">
        <v>45077</v>
      </c>
    </row>
    <row r="7167" s="5" customFormat="1" customHeight="1" spans="1:25">
      <c r="A7167" s="22" t="s">
        <v>446</v>
      </c>
      <c r="B7167" s="22" t="s">
        <v>9337</v>
      </c>
      <c r="C7167" s="22" t="s">
        <v>1987</v>
      </c>
      <c r="D7167" s="22" t="s">
        <v>951</v>
      </c>
      <c r="E7167" s="46" t="s">
        <v>9501</v>
      </c>
      <c r="F7167" s="22" t="s">
        <v>9502</v>
      </c>
      <c r="G7167" s="22" t="s">
        <v>88</v>
      </c>
      <c r="H7167" s="22" t="s">
        <v>9503</v>
      </c>
      <c r="I7167" s="46" t="e">
        <f>VLOOKUP(H7167,'合同高级查询数据-4月返'!A:A,1,FALSE)</f>
        <v>#N/A</v>
      </c>
      <c r="J7167" s="22" t="s">
        <v>162</v>
      </c>
      <c r="K7167" s="22" t="s">
        <v>8753</v>
      </c>
      <c r="L7167" s="511" t="s">
        <v>9504</v>
      </c>
      <c r="M7167" s="22" t="s">
        <v>9505</v>
      </c>
      <c r="N7167" s="50">
        <v>44814</v>
      </c>
      <c r="O7167" s="22" t="s">
        <v>163</v>
      </c>
      <c r="P7167" s="114">
        <v>4000</v>
      </c>
      <c r="Q7167" s="531">
        <v>-1</v>
      </c>
      <c r="R7167" s="114">
        <f t="shared" si="203"/>
        <v>-4000</v>
      </c>
      <c r="S7167" s="47">
        <v>202304</v>
      </c>
      <c r="T7167" s="532" t="s">
        <v>9515</v>
      </c>
      <c r="U7167" s="522"/>
      <c r="V7167" s="537"/>
      <c r="W7167" s="537"/>
      <c r="X7167" s="50">
        <v>44713</v>
      </c>
      <c r="Y7167" s="50">
        <v>45077</v>
      </c>
    </row>
    <row r="7168" s="3" customFormat="1" customHeight="1" spans="1:25">
      <c r="A7168" s="35" t="s">
        <v>446</v>
      </c>
      <c r="B7168" s="35" t="s">
        <v>9337</v>
      </c>
      <c r="C7168" s="35" t="s">
        <v>1987</v>
      </c>
      <c r="D7168" s="35" t="s">
        <v>951</v>
      </c>
      <c r="E7168" s="30" t="s">
        <v>9501</v>
      </c>
      <c r="F7168" s="35" t="s">
        <v>9502</v>
      </c>
      <c r="G7168" s="35" t="s">
        <v>88</v>
      </c>
      <c r="H7168" s="35" t="s">
        <v>9516</v>
      </c>
      <c r="I7168" s="30" t="e">
        <f>VLOOKUP(H7168,'合同高级查询数据-4月返'!A:A,1,FALSE)</f>
        <v>#N/A</v>
      </c>
      <c r="J7168" s="35" t="s">
        <v>162</v>
      </c>
      <c r="K7168" s="35" t="s">
        <v>8753</v>
      </c>
      <c r="L7168" s="477" t="s">
        <v>9504</v>
      </c>
      <c r="M7168" s="35" t="s">
        <v>9505</v>
      </c>
      <c r="N7168" s="34">
        <v>44317</v>
      </c>
      <c r="O7168" s="35" t="s">
        <v>163</v>
      </c>
      <c r="P7168" s="125">
        <v>0</v>
      </c>
      <c r="Q7168" s="526">
        <v>1</v>
      </c>
      <c r="R7168" s="125">
        <f t="shared" si="203"/>
        <v>0</v>
      </c>
      <c r="S7168" s="31">
        <v>202304</v>
      </c>
      <c r="T7168" s="530" t="s">
        <v>9517</v>
      </c>
      <c r="U7168" s="520"/>
      <c r="V7168" s="534"/>
      <c r="W7168" s="534"/>
      <c r="X7168" s="34"/>
      <c r="Y7168" s="34"/>
    </row>
    <row r="7169" s="5" customFormat="1" customHeight="1" spans="1:25">
      <c r="A7169" s="22" t="s">
        <v>446</v>
      </c>
      <c r="B7169" s="22" t="s">
        <v>9337</v>
      </c>
      <c r="C7169" s="22" t="s">
        <v>44</v>
      </c>
      <c r="D7169" s="22" t="s">
        <v>642</v>
      </c>
      <c r="E7169" s="46" t="s">
        <v>9518</v>
      </c>
      <c r="F7169" s="22" t="s">
        <v>9519</v>
      </c>
      <c r="G7169" s="22" t="s">
        <v>31</v>
      </c>
      <c r="H7169" s="22" t="s">
        <v>9520</v>
      </c>
      <c r="I7169" s="46" t="e">
        <f>VLOOKUP(H7169,'合同高级查询数据-4月返'!A:A,1,FALSE)</f>
        <v>#N/A</v>
      </c>
      <c r="J7169" s="22" t="s">
        <v>33</v>
      </c>
      <c r="K7169" s="511" t="s">
        <v>9521</v>
      </c>
      <c r="L7169" s="511" t="s">
        <v>9521</v>
      </c>
      <c r="M7169" s="22" t="s">
        <v>9522</v>
      </c>
      <c r="N7169" s="50" t="s">
        <v>9475</v>
      </c>
      <c r="O7169" s="22" t="s">
        <v>37</v>
      </c>
      <c r="P7169" s="114">
        <v>0</v>
      </c>
      <c r="Q7169" s="486">
        <v>256</v>
      </c>
      <c r="R7169" s="114">
        <f t="shared" si="203"/>
        <v>0</v>
      </c>
      <c r="S7169" s="47">
        <v>202304</v>
      </c>
      <c r="T7169" s="532" t="s">
        <v>9523</v>
      </c>
      <c r="U7169" s="522"/>
      <c r="V7169" s="537"/>
      <c r="W7169" s="537"/>
      <c r="X7169" s="50">
        <v>44317</v>
      </c>
      <c r="Y7169" s="50">
        <v>45046</v>
      </c>
    </row>
    <row r="7170" s="5" customFormat="1" customHeight="1" spans="1:25">
      <c r="A7170" s="22" t="s">
        <v>446</v>
      </c>
      <c r="B7170" s="22" t="s">
        <v>9337</v>
      </c>
      <c r="C7170" s="22" t="s">
        <v>44</v>
      </c>
      <c r="D7170" s="22" t="s">
        <v>642</v>
      </c>
      <c r="E7170" s="46" t="s">
        <v>9518</v>
      </c>
      <c r="F7170" s="22" t="s">
        <v>9519</v>
      </c>
      <c r="G7170" s="22" t="s">
        <v>31</v>
      </c>
      <c r="H7170" s="22" t="s">
        <v>9520</v>
      </c>
      <c r="I7170" s="46" t="e">
        <f>VLOOKUP(H7170,'合同高级查询数据-4月返'!A:A,1,FALSE)</f>
        <v>#N/A</v>
      </c>
      <c r="J7170" s="22" t="s">
        <v>33</v>
      </c>
      <c r="K7170" s="511" t="s">
        <v>9521</v>
      </c>
      <c r="L7170" s="511" t="s">
        <v>9521</v>
      </c>
      <c r="M7170" s="22" t="s">
        <v>9522</v>
      </c>
      <c r="N7170" s="50" t="s">
        <v>9475</v>
      </c>
      <c r="O7170" s="22" t="s">
        <v>37</v>
      </c>
      <c r="P7170" s="114">
        <v>50</v>
      </c>
      <c r="Q7170" s="486">
        <v>128</v>
      </c>
      <c r="R7170" s="114">
        <f t="shared" si="203"/>
        <v>6400</v>
      </c>
      <c r="S7170" s="47">
        <v>202304</v>
      </c>
      <c r="T7170" s="532" t="s">
        <v>9523</v>
      </c>
      <c r="U7170" s="522"/>
      <c r="V7170" s="537"/>
      <c r="W7170" s="537"/>
      <c r="X7170" s="50">
        <v>44317</v>
      </c>
      <c r="Y7170" s="50">
        <v>45046</v>
      </c>
    </row>
    <row r="7171" s="5" customFormat="1" customHeight="1" spans="1:25">
      <c r="A7171" s="22" t="s">
        <v>446</v>
      </c>
      <c r="B7171" s="22" t="s">
        <v>9337</v>
      </c>
      <c r="C7171" s="22" t="s">
        <v>44</v>
      </c>
      <c r="D7171" s="22" t="s">
        <v>642</v>
      </c>
      <c r="E7171" s="46" t="s">
        <v>9518</v>
      </c>
      <c r="F7171" s="22" t="s">
        <v>9519</v>
      </c>
      <c r="G7171" s="22" t="s">
        <v>31</v>
      </c>
      <c r="H7171" s="22" t="s">
        <v>9520</v>
      </c>
      <c r="I7171" s="46" t="e">
        <f>VLOOKUP(H7171,'合同高级查询数据-4月返'!A:A,1,FALSE)</f>
        <v>#N/A</v>
      </c>
      <c r="J7171" s="22" t="s">
        <v>33</v>
      </c>
      <c r="K7171" s="511" t="s">
        <v>9521</v>
      </c>
      <c r="L7171" s="511" t="s">
        <v>9521</v>
      </c>
      <c r="M7171" s="22" t="s">
        <v>9522</v>
      </c>
      <c r="N7171" s="50">
        <v>44317</v>
      </c>
      <c r="O7171" s="22" t="s">
        <v>37</v>
      </c>
      <c r="P7171" s="114">
        <v>50</v>
      </c>
      <c r="Q7171" s="486">
        <v>128</v>
      </c>
      <c r="R7171" s="114">
        <f t="shared" si="203"/>
        <v>6400</v>
      </c>
      <c r="S7171" s="47">
        <v>202304</v>
      </c>
      <c r="T7171" s="532" t="s">
        <v>9524</v>
      </c>
      <c r="U7171" s="522"/>
      <c r="V7171" s="537"/>
      <c r="W7171" s="537"/>
      <c r="X7171" s="50">
        <v>44317</v>
      </c>
      <c r="Y7171" s="50">
        <v>45046</v>
      </c>
    </row>
    <row r="7172" s="5" customFormat="1" customHeight="1" spans="1:25">
      <c r="A7172" s="22" t="s">
        <v>446</v>
      </c>
      <c r="B7172" s="22" t="s">
        <v>9337</v>
      </c>
      <c r="C7172" s="22" t="s">
        <v>44</v>
      </c>
      <c r="D7172" s="22" t="s">
        <v>642</v>
      </c>
      <c r="E7172" s="46" t="s">
        <v>9518</v>
      </c>
      <c r="F7172" s="22" t="s">
        <v>9519</v>
      </c>
      <c r="G7172" s="22" t="s">
        <v>31</v>
      </c>
      <c r="H7172" s="22" t="s">
        <v>9520</v>
      </c>
      <c r="I7172" s="46" t="e">
        <f>VLOOKUP(H7172,'合同高级查询数据-4月返'!A:A,1,FALSE)</f>
        <v>#N/A</v>
      </c>
      <c r="J7172" s="22" t="s">
        <v>33</v>
      </c>
      <c r="K7172" s="511" t="s">
        <v>9521</v>
      </c>
      <c r="L7172" s="511" t="s">
        <v>9521</v>
      </c>
      <c r="M7172" s="22" t="s">
        <v>9522</v>
      </c>
      <c r="N7172" s="50">
        <v>44399</v>
      </c>
      <c r="O7172" s="22" t="s">
        <v>37</v>
      </c>
      <c r="P7172" s="114">
        <v>50</v>
      </c>
      <c r="Q7172" s="486">
        <v>-96</v>
      </c>
      <c r="R7172" s="114">
        <f t="shared" si="203"/>
        <v>-4800</v>
      </c>
      <c r="S7172" s="47">
        <v>202304</v>
      </c>
      <c r="T7172" s="532" t="s">
        <v>9525</v>
      </c>
      <c r="U7172" s="522"/>
      <c r="V7172" s="537"/>
      <c r="W7172" s="537"/>
      <c r="X7172" s="50">
        <v>44317</v>
      </c>
      <c r="Y7172" s="50">
        <v>45046</v>
      </c>
    </row>
    <row r="7173" s="5" customFormat="1" customHeight="1" spans="1:25">
      <c r="A7173" s="22" t="s">
        <v>446</v>
      </c>
      <c r="B7173" s="22" t="s">
        <v>9337</v>
      </c>
      <c r="C7173" s="22" t="s">
        <v>44</v>
      </c>
      <c r="D7173" s="22" t="s">
        <v>642</v>
      </c>
      <c r="E7173" s="46" t="s">
        <v>9518</v>
      </c>
      <c r="F7173" s="22" t="s">
        <v>9519</v>
      </c>
      <c r="G7173" s="22" t="s">
        <v>88</v>
      </c>
      <c r="H7173" s="22" t="s">
        <v>9520</v>
      </c>
      <c r="I7173" s="46" t="e">
        <f>VLOOKUP(H7173,'合同高级查询数据-4月返'!A:A,1,FALSE)</f>
        <v>#N/A</v>
      </c>
      <c r="J7173" s="22" t="s">
        <v>162</v>
      </c>
      <c r="K7173" s="511" t="s">
        <v>9521</v>
      </c>
      <c r="L7173" s="511" t="s">
        <v>9521</v>
      </c>
      <c r="M7173" s="22" t="s">
        <v>9522</v>
      </c>
      <c r="N7173" s="50" t="s">
        <v>9526</v>
      </c>
      <c r="O7173" s="22" t="s">
        <v>1535</v>
      </c>
      <c r="P7173" s="114">
        <v>0</v>
      </c>
      <c r="Q7173" s="531">
        <v>6</v>
      </c>
      <c r="R7173" s="114">
        <f t="shared" si="203"/>
        <v>0</v>
      </c>
      <c r="S7173" s="47">
        <v>202304</v>
      </c>
      <c r="T7173" s="532" t="s">
        <v>9527</v>
      </c>
      <c r="U7173" s="522"/>
      <c r="V7173" s="537"/>
      <c r="W7173" s="537"/>
      <c r="X7173" s="50">
        <v>44317</v>
      </c>
      <c r="Y7173" s="50">
        <v>45046</v>
      </c>
    </row>
    <row r="7174" s="5" customFormat="1" customHeight="1" spans="1:25">
      <c r="A7174" s="22" t="s">
        <v>446</v>
      </c>
      <c r="B7174" s="22" t="s">
        <v>9337</v>
      </c>
      <c r="C7174" s="22" t="s">
        <v>44</v>
      </c>
      <c r="D7174" s="22" t="s">
        <v>642</v>
      </c>
      <c r="E7174" s="46" t="s">
        <v>9518</v>
      </c>
      <c r="F7174" s="22" t="s">
        <v>9519</v>
      </c>
      <c r="G7174" s="22" t="s">
        <v>88</v>
      </c>
      <c r="H7174" s="22" t="s">
        <v>9520</v>
      </c>
      <c r="I7174" s="46" t="e">
        <f>VLOOKUP(H7174,'合同高级查询数据-4月返'!A:A,1,FALSE)</f>
        <v>#N/A</v>
      </c>
      <c r="J7174" s="22" t="s">
        <v>162</v>
      </c>
      <c r="K7174" s="511" t="s">
        <v>9521</v>
      </c>
      <c r="L7174" s="511" t="s">
        <v>9521</v>
      </c>
      <c r="M7174" s="22" t="s">
        <v>9522</v>
      </c>
      <c r="N7174" s="50">
        <v>43951</v>
      </c>
      <c r="O7174" s="22" t="s">
        <v>1535</v>
      </c>
      <c r="P7174" s="114">
        <v>0</v>
      </c>
      <c r="Q7174" s="531">
        <v>-2</v>
      </c>
      <c r="R7174" s="114">
        <f t="shared" si="203"/>
        <v>0</v>
      </c>
      <c r="S7174" s="47">
        <v>202304</v>
      </c>
      <c r="T7174" s="532" t="s">
        <v>9528</v>
      </c>
      <c r="U7174" s="522"/>
      <c r="V7174" s="537"/>
      <c r="W7174" s="537"/>
      <c r="X7174" s="50">
        <v>44317</v>
      </c>
      <c r="Y7174" s="50">
        <v>45046</v>
      </c>
    </row>
    <row r="7175" s="5" customFormat="1" customHeight="1" spans="1:25">
      <c r="A7175" s="22" t="s">
        <v>446</v>
      </c>
      <c r="B7175" s="22" t="s">
        <v>9337</v>
      </c>
      <c r="C7175" s="22" t="s">
        <v>44</v>
      </c>
      <c r="D7175" s="22" t="s">
        <v>642</v>
      </c>
      <c r="E7175" s="46" t="s">
        <v>9518</v>
      </c>
      <c r="F7175" s="22" t="s">
        <v>9519</v>
      </c>
      <c r="G7175" s="22" t="s">
        <v>88</v>
      </c>
      <c r="H7175" s="22" t="s">
        <v>9520</v>
      </c>
      <c r="I7175" s="46" t="e">
        <f>VLOOKUP(H7175,'合同高级查询数据-4月返'!A:A,1,FALSE)</f>
        <v>#N/A</v>
      </c>
      <c r="J7175" s="22" t="s">
        <v>162</v>
      </c>
      <c r="K7175" s="511" t="s">
        <v>9521</v>
      </c>
      <c r="L7175" s="511" t="s">
        <v>9521</v>
      </c>
      <c r="M7175" s="22" t="s">
        <v>9522</v>
      </c>
      <c r="N7175" s="50">
        <v>44317</v>
      </c>
      <c r="O7175" s="22" t="s">
        <v>1535</v>
      </c>
      <c r="P7175" s="114">
        <v>4000</v>
      </c>
      <c r="Q7175" s="531">
        <v>1</v>
      </c>
      <c r="R7175" s="114">
        <f t="shared" si="203"/>
        <v>4000</v>
      </c>
      <c r="S7175" s="47">
        <v>202304</v>
      </c>
      <c r="T7175" s="532" t="s">
        <v>9529</v>
      </c>
      <c r="U7175" s="522"/>
      <c r="V7175" s="537"/>
      <c r="W7175" s="537"/>
      <c r="X7175" s="50">
        <v>44317</v>
      </c>
      <c r="Y7175" s="50">
        <v>45046</v>
      </c>
    </row>
    <row r="7176" s="3" customFormat="1" customHeight="1" spans="1:25">
      <c r="A7176" s="35" t="s">
        <v>446</v>
      </c>
      <c r="B7176" s="35" t="s">
        <v>9337</v>
      </c>
      <c r="C7176" s="35" t="s">
        <v>44</v>
      </c>
      <c r="D7176" s="35" t="s">
        <v>642</v>
      </c>
      <c r="E7176" s="30" t="s">
        <v>9518</v>
      </c>
      <c r="F7176" s="35" t="s">
        <v>9519</v>
      </c>
      <c r="G7176" s="35" t="s">
        <v>31</v>
      </c>
      <c r="H7176" s="35" t="s">
        <v>9530</v>
      </c>
      <c r="I7176" s="30" t="e">
        <f>VLOOKUP(H7176,'合同高级查询数据-4月返'!A:A,1,FALSE)</f>
        <v>#N/A</v>
      </c>
      <c r="J7176" s="35" t="s">
        <v>33</v>
      </c>
      <c r="K7176" s="477" t="s">
        <v>9531</v>
      </c>
      <c r="L7176" s="477" t="s">
        <v>9531</v>
      </c>
      <c r="M7176" s="35" t="s">
        <v>9522</v>
      </c>
      <c r="N7176" s="34">
        <v>45001</v>
      </c>
      <c r="O7176" s="35" t="s">
        <v>37</v>
      </c>
      <c r="P7176" s="125">
        <v>0</v>
      </c>
      <c r="Q7176" s="526">
        <v>640</v>
      </c>
      <c r="R7176" s="125">
        <f t="shared" si="203"/>
        <v>0</v>
      </c>
      <c r="S7176" s="31">
        <v>202304</v>
      </c>
      <c r="T7176" s="530" t="s">
        <v>9532</v>
      </c>
      <c r="U7176" s="520"/>
      <c r="V7176" s="534"/>
      <c r="W7176" s="534"/>
      <c r="X7176" s="34"/>
      <c r="Y7176" s="34"/>
    </row>
    <row r="7177" s="3" customFormat="1" customHeight="1" spans="1:25">
      <c r="A7177" s="35" t="s">
        <v>446</v>
      </c>
      <c r="B7177" s="35" t="s">
        <v>9337</v>
      </c>
      <c r="C7177" s="35" t="s">
        <v>44</v>
      </c>
      <c r="D7177" s="35" t="s">
        <v>642</v>
      </c>
      <c r="E7177" s="30" t="s">
        <v>9518</v>
      </c>
      <c r="F7177" s="35" t="s">
        <v>9519</v>
      </c>
      <c r="G7177" s="35" t="s">
        <v>31</v>
      </c>
      <c r="H7177" s="35" t="s">
        <v>9530</v>
      </c>
      <c r="I7177" s="30" t="e">
        <f>VLOOKUP(H7177,'合同高级查询数据-4月返'!A:A,1,FALSE)</f>
        <v>#N/A</v>
      </c>
      <c r="J7177" s="35" t="s">
        <v>33</v>
      </c>
      <c r="K7177" s="477" t="s">
        <v>9531</v>
      </c>
      <c r="L7177" s="477" t="s">
        <v>9531</v>
      </c>
      <c r="M7177" s="35" t="s">
        <v>9522</v>
      </c>
      <c r="N7177" s="34">
        <v>45001</v>
      </c>
      <c r="O7177" s="35" t="s">
        <v>179</v>
      </c>
      <c r="P7177" s="125">
        <v>0</v>
      </c>
      <c r="Q7177" s="526">
        <v>1</v>
      </c>
      <c r="R7177" s="125">
        <f t="shared" si="203"/>
        <v>0</v>
      </c>
      <c r="S7177" s="31">
        <v>202304</v>
      </c>
      <c r="T7177" s="530" t="s">
        <v>9533</v>
      </c>
      <c r="U7177" s="520"/>
      <c r="V7177" s="534"/>
      <c r="W7177" s="534"/>
      <c r="X7177" s="34"/>
      <c r="Y7177" s="34"/>
    </row>
    <row r="7178" s="3" customFormat="1" customHeight="1" spans="1:25">
      <c r="A7178" s="35" t="s">
        <v>446</v>
      </c>
      <c r="B7178" s="35" t="s">
        <v>9337</v>
      </c>
      <c r="C7178" s="35" t="s">
        <v>44</v>
      </c>
      <c r="D7178" s="35" t="s">
        <v>642</v>
      </c>
      <c r="E7178" s="30" t="s">
        <v>9518</v>
      </c>
      <c r="F7178" s="35" t="s">
        <v>9519</v>
      </c>
      <c r="G7178" s="35" t="s">
        <v>88</v>
      </c>
      <c r="H7178" s="35" t="s">
        <v>9530</v>
      </c>
      <c r="I7178" s="30" t="e">
        <f>VLOOKUP(H7178,'合同高级查询数据-4月返'!A:A,1,FALSE)</f>
        <v>#N/A</v>
      </c>
      <c r="J7178" s="35" t="s">
        <v>162</v>
      </c>
      <c r="K7178" s="477" t="s">
        <v>9531</v>
      </c>
      <c r="L7178" s="477" t="s">
        <v>9531</v>
      </c>
      <c r="M7178" s="35" t="s">
        <v>9522</v>
      </c>
      <c r="N7178" s="34">
        <v>45001</v>
      </c>
      <c r="O7178" s="35" t="s">
        <v>1535</v>
      </c>
      <c r="P7178" s="125">
        <v>0</v>
      </c>
      <c r="Q7178" s="526">
        <v>1</v>
      </c>
      <c r="R7178" s="125">
        <f t="shared" si="203"/>
        <v>0</v>
      </c>
      <c r="S7178" s="31">
        <v>202304</v>
      </c>
      <c r="T7178" s="530" t="s">
        <v>9534</v>
      </c>
      <c r="U7178" s="520"/>
      <c r="V7178" s="534"/>
      <c r="W7178" s="534"/>
      <c r="X7178" s="34"/>
      <c r="Y7178" s="34"/>
    </row>
    <row r="7179" s="5" customFormat="1" customHeight="1" spans="1:25">
      <c r="A7179" s="22" t="s">
        <v>446</v>
      </c>
      <c r="B7179" s="22" t="s">
        <v>9337</v>
      </c>
      <c r="C7179" s="22" t="s">
        <v>44</v>
      </c>
      <c r="D7179" s="22" t="s">
        <v>642</v>
      </c>
      <c r="E7179" s="46" t="s">
        <v>9535</v>
      </c>
      <c r="F7179" s="22" t="s">
        <v>9536</v>
      </c>
      <c r="G7179" s="22" t="s">
        <v>31</v>
      </c>
      <c r="H7179" s="22" t="s">
        <v>9537</v>
      </c>
      <c r="I7179" s="46" t="e">
        <f>VLOOKUP(H7179,'合同高级查询数据-4月返'!A:A,1,FALSE)</f>
        <v>#N/A</v>
      </c>
      <c r="J7179" s="22" t="s">
        <v>33</v>
      </c>
      <c r="K7179" s="22" t="s">
        <v>9536</v>
      </c>
      <c r="L7179" s="22" t="s">
        <v>9536</v>
      </c>
      <c r="M7179" s="22" t="s">
        <v>9538</v>
      </c>
      <c r="N7179" s="50">
        <v>44774</v>
      </c>
      <c r="O7179" s="22" t="s">
        <v>37</v>
      </c>
      <c r="P7179" s="114">
        <v>0</v>
      </c>
      <c r="Q7179" s="486">
        <v>1280</v>
      </c>
      <c r="R7179" s="114">
        <f t="shared" si="203"/>
        <v>0</v>
      </c>
      <c r="S7179" s="47">
        <v>202304</v>
      </c>
      <c r="T7179" s="536" t="s">
        <v>9539</v>
      </c>
      <c r="U7179" s="97"/>
      <c r="V7179" s="97"/>
      <c r="W7179" s="97"/>
      <c r="X7179" s="509">
        <v>44774</v>
      </c>
      <c r="Y7179" s="50">
        <v>45138</v>
      </c>
    </row>
    <row r="7180" s="5" customFormat="1" customHeight="1" spans="1:25">
      <c r="A7180" s="22" t="s">
        <v>446</v>
      </c>
      <c r="B7180" s="22" t="s">
        <v>9337</v>
      </c>
      <c r="C7180" s="22" t="s">
        <v>44</v>
      </c>
      <c r="D7180" s="22" t="s">
        <v>642</v>
      </c>
      <c r="E7180" s="46" t="s">
        <v>9535</v>
      </c>
      <c r="F7180" s="22" t="s">
        <v>9536</v>
      </c>
      <c r="G7180" s="22" t="s">
        <v>31</v>
      </c>
      <c r="H7180" s="22" t="s">
        <v>9537</v>
      </c>
      <c r="I7180" s="46" t="e">
        <f>VLOOKUP(H7180,'合同高级查询数据-4月返'!A:A,1,FALSE)</f>
        <v>#N/A</v>
      </c>
      <c r="J7180" s="22" t="s">
        <v>33</v>
      </c>
      <c r="K7180" s="22" t="s">
        <v>9536</v>
      </c>
      <c r="L7180" s="22" t="s">
        <v>9536</v>
      </c>
      <c r="M7180" s="22" t="s">
        <v>9538</v>
      </c>
      <c r="N7180" s="50"/>
      <c r="O7180" s="22" t="s">
        <v>179</v>
      </c>
      <c r="P7180" s="114">
        <v>0</v>
      </c>
      <c r="Q7180" s="486">
        <v>0</v>
      </c>
      <c r="R7180" s="114">
        <f t="shared" si="203"/>
        <v>0</v>
      </c>
      <c r="S7180" s="47">
        <v>202304</v>
      </c>
      <c r="T7180" s="536" t="s">
        <v>9540</v>
      </c>
      <c r="U7180" s="97"/>
      <c r="V7180" s="97"/>
      <c r="W7180" s="97"/>
      <c r="X7180" s="509">
        <v>44774</v>
      </c>
      <c r="Y7180" s="50">
        <v>45138</v>
      </c>
    </row>
    <row r="7181" s="5" customFormat="1" customHeight="1" spans="1:25">
      <c r="A7181" s="22" t="s">
        <v>446</v>
      </c>
      <c r="B7181" s="22" t="s">
        <v>9337</v>
      </c>
      <c r="C7181" s="22" t="s">
        <v>44</v>
      </c>
      <c r="D7181" s="22" t="s">
        <v>642</v>
      </c>
      <c r="E7181" s="46" t="s">
        <v>9535</v>
      </c>
      <c r="F7181" s="22" t="s">
        <v>9536</v>
      </c>
      <c r="G7181" s="22" t="s">
        <v>88</v>
      </c>
      <c r="H7181" s="22" t="s">
        <v>9537</v>
      </c>
      <c r="I7181" s="46" t="e">
        <f>VLOOKUP(H7181,'合同高级查询数据-4月返'!A:A,1,FALSE)</f>
        <v>#N/A</v>
      </c>
      <c r="J7181" s="22" t="s">
        <v>162</v>
      </c>
      <c r="K7181" s="22" t="s">
        <v>9536</v>
      </c>
      <c r="L7181" s="22" t="s">
        <v>9536</v>
      </c>
      <c r="M7181" s="22" t="s">
        <v>9538</v>
      </c>
      <c r="N7181" s="50">
        <v>44774</v>
      </c>
      <c r="O7181" s="50" t="s">
        <v>1535</v>
      </c>
      <c r="P7181" s="114">
        <v>0</v>
      </c>
      <c r="Q7181" s="531">
        <v>1</v>
      </c>
      <c r="R7181" s="114">
        <f t="shared" si="203"/>
        <v>0</v>
      </c>
      <c r="S7181" s="47">
        <v>202304</v>
      </c>
      <c r="T7181" s="536" t="s">
        <v>9541</v>
      </c>
      <c r="U7181" s="97"/>
      <c r="V7181" s="97"/>
      <c r="W7181" s="97"/>
      <c r="X7181" s="509">
        <v>44774</v>
      </c>
      <c r="Y7181" s="50">
        <v>45138</v>
      </c>
    </row>
    <row r="7182" s="3" customFormat="1" customHeight="1" spans="1:25">
      <c r="A7182" s="35" t="s">
        <v>446</v>
      </c>
      <c r="B7182" s="35" t="s">
        <v>9337</v>
      </c>
      <c r="C7182" s="35" t="s">
        <v>44</v>
      </c>
      <c r="D7182" s="35" t="s">
        <v>642</v>
      </c>
      <c r="E7182" s="30" t="s">
        <v>9542</v>
      </c>
      <c r="F7182" s="35" t="s">
        <v>9543</v>
      </c>
      <c r="G7182" s="35" t="s">
        <v>31</v>
      </c>
      <c r="H7182" s="35" t="s">
        <v>9544</v>
      </c>
      <c r="I7182" s="30" t="e">
        <f>VLOOKUP(H7182,'合同高级查询数据-4月返'!A:A,1,FALSE)</f>
        <v>#N/A</v>
      </c>
      <c r="J7182" s="35" t="s">
        <v>33</v>
      </c>
      <c r="K7182" s="35" t="s">
        <v>9543</v>
      </c>
      <c r="L7182" s="477" t="s">
        <v>9543</v>
      </c>
      <c r="M7182" s="35" t="s">
        <v>9545</v>
      </c>
      <c r="N7182" s="34">
        <v>44666</v>
      </c>
      <c r="O7182" s="35" t="s">
        <v>37</v>
      </c>
      <c r="P7182" s="125">
        <v>0</v>
      </c>
      <c r="Q7182" s="488">
        <v>288</v>
      </c>
      <c r="R7182" s="125">
        <f t="shared" si="203"/>
        <v>0</v>
      </c>
      <c r="S7182" s="31">
        <v>202304</v>
      </c>
      <c r="T7182" s="529" t="s">
        <v>9546</v>
      </c>
      <c r="U7182" s="529"/>
      <c r="V7182" s="542"/>
      <c r="W7182" s="534"/>
      <c r="X7182" s="34"/>
      <c r="Y7182" s="34"/>
    </row>
    <row r="7183" s="3" customFormat="1" customHeight="1" spans="1:25">
      <c r="A7183" s="35" t="s">
        <v>446</v>
      </c>
      <c r="B7183" s="35" t="s">
        <v>9337</v>
      </c>
      <c r="C7183" s="35" t="s">
        <v>44</v>
      </c>
      <c r="D7183" s="35" t="s">
        <v>642</v>
      </c>
      <c r="E7183" s="30" t="s">
        <v>9542</v>
      </c>
      <c r="F7183" s="35" t="s">
        <v>9543</v>
      </c>
      <c r="G7183" s="35" t="s">
        <v>88</v>
      </c>
      <c r="H7183" s="35" t="s">
        <v>9544</v>
      </c>
      <c r="I7183" s="30" t="e">
        <f>VLOOKUP(H7183,'合同高级查询数据-4月返'!A:A,1,FALSE)</f>
        <v>#N/A</v>
      </c>
      <c r="J7183" s="35" t="s">
        <v>162</v>
      </c>
      <c r="K7183" s="35" t="s">
        <v>9543</v>
      </c>
      <c r="L7183" s="477" t="s">
        <v>9543</v>
      </c>
      <c r="M7183" s="35" t="s">
        <v>9545</v>
      </c>
      <c r="N7183" s="34">
        <v>44666</v>
      </c>
      <c r="O7183" s="35" t="s">
        <v>1535</v>
      </c>
      <c r="P7183" s="125">
        <v>0</v>
      </c>
      <c r="Q7183" s="526">
        <v>1</v>
      </c>
      <c r="R7183" s="125">
        <f t="shared" si="203"/>
        <v>0</v>
      </c>
      <c r="S7183" s="31">
        <v>202304</v>
      </c>
      <c r="T7183" s="529" t="s">
        <v>9547</v>
      </c>
      <c r="U7183" s="529"/>
      <c r="V7183" s="542"/>
      <c r="W7183" s="534"/>
      <c r="X7183" s="34"/>
      <c r="Y7183" s="34"/>
    </row>
    <row r="7184" s="5" customFormat="1" customHeight="1" spans="1:25">
      <c r="A7184" s="22" t="s">
        <v>446</v>
      </c>
      <c r="B7184" s="22" t="s">
        <v>9337</v>
      </c>
      <c r="C7184" s="22" t="s">
        <v>44</v>
      </c>
      <c r="D7184" s="22" t="s">
        <v>642</v>
      </c>
      <c r="E7184" s="46" t="s">
        <v>9548</v>
      </c>
      <c r="F7184" s="22" t="s">
        <v>9549</v>
      </c>
      <c r="G7184" s="22" t="s">
        <v>31</v>
      </c>
      <c r="H7184" s="22" t="s">
        <v>9550</v>
      </c>
      <c r="I7184" s="46" t="e">
        <f>VLOOKUP(H7184,'合同高级查询数据-4月返'!A:A,1,FALSE)</f>
        <v>#N/A</v>
      </c>
      <c r="J7184" s="22" t="s">
        <v>33</v>
      </c>
      <c r="K7184" s="22" t="s">
        <v>9549</v>
      </c>
      <c r="L7184" s="511" t="s">
        <v>9549</v>
      </c>
      <c r="M7184" s="22" t="s">
        <v>9551</v>
      </c>
      <c r="N7184" s="50">
        <v>44789</v>
      </c>
      <c r="O7184" s="22" t="s">
        <v>37</v>
      </c>
      <c r="P7184" s="114">
        <v>0</v>
      </c>
      <c r="Q7184" s="486">
        <v>256</v>
      </c>
      <c r="R7184" s="114">
        <f t="shared" si="203"/>
        <v>0</v>
      </c>
      <c r="S7184" s="47">
        <v>202304</v>
      </c>
      <c r="T7184" s="536" t="s">
        <v>9552</v>
      </c>
      <c r="U7184" s="536"/>
      <c r="V7184" s="512"/>
      <c r="W7184" s="537"/>
      <c r="X7184" s="509">
        <v>44774</v>
      </c>
      <c r="Y7184" s="50">
        <v>45138</v>
      </c>
    </row>
    <row r="7185" s="5" customFormat="1" customHeight="1" spans="1:25">
      <c r="A7185" s="22" t="s">
        <v>446</v>
      </c>
      <c r="B7185" s="22" t="s">
        <v>9337</v>
      </c>
      <c r="C7185" s="22" t="s">
        <v>44</v>
      </c>
      <c r="D7185" s="22" t="s">
        <v>642</v>
      </c>
      <c r="E7185" s="46" t="s">
        <v>9548</v>
      </c>
      <c r="F7185" s="22" t="s">
        <v>9549</v>
      </c>
      <c r="G7185" s="22" t="s">
        <v>31</v>
      </c>
      <c r="H7185" s="22" t="s">
        <v>9550</v>
      </c>
      <c r="I7185" s="46" t="e">
        <f>VLOOKUP(H7185,'合同高级查询数据-4月返'!A:A,1,FALSE)</f>
        <v>#N/A</v>
      </c>
      <c r="J7185" s="22" t="s">
        <v>33</v>
      </c>
      <c r="K7185" s="22" t="s">
        <v>9549</v>
      </c>
      <c r="L7185" s="511" t="s">
        <v>9549</v>
      </c>
      <c r="M7185" s="22" t="s">
        <v>9551</v>
      </c>
      <c r="N7185" s="50"/>
      <c r="O7185" s="22" t="s">
        <v>179</v>
      </c>
      <c r="P7185" s="114">
        <v>0</v>
      </c>
      <c r="Q7185" s="486">
        <v>0</v>
      </c>
      <c r="R7185" s="114">
        <f t="shared" ref="R7185:R7197" si="204">ROUND(P7185*Q7185,2)</f>
        <v>0</v>
      </c>
      <c r="S7185" s="47">
        <v>202304</v>
      </c>
      <c r="T7185" s="536" t="s">
        <v>9553</v>
      </c>
      <c r="U7185" s="536"/>
      <c r="V7185" s="512"/>
      <c r="W7185" s="537"/>
      <c r="X7185" s="509">
        <v>44774</v>
      </c>
      <c r="Y7185" s="50">
        <v>45138</v>
      </c>
    </row>
    <row r="7186" s="5" customFormat="1" customHeight="1" spans="1:25">
      <c r="A7186" s="22" t="s">
        <v>446</v>
      </c>
      <c r="B7186" s="22" t="s">
        <v>9337</v>
      </c>
      <c r="C7186" s="22" t="s">
        <v>44</v>
      </c>
      <c r="D7186" s="22" t="s">
        <v>642</v>
      </c>
      <c r="E7186" s="46" t="s">
        <v>9548</v>
      </c>
      <c r="F7186" s="22" t="s">
        <v>9549</v>
      </c>
      <c r="G7186" s="22" t="s">
        <v>88</v>
      </c>
      <c r="H7186" s="22" t="s">
        <v>9550</v>
      </c>
      <c r="I7186" s="46" t="e">
        <f>VLOOKUP(H7186,'合同高级查询数据-4月返'!A:A,1,FALSE)</f>
        <v>#N/A</v>
      </c>
      <c r="J7186" s="22" t="s">
        <v>162</v>
      </c>
      <c r="K7186" s="22" t="s">
        <v>9549</v>
      </c>
      <c r="L7186" s="511" t="s">
        <v>9549</v>
      </c>
      <c r="M7186" s="22" t="s">
        <v>9551</v>
      </c>
      <c r="N7186" s="50">
        <v>44789</v>
      </c>
      <c r="O7186" s="22" t="s">
        <v>1535</v>
      </c>
      <c r="P7186" s="114">
        <v>0</v>
      </c>
      <c r="Q7186" s="531">
        <v>10</v>
      </c>
      <c r="R7186" s="114">
        <f t="shared" si="204"/>
        <v>0</v>
      </c>
      <c r="S7186" s="47">
        <v>202304</v>
      </c>
      <c r="T7186" s="536" t="s">
        <v>9554</v>
      </c>
      <c r="U7186" s="536"/>
      <c r="V7186" s="512"/>
      <c r="W7186" s="537"/>
      <c r="X7186" s="509">
        <v>44774</v>
      </c>
      <c r="Y7186" s="50">
        <v>45138</v>
      </c>
    </row>
    <row r="7187" s="5" customFormat="1" customHeight="1" spans="1:25">
      <c r="A7187" s="22" t="s">
        <v>444</v>
      </c>
      <c r="B7187" s="22" t="s">
        <v>9337</v>
      </c>
      <c r="C7187" s="22" t="s">
        <v>1987</v>
      </c>
      <c r="D7187" s="22" t="s">
        <v>951</v>
      </c>
      <c r="E7187" s="46" t="s">
        <v>9555</v>
      </c>
      <c r="F7187" s="22" t="s">
        <v>9556</v>
      </c>
      <c r="G7187" s="22" t="s">
        <v>31</v>
      </c>
      <c r="H7187" s="22" t="s">
        <v>9557</v>
      </c>
      <c r="I7187" s="46" t="e">
        <f>VLOOKUP(H7187,'合同高级查询数据-4月返'!A:A,1,FALSE)</f>
        <v>#N/A</v>
      </c>
      <c r="J7187" s="22" t="s">
        <v>33</v>
      </c>
      <c r="K7187" s="22" t="s">
        <v>8753</v>
      </c>
      <c r="L7187" s="22" t="s">
        <v>9558</v>
      </c>
      <c r="M7187" s="22" t="s">
        <v>9559</v>
      </c>
      <c r="N7187" s="50">
        <v>42867</v>
      </c>
      <c r="O7187" s="22" t="s">
        <v>37</v>
      </c>
      <c r="P7187" s="114">
        <v>0</v>
      </c>
      <c r="Q7187" s="486">
        <v>288</v>
      </c>
      <c r="R7187" s="114">
        <f t="shared" si="204"/>
        <v>0</v>
      </c>
      <c r="S7187" s="47">
        <v>202304</v>
      </c>
      <c r="T7187" s="532" t="s">
        <v>9560</v>
      </c>
      <c r="U7187" s="522"/>
      <c r="V7187" s="537"/>
      <c r="W7187" s="537"/>
      <c r="X7187" s="50">
        <v>44927</v>
      </c>
      <c r="Y7187" s="50">
        <v>45107</v>
      </c>
    </row>
    <row r="7188" s="5" customFormat="1" customHeight="1" spans="1:25">
      <c r="A7188" s="22" t="s">
        <v>444</v>
      </c>
      <c r="B7188" s="22" t="s">
        <v>9337</v>
      </c>
      <c r="C7188" s="22" t="s">
        <v>1987</v>
      </c>
      <c r="D7188" s="22" t="s">
        <v>951</v>
      </c>
      <c r="E7188" s="46" t="s">
        <v>9555</v>
      </c>
      <c r="F7188" s="22" t="s">
        <v>9556</v>
      </c>
      <c r="G7188" s="22" t="s">
        <v>31</v>
      </c>
      <c r="H7188" s="22" t="s">
        <v>9557</v>
      </c>
      <c r="I7188" s="46" t="e">
        <f>VLOOKUP(H7188,'合同高级查询数据-4月返'!A:A,1,FALSE)</f>
        <v>#N/A</v>
      </c>
      <c r="J7188" s="22" t="s">
        <v>33</v>
      </c>
      <c r="K7188" s="22" t="s">
        <v>8753</v>
      </c>
      <c r="L7188" s="22" t="s">
        <v>9558</v>
      </c>
      <c r="M7188" s="22" t="s">
        <v>9559</v>
      </c>
      <c r="N7188" s="50">
        <v>44651</v>
      </c>
      <c r="O7188" s="22" t="s">
        <v>37</v>
      </c>
      <c r="P7188" s="114">
        <v>0</v>
      </c>
      <c r="Q7188" s="486">
        <v>-288</v>
      </c>
      <c r="R7188" s="114">
        <f t="shared" si="204"/>
        <v>0</v>
      </c>
      <c r="S7188" s="47">
        <v>202304</v>
      </c>
      <c r="T7188" s="532" t="s">
        <v>9561</v>
      </c>
      <c r="U7188" s="522"/>
      <c r="V7188" s="537"/>
      <c r="W7188" s="537"/>
      <c r="X7188" s="50">
        <v>44927</v>
      </c>
      <c r="Y7188" s="50">
        <v>45107</v>
      </c>
    </row>
    <row r="7189" s="5" customFormat="1" customHeight="1" spans="1:25">
      <c r="A7189" s="22" t="s">
        <v>444</v>
      </c>
      <c r="B7189" s="22" t="s">
        <v>9337</v>
      </c>
      <c r="C7189" s="22" t="s">
        <v>1987</v>
      </c>
      <c r="D7189" s="22" t="s">
        <v>951</v>
      </c>
      <c r="E7189" s="46" t="s">
        <v>9555</v>
      </c>
      <c r="F7189" s="22" t="s">
        <v>9556</v>
      </c>
      <c r="G7189" s="22" t="s">
        <v>31</v>
      </c>
      <c r="H7189" s="22" t="s">
        <v>9557</v>
      </c>
      <c r="I7189" s="46" t="e">
        <f>VLOOKUP(H7189,'合同高级查询数据-4月返'!A:A,1,FALSE)</f>
        <v>#N/A</v>
      </c>
      <c r="J7189" s="22" t="s">
        <v>33</v>
      </c>
      <c r="K7189" s="22" t="s">
        <v>9562</v>
      </c>
      <c r="L7189" s="511" t="s">
        <v>9563</v>
      </c>
      <c r="M7189" s="22" t="s">
        <v>9559</v>
      </c>
      <c r="N7189" s="50">
        <v>43586</v>
      </c>
      <c r="O7189" s="22" t="s">
        <v>37</v>
      </c>
      <c r="P7189" s="114">
        <v>0</v>
      </c>
      <c r="Q7189" s="486">
        <v>288</v>
      </c>
      <c r="R7189" s="114">
        <f t="shared" si="204"/>
        <v>0</v>
      </c>
      <c r="S7189" s="47">
        <v>202304</v>
      </c>
      <c r="T7189" s="532" t="s">
        <v>9564</v>
      </c>
      <c r="U7189" s="522"/>
      <c r="V7189" s="537"/>
      <c r="W7189" s="537"/>
      <c r="X7189" s="50">
        <v>44927</v>
      </c>
      <c r="Y7189" s="50">
        <v>45107</v>
      </c>
    </row>
    <row r="7190" s="5" customFormat="1" customHeight="1" spans="1:25">
      <c r="A7190" s="22" t="s">
        <v>444</v>
      </c>
      <c r="B7190" s="22" t="s">
        <v>9337</v>
      </c>
      <c r="C7190" s="22" t="s">
        <v>1987</v>
      </c>
      <c r="D7190" s="22" t="s">
        <v>951</v>
      </c>
      <c r="E7190" s="46" t="s">
        <v>9555</v>
      </c>
      <c r="F7190" s="22" t="s">
        <v>9556</v>
      </c>
      <c r="G7190" s="22" t="s">
        <v>31</v>
      </c>
      <c r="H7190" s="22" t="s">
        <v>9557</v>
      </c>
      <c r="I7190" s="46" t="e">
        <f>VLOOKUP(H7190,'合同高级查询数据-4月返'!A:A,1,FALSE)</f>
        <v>#N/A</v>
      </c>
      <c r="J7190" s="22" t="s">
        <v>33</v>
      </c>
      <c r="K7190" s="22" t="s">
        <v>9562</v>
      </c>
      <c r="L7190" s="511" t="s">
        <v>9563</v>
      </c>
      <c r="M7190" s="22" t="s">
        <v>9559</v>
      </c>
      <c r="N7190" s="50">
        <v>44228</v>
      </c>
      <c r="O7190" s="22" t="s">
        <v>37</v>
      </c>
      <c r="P7190" s="114">
        <v>0</v>
      </c>
      <c r="Q7190" s="486">
        <v>128</v>
      </c>
      <c r="R7190" s="114">
        <f t="shared" si="204"/>
        <v>0</v>
      </c>
      <c r="S7190" s="47">
        <v>202304</v>
      </c>
      <c r="T7190" s="532" t="s">
        <v>9565</v>
      </c>
      <c r="U7190" s="522"/>
      <c r="V7190" s="537"/>
      <c r="W7190" s="537"/>
      <c r="X7190" s="50">
        <v>44927</v>
      </c>
      <c r="Y7190" s="50">
        <v>45107</v>
      </c>
    </row>
    <row r="7191" s="5" customFormat="1" customHeight="1" spans="1:25">
      <c r="A7191" s="22" t="s">
        <v>444</v>
      </c>
      <c r="B7191" s="22" t="s">
        <v>9337</v>
      </c>
      <c r="C7191" s="22" t="s">
        <v>1987</v>
      </c>
      <c r="D7191" s="22" t="s">
        <v>951</v>
      </c>
      <c r="E7191" s="46" t="s">
        <v>9555</v>
      </c>
      <c r="F7191" s="22" t="s">
        <v>9556</v>
      </c>
      <c r="G7191" s="22" t="s">
        <v>31</v>
      </c>
      <c r="H7191" s="22" t="s">
        <v>9557</v>
      </c>
      <c r="I7191" s="46" t="e">
        <f>VLOOKUP(H7191,'合同高级查询数据-4月返'!A:A,1,FALSE)</f>
        <v>#N/A</v>
      </c>
      <c r="J7191" s="22" t="s">
        <v>33</v>
      </c>
      <c r="K7191" s="22" t="s">
        <v>9562</v>
      </c>
      <c r="L7191" s="511" t="s">
        <v>9563</v>
      </c>
      <c r="M7191" s="22" t="s">
        <v>9559</v>
      </c>
      <c r="N7191" s="50">
        <v>44393</v>
      </c>
      <c r="O7191" s="22" t="s">
        <v>37</v>
      </c>
      <c r="P7191" s="114">
        <v>0</v>
      </c>
      <c r="Q7191" s="486">
        <v>128</v>
      </c>
      <c r="R7191" s="114">
        <f t="shared" si="204"/>
        <v>0</v>
      </c>
      <c r="S7191" s="47">
        <v>202304</v>
      </c>
      <c r="T7191" s="532" t="s">
        <v>9566</v>
      </c>
      <c r="U7191" s="522"/>
      <c r="V7191" s="537"/>
      <c r="W7191" s="537"/>
      <c r="X7191" s="50">
        <v>44927</v>
      </c>
      <c r="Y7191" s="50">
        <v>45107</v>
      </c>
    </row>
    <row r="7192" s="5" customFormat="1" customHeight="1" spans="1:25">
      <c r="A7192" s="22" t="s">
        <v>444</v>
      </c>
      <c r="B7192" s="22" t="s">
        <v>9337</v>
      </c>
      <c r="C7192" s="22" t="s">
        <v>1987</v>
      </c>
      <c r="D7192" s="22" t="s">
        <v>951</v>
      </c>
      <c r="E7192" s="46" t="s">
        <v>9555</v>
      </c>
      <c r="F7192" s="22" t="s">
        <v>9556</v>
      </c>
      <c r="G7192" s="22" t="s">
        <v>31</v>
      </c>
      <c r="H7192" s="22" t="s">
        <v>9557</v>
      </c>
      <c r="I7192" s="46" t="e">
        <f>VLOOKUP(H7192,'合同高级查询数据-4月返'!A:A,1,FALSE)</f>
        <v>#N/A</v>
      </c>
      <c r="J7192" s="22" t="s">
        <v>33</v>
      </c>
      <c r="K7192" s="22" t="s">
        <v>9562</v>
      </c>
      <c r="L7192" s="511" t="s">
        <v>9563</v>
      </c>
      <c r="M7192" s="22" t="s">
        <v>9559</v>
      </c>
      <c r="N7192" s="50">
        <v>44773</v>
      </c>
      <c r="O7192" s="22" t="s">
        <v>37</v>
      </c>
      <c r="P7192" s="114">
        <v>0</v>
      </c>
      <c r="Q7192" s="486">
        <v>-128</v>
      </c>
      <c r="R7192" s="114">
        <f t="shared" si="204"/>
        <v>0</v>
      </c>
      <c r="S7192" s="47">
        <v>202304</v>
      </c>
      <c r="T7192" s="532" t="s">
        <v>9567</v>
      </c>
      <c r="U7192" s="522"/>
      <c r="V7192" s="537"/>
      <c r="W7192" s="537"/>
      <c r="X7192" s="50">
        <v>44927</v>
      </c>
      <c r="Y7192" s="50">
        <v>45107</v>
      </c>
    </row>
    <row r="7193" s="5" customFormat="1" customHeight="1" spans="1:25">
      <c r="A7193" s="22" t="s">
        <v>444</v>
      </c>
      <c r="B7193" s="22" t="s">
        <v>9337</v>
      </c>
      <c r="C7193" s="22" t="s">
        <v>1987</v>
      </c>
      <c r="D7193" s="22" t="s">
        <v>951</v>
      </c>
      <c r="E7193" s="46" t="s">
        <v>9555</v>
      </c>
      <c r="F7193" s="22" t="s">
        <v>9556</v>
      </c>
      <c r="G7193" s="22" t="s">
        <v>88</v>
      </c>
      <c r="H7193" s="22" t="s">
        <v>9557</v>
      </c>
      <c r="I7193" s="46" t="e">
        <f>VLOOKUP(H7193,'合同高级查询数据-4月返'!A:A,1,FALSE)</f>
        <v>#N/A</v>
      </c>
      <c r="J7193" s="22" t="s">
        <v>162</v>
      </c>
      <c r="K7193" s="22" t="s">
        <v>8753</v>
      </c>
      <c r="L7193" s="22" t="s">
        <v>9558</v>
      </c>
      <c r="M7193" s="22" t="s">
        <v>9559</v>
      </c>
      <c r="N7193" s="50">
        <v>42867</v>
      </c>
      <c r="O7193" s="22" t="s">
        <v>1306</v>
      </c>
      <c r="P7193" s="114">
        <v>5500</v>
      </c>
      <c r="Q7193" s="531">
        <v>2</v>
      </c>
      <c r="R7193" s="114">
        <f t="shared" si="204"/>
        <v>11000</v>
      </c>
      <c r="S7193" s="47">
        <v>202304</v>
      </c>
      <c r="T7193" s="532" t="s">
        <v>9568</v>
      </c>
      <c r="U7193" s="522"/>
      <c r="V7193" s="537"/>
      <c r="W7193" s="537"/>
      <c r="X7193" s="50">
        <v>44927</v>
      </c>
      <c r="Y7193" s="50">
        <v>45107</v>
      </c>
    </row>
    <row r="7194" s="5" customFormat="1" customHeight="1" spans="1:25">
      <c r="A7194" s="22" t="s">
        <v>444</v>
      </c>
      <c r="B7194" s="22" t="s">
        <v>9337</v>
      </c>
      <c r="C7194" s="22" t="s">
        <v>1987</v>
      </c>
      <c r="D7194" s="22" t="s">
        <v>951</v>
      </c>
      <c r="E7194" s="46" t="s">
        <v>9555</v>
      </c>
      <c r="F7194" s="22" t="s">
        <v>9556</v>
      </c>
      <c r="G7194" s="22" t="s">
        <v>88</v>
      </c>
      <c r="H7194" s="22" t="s">
        <v>9557</v>
      </c>
      <c r="I7194" s="46" t="e">
        <f>VLOOKUP(H7194,'合同高级查询数据-4月返'!A:A,1,FALSE)</f>
        <v>#N/A</v>
      </c>
      <c r="J7194" s="22" t="s">
        <v>162</v>
      </c>
      <c r="K7194" s="22" t="s">
        <v>8753</v>
      </c>
      <c r="L7194" s="22" t="s">
        <v>9558</v>
      </c>
      <c r="M7194" s="22" t="s">
        <v>9559</v>
      </c>
      <c r="N7194" s="50">
        <v>44651</v>
      </c>
      <c r="O7194" s="22" t="s">
        <v>1306</v>
      </c>
      <c r="P7194" s="114">
        <v>5500</v>
      </c>
      <c r="Q7194" s="531">
        <v>-2</v>
      </c>
      <c r="R7194" s="114">
        <f t="shared" si="204"/>
        <v>-11000</v>
      </c>
      <c r="S7194" s="47">
        <v>202304</v>
      </c>
      <c r="T7194" s="532" t="s">
        <v>9568</v>
      </c>
      <c r="U7194" s="522"/>
      <c r="V7194" s="537"/>
      <c r="W7194" s="537"/>
      <c r="X7194" s="50">
        <v>44927</v>
      </c>
      <c r="Y7194" s="50">
        <v>45107</v>
      </c>
    </row>
    <row r="7195" s="5" customFormat="1" customHeight="1" spans="1:25">
      <c r="A7195" s="22" t="s">
        <v>444</v>
      </c>
      <c r="B7195" s="22" t="s">
        <v>9337</v>
      </c>
      <c r="C7195" s="22" t="s">
        <v>1987</v>
      </c>
      <c r="D7195" s="22" t="s">
        <v>951</v>
      </c>
      <c r="E7195" s="46" t="s">
        <v>9555</v>
      </c>
      <c r="F7195" s="22" t="s">
        <v>9556</v>
      </c>
      <c r="G7195" s="22" t="s">
        <v>88</v>
      </c>
      <c r="H7195" s="22" t="s">
        <v>9557</v>
      </c>
      <c r="I7195" s="46" t="e">
        <f>VLOOKUP(H7195,'合同高级查询数据-4月返'!A:A,1,FALSE)</f>
        <v>#N/A</v>
      </c>
      <c r="J7195" s="22" t="s">
        <v>162</v>
      </c>
      <c r="K7195" s="22" t="s">
        <v>9562</v>
      </c>
      <c r="L7195" s="511" t="s">
        <v>9563</v>
      </c>
      <c r="M7195" s="22" t="s">
        <v>9559</v>
      </c>
      <c r="N7195" s="50">
        <v>43586</v>
      </c>
      <c r="O7195" s="22" t="s">
        <v>1306</v>
      </c>
      <c r="P7195" s="114">
        <v>5500</v>
      </c>
      <c r="Q7195" s="531">
        <v>4</v>
      </c>
      <c r="R7195" s="114">
        <f t="shared" si="204"/>
        <v>22000</v>
      </c>
      <c r="S7195" s="47">
        <v>202304</v>
      </c>
      <c r="T7195" s="532" t="s">
        <v>9569</v>
      </c>
      <c r="U7195" s="522"/>
      <c r="V7195" s="537"/>
      <c r="W7195" s="537"/>
      <c r="X7195" s="50">
        <v>44927</v>
      </c>
      <c r="Y7195" s="50">
        <v>45107</v>
      </c>
    </row>
    <row r="7196" s="5" customFormat="1" customHeight="1" spans="1:25">
      <c r="A7196" s="22" t="s">
        <v>444</v>
      </c>
      <c r="B7196" s="22" t="s">
        <v>9337</v>
      </c>
      <c r="C7196" s="22" t="s">
        <v>1987</v>
      </c>
      <c r="D7196" s="22" t="s">
        <v>951</v>
      </c>
      <c r="E7196" s="46" t="s">
        <v>9555</v>
      </c>
      <c r="F7196" s="22" t="s">
        <v>9556</v>
      </c>
      <c r="G7196" s="22" t="s">
        <v>88</v>
      </c>
      <c r="H7196" s="22" t="s">
        <v>9557</v>
      </c>
      <c r="I7196" s="46" t="e">
        <f>VLOOKUP(H7196,'合同高级查询数据-4月返'!A:A,1,FALSE)</f>
        <v>#N/A</v>
      </c>
      <c r="J7196" s="22" t="s">
        <v>162</v>
      </c>
      <c r="K7196" s="22" t="s">
        <v>9562</v>
      </c>
      <c r="L7196" s="511" t="s">
        <v>9563</v>
      </c>
      <c r="M7196" s="22" t="s">
        <v>9559</v>
      </c>
      <c r="N7196" s="50">
        <v>44228</v>
      </c>
      <c r="O7196" s="22" t="s">
        <v>1306</v>
      </c>
      <c r="P7196" s="114">
        <v>5500</v>
      </c>
      <c r="Q7196" s="531">
        <v>2</v>
      </c>
      <c r="R7196" s="114">
        <f t="shared" si="204"/>
        <v>11000</v>
      </c>
      <c r="S7196" s="47">
        <v>202304</v>
      </c>
      <c r="T7196" s="532" t="s">
        <v>9570</v>
      </c>
      <c r="U7196" s="522"/>
      <c r="V7196" s="537"/>
      <c r="W7196" s="537"/>
      <c r="X7196" s="50">
        <v>44927</v>
      </c>
      <c r="Y7196" s="50">
        <v>45107</v>
      </c>
    </row>
    <row r="7197" s="5" customFormat="1" customHeight="1" spans="1:25">
      <c r="A7197" s="22" t="s">
        <v>444</v>
      </c>
      <c r="B7197" s="22" t="s">
        <v>9337</v>
      </c>
      <c r="C7197" s="22" t="s">
        <v>1987</v>
      </c>
      <c r="D7197" s="22" t="s">
        <v>951</v>
      </c>
      <c r="E7197" s="46" t="s">
        <v>9555</v>
      </c>
      <c r="F7197" s="22" t="s">
        <v>9556</v>
      </c>
      <c r="G7197" s="22" t="s">
        <v>88</v>
      </c>
      <c r="H7197" s="22" t="s">
        <v>9557</v>
      </c>
      <c r="I7197" s="46" t="e">
        <f>VLOOKUP(H7197,'合同高级查询数据-4月返'!A:A,1,FALSE)</f>
        <v>#N/A</v>
      </c>
      <c r="J7197" s="22" t="s">
        <v>162</v>
      </c>
      <c r="K7197" s="22" t="s">
        <v>9562</v>
      </c>
      <c r="L7197" s="511" t="s">
        <v>9563</v>
      </c>
      <c r="M7197" s="22" t="s">
        <v>9559</v>
      </c>
      <c r="N7197" s="50">
        <v>44773</v>
      </c>
      <c r="O7197" s="22" t="s">
        <v>1306</v>
      </c>
      <c r="P7197" s="114">
        <v>5500</v>
      </c>
      <c r="Q7197" s="531">
        <v>-3</v>
      </c>
      <c r="R7197" s="114">
        <f t="shared" si="204"/>
        <v>-16500</v>
      </c>
      <c r="S7197" s="47">
        <v>202304</v>
      </c>
      <c r="T7197" s="532" t="s">
        <v>9571</v>
      </c>
      <c r="U7197" s="522"/>
      <c r="V7197" s="537"/>
      <c r="W7197" s="537"/>
      <c r="X7197" s="50">
        <v>44927</v>
      </c>
      <c r="Y7197" s="50">
        <v>45107</v>
      </c>
    </row>
    <row r="7198" s="5" customFormat="1" customHeight="1" spans="1:25">
      <c r="A7198" s="22" t="s">
        <v>444</v>
      </c>
      <c r="B7198" s="22" t="s">
        <v>9337</v>
      </c>
      <c r="C7198" s="22" t="s">
        <v>1987</v>
      </c>
      <c r="D7198" s="22" t="s">
        <v>951</v>
      </c>
      <c r="E7198" s="46" t="s">
        <v>9555</v>
      </c>
      <c r="F7198" s="22" t="s">
        <v>9556</v>
      </c>
      <c r="G7198" s="22" t="s">
        <v>88</v>
      </c>
      <c r="H7198" s="22" t="s">
        <v>9557</v>
      </c>
      <c r="I7198" s="46" t="e">
        <f>VLOOKUP(H7198,'合同高级查询数据-4月返'!A:A,1,FALSE)</f>
        <v>#N/A</v>
      </c>
      <c r="J7198" s="22" t="s">
        <v>162</v>
      </c>
      <c r="K7198" s="22" t="s">
        <v>9562</v>
      </c>
      <c r="L7198" s="511" t="s">
        <v>9563</v>
      </c>
      <c r="M7198" s="22" t="s">
        <v>9559</v>
      </c>
      <c r="N7198" s="50">
        <v>45023</v>
      </c>
      <c r="O7198" s="22" t="s">
        <v>1306</v>
      </c>
      <c r="P7198" s="114">
        <v>5500</v>
      </c>
      <c r="Q7198" s="531">
        <v>-2</v>
      </c>
      <c r="R7198" s="114">
        <f>ROUND(P7198*Q7198*23/30,2)</f>
        <v>-8433.33</v>
      </c>
      <c r="S7198" s="47">
        <v>202304</v>
      </c>
      <c r="T7198" s="544" t="s">
        <v>9572</v>
      </c>
      <c r="U7198" s="522"/>
      <c r="V7198" s="537"/>
      <c r="W7198" s="537"/>
      <c r="X7198" s="50">
        <v>44927</v>
      </c>
      <c r="Y7198" s="471">
        <v>45107</v>
      </c>
    </row>
    <row r="7199" s="5" customFormat="1" customHeight="1" spans="1:25">
      <c r="A7199" s="22" t="s">
        <v>444</v>
      </c>
      <c r="B7199" s="22" t="s">
        <v>9337</v>
      </c>
      <c r="C7199" s="22" t="s">
        <v>1987</v>
      </c>
      <c r="D7199" s="22" t="s">
        <v>951</v>
      </c>
      <c r="E7199" s="46" t="s">
        <v>9573</v>
      </c>
      <c r="F7199" s="22" t="s">
        <v>9574</v>
      </c>
      <c r="G7199" s="22" t="s">
        <v>31</v>
      </c>
      <c r="H7199" s="22" t="s">
        <v>9575</v>
      </c>
      <c r="I7199" s="46" t="e">
        <f>VLOOKUP(H7199,'合同高级查询数据-4月返'!A:A,1,FALSE)</f>
        <v>#N/A</v>
      </c>
      <c r="J7199" s="22" t="s">
        <v>33</v>
      </c>
      <c r="K7199" s="22" t="s">
        <v>8753</v>
      </c>
      <c r="L7199" s="511" t="s">
        <v>9576</v>
      </c>
      <c r="M7199" s="22" t="s">
        <v>9577</v>
      </c>
      <c r="N7199" s="50">
        <v>43218</v>
      </c>
      <c r="O7199" s="22" t="s">
        <v>37</v>
      </c>
      <c r="P7199" s="114">
        <v>0</v>
      </c>
      <c r="Q7199" s="486">
        <v>288</v>
      </c>
      <c r="R7199" s="114">
        <f t="shared" ref="R7199:R7262" si="205">ROUND(P7199*Q7199,2)</f>
        <v>0</v>
      </c>
      <c r="S7199" s="47">
        <v>202304</v>
      </c>
      <c r="T7199" s="532" t="s">
        <v>9578</v>
      </c>
      <c r="U7199" s="522"/>
      <c r="V7199" s="537"/>
      <c r="W7199" s="537"/>
      <c r="X7199" s="50">
        <v>44197</v>
      </c>
      <c r="Y7199" s="50">
        <v>44926</v>
      </c>
    </row>
    <row r="7200" s="5" customFormat="1" customHeight="1" spans="1:25">
      <c r="A7200" s="22" t="s">
        <v>444</v>
      </c>
      <c r="B7200" s="22" t="s">
        <v>9337</v>
      </c>
      <c r="C7200" s="22" t="s">
        <v>1987</v>
      </c>
      <c r="D7200" s="22" t="s">
        <v>951</v>
      </c>
      <c r="E7200" s="46" t="s">
        <v>9573</v>
      </c>
      <c r="F7200" s="22" t="s">
        <v>9574</v>
      </c>
      <c r="G7200" s="22" t="s">
        <v>31</v>
      </c>
      <c r="H7200" s="22" t="s">
        <v>9575</v>
      </c>
      <c r="I7200" s="46" t="e">
        <f>VLOOKUP(H7200,'合同高级查询数据-4月返'!A:A,1,FALSE)</f>
        <v>#N/A</v>
      </c>
      <c r="J7200" s="22" t="s">
        <v>33</v>
      </c>
      <c r="K7200" s="22" t="s">
        <v>8753</v>
      </c>
      <c r="L7200" s="511" t="s">
        <v>9576</v>
      </c>
      <c r="M7200" s="22" t="s">
        <v>9577</v>
      </c>
      <c r="N7200" s="50">
        <v>43218</v>
      </c>
      <c r="O7200" s="22" t="s">
        <v>37</v>
      </c>
      <c r="P7200" s="114">
        <v>0</v>
      </c>
      <c r="Q7200" s="486">
        <v>-288</v>
      </c>
      <c r="R7200" s="114">
        <f t="shared" si="205"/>
        <v>0</v>
      </c>
      <c r="S7200" s="47">
        <v>202304</v>
      </c>
      <c r="T7200" s="532" t="s">
        <v>9579</v>
      </c>
      <c r="U7200" s="522"/>
      <c r="V7200" s="537"/>
      <c r="W7200" s="537"/>
      <c r="X7200" s="50">
        <v>44197</v>
      </c>
      <c r="Y7200" s="50">
        <v>44926</v>
      </c>
    </row>
    <row r="7201" s="5" customFormat="1" customHeight="1" spans="1:25">
      <c r="A7201" s="22" t="s">
        <v>444</v>
      </c>
      <c r="B7201" s="22" t="s">
        <v>9337</v>
      </c>
      <c r="C7201" s="22" t="s">
        <v>1987</v>
      </c>
      <c r="D7201" s="22" t="s">
        <v>951</v>
      </c>
      <c r="E7201" s="46" t="s">
        <v>9573</v>
      </c>
      <c r="F7201" s="22" t="s">
        <v>9574</v>
      </c>
      <c r="G7201" s="22" t="s">
        <v>88</v>
      </c>
      <c r="H7201" s="22" t="s">
        <v>9575</v>
      </c>
      <c r="I7201" s="46" t="e">
        <f>VLOOKUP(H7201,'合同高级查询数据-4月返'!A:A,1,FALSE)</f>
        <v>#N/A</v>
      </c>
      <c r="J7201" s="22" t="s">
        <v>162</v>
      </c>
      <c r="K7201" s="22" t="s">
        <v>8753</v>
      </c>
      <c r="L7201" s="511" t="s">
        <v>9576</v>
      </c>
      <c r="M7201" s="22" t="s">
        <v>9577</v>
      </c>
      <c r="N7201" s="50">
        <v>43218</v>
      </c>
      <c r="O7201" s="22" t="s">
        <v>163</v>
      </c>
      <c r="P7201" s="114">
        <v>5000</v>
      </c>
      <c r="Q7201" s="531">
        <v>4</v>
      </c>
      <c r="R7201" s="114">
        <f t="shared" si="205"/>
        <v>20000</v>
      </c>
      <c r="S7201" s="47">
        <v>202304</v>
      </c>
      <c r="T7201" s="532" t="s">
        <v>9580</v>
      </c>
      <c r="U7201" s="522"/>
      <c r="V7201" s="537"/>
      <c r="W7201" s="537"/>
      <c r="X7201" s="50">
        <v>44197</v>
      </c>
      <c r="Y7201" s="50">
        <v>44926</v>
      </c>
    </row>
    <row r="7202" s="5" customFormat="1" customHeight="1" spans="1:25">
      <c r="A7202" s="22" t="s">
        <v>444</v>
      </c>
      <c r="B7202" s="22" t="s">
        <v>9337</v>
      </c>
      <c r="C7202" s="22" t="s">
        <v>1987</v>
      </c>
      <c r="D7202" s="22" t="s">
        <v>951</v>
      </c>
      <c r="E7202" s="46" t="s">
        <v>9573</v>
      </c>
      <c r="F7202" s="22" t="s">
        <v>9574</v>
      </c>
      <c r="G7202" s="22" t="s">
        <v>88</v>
      </c>
      <c r="H7202" s="22" t="s">
        <v>9575</v>
      </c>
      <c r="I7202" s="46" t="e">
        <f>VLOOKUP(H7202,'合同高级查询数据-4月返'!A:A,1,FALSE)</f>
        <v>#N/A</v>
      </c>
      <c r="J7202" s="22" t="s">
        <v>162</v>
      </c>
      <c r="K7202" s="22" t="s">
        <v>8753</v>
      </c>
      <c r="L7202" s="511" t="s">
        <v>9576</v>
      </c>
      <c r="M7202" s="22" t="s">
        <v>9577</v>
      </c>
      <c r="N7202" s="50">
        <v>43962</v>
      </c>
      <c r="O7202" s="22" t="s">
        <v>163</v>
      </c>
      <c r="P7202" s="114">
        <v>5000</v>
      </c>
      <c r="Q7202" s="531">
        <v>2</v>
      </c>
      <c r="R7202" s="114">
        <f t="shared" si="205"/>
        <v>10000</v>
      </c>
      <c r="S7202" s="47">
        <v>202304</v>
      </c>
      <c r="T7202" s="532" t="s">
        <v>9581</v>
      </c>
      <c r="U7202" s="522"/>
      <c r="V7202" s="537"/>
      <c r="W7202" s="537"/>
      <c r="X7202" s="50">
        <v>44197</v>
      </c>
      <c r="Y7202" s="50">
        <v>44926</v>
      </c>
    </row>
    <row r="7203" s="5" customFormat="1" customHeight="1" spans="1:25">
      <c r="A7203" s="22" t="s">
        <v>444</v>
      </c>
      <c r="B7203" s="22" t="s">
        <v>9337</v>
      </c>
      <c r="C7203" s="22" t="s">
        <v>1987</v>
      </c>
      <c r="D7203" s="22" t="s">
        <v>951</v>
      </c>
      <c r="E7203" s="46" t="s">
        <v>9573</v>
      </c>
      <c r="F7203" s="22" t="s">
        <v>9574</v>
      </c>
      <c r="G7203" s="22" t="s">
        <v>88</v>
      </c>
      <c r="H7203" s="22" t="s">
        <v>9575</v>
      </c>
      <c r="I7203" s="46" t="e">
        <f>VLOOKUP(H7203,'合同高级查询数据-4月返'!A:A,1,FALSE)</f>
        <v>#N/A</v>
      </c>
      <c r="J7203" s="22" t="s">
        <v>162</v>
      </c>
      <c r="K7203" s="22" t="s">
        <v>8753</v>
      </c>
      <c r="L7203" s="511" t="s">
        <v>9576</v>
      </c>
      <c r="M7203" s="22" t="s">
        <v>9577</v>
      </c>
      <c r="N7203" s="50">
        <v>44773</v>
      </c>
      <c r="O7203" s="22" t="s">
        <v>163</v>
      </c>
      <c r="P7203" s="114">
        <v>5000</v>
      </c>
      <c r="Q7203" s="531">
        <v>-6</v>
      </c>
      <c r="R7203" s="114">
        <f t="shared" si="205"/>
        <v>-30000</v>
      </c>
      <c r="S7203" s="47">
        <v>202304</v>
      </c>
      <c r="T7203" s="532" t="s">
        <v>9582</v>
      </c>
      <c r="U7203" s="522"/>
      <c r="V7203" s="537"/>
      <c r="W7203" s="537"/>
      <c r="X7203" s="50">
        <v>44197</v>
      </c>
      <c r="Y7203" s="50">
        <v>44926</v>
      </c>
    </row>
    <row r="7204" s="5" customFormat="1" customHeight="1" spans="1:25">
      <c r="A7204" s="22" t="s">
        <v>444</v>
      </c>
      <c r="B7204" s="22" t="s">
        <v>9337</v>
      </c>
      <c r="C7204" s="22" t="s">
        <v>44</v>
      </c>
      <c r="D7204" s="22" t="s">
        <v>642</v>
      </c>
      <c r="E7204" s="46" t="s">
        <v>9583</v>
      </c>
      <c r="F7204" s="22" t="s">
        <v>9584</v>
      </c>
      <c r="G7204" s="22" t="s">
        <v>31</v>
      </c>
      <c r="H7204" s="22" t="s">
        <v>9585</v>
      </c>
      <c r="I7204" s="46" t="str">
        <f>VLOOKUP(H7204,'合同高级查询数据-4月返'!A:A,1,FALSE)</f>
        <v>182315IDC00117</v>
      </c>
      <c r="J7204" s="22" t="s">
        <v>33</v>
      </c>
      <c r="K7204" s="22" t="s">
        <v>8643</v>
      </c>
      <c r="L7204" s="511" t="s">
        <v>9584</v>
      </c>
      <c r="M7204" s="22" t="s">
        <v>9586</v>
      </c>
      <c r="N7204" s="50">
        <v>42736</v>
      </c>
      <c r="O7204" s="22" t="s">
        <v>37</v>
      </c>
      <c r="P7204" s="114">
        <v>0</v>
      </c>
      <c r="Q7204" s="486">
        <v>352</v>
      </c>
      <c r="R7204" s="114">
        <f t="shared" si="205"/>
        <v>0</v>
      </c>
      <c r="S7204" s="47">
        <v>202304</v>
      </c>
      <c r="T7204" s="532" t="s">
        <v>9587</v>
      </c>
      <c r="U7204" s="522"/>
      <c r="V7204" s="537"/>
      <c r="W7204" s="537"/>
      <c r="X7204" s="50">
        <v>44927</v>
      </c>
      <c r="Y7204" s="471">
        <v>45107</v>
      </c>
    </row>
    <row r="7205" s="5" customFormat="1" customHeight="1" spans="1:25">
      <c r="A7205" s="22" t="s">
        <v>444</v>
      </c>
      <c r="B7205" s="22" t="s">
        <v>9337</v>
      </c>
      <c r="C7205" s="22" t="s">
        <v>44</v>
      </c>
      <c r="D7205" s="22" t="s">
        <v>642</v>
      </c>
      <c r="E7205" s="46" t="s">
        <v>9583</v>
      </c>
      <c r="F7205" s="22" t="s">
        <v>9584</v>
      </c>
      <c r="G7205" s="22" t="s">
        <v>31</v>
      </c>
      <c r="H7205" s="22" t="s">
        <v>9585</v>
      </c>
      <c r="I7205" s="46" t="str">
        <f>VLOOKUP(H7205,'合同高级查询数据-4月返'!A:A,1,FALSE)</f>
        <v>182315IDC00117</v>
      </c>
      <c r="J7205" s="22" t="s">
        <v>33</v>
      </c>
      <c r="K7205" s="22" t="s">
        <v>8643</v>
      </c>
      <c r="L7205" s="511" t="s">
        <v>9584</v>
      </c>
      <c r="M7205" s="22" t="s">
        <v>9586</v>
      </c>
      <c r="N7205" s="50">
        <v>42736</v>
      </c>
      <c r="O7205" s="22" t="s">
        <v>37</v>
      </c>
      <c r="P7205" s="114">
        <v>50</v>
      </c>
      <c r="Q7205" s="486">
        <f>384-352</f>
        <v>32</v>
      </c>
      <c r="R7205" s="114">
        <f t="shared" si="205"/>
        <v>1600</v>
      </c>
      <c r="S7205" s="47">
        <v>202304</v>
      </c>
      <c r="T7205" s="532" t="s">
        <v>9588</v>
      </c>
      <c r="U7205" s="522"/>
      <c r="V7205" s="537"/>
      <c r="W7205" s="537"/>
      <c r="X7205" s="50">
        <v>44927</v>
      </c>
      <c r="Y7205" s="471">
        <v>45107</v>
      </c>
    </row>
    <row r="7206" s="5" customFormat="1" customHeight="1" spans="1:25">
      <c r="A7206" s="22" t="s">
        <v>444</v>
      </c>
      <c r="B7206" s="22" t="s">
        <v>9337</v>
      </c>
      <c r="C7206" s="22" t="s">
        <v>44</v>
      </c>
      <c r="D7206" s="22" t="s">
        <v>642</v>
      </c>
      <c r="E7206" s="46" t="s">
        <v>9583</v>
      </c>
      <c r="F7206" s="22" t="s">
        <v>9584</v>
      </c>
      <c r="G7206" s="22" t="s">
        <v>31</v>
      </c>
      <c r="H7206" s="22" t="s">
        <v>9585</v>
      </c>
      <c r="I7206" s="46" t="str">
        <f>VLOOKUP(H7206,'合同高级查询数据-4月返'!A:A,1,FALSE)</f>
        <v>182315IDC00117</v>
      </c>
      <c r="J7206" s="22" t="s">
        <v>33</v>
      </c>
      <c r="K7206" s="511" t="s">
        <v>9584</v>
      </c>
      <c r="L7206" s="511" t="s">
        <v>9584</v>
      </c>
      <c r="M7206" s="22" t="s">
        <v>9586</v>
      </c>
      <c r="N7206" s="50">
        <v>44317</v>
      </c>
      <c r="O7206" s="22" t="s">
        <v>37</v>
      </c>
      <c r="P7206" s="114">
        <v>50</v>
      </c>
      <c r="Q7206" s="486">
        <v>128</v>
      </c>
      <c r="R7206" s="114">
        <f t="shared" si="205"/>
        <v>6400</v>
      </c>
      <c r="S7206" s="47">
        <v>202304</v>
      </c>
      <c r="T7206" s="532" t="s">
        <v>9589</v>
      </c>
      <c r="U7206" s="522"/>
      <c r="V7206" s="537"/>
      <c r="W7206" s="537"/>
      <c r="X7206" s="50">
        <v>44927</v>
      </c>
      <c r="Y7206" s="471">
        <v>45107</v>
      </c>
    </row>
    <row r="7207" s="5" customFormat="1" customHeight="1" spans="1:25">
      <c r="A7207" s="22" t="s">
        <v>444</v>
      </c>
      <c r="B7207" s="22" t="s">
        <v>9337</v>
      </c>
      <c r="C7207" s="22" t="s">
        <v>44</v>
      </c>
      <c r="D7207" s="22" t="s">
        <v>642</v>
      </c>
      <c r="E7207" s="46" t="s">
        <v>9583</v>
      </c>
      <c r="F7207" s="22" t="s">
        <v>9584</v>
      </c>
      <c r="G7207" s="22" t="s">
        <v>31</v>
      </c>
      <c r="H7207" s="22" t="s">
        <v>9585</v>
      </c>
      <c r="I7207" s="46" t="str">
        <f>VLOOKUP(H7207,'合同高级查询数据-4月返'!A:A,1,FALSE)</f>
        <v>182315IDC00117</v>
      </c>
      <c r="J7207" s="22" t="s">
        <v>33</v>
      </c>
      <c r="K7207" s="511" t="s">
        <v>9584</v>
      </c>
      <c r="L7207" s="511" t="s">
        <v>9584</v>
      </c>
      <c r="M7207" s="22" t="s">
        <v>9586</v>
      </c>
      <c r="N7207" s="50">
        <v>44440</v>
      </c>
      <c r="O7207" s="22" t="s">
        <v>37</v>
      </c>
      <c r="P7207" s="114">
        <v>50</v>
      </c>
      <c r="Q7207" s="486">
        <v>128</v>
      </c>
      <c r="R7207" s="114">
        <f t="shared" si="205"/>
        <v>6400</v>
      </c>
      <c r="S7207" s="47">
        <v>202304</v>
      </c>
      <c r="T7207" s="532" t="s">
        <v>9590</v>
      </c>
      <c r="U7207" s="522"/>
      <c r="V7207" s="537"/>
      <c r="W7207" s="537"/>
      <c r="X7207" s="50">
        <v>44927</v>
      </c>
      <c r="Y7207" s="471">
        <v>45107</v>
      </c>
    </row>
    <row r="7208" s="5" customFormat="1" customHeight="1" spans="1:25">
      <c r="A7208" s="22" t="s">
        <v>444</v>
      </c>
      <c r="B7208" s="22" t="s">
        <v>9337</v>
      </c>
      <c r="C7208" s="22" t="s">
        <v>44</v>
      </c>
      <c r="D7208" s="22" t="s">
        <v>642</v>
      </c>
      <c r="E7208" s="46" t="s">
        <v>9583</v>
      </c>
      <c r="F7208" s="22" t="s">
        <v>9584</v>
      </c>
      <c r="G7208" s="22" t="s">
        <v>88</v>
      </c>
      <c r="H7208" s="22" t="s">
        <v>9585</v>
      </c>
      <c r="I7208" s="46" t="str">
        <f>VLOOKUP(H7208,'合同高级查询数据-4月返'!A:A,1,FALSE)</f>
        <v>182315IDC00117</v>
      </c>
      <c r="J7208" s="22" t="s">
        <v>162</v>
      </c>
      <c r="K7208" s="22" t="s">
        <v>8643</v>
      </c>
      <c r="L7208" s="511" t="s">
        <v>9584</v>
      </c>
      <c r="M7208" s="22" t="s">
        <v>9586</v>
      </c>
      <c r="N7208" s="50">
        <v>42736</v>
      </c>
      <c r="O7208" s="22" t="s">
        <v>92</v>
      </c>
      <c r="P7208" s="114">
        <v>4300</v>
      </c>
      <c r="Q7208" s="531">
        <v>4</v>
      </c>
      <c r="R7208" s="114">
        <f t="shared" si="205"/>
        <v>17200</v>
      </c>
      <c r="S7208" s="47">
        <v>202304</v>
      </c>
      <c r="T7208" s="532" t="s">
        <v>9591</v>
      </c>
      <c r="U7208" s="522"/>
      <c r="V7208" s="537"/>
      <c r="W7208" s="537"/>
      <c r="X7208" s="50">
        <v>44927</v>
      </c>
      <c r="Y7208" s="471">
        <v>45107</v>
      </c>
    </row>
    <row r="7209" s="5" customFormat="1" customHeight="1" spans="1:25">
      <c r="A7209" s="22" t="s">
        <v>444</v>
      </c>
      <c r="B7209" s="22" t="s">
        <v>9337</v>
      </c>
      <c r="C7209" s="22" t="s">
        <v>44</v>
      </c>
      <c r="D7209" s="22" t="s">
        <v>642</v>
      </c>
      <c r="E7209" s="46" t="s">
        <v>9583</v>
      </c>
      <c r="F7209" s="22" t="s">
        <v>9584</v>
      </c>
      <c r="G7209" s="22" t="s">
        <v>88</v>
      </c>
      <c r="H7209" s="22" t="s">
        <v>9585</v>
      </c>
      <c r="I7209" s="46" t="str">
        <f>VLOOKUP(H7209,'合同高级查询数据-4月返'!A:A,1,FALSE)</f>
        <v>182315IDC00117</v>
      </c>
      <c r="J7209" s="22" t="s">
        <v>162</v>
      </c>
      <c r="K7209" s="22" t="s">
        <v>8643</v>
      </c>
      <c r="L7209" s="511" t="s">
        <v>9584</v>
      </c>
      <c r="M7209" s="22" t="s">
        <v>9586</v>
      </c>
      <c r="N7209" s="50">
        <v>43809</v>
      </c>
      <c r="O7209" s="22" t="s">
        <v>92</v>
      </c>
      <c r="P7209" s="114">
        <v>4300</v>
      </c>
      <c r="Q7209" s="531">
        <v>2</v>
      </c>
      <c r="R7209" s="114">
        <f t="shared" si="205"/>
        <v>8600</v>
      </c>
      <c r="S7209" s="47">
        <v>202304</v>
      </c>
      <c r="T7209" s="532" t="s">
        <v>9592</v>
      </c>
      <c r="U7209" s="522"/>
      <c r="V7209" s="537"/>
      <c r="W7209" s="537"/>
      <c r="X7209" s="50">
        <v>44927</v>
      </c>
      <c r="Y7209" s="471">
        <v>45107</v>
      </c>
    </row>
    <row r="7210" s="5" customFormat="1" customHeight="1" spans="1:25">
      <c r="A7210" s="22" t="s">
        <v>444</v>
      </c>
      <c r="B7210" s="22" t="s">
        <v>9337</v>
      </c>
      <c r="C7210" s="22" t="s">
        <v>44</v>
      </c>
      <c r="D7210" s="22" t="s">
        <v>642</v>
      </c>
      <c r="E7210" s="46" t="s">
        <v>9583</v>
      </c>
      <c r="F7210" s="22" t="s">
        <v>9584</v>
      </c>
      <c r="G7210" s="22" t="s">
        <v>88</v>
      </c>
      <c r="H7210" s="22" t="s">
        <v>9585</v>
      </c>
      <c r="I7210" s="46" t="str">
        <f>VLOOKUP(H7210,'合同高级查询数据-4月返'!A:A,1,FALSE)</f>
        <v>182315IDC00117</v>
      </c>
      <c r="J7210" s="22" t="s">
        <v>162</v>
      </c>
      <c r="K7210" s="511" t="s">
        <v>9584</v>
      </c>
      <c r="L7210" s="511" t="s">
        <v>9584</v>
      </c>
      <c r="M7210" s="22" t="s">
        <v>9586</v>
      </c>
      <c r="N7210" s="50">
        <v>44317</v>
      </c>
      <c r="O7210" s="22" t="s">
        <v>92</v>
      </c>
      <c r="P7210" s="114">
        <v>4300</v>
      </c>
      <c r="Q7210" s="531">
        <v>1</v>
      </c>
      <c r="R7210" s="114">
        <f t="shared" si="205"/>
        <v>4300</v>
      </c>
      <c r="S7210" s="47">
        <v>202304</v>
      </c>
      <c r="T7210" s="532" t="s">
        <v>9593</v>
      </c>
      <c r="U7210" s="522"/>
      <c r="V7210" s="537"/>
      <c r="W7210" s="537"/>
      <c r="X7210" s="50">
        <v>44927</v>
      </c>
      <c r="Y7210" s="471">
        <v>45107</v>
      </c>
    </row>
    <row r="7211" s="5" customFormat="1" customHeight="1" spans="1:25">
      <c r="A7211" s="22" t="s">
        <v>444</v>
      </c>
      <c r="B7211" s="22" t="s">
        <v>9337</v>
      </c>
      <c r="C7211" s="22" t="s">
        <v>44</v>
      </c>
      <c r="D7211" s="22" t="s">
        <v>642</v>
      </c>
      <c r="E7211" s="46" t="s">
        <v>9583</v>
      </c>
      <c r="F7211" s="22" t="s">
        <v>9584</v>
      </c>
      <c r="G7211" s="22" t="s">
        <v>88</v>
      </c>
      <c r="H7211" s="22" t="s">
        <v>9585</v>
      </c>
      <c r="I7211" s="46" t="str">
        <f>VLOOKUP(H7211,'合同高级查询数据-4月返'!A:A,1,FALSE)</f>
        <v>182315IDC00117</v>
      </c>
      <c r="J7211" s="22" t="s">
        <v>162</v>
      </c>
      <c r="K7211" s="511" t="s">
        <v>9584</v>
      </c>
      <c r="L7211" s="511" t="s">
        <v>9584</v>
      </c>
      <c r="M7211" s="22" t="s">
        <v>9586</v>
      </c>
      <c r="N7211" s="50">
        <v>44440</v>
      </c>
      <c r="O7211" s="22" t="s">
        <v>92</v>
      </c>
      <c r="P7211" s="114">
        <v>4300</v>
      </c>
      <c r="Q7211" s="531">
        <v>2</v>
      </c>
      <c r="R7211" s="114">
        <f t="shared" si="205"/>
        <v>8600</v>
      </c>
      <c r="S7211" s="47">
        <v>202304</v>
      </c>
      <c r="T7211" s="532" t="s">
        <v>9594</v>
      </c>
      <c r="U7211" s="522"/>
      <c r="V7211" s="537"/>
      <c r="W7211" s="537"/>
      <c r="X7211" s="50">
        <v>44927</v>
      </c>
      <c r="Y7211" s="471">
        <v>45107</v>
      </c>
    </row>
    <row r="7212" s="5" customFormat="1" customHeight="1" spans="1:25">
      <c r="A7212" s="22" t="s">
        <v>444</v>
      </c>
      <c r="B7212" s="98" t="s">
        <v>9337</v>
      </c>
      <c r="C7212" s="22" t="s">
        <v>44</v>
      </c>
      <c r="D7212" s="22" t="s">
        <v>642</v>
      </c>
      <c r="E7212" s="46" t="s">
        <v>9583</v>
      </c>
      <c r="F7212" s="22" t="s">
        <v>9584</v>
      </c>
      <c r="G7212" s="107" t="s">
        <v>31</v>
      </c>
      <c r="H7212" s="22" t="s">
        <v>9585</v>
      </c>
      <c r="I7212" s="46" t="str">
        <f>VLOOKUP(H7212,'合同高级查询数据-4月返'!A:A,1,FALSE)</f>
        <v>182315IDC00117</v>
      </c>
      <c r="J7212" s="178" t="s">
        <v>33</v>
      </c>
      <c r="K7212" s="107" t="s">
        <v>8643</v>
      </c>
      <c r="L7212" s="179" t="s">
        <v>9595</v>
      </c>
      <c r="M7212" s="49" t="s">
        <v>9596</v>
      </c>
      <c r="N7212" s="73">
        <v>44868</v>
      </c>
      <c r="O7212" s="107" t="s">
        <v>37</v>
      </c>
      <c r="P7212" s="543"/>
      <c r="Q7212" s="70">
        <v>640</v>
      </c>
      <c r="R7212" s="114">
        <f t="shared" si="205"/>
        <v>0</v>
      </c>
      <c r="S7212" s="47">
        <v>202304</v>
      </c>
      <c r="T7212" s="119" t="s">
        <v>9597</v>
      </c>
      <c r="U7212" s="106"/>
      <c r="V7212" s="120"/>
      <c r="W7212" s="120"/>
      <c r="X7212" s="50">
        <v>44927</v>
      </c>
      <c r="Y7212" s="471">
        <v>45107</v>
      </c>
    </row>
    <row r="7213" s="5" customFormat="1" customHeight="1" spans="1:25">
      <c r="A7213" s="22" t="s">
        <v>444</v>
      </c>
      <c r="B7213" s="98" t="s">
        <v>9337</v>
      </c>
      <c r="C7213" s="22" t="s">
        <v>44</v>
      </c>
      <c r="D7213" s="22" t="s">
        <v>642</v>
      </c>
      <c r="E7213" s="46" t="s">
        <v>9583</v>
      </c>
      <c r="F7213" s="22" t="s">
        <v>9584</v>
      </c>
      <c r="G7213" s="107" t="s">
        <v>31</v>
      </c>
      <c r="H7213" s="22" t="s">
        <v>9585</v>
      </c>
      <c r="I7213" s="46" t="str">
        <f>VLOOKUP(H7213,'合同高级查询数据-4月返'!A:A,1,FALSE)</f>
        <v>182315IDC00117</v>
      </c>
      <c r="J7213" s="178" t="s">
        <v>33</v>
      </c>
      <c r="K7213" s="107" t="s">
        <v>8643</v>
      </c>
      <c r="L7213" s="179" t="s">
        <v>9595</v>
      </c>
      <c r="M7213" s="49" t="s">
        <v>9596</v>
      </c>
      <c r="N7213" s="73">
        <v>44868</v>
      </c>
      <c r="O7213" s="107" t="s">
        <v>179</v>
      </c>
      <c r="P7213" s="543">
        <v>0</v>
      </c>
      <c r="Q7213" s="70">
        <v>0</v>
      </c>
      <c r="R7213" s="114">
        <f t="shared" si="205"/>
        <v>0</v>
      </c>
      <c r="S7213" s="47">
        <v>202304</v>
      </c>
      <c r="T7213" s="119" t="s">
        <v>9598</v>
      </c>
      <c r="U7213" s="106"/>
      <c r="V7213" s="120"/>
      <c r="W7213" s="120"/>
      <c r="X7213" s="50">
        <v>44927</v>
      </c>
      <c r="Y7213" s="471">
        <v>45107</v>
      </c>
    </row>
    <row r="7214" s="5" customFormat="1" customHeight="1" spans="1:25">
      <c r="A7214" s="22" t="s">
        <v>444</v>
      </c>
      <c r="B7214" s="98" t="s">
        <v>9337</v>
      </c>
      <c r="C7214" s="22" t="s">
        <v>44</v>
      </c>
      <c r="D7214" s="22" t="s">
        <v>642</v>
      </c>
      <c r="E7214" s="46" t="s">
        <v>9583</v>
      </c>
      <c r="F7214" s="22" t="s">
        <v>9584</v>
      </c>
      <c r="G7214" s="107" t="s">
        <v>88</v>
      </c>
      <c r="H7214" s="22" t="s">
        <v>9585</v>
      </c>
      <c r="I7214" s="46" t="str">
        <f>VLOOKUP(H7214,'合同高级查询数据-4月返'!A:A,1,FALSE)</f>
        <v>182315IDC00117</v>
      </c>
      <c r="J7214" s="178" t="s">
        <v>162</v>
      </c>
      <c r="K7214" s="107" t="s">
        <v>8643</v>
      </c>
      <c r="L7214" s="179" t="s">
        <v>9595</v>
      </c>
      <c r="M7214" s="49" t="s">
        <v>9596</v>
      </c>
      <c r="N7214" s="73">
        <v>44866</v>
      </c>
      <c r="O7214" s="107" t="s">
        <v>92</v>
      </c>
      <c r="P7214" s="543">
        <v>4300</v>
      </c>
      <c r="Q7214" s="543">
        <v>1</v>
      </c>
      <c r="R7214" s="114">
        <f t="shared" si="205"/>
        <v>4300</v>
      </c>
      <c r="S7214" s="47">
        <v>202304</v>
      </c>
      <c r="T7214" s="119" t="s">
        <v>9599</v>
      </c>
      <c r="U7214" s="106"/>
      <c r="V7214" s="120"/>
      <c r="W7214" s="120"/>
      <c r="X7214" s="50">
        <v>44927</v>
      </c>
      <c r="Y7214" s="471">
        <v>45107</v>
      </c>
    </row>
    <row r="7215" s="5" customFormat="1" customHeight="1" spans="1:25">
      <c r="A7215" s="22" t="s">
        <v>444</v>
      </c>
      <c r="B7215" s="22" t="s">
        <v>9337</v>
      </c>
      <c r="C7215" s="22" t="s">
        <v>44</v>
      </c>
      <c r="D7215" s="22" t="s">
        <v>642</v>
      </c>
      <c r="E7215" s="46" t="s">
        <v>9600</v>
      </c>
      <c r="F7215" s="22" t="s">
        <v>9601</v>
      </c>
      <c r="G7215" s="22" t="s">
        <v>31</v>
      </c>
      <c r="H7215" s="22" t="s">
        <v>9602</v>
      </c>
      <c r="I7215" s="46" t="e">
        <f>VLOOKUP(H7215,'合同高级查询数据-4月返'!A:A,1,FALSE)</f>
        <v>#N/A</v>
      </c>
      <c r="J7215" s="22" t="s">
        <v>33</v>
      </c>
      <c r="K7215" s="22" t="s">
        <v>9603</v>
      </c>
      <c r="L7215" s="511" t="s">
        <v>9601</v>
      </c>
      <c r="M7215" s="22" t="s">
        <v>9604</v>
      </c>
      <c r="N7215" s="50">
        <v>43831</v>
      </c>
      <c r="O7215" s="22" t="s">
        <v>37</v>
      </c>
      <c r="P7215" s="114">
        <v>0</v>
      </c>
      <c r="Q7215" s="486">
        <v>256</v>
      </c>
      <c r="R7215" s="114">
        <f t="shared" si="205"/>
        <v>0</v>
      </c>
      <c r="S7215" s="47">
        <v>202304</v>
      </c>
      <c r="T7215" s="532" t="s">
        <v>9605</v>
      </c>
      <c r="U7215" s="522"/>
      <c r="V7215" s="537"/>
      <c r="W7215" s="537"/>
      <c r="X7215" s="50">
        <v>44197</v>
      </c>
      <c r="Y7215" s="50">
        <v>44926</v>
      </c>
    </row>
    <row r="7216" s="5" customFormat="1" customHeight="1" spans="1:25">
      <c r="A7216" s="22" t="s">
        <v>444</v>
      </c>
      <c r="B7216" s="22" t="s">
        <v>9337</v>
      </c>
      <c r="C7216" s="22" t="s">
        <v>44</v>
      </c>
      <c r="D7216" s="22" t="s">
        <v>642</v>
      </c>
      <c r="E7216" s="46" t="s">
        <v>9600</v>
      </c>
      <c r="F7216" s="22" t="s">
        <v>9601</v>
      </c>
      <c r="G7216" s="22" t="s">
        <v>31</v>
      </c>
      <c r="H7216" s="22" t="s">
        <v>9602</v>
      </c>
      <c r="I7216" s="46" t="e">
        <f>VLOOKUP(H7216,'合同高级查询数据-4月返'!A:A,1,FALSE)</f>
        <v>#N/A</v>
      </c>
      <c r="J7216" s="22" t="s">
        <v>33</v>
      </c>
      <c r="K7216" s="22" t="s">
        <v>9603</v>
      </c>
      <c r="L7216" s="511" t="s">
        <v>9601</v>
      </c>
      <c r="M7216" s="22" t="s">
        <v>9604</v>
      </c>
      <c r="N7216" s="50">
        <v>43831</v>
      </c>
      <c r="O7216" s="22" t="s">
        <v>37</v>
      </c>
      <c r="P7216" s="114">
        <v>50</v>
      </c>
      <c r="Q7216" s="486">
        <v>128</v>
      </c>
      <c r="R7216" s="114">
        <f t="shared" si="205"/>
        <v>6400</v>
      </c>
      <c r="S7216" s="47">
        <v>202304</v>
      </c>
      <c r="T7216" s="532" t="s">
        <v>9605</v>
      </c>
      <c r="U7216" s="522"/>
      <c r="V7216" s="537"/>
      <c r="W7216" s="537"/>
      <c r="X7216" s="50">
        <v>44197</v>
      </c>
      <c r="Y7216" s="50">
        <v>44926</v>
      </c>
    </row>
    <row r="7217" s="5" customFormat="1" customHeight="1" spans="1:25">
      <c r="A7217" s="22" t="s">
        <v>444</v>
      </c>
      <c r="B7217" s="22" t="s">
        <v>9337</v>
      </c>
      <c r="C7217" s="22" t="s">
        <v>44</v>
      </c>
      <c r="D7217" s="22" t="s">
        <v>642</v>
      </c>
      <c r="E7217" s="46" t="s">
        <v>9600</v>
      </c>
      <c r="F7217" s="22" t="s">
        <v>9601</v>
      </c>
      <c r="G7217" s="22" t="s">
        <v>31</v>
      </c>
      <c r="H7217" s="22" t="s">
        <v>9602</v>
      </c>
      <c r="I7217" s="46" t="e">
        <f>VLOOKUP(H7217,'合同高级查询数据-4月返'!A:A,1,FALSE)</f>
        <v>#N/A</v>
      </c>
      <c r="J7217" s="22" t="s">
        <v>33</v>
      </c>
      <c r="K7217" s="22" t="s">
        <v>9603</v>
      </c>
      <c r="L7217" s="511" t="s">
        <v>9601</v>
      </c>
      <c r="M7217" s="22" t="s">
        <v>9604</v>
      </c>
      <c r="N7217" s="50">
        <v>44712</v>
      </c>
      <c r="O7217" s="22" t="s">
        <v>37</v>
      </c>
      <c r="P7217" s="114">
        <v>0</v>
      </c>
      <c r="Q7217" s="486">
        <v>-256</v>
      </c>
      <c r="R7217" s="114">
        <f t="shared" si="205"/>
        <v>0</v>
      </c>
      <c r="S7217" s="47">
        <v>202304</v>
      </c>
      <c r="T7217" s="532" t="s">
        <v>9606</v>
      </c>
      <c r="U7217" s="522"/>
      <c r="V7217" s="537"/>
      <c r="W7217" s="537"/>
      <c r="X7217" s="50">
        <v>44197</v>
      </c>
      <c r="Y7217" s="50">
        <v>44926</v>
      </c>
    </row>
    <row r="7218" s="5" customFormat="1" customHeight="1" spans="1:25">
      <c r="A7218" s="22" t="s">
        <v>444</v>
      </c>
      <c r="B7218" s="22" t="s">
        <v>9337</v>
      </c>
      <c r="C7218" s="22" t="s">
        <v>44</v>
      </c>
      <c r="D7218" s="22" t="s">
        <v>642</v>
      </c>
      <c r="E7218" s="46" t="s">
        <v>9600</v>
      </c>
      <c r="F7218" s="22" t="s">
        <v>9601</v>
      </c>
      <c r="G7218" s="22" t="s">
        <v>31</v>
      </c>
      <c r="H7218" s="22" t="s">
        <v>9602</v>
      </c>
      <c r="I7218" s="46" t="e">
        <f>VLOOKUP(H7218,'合同高级查询数据-4月返'!A:A,1,FALSE)</f>
        <v>#N/A</v>
      </c>
      <c r="J7218" s="22" t="s">
        <v>33</v>
      </c>
      <c r="K7218" s="22" t="s">
        <v>9603</v>
      </c>
      <c r="L7218" s="511" t="s">
        <v>9601</v>
      </c>
      <c r="M7218" s="22" t="s">
        <v>9604</v>
      </c>
      <c r="N7218" s="50">
        <v>44712</v>
      </c>
      <c r="O7218" s="22" t="s">
        <v>37</v>
      </c>
      <c r="P7218" s="114">
        <v>50</v>
      </c>
      <c r="Q7218" s="486">
        <v>-128</v>
      </c>
      <c r="R7218" s="114">
        <f t="shared" si="205"/>
        <v>-6400</v>
      </c>
      <c r="S7218" s="47">
        <v>202304</v>
      </c>
      <c r="T7218" s="532" t="s">
        <v>9606</v>
      </c>
      <c r="U7218" s="522"/>
      <c r="V7218" s="537"/>
      <c r="W7218" s="537"/>
      <c r="X7218" s="50">
        <v>44197</v>
      </c>
      <c r="Y7218" s="50">
        <v>44926</v>
      </c>
    </row>
    <row r="7219" s="5" customFormat="1" customHeight="1" spans="1:25">
      <c r="A7219" s="22" t="s">
        <v>444</v>
      </c>
      <c r="B7219" s="22" t="s">
        <v>9337</v>
      </c>
      <c r="C7219" s="22" t="s">
        <v>44</v>
      </c>
      <c r="D7219" s="22" t="s">
        <v>642</v>
      </c>
      <c r="E7219" s="46" t="s">
        <v>9600</v>
      </c>
      <c r="F7219" s="22" t="s">
        <v>9601</v>
      </c>
      <c r="G7219" s="22" t="s">
        <v>88</v>
      </c>
      <c r="H7219" s="22" t="s">
        <v>9602</v>
      </c>
      <c r="I7219" s="46" t="e">
        <f>VLOOKUP(H7219,'合同高级查询数据-4月返'!A:A,1,FALSE)</f>
        <v>#N/A</v>
      </c>
      <c r="J7219" s="22" t="s">
        <v>162</v>
      </c>
      <c r="K7219" s="22" t="s">
        <v>9607</v>
      </c>
      <c r="L7219" s="511" t="s">
        <v>9601</v>
      </c>
      <c r="M7219" s="22" t="s">
        <v>9604</v>
      </c>
      <c r="N7219" s="50">
        <v>43831</v>
      </c>
      <c r="O7219" s="22" t="s">
        <v>92</v>
      </c>
      <c r="P7219" s="114">
        <v>4300</v>
      </c>
      <c r="Q7219" s="531">
        <v>4</v>
      </c>
      <c r="R7219" s="114">
        <f t="shared" si="205"/>
        <v>17200</v>
      </c>
      <c r="S7219" s="47">
        <v>202304</v>
      </c>
      <c r="T7219" s="532" t="s">
        <v>9608</v>
      </c>
      <c r="U7219" s="522"/>
      <c r="V7219" s="537"/>
      <c r="W7219" s="537"/>
      <c r="X7219" s="50">
        <v>44197</v>
      </c>
      <c r="Y7219" s="50">
        <v>44926</v>
      </c>
    </row>
    <row r="7220" s="5" customFormat="1" customHeight="1" spans="1:25">
      <c r="A7220" s="22" t="s">
        <v>444</v>
      </c>
      <c r="B7220" s="22" t="s">
        <v>9337</v>
      </c>
      <c r="C7220" s="22" t="s">
        <v>44</v>
      </c>
      <c r="D7220" s="22" t="s">
        <v>642</v>
      </c>
      <c r="E7220" s="46" t="s">
        <v>9600</v>
      </c>
      <c r="F7220" s="22" t="s">
        <v>9601</v>
      </c>
      <c r="G7220" s="22" t="s">
        <v>88</v>
      </c>
      <c r="H7220" s="22" t="s">
        <v>9602</v>
      </c>
      <c r="I7220" s="46" t="e">
        <f>VLOOKUP(H7220,'合同高级查询数据-4月返'!A:A,1,FALSE)</f>
        <v>#N/A</v>
      </c>
      <c r="J7220" s="22" t="s">
        <v>162</v>
      </c>
      <c r="K7220" s="22" t="s">
        <v>9607</v>
      </c>
      <c r="L7220" s="511" t="s">
        <v>9601</v>
      </c>
      <c r="M7220" s="22" t="s">
        <v>9604</v>
      </c>
      <c r="N7220" s="50">
        <v>44712</v>
      </c>
      <c r="O7220" s="22" t="s">
        <v>92</v>
      </c>
      <c r="P7220" s="114">
        <v>4300</v>
      </c>
      <c r="Q7220" s="531">
        <v>-4</v>
      </c>
      <c r="R7220" s="114">
        <f t="shared" si="205"/>
        <v>-17200</v>
      </c>
      <c r="S7220" s="47">
        <v>202304</v>
      </c>
      <c r="T7220" s="532" t="s">
        <v>9609</v>
      </c>
      <c r="U7220" s="522"/>
      <c r="V7220" s="537"/>
      <c r="W7220" s="537"/>
      <c r="X7220" s="50">
        <v>44197</v>
      </c>
      <c r="Y7220" s="50">
        <v>44926</v>
      </c>
    </row>
    <row r="7221" s="5" customFormat="1" customHeight="1" spans="1:25">
      <c r="A7221" s="22" t="s">
        <v>444</v>
      </c>
      <c r="B7221" s="22" t="s">
        <v>9337</v>
      </c>
      <c r="C7221" s="22" t="s">
        <v>44</v>
      </c>
      <c r="D7221" s="22" t="s">
        <v>642</v>
      </c>
      <c r="E7221" s="46" t="s">
        <v>9610</v>
      </c>
      <c r="F7221" s="22" t="s">
        <v>9611</v>
      </c>
      <c r="G7221" s="22" t="s">
        <v>31</v>
      </c>
      <c r="H7221" s="22" t="s">
        <v>9612</v>
      </c>
      <c r="I7221" s="46" t="e">
        <f>VLOOKUP(H7221,'合同高级查询数据-4月返'!A:A,1,FALSE)</f>
        <v>#N/A</v>
      </c>
      <c r="J7221" s="22" t="s">
        <v>33</v>
      </c>
      <c r="K7221" s="22" t="s">
        <v>296</v>
      </c>
      <c r="L7221" s="511" t="s">
        <v>9611</v>
      </c>
      <c r="M7221" s="22" t="s">
        <v>9613</v>
      </c>
      <c r="N7221" s="50">
        <v>42978</v>
      </c>
      <c r="O7221" s="22" t="s">
        <v>37</v>
      </c>
      <c r="P7221" s="114">
        <v>0</v>
      </c>
      <c r="Q7221" s="486">
        <v>288</v>
      </c>
      <c r="R7221" s="114">
        <f t="shared" si="205"/>
        <v>0</v>
      </c>
      <c r="S7221" s="47">
        <v>202304</v>
      </c>
      <c r="T7221" s="532" t="s">
        <v>9614</v>
      </c>
      <c r="U7221" s="522"/>
      <c r="V7221" s="537"/>
      <c r="W7221" s="537"/>
      <c r="X7221" s="50">
        <v>44927</v>
      </c>
      <c r="Y7221" s="50">
        <v>45107</v>
      </c>
    </row>
    <row r="7222" s="5" customFormat="1" customHeight="1" spans="1:25">
      <c r="A7222" s="22" t="s">
        <v>444</v>
      </c>
      <c r="B7222" s="22" t="s">
        <v>9337</v>
      </c>
      <c r="C7222" s="22" t="s">
        <v>44</v>
      </c>
      <c r="D7222" s="22" t="s">
        <v>642</v>
      </c>
      <c r="E7222" s="46" t="s">
        <v>9610</v>
      </c>
      <c r="F7222" s="22" t="s">
        <v>9611</v>
      </c>
      <c r="G7222" s="22" t="s">
        <v>31</v>
      </c>
      <c r="H7222" s="22" t="s">
        <v>9612</v>
      </c>
      <c r="I7222" s="46" t="e">
        <f>VLOOKUP(H7222,'合同高级查询数据-4月返'!A:A,1,FALSE)</f>
        <v>#N/A</v>
      </c>
      <c r="J7222" s="22" t="s">
        <v>33</v>
      </c>
      <c r="K7222" s="22" t="s">
        <v>296</v>
      </c>
      <c r="L7222" s="511" t="s">
        <v>9611</v>
      </c>
      <c r="M7222" s="22" t="s">
        <v>9613</v>
      </c>
      <c r="N7222" s="50">
        <v>44712</v>
      </c>
      <c r="O7222" s="22" t="s">
        <v>37</v>
      </c>
      <c r="P7222" s="114">
        <v>0</v>
      </c>
      <c r="Q7222" s="486">
        <v>-288</v>
      </c>
      <c r="R7222" s="114">
        <f t="shared" si="205"/>
        <v>0</v>
      </c>
      <c r="S7222" s="47">
        <v>202304</v>
      </c>
      <c r="T7222" s="532" t="s">
        <v>9615</v>
      </c>
      <c r="U7222" s="522"/>
      <c r="V7222" s="537"/>
      <c r="W7222" s="537"/>
      <c r="X7222" s="50">
        <v>44927</v>
      </c>
      <c r="Y7222" s="50">
        <v>45107</v>
      </c>
    </row>
    <row r="7223" s="5" customFormat="1" customHeight="1" spans="1:25">
      <c r="A7223" s="22" t="s">
        <v>444</v>
      </c>
      <c r="B7223" s="22" t="s">
        <v>9337</v>
      </c>
      <c r="C7223" s="22" t="s">
        <v>44</v>
      </c>
      <c r="D7223" s="22" t="s">
        <v>642</v>
      </c>
      <c r="E7223" s="46" t="s">
        <v>9610</v>
      </c>
      <c r="F7223" s="22" t="s">
        <v>9611</v>
      </c>
      <c r="G7223" s="22" t="s">
        <v>31</v>
      </c>
      <c r="H7223" s="22" t="s">
        <v>9612</v>
      </c>
      <c r="I7223" s="46" t="e">
        <f>VLOOKUP(H7223,'合同高级查询数据-4月返'!A:A,1,FALSE)</f>
        <v>#N/A</v>
      </c>
      <c r="J7223" s="22" t="s">
        <v>33</v>
      </c>
      <c r="K7223" s="22" t="s">
        <v>296</v>
      </c>
      <c r="L7223" s="511" t="s">
        <v>9616</v>
      </c>
      <c r="M7223" s="22" t="s">
        <v>9617</v>
      </c>
      <c r="N7223" s="50">
        <v>43970</v>
      </c>
      <c r="O7223" s="22" t="s">
        <v>37</v>
      </c>
      <c r="P7223" s="114">
        <v>0</v>
      </c>
      <c r="Q7223" s="486">
        <v>288</v>
      </c>
      <c r="R7223" s="114">
        <f t="shared" si="205"/>
        <v>0</v>
      </c>
      <c r="S7223" s="47">
        <v>202304</v>
      </c>
      <c r="T7223" s="532" t="s">
        <v>9618</v>
      </c>
      <c r="U7223" s="522"/>
      <c r="V7223" s="537"/>
      <c r="W7223" s="537"/>
      <c r="X7223" s="50">
        <v>44927</v>
      </c>
      <c r="Y7223" s="50">
        <v>45107</v>
      </c>
    </row>
    <row r="7224" s="5" customFormat="1" customHeight="1" spans="1:25">
      <c r="A7224" s="22" t="s">
        <v>444</v>
      </c>
      <c r="B7224" s="22" t="s">
        <v>9337</v>
      </c>
      <c r="C7224" s="22" t="s">
        <v>44</v>
      </c>
      <c r="D7224" s="22" t="s">
        <v>642</v>
      </c>
      <c r="E7224" s="46" t="s">
        <v>9610</v>
      </c>
      <c r="F7224" s="22" t="s">
        <v>9611</v>
      </c>
      <c r="G7224" s="22" t="s">
        <v>31</v>
      </c>
      <c r="H7224" s="22" t="s">
        <v>9612</v>
      </c>
      <c r="I7224" s="46" t="e">
        <f>VLOOKUP(H7224,'合同高级查询数据-4月返'!A:A,1,FALSE)</f>
        <v>#N/A</v>
      </c>
      <c r="J7224" s="22" t="s">
        <v>33</v>
      </c>
      <c r="K7224" s="22" t="s">
        <v>296</v>
      </c>
      <c r="L7224" s="511" t="s">
        <v>9616</v>
      </c>
      <c r="M7224" s="22" t="s">
        <v>9617</v>
      </c>
      <c r="N7224" s="50">
        <v>44824</v>
      </c>
      <c r="O7224" s="22" t="s">
        <v>37</v>
      </c>
      <c r="P7224" s="114">
        <v>0</v>
      </c>
      <c r="Q7224" s="486">
        <v>-128</v>
      </c>
      <c r="R7224" s="114">
        <f t="shared" si="205"/>
        <v>0</v>
      </c>
      <c r="S7224" s="47">
        <v>202304</v>
      </c>
      <c r="T7224" s="532" t="s">
        <v>9619</v>
      </c>
      <c r="U7224" s="522"/>
      <c r="V7224" s="537"/>
      <c r="W7224" s="537"/>
      <c r="X7224" s="50">
        <v>44927</v>
      </c>
      <c r="Y7224" s="50">
        <v>45107</v>
      </c>
    </row>
    <row r="7225" s="5" customFormat="1" customHeight="1" spans="1:25">
      <c r="A7225" s="22" t="s">
        <v>444</v>
      </c>
      <c r="B7225" s="22" t="s">
        <v>9337</v>
      </c>
      <c r="C7225" s="22" t="s">
        <v>44</v>
      </c>
      <c r="D7225" s="22" t="s">
        <v>642</v>
      </c>
      <c r="E7225" s="46" t="s">
        <v>9610</v>
      </c>
      <c r="F7225" s="22" t="s">
        <v>9611</v>
      </c>
      <c r="G7225" s="22" t="s">
        <v>31</v>
      </c>
      <c r="H7225" s="22" t="s">
        <v>9612</v>
      </c>
      <c r="I7225" s="46" t="e">
        <f>VLOOKUP(H7225,'合同高级查询数据-4月返'!A:A,1,FALSE)</f>
        <v>#N/A</v>
      </c>
      <c r="J7225" s="22" t="s">
        <v>1273</v>
      </c>
      <c r="K7225" s="22" t="s">
        <v>296</v>
      </c>
      <c r="L7225" s="511" t="s">
        <v>9620</v>
      </c>
      <c r="M7225" s="22" t="s">
        <v>9621</v>
      </c>
      <c r="N7225" s="50"/>
      <c r="O7225" s="22" t="s">
        <v>37</v>
      </c>
      <c r="P7225" s="114">
        <v>0</v>
      </c>
      <c r="Q7225" s="486">
        <f>512-Q7226</f>
        <v>128</v>
      </c>
      <c r="R7225" s="114">
        <f t="shared" si="205"/>
        <v>0</v>
      </c>
      <c r="S7225" s="47">
        <v>202304</v>
      </c>
      <c r="T7225" s="532" t="s">
        <v>9622</v>
      </c>
      <c r="U7225" s="522"/>
      <c r="V7225" s="537"/>
      <c r="W7225" s="537"/>
      <c r="X7225" s="50">
        <v>44927</v>
      </c>
      <c r="Y7225" s="50">
        <v>45107</v>
      </c>
    </row>
    <row r="7226" s="5" customFormat="1" customHeight="1" spans="1:25">
      <c r="A7226" s="22" t="s">
        <v>444</v>
      </c>
      <c r="B7226" s="22" t="s">
        <v>9337</v>
      </c>
      <c r="C7226" s="22" t="s">
        <v>44</v>
      </c>
      <c r="D7226" s="22" t="s">
        <v>642</v>
      </c>
      <c r="E7226" s="46" t="s">
        <v>9610</v>
      </c>
      <c r="F7226" s="22" t="s">
        <v>9611</v>
      </c>
      <c r="G7226" s="22" t="s">
        <v>31</v>
      </c>
      <c r="H7226" s="22" t="s">
        <v>9612</v>
      </c>
      <c r="I7226" s="46" t="e">
        <f>VLOOKUP(H7226,'合同高级查询数据-4月返'!A:A,1,FALSE)</f>
        <v>#N/A</v>
      </c>
      <c r="J7226" s="22" t="s">
        <v>1273</v>
      </c>
      <c r="K7226" s="22" t="s">
        <v>296</v>
      </c>
      <c r="L7226" s="511" t="s">
        <v>9620</v>
      </c>
      <c r="M7226" s="22" t="s">
        <v>9621</v>
      </c>
      <c r="N7226" s="50"/>
      <c r="O7226" s="22" t="s">
        <v>37</v>
      </c>
      <c r="P7226" s="114">
        <v>50</v>
      </c>
      <c r="Q7226" s="486">
        <v>384</v>
      </c>
      <c r="R7226" s="114">
        <f t="shared" si="205"/>
        <v>19200</v>
      </c>
      <c r="S7226" s="47">
        <v>202304</v>
      </c>
      <c r="T7226" s="532" t="s">
        <v>9623</v>
      </c>
      <c r="U7226" s="522"/>
      <c r="V7226" s="537"/>
      <c r="W7226" s="537"/>
      <c r="X7226" s="50">
        <v>44927</v>
      </c>
      <c r="Y7226" s="50">
        <v>45107</v>
      </c>
    </row>
    <row r="7227" s="5" customFormat="1" customHeight="1" spans="1:25">
      <c r="A7227" s="22" t="s">
        <v>444</v>
      </c>
      <c r="B7227" s="22" t="s">
        <v>9337</v>
      </c>
      <c r="C7227" s="22" t="s">
        <v>44</v>
      </c>
      <c r="D7227" s="22" t="s">
        <v>642</v>
      </c>
      <c r="E7227" s="46" t="s">
        <v>9610</v>
      </c>
      <c r="F7227" s="22" t="s">
        <v>9611</v>
      </c>
      <c r="G7227" s="22" t="s">
        <v>31</v>
      </c>
      <c r="H7227" s="22" t="s">
        <v>9612</v>
      </c>
      <c r="I7227" s="46" t="e">
        <f>VLOOKUP(H7227,'合同高级查询数据-4月返'!A:A,1,FALSE)</f>
        <v>#N/A</v>
      </c>
      <c r="J7227" s="22" t="s">
        <v>1273</v>
      </c>
      <c r="K7227" s="22" t="s">
        <v>296</v>
      </c>
      <c r="L7227" s="511" t="s">
        <v>9620</v>
      </c>
      <c r="M7227" s="22" t="s">
        <v>9621</v>
      </c>
      <c r="N7227" s="50">
        <v>44895</v>
      </c>
      <c r="O7227" s="22" t="s">
        <v>37</v>
      </c>
      <c r="P7227" s="114">
        <v>0</v>
      </c>
      <c r="Q7227" s="486">
        <v>-128</v>
      </c>
      <c r="R7227" s="114">
        <f t="shared" si="205"/>
        <v>0</v>
      </c>
      <c r="S7227" s="47">
        <v>202304</v>
      </c>
      <c r="T7227" s="532" t="s">
        <v>9624</v>
      </c>
      <c r="U7227" s="522"/>
      <c r="V7227" s="537"/>
      <c r="W7227" s="537"/>
      <c r="X7227" s="50">
        <v>44927</v>
      </c>
      <c r="Y7227" s="50">
        <v>45107</v>
      </c>
    </row>
    <row r="7228" s="5" customFormat="1" customHeight="1" spans="1:25">
      <c r="A7228" s="22" t="s">
        <v>444</v>
      </c>
      <c r="B7228" s="22" t="s">
        <v>9337</v>
      </c>
      <c r="C7228" s="22" t="s">
        <v>44</v>
      </c>
      <c r="D7228" s="22" t="s">
        <v>642</v>
      </c>
      <c r="E7228" s="46" t="s">
        <v>9610</v>
      </c>
      <c r="F7228" s="22" t="s">
        <v>9611</v>
      </c>
      <c r="G7228" s="22" t="s">
        <v>31</v>
      </c>
      <c r="H7228" s="22" t="s">
        <v>9612</v>
      </c>
      <c r="I7228" s="46" t="e">
        <f>VLOOKUP(H7228,'合同高级查询数据-4月返'!A:A,1,FALSE)</f>
        <v>#N/A</v>
      </c>
      <c r="J7228" s="22" t="s">
        <v>1273</v>
      </c>
      <c r="K7228" s="22" t="s">
        <v>296</v>
      </c>
      <c r="L7228" s="511" t="s">
        <v>9620</v>
      </c>
      <c r="M7228" s="22" t="s">
        <v>9621</v>
      </c>
      <c r="N7228" s="50">
        <v>44895</v>
      </c>
      <c r="O7228" s="22" t="s">
        <v>37</v>
      </c>
      <c r="P7228" s="114">
        <v>50</v>
      </c>
      <c r="Q7228" s="486">
        <v>-384</v>
      </c>
      <c r="R7228" s="114">
        <f t="shared" si="205"/>
        <v>-19200</v>
      </c>
      <c r="S7228" s="47">
        <v>202304</v>
      </c>
      <c r="T7228" s="532" t="s">
        <v>9625</v>
      </c>
      <c r="U7228" s="522"/>
      <c r="V7228" s="537"/>
      <c r="W7228" s="537"/>
      <c r="X7228" s="50">
        <v>44927</v>
      </c>
      <c r="Y7228" s="50">
        <v>45107</v>
      </c>
    </row>
    <row r="7229" s="5" customFormat="1" customHeight="1" spans="1:25">
      <c r="A7229" s="22" t="s">
        <v>444</v>
      </c>
      <c r="B7229" s="22" t="s">
        <v>9337</v>
      </c>
      <c r="C7229" s="22" t="s">
        <v>44</v>
      </c>
      <c r="D7229" s="22" t="s">
        <v>642</v>
      </c>
      <c r="E7229" s="46" t="s">
        <v>9610</v>
      </c>
      <c r="F7229" s="22" t="s">
        <v>9611</v>
      </c>
      <c r="G7229" s="22" t="s">
        <v>88</v>
      </c>
      <c r="H7229" s="22" t="s">
        <v>9612</v>
      </c>
      <c r="I7229" s="46" t="e">
        <f>VLOOKUP(H7229,'合同高级查询数据-4月返'!A:A,1,FALSE)</f>
        <v>#N/A</v>
      </c>
      <c r="J7229" s="22" t="s">
        <v>162</v>
      </c>
      <c r="K7229" s="22" t="s">
        <v>296</v>
      </c>
      <c r="L7229" s="511" t="s">
        <v>9611</v>
      </c>
      <c r="M7229" s="22" t="s">
        <v>9613</v>
      </c>
      <c r="N7229" s="50">
        <v>42978</v>
      </c>
      <c r="O7229" s="22" t="s">
        <v>92</v>
      </c>
      <c r="P7229" s="114">
        <v>4300</v>
      </c>
      <c r="Q7229" s="531">
        <v>7</v>
      </c>
      <c r="R7229" s="114">
        <f t="shared" si="205"/>
        <v>30100</v>
      </c>
      <c r="S7229" s="47">
        <v>202304</v>
      </c>
      <c r="T7229" s="532" t="s">
        <v>9626</v>
      </c>
      <c r="U7229" s="522"/>
      <c r="V7229" s="537"/>
      <c r="W7229" s="537"/>
      <c r="X7229" s="50">
        <v>44927</v>
      </c>
      <c r="Y7229" s="50">
        <v>45107</v>
      </c>
    </row>
    <row r="7230" s="5" customFormat="1" customHeight="1" spans="1:25">
      <c r="A7230" s="22" t="s">
        <v>444</v>
      </c>
      <c r="B7230" s="22" t="s">
        <v>9337</v>
      </c>
      <c r="C7230" s="22" t="s">
        <v>44</v>
      </c>
      <c r="D7230" s="22" t="s">
        <v>642</v>
      </c>
      <c r="E7230" s="46" t="s">
        <v>9610</v>
      </c>
      <c r="F7230" s="22" t="s">
        <v>9611</v>
      </c>
      <c r="G7230" s="22" t="s">
        <v>88</v>
      </c>
      <c r="H7230" s="22" t="s">
        <v>9612</v>
      </c>
      <c r="I7230" s="46" t="e">
        <f>VLOOKUP(H7230,'合同高级查询数据-4月返'!A:A,1,FALSE)</f>
        <v>#N/A</v>
      </c>
      <c r="J7230" s="22" t="s">
        <v>162</v>
      </c>
      <c r="K7230" s="22" t="s">
        <v>296</v>
      </c>
      <c r="L7230" s="511" t="s">
        <v>9611</v>
      </c>
      <c r="M7230" s="22" t="s">
        <v>9613</v>
      </c>
      <c r="N7230" s="50">
        <v>44712</v>
      </c>
      <c r="O7230" s="22" t="s">
        <v>92</v>
      </c>
      <c r="P7230" s="114">
        <v>4300</v>
      </c>
      <c r="Q7230" s="531">
        <v>-7</v>
      </c>
      <c r="R7230" s="114">
        <f t="shared" si="205"/>
        <v>-30100</v>
      </c>
      <c r="S7230" s="47">
        <v>202304</v>
      </c>
      <c r="T7230" s="532" t="s">
        <v>9627</v>
      </c>
      <c r="U7230" s="522"/>
      <c r="V7230" s="537"/>
      <c r="W7230" s="537"/>
      <c r="X7230" s="50">
        <v>44927</v>
      </c>
      <c r="Y7230" s="50">
        <v>45107</v>
      </c>
    </row>
    <row r="7231" s="5" customFormat="1" customHeight="1" spans="1:25">
      <c r="A7231" s="22" t="s">
        <v>444</v>
      </c>
      <c r="B7231" s="22" t="s">
        <v>9337</v>
      </c>
      <c r="C7231" s="22" t="s">
        <v>44</v>
      </c>
      <c r="D7231" s="22" t="s">
        <v>642</v>
      </c>
      <c r="E7231" s="46" t="s">
        <v>9610</v>
      </c>
      <c r="F7231" s="22" t="s">
        <v>9611</v>
      </c>
      <c r="G7231" s="22" t="s">
        <v>88</v>
      </c>
      <c r="H7231" s="22" t="s">
        <v>9612</v>
      </c>
      <c r="I7231" s="46" t="e">
        <f>VLOOKUP(H7231,'合同高级查询数据-4月返'!A:A,1,FALSE)</f>
        <v>#N/A</v>
      </c>
      <c r="J7231" s="22" t="s">
        <v>162</v>
      </c>
      <c r="K7231" s="22" t="s">
        <v>296</v>
      </c>
      <c r="L7231" s="511" t="s">
        <v>9616</v>
      </c>
      <c r="M7231" s="22" t="s">
        <v>9617</v>
      </c>
      <c r="N7231" s="50">
        <v>43970</v>
      </c>
      <c r="O7231" s="22" t="s">
        <v>92</v>
      </c>
      <c r="P7231" s="114">
        <v>4300</v>
      </c>
      <c r="Q7231" s="531">
        <v>6</v>
      </c>
      <c r="R7231" s="114">
        <f t="shared" si="205"/>
        <v>25800</v>
      </c>
      <c r="S7231" s="47">
        <v>202304</v>
      </c>
      <c r="T7231" s="532" t="s">
        <v>9628</v>
      </c>
      <c r="U7231" s="522"/>
      <c r="V7231" s="537"/>
      <c r="W7231" s="537"/>
      <c r="X7231" s="50">
        <v>44927</v>
      </c>
      <c r="Y7231" s="50">
        <v>45107</v>
      </c>
    </row>
    <row r="7232" s="5" customFormat="1" customHeight="1" spans="1:25">
      <c r="A7232" s="22" t="s">
        <v>444</v>
      </c>
      <c r="B7232" s="22" t="s">
        <v>9337</v>
      </c>
      <c r="C7232" s="22" t="s">
        <v>44</v>
      </c>
      <c r="D7232" s="22" t="s">
        <v>642</v>
      </c>
      <c r="E7232" s="46" t="s">
        <v>9610</v>
      </c>
      <c r="F7232" s="22" t="s">
        <v>9611</v>
      </c>
      <c r="G7232" s="22" t="s">
        <v>88</v>
      </c>
      <c r="H7232" s="22" t="s">
        <v>9612</v>
      </c>
      <c r="I7232" s="46" t="e">
        <f>VLOOKUP(H7232,'合同高级查询数据-4月返'!A:A,1,FALSE)</f>
        <v>#N/A</v>
      </c>
      <c r="J7232" s="22" t="s">
        <v>162</v>
      </c>
      <c r="K7232" s="22" t="s">
        <v>296</v>
      </c>
      <c r="L7232" s="511" t="s">
        <v>9620</v>
      </c>
      <c r="M7232" s="22" t="s">
        <v>9617</v>
      </c>
      <c r="N7232" s="50">
        <v>44824</v>
      </c>
      <c r="O7232" s="22" t="s">
        <v>92</v>
      </c>
      <c r="P7232" s="114">
        <v>4300</v>
      </c>
      <c r="Q7232" s="531">
        <v>-3</v>
      </c>
      <c r="R7232" s="114">
        <f t="shared" si="205"/>
        <v>-12900</v>
      </c>
      <c r="S7232" s="47">
        <v>202304</v>
      </c>
      <c r="T7232" s="532" t="s">
        <v>9629</v>
      </c>
      <c r="U7232" s="522"/>
      <c r="V7232" s="537"/>
      <c r="W7232" s="537"/>
      <c r="X7232" s="50">
        <v>44927</v>
      </c>
      <c r="Y7232" s="50">
        <v>45107</v>
      </c>
    </row>
    <row r="7233" s="5" customFormat="1" customHeight="1" spans="1:25">
      <c r="A7233" s="22" t="s">
        <v>444</v>
      </c>
      <c r="B7233" s="22" t="s">
        <v>9337</v>
      </c>
      <c r="C7233" s="22" t="s">
        <v>44</v>
      </c>
      <c r="D7233" s="22" t="s">
        <v>642</v>
      </c>
      <c r="E7233" s="46" t="s">
        <v>9610</v>
      </c>
      <c r="F7233" s="22" t="s">
        <v>9611</v>
      </c>
      <c r="G7233" s="22" t="s">
        <v>88</v>
      </c>
      <c r="H7233" s="22" t="s">
        <v>9612</v>
      </c>
      <c r="I7233" s="46" t="e">
        <f>VLOOKUP(H7233,'合同高级查询数据-4月返'!A:A,1,FALSE)</f>
        <v>#N/A</v>
      </c>
      <c r="J7233" s="22" t="s">
        <v>1287</v>
      </c>
      <c r="K7233" s="22" t="s">
        <v>296</v>
      </c>
      <c r="L7233" s="511" t="s">
        <v>9620</v>
      </c>
      <c r="M7233" s="22" t="s">
        <v>9621</v>
      </c>
      <c r="N7233" s="50">
        <v>44030</v>
      </c>
      <c r="O7233" s="22" t="s">
        <v>92</v>
      </c>
      <c r="P7233" s="114">
        <v>4300</v>
      </c>
      <c r="Q7233" s="531">
        <v>2</v>
      </c>
      <c r="R7233" s="114">
        <f t="shared" si="205"/>
        <v>8600</v>
      </c>
      <c r="S7233" s="47">
        <v>202304</v>
      </c>
      <c r="T7233" s="532" t="s">
        <v>9630</v>
      </c>
      <c r="U7233" s="522"/>
      <c r="V7233" s="537"/>
      <c r="W7233" s="537"/>
      <c r="X7233" s="50">
        <v>44927</v>
      </c>
      <c r="Y7233" s="50">
        <v>45107</v>
      </c>
    </row>
    <row r="7234" s="5" customFormat="1" customHeight="1" spans="1:25">
      <c r="A7234" s="22" t="s">
        <v>444</v>
      </c>
      <c r="B7234" s="22" t="s">
        <v>9337</v>
      </c>
      <c r="C7234" s="22" t="s">
        <v>44</v>
      </c>
      <c r="D7234" s="22" t="s">
        <v>642</v>
      </c>
      <c r="E7234" s="46" t="s">
        <v>9610</v>
      </c>
      <c r="F7234" s="22" t="s">
        <v>9611</v>
      </c>
      <c r="G7234" s="22" t="s">
        <v>88</v>
      </c>
      <c r="H7234" s="22" t="s">
        <v>9612</v>
      </c>
      <c r="I7234" s="46" t="e">
        <f>VLOOKUP(H7234,'合同高级查询数据-4月返'!A:A,1,FALSE)</f>
        <v>#N/A</v>
      </c>
      <c r="J7234" s="22" t="s">
        <v>1287</v>
      </c>
      <c r="K7234" s="22" t="s">
        <v>296</v>
      </c>
      <c r="L7234" s="511" t="s">
        <v>9620</v>
      </c>
      <c r="M7234" s="22" t="s">
        <v>9621</v>
      </c>
      <c r="N7234" s="50">
        <v>44165</v>
      </c>
      <c r="O7234" s="22" t="s">
        <v>92</v>
      </c>
      <c r="P7234" s="114">
        <v>4300</v>
      </c>
      <c r="Q7234" s="531">
        <v>1</v>
      </c>
      <c r="R7234" s="114">
        <f t="shared" si="205"/>
        <v>4300</v>
      </c>
      <c r="S7234" s="47">
        <v>202304</v>
      </c>
      <c r="T7234" s="532" t="s">
        <v>9630</v>
      </c>
      <c r="U7234" s="522"/>
      <c r="V7234" s="537"/>
      <c r="W7234" s="537"/>
      <c r="X7234" s="50">
        <v>44927</v>
      </c>
      <c r="Y7234" s="50">
        <v>45107</v>
      </c>
    </row>
    <row r="7235" s="5" customFormat="1" customHeight="1" spans="1:25">
      <c r="A7235" s="22" t="s">
        <v>444</v>
      </c>
      <c r="B7235" s="22" t="s">
        <v>9337</v>
      </c>
      <c r="C7235" s="22" t="s">
        <v>44</v>
      </c>
      <c r="D7235" s="22" t="s">
        <v>642</v>
      </c>
      <c r="E7235" s="46" t="s">
        <v>9610</v>
      </c>
      <c r="F7235" s="22" t="s">
        <v>9611</v>
      </c>
      <c r="G7235" s="22" t="s">
        <v>88</v>
      </c>
      <c r="H7235" s="22" t="s">
        <v>9612</v>
      </c>
      <c r="I7235" s="46" t="e">
        <f>VLOOKUP(H7235,'合同高级查询数据-4月返'!A:A,1,FALSE)</f>
        <v>#N/A</v>
      </c>
      <c r="J7235" s="22" t="s">
        <v>1287</v>
      </c>
      <c r="K7235" s="22" t="s">
        <v>296</v>
      </c>
      <c r="L7235" s="511" t="s">
        <v>9620</v>
      </c>
      <c r="M7235" s="22" t="s">
        <v>9621</v>
      </c>
      <c r="N7235" s="50">
        <v>44895</v>
      </c>
      <c r="O7235" s="22" t="s">
        <v>92</v>
      </c>
      <c r="P7235" s="114">
        <v>4300</v>
      </c>
      <c r="Q7235" s="531">
        <v>-1</v>
      </c>
      <c r="R7235" s="114">
        <f t="shared" si="205"/>
        <v>-4300</v>
      </c>
      <c r="S7235" s="47">
        <v>202304</v>
      </c>
      <c r="T7235" s="532" t="s">
        <v>9631</v>
      </c>
      <c r="U7235" s="522"/>
      <c r="V7235" s="537"/>
      <c r="W7235" s="537"/>
      <c r="X7235" s="50">
        <v>44927</v>
      </c>
      <c r="Y7235" s="50">
        <v>45107</v>
      </c>
    </row>
    <row r="7236" s="5" customFormat="1" customHeight="1" spans="1:25">
      <c r="A7236" s="22" t="s">
        <v>444</v>
      </c>
      <c r="B7236" s="22" t="s">
        <v>9337</v>
      </c>
      <c r="C7236" s="22" t="s">
        <v>44</v>
      </c>
      <c r="D7236" s="22" t="s">
        <v>642</v>
      </c>
      <c r="E7236" s="46" t="s">
        <v>9610</v>
      </c>
      <c r="F7236" s="22" t="s">
        <v>9611</v>
      </c>
      <c r="G7236" s="22" t="s">
        <v>88</v>
      </c>
      <c r="H7236" s="22" t="s">
        <v>9612</v>
      </c>
      <c r="I7236" s="46" t="e">
        <f>VLOOKUP(H7236,'合同高级查询数据-4月返'!A:A,1,FALSE)</f>
        <v>#N/A</v>
      </c>
      <c r="J7236" s="22" t="s">
        <v>1287</v>
      </c>
      <c r="K7236" s="22" t="s">
        <v>296</v>
      </c>
      <c r="L7236" s="511" t="s">
        <v>9620</v>
      </c>
      <c r="M7236" s="22" t="s">
        <v>9621</v>
      </c>
      <c r="N7236" s="50">
        <v>44895</v>
      </c>
      <c r="O7236" s="22" t="s">
        <v>92</v>
      </c>
      <c r="P7236" s="114">
        <v>4300</v>
      </c>
      <c r="Q7236" s="531">
        <v>-2</v>
      </c>
      <c r="R7236" s="114">
        <f t="shared" si="205"/>
        <v>-8600</v>
      </c>
      <c r="S7236" s="47">
        <v>202304</v>
      </c>
      <c r="T7236" s="532" t="s">
        <v>9632</v>
      </c>
      <c r="U7236" s="522"/>
      <c r="V7236" s="537"/>
      <c r="W7236" s="537"/>
      <c r="X7236" s="50">
        <v>44927</v>
      </c>
      <c r="Y7236" s="50">
        <v>45107</v>
      </c>
    </row>
    <row r="7237" s="5" customFormat="1" customHeight="1" spans="1:25">
      <c r="A7237" s="22" t="s">
        <v>444</v>
      </c>
      <c r="B7237" s="22" t="s">
        <v>9337</v>
      </c>
      <c r="C7237" s="22" t="s">
        <v>44</v>
      </c>
      <c r="D7237" s="22" t="s">
        <v>642</v>
      </c>
      <c r="E7237" s="46" t="s">
        <v>9633</v>
      </c>
      <c r="F7237" s="22" t="s">
        <v>9634</v>
      </c>
      <c r="G7237" s="22" t="s">
        <v>31</v>
      </c>
      <c r="H7237" s="22" t="s">
        <v>9635</v>
      </c>
      <c r="I7237" s="46" t="e">
        <f>VLOOKUP(H7237,'合同高级查询数据-4月返'!A:A,1,FALSE)</f>
        <v>#N/A</v>
      </c>
      <c r="J7237" s="22" t="s">
        <v>33</v>
      </c>
      <c r="K7237" s="511" t="s">
        <v>9636</v>
      </c>
      <c r="L7237" s="511" t="s">
        <v>9636</v>
      </c>
      <c r="M7237" s="22" t="s">
        <v>9637</v>
      </c>
      <c r="N7237" s="50">
        <v>43775</v>
      </c>
      <c r="O7237" s="22" t="s">
        <v>37</v>
      </c>
      <c r="P7237" s="114">
        <v>0</v>
      </c>
      <c r="Q7237" s="486">
        <v>192</v>
      </c>
      <c r="R7237" s="114">
        <f t="shared" si="205"/>
        <v>0</v>
      </c>
      <c r="S7237" s="47">
        <v>202304</v>
      </c>
      <c r="T7237" s="532" t="s">
        <v>9638</v>
      </c>
      <c r="U7237" s="522"/>
      <c r="V7237" s="537"/>
      <c r="W7237" s="537"/>
      <c r="X7237" s="50">
        <v>44197</v>
      </c>
      <c r="Y7237" s="50">
        <v>44926</v>
      </c>
    </row>
    <row r="7238" s="5" customFormat="1" customHeight="1" spans="1:25">
      <c r="A7238" s="22" t="s">
        <v>444</v>
      </c>
      <c r="B7238" s="22" t="s">
        <v>9337</v>
      </c>
      <c r="C7238" s="22" t="s">
        <v>44</v>
      </c>
      <c r="D7238" s="22" t="s">
        <v>642</v>
      </c>
      <c r="E7238" s="46" t="s">
        <v>9633</v>
      </c>
      <c r="F7238" s="22" t="s">
        <v>9634</v>
      </c>
      <c r="G7238" s="22" t="s">
        <v>31</v>
      </c>
      <c r="H7238" s="22" t="s">
        <v>9635</v>
      </c>
      <c r="I7238" s="46" t="e">
        <f>VLOOKUP(H7238,'合同高级查询数据-4月返'!A:A,1,FALSE)</f>
        <v>#N/A</v>
      </c>
      <c r="J7238" s="22" t="s">
        <v>33</v>
      </c>
      <c r="K7238" s="511" t="s">
        <v>9636</v>
      </c>
      <c r="L7238" s="511" t="s">
        <v>9636</v>
      </c>
      <c r="M7238" s="22" t="s">
        <v>9637</v>
      </c>
      <c r="N7238" s="50">
        <v>43775</v>
      </c>
      <c r="O7238" s="22" t="s">
        <v>37</v>
      </c>
      <c r="P7238" s="114">
        <v>50</v>
      </c>
      <c r="Q7238" s="486">
        <v>96</v>
      </c>
      <c r="R7238" s="114">
        <f t="shared" si="205"/>
        <v>4800</v>
      </c>
      <c r="S7238" s="47">
        <v>202304</v>
      </c>
      <c r="T7238" s="532" t="s">
        <v>9638</v>
      </c>
      <c r="U7238" s="522"/>
      <c r="V7238" s="537"/>
      <c r="W7238" s="537"/>
      <c r="X7238" s="50">
        <v>44197</v>
      </c>
      <c r="Y7238" s="50">
        <v>44926</v>
      </c>
    </row>
    <row r="7239" s="5" customFormat="1" customHeight="1" spans="1:25">
      <c r="A7239" s="22" t="s">
        <v>444</v>
      </c>
      <c r="B7239" s="22" t="s">
        <v>9337</v>
      </c>
      <c r="C7239" s="22" t="s">
        <v>44</v>
      </c>
      <c r="D7239" s="22" t="s">
        <v>642</v>
      </c>
      <c r="E7239" s="46" t="s">
        <v>9633</v>
      </c>
      <c r="F7239" s="22" t="s">
        <v>9634</v>
      </c>
      <c r="G7239" s="22" t="s">
        <v>31</v>
      </c>
      <c r="H7239" s="22" t="s">
        <v>9635</v>
      </c>
      <c r="I7239" s="46" t="e">
        <f>VLOOKUP(H7239,'合同高级查询数据-4月返'!A:A,1,FALSE)</f>
        <v>#N/A</v>
      </c>
      <c r="J7239" s="22" t="s">
        <v>33</v>
      </c>
      <c r="K7239" s="511" t="s">
        <v>9636</v>
      </c>
      <c r="L7239" s="511" t="s">
        <v>9636</v>
      </c>
      <c r="M7239" s="22" t="s">
        <v>9637</v>
      </c>
      <c r="N7239" s="50">
        <v>44773</v>
      </c>
      <c r="O7239" s="22" t="s">
        <v>37</v>
      </c>
      <c r="P7239" s="114">
        <v>0</v>
      </c>
      <c r="Q7239" s="486">
        <v>-192</v>
      </c>
      <c r="R7239" s="114">
        <f t="shared" si="205"/>
        <v>0</v>
      </c>
      <c r="S7239" s="47">
        <v>202304</v>
      </c>
      <c r="T7239" s="532" t="s">
        <v>9639</v>
      </c>
      <c r="U7239" s="522"/>
      <c r="V7239" s="537"/>
      <c r="W7239" s="537"/>
      <c r="X7239" s="50">
        <v>44197</v>
      </c>
      <c r="Y7239" s="50">
        <v>44926</v>
      </c>
    </row>
    <row r="7240" s="5" customFormat="1" customHeight="1" spans="1:25">
      <c r="A7240" s="22" t="s">
        <v>444</v>
      </c>
      <c r="B7240" s="22" t="s">
        <v>9337</v>
      </c>
      <c r="C7240" s="22" t="s">
        <v>44</v>
      </c>
      <c r="D7240" s="22" t="s">
        <v>642</v>
      </c>
      <c r="E7240" s="46" t="s">
        <v>9633</v>
      </c>
      <c r="F7240" s="22" t="s">
        <v>9634</v>
      </c>
      <c r="G7240" s="22" t="s">
        <v>31</v>
      </c>
      <c r="H7240" s="22" t="s">
        <v>9635</v>
      </c>
      <c r="I7240" s="46" t="e">
        <f>VLOOKUP(H7240,'合同高级查询数据-4月返'!A:A,1,FALSE)</f>
        <v>#N/A</v>
      </c>
      <c r="J7240" s="22" t="s">
        <v>33</v>
      </c>
      <c r="K7240" s="511" t="s">
        <v>9636</v>
      </c>
      <c r="L7240" s="511" t="s">
        <v>9636</v>
      </c>
      <c r="M7240" s="22" t="s">
        <v>9637</v>
      </c>
      <c r="N7240" s="50">
        <v>44773</v>
      </c>
      <c r="O7240" s="22" t="s">
        <v>37</v>
      </c>
      <c r="P7240" s="114">
        <v>50</v>
      </c>
      <c r="Q7240" s="486">
        <v>-96</v>
      </c>
      <c r="R7240" s="114">
        <f t="shared" si="205"/>
        <v>-4800</v>
      </c>
      <c r="S7240" s="47">
        <v>202304</v>
      </c>
      <c r="T7240" s="532" t="s">
        <v>9639</v>
      </c>
      <c r="U7240" s="522"/>
      <c r="V7240" s="537"/>
      <c r="W7240" s="537"/>
      <c r="X7240" s="50">
        <v>44197</v>
      </c>
      <c r="Y7240" s="50">
        <v>44926</v>
      </c>
    </row>
    <row r="7241" s="5" customFormat="1" customHeight="1" spans="1:25">
      <c r="A7241" s="22" t="s">
        <v>444</v>
      </c>
      <c r="B7241" s="22" t="s">
        <v>9337</v>
      </c>
      <c r="C7241" s="22" t="s">
        <v>44</v>
      </c>
      <c r="D7241" s="22" t="s">
        <v>642</v>
      </c>
      <c r="E7241" s="46" t="s">
        <v>9633</v>
      </c>
      <c r="F7241" s="22" t="s">
        <v>9634</v>
      </c>
      <c r="G7241" s="22" t="s">
        <v>88</v>
      </c>
      <c r="H7241" s="22" t="s">
        <v>9635</v>
      </c>
      <c r="I7241" s="46" t="e">
        <f>VLOOKUP(H7241,'合同高级查询数据-4月返'!A:A,1,FALSE)</f>
        <v>#N/A</v>
      </c>
      <c r="J7241" s="22" t="s">
        <v>162</v>
      </c>
      <c r="K7241" s="511" t="s">
        <v>9636</v>
      </c>
      <c r="L7241" s="511" t="s">
        <v>9636</v>
      </c>
      <c r="M7241" s="22" t="s">
        <v>9637</v>
      </c>
      <c r="N7241" s="50">
        <v>43775</v>
      </c>
      <c r="O7241" s="22" t="s">
        <v>92</v>
      </c>
      <c r="P7241" s="114">
        <v>4300</v>
      </c>
      <c r="Q7241" s="531">
        <v>3</v>
      </c>
      <c r="R7241" s="114">
        <f t="shared" si="205"/>
        <v>12900</v>
      </c>
      <c r="S7241" s="47">
        <v>202304</v>
      </c>
      <c r="T7241" s="532" t="s">
        <v>9640</v>
      </c>
      <c r="U7241" s="522"/>
      <c r="V7241" s="537"/>
      <c r="W7241" s="537"/>
      <c r="X7241" s="50">
        <v>44197</v>
      </c>
      <c r="Y7241" s="50">
        <v>44926</v>
      </c>
    </row>
    <row r="7242" s="5" customFormat="1" customHeight="1" spans="1:25">
      <c r="A7242" s="22" t="s">
        <v>444</v>
      </c>
      <c r="B7242" s="22" t="s">
        <v>9337</v>
      </c>
      <c r="C7242" s="22" t="s">
        <v>44</v>
      </c>
      <c r="D7242" s="22" t="s">
        <v>642</v>
      </c>
      <c r="E7242" s="46" t="s">
        <v>9633</v>
      </c>
      <c r="F7242" s="22" t="s">
        <v>9634</v>
      </c>
      <c r="G7242" s="22" t="s">
        <v>88</v>
      </c>
      <c r="H7242" s="22" t="s">
        <v>9635</v>
      </c>
      <c r="I7242" s="46" t="e">
        <f>VLOOKUP(H7242,'合同高级查询数据-4月返'!A:A,1,FALSE)</f>
        <v>#N/A</v>
      </c>
      <c r="J7242" s="22" t="s">
        <v>162</v>
      </c>
      <c r="K7242" s="511" t="s">
        <v>9636</v>
      </c>
      <c r="L7242" s="511" t="s">
        <v>9636</v>
      </c>
      <c r="M7242" s="22" t="s">
        <v>9637</v>
      </c>
      <c r="N7242" s="50">
        <v>43966</v>
      </c>
      <c r="O7242" s="22" t="s">
        <v>92</v>
      </c>
      <c r="P7242" s="114">
        <v>4300</v>
      </c>
      <c r="Q7242" s="531">
        <v>2</v>
      </c>
      <c r="R7242" s="114">
        <f t="shared" si="205"/>
        <v>8600</v>
      </c>
      <c r="S7242" s="47">
        <v>202304</v>
      </c>
      <c r="T7242" s="532" t="s">
        <v>9641</v>
      </c>
      <c r="U7242" s="522"/>
      <c r="V7242" s="537"/>
      <c r="W7242" s="537"/>
      <c r="X7242" s="50">
        <v>44197</v>
      </c>
      <c r="Y7242" s="50">
        <v>44926</v>
      </c>
    </row>
    <row r="7243" s="5" customFormat="1" customHeight="1" spans="1:25">
      <c r="A7243" s="22" t="s">
        <v>444</v>
      </c>
      <c r="B7243" s="22" t="s">
        <v>9337</v>
      </c>
      <c r="C7243" s="22" t="s">
        <v>44</v>
      </c>
      <c r="D7243" s="22" t="s">
        <v>642</v>
      </c>
      <c r="E7243" s="46" t="s">
        <v>9633</v>
      </c>
      <c r="F7243" s="22" t="s">
        <v>9634</v>
      </c>
      <c r="G7243" s="22" t="s">
        <v>88</v>
      </c>
      <c r="H7243" s="22" t="s">
        <v>9635</v>
      </c>
      <c r="I7243" s="46" t="e">
        <f>VLOOKUP(H7243,'合同高级查询数据-4月返'!A:A,1,FALSE)</f>
        <v>#N/A</v>
      </c>
      <c r="J7243" s="22" t="s">
        <v>162</v>
      </c>
      <c r="K7243" s="511" t="s">
        <v>9636</v>
      </c>
      <c r="L7243" s="511" t="s">
        <v>9636</v>
      </c>
      <c r="M7243" s="22" t="s">
        <v>9637</v>
      </c>
      <c r="N7243" s="50">
        <v>44773</v>
      </c>
      <c r="O7243" s="22" t="s">
        <v>92</v>
      </c>
      <c r="P7243" s="114">
        <v>4300</v>
      </c>
      <c r="Q7243" s="531">
        <v>-5</v>
      </c>
      <c r="R7243" s="114">
        <f t="shared" si="205"/>
        <v>-21500</v>
      </c>
      <c r="S7243" s="47">
        <v>202304</v>
      </c>
      <c r="T7243" s="532" t="s">
        <v>9642</v>
      </c>
      <c r="U7243" s="522"/>
      <c r="V7243" s="537"/>
      <c r="W7243" s="537"/>
      <c r="X7243" s="50">
        <v>44197</v>
      </c>
      <c r="Y7243" s="50">
        <v>44926</v>
      </c>
    </row>
    <row r="7244" s="5" customFormat="1" customHeight="1" spans="1:25">
      <c r="A7244" s="22" t="s">
        <v>444</v>
      </c>
      <c r="B7244" s="22" t="s">
        <v>9337</v>
      </c>
      <c r="C7244" s="22" t="s">
        <v>44</v>
      </c>
      <c r="D7244" s="22" t="s">
        <v>642</v>
      </c>
      <c r="E7244" s="46" t="s">
        <v>9643</v>
      </c>
      <c r="F7244" s="22" t="s">
        <v>9644</v>
      </c>
      <c r="G7244" s="22" t="s">
        <v>31</v>
      </c>
      <c r="H7244" s="22" t="s">
        <v>9645</v>
      </c>
      <c r="I7244" s="46" t="e">
        <f>VLOOKUP(H7244,'合同高级查询数据-4月返'!A:A,1,FALSE)</f>
        <v>#N/A</v>
      </c>
      <c r="J7244" s="22" t="s">
        <v>33</v>
      </c>
      <c r="K7244" s="22" t="s">
        <v>9646</v>
      </c>
      <c r="L7244" s="511" t="s">
        <v>9644</v>
      </c>
      <c r="M7244" s="22" t="s">
        <v>9647</v>
      </c>
      <c r="N7244" s="50">
        <v>42823</v>
      </c>
      <c r="O7244" s="22" t="s">
        <v>37</v>
      </c>
      <c r="P7244" s="114">
        <v>0</v>
      </c>
      <c r="Q7244" s="486">
        <v>256</v>
      </c>
      <c r="R7244" s="114">
        <f t="shared" si="205"/>
        <v>0</v>
      </c>
      <c r="S7244" s="47">
        <v>202304</v>
      </c>
      <c r="T7244" s="532" t="s">
        <v>9648</v>
      </c>
      <c r="U7244" s="522"/>
      <c r="V7244" s="537"/>
      <c r="W7244" s="537"/>
      <c r="X7244" s="50">
        <v>44197</v>
      </c>
      <c r="Y7244" s="50">
        <v>44926</v>
      </c>
    </row>
    <row r="7245" s="5" customFormat="1" customHeight="1" spans="1:25">
      <c r="A7245" s="22" t="s">
        <v>444</v>
      </c>
      <c r="B7245" s="22" t="s">
        <v>9337</v>
      </c>
      <c r="C7245" s="22" t="s">
        <v>44</v>
      </c>
      <c r="D7245" s="22" t="s">
        <v>642</v>
      </c>
      <c r="E7245" s="46" t="s">
        <v>9643</v>
      </c>
      <c r="F7245" s="22" t="s">
        <v>9644</v>
      </c>
      <c r="G7245" s="22" t="s">
        <v>31</v>
      </c>
      <c r="H7245" s="22" t="s">
        <v>9645</v>
      </c>
      <c r="I7245" s="46" t="e">
        <f>VLOOKUP(H7245,'合同高级查询数据-4月返'!A:A,1,FALSE)</f>
        <v>#N/A</v>
      </c>
      <c r="J7245" s="22" t="s">
        <v>33</v>
      </c>
      <c r="K7245" s="22" t="s">
        <v>9646</v>
      </c>
      <c r="L7245" s="511" t="s">
        <v>9644</v>
      </c>
      <c r="M7245" s="22" t="s">
        <v>9647</v>
      </c>
      <c r="N7245" s="50">
        <v>42823</v>
      </c>
      <c r="O7245" s="22" t="s">
        <v>37</v>
      </c>
      <c r="P7245" s="114">
        <v>50</v>
      </c>
      <c r="Q7245" s="486">
        <v>32</v>
      </c>
      <c r="R7245" s="114">
        <f t="shared" si="205"/>
        <v>1600</v>
      </c>
      <c r="S7245" s="47">
        <v>202304</v>
      </c>
      <c r="T7245" s="532" t="s">
        <v>9649</v>
      </c>
      <c r="U7245" s="522"/>
      <c r="V7245" s="537"/>
      <c r="W7245" s="537"/>
      <c r="X7245" s="50">
        <v>44197</v>
      </c>
      <c r="Y7245" s="50">
        <v>44926</v>
      </c>
    </row>
    <row r="7246" s="5" customFormat="1" customHeight="1" spans="1:25">
      <c r="A7246" s="22" t="s">
        <v>444</v>
      </c>
      <c r="B7246" s="22" t="s">
        <v>9337</v>
      </c>
      <c r="C7246" s="22" t="s">
        <v>44</v>
      </c>
      <c r="D7246" s="22" t="s">
        <v>642</v>
      </c>
      <c r="E7246" s="46" t="s">
        <v>9643</v>
      </c>
      <c r="F7246" s="22" t="s">
        <v>9644</v>
      </c>
      <c r="G7246" s="22" t="s">
        <v>31</v>
      </c>
      <c r="H7246" s="22" t="s">
        <v>9645</v>
      </c>
      <c r="I7246" s="46" t="e">
        <f>VLOOKUP(H7246,'合同高级查询数据-4月返'!A:A,1,FALSE)</f>
        <v>#N/A</v>
      </c>
      <c r="J7246" s="22" t="s">
        <v>33</v>
      </c>
      <c r="K7246" s="22" t="s">
        <v>9646</v>
      </c>
      <c r="L7246" s="511" t="s">
        <v>9644</v>
      </c>
      <c r="M7246" s="22" t="s">
        <v>9647</v>
      </c>
      <c r="N7246" s="50">
        <v>44773</v>
      </c>
      <c r="O7246" s="22" t="s">
        <v>37</v>
      </c>
      <c r="P7246" s="114">
        <v>0</v>
      </c>
      <c r="Q7246" s="486">
        <v>-256</v>
      </c>
      <c r="R7246" s="114">
        <f t="shared" si="205"/>
        <v>0</v>
      </c>
      <c r="S7246" s="47">
        <v>202304</v>
      </c>
      <c r="T7246" s="532" t="s">
        <v>9650</v>
      </c>
      <c r="U7246" s="522"/>
      <c r="V7246" s="537"/>
      <c r="W7246" s="537"/>
      <c r="X7246" s="50">
        <v>44197</v>
      </c>
      <c r="Y7246" s="50">
        <v>44926</v>
      </c>
    </row>
    <row r="7247" s="5" customFormat="1" customHeight="1" spans="1:25">
      <c r="A7247" s="22" t="s">
        <v>444</v>
      </c>
      <c r="B7247" s="22" t="s">
        <v>9337</v>
      </c>
      <c r="C7247" s="22" t="s">
        <v>44</v>
      </c>
      <c r="D7247" s="22" t="s">
        <v>642</v>
      </c>
      <c r="E7247" s="46" t="s">
        <v>9643</v>
      </c>
      <c r="F7247" s="22" t="s">
        <v>9644</v>
      </c>
      <c r="G7247" s="22" t="s">
        <v>31</v>
      </c>
      <c r="H7247" s="22" t="s">
        <v>9645</v>
      </c>
      <c r="I7247" s="46" t="e">
        <f>VLOOKUP(H7247,'合同高级查询数据-4月返'!A:A,1,FALSE)</f>
        <v>#N/A</v>
      </c>
      <c r="J7247" s="22" t="s">
        <v>33</v>
      </c>
      <c r="K7247" s="22" t="s">
        <v>9646</v>
      </c>
      <c r="L7247" s="511" t="s">
        <v>9644</v>
      </c>
      <c r="M7247" s="22" t="s">
        <v>9647</v>
      </c>
      <c r="N7247" s="50">
        <v>44773</v>
      </c>
      <c r="O7247" s="22" t="s">
        <v>37</v>
      </c>
      <c r="P7247" s="114">
        <v>50</v>
      </c>
      <c r="Q7247" s="486">
        <v>-32</v>
      </c>
      <c r="R7247" s="114">
        <f t="shared" si="205"/>
        <v>-1600</v>
      </c>
      <c r="S7247" s="47">
        <v>202304</v>
      </c>
      <c r="T7247" s="532" t="s">
        <v>9650</v>
      </c>
      <c r="U7247" s="522"/>
      <c r="V7247" s="537"/>
      <c r="W7247" s="537"/>
      <c r="X7247" s="50">
        <v>44197</v>
      </c>
      <c r="Y7247" s="50">
        <v>44926</v>
      </c>
    </row>
    <row r="7248" s="5" customFormat="1" customHeight="1" spans="1:25">
      <c r="A7248" s="22" t="s">
        <v>444</v>
      </c>
      <c r="B7248" s="22" t="s">
        <v>9337</v>
      </c>
      <c r="C7248" s="22" t="s">
        <v>44</v>
      </c>
      <c r="D7248" s="22" t="s">
        <v>642</v>
      </c>
      <c r="E7248" s="46" t="s">
        <v>9643</v>
      </c>
      <c r="F7248" s="22" t="s">
        <v>9644</v>
      </c>
      <c r="G7248" s="22" t="s">
        <v>31</v>
      </c>
      <c r="H7248" s="22" t="s">
        <v>9645</v>
      </c>
      <c r="I7248" s="46" t="e">
        <f>VLOOKUP(H7248,'合同高级查询数据-4月返'!A:A,1,FALSE)</f>
        <v>#N/A</v>
      </c>
      <c r="J7248" s="22" t="s">
        <v>33</v>
      </c>
      <c r="K7248" s="22" t="s">
        <v>9651</v>
      </c>
      <c r="L7248" s="511" t="s">
        <v>9652</v>
      </c>
      <c r="M7248" s="22" t="s">
        <v>9653</v>
      </c>
      <c r="N7248" s="50">
        <v>43329</v>
      </c>
      <c r="O7248" s="22" t="s">
        <v>37</v>
      </c>
      <c r="P7248" s="114">
        <v>0</v>
      </c>
      <c r="Q7248" s="486">
        <v>288</v>
      </c>
      <c r="R7248" s="114">
        <f t="shared" si="205"/>
        <v>0</v>
      </c>
      <c r="S7248" s="47">
        <v>202304</v>
      </c>
      <c r="T7248" s="532" t="s">
        <v>9654</v>
      </c>
      <c r="U7248" s="522"/>
      <c r="V7248" s="537"/>
      <c r="W7248" s="537"/>
      <c r="X7248" s="50">
        <v>44197</v>
      </c>
      <c r="Y7248" s="50">
        <v>44926</v>
      </c>
    </row>
    <row r="7249" s="5" customFormat="1" customHeight="1" spans="1:25">
      <c r="A7249" s="22" t="s">
        <v>444</v>
      </c>
      <c r="B7249" s="22" t="s">
        <v>9337</v>
      </c>
      <c r="C7249" s="22" t="s">
        <v>44</v>
      </c>
      <c r="D7249" s="22" t="s">
        <v>642</v>
      </c>
      <c r="E7249" s="46" t="s">
        <v>9643</v>
      </c>
      <c r="F7249" s="22" t="s">
        <v>9644</v>
      </c>
      <c r="G7249" s="22" t="s">
        <v>31</v>
      </c>
      <c r="H7249" s="22" t="s">
        <v>9645</v>
      </c>
      <c r="I7249" s="46" t="e">
        <f>VLOOKUP(H7249,'合同高级查询数据-4月返'!A:A,1,FALSE)</f>
        <v>#N/A</v>
      </c>
      <c r="J7249" s="22" t="s">
        <v>33</v>
      </c>
      <c r="K7249" s="22" t="s">
        <v>9651</v>
      </c>
      <c r="L7249" s="511" t="s">
        <v>9652</v>
      </c>
      <c r="M7249" s="22" t="s">
        <v>9653</v>
      </c>
      <c r="N7249" s="50">
        <v>44681</v>
      </c>
      <c r="O7249" s="22" t="s">
        <v>37</v>
      </c>
      <c r="P7249" s="114">
        <v>0</v>
      </c>
      <c r="Q7249" s="486">
        <v>-288</v>
      </c>
      <c r="R7249" s="114">
        <f t="shared" si="205"/>
        <v>0</v>
      </c>
      <c r="S7249" s="47">
        <v>202304</v>
      </c>
      <c r="T7249" s="532" t="s">
        <v>9655</v>
      </c>
      <c r="U7249" s="522"/>
      <c r="V7249" s="537"/>
      <c r="W7249" s="537"/>
      <c r="X7249" s="50">
        <v>44197</v>
      </c>
      <c r="Y7249" s="50">
        <v>44926</v>
      </c>
    </row>
    <row r="7250" s="5" customFormat="1" customHeight="1" spans="1:25">
      <c r="A7250" s="22" t="s">
        <v>444</v>
      </c>
      <c r="B7250" s="22" t="s">
        <v>9337</v>
      </c>
      <c r="C7250" s="22" t="s">
        <v>44</v>
      </c>
      <c r="D7250" s="22" t="s">
        <v>642</v>
      </c>
      <c r="E7250" s="46" t="s">
        <v>9643</v>
      </c>
      <c r="F7250" s="22" t="s">
        <v>9644</v>
      </c>
      <c r="G7250" s="22" t="s">
        <v>88</v>
      </c>
      <c r="H7250" s="22" t="s">
        <v>9645</v>
      </c>
      <c r="I7250" s="46" t="e">
        <f>VLOOKUP(H7250,'合同高级查询数据-4月返'!A:A,1,FALSE)</f>
        <v>#N/A</v>
      </c>
      <c r="J7250" s="22" t="s">
        <v>162</v>
      </c>
      <c r="K7250" s="22" t="s">
        <v>9646</v>
      </c>
      <c r="L7250" s="511" t="s">
        <v>9644</v>
      </c>
      <c r="M7250" s="22" t="s">
        <v>9647</v>
      </c>
      <c r="N7250" s="50">
        <v>42823</v>
      </c>
      <c r="O7250" s="22" t="s">
        <v>92</v>
      </c>
      <c r="P7250" s="114">
        <v>4300</v>
      </c>
      <c r="Q7250" s="531">
        <v>8</v>
      </c>
      <c r="R7250" s="114">
        <f t="shared" si="205"/>
        <v>34400</v>
      </c>
      <c r="S7250" s="47">
        <v>202304</v>
      </c>
      <c r="T7250" s="532" t="s">
        <v>9656</v>
      </c>
      <c r="U7250" s="522"/>
      <c r="V7250" s="537"/>
      <c r="W7250" s="537"/>
      <c r="X7250" s="50">
        <v>44197</v>
      </c>
      <c r="Y7250" s="50">
        <v>44926</v>
      </c>
    </row>
    <row r="7251" s="5" customFormat="1" customHeight="1" spans="1:25">
      <c r="A7251" s="22" t="s">
        <v>444</v>
      </c>
      <c r="B7251" s="22" t="s">
        <v>9337</v>
      </c>
      <c r="C7251" s="22" t="s">
        <v>44</v>
      </c>
      <c r="D7251" s="22" t="s">
        <v>642</v>
      </c>
      <c r="E7251" s="46" t="s">
        <v>9643</v>
      </c>
      <c r="F7251" s="22" t="s">
        <v>9644</v>
      </c>
      <c r="G7251" s="22" t="s">
        <v>88</v>
      </c>
      <c r="H7251" s="22" t="s">
        <v>9645</v>
      </c>
      <c r="I7251" s="46" t="e">
        <f>VLOOKUP(H7251,'合同高级查询数据-4月返'!A:A,1,FALSE)</f>
        <v>#N/A</v>
      </c>
      <c r="J7251" s="22" t="s">
        <v>162</v>
      </c>
      <c r="K7251" s="22" t="s">
        <v>9646</v>
      </c>
      <c r="L7251" s="511" t="s">
        <v>9644</v>
      </c>
      <c r="M7251" s="22" t="s">
        <v>9647</v>
      </c>
      <c r="N7251" s="50">
        <v>44773</v>
      </c>
      <c r="O7251" s="22" t="s">
        <v>92</v>
      </c>
      <c r="P7251" s="114">
        <v>4300</v>
      </c>
      <c r="Q7251" s="531">
        <v>-8</v>
      </c>
      <c r="R7251" s="114">
        <f t="shared" si="205"/>
        <v>-34400</v>
      </c>
      <c r="S7251" s="47">
        <v>202304</v>
      </c>
      <c r="T7251" s="532" t="s">
        <v>9657</v>
      </c>
      <c r="U7251" s="522"/>
      <c r="V7251" s="537"/>
      <c r="W7251" s="537"/>
      <c r="X7251" s="50">
        <v>44197</v>
      </c>
      <c r="Y7251" s="50">
        <v>44926</v>
      </c>
    </row>
    <row r="7252" s="5" customFormat="1" customHeight="1" spans="1:25">
      <c r="A7252" s="22" t="s">
        <v>444</v>
      </c>
      <c r="B7252" s="22" t="s">
        <v>9337</v>
      </c>
      <c r="C7252" s="22" t="s">
        <v>44</v>
      </c>
      <c r="D7252" s="22" t="s">
        <v>642</v>
      </c>
      <c r="E7252" s="46" t="s">
        <v>9643</v>
      </c>
      <c r="F7252" s="22" t="s">
        <v>9644</v>
      </c>
      <c r="G7252" s="22" t="s">
        <v>88</v>
      </c>
      <c r="H7252" s="22" t="s">
        <v>9645</v>
      </c>
      <c r="I7252" s="46" t="e">
        <f>VLOOKUP(H7252,'合同高级查询数据-4月返'!A:A,1,FALSE)</f>
        <v>#N/A</v>
      </c>
      <c r="J7252" s="22" t="s">
        <v>162</v>
      </c>
      <c r="K7252" s="22" t="s">
        <v>9651</v>
      </c>
      <c r="L7252" s="511" t="s">
        <v>9652</v>
      </c>
      <c r="M7252" s="22" t="s">
        <v>9653</v>
      </c>
      <c r="N7252" s="50">
        <v>43329</v>
      </c>
      <c r="O7252" s="22" t="s">
        <v>92</v>
      </c>
      <c r="P7252" s="114">
        <v>4300</v>
      </c>
      <c r="Q7252" s="531">
        <v>4</v>
      </c>
      <c r="R7252" s="114">
        <f t="shared" si="205"/>
        <v>17200</v>
      </c>
      <c r="S7252" s="47">
        <v>202304</v>
      </c>
      <c r="T7252" s="532" t="s">
        <v>9658</v>
      </c>
      <c r="U7252" s="522"/>
      <c r="V7252" s="537"/>
      <c r="W7252" s="537"/>
      <c r="X7252" s="50">
        <v>44197</v>
      </c>
      <c r="Y7252" s="50">
        <v>44926</v>
      </c>
    </row>
    <row r="7253" s="5" customFormat="1" customHeight="1" spans="1:25">
      <c r="A7253" s="22" t="s">
        <v>444</v>
      </c>
      <c r="B7253" s="22" t="s">
        <v>9337</v>
      </c>
      <c r="C7253" s="22" t="s">
        <v>44</v>
      </c>
      <c r="D7253" s="22" t="s">
        <v>642</v>
      </c>
      <c r="E7253" s="46" t="s">
        <v>9643</v>
      </c>
      <c r="F7253" s="22" t="s">
        <v>9644</v>
      </c>
      <c r="G7253" s="22" t="s">
        <v>88</v>
      </c>
      <c r="H7253" s="22" t="s">
        <v>9645</v>
      </c>
      <c r="I7253" s="46" t="e">
        <f>VLOOKUP(H7253,'合同高级查询数据-4月返'!A:A,1,FALSE)</f>
        <v>#N/A</v>
      </c>
      <c r="J7253" s="22" t="s">
        <v>162</v>
      </c>
      <c r="K7253" s="22" t="s">
        <v>9651</v>
      </c>
      <c r="L7253" s="511" t="s">
        <v>9652</v>
      </c>
      <c r="M7253" s="22" t="s">
        <v>9653</v>
      </c>
      <c r="N7253" s="50">
        <v>44681</v>
      </c>
      <c r="O7253" s="22" t="s">
        <v>92</v>
      </c>
      <c r="P7253" s="114">
        <v>4300</v>
      </c>
      <c r="Q7253" s="531">
        <v>-4</v>
      </c>
      <c r="R7253" s="114">
        <f t="shared" si="205"/>
        <v>-17200</v>
      </c>
      <c r="S7253" s="47">
        <v>202304</v>
      </c>
      <c r="T7253" s="532" t="s">
        <v>9659</v>
      </c>
      <c r="U7253" s="522"/>
      <c r="V7253" s="537"/>
      <c r="W7253" s="537"/>
      <c r="X7253" s="50">
        <v>44197</v>
      </c>
      <c r="Y7253" s="50">
        <v>44926</v>
      </c>
    </row>
    <row r="7254" s="3" customFormat="1" customHeight="1" spans="1:25">
      <c r="A7254" s="35" t="s">
        <v>444</v>
      </c>
      <c r="B7254" s="35" t="s">
        <v>9337</v>
      </c>
      <c r="C7254" s="35" t="s">
        <v>44</v>
      </c>
      <c r="D7254" s="35" t="s">
        <v>642</v>
      </c>
      <c r="E7254" s="13" t="s">
        <v>9660</v>
      </c>
      <c r="F7254" s="11" t="s">
        <v>9661</v>
      </c>
      <c r="G7254" s="35" t="s">
        <v>31</v>
      </c>
      <c r="H7254" s="110" t="s">
        <v>9662</v>
      </c>
      <c r="I7254" s="30" t="e">
        <f>VLOOKUP(H7254,'合同高级查询数据-4月返'!A:A,1,FALSE)</f>
        <v>#N/A</v>
      </c>
      <c r="J7254" s="35" t="s">
        <v>33</v>
      </c>
      <c r="K7254" s="11" t="s">
        <v>9663</v>
      </c>
      <c r="L7254" s="32" t="s">
        <v>9661</v>
      </c>
      <c r="M7254" s="113" t="s">
        <v>9664</v>
      </c>
      <c r="N7254" s="34">
        <v>45017</v>
      </c>
      <c r="O7254" s="494" t="s">
        <v>37</v>
      </c>
      <c r="P7254" s="488">
        <v>0</v>
      </c>
      <c r="Q7254" s="459">
        <v>700</v>
      </c>
      <c r="R7254" s="465">
        <f t="shared" si="205"/>
        <v>0</v>
      </c>
      <c r="S7254" s="31">
        <v>202304</v>
      </c>
      <c r="T7254" s="60" t="s">
        <v>9665</v>
      </c>
      <c r="U7254" s="104"/>
      <c r="V7254" s="438"/>
      <c r="W7254" s="438"/>
      <c r="X7254" s="34"/>
      <c r="Y7254" s="34"/>
    </row>
    <row r="7255" s="3" customFormat="1" customHeight="1" spans="1:25">
      <c r="A7255" s="35" t="s">
        <v>444</v>
      </c>
      <c r="B7255" s="35" t="s">
        <v>9337</v>
      </c>
      <c r="C7255" s="35" t="s">
        <v>44</v>
      </c>
      <c r="D7255" s="35" t="s">
        <v>642</v>
      </c>
      <c r="E7255" s="13" t="s">
        <v>9660</v>
      </c>
      <c r="F7255" s="11" t="s">
        <v>9661</v>
      </c>
      <c r="G7255" s="35" t="s">
        <v>31</v>
      </c>
      <c r="H7255" s="110" t="s">
        <v>9662</v>
      </c>
      <c r="I7255" s="30" t="e">
        <f>VLOOKUP(H7255,'合同高级查询数据-4月返'!A:A,1,FALSE)</f>
        <v>#N/A</v>
      </c>
      <c r="J7255" s="35" t="s">
        <v>33</v>
      </c>
      <c r="K7255" s="11" t="s">
        <v>9663</v>
      </c>
      <c r="L7255" s="32" t="s">
        <v>9661</v>
      </c>
      <c r="M7255" s="113" t="s">
        <v>9664</v>
      </c>
      <c r="N7255" s="34">
        <v>45017</v>
      </c>
      <c r="O7255" s="494" t="s">
        <v>179</v>
      </c>
      <c r="P7255" s="488">
        <v>0</v>
      </c>
      <c r="Q7255" s="459">
        <v>2</v>
      </c>
      <c r="R7255" s="465">
        <f t="shared" si="205"/>
        <v>0</v>
      </c>
      <c r="S7255" s="31">
        <v>202304</v>
      </c>
      <c r="T7255" s="60" t="s">
        <v>9666</v>
      </c>
      <c r="U7255" s="104"/>
      <c r="V7255" s="438"/>
      <c r="W7255" s="438"/>
      <c r="X7255" s="34"/>
      <c r="Y7255" s="34"/>
    </row>
    <row r="7256" s="3" customFormat="1" customHeight="1" spans="1:25">
      <c r="A7256" s="35" t="s">
        <v>444</v>
      </c>
      <c r="B7256" s="35" t="s">
        <v>9337</v>
      </c>
      <c r="C7256" s="35" t="s">
        <v>44</v>
      </c>
      <c r="D7256" s="35" t="s">
        <v>642</v>
      </c>
      <c r="E7256" s="13" t="s">
        <v>9660</v>
      </c>
      <c r="F7256" s="11" t="s">
        <v>9661</v>
      </c>
      <c r="G7256" s="35" t="s">
        <v>88</v>
      </c>
      <c r="H7256" s="110" t="s">
        <v>9662</v>
      </c>
      <c r="I7256" s="30" t="e">
        <f>VLOOKUP(H7256,'合同高级查询数据-4月返'!A:A,1,FALSE)</f>
        <v>#N/A</v>
      </c>
      <c r="J7256" s="35" t="s">
        <v>162</v>
      </c>
      <c r="K7256" s="11" t="s">
        <v>9663</v>
      </c>
      <c r="L7256" s="32" t="s">
        <v>9661</v>
      </c>
      <c r="M7256" s="113" t="s">
        <v>9664</v>
      </c>
      <c r="N7256" s="34">
        <v>45017</v>
      </c>
      <c r="O7256" s="494" t="s">
        <v>92</v>
      </c>
      <c r="P7256" s="488">
        <v>4300</v>
      </c>
      <c r="Q7256" s="459">
        <v>1</v>
      </c>
      <c r="R7256" s="465">
        <f t="shared" si="205"/>
        <v>4300</v>
      </c>
      <c r="S7256" s="31">
        <v>202304</v>
      </c>
      <c r="T7256" s="472" t="s">
        <v>9667</v>
      </c>
      <c r="U7256" s="104"/>
      <c r="V7256" s="438"/>
      <c r="W7256" s="438"/>
      <c r="X7256" s="34"/>
      <c r="Y7256" s="34"/>
    </row>
    <row r="7257" s="5" customFormat="1" customHeight="1" spans="1:25">
      <c r="A7257" s="22" t="s">
        <v>444</v>
      </c>
      <c r="B7257" s="22" t="s">
        <v>9337</v>
      </c>
      <c r="C7257" s="22" t="s">
        <v>44</v>
      </c>
      <c r="D7257" s="22" t="s">
        <v>642</v>
      </c>
      <c r="E7257" s="46" t="s">
        <v>9668</v>
      </c>
      <c r="F7257" s="22" t="s">
        <v>9669</v>
      </c>
      <c r="G7257" s="22" t="s">
        <v>31</v>
      </c>
      <c r="H7257" s="22" t="s">
        <v>9670</v>
      </c>
      <c r="I7257" s="46" t="e">
        <f>VLOOKUP(H7257,'合同高级查询数据-4月返'!A:A,1,FALSE)</f>
        <v>#N/A</v>
      </c>
      <c r="J7257" s="22" t="s">
        <v>33</v>
      </c>
      <c r="K7257" s="22" t="s">
        <v>7896</v>
      </c>
      <c r="L7257" s="511" t="s">
        <v>9671</v>
      </c>
      <c r="M7257" s="22" t="s">
        <v>9672</v>
      </c>
      <c r="N7257" s="50">
        <v>44816</v>
      </c>
      <c r="O7257" s="22" t="s">
        <v>37</v>
      </c>
      <c r="P7257" s="114">
        <v>0</v>
      </c>
      <c r="Q7257" s="486">
        <v>640</v>
      </c>
      <c r="R7257" s="114">
        <f t="shared" si="205"/>
        <v>0</v>
      </c>
      <c r="S7257" s="47">
        <v>202304</v>
      </c>
      <c r="T7257" s="536" t="s">
        <v>9673</v>
      </c>
      <c r="U7257" s="97"/>
      <c r="V7257" s="97"/>
      <c r="W7257" s="97"/>
      <c r="X7257" s="509">
        <v>44805</v>
      </c>
      <c r="Y7257" s="50">
        <v>45170</v>
      </c>
    </row>
    <row r="7258" s="5" customFormat="1" customHeight="1" spans="1:25">
      <c r="A7258" s="22" t="s">
        <v>444</v>
      </c>
      <c r="B7258" s="22" t="s">
        <v>9337</v>
      </c>
      <c r="C7258" s="22" t="s">
        <v>44</v>
      </c>
      <c r="D7258" s="22" t="s">
        <v>642</v>
      </c>
      <c r="E7258" s="46" t="s">
        <v>9668</v>
      </c>
      <c r="F7258" s="22" t="s">
        <v>9669</v>
      </c>
      <c r="G7258" s="22" t="s">
        <v>31</v>
      </c>
      <c r="H7258" s="22" t="s">
        <v>9670</v>
      </c>
      <c r="I7258" s="46" t="e">
        <f>VLOOKUP(H7258,'合同高级查询数据-4月返'!A:A,1,FALSE)</f>
        <v>#N/A</v>
      </c>
      <c r="J7258" s="22" t="s">
        <v>33</v>
      </c>
      <c r="K7258" s="22" t="s">
        <v>7896</v>
      </c>
      <c r="L7258" s="511" t="s">
        <v>9671</v>
      </c>
      <c r="M7258" s="22" t="s">
        <v>9672</v>
      </c>
      <c r="N7258" s="50"/>
      <c r="O7258" s="22" t="s">
        <v>179</v>
      </c>
      <c r="P7258" s="551">
        <v>0</v>
      </c>
      <c r="Q7258" s="486">
        <v>0</v>
      </c>
      <c r="R7258" s="114">
        <f t="shared" si="205"/>
        <v>0</v>
      </c>
      <c r="S7258" s="47">
        <v>202304</v>
      </c>
      <c r="T7258" s="536" t="s">
        <v>9674</v>
      </c>
      <c r="U7258" s="97"/>
      <c r="V7258" s="563"/>
      <c r="W7258" s="97"/>
      <c r="X7258" s="509">
        <v>44805</v>
      </c>
      <c r="Y7258" s="50">
        <v>45170</v>
      </c>
    </row>
    <row r="7259" s="5" customFormat="1" customHeight="1" spans="1:25">
      <c r="A7259" s="22" t="s">
        <v>444</v>
      </c>
      <c r="B7259" s="22" t="s">
        <v>9337</v>
      </c>
      <c r="C7259" s="22" t="s">
        <v>44</v>
      </c>
      <c r="D7259" s="22" t="s">
        <v>642</v>
      </c>
      <c r="E7259" s="46" t="s">
        <v>9668</v>
      </c>
      <c r="F7259" s="22" t="s">
        <v>9669</v>
      </c>
      <c r="G7259" s="22" t="s">
        <v>88</v>
      </c>
      <c r="H7259" s="22" t="s">
        <v>9670</v>
      </c>
      <c r="I7259" s="46" t="e">
        <f>VLOOKUP(H7259,'合同高级查询数据-4月返'!A:A,1,FALSE)</f>
        <v>#N/A</v>
      </c>
      <c r="J7259" s="22" t="s">
        <v>162</v>
      </c>
      <c r="K7259" s="22" t="s">
        <v>7896</v>
      </c>
      <c r="L7259" s="511" t="s">
        <v>9671</v>
      </c>
      <c r="M7259" s="22" t="s">
        <v>9672</v>
      </c>
      <c r="N7259" s="50">
        <v>44816</v>
      </c>
      <c r="O7259" s="22" t="s">
        <v>92</v>
      </c>
      <c r="P7259" s="114">
        <v>4300</v>
      </c>
      <c r="Q7259" s="531">
        <v>9</v>
      </c>
      <c r="R7259" s="114">
        <f t="shared" si="205"/>
        <v>38700</v>
      </c>
      <c r="S7259" s="47">
        <v>202304</v>
      </c>
      <c r="T7259" s="536" t="s">
        <v>9675</v>
      </c>
      <c r="U7259" s="97"/>
      <c r="V7259" s="97"/>
      <c r="W7259" s="97"/>
      <c r="X7259" s="509">
        <v>44805</v>
      </c>
      <c r="Y7259" s="50">
        <v>45170</v>
      </c>
    </row>
    <row r="7260" s="5" customFormat="1" customHeight="1" spans="1:25">
      <c r="A7260" s="22" t="s">
        <v>444</v>
      </c>
      <c r="B7260" s="22" t="s">
        <v>9337</v>
      </c>
      <c r="C7260" s="22" t="s">
        <v>44</v>
      </c>
      <c r="D7260" s="22" t="s">
        <v>642</v>
      </c>
      <c r="E7260" s="46" t="s">
        <v>9676</v>
      </c>
      <c r="F7260" s="22" t="s">
        <v>8127</v>
      </c>
      <c r="G7260" s="22" t="s">
        <v>31</v>
      </c>
      <c r="H7260" s="22" t="s">
        <v>9677</v>
      </c>
      <c r="I7260" s="46" t="str">
        <f>VLOOKUP(H7260,'合同高级查询数据-4月返'!A:A,1,FALSE)</f>
        <v>182315IDC00069</v>
      </c>
      <c r="J7260" s="22" t="s">
        <v>33</v>
      </c>
      <c r="K7260" s="22" t="s">
        <v>46</v>
      </c>
      <c r="L7260" s="511" t="s">
        <v>9678</v>
      </c>
      <c r="M7260" s="22" t="s">
        <v>9679</v>
      </c>
      <c r="N7260" s="50">
        <v>43965</v>
      </c>
      <c r="O7260" s="22" t="s">
        <v>37</v>
      </c>
      <c r="P7260" s="114">
        <v>0</v>
      </c>
      <c r="Q7260" s="486">
        <v>448</v>
      </c>
      <c r="R7260" s="114">
        <f t="shared" si="205"/>
        <v>0</v>
      </c>
      <c r="S7260" s="47">
        <v>202304</v>
      </c>
      <c r="T7260" s="532" t="s">
        <v>9680</v>
      </c>
      <c r="U7260" s="522"/>
      <c r="V7260" s="537"/>
      <c r="W7260" s="537"/>
      <c r="X7260" s="50">
        <v>44927</v>
      </c>
      <c r="Y7260" s="471">
        <v>45107</v>
      </c>
    </row>
    <row r="7261" s="5" customFormat="1" customHeight="1" spans="1:25">
      <c r="A7261" s="22" t="s">
        <v>444</v>
      </c>
      <c r="B7261" s="22" t="s">
        <v>9337</v>
      </c>
      <c r="C7261" s="22" t="s">
        <v>44</v>
      </c>
      <c r="D7261" s="22" t="s">
        <v>642</v>
      </c>
      <c r="E7261" s="46" t="s">
        <v>9676</v>
      </c>
      <c r="F7261" s="22" t="s">
        <v>8127</v>
      </c>
      <c r="G7261" s="22" t="s">
        <v>31</v>
      </c>
      <c r="H7261" s="22" t="s">
        <v>9677</v>
      </c>
      <c r="I7261" s="46" t="str">
        <f>VLOOKUP(H7261,'合同高级查询数据-4月返'!A:A,1,FALSE)</f>
        <v>182315IDC00069</v>
      </c>
      <c r="J7261" s="22" t="s">
        <v>33</v>
      </c>
      <c r="K7261" s="22" t="s">
        <v>46</v>
      </c>
      <c r="L7261" s="511" t="s">
        <v>9678</v>
      </c>
      <c r="M7261" s="22" t="s">
        <v>9679</v>
      </c>
      <c r="N7261" s="50">
        <v>43965</v>
      </c>
      <c r="O7261" s="22" t="s">
        <v>37</v>
      </c>
      <c r="P7261" s="114">
        <v>50</v>
      </c>
      <c r="Q7261" s="486">
        <v>96</v>
      </c>
      <c r="R7261" s="114">
        <f t="shared" si="205"/>
        <v>4800</v>
      </c>
      <c r="S7261" s="47">
        <v>202304</v>
      </c>
      <c r="T7261" s="532" t="s">
        <v>9680</v>
      </c>
      <c r="U7261" s="522"/>
      <c r="V7261" s="537"/>
      <c r="W7261" s="537"/>
      <c r="X7261" s="50">
        <v>44927</v>
      </c>
      <c r="Y7261" s="471">
        <v>45107</v>
      </c>
    </row>
    <row r="7262" s="5" customFormat="1" customHeight="1" spans="1:25">
      <c r="A7262" s="22" t="s">
        <v>444</v>
      </c>
      <c r="B7262" s="22" t="s">
        <v>9337</v>
      </c>
      <c r="C7262" s="22" t="s">
        <v>44</v>
      </c>
      <c r="D7262" s="22" t="s">
        <v>642</v>
      </c>
      <c r="E7262" s="46" t="s">
        <v>9676</v>
      </c>
      <c r="F7262" s="22" t="s">
        <v>8127</v>
      </c>
      <c r="G7262" s="22" t="s">
        <v>31</v>
      </c>
      <c r="H7262" s="22" t="s">
        <v>9677</v>
      </c>
      <c r="I7262" s="46" t="str">
        <f>VLOOKUP(H7262,'合同高级查询数据-4月返'!A:A,1,FALSE)</f>
        <v>182315IDC00069</v>
      </c>
      <c r="J7262" s="22" t="s">
        <v>33</v>
      </c>
      <c r="K7262" s="22" t="s">
        <v>46</v>
      </c>
      <c r="L7262" s="511" t="s">
        <v>9678</v>
      </c>
      <c r="M7262" s="22" t="s">
        <v>9679</v>
      </c>
      <c r="N7262" s="50">
        <v>44773</v>
      </c>
      <c r="O7262" s="22" t="s">
        <v>37</v>
      </c>
      <c r="P7262" s="114">
        <v>50</v>
      </c>
      <c r="Q7262" s="486">
        <v>-96</v>
      </c>
      <c r="R7262" s="114">
        <f t="shared" si="205"/>
        <v>-4800</v>
      </c>
      <c r="S7262" s="47">
        <v>202304</v>
      </c>
      <c r="T7262" s="532" t="s">
        <v>9681</v>
      </c>
      <c r="U7262" s="522"/>
      <c r="V7262" s="537"/>
      <c r="W7262" s="537"/>
      <c r="X7262" s="50">
        <v>44927</v>
      </c>
      <c r="Y7262" s="471">
        <v>45107</v>
      </c>
    </row>
    <row r="7263" s="5" customFormat="1" customHeight="1" spans="1:25">
      <c r="A7263" s="22" t="s">
        <v>444</v>
      </c>
      <c r="B7263" s="22" t="s">
        <v>9337</v>
      </c>
      <c r="C7263" s="22" t="s">
        <v>44</v>
      </c>
      <c r="D7263" s="22" t="s">
        <v>642</v>
      </c>
      <c r="E7263" s="46" t="s">
        <v>9676</v>
      </c>
      <c r="F7263" s="22" t="s">
        <v>8127</v>
      </c>
      <c r="G7263" s="22" t="s">
        <v>31</v>
      </c>
      <c r="H7263" s="22" t="s">
        <v>9677</v>
      </c>
      <c r="I7263" s="46" t="str">
        <f>VLOOKUP(H7263,'合同高级查询数据-4月返'!A:A,1,FALSE)</f>
        <v>182315IDC00069</v>
      </c>
      <c r="J7263" s="22" t="s">
        <v>33</v>
      </c>
      <c r="K7263" s="22" t="s">
        <v>46</v>
      </c>
      <c r="L7263" s="511" t="s">
        <v>9678</v>
      </c>
      <c r="M7263" s="22" t="s">
        <v>9679</v>
      </c>
      <c r="N7263" s="50">
        <v>44773</v>
      </c>
      <c r="O7263" s="22" t="s">
        <v>37</v>
      </c>
      <c r="P7263" s="114">
        <v>0</v>
      </c>
      <c r="Q7263" s="486">
        <f>-384-Q7262</f>
        <v>-288</v>
      </c>
      <c r="R7263" s="114">
        <f t="shared" ref="R7263:R7282" si="206">ROUND(P7263*Q7263,2)</f>
        <v>0</v>
      </c>
      <c r="S7263" s="47">
        <v>202304</v>
      </c>
      <c r="T7263" s="532" t="s">
        <v>9682</v>
      </c>
      <c r="U7263" s="522"/>
      <c r="V7263" s="537"/>
      <c r="W7263" s="537"/>
      <c r="X7263" s="50">
        <v>44927</v>
      </c>
      <c r="Y7263" s="471">
        <v>45107</v>
      </c>
    </row>
    <row r="7264" s="5" customFormat="1" customHeight="1" spans="1:25">
      <c r="A7264" s="22" t="s">
        <v>444</v>
      </c>
      <c r="B7264" s="22" t="s">
        <v>9337</v>
      </c>
      <c r="C7264" s="22" t="s">
        <v>44</v>
      </c>
      <c r="D7264" s="22" t="s">
        <v>642</v>
      </c>
      <c r="E7264" s="46" t="s">
        <v>9676</v>
      </c>
      <c r="F7264" s="22" t="s">
        <v>8127</v>
      </c>
      <c r="G7264" s="22" t="s">
        <v>88</v>
      </c>
      <c r="H7264" s="22" t="s">
        <v>9677</v>
      </c>
      <c r="I7264" s="46" t="str">
        <f>VLOOKUP(H7264,'合同高级查询数据-4月返'!A:A,1,FALSE)</f>
        <v>182315IDC00069</v>
      </c>
      <c r="J7264" s="22" t="s">
        <v>162</v>
      </c>
      <c r="K7264" s="22" t="s">
        <v>46</v>
      </c>
      <c r="L7264" s="511" t="s">
        <v>9678</v>
      </c>
      <c r="M7264" s="22" t="s">
        <v>9679</v>
      </c>
      <c r="N7264" s="50">
        <v>43965</v>
      </c>
      <c r="O7264" s="22" t="s">
        <v>92</v>
      </c>
      <c r="P7264" s="114">
        <v>4300</v>
      </c>
      <c r="Q7264" s="531">
        <v>10</v>
      </c>
      <c r="R7264" s="114">
        <f t="shared" si="206"/>
        <v>43000</v>
      </c>
      <c r="S7264" s="47">
        <v>202304</v>
      </c>
      <c r="T7264" s="532" t="s">
        <v>9683</v>
      </c>
      <c r="U7264" s="522"/>
      <c r="V7264" s="537"/>
      <c r="W7264" s="537"/>
      <c r="X7264" s="50">
        <v>44927</v>
      </c>
      <c r="Y7264" s="471">
        <v>45107</v>
      </c>
    </row>
    <row r="7265" s="5" customFormat="1" customHeight="1" spans="1:25">
      <c r="A7265" s="22" t="s">
        <v>444</v>
      </c>
      <c r="B7265" s="22" t="s">
        <v>9337</v>
      </c>
      <c r="C7265" s="22" t="s">
        <v>44</v>
      </c>
      <c r="D7265" s="22" t="s">
        <v>642</v>
      </c>
      <c r="E7265" s="46" t="s">
        <v>9676</v>
      </c>
      <c r="F7265" s="22" t="s">
        <v>8127</v>
      </c>
      <c r="G7265" s="22" t="s">
        <v>88</v>
      </c>
      <c r="H7265" s="22" t="s">
        <v>9677</v>
      </c>
      <c r="I7265" s="46" t="str">
        <f>VLOOKUP(H7265,'合同高级查询数据-4月返'!A:A,1,FALSE)</f>
        <v>182315IDC00069</v>
      </c>
      <c r="J7265" s="22" t="s">
        <v>162</v>
      </c>
      <c r="K7265" s="511" t="s">
        <v>9678</v>
      </c>
      <c r="L7265" s="511" t="s">
        <v>9678</v>
      </c>
      <c r="M7265" s="22" t="s">
        <v>9679</v>
      </c>
      <c r="N7265" s="50">
        <v>44425</v>
      </c>
      <c r="O7265" s="22" t="s">
        <v>92</v>
      </c>
      <c r="P7265" s="114">
        <v>4300</v>
      </c>
      <c r="Q7265" s="531">
        <v>1</v>
      </c>
      <c r="R7265" s="114">
        <f t="shared" si="206"/>
        <v>4300</v>
      </c>
      <c r="S7265" s="47">
        <v>202304</v>
      </c>
      <c r="T7265" s="532" t="s">
        <v>9684</v>
      </c>
      <c r="U7265" s="522"/>
      <c r="V7265" s="512"/>
      <c r="W7265" s="537"/>
      <c r="X7265" s="50">
        <v>44927</v>
      </c>
      <c r="Y7265" s="471">
        <v>45107</v>
      </c>
    </row>
    <row r="7266" s="5" customFormat="1" customHeight="1" spans="1:25">
      <c r="A7266" s="22" t="s">
        <v>444</v>
      </c>
      <c r="B7266" s="22" t="s">
        <v>9337</v>
      </c>
      <c r="C7266" s="22" t="s">
        <v>44</v>
      </c>
      <c r="D7266" s="22" t="s">
        <v>642</v>
      </c>
      <c r="E7266" s="46" t="s">
        <v>9676</v>
      </c>
      <c r="F7266" s="22" t="s">
        <v>8127</v>
      </c>
      <c r="G7266" s="22" t="s">
        <v>88</v>
      </c>
      <c r="H7266" s="22" t="s">
        <v>9677</v>
      </c>
      <c r="I7266" s="46" t="str">
        <f>VLOOKUP(H7266,'合同高级查询数据-4月返'!A:A,1,FALSE)</f>
        <v>182315IDC00069</v>
      </c>
      <c r="J7266" s="22" t="s">
        <v>162</v>
      </c>
      <c r="K7266" s="511" t="s">
        <v>9678</v>
      </c>
      <c r="L7266" s="511" t="s">
        <v>9678</v>
      </c>
      <c r="M7266" s="22" t="s">
        <v>9679</v>
      </c>
      <c r="N7266" s="50">
        <v>44617</v>
      </c>
      <c r="O7266" s="22" t="s">
        <v>92</v>
      </c>
      <c r="P7266" s="114">
        <v>4300</v>
      </c>
      <c r="Q7266" s="531">
        <v>-6</v>
      </c>
      <c r="R7266" s="114">
        <f t="shared" si="206"/>
        <v>-25800</v>
      </c>
      <c r="S7266" s="47">
        <v>202304</v>
      </c>
      <c r="T7266" s="532" t="s">
        <v>9685</v>
      </c>
      <c r="U7266" s="522"/>
      <c r="V7266" s="512"/>
      <c r="W7266" s="537"/>
      <c r="X7266" s="50">
        <v>44927</v>
      </c>
      <c r="Y7266" s="471">
        <v>45107</v>
      </c>
    </row>
    <row r="7267" s="5" customFormat="1" customHeight="1" spans="1:25">
      <c r="A7267" s="22" t="s">
        <v>444</v>
      </c>
      <c r="B7267" s="22" t="s">
        <v>9337</v>
      </c>
      <c r="C7267" s="22" t="s">
        <v>44</v>
      </c>
      <c r="D7267" s="22" t="s">
        <v>642</v>
      </c>
      <c r="E7267" s="46" t="s">
        <v>9676</v>
      </c>
      <c r="F7267" s="22" t="s">
        <v>8127</v>
      </c>
      <c r="G7267" s="22" t="s">
        <v>88</v>
      </c>
      <c r="H7267" s="22" t="s">
        <v>9677</v>
      </c>
      <c r="I7267" s="46" t="str">
        <f>VLOOKUP(H7267,'合同高级查询数据-4月返'!A:A,1,FALSE)</f>
        <v>182315IDC00069</v>
      </c>
      <c r="J7267" s="22" t="s">
        <v>162</v>
      </c>
      <c r="K7267" s="511" t="s">
        <v>9678</v>
      </c>
      <c r="L7267" s="511" t="s">
        <v>9678</v>
      </c>
      <c r="M7267" s="22" t="s">
        <v>9679</v>
      </c>
      <c r="N7267" s="50">
        <v>44773</v>
      </c>
      <c r="O7267" s="22" t="s">
        <v>92</v>
      </c>
      <c r="P7267" s="114">
        <v>4300</v>
      </c>
      <c r="Q7267" s="531">
        <v>-2</v>
      </c>
      <c r="R7267" s="114">
        <f t="shared" si="206"/>
        <v>-8600</v>
      </c>
      <c r="S7267" s="47">
        <v>202304</v>
      </c>
      <c r="T7267" s="532" t="s">
        <v>9686</v>
      </c>
      <c r="U7267" s="522"/>
      <c r="V7267" s="512"/>
      <c r="W7267" s="537"/>
      <c r="X7267" s="50">
        <v>44927</v>
      </c>
      <c r="Y7267" s="471">
        <v>45107</v>
      </c>
    </row>
    <row r="7268" s="5" customFormat="1" customHeight="1" spans="1:25">
      <c r="A7268" s="22" t="s">
        <v>444</v>
      </c>
      <c r="B7268" s="22" t="s">
        <v>9337</v>
      </c>
      <c r="C7268" s="22" t="s">
        <v>44</v>
      </c>
      <c r="D7268" s="22" t="s">
        <v>642</v>
      </c>
      <c r="E7268" s="46" t="s">
        <v>9676</v>
      </c>
      <c r="F7268" s="22" t="s">
        <v>8127</v>
      </c>
      <c r="G7268" s="22" t="s">
        <v>31</v>
      </c>
      <c r="H7268" s="22" t="s">
        <v>9677</v>
      </c>
      <c r="I7268" s="46" t="str">
        <f>VLOOKUP(H7268,'合同高级查询数据-4月返'!A:A,1,FALSE)</f>
        <v>182315IDC00069</v>
      </c>
      <c r="J7268" s="22" t="s">
        <v>33</v>
      </c>
      <c r="K7268" s="22" t="s">
        <v>46</v>
      </c>
      <c r="L7268" s="511" t="s">
        <v>9687</v>
      </c>
      <c r="M7268" s="22" t="s">
        <v>9679</v>
      </c>
      <c r="N7268" s="50">
        <v>44812</v>
      </c>
      <c r="O7268" s="22" t="s">
        <v>37</v>
      </c>
      <c r="P7268" s="114">
        <v>0</v>
      </c>
      <c r="Q7268" s="486">
        <v>832</v>
      </c>
      <c r="R7268" s="114">
        <f t="shared" si="206"/>
        <v>0</v>
      </c>
      <c r="S7268" s="47">
        <v>202304</v>
      </c>
      <c r="T7268" s="536" t="s">
        <v>9688</v>
      </c>
      <c r="U7268" s="536"/>
      <c r="V7268" s="512"/>
      <c r="W7268" s="537"/>
      <c r="X7268" s="50">
        <v>44927</v>
      </c>
      <c r="Y7268" s="471">
        <v>45107</v>
      </c>
    </row>
    <row r="7269" s="5" customFormat="1" customHeight="1" spans="1:25">
      <c r="A7269" s="22" t="s">
        <v>444</v>
      </c>
      <c r="B7269" s="22" t="s">
        <v>9337</v>
      </c>
      <c r="C7269" s="22" t="s">
        <v>44</v>
      </c>
      <c r="D7269" s="22" t="s">
        <v>642</v>
      </c>
      <c r="E7269" s="46" t="s">
        <v>9676</v>
      </c>
      <c r="F7269" s="22" t="s">
        <v>8127</v>
      </c>
      <c r="G7269" s="22" t="s">
        <v>31</v>
      </c>
      <c r="H7269" s="22" t="s">
        <v>9677</v>
      </c>
      <c r="I7269" s="46" t="str">
        <f>VLOOKUP(H7269,'合同高级查询数据-4月返'!A:A,1,FALSE)</f>
        <v>182315IDC00069</v>
      </c>
      <c r="J7269" s="22" t="s">
        <v>33</v>
      </c>
      <c r="K7269" s="22" t="s">
        <v>46</v>
      </c>
      <c r="L7269" s="511" t="s">
        <v>9687</v>
      </c>
      <c r="M7269" s="22" t="s">
        <v>9679</v>
      </c>
      <c r="N7269" s="50">
        <v>44812</v>
      </c>
      <c r="O7269" s="22" t="s">
        <v>37</v>
      </c>
      <c r="P7269" s="114">
        <v>0</v>
      </c>
      <c r="Q7269" s="486">
        <f>1024-Q7268</f>
        <v>192</v>
      </c>
      <c r="R7269" s="114">
        <f t="shared" si="206"/>
        <v>0</v>
      </c>
      <c r="S7269" s="47">
        <v>202304</v>
      </c>
      <c r="T7269" s="536" t="s">
        <v>9689</v>
      </c>
      <c r="U7269" s="536"/>
      <c r="V7269" s="512"/>
      <c r="W7269" s="537"/>
      <c r="X7269" s="50">
        <v>44927</v>
      </c>
      <c r="Y7269" s="471">
        <v>45107</v>
      </c>
    </row>
    <row r="7270" s="3" customFormat="1" customHeight="1" spans="1:25">
      <c r="A7270" s="35" t="s">
        <v>444</v>
      </c>
      <c r="B7270" s="35" t="s">
        <v>9337</v>
      </c>
      <c r="C7270" s="35" t="s">
        <v>44</v>
      </c>
      <c r="D7270" s="35" t="s">
        <v>642</v>
      </c>
      <c r="E7270" s="30" t="s">
        <v>9676</v>
      </c>
      <c r="F7270" s="35" t="s">
        <v>8127</v>
      </c>
      <c r="G7270" s="35" t="s">
        <v>31</v>
      </c>
      <c r="H7270" s="35" t="s">
        <v>9690</v>
      </c>
      <c r="I7270" s="30" t="e">
        <f>VLOOKUP(H7270,'合同高级查询数据-4月返'!A:A,1,FALSE)</f>
        <v>#N/A</v>
      </c>
      <c r="J7270" s="35" t="s">
        <v>33</v>
      </c>
      <c r="K7270" s="35" t="s">
        <v>46</v>
      </c>
      <c r="L7270" s="477" t="s">
        <v>9687</v>
      </c>
      <c r="M7270" s="35" t="s">
        <v>9679</v>
      </c>
      <c r="N7270" s="34">
        <v>45042</v>
      </c>
      <c r="O7270" s="35" t="s">
        <v>37</v>
      </c>
      <c r="P7270" s="125">
        <v>50</v>
      </c>
      <c r="Q7270" s="488">
        <v>256</v>
      </c>
      <c r="R7270" s="125">
        <f>ROUND(P7270*Q7270*5/30,2)</f>
        <v>2133.33</v>
      </c>
      <c r="S7270" s="31">
        <v>202304</v>
      </c>
      <c r="T7270" s="529" t="s">
        <v>9691</v>
      </c>
      <c r="U7270" s="529"/>
      <c r="V7270" s="542"/>
      <c r="W7270" s="534"/>
      <c r="X7270" s="34"/>
      <c r="Y7270" s="469"/>
    </row>
    <row r="7271" s="5" customFormat="1" customHeight="1" spans="1:25">
      <c r="A7271" s="22" t="s">
        <v>444</v>
      </c>
      <c r="B7271" s="22" t="s">
        <v>9337</v>
      </c>
      <c r="C7271" s="22" t="s">
        <v>44</v>
      </c>
      <c r="D7271" s="22" t="s">
        <v>642</v>
      </c>
      <c r="E7271" s="46" t="s">
        <v>9676</v>
      </c>
      <c r="F7271" s="22" t="s">
        <v>8127</v>
      </c>
      <c r="G7271" s="22" t="s">
        <v>88</v>
      </c>
      <c r="H7271" s="22" t="s">
        <v>9677</v>
      </c>
      <c r="I7271" s="46" t="str">
        <f>VLOOKUP(H7271,'合同高级查询数据-4月返'!A:A,1,FALSE)</f>
        <v>182315IDC00069</v>
      </c>
      <c r="J7271" s="22" t="s">
        <v>162</v>
      </c>
      <c r="K7271" s="22" t="s">
        <v>46</v>
      </c>
      <c r="L7271" s="511" t="s">
        <v>9687</v>
      </c>
      <c r="M7271" s="22" t="s">
        <v>9679</v>
      </c>
      <c r="N7271" s="50">
        <v>44805</v>
      </c>
      <c r="O7271" s="22" t="s">
        <v>524</v>
      </c>
      <c r="P7271" s="114">
        <v>4300</v>
      </c>
      <c r="Q7271" s="531">
        <v>1</v>
      </c>
      <c r="R7271" s="114">
        <f t="shared" si="206"/>
        <v>4300</v>
      </c>
      <c r="S7271" s="47">
        <v>202304</v>
      </c>
      <c r="T7271" s="536" t="s">
        <v>9692</v>
      </c>
      <c r="U7271" s="536"/>
      <c r="V7271" s="512"/>
      <c r="W7271" s="537"/>
      <c r="X7271" s="50">
        <v>44927</v>
      </c>
      <c r="Y7271" s="471">
        <v>45107</v>
      </c>
    </row>
    <row r="7272" s="3" customFormat="1" customHeight="1" spans="1:25">
      <c r="A7272" s="35" t="s">
        <v>444</v>
      </c>
      <c r="B7272" s="35" t="s">
        <v>9337</v>
      </c>
      <c r="C7272" s="35" t="s">
        <v>44</v>
      </c>
      <c r="D7272" s="35" t="s">
        <v>642</v>
      </c>
      <c r="E7272" s="30" t="s">
        <v>9676</v>
      </c>
      <c r="F7272" s="35" t="s">
        <v>8127</v>
      </c>
      <c r="G7272" s="35" t="s">
        <v>88</v>
      </c>
      <c r="H7272" s="35" t="s">
        <v>9693</v>
      </c>
      <c r="I7272" s="30" t="e">
        <f>VLOOKUP(H7272,'合同高级查询数据-4月返'!A:A,1,FALSE)</f>
        <v>#N/A</v>
      </c>
      <c r="J7272" s="35" t="s">
        <v>162</v>
      </c>
      <c r="K7272" s="35" t="s">
        <v>46</v>
      </c>
      <c r="L7272" s="477" t="s">
        <v>9687</v>
      </c>
      <c r="M7272" s="35" t="s">
        <v>9679</v>
      </c>
      <c r="N7272" s="34">
        <v>44805</v>
      </c>
      <c r="O7272" s="35" t="s">
        <v>524</v>
      </c>
      <c r="P7272" s="125">
        <v>0</v>
      </c>
      <c r="Q7272" s="526">
        <v>1</v>
      </c>
      <c r="R7272" s="125">
        <f t="shared" si="206"/>
        <v>0</v>
      </c>
      <c r="S7272" s="31">
        <v>202304</v>
      </c>
      <c r="T7272" s="529" t="s">
        <v>9694</v>
      </c>
      <c r="U7272" s="529"/>
      <c r="V7272" s="542"/>
      <c r="W7272" s="534"/>
      <c r="X7272" s="34"/>
      <c r="Y7272" s="34"/>
    </row>
    <row r="7273" s="5" customFormat="1" customHeight="1" spans="1:25">
      <c r="A7273" s="22" t="s">
        <v>444</v>
      </c>
      <c r="B7273" s="22" t="s">
        <v>9337</v>
      </c>
      <c r="C7273" s="22" t="s">
        <v>44</v>
      </c>
      <c r="D7273" s="22" t="s">
        <v>642</v>
      </c>
      <c r="E7273" s="46" t="s">
        <v>9695</v>
      </c>
      <c r="F7273" s="22" t="s">
        <v>8653</v>
      </c>
      <c r="G7273" s="22" t="s">
        <v>31</v>
      </c>
      <c r="H7273" s="22" t="s">
        <v>9696</v>
      </c>
      <c r="I7273" s="46" t="str">
        <f>VLOOKUP(H7273,'合同高级查询数据-4月返'!A:A,1,FALSE)</f>
        <v>182315IDC00118</v>
      </c>
      <c r="J7273" s="22" t="s">
        <v>33</v>
      </c>
      <c r="K7273" s="511" t="s">
        <v>9697</v>
      </c>
      <c r="L7273" s="511" t="s">
        <v>9697</v>
      </c>
      <c r="M7273" s="22" t="s">
        <v>9698</v>
      </c>
      <c r="N7273" s="50">
        <v>43966</v>
      </c>
      <c r="O7273" s="22" t="s">
        <v>37</v>
      </c>
      <c r="P7273" s="114">
        <v>0</v>
      </c>
      <c r="Q7273" s="486">
        <v>320</v>
      </c>
      <c r="R7273" s="114">
        <f t="shared" si="206"/>
        <v>0</v>
      </c>
      <c r="S7273" s="47">
        <v>202304</v>
      </c>
      <c r="T7273" s="532" t="s">
        <v>9699</v>
      </c>
      <c r="U7273" s="522"/>
      <c r="V7273" s="537"/>
      <c r="W7273" s="537"/>
      <c r="X7273" s="50">
        <v>44927</v>
      </c>
      <c r="Y7273" s="471">
        <v>45107</v>
      </c>
    </row>
    <row r="7274" s="5" customFormat="1" customHeight="1" spans="1:25">
      <c r="A7274" s="22" t="s">
        <v>444</v>
      </c>
      <c r="B7274" s="22" t="s">
        <v>9337</v>
      </c>
      <c r="C7274" s="22" t="s">
        <v>44</v>
      </c>
      <c r="D7274" s="22" t="s">
        <v>642</v>
      </c>
      <c r="E7274" s="46" t="s">
        <v>9695</v>
      </c>
      <c r="F7274" s="22" t="s">
        <v>8653</v>
      </c>
      <c r="G7274" s="22" t="s">
        <v>31</v>
      </c>
      <c r="H7274" s="22" t="s">
        <v>9696</v>
      </c>
      <c r="I7274" s="46" t="str">
        <f>VLOOKUP(H7274,'合同高级查询数据-4月返'!A:A,1,FALSE)</f>
        <v>182315IDC00118</v>
      </c>
      <c r="J7274" s="22" t="s">
        <v>33</v>
      </c>
      <c r="K7274" s="511" t="s">
        <v>9697</v>
      </c>
      <c r="L7274" s="511" t="s">
        <v>9697</v>
      </c>
      <c r="M7274" s="22" t="s">
        <v>9698</v>
      </c>
      <c r="N7274" s="50">
        <v>43966</v>
      </c>
      <c r="O7274" s="22" t="s">
        <v>37</v>
      </c>
      <c r="P7274" s="114">
        <v>50</v>
      </c>
      <c r="Q7274" s="486">
        <v>224</v>
      </c>
      <c r="R7274" s="114">
        <f t="shared" si="206"/>
        <v>11200</v>
      </c>
      <c r="S7274" s="47">
        <v>202304</v>
      </c>
      <c r="T7274" s="532" t="s">
        <v>9699</v>
      </c>
      <c r="U7274" s="522"/>
      <c r="V7274" s="537"/>
      <c r="W7274" s="537"/>
      <c r="X7274" s="50">
        <v>44927</v>
      </c>
      <c r="Y7274" s="471">
        <v>45107</v>
      </c>
    </row>
    <row r="7275" s="5" customFormat="1" customHeight="1" spans="1:25">
      <c r="A7275" s="22" t="s">
        <v>444</v>
      </c>
      <c r="B7275" s="22" t="s">
        <v>9337</v>
      </c>
      <c r="C7275" s="22" t="s">
        <v>44</v>
      </c>
      <c r="D7275" s="22" t="s">
        <v>642</v>
      </c>
      <c r="E7275" s="46" t="s">
        <v>9695</v>
      </c>
      <c r="F7275" s="22" t="s">
        <v>8653</v>
      </c>
      <c r="G7275" s="22" t="s">
        <v>31</v>
      </c>
      <c r="H7275" s="22" t="s">
        <v>9696</v>
      </c>
      <c r="I7275" s="46" t="str">
        <f>VLOOKUP(H7275,'合同高级查询数据-4月返'!A:A,1,FALSE)</f>
        <v>182315IDC00118</v>
      </c>
      <c r="J7275" s="22" t="s">
        <v>33</v>
      </c>
      <c r="K7275" s="511" t="s">
        <v>9697</v>
      </c>
      <c r="L7275" s="511" t="s">
        <v>9697</v>
      </c>
      <c r="M7275" s="22" t="s">
        <v>9698</v>
      </c>
      <c r="N7275" s="50">
        <v>44773</v>
      </c>
      <c r="O7275" s="22" t="s">
        <v>37</v>
      </c>
      <c r="P7275" s="114">
        <v>50</v>
      </c>
      <c r="Q7275" s="486">
        <v>-224</v>
      </c>
      <c r="R7275" s="114">
        <f t="shared" si="206"/>
        <v>-11200</v>
      </c>
      <c r="S7275" s="47">
        <v>202304</v>
      </c>
      <c r="T7275" s="536" t="s">
        <v>9700</v>
      </c>
      <c r="U7275" s="522"/>
      <c r="V7275" s="537"/>
      <c r="W7275" s="537"/>
      <c r="X7275" s="50">
        <v>44927</v>
      </c>
      <c r="Y7275" s="471">
        <v>45107</v>
      </c>
    </row>
    <row r="7276" s="5" customFormat="1" customHeight="1" spans="1:25">
      <c r="A7276" s="22" t="s">
        <v>444</v>
      </c>
      <c r="B7276" s="22" t="s">
        <v>9337</v>
      </c>
      <c r="C7276" s="22" t="s">
        <v>44</v>
      </c>
      <c r="D7276" s="22" t="s">
        <v>642</v>
      </c>
      <c r="E7276" s="46" t="s">
        <v>9695</v>
      </c>
      <c r="F7276" s="22" t="s">
        <v>8653</v>
      </c>
      <c r="G7276" s="22" t="s">
        <v>31</v>
      </c>
      <c r="H7276" s="22" t="s">
        <v>9696</v>
      </c>
      <c r="I7276" s="46" t="str">
        <f>VLOOKUP(H7276,'合同高级查询数据-4月返'!A:A,1,FALSE)</f>
        <v>182315IDC00118</v>
      </c>
      <c r="J7276" s="22" t="s">
        <v>33</v>
      </c>
      <c r="K7276" s="511" t="s">
        <v>9697</v>
      </c>
      <c r="L7276" s="511" t="s">
        <v>9697</v>
      </c>
      <c r="M7276" s="22" t="s">
        <v>9698</v>
      </c>
      <c r="N7276" s="50">
        <v>44773</v>
      </c>
      <c r="O7276" s="22" t="s">
        <v>37</v>
      </c>
      <c r="P7276" s="114">
        <v>0</v>
      </c>
      <c r="Q7276" s="486">
        <v>-160</v>
      </c>
      <c r="R7276" s="114">
        <f t="shared" si="206"/>
        <v>0</v>
      </c>
      <c r="S7276" s="47">
        <v>202304</v>
      </c>
      <c r="T7276" s="536" t="s">
        <v>9701</v>
      </c>
      <c r="U7276" s="522"/>
      <c r="V7276" s="537"/>
      <c r="W7276" s="537"/>
      <c r="X7276" s="50">
        <v>44927</v>
      </c>
      <c r="Y7276" s="471">
        <v>45107</v>
      </c>
    </row>
    <row r="7277" s="5" customFormat="1" customHeight="1" spans="1:25">
      <c r="A7277" s="22" t="s">
        <v>444</v>
      </c>
      <c r="B7277" s="22" t="s">
        <v>9337</v>
      </c>
      <c r="C7277" s="22" t="s">
        <v>44</v>
      </c>
      <c r="D7277" s="22" t="s">
        <v>642</v>
      </c>
      <c r="E7277" s="46" t="s">
        <v>9695</v>
      </c>
      <c r="F7277" s="22" t="s">
        <v>8653</v>
      </c>
      <c r="G7277" s="22" t="s">
        <v>88</v>
      </c>
      <c r="H7277" s="22" t="s">
        <v>9696</v>
      </c>
      <c r="I7277" s="46" t="str">
        <f>VLOOKUP(H7277,'合同高级查询数据-4月返'!A:A,1,FALSE)</f>
        <v>182315IDC00118</v>
      </c>
      <c r="J7277" s="22" t="s">
        <v>162</v>
      </c>
      <c r="K7277" s="511" t="s">
        <v>9697</v>
      </c>
      <c r="L7277" s="511" t="s">
        <v>9697</v>
      </c>
      <c r="M7277" s="22" t="s">
        <v>9698</v>
      </c>
      <c r="N7277" s="50">
        <v>43966</v>
      </c>
      <c r="O7277" s="22" t="s">
        <v>92</v>
      </c>
      <c r="P7277" s="114">
        <v>4300</v>
      </c>
      <c r="Q7277" s="531">
        <v>9</v>
      </c>
      <c r="R7277" s="114">
        <f t="shared" si="206"/>
        <v>38700</v>
      </c>
      <c r="S7277" s="47">
        <v>202304</v>
      </c>
      <c r="T7277" s="532" t="s">
        <v>9702</v>
      </c>
      <c r="U7277" s="522"/>
      <c r="V7277" s="537"/>
      <c r="W7277" s="537"/>
      <c r="X7277" s="50">
        <v>44927</v>
      </c>
      <c r="Y7277" s="471">
        <v>45107</v>
      </c>
    </row>
    <row r="7278" s="5" customFormat="1" customHeight="1" spans="1:25">
      <c r="A7278" s="22" t="s">
        <v>444</v>
      </c>
      <c r="B7278" s="22" t="s">
        <v>9337</v>
      </c>
      <c r="C7278" s="22" t="s">
        <v>44</v>
      </c>
      <c r="D7278" s="22" t="s">
        <v>642</v>
      </c>
      <c r="E7278" s="46" t="s">
        <v>9695</v>
      </c>
      <c r="F7278" s="22" t="s">
        <v>8653</v>
      </c>
      <c r="G7278" s="22" t="s">
        <v>88</v>
      </c>
      <c r="H7278" s="22" t="s">
        <v>9696</v>
      </c>
      <c r="I7278" s="46" t="str">
        <f>VLOOKUP(H7278,'合同高级查询数据-4月返'!A:A,1,FALSE)</f>
        <v>182315IDC00118</v>
      </c>
      <c r="J7278" s="22" t="s">
        <v>162</v>
      </c>
      <c r="K7278" s="511" t="s">
        <v>9697</v>
      </c>
      <c r="L7278" s="511" t="s">
        <v>9697</v>
      </c>
      <c r="M7278" s="22" t="s">
        <v>9698</v>
      </c>
      <c r="N7278" s="50">
        <v>44586</v>
      </c>
      <c r="O7278" s="22" t="s">
        <v>92</v>
      </c>
      <c r="P7278" s="114">
        <v>4300</v>
      </c>
      <c r="Q7278" s="531">
        <v>-5</v>
      </c>
      <c r="R7278" s="114">
        <f t="shared" si="206"/>
        <v>-21500</v>
      </c>
      <c r="S7278" s="47">
        <v>202304</v>
      </c>
      <c r="T7278" s="532" t="s">
        <v>9703</v>
      </c>
      <c r="U7278" s="522"/>
      <c r="V7278" s="537"/>
      <c r="W7278" s="537"/>
      <c r="X7278" s="50">
        <v>44927</v>
      </c>
      <c r="Y7278" s="471">
        <v>45107</v>
      </c>
    </row>
    <row r="7279" s="5" customFormat="1" customHeight="1" spans="1:25">
      <c r="A7279" s="22" t="s">
        <v>444</v>
      </c>
      <c r="B7279" s="22" t="s">
        <v>9337</v>
      </c>
      <c r="C7279" s="22" t="s">
        <v>44</v>
      </c>
      <c r="D7279" s="22" t="s">
        <v>642</v>
      </c>
      <c r="E7279" s="46" t="s">
        <v>9695</v>
      </c>
      <c r="F7279" s="22" t="s">
        <v>8653</v>
      </c>
      <c r="G7279" s="22" t="s">
        <v>88</v>
      </c>
      <c r="H7279" s="22" t="s">
        <v>9696</v>
      </c>
      <c r="I7279" s="46" t="str">
        <f>VLOOKUP(H7279,'合同高级查询数据-4月返'!A:A,1,FALSE)</f>
        <v>182315IDC00118</v>
      </c>
      <c r="J7279" s="22" t="s">
        <v>162</v>
      </c>
      <c r="K7279" s="511" t="s">
        <v>9697</v>
      </c>
      <c r="L7279" s="511" t="s">
        <v>9697</v>
      </c>
      <c r="M7279" s="22" t="s">
        <v>9698</v>
      </c>
      <c r="N7279" s="50">
        <v>44773</v>
      </c>
      <c r="O7279" s="22" t="s">
        <v>92</v>
      </c>
      <c r="P7279" s="114">
        <v>4300</v>
      </c>
      <c r="Q7279" s="531">
        <v>-2</v>
      </c>
      <c r="R7279" s="114">
        <f t="shared" si="206"/>
        <v>-8600</v>
      </c>
      <c r="S7279" s="47">
        <v>202304</v>
      </c>
      <c r="T7279" s="532" t="s">
        <v>9704</v>
      </c>
      <c r="U7279" s="522"/>
      <c r="V7279" s="537"/>
      <c r="W7279" s="537"/>
      <c r="X7279" s="50">
        <v>44927</v>
      </c>
      <c r="Y7279" s="471">
        <v>45107</v>
      </c>
    </row>
    <row r="7280" s="5" customFormat="1" customHeight="1" spans="1:25">
      <c r="A7280" s="22" t="s">
        <v>444</v>
      </c>
      <c r="B7280" s="22" t="s">
        <v>9337</v>
      </c>
      <c r="C7280" s="22" t="s">
        <v>44</v>
      </c>
      <c r="D7280" s="22" t="s">
        <v>642</v>
      </c>
      <c r="E7280" s="46" t="s">
        <v>9705</v>
      </c>
      <c r="F7280" s="22" t="s">
        <v>9706</v>
      </c>
      <c r="G7280" s="22" t="s">
        <v>31</v>
      </c>
      <c r="H7280" s="22" t="s">
        <v>9707</v>
      </c>
      <c r="I7280" s="46" t="e">
        <f>VLOOKUP(H7280,'合同高级查询数据-4月返'!A:A,1,FALSE)</f>
        <v>#N/A</v>
      </c>
      <c r="J7280" s="22" t="s">
        <v>33</v>
      </c>
      <c r="K7280" s="22" t="s">
        <v>8166</v>
      </c>
      <c r="L7280" s="22" t="s">
        <v>9706</v>
      </c>
      <c r="M7280" s="22" t="s">
        <v>9708</v>
      </c>
      <c r="N7280" s="50">
        <v>44738</v>
      </c>
      <c r="O7280" s="22" t="s">
        <v>37</v>
      </c>
      <c r="P7280" s="114">
        <v>0</v>
      </c>
      <c r="Q7280" s="486">
        <v>288</v>
      </c>
      <c r="R7280" s="114">
        <f t="shared" si="206"/>
        <v>0</v>
      </c>
      <c r="S7280" s="47">
        <v>202304</v>
      </c>
      <c r="T7280" s="532" t="s">
        <v>9709</v>
      </c>
      <c r="U7280" s="522"/>
      <c r="V7280" s="512"/>
      <c r="W7280" s="537"/>
      <c r="X7280" s="50">
        <v>44728</v>
      </c>
      <c r="Y7280" s="50">
        <v>45092</v>
      </c>
    </row>
    <row r="7281" s="5" customFormat="1" customHeight="1" spans="1:25">
      <c r="A7281" s="22" t="s">
        <v>444</v>
      </c>
      <c r="B7281" s="22" t="s">
        <v>9337</v>
      </c>
      <c r="C7281" s="22" t="s">
        <v>44</v>
      </c>
      <c r="D7281" s="22" t="s">
        <v>642</v>
      </c>
      <c r="E7281" s="46" t="s">
        <v>9705</v>
      </c>
      <c r="F7281" s="22" t="s">
        <v>9706</v>
      </c>
      <c r="G7281" s="22" t="s">
        <v>31</v>
      </c>
      <c r="H7281" s="22" t="s">
        <v>9707</v>
      </c>
      <c r="I7281" s="46" t="e">
        <f>VLOOKUP(H7281,'合同高级查询数据-4月返'!A:A,1,FALSE)</f>
        <v>#N/A</v>
      </c>
      <c r="J7281" s="22" t="s">
        <v>33</v>
      </c>
      <c r="K7281" s="22" t="s">
        <v>8166</v>
      </c>
      <c r="L7281" s="22" t="s">
        <v>9706</v>
      </c>
      <c r="M7281" s="22" t="s">
        <v>9708</v>
      </c>
      <c r="N7281" s="50"/>
      <c r="O7281" s="22" t="s">
        <v>179</v>
      </c>
      <c r="P7281" s="114">
        <v>0</v>
      </c>
      <c r="Q7281" s="486">
        <v>0</v>
      </c>
      <c r="R7281" s="114">
        <f t="shared" si="206"/>
        <v>0</v>
      </c>
      <c r="S7281" s="47">
        <v>202304</v>
      </c>
      <c r="T7281" s="532" t="s">
        <v>9710</v>
      </c>
      <c r="U7281" s="522"/>
      <c r="V7281" s="512"/>
      <c r="W7281" s="537"/>
      <c r="X7281" s="50">
        <v>44728</v>
      </c>
      <c r="Y7281" s="50">
        <v>45092</v>
      </c>
    </row>
    <row r="7282" s="5" customFormat="1" customHeight="1" spans="1:25">
      <c r="A7282" s="22" t="s">
        <v>444</v>
      </c>
      <c r="B7282" s="22" t="s">
        <v>9337</v>
      </c>
      <c r="C7282" s="22" t="s">
        <v>44</v>
      </c>
      <c r="D7282" s="22" t="s">
        <v>642</v>
      </c>
      <c r="E7282" s="46" t="s">
        <v>9705</v>
      </c>
      <c r="F7282" s="22" t="s">
        <v>9706</v>
      </c>
      <c r="G7282" s="22" t="s">
        <v>88</v>
      </c>
      <c r="H7282" s="22" t="s">
        <v>9707</v>
      </c>
      <c r="I7282" s="46" t="e">
        <f>VLOOKUP(H7282,'合同高级查询数据-4月返'!A:A,1,FALSE)</f>
        <v>#N/A</v>
      </c>
      <c r="J7282" s="22" t="s">
        <v>162</v>
      </c>
      <c r="K7282" s="22" t="s">
        <v>8166</v>
      </c>
      <c r="L7282" s="22" t="s">
        <v>9706</v>
      </c>
      <c r="M7282" s="22" t="s">
        <v>9708</v>
      </c>
      <c r="N7282" s="50">
        <v>44738</v>
      </c>
      <c r="O7282" s="22" t="s">
        <v>92</v>
      </c>
      <c r="P7282" s="114">
        <v>4300</v>
      </c>
      <c r="Q7282" s="531">
        <v>5</v>
      </c>
      <c r="R7282" s="114">
        <f t="shared" si="206"/>
        <v>21500</v>
      </c>
      <c r="S7282" s="47">
        <v>202304</v>
      </c>
      <c r="T7282" s="532" t="s">
        <v>9711</v>
      </c>
      <c r="U7282" s="522"/>
      <c r="V7282" s="512"/>
      <c r="W7282" s="537"/>
      <c r="X7282" s="50">
        <v>44728</v>
      </c>
      <c r="Y7282" s="50">
        <v>45092</v>
      </c>
    </row>
    <row r="7283" s="87" customFormat="1" ht="14.5" spans="1:25">
      <c r="A7283" s="545" t="s">
        <v>109</v>
      </c>
      <c r="B7283" s="546" t="s">
        <v>7422</v>
      </c>
      <c r="C7283" s="546" t="s">
        <v>153</v>
      </c>
      <c r="D7283" s="546" t="s">
        <v>7585</v>
      </c>
      <c r="E7283" s="547" t="s">
        <v>9203</v>
      </c>
      <c r="F7283" s="548" t="s">
        <v>9204</v>
      </c>
      <c r="G7283" s="548" t="s">
        <v>31</v>
      </c>
      <c r="H7283" s="549" t="s">
        <v>9205</v>
      </c>
      <c r="I7283" s="30" t="e">
        <f>VLOOKUP(H7283,'合同高级查询数据-4月返'!A:A,1,FALSE)</f>
        <v>#N/A</v>
      </c>
      <c r="J7283" s="552" t="s">
        <v>33</v>
      </c>
      <c r="K7283" s="553" t="s">
        <v>157</v>
      </c>
      <c r="L7283" s="554" t="s">
        <v>9213</v>
      </c>
      <c r="M7283" s="555" t="s">
        <v>9214</v>
      </c>
      <c r="N7283" s="556">
        <v>45040</v>
      </c>
      <c r="O7283" s="546" t="s">
        <v>37</v>
      </c>
      <c r="P7283" s="554">
        <v>30</v>
      </c>
      <c r="Q7283" s="564">
        <v>128</v>
      </c>
      <c r="R7283" s="554">
        <f>ROUND(P7283*Q7283*7/30,2)</f>
        <v>896</v>
      </c>
      <c r="S7283" s="552">
        <v>202304</v>
      </c>
      <c r="T7283" s="565" t="s">
        <v>9712</v>
      </c>
      <c r="U7283" s="566"/>
      <c r="V7283" s="567"/>
      <c r="W7283" s="568"/>
      <c r="X7283" s="556"/>
      <c r="Y7283" s="556"/>
    </row>
    <row r="7284" s="88" customFormat="1" ht="14.5" spans="1:25">
      <c r="A7284" s="22" t="s">
        <v>61</v>
      </c>
      <c r="B7284" s="98" t="s">
        <v>62</v>
      </c>
      <c r="C7284" s="22" t="s">
        <v>144</v>
      </c>
      <c r="D7284" s="24" t="s">
        <v>85</v>
      </c>
      <c r="E7284" s="205" t="s">
        <v>2939</v>
      </c>
      <c r="F7284" s="203" t="s">
        <v>2940</v>
      </c>
      <c r="G7284" s="107" t="s">
        <v>88</v>
      </c>
      <c r="H7284" s="99" t="s">
        <v>2941</v>
      </c>
      <c r="I7284" s="46" t="e">
        <f>VLOOKUP(H7284,'合同高级查询数据-4月返'!A:A,1,FALSE)</f>
        <v>#N/A</v>
      </c>
      <c r="J7284" s="25" t="s">
        <v>90</v>
      </c>
      <c r="K7284" s="107" t="s">
        <v>2942</v>
      </c>
      <c r="L7284" s="107"/>
      <c r="M7284" s="49" t="s">
        <v>2943</v>
      </c>
      <c r="N7284" s="73">
        <v>45033</v>
      </c>
      <c r="O7284" s="107" t="s">
        <v>507</v>
      </c>
      <c r="P7284" s="108">
        <v>8200</v>
      </c>
      <c r="Q7284" s="108">
        <v>6</v>
      </c>
      <c r="R7284" s="118">
        <f>ROUND(P7284*Q7284*14/30,2)</f>
        <v>22960</v>
      </c>
      <c r="S7284" s="273">
        <v>202304</v>
      </c>
      <c r="T7284" s="201" t="s">
        <v>9713</v>
      </c>
      <c r="U7284" s="121"/>
      <c r="V7284" s="200"/>
      <c r="W7284" s="121"/>
      <c r="X7284" s="302">
        <v>44774</v>
      </c>
      <c r="Y7284" s="302">
        <v>46599</v>
      </c>
    </row>
    <row r="7285" s="88" customFormat="1" ht="14.5" spans="1:25">
      <c r="A7285" s="160" t="s">
        <v>61</v>
      </c>
      <c r="B7285" s="24" t="s">
        <v>62</v>
      </c>
      <c r="C7285" s="98" t="s">
        <v>238</v>
      </c>
      <c r="D7285" s="24" t="s">
        <v>64</v>
      </c>
      <c r="E7285" s="162" t="s">
        <v>2504</v>
      </c>
      <c r="F7285" s="160" t="s">
        <v>2505</v>
      </c>
      <c r="G7285" s="25" t="s">
        <v>88</v>
      </c>
      <c r="H7285" s="99" t="s">
        <v>2506</v>
      </c>
      <c r="I7285" s="46" t="e">
        <f>VLOOKUP(H7285,'合同高级查询数据-4月返'!A:A,1,FALSE)</f>
        <v>#N/A</v>
      </c>
      <c r="J7285" s="25" t="s">
        <v>90</v>
      </c>
      <c r="K7285" s="106" t="s">
        <v>2507</v>
      </c>
      <c r="L7285" s="107"/>
      <c r="M7285" s="49" t="s">
        <v>2508</v>
      </c>
      <c r="N7285" s="73">
        <v>45041</v>
      </c>
      <c r="O7285" s="107" t="s">
        <v>507</v>
      </c>
      <c r="P7285" s="164">
        <v>3520</v>
      </c>
      <c r="Q7285" s="164">
        <v>10</v>
      </c>
      <c r="R7285" s="118">
        <f>ROUND(P7285*Q7285*6/30,2)</f>
        <v>7040</v>
      </c>
      <c r="S7285" s="115">
        <v>202304</v>
      </c>
      <c r="T7285" s="169" t="s">
        <v>9714</v>
      </c>
      <c r="X7285" s="569"/>
      <c r="Y7285" s="569"/>
    </row>
    <row r="7286" s="88" customFormat="1" ht="14.5" spans="1:25">
      <c r="A7286" s="160" t="s">
        <v>61</v>
      </c>
      <c r="B7286" s="24" t="s">
        <v>62</v>
      </c>
      <c r="C7286" s="98" t="s">
        <v>238</v>
      </c>
      <c r="D7286" s="24" t="s">
        <v>64</v>
      </c>
      <c r="E7286" s="162" t="s">
        <v>2504</v>
      </c>
      <c r="F7286" s="160" t="s">
        <v>2505</v>
      </c>
      <c r="G7286" s="25" t="s">
        <v>88</v>
      </c>
      <c r="H7286" s="99" t="s">
        <v>2506</v>
      </c>
      <c r="I7286" s="46" t="e">
        <f>VLOOKUP(H7286,'合同高级查询数据-4月返'!A:A,1,FALSE)</f>
        <v>#N/A</v>
      </c>
      <c r="J7286" s="25" t="s">
        <v>90</v>
      </c>
      <c r="K7286" s="106" t="s">
        <v>2507</v>
      </c>
      <c r="L7286" s="107"/>
      <c r="M7286" s="49" t="s">
        <v>2508</v>
      </c>
      <c r="N7286" s="73">
        <v>45046</v>
      </c>
      <c r="O7286" s="107" t="s">
        <v>507</v>
      </c>
      <c r="P7286" s="164">
        <v>3520</v>
      </c>
      <c r="Q7286" s="164">
        <v>1</v>
      </c>
      <c r="R7286" s="118">
        <f>ROUND(P7286*Q7286*1/30,2)</f>
        <v>117.33</v>
      </c>
      <c r="S7286" s="115">
        <v>202304</v>
      </c>
      <c r="T7286" s="169" t="s">
        <v>9715</v>
      </c>
      <c r="X7286" s="569"/>
      <c r="Y7286" s="569"/>
    </row>
    <row r="7287" s="89" customFormat="1" ht="14.5" spans="1:25">
      <c r="A7287" s="134" t="s">
        <v>61</v>
      </c>
      <c r="B7287" s="11" t="s">
        <v>62</v>
      </c>
      <c r="C7287" s="135" t="s">
        <v>238</v>
      </c>
      <c r="D7287" s="11" t="s">
        <v>64</v>
      </c>
      <c r="E7287" s="136" t="s">
        <v>2504</v>
      </c>
      <c r="F7287" s="134" t="s">
        <v>2505</v>
      </c>
      <c r="G7287" s="110" t="s">
        <v>88</v>
      </c>
      <c r="H7287" s="152" t="s">
        <v>2604</v>
      </c>
      <c r="I7287" s="30" t="e">
        <f>VLOOKUP(H7287,'合同高级查询数据-4月返'!A:A,1,FALSE)</f>
        <v>#N/A</v>
      </c>
      <c r="J7287" s="110" t="s">
        <v>90</v>
      </c>
      <c r="K7287" s="141" t="s">
        <v>2605</v>
      </c>
      <c r="L7287" s="142"/>
      <c r="M7287" s="113" t="s">
        <v>2508</v>
      </c>
      <c r="N7287" s="146">
        <v>45045</v>
      </c>
      <c r="O7287" s="142" t="s">
        <v>507</v>
      </c>
      <c r="P7287" s="145">
        <v>3520</v>
      </c>
      <c r="Q7287" s="145">
        <v>25</v>
      </c>
      <c r="R7287" s="130">
        <f>ROUND(P7287*Q7287*2/30,2)</f>
        <v>5866.67</v>
      </c>
      <c r="S7287" s="127">
        <v>202304</v>
      </c>
      <c r="T7287" s="286" t="s">
        <v>9716</v>
      </c>
      <c r="U7287" s="148"/>
      <c r="X7287" s="570"/>
      <c r="Y7287" s="570"/>
    </row>
    <row r="7288" s="87" customFormat="1" ht="14.5" spans="1:25">
      <c r="A7288" s="548" t="s">
        <v>61</v>
      </c>
      <c r="B7288" s="548" t="s">
        <v>6300</v>
      </c>
      <c r="C7288" s="548" t="s">
        <v>3237</v>
      </c>
      <c r="D7288" s="546" t="s">
        <v>85</v>
      </c>
      <c r="E7288" s="547" t="s">
        <v>7369</v>
      </c>
      <c r="F7288" s="548" t="s">
        <v>7370</v>
      </c>
      <c r="G7288" s="548" t="s">
        <v>88</v>
      </c>
      <c r="H7288" s="550" t="s">
        <v>7420</v>
      </c>
      <c r="I7288" s="30" t="e">
        <f>VLOOKUP(H7288,'合同高级查询数据-4月返'!A:A,1,FALSE)</f>
        <v>#N/A</v>
      </c>
      <c r="J7288" s="557" t="s">
        <v>90</v>
      </c>
      <c r="K7288" s="548" t="s">
        <v>7372</v>
      </c>
      <c r="L7288" s="558"/>
      <c r="M7288" s="559" t="s">
        <v>7395</v>
      </c>
      <c r="N7288" s="560">
        <v>45043</v>
      </c>
      <c r="O7288" s="561" t="s">
        <v>503</v>
      </c>
      <c r="P7288" s="554">
        <v>4400</v>
      </c>
      <c r="Q7288" s="564">
        <v>2</v>
      </c>
      <c r="R7288" s="554">
        <f>ROUND(P7288*Q7288*4/30,2)</f>
        <v>1173.33</v>
      </c>
      <c r="S7288" s="552">
        <v>202304</v>
      </c>
      <c r="T7288" s="571" t="s">
        <v>9717</v>
      </c>
      <c r="U7288" s="554"/>
      <c r="V7288" s="554"/>
      <c r="W7288" s="554"/>
      <c r="X7288" s="572"/>
      <c r="Y7288" s="572"/>
    </row>
    <row r="7289" s="88" customFormat="1" ht="14.5" spans="1:25">
      <c r="A7289" s="160" t="s">
        <v>446</v>
      </c>
      <c r="B7289" s="24" t="s">
        <v>4284</v>
      </c>
      <c r="C7289" s="98" t="s">
        <v>63</v>
      </c>
      <c r="D7289" s="24" t="s">
        <v>3038</v>
      </c>
      <c r="E7289" s="162" t="s">
        <v>4285</v>
      </c>
      <c r="F7289" s="160" t="s">
        <v>4286</v>
      </c>
      <c r="G7289" s="25" t="s">
        <v>88</v>
      </c>
      <c r="H7289" s="99" t="s">
        <v>4511</v>
      </c>
      <c r="I7289" s="46" t="e">
        <f>VLOOKUP(H7289,'合同高级查询数据-4月返'!A:A,1,FALSE)</f>
        <v>#N/A</v>
      </c>
      <c r="J7289" s="25" t="s">
        <v>3488</v>
      </c>
      <c r="K7289" s="106" t="s">
        <v>4512</v>
      </c>
      <c r="L7289" s="107"/>
      <c r="M7289" s="49" t="s">
        <v>4369</v>
      </c>
      <c r="N7289" s="397">
        <v>45043</v>
      </c>
      <c r="O7289" s="107" t="s">
        <v>503</v>
      </c>
      <c r="P7289" s="164">
        <v>6300</v>
      </c>
      <c r="Q7289" s="164">
        <v>2</v>
      </c>
      <c r="R7289" s="118">
        <f>ROUND(P7289*Q7289*4/30,2)</f>
        <v>1680</v>
      </c>
      <c r="S7289" s="115">
        <v>202304</v>
      </c>
      <c r="T7289" s="169" t="s">
        <v>9718</v>
      </c>
      <c r="X7289" s="569">
        <v>44470</v>
      </c>
      <c r="Y7289" s="569">
        <v>46660</v>
      </c>
    </row>
    <row r="7290" s="88" customFormat="1" ht="14.5" spans="1:25">
      <c r="A7290" s="160" t="s">
        <v>446</v>
      </c>
      <c r="B7290" s="24" t="s">
        <v>4284</v>
      </c>
      <c r="C7290" s="98" t="s">
        <v>63</v>
      </c>
      <c r="D7290" s="24" t="s">
        <v>3038</v>
      </c>
      <c r="E7290" s="162" t="s">
        <v>4285</v>
      </c>
      <c r="F7290" s="160" t="s">
        <v>4286</v>
      </c>
      <c r="G7290" s="25" t="s">
        <v>88</v>
      </c>
      <c r="H7290" s="99" t="s">
        <v>4531</v>
      </c>
      <c r="I7290" s="46" t="e">
        <f>VLOOKUP(H7290,'合同高级查询数据-4月返'!A:A,1,FALSE)</f>
        <v>#N/A</v>
      </c>
      <c r="J7290" s="25" t="s">
        <v>3488</v>
      </c>
      <c r="K7290" s="106" t="s">
        <v>4532</v>
      </c>
      <c r="L7290" s="107"/>
      <c r="M7290" s="49" t="s">
        <v>4369</v>
      </c>
      <c r="N7290" s="397">
        <v>45043</v>
      </c>
      <c r="O7290" s="107" t="s">
        <v>503</v>
      </c>
      <c r="P7290" s="164">
        <v>6300</v>
      </c>
      <c r="Q7290" s="164">
        <v>4</v>
      </c>
      <c r="R7290" s="118">
        <f>ROUND(P7290*Q7290*4/30,2)</f>
        <v>3360</v>
      </c>
      <c r="S7290" s="115">
        <v>202304</v>
      </c>
      <c r="T7290" s="169" t="s">
        <v>4566</v>
      </c>
      <c r="X7290" s="569">
        <v>44531</v>
      </c>
      <c r="Y7290" s="569">
        <v>46721</v>
      </c>
    </row>
    <row r="7291" s="87" customFormat="1" ht="14.5" spans="1:25">
      <c r="A7291" s="548" t="s">
        <v>446</v>
      </c>
      <c r="B7291" s="548" t="s">
        <v>4284</v>
      </c>
      <c r="C7291" s="548" t="s">
        <v>63</v>
      </c>
      <c r="D7291" s="546" t="s">
        <v>3038</v>
      </c>
      <c r="E7291" s="547" t="s">
        <v>4285</v>
      </c>
      <c r="F7291" s="548" t="s">
        <v>4286</v>
      </c>
      <c r="G7291" s="548" t="s">
        <v>88</v>
      </c>
      <c r="H7291" s="550" t="s">
        <v>4667</v>
      </c>
      <c r="I7291" s="30" t="e">
        <f>VLOOKUP(H7291,'合同高级查询数据-4月返'!A:A,1,FALSE)</f>
        <v>#N/A</v>
      </c>
      <c r="J7291" s="557" t="s">
        <v>3488</v>
      </c>
      <c r="K7291" s="548" t="s">
        <v>4668</v>
      </c>
      <c r="L7291" s="558"/>
      <c r="M7291" s="559" t="s">
        <v>4369</v>
      </c>
      <c r="N7291" s="562">
        <v>45046</v>
      </c>
      <c r="O7291" s="561" t="s">
        <v>507</v>
      </c>
      <c r="P7291" s="554">
        <v>11500</v>
      </c>
      <c r="Q7291" s="564">
        <v>15</v>
      </c>
      <c r="R7291" s="554">
        <f>ROUND(P7291*Q7291*1/30,2)</f>
        <v>5750</v>
      </c>
      <c r="S7291" s="552">
        <v>202304</v>
      </c>
      <c r="T7291" s="571" t="s">
        <v>9719</v>
      </c>
      <c r="U7291" s="554"/>
      <c r="V7291" s="554"/>
      <c r="W7291" s="554"/>
      <c r="X7291" s="572"/>
      <c r="Y7291" s="572"/>
    </row>
    <row r="7292" s="88" customFormat="1" ht="14.5" spans="1:25">
      <c r="A7292" s="160" t="s">
        <v>446</v>
      </c>
      <c r="B7292" s="24" t="s">
        <v>5519</v>
      </c>
      <c r="C7292" s="98" t="s">
        <v>125</v>
      </c>
      <c r="D7292" s="24" t="s">
        <v>3939</v>
      </c>
      <c r="E7292" s="162" t="s">
        <v>5671</v>
      </c>
      <c r="F7292" s="160" t="s">
        <v>5672</v>
      </c>
      <c r="G7292" s="25" t="s">
        <v>88</v>
      </c>
      <c r="H7292" s="99" t="s">
        <v>5699</v>
      </c>
      <c r="I7292" s="46" t="e">
        <f>VLOOKUP(H7292,'合同高级查询数据-4月返'!A:A,1,FALSE)</f>
        <v>#N/A</v>
      </c>
      <c r="J7292" s="25" t="s">
        <v>90</v>
      </c>
      <c r="K7292" s="106" t="s">
        <v>5652</v>
      </c>
      <c r="L7292" s="107"/>
      <c r="M7292" s="49" t="s">
        <v>5700</v>
      </c>
      <c r="N7292" s="73">
        <v>45044</v>
      </c>
      <c r="O7292" s="107" t="s">
        <v>503</v>
      </c>
      <c r="P7292" s="164">
        <v>5000</v>
      </c>
      <c r="Q7292" s="164">
        <v>-3</v>
      </c>
      <c r="R7292" s="118">
        <f>ROUND(P7292*Q7292*2/30,2)</f>
        <v>-1000</v>
      </c>
      <c r="S7292" s="115">
        <v>202304</v>
      </c>
      <c r="T7292" s="169" t="s">
        <v>9720</v>
      </c>
      <c r="X7292" s="569">
        <v>43922</v>
      </c>
      <c r="Y7292" s="569">
        <v>46234</v>
      </c>
    </row>
    <row r="7293" s="88" customFormat="1" ht="14.5" spans="1:25">
      <c r="A7293" s="160" t="s">
        <v>446</v>
      </c>
      <c r="B7293" s="24" t="s">
        <v>5519</v>
      </c>
      <c r="C7293" s="98" t="s">
        <v>125</v>
      </c>
      <c r="D7293" s="24" t="s">
        <v>3939</v>
      </c>
      <c r="E7293" s="162" t="s">
        <v>5671</v>
      </c>
      <c r="F7293" s="160" t="s">
        <v>5672</v>
      </c>
      <c r="G7293" s="25" t="s">
        <v>88</v>
      </c>
      <c r="H7293" s="99" t="s">
        <v>5699</v>
      </c>
      <c r="I7293" s="46" t="e">
        <f>VLOOKUP(H7293,'合同高级查询数据-4月返'!A:A,1,FALSE)</f>
        <v>#N/A</v>
      </c>
      <c r="J7293" s="25" t="s">
        <v>90</v>
      </c>
      <c r="K7293" s="106" t="s">
        <v>5652</v>
      </c>
      <c r="L7293" s="107"/>
      <c r="M7293" s="49" t="s">
        <v>5700</v>
      </c>
      <c r="N7293" s="73">
        <v>45045</v>
      </c>
      <c r="O7293" s="107" t="s">
        <v>503</v>
      </c>
      <c r="P7293" s="164">
        <v>5000</v>
      </c>
      <c r="Q7293" s="164">
        <v>-3</v>
      </c>
      <c r="R7293" s="118">
        <f>ROUND(P7293*Q7293*1/30,2)</f>
        <v>-500</v>
      </c>
      <c r="S7293" s="115">
        <v>202304</v>
      </c>
      <c r="T7293" s="169" t="s">
        <v>9721</v>
      </c>
      <c r="X7293" s="569">
        <v>43922</v>
      </c>
      <c r="Y7293" s="569">
        <v>46234</v>
      </c>
    </row>
    <row r="7294" s="88" customFormat="1" ht="14.5" spans="1:25">
      <c r="A7294" s="160" t="s">
        <v>444</v>
      </c>
      <c r="B7294" s="24" t="s">
        <v>5519</v>
      </c>
      <c r="C7294" s="98" t="s">
        <v>125</v>
      </c>
      <c r="D7294" s="24" t="s">
        <v>3939</v>
      </c>
      <c r="E7294" s="162" t="s">
        <v>5823</v>
      </c>
      <c r="F7294" s="160" t="s">
        <v>5824</v>
      </c>
      <c r="G7294" s="25" t="s">
        <v>88</v>
      </c>
      <c r="H7294" s="99" t="s">
        <v>5959</v>
      </c>
      <c r="I7294" s="46" t="str">
        <f>VLOOKUP(H7294,'合同高级查询数据-4月返'!A:A,1,FALSE)</f>
        <v>182315IDC00071</v>
      </c>
      <c r="J7294" s="25" t="s">
        <v>90</v>
      </c>
      <c r="K7294" s="106" t="s">
        <v>5960</v>
      </c>
      <c r="L7294" s="107"/>
      <c r="M7294" s="49" t="s">
        <v>5695</v>
      </c>
      <c r="N7294" s="397">
        <v>45043</v>
      </c>
      <c r="O7294" s="107" t="s">
        <v>507</v>
      </c>
      <c r="P7294" s="164">
        <v>9300</v>
      </c>
      <c r="Q7294" s="164">
        <v>9</v>
      </c>
      <c r="R7294" s="118">
        <f>ROUND(P7294*Q7294*4/30,2)</f>
        <v>11160</v>
      </c>
      <c r="S7294" s="115">
        <v>202304</v>
      </c>
      <c r="T7294" s="169" t="s">
        <v>9722</v>
      </c>
      <c r="X7294" s="569">
        <v>44896</v>
      </c>
      <c r="Y7294" s="569">
        <v>47087</v>
      </c>
    </row>
    <row r="7295" s="88" customFormat="1" ht="14.5" spans="1:25">
      <c r="A7295" s="160" t="s">
        <v>444</v>
      </c>
      <c r="B7295" s="24" t="s">
        <v>5519</v>
      </c>
      <c r="C7295" s="98" t="s">
        <v>125</v>
      </c>
      <c r="D7295" s="24" t="s">
        <v>3939</v>
      </c>
      <c r="E7295" s="162" t="s">
        <v>5823</v>
      </c>
      <c r="F7295" s="160" t="s">
        <v>5824</v>
      </c>
      <c r="G7295" s="25" t="s">
        <v>88</v>
      </c>
      <c r="H7295" s="99" t="s">
        <v>5959</v>
      </c>
      <c r="I7295" s="46" t="str">
        <f>VLOOKUP(H7295,'合同高级查询数据-4月返'!A:A,1,FALSE)</f>
        <v>182315IDC00071</v>
      </c>
      <c r="J7295" s="25" t="s">
        <v>90</v>
      </c>
      <c r="K7295" s="106" t="s">
        <v>5960</v>
      </c>
      <c r="L7295" s="107"/>
      <c r="M7295" s="49" t="s">
        <v>5695</v>
      </c>
      <c r="N7295" s="397">
        <v>45045</v>
      </c>
      <c r="O7295" s="107" t="s">
        <v>507</v>
      </c>
      <c r="P7295" s="164">
        <v>9300</v>
      </c>
      <c r="Q7295" s="164">
        <v>1</v>
      </c>
      <c r="R7295" s="118">
        <f>ROUND(P7295*Q7295*2/30,2)</f>
        <v>620</v>
      </c>
      <c r="S7295" s="115">
        <v>202304</v>
      </c>
      <c r="T7295" s="169" t="s">
        <v>9723</v>
      </c>
      <c r="X7295" s="569">
        <v>44896</v>
      </c>
      <c r="Y7295" s="569">
        <v>47087</v>
      </c>
    </row>
    <row r="7296" s="89" customFormat="1" ht="14.5" spans="1:25">
      <c r="A7296" s="134" t="s">
        <v>444</v>
      </c>
      <c r="B7296" s="11" t="s">
        <v>62</v>
      </c>
      <c r="C7296" s="135" t="s">
        <v>238</v>
      </c>
      <c r="D7296" s="11" t="s">
        <v>642</v>
      </c>
      <c r="E7296" s="136" t="s">
        <v>2193</v>
      </c>
      <c r="F7296" s="134" t="s">
        <v>2198</v>
      </c>
      <c r="G7296" s="110" t="s">
        <v>31</v>
      </c>
      <c r="H7296" s="152" t="s">
        <v>2199</v>
      </c>
      <c r="I7296" s="30" t="e">
        <f>VLOOKUP(H7296,'合同高级查询数据-4月返'!A:A,1,FALSE)</f>
        <v>#N/A</v>
      </c>
      <c r="J7296" s="110" t="s">
        <v>497</v>
      </c>
      <c r="K7296" s="141" t="s">
        <v>2200</v>
      </c>
      <c r="L7296" s="142" t="s">
        <v>2204</v>
      </c>
      <c r="M7296" s="113"/>
      <c r="N7296" s="146">
        <v>45043</v>
      </c>
      <c r="O7296" s="142" t="s">
        <v>37</v>
      </c>
      <c r="P7296" s="145">
        <v>30</v>
      </c>
      <c r="Q7296" s="145">
        <v>512</v>
      </c>
      <c r="R7296" s="130">
        <f>ROUND(P7296*Q7296*4/30,2)</f>
        <v>2048</v>
      </c>
      <c r="S7296" s="127">
        <v>202304</v>
      </c>
      <c r="T7296" s="286" t="s">
        <v>9724</v>
      </c>
      <c r="X7296" s="570"/>
      <c r="Y7296" s="570"/>
    </row>
    <row r="7297" s="87" customFormat="1" ht="14.5" spans="1:25">
      <c r="A7297" s="548" t="s">
        <v>448</v>
      </c>
      <c r="B7297" s="548" t="s">
        <v>62</v>
      </c>
      <c r="C7297" s="548" t="s">
        <v>238</v>
      </c>
      <c r="D7297" s="546" t="s">
        <v>642</v>
      </c>
      <c r="E7297" s="547" t="s">
        <v>982</v>
      </c>
      <c r="F7297" s="548" t="s">
        <v>1232</v>
      </c>
      <c r="G7297" s="548" t="s">
        <v>31</v>
      </c>
      <c r="H7297" s="550" t="s">
        <v>1233</v>
      </c>
      <c r="I7297" s="30" t="e">
        <f>VLOOKUP(H7297,'合同高级查询数据-4月返'!A:A,1,FALSE)</f>
        <v>#N/A</v>
      </c>
      <c r="J7297" s="557" t="s">
        <v>497</v>
      </c>
      <c r="K7297" s="548" t="s">
        <v>1234</v>
      </c>
      <c r="L7297" s="558" t="s">
        <v>1238</v>
      </c>
      <c r="M7297" s="559"/>
      <c r="N7297" s="560">
        <v>45034</v>
      </c>
      <c r="O7297" s="561" t="s">
        <v>37</v>
      </c>
      <c r="P7297" s="554">
        <v>30</v>
      </c>
      <c r="Q7297" s="564">
        <v>256</v>
      </c>
      <c r="R7297" s="554">
        <f>ROUND(P7297*Q7297*13/30,2)</f>
        <v>3328</v>
      </c>
      <c r="S7297" s="552">
        <v>202304</v>
      </c>
      <c r="T7297" s="571" t="s">
        <v>9725</v>
      </c>
      <c r="U7297" s="554"/>
      <c r="V7297" s="554"/>
      <c r="W7297" s="554"/>
      <c r="X7297" s="572"/>
      <c r="Y7297" s="572"/>
    </row>
    <row r="7298" s="87" customFormat="1" ht="14.5" spans="1:25">
      <c r="A7298" s="548" t="s">
        <v>446</v>
      </c>
      <c r="B7298" s="548" t="s">
        <v>62</v>
      </c>
      <c r="C7298" s="548" t="s">
        <v>238</v>
      </c>
      <c r="D7298" s="546" t="s">
        <v>642</v>
      </c>
      <c r="E7298" s="547" t="s">
        <v>643</v>
      </c>
      <c r="F7298" s="548" t="s">
        <v>749</v>
      </c>
      <c r="G7298" s="548" t="s">
        <v>31</v>
      </c>
      <c r="H7298" s="550" t="s">
        <v>9726</v>
      </c>
      <c r="I7298" s="30" t="e">
        <f>VLOOKUP(H7298,'合同高级查询数据-4月返'!A:A,1,FALSE)</f>
        <v>#N/A</v>
      </c>
      <c r="J7298" s="557" t="s">
        <v>497</v>
      </c>
      <c r="K7298" s="548" t="s">
        <v>751</v>
      </c>
      <c r="L7298" s="558" t="s">
        <v>752</v>
      </c>
      <c r="M7298" s="559"/>
      <c r="N7298" s="560">
        <v>45036</v>
      </c>
      <c r="O7298" s="561" t="s">
        <v>37</v>
      </c>
      <c r="P7298" s="554">
        <v>35</v>
      </c>
      <c r="Q7298" s="564">
        <v>512</v>
      </c>
      <c r="R7298" s="554">
        <f>ROUND(P7298*Q7298*11/30,2)</f>
        <v>6570.67</v>
      </c>
      <c r="S7298" s="552">
        <v>202304</v>
      </c>
      <c r="T7298" s="571" t="s">
        <v>9727</v>
      </c>
      <c r="U7298" s="554"/>
      <c r="V7298" s="554"/>
      <c r="W7298" s="554"/>
      <c r="X7298" s="572"/>
      <c r="Y7298" s="572"/>
    </row>
    <row r="7299" s="87" customFormat="1" ht="14.5" spans="1:25">
      <c r="A7299" s="548" t="s">
        <v>446</v>
      </c>
      <c r="B7299" s="548" t="s">
        <v>62</v>
      </c>
      <c r="C7299" s="548" t="s">
        <v>238</v>
      </c>
      <c r="D7299" s="546" t="s">
        <v>642</v>
      </c>
      <c r="E7299" s="547" t="s">
        <v>643</v>
      </c>
      <c r="F7299" s="548" t="s">
        <v>644</v>
      </c>
      <c r="G7299" s="548" t="s">
        <v>88</v>
      </c>
      <c r="H7299" s="550" t="s">
        <v>9728</v>
      </c>
      <c r="I7299" s="30" t="e">
        <f>VLOOKUP(H7299,'合同高级查询数据-4月返'!A:A,1,FALSE)</f>
        <v>#N/A</v>
      </c>
      <c r="J7299" s="557" t="s">
        <v>162</v>
      </c>
      <c r="K7299" s="548" t="s">
        <v>240</v>
      </c>
      <c r="L7299" s="558" t="s">
        <v>9729</v>
      </c>
      <c r="M7299" s="559" t="s">
        <v>9730</v>
      </c>
      <c r="N7299" s="560">
        <v>45026</v>
      </c>
      <c r="O7299" s="561" t="s">
        <v>507</v>
      </c>
      <c r="P7299" s="554">
        <v>0</v>
      </c>
      <c r="Q7299" s="564">
        <v>1</v>
      </c>
      <c r="R7299" s="554">
        <f t="shared" ref="R7299:R7301" si="207">ROUND(P7299*Q7299,2)</f>
        <v>0</v>
      </c>
      <c r="S7299" s="552">
        <v>202304</v>
      </c>
      <c r="T7299" s="571" t="s">
        <v>9731</v>
      </c>
      <c r="U7299" s="554"/>
      <c r="V7299" s="554"/>
      <c r="W7299" s="554"/>
      <c r="X7299" s="572"/>
      <c r="Y7299" s="572"/>
    </row>
    <row r="7300" s="87" customFormat="1" ht="14.5" spans="1:25">
      <c r="A7300" s="548" t="s">
        <v>446</v>
      </c>
      <c r="B7300" s="548" t="s">
        <v>62</v>
      </c>
      <c r="C7300" s="548" t="s">
        <v>238</v>
      </c>
      <c r="D7300" s="546" t="s">
        <v>642</v>
      </c>
      <c r="E7300" s="547" t="s">
        <v>643</v>
      </c>
      <c r="F7300" s="548" t="s">
        <v>644</v>
      </c>
      <c r="G7300" s="548" t="s">
        <v>31</v>
      </c>
      <c r="H7300" s="550" t="s">
        <v>9728</v>
      </c>
      <c r="I7300" s="30" t="e">
        <f>VLOOKUP(H7300,'合同高级查询数据-4月返'!A:A,1,FALSE)</f>
        <v>#N/A</v>
      </c>
      <c r="J7300" s="557" t="s">
        <v>33</v>
      </c>
      <c r="K7300" s="548" t="s">
        <v>240</v>
      </c>
      <c r="L7300" s="558" t="s">
        <v>9729</v>
      </c>
      <c r="M7300" s="559" t="s">
        <v>9730</v>
      </c>
      <c r="N7300" s="560">
        <v>45026</v>
      </c>
      <c r="O7300" s="561"/>
      <c r="P7300" s="554">
        <v>0</v>
      </c>
      <c r="Q7300" s="564">
        <v>80</v>
      </c>
      <c r="R7300" s="554">
        <f t="shared" si="207"/>
        <v>0</v>
      </c>
      <c r="S7300" s="552">
        <v>202304</v>
      </c>
      <c r="T7300" s="571" t="s">
        <v>9732</v>
      </c>
      <c r="U7300" s="554"/>
      <c r="V7300" s="554"/>
      <c r="W7300" s="554"/>
      <c r="X7300" s="572"/>
      <c r="Y7300" s="572"/>
    </row>
    <row r="7301" s="88" customFormat="1" ht="14.5" spans="1:25">
      <c r="A7301" s="160" t="s">
        <v>446</v>
      </c>
      <c r="B7301" s="24" t="s">
        <v>62</v>
      </c>
      <c r="C7301" s="98" t="s">
        <v>813</v>
      </c>
      <c r="D7301" s="24" t="s">
        <v>642</v>
      </c>
      <c r="E7301" s="162" t="s">
        <v>2116</v>
      </c>
      <c r="F7301" s="160" t="s">
        <v>2117</v>
      </c>
      <c r="G7301" s="25" t="s">
        <v>88</v>
      </c>
      <c r="H7301" s="99" t="s">
        <v>2118</v>
      </c>
      <c r="I7301" s="46" t="e">
        <f>VLOOKUP(H7301,'合同高级查询数据-4月返'!A:A,1,FALSE)</f>
        <v>#N/A</v>
      </c>
      <c r="J7301" s="25" t="s">
        <v>90</v>
      </c>
      <c r="K7301" s="106" t="s">
        <v>920</v>
      </c>
      <c r="L7301" s="107"/>
      <c r="M7301" s="49" t="s">
        <v>845</v>
      </c>
      <c r="N7301" s="73">
        <v>45014</v>
      </c>
      <c r="O7301" s="107" t="s">
        <v>503</v>
      </c>
      <c r="P7301" s="164">
        <v>5323.03</v>
      </c>
      <c r="Q7301" s="164">
        <v>1</v>
      </c>
      <c r="R7301" s="118">
        <f t="shared" si="207"/>
        <v>5323.03</v>
      </c>
      <c r="S7301" s="115">
        <v>202304</v>
      </c>
      <c r="T7301" s="119" t="s">
        <v>9733</v>
      </c>
      <c r="X7301" s="569">
        <v>44228</v>
      </c>
      <c r="Y7301" s="569">
        <v>45382</v>
      </c>
    </row>
    <row r="7302" s="88" customFormat="1" ht="14.5" spans="1:25">
      <c r="A7302" s="160" t="s">
        <v>446</v>
      </c>
      <c r="B7302" s="24" t="s">
        <v>62</v>
      </c>
      <c r="C7302" s="98" t="s">
        <v>813</v>
      </c>
      <c r="D7302" s="24" t="s">
        <v>642</v>
      </c>
      <c r="E7302" s="162" t="s">
        <v>2116</v>
      </c>
      <c r="F7302" s="160" t="s">
        <v>2117</v>
      </c>
      <c r="G7302" s="25" t="s">
        <v>88</v>
      </c>
      <c r="H7302" s="99" t="s">
        <v>2118</v>
      </c>
      <c r="I7302" s="46" t="e">
        <f>VLOOKUP(H7302,'合同高级查询数据-4月返'!A:A,1,FALSE)</f>
        <v>#N/A</v>
      </c>
      <c r="J7302" s="25" t="s">
        <v>90</v>
      </c>
      <c r="K7302" s="106" t="s">
        <v>920</v>
      </c>
      <c r="L7302" s="107"/>
      <c r="M7302" s="49" t="s">
        <v>845</v>
      </c>
      <c r="N7302" s="73">
        <v>45034</v>
      </c>
      <c r="O7302" s="107" t="s">
        <v>503</v>
      </c>
      <c r="P7302" s="164">
        <v>5323.03</v>
      </c>
      <c r="Q7302" s="164">
        <v>-1</v>
      </c>
      <c r="R7302" s="118">
        <f>ROUND(P7302*Q7302*12/30,2)</f>
        <v>-2129.21</v>
      </c>
      <c r="S7302" s="115">
        <v>202304</v>
      </c>
      <c r="T7302" s="169" t="s">
        <v>9733</v>
      </c>
      <c r="X7302" s="569">
        <v>44228</v>
      </c>
      <c r="Y7302" s="569">
        <v>45382</v>
      </c>
    </row>
    <row r="7303" s="88" customFormat="1" ht="14.5" spans="1:25">
      <c r="A7303" s="160" t="s">
        <v>446</v>
      </c>
      <c r="B7303" s="24" t="s">
        <v>62</v>
      </c>
      <c r="C7303" s="98" t="s">
        <v>813</v>
      </c>
      <c r="D7303" s="24" t="s">
        <v>642</v>
      </c>
      <c r="E7303" s="162" t="s">
        <v>2116</v>
      </c>
      <c r="F7303" s="160" t="s">
        <v>2117</v>
      </c>
      <c r="G7303" s="25" t="s">
        <v>88</v>
      </c>
      <c r="H7303" s="99" t="s">
        <v>2118</v>
      </c>
      <c r="I7303" s="46" t="e">
        <f>VLOOKUP(H7303,'合同高级查询数据-4月返'!A:A,1,FALSE)</f>
        <v>#N/A</v>
      </c>
      <c r="J7303" s="25" t="s">
        <v>90</v>
      </c>
      <c r="K7303" s="106" t="s">
        <v>920</v>
      </c>
      <c r="L7303" s="107"/>
      <c r="M7303" s="49" t="s">
        <v>845</v>
      </c>
      <c r="N7303" s="73">
        <v>45039</v>
      </c>
      <c r="O7303" s="107" t="s">
        <v>503</v>
      </c>
      <c r="P7303" s="164">
        <v>5323.03</v>
      </c>
      <c r="Q7303" s="164">
        <v>1</v>
      </c>
      <c r="R7303" s="118">
        <f>ROUND(P7303*Q7303*8/30,2)</f>
        <v>1419.47</v>
      </c>
      <c r="S7303" s="115">
        <v>202304</v>
      </c>
      <c r="T7303" s="169" t="s">
        <v>9733</v>
      </c>
      <c r="X7303" s="569">
        <v>44228</v>
      </c>
      <c r="Y7303" s="569">
        <v>45382</v>
      </c>
    </row>
    <row r="7304" s="88" customFormat="1" ht="14.5" spans="1:25">
      <c r="A7304" s="160" t="s">
        <v>446</v>
      </c>
      <c r="B7304" s="24" t="s">
        <v>62</v>
      </c>
      <c r="C7304" s="98" t="s">
        <v>813</v>
      </c>
      <c r="D7304" s="24" t="s">
        <v>642</v>
      </c>
      <c r="E7304" s="162" t="s">
        <v>2116</v>
      </c>
      <c r="F7304" s="160" t="s">
        <v>2117</v>
      </c>
      <c r="G7304" s="25" t="s">
        <v>88</v>
      </c>
      <c r="H7304" s="99" t="s">
        <v>2118</v>
      </c>
      <c r="I7304" s="46" t="e">
        <f>VLOOKUP(H7304,'合同高级查询数据-4月返'!A:A,1,FALSE)</f>
        <v>#N/A</v>
      </c>
      <c r="J7304" s="25" t="s">
        <v>90</v>
      </c>
      <c r="K7304" s="106" t="s">
        <v>920</v>
      </c>
      <c r="L7304" s="107"/>
      <c r="M7304" s="49" t="s">
        <v>845</v>
      </c>
      <c r="N7304" s="73">
        <v>45014</v>
      </c>
      <c r="O7304" s="107" t="s">
        <v>503</v>
      </c>
      <c r="P7304" s="164">
        <v>5323.03</v>
      </c>
      <c r="Q7304" s="164">
        <v>1</v>
      </c>
      <c r="R7304" s="118">
        <f>ROUND(P7304*Q7304*3/31,2)</f>
        <v>515.13</v>
      </c>
      <c r="S7304" s="115">
        <v>202303</v>
      </c>
      <c r="T7304" s="119" t="s">
        <v>9733</v>
      </c>
      <c r="U7304" s="88" t="s">
        <v>9734</v>
      </c>
      <c r="X7304" s="569">
        <v>44228</v>
      </c>
      <c r="Y7304" s="569">
        <v>45382</v>
      </c>
    </row>
    <row r="7305" s="88" customFormat="1" ht="43.5" spans="1:25">
      <c r="A7305" s="24" t="s">
        <v>61</v>
      </c>
      <c r="B7305" s="98" t="s">
        <v>3236</v>
      </c>
      <c r="C7305" s="24" t="s">
        <v>3237</v>
      </c>
      <c r="D7305" s="162" t="s">
        <v>85</v>
      </c>
      <c r="E7305" s="160" t="s">
        <v>3238</v>
      </c>
      <c r="F7305" s="25" t="s">
        <v>3239</v>
      </c>
      <c r="G7305" s="99" t="s">
        <v>88</v>
      </c>
      <c r="H7305" s="46" t="s">
        <v>3245</v>
      </c>
      <c r="I7305" s="46" t="str">
        <f>VLOOKUP(H7305,'合同高级查询数据-4月返'!A:A,1,FALSE)</f>
        <v>182315IDC00094</v>
      </c>
      <c r="J7305" s="25" t="s">
        <v>90</v>
      </c>
      <c r="K7305" s="106" t="s">
        <v>3246</v>
      </c>
      <c r="L7305" s="107"/>
      <c r="M7305" s="49" t="s">
        <v>3247</v>
      </c>
      <c r="N7305" s="397">
        <v>45017</v>
      </c>
      <c r="O7305" s="107" t="s">
        <v>507</v>
      </c>
      <c r="P7305" s="164">
        <v>7950</v>
      </c>
      <c r="Q7305" s="164">
        <v>1</v>
      </c>
      <c r="R7305" s="118">
        <f>ROUND(P7305*Q7305,2)</f>
        <v>7950</v>
      </c>
      <c r="S7305" s="115">
        <v>202304</v>
      </c>
      <c r="T7305" s="573" t="s">
        <v>9735</v>
      </c>
      <c r="X7305" s="569">
        <v>44805</v>
      </c>
      <c r="Y7305" s="569">
        <v>46630</v>
      </c>
    </row>
    <row r="7306" s="88" customFormat="1" ht="14.5" spans="1:27">
      <c r="A7306" s="24" t="s">
        <v>446</v>
      </c>
      <c r="B7306" s="98" t="s">
        <v>62</v>
      </c>
      <c r="C7306" s="24" t="s">
        <v>238</v>
      </c>
      <c r="D7306" s="162" t="s">
        <v>642</v>
      </c>
      <c r="E7306" s="160" t="s">
        <v>643</v>
      </c>
      <c r="F7306" s="25" t="s">
        <v>644</v>
      </c>
      <c r="G7306" s="99" t="s">
        <v>88</v>
      </c>
      <c r="H7306" s="46" t="s">
        <v>645</v>
      </c>
      <c r="I7306" s="46" t="e">
        <f>VLOOKUP(H7306,'合同高级查询数据-4月返'!A:A,1,FALSE)</f>
        <v>#N/A</v>
      </c>
      <c r="J7306" s="25" t="s">
        <v>90</v>
      </c>
      <c r="K7306" s="106" t="s">
        <v>646</v>
      </c>
      <c r="L7306" s="107"/>
      <c r="M7306" s="49" t="s">
        <v>594</v>
      </c>
      <c r="N7306" s="73">
        <v>45040</v>
      </c>
      <c r="O7306" s="107" t="s">
        <v>503</v>
      </c>
      <c r="P7306" s="164">
        <v>5803.6</v>
      </c>
      <c r="Q7306" s="164">
        <v>5</v>
      </c>
      <c r="R7306" s="118">
        <f>ROUND(P7306*Q7306*7/30,2)</f>
        <v>6770.87</v>
      </c>
      <c r="S7306" s="115">
        <v>202304</v>
      </c>
      <c r="T7306" s="169" t="s">
        <v>9736</v>
      </c>
      <c r="X7306" s="569"/>
      <c r="Y7306" s="569"/>
      <c r="Z7306" s="88">
        <v>44075</v>
      </c>
      <c r="AA7306" s="88">
        <v>46265</v>
      </c>
    </row>
    <row r="7307" s="88" customFormat="1" ht="14.5" spans="1:25">
      <c r="A7307" s="98" t="s">
        <v>446</v>
      </c>
      <c r="B7307" s="24" t="s">
        <v>4284</v>
      </c>
      <c r="C7307" s="162" t="s">
        <v>63</v>
      </c>
      <c r="D7307" s="160" t="s">
        <v>3038</v>
      </c>
      <c r="E7307" s="25" t="s">
        <v>4285</v>
      </c>
      <c r="F7307" s="99" t="s">
        <v>4286</v>
      </c>
      <c r="G7307" s="46" t="s">
        <v>88</v>
      </c>
      <c r="H7307" s="46" t="s">
        <v>4597</v>
      </c>
      <c r="I7307" s="46" t="e">
        <f>VLOOKUP(H7307,'合同高级查询数据-4月返'!A:A,1,FALSE)</f>
        <v>#N/A</v>
      </c>
      <c r="J7307" s="25" t="s">
        <v>3488</v>
      </c>
      <c r="K7307" s="106" t="s">
        <v>4598</v>
      </c>
      <c r="L7307" s="107"/>
      <c r="M7307" s="49" t="s">
        <v>4369</v>
      </c>
      <c r="N7307" s="397">
        <v>45044</v>
      </c>
      <c r="O7307" s="107" t="s">
        <v>507</v>
      </c>
      <c r="P7307" s="164">
        <v>11500</v>
      </c>
      <c r="Q7307" s="164">
        <v>-1</v>
      </c>
      <c r="R7307" s="118">
        <f>ROUND(P7307*Q7307*2/30,2)</f>
        <v>-766.67</v>
      </c>
      <c r="S7307" s="115">
        <v>202304</v>
      </c>
      <c r="T7307" s="169" t="s">
        <v>9737</v>
      </c>
      <c r="X7307" s="569">
        <v>44743</v>
      </c>
      <c r="Y7307" s="569">
        <v>46934</v>
      </c>
    </row>
    <row r="7308" s="87" customFormat="1" ht="14.5" spans="1:25">
      <c r="A7308" s="548" t="s">
        <v>109</v>
      </c>
      <c r="B7308" s="548" t="s">
        <v>7422</v>
      </c>
      <c r="C7308" s="548" t="s">
        <v>39</v>
      </c>
      <c r="D7308" s="546" t="s">
        <v>7585</v>
      </c>
      <c r="E7308" s="547" t="s">
        <v>9016</v>
      </c>
      <c r="F7308" s="548" t="s">
        <v>9017</v>
      </c>
      <c r="G7308" s="548" t="s">
        <v>88</v>
      </c>
      <c r="H7308" s="550" t="s">
        <v>9048</v>
      </c>
      <c r="I7308" s="30" t="e">
        <f>VLOOKUP(H7308,'合同高级查询数据-4月返'!A:A,1,FALSE)</f>
        <v>#N/A</v>
      </c>
      <c r="J7308" s="557" t="s">
        <v>162</v>
      </c>
      <c r="K7308" s="548" t="s">
        <v>40</v>
      </c>
      <c r="L7308" s="558" t="s">
        <v>9049</v>
      </c>
      <c r="M7308" s="559" t="s">
        <v>9022</v>
      </c>
      <c r="N7308" s="562">
        <v>45038</v>
      </c>
      <c r="O7308" s="561" t="s">
        <v>503</v>
      </c>
      <c r="P7308" s="554">
        <v>5000</v>
      </c>
      <c r="Q7308" s="564">
        <v>-4</v>
      </c>
      <c r="R7308" s="554">
        <v>-5333.33</v>
      </c>
      <c r="S7308" s="552">
        <v>202304</v>
      </c>
      <c r="T7308" s="571" t="s">
        <v>9738</v>
      </c>
      <c r="U7308" s="554"/>
      <c r="V7308" s="554"/>
      <c r="W7308" s="554"/>
      <c r="X7308" s="572"/>
      <c r="Y7308" s="572"/>
    </row>
    <row r="7309" s="87" customFormat="1" ht="14.5" spans="1:25">
      <c r="A7309" s="548" t="s">
        <v>61</v>
      </c>
      <c r="B7309" s="548" t="s">
        <v>3236</v>
      </c>
      <c r="C7309" s="546" t="s">
        <v>3237</v>
      </c>
      <c r="D7309" s="547" t="s">
        <v>85</v>
      </c>
      <c r="E7309" s="548" t="s">
        <v>3238</v>
      </c>
      <c r="F7309" s="548" t="s">
        <v>3239</v>
      </c>
      <c r="G7309" s="550" t="s">
        <v>88</v>
      </c>
      <c r="H7309" s="30" t="s">
        <v>3358</v>
      </c>
      <c r="I7309" s="30" t="e">
        <f>VLOOKUP(H7309,'合同高级查询数据-4月返'!A:A,1,FALSE)</f>
        <v>#N/A</v>
      </c>
      <c r="J7309" s="557" t="s">
        <v>90</v>
      </c>
      <c r="K7309" s="548" t="s">
        <v>3359</v>
      </c>
      <c r="L7309" s="558"/>
      <c r="M7309" s="559" t="s">
        <v>3247</v>
      </c>
      <c r="N7309" s="562">
        <v>45043</v>
      </c>
      <c r="O7309" s="561" t="s">
        <v>507</v>
      </c>
      <c r="P7309" s="554">
        <v>7950</v>
      </c>
      <c r="Q7309" s="564">
        <v>101</v>
      </c>
      <c r="R7309" s="554">
        <f>ROUND(P7309*Q7309*4/30,2)</f>
        <v>107060</v>
      </c>
      <c r="S7309" s="552">
        <v>202304</v>
      </c>
      <c r="T7309" s="571" t="s">
        <v>9739</v>
      </c>
      <c r="U7309" s="554"/>
      <c r="V7309" s="554"/>
      <c r="W7309" s="554"/>
      <c r="X7309" s="572">
        <v>45017</v>
      </c>
      <c r="Y7309" s="572"/>
    </row>
    <row r="7310" s="87" customFormat="1" ht="14.5" spans="1:25">
      <c r="A7310" s="548" t="s">
        <v>61</v>
      </c>
      <c r="B7310" s="548" t="s">
        <v>3236</v>
      </c>
      <c r="C7310" s="546" t="s">
        <v>3237</v>
      </c>
      <c r="D7310" s="547" t="s">
        <v>85</v>
      </c>
      <c r="E7310" s="548" t="s">
        <v>3238</v>
      </c>
      <c r="F7310" s="548" t="s">
        <v>3239</v>
      </c>
      <c r="G7310" s="550" t="s">
        <v>88</v>
      </c>
      <c r="H7310" s="30" t="s">
        <v>3358</v>
      </c>
      <c r="I7310" s="30" t="e">
        <f>VLOOKUP(H7310,'合同高级查询数据-4月返'!A:A,1,FALSE)</f>
        <v>#N/A</v>
      </c>
      <c r="J7310" s="557" t="s">
        <v>90</v>
      </c>
      <c r="K7310" s="548" t="s">
        <v>3359</v>
      </c>
      <c r="L7310" s="558"/>
      <c r="M7310" s="559" t="s">
        <v>3247</v>
      </c>
      <c r="N7310" s="562">
        <v>45044</v>
      </c>
      <c r="O7310" s="561" t="s">
        <v>507</v>
      </c>
      <c r="P7310" s="554">
        <v>7950</v>
      </c>
      <c r="Q7310" s="564">
        <v>40</v>
      </c>
      <c r="R7310" s="554">
        <f>ROUND(P7310*Q7310*3/30,2)</f>
        <v>31800</v>
      </c>
      <c r="S7310" s="552">
        <v>202304</v>
      </c>
      <c r="T7310" s="571" t="s">
        <v>9740</v>
      </c>
      <c r="U7310" s="554"/>
      <c r="V7310" s="554"/>
      <c r="W7310" s="554"/>
      <c r="X7310" s="572">
        <v>45017</v>
      </c>
      <c r="Y7310" s="572"/>
    </row>
    <row r="7311" s="87" customFormat="1" ht="27" spans="1:25">
      <c r="A7311" s="548" t="s">
        <v>61</v>
      </c>
      <c r="B7311" s="548" t="s">
        <v>3236</v>
      </c>
      <c r="C7311" s="546" t="s">
        <v>3237</v>
      </c>
      <c r="D7311" s="547" t="s">
        <v>85</v>
      </c>
      <c r="E7311" s="548" t="s">
        <v>3238</v>
      </c>
      <c r="F7311" s="548" t="s">
        <v>3239</v>
      </c>
      <c r="G7311" s="550" t="s">
        <v>88</v>
      </c>
      <c r="H7311" s="30" t="s">
        <v>3358</v>
      </c>
      <c r="I7311" s="30" t="e">
        <f>VLOOKUP(H7311,'合同高级查询数据-4月返'!A:A,1,FALSE)</f>
        <v>#N/A</v>
      </c>
      <c r="J7311" s="557" t="s">
        <v>90</v>
      </c>
      <c r="K7311" s="548" t="s">
        <v>3359</v>
      </c>
      <c r="L7311" s="558"/>
      <c r="M7311" s="559" t="s">
        <v>3247</v>
      </c>
      <c r="N7311" s="562">
        <v>45045</v>
      </c>
      <c r="O7311" s="561" t="s">
        <v>507</v>
      </c>
      <c r="P7311" s="554">
        <v>7950</v>
      </c>
      <c r="Q7311" s="564">
        <v>1</v>
      </c>
      <c r="R7311" s="554">
        <f>ROUND(P7311*Q7311*2/30,2)</f>
        <v>530</v>
      </c>
      <c r="S7311" s="552">
        <v>202304</v>
      </c>
      <c r="T7311" s="574" t="s">
        <v>9741</v>
      </c>
      <c r="U7311" s="554"/>
      <c r="V7311" s="554"/>
      <c r="W7311" s="554"/>
      <c r="X7311" s="572">
        <v>45017</v>
      </c>
      <c r="Y7311" s="572"/>
    </row>
    <row r="7312" s="87" customFormat="1" ht="14.5" spans="1:25">
      <c r="A7312" s="548" t="s">
        <v>61</v>
      </c>
      <c r="B7312" s="548" t="s">
        <v>511</v>
      </c>
      <c r="C7312" s="546" t="s">
        <v>512</v>
      </c>
      <c r="D7312" s="547" t="s">
        <v>85</v>
      </c>
      <c r="E7312" s="548" t="s">
        <v>513</v>
      </c>
      <c r="F7312" s="548" t="s">
        <v>514</v>
      </c>
      <c r="G7312" s="550" t="s">
        <v>88</v>
      </c>
      <c r="H7312" s="30" t="s">
        <v>515</v>
      </c>
      <c r="I7312" s="30" t="e">
        <f>VLOOKUP(H7312,'合同高级查询数据-4月返'!A:A,1,FALSE)</f>
        <v>#N/A</v>
      </c>
      <c r="J7312" s="557" t="s">
        <v>90</v>
      </c>
      <c r="K7312" s="548" t="s">
        <v>516</v>
      </c>
      <c r="L7312" s="558" t="s">
        <v>517</v>
      </c>
      <c r="M7312" s="559" t="s">
        <v>518</v>
      </c>
      <c r="N7312" s="562">
        <v>45027</v>
      </c>
      <c r="O7312" s="561" t="s">
        <v>3012</v>
      </c>
      <c r="P7312" s="554">
        <v>2800</v>
      </c>
      <c r="Q7312" s="564">
        <v>1</v>
      </c>
      <c r="R7312" s="554">
        <f>ROUND(P7312*Q7312*20/30,2)</f>
        <v>1866.67</v>
      </c>
      <c r="S7312" s="552">
        <v>202304</v>
      </c>
      <c r="T7312" s="571" t="s">
        <v>9742</v>
      </c>
      <c r="U7312" s="554"/>
      <c r="V7312" s="554"/>
      <c r="W7312" s="554"/>
      <c r="X7312" s="572"/>
      <c r="Y7312" s="572"/>
    </row>
    <row r="7313" s="87" customFormat="1" ht="14.5" spans="1:25">
      <c r="A7313" s="548" t="s">
        <v>61</v>
      </c>
      <c r="B7313" s="548" t="s">
        <v>511</v>
      </c>
      <c r="C7313" s="546" t="s">
        <v>512</v>
      </c>
      <c r="D7313" s="547" t="s">
        <v>85</v>
      </c>
      <c r="E7313" s="548" t="s">
        <v>513</v>
      </c>
      <c r="F7313" s="548" t="s">
        <v>514</v>
      </c>
      <c r="G7313" s="550" t="s">
        <v>88</v>
      </c>
      <c r="H7313" s="30" t="s">
        <v>515</v>
      </c>
      <c r="I7313" s="30" t="e">
        <f>VLOOKUP(H7313,'合同高级查询数据-4月返'!A:A,1,FALSE)</f>
        <v>#N/A</v>
      </c>
      <c r="J7313" s="557" t="s">
        <v>90</v>
      </c>
      <c r="K7313" s="548" t="s">
        <v>516</v>
      </c>
      <c r="L7313" s="558" t="s">
        <v>517</v>
      </c>
      <c r="M7313" s="559" t="s">
        <v>518</v>
      </c>
      <c r="N7313" s="562">
        <v>45027</v>
      </c>
      <c r="O7313" s="561" t="s">
        <v>503</v>
      </c>
      <c r="P7313" s="554">
        <v>3600</v>
      </c>
      <c r="Q7313" s="564">
        <v>1</v>
      </c>
      <c r="R7313" s="554">
        <f>ROUND(P7313*Q7313*20/30,2)</f>
        <v>2400</v>
      </c>
      <c r="S7313" s="552">
        <v>202304</v>
      </c>
      <c r="T7313" s="571" t="s">
        <v>9743</v>
      </c>
      <c r="U7313" s="554"/>
      <c r="V7313" s="554"/>
      <c r="W7313" s="554"/>
      <c r="X7313" s="572"/>
      <c r="Y7313" s="572"/>
    </row>
    <row r="7314" s="87" customFormat="1" ht="14.5" spans="1:25">
      <c r="A7314" s="548" t="s">
        <v>61</v>
      </c>
      <c r="B7314" s="548" t="s">
        <v>511</v>
      </c>
      <c r="C7314" s="546" t="s">
        <v>512</v>
      </c>
      <c r="D7314" s="547" t="s">
        <v>85</v>
      </c>
      <c r="E7314" s="548" t="s">
        <v>513</v>
      </c>
      <c r="F7314" s="548" t="s">
        <v>514</v>
      </c>
      <c r="G7314" s="550" t="s">
        <v>88</v>
      </c>
      <c r="H7314" s="30" t="s">
        <v>515</v>
      </c>
      <c r="I7314" s="30" t="e">
        <f>VLOOKUP(H7314,'合同高级查询数据-4月返'!A:A,1,FALSE)</f>
        <v>#N/A</v>
      </c>
      <c r="J7314" s="557" t="s">
        <v>90</v>
      </c>
      <c r="K7314" s="548" t="s">
        <v>516</v>
      </c>
      <c r="L7314" s="558" t="s">
        <v>517</v>
      </c>
      <c r="M7314" s="559" t="s">
        <v>518</v>
      </c>
      <c r="N7314" s="562">
        <v>45027</v>
      </c>
      <c r="O7314" s="561" t="s">
        <v>507</v>
      </c>
      <c r="P7314" s="554">
        <v>6500</v>
      </c>
      <c r="Q7314" s="564">
        <v>12</v>
      </c>
      <c r="R7314" s="554">
        <f>ROUND(P7314*Q7314*20/30,2)</f>
        <v>52000</v>
      </c>
      <c r="S7314" s="552">
        <v>202304</v>
      </c>
      <c r="T7314" s="571" t="s">
        <v>9744</v>
      </c>
      <c r="U7314" s="554"/>
      <c r="V7314" s="554"/>
      <c r="W7314" s="554"/>
      <c r="X7314" s="572"/>
      <c r="Y7314" s="572"/>
    </row>
    <row r="7315" s="87" customFormat="1" ht="14.5" spans="1:25">
      <c r="A7315" s="548" t="s">
        <v>61</v>
      </c>
      <c r="B7315" s="548" t="s">
        <v>511</v>
      </c>
      <c r="C7315" s="546" t="s">
        <v>512</v>
      </c>
      <c r="D7315" s="547" t="s">
        <v>85</v>
      </c>
      <c r="E7315" s="548" t="s">
        <v>513</v>
      </c>
      <c r="F7315" s="548" t="s">
        <v>514</v>
      </c>
      <c r="G7315" s="550" t="s">
        <v>88</v>
      </c>
      <c r="H7315" s="30" t="s">
        <v>515</v>
      </c>
      <c r="I7315" s="30" t="e">
        <f>VLOOKUP(H7315,'合同高级查询数据-4月返'!A:A,1,FALSE)</f>
        <v>#N/A</v>
      </c>
      <c r="J7315" s="557" t="s">
        <v>90</v>
      </c>
      <c r="K7315" s="548" t="s">
        <v>516</v>
      </c>
      <c r="L7315" s="558" t="s">
        <v>517</v>
      </c>
      <c r="M7315" s="559" t="s">
        <v>518</v>
      </c>
      <c r="N7315" s="562">
        <v>45027</v>
      </c>
      <c r="O7315" s="561" t="s">
        <v>574</v>
      </c>
      <c r="P7315" s="554">
        <v>10200</v>
      </c>
      <c r="Q7315" s="564">
        <v>1</v>
      </c>
      <c r="R7315" s="554">
        <f>ROUND(P7315*Q7315*20/30,2)</f>
        <v>6800</v>
      </c>
      <c r="S7315" s="552">
        <v>202304</v>
      </c>
      <c r="T7315" s="571" t="s">
        <v>9745</v>
      </c>
      <c r="U7315" s="554"/>
      <c r="V7315" s="554"/>
      <c r="W7315" s="554"/>
      <c r="X7315" s="572"/>
      <c r="Y7315" s="572"/>
    </row>
    <row r="1038179" s="90" customFormat="1" customHeight="1" spans="1:25">
      <c r="A1038179" s="4"/>
      <c r="B1038179" s="4"/>
      <c r="C1038179" s="4"/>
      <c r="D1038179" s="4"/>
      <c r="E1038179" s="4"/>
      <c r="F1038179" s="4"/>
      <c r="G1038179" s="4"/>
      <c r="H1038179" s="91"/>
      <c r="I1038179" s="91"/>
      <c r="J1038179" s="4"/>
      <c r="K1038179" s="92"/>
      <c r="L1038179" s="92"/>
      <c r="M1038179" s="4"/>
      <c r="N1038179" s="4"/>
      <c r="O1038179" s="4"/>
      <c r="P1038179" s="93"/>
      <c r="Q1038179" s="93"/>
      <c r="R1038179" s="93"/>
      <c r="S1038179" s="4"/>
      <c r="T1038179" s="2"/>
      <c r="U1038179" s="4"/>
      <c r="V1038179" s="94"/>
      <c r="W1038179" s="4"/>
      <c r="X1038179" s="95"/>
      <c r="Y1038179" s="95"/>
    </row>
    <row r="1038180" s="90" customFormat="1" customHeight="1" spans="1:25">
      <c r="A1038180" s="4"/>
      <c r="B1038180" s="4"/>
      <c r="C1038180" s="4"/>
      <c r="D1038180" s="4"/>
      <c r="E1038180" s="4"/>
      <c r="F1038180" s="4"/>
      <c r="G1038180" s="4"/>
      <c r="H1038180" s="91"/>
      <c r="I1038180" s="91"/>
      <c r="J1038180" s="4"/>
      <c r="K1038180" s="92"/>
      <c r="L1038180" s="92"/>
      <c r="M1038180" s="4"/>
      <c r="N1038180" s="4"/>
      <c r="O1038180" s="4"/>
      <c r="P1038180" s="93"/>
      <c r="Q1038180" s="93"/>
      <c r="R1038180" s="93"/>
      <c r="S1038180" s="4"/>
      <c r="T1038180" s="2"/>
      <c r="U1038180" s="4"/>
      <c r="V1038180" s="94"/>
      <c r="W1038180" s="4"/>
      <c r="X1038180" s="95"/>
      <c r="Y1038180" s="95"/>
    </row>
    <row r="1038181" s="90" customFormat="1" customHeight="1" spans="1:25">
      <c r="A1038181" s="4"/>
      <c r="B1038181" s="4"/>
      <c r="C1038181" s="4"/>
      <c r="D1038181" s="4"/>
      <c r="E1038181" s="4"/>
      <c r="F1038181" s="4"/>
      <c r="G1038181" s="4"/>
      <c r="H1038181" s="91"/>
      <c r="I1038181" s="91"/>
      <c r="J1038181" s="4"/>
      <c r="K1038181" s="92"/>
      <c r="L1038181" s="92"/>
      <c r="M1038181" s="4"/>
      <c r="N1038181" s="4"/>
      <c r="O1038181" s="4"/>
      <c r="P1038181" s="93"/>
      <c r="Q1038181" s="93"/>
      <c r="R1038181" s="93"/>
      <c r="S1038181" s="4"/>
      <c r="T1038181" s="2"/>
      <c r="U1038181" s="4"/>
      <c r="V1038181" s="94"/>
      <c r="W1038181" s="4"/>
      <c r="X1038181" s="95"/>
      <c r="Y1038181" s="95"/>
    </row>
    <row r="1038182" s="90" customFormat="1" customHeight="1" spans="1:25">
      <c r="A1038182" s="4"/>
      <c r="B1038182" s="4"/>
      <c r="C1038182" s="4"/>
      <c r="D1038182" s="4"/>
      <c r="E1038182" s="4"/>
      <c r="F1038182" s="4"/>
      <c r="G1038182" s="4"/>
      <c r="H1038182" s="91"/>
      <c r="I1038182" s="91"/>
      <c r="J1038182" s="4"/>
      <c r="K1038182" s="92"/>
      <c r="L1038182" s="92"/>
      <c r="M1038182" s="4"/>
      <c r="N1038182" s="4"/>
      <c r="O1038182" s="4"/>
      <c r="P1038182" s="93"/>
      <c r="Q1038182" s="93"/>
      <c r="R1038182" s="93"/>
      <c r="S1038182" s="4"/>
      <c r="T1038182" s="2"/>
      <c r="U1038182" s="4"/>
      <c r="V1038182" s="94"/>
      <c r="W1038182" s="4"/>
      <c r="X1038182" s="95"/>
      <c r="Y1038182" s="95"/>
    </row>
    <row r="1038183" s="90" customFormat="1" customHeight="1" spans="1:25">
      <c r="A1038183" s="4"/>
      <c r="B1038183" s="4"/>
      <c r="C1038183" s="4"/>
      <c r="D1038183" s="4"/>
      <c r="E1038183" s="4"/>
      <c r="F1038183" s="4"/>
      <c r="G1038183" s="4"/>
      <c r="H1038183" s="91"/>
      <c r="I1038183" s="91"/>
      <c r="J1038183" s="4"/>
      <c r="K1038183" s="92"/>
      <c r="L1038183" s="92"/>
      <c r="M1038183" s="4"/>
      <c r="N1038183" s="4"/>
      <c r="O1038183" s="4"/>
      <c r="P1038183" s="93"/>
      <c r="Q1038183" s="93"/>
      <c r="R1038183" s="93"/>
      <c r="S1038183" s="4"/>
      <c r="T1038183" s="2"/>
      <c r="U1038183" s="4"/>
      <c r="V1038183" s="94"/>
      <c r="W1038183" s="4"/>
      <c r="X1038183" s="95"/>
      <c r="Y1038183" s="95"/>
    </row>
    <row r="1038184" s="90" customFormat="1" customHeight="1" spans="1:25">
      <c r="A1038184" s="4"/>
      <c r="B1038184" s="4"/>
      <c r="C1038184" s="4"/>
      <c r="D1038184" s="4"/>
      <c r="E1038184" s="4"/>
      <c r="F1038184" s="4"/>
      <c r="G1038184" s="4"/>
      <c r="H1038184" s="91"/>
      <c r="I1038184" s="91"/>
      <c r="J1038184" s="4"/>
      <c r="K1038184" s="92"/>
      <c r="L1038184" s="92"/>
      <c r="M1038184" s="4"/>
      <c r="N1038184" s="4"/>
      <c r="O1038184" s="4"/>
      <c r="P1038184" s="93"/>
      <c r="Q1038184" s="93"/>
      <c r="R1038184" s="93"/>
      <c r="S1038184" s="4"/>
      <c r="T1038184" s="2"/>
      <c r="U1038184" s="4"/>
      <c r="V1038184" s="94"/>
      <c r="W1038184" s="4"/>
      <c r="X1038184" s="95"/>
      <c r="Y1038184" s="95"/>
    </row>
    <row r="1038185" s="90" customFormat="1" customHeight="1" spans="1:25">
      <c r="A1038185" s="4"/>
      <c r="B1038185" s="4"/>
      <c r="C1038185" s="4"/>
      <c r="D1038185" s="4"/>
      <c r="E1038185" s="4"/>
      <c r="F1038185" s="4"/>
      <c r="G1038185" s="4"/>
      <c r="H1038185" s="91"/>
      <c r="I1038185" s="91"/>
      <c r="J1038185" s="4"/>
      <c r="K1038185" s="92"/>
      <c r="L1038185" s="92"/>
      <c r="M1038185" s="4"/>
      <c r="N1038185" s="4"/>
      <c r="O1038185" s="4"/>
      <c r="P1038185" s="93"/>
      <c r="Q1038185" s="93"/>
      <c r="R1038185" s="93"/>
      <c r="S1038185" s="4"/>
      <c r="T1038185" s="2"/>
      <c r="U1038185" s="4"/>
      <c r="V1038185" s="94"/>
      <c r="W1038185" s="4"/>
      <c r="X1038185" s="95"/>
      <c r="Y1038185" s="95"/>
    </row>
    <row r="1038186" s="90" customFormat="1" customHeight="1" spans="1:25">
      <c r="A1038186" s="4"/>
      <c r="B1038186" s="4"/>
      <c r="C1038186" s="4"/>
      <c r="D1038186" s="4"/>
      <c r="E1038186" s="4"/>
      <c r="F1038186" s="4"/>
      <c r="G1038186" s="4"/>
      <c r="H1038186" s="91"/>
      <c r="I1038186" s="91"/>
      <c r="J1038186" s="4"/>
      <c r="K1038186" s="92"/>
      <c r="L1038186" s="92"/>
      <c r="M1038186" s="4"/>
      <c r="N1038186" s="4"/>
      <c r="O1038186" s="4"/>
      <c r="P1038186" s="93"/>
      <c r="Q1038186" s="93"/>
      <c r="R1038186" s="93"/>
      <c r="S1038186" s="4"/>
      <c r="T1038186" s="2"/>
      <c r="U1038186" s="4"/>
      <c r="V1038186" s="94"/>
      <c r="W1038186" s="4"/>
      <c r="X1038186" s="95"/>
      <c r="Y1038186" s="95"/>
    </row>
    <row r="1038187" s="90" customFormat="1" customHeight="1" spans="1:25">
      <c r="A1038187" s="4"/>
      <c r="B1038187" s="4"/>
      <c r="C1038187" s="4"/>
      <c r="D1038187" s="4"/>
      <c r="E1038187" s="4"/>
      <c r="F1038187" s="4"/>
      <c r="G1038187" s="4"/>
      <c r="H1038187" s="91"/>
      <c r="I1038187" s="91"/>
      <c r="J1038187" s="4"/>
      <c r="K1038187" s="92"/>
      <c r="L1038187" s="92"/>
      <c r="M1038187" s="4"/>
      <c r="N1038187" s="4"/>
      <c r="O1038187" s="4"/>
      <c r="P1038187" s="93"/>
      <c r="Q1038187" s="93"/>
      <c r="R1038187" s="93"/>
      <c r="S1038187" s="4"/>
      <c r="T1038187" s="2"/>
      <c r="U1038187" s="4"/>
      <c r="V1038187" s="94"/>
      <c r="W1038187" s="4"/>
      <c r="X1038187" s="95"/>
      <c r="Y1038187" s="95"/>
    </row>
    <row r="1038188" s="90" customFormat="1" customHeight="1" spans="1:25">
      <c r="A1038188" s="4"/>
      <c r="B1038188" s="4"/>
      <c r="C1038188" s="4"/>
      <c r="D1038188" s="4"/>
      <c r="E1038188" s="4"/>
      <c r="F1038188" s="4"/>
      <c r="G1038188" s="4"/>
      <c r="H1038188" s="91"/>
      <c r="I1038188" s="91"/>
      <c r="J1038188" s="4"/>
      <c r="K1038188" s="92"/>
      <c r="L1038188" s="92"/>
      <c r="M1038188" s="4"/>
      <c r="N1038188" s="4"/>
      <c r="O1038188" s="4"/>
      <c r="P1038188" s="93"/>
      <c r="Q1038188" s="93"/>
      <c r="R1038188" s="93"/>
      <c r="S1038188" s="4"/>
      <c r="T1038188" s="2"/>
      <c r="U1038188" s="4"/>
      <c r="V1038188" s="94"/>
      <c r="W1038188" s="4"/>
      <c r="X1038188" s="95"/>
      <c r="Y1038188" s="95"/>
    </row>
    <row r="1038189" s="90" customFormat="1" customHeight="1" spans="1:25">
      <c r="A1038189" s="4"/>
      <c r="B1038189" s="4"/>
      <c r="C1038189" s="4"/>
      <c r="D1038189" s="4"/>
      <c r="E1038189" s="4"/>
      <c r="F1038189" s="4"/>
      <c r="G1038189" s="4"/>
      <c r="H1038189" s="91"/>
      <c r="I1038189" s="91"/>
      <c r="J1038189" s="4"/>
      <c r="K1038189" s="92"/>
      <c r="L1038189" s="92"/>
      <c r="M1038189" s="4"/>
      <c r="N1038189" s="4"/>
      <c r="O1038189" s="4"/>
      <c r="P1038189" s="93"/>
      <c r="Q1038189" s="93"/>
      <c r="R1038189" s="93"/>
      <c r="S1038189" s="4"/>
      <c r="T1038189" s="2"/>
      <c r="U1038189" s="4"/>
      <c r="V1038189" s="94"/>
      <c r="W1038189" s="4"/>
      <c r="X1038189" s="95"/>
      <c r="Y1038189" s="95"/>
    </row>
    <row r="1038190" s="90" customFormat="1" customHeight="1" spans="1:25">
      <c r="A1038190" s="4"/>
      <c r="B1038190" s="4"/>
      <c r="C1038190" s="4"/>
      <c r="D1038190" s="4"/>
      <c r="E1038190" s="4"/>
      <c r="F1038190" s="4"/>
      <c r="G1038190" s="4"/>
      <c r="H1038190" s="91"/>
      <c r="I1038190" s="91"/>
      <c r="J1038190" s="4"/>
      <c r="K1038190" s="92"/>
      <c r="L1038190" s="92"/>
      <c r="M1038190" s="4"/>
      <c r="N1038190" s="4"/>
      <c r="O1038190" s="4"/>
      <c r="P1038190" s="93"/>
      <c r="Q1038190" s="93"/>
      <c r="R1038190" s="93"/>
      <c r="S1038190" s="4"/>
      <c r="T1038190" s="2"/>
      <c r="U1038190" s="4"/>
      <c r="V1038190" s="94"/>
      <c r="W1038190" s="4"/>
      <c r="X1038190" s="95"/>
      <c r="Y1038190" s="95"/>
    </row>
    <row r="1038191" s="90" customFormat="1" customHeight="1" spans="1:25">
      <c r="A1038191" s="4"/>
      <c r="B1038191" s="4"/>
      <c r="C1038191" s="4"/>
      <c r="D1038191" s="4"/>
      <c r="E1038191" s="4"/>
      <c r="F1038191" s="4"/>
      <c r="G1038191" s="4"/>
      <c r="H1038191" s="91"/>
      <c r="I1038191" s="91"/>
      <c r="J1038191" s="4"/>
      <c r="K1038191" s="92"/>
      <c r="L1038191" s="92"/>
      <c r="M1038191" s="4"/>
      <c r="N1038191" s="4"/>
      <c r="O1038191" s="4"/>
      <c r="P1038191" s="93"/>
      <c r="Q1038191" s="93"/>
      <c r="R1038191" s="93"/>
      <c r="S1038191" s="4"/>
      <c r="T1038191" s="2"/>
      <c r="U1038191" s="4"/>
      <c r="V1038191" s="94"/>
      <c r="W1038191" s="4"/>
      <c r="X1038191" s="95"/>
      <c r="Y1038191" s="95"/>
    </row>
    <row r="1038192" s="90" customFormat="1" customHeight="1" spans="1:25">
      <c r="A1038192" s="4"/>
      <c r="B1038192" s="4"/>
      <c r="C1038192" s="4"/>
      <c r="D1038192" s="4"/>
      <c r="E1038192" s="4"/>
      <c r="F1038192" s="4"/>
      <c r="G1038192" s="4"/>
      <c r="H1038192" s="91"/>
      <c r="I1038192" s="91"/>
      <c r="J1038192" s="4"/>
      <c r="K1038192" s="92"/>
      <c r="L1038192" s="92"/>
      <c r="M1038192" s="4"/>
      <c r="N1038192" s="4"/>
      <c r="O1038192" s="4"/>
      <c r="P1038192" s="93"/>
      <c r="Q1038192" s="93"/>
      <c r="R1038192" s="93"/>
      <c r="S1038192" s="4"/>
      <c r="T1038192" s="2"/>
      <c r="U1038192" s="4"/>
      <c r="V1038192" s="94"/>
      <c r="W1038192" s="4"/>
      <c r="X1038192" s="95"/>
      <c r="Y1038192" s="95"/>
    </row>
    <row r="1038193" s="90" customFormat="1" customHeight="1" spans="1:25">
      <c r="A1038193" s="4"/>
      <c r="B1038193" s="4"/>
      <c r="C1038193" s="4"/>
      <c r="D1038193" s="4"/>
      <c r="E1038193" s="4"/>
      <c r="F1038193" s="4"/>
      <c r="G1038193" s="4"/>
      <c r="H1038193" s="91"/>
      <c r="I1038193" s="91"/>
      <c r="J1038193" s="4"/>
      <c r="K1038193" s="92"/>
      <c r="L1038193" s="92"/>
      <c r="M1038193" s="4"/>
      <c r="N1038193" s="4"/>
      <c r="O1038193" s="4"/>
      <c r="P1038193" s="93"/>
      <c r="Q1038193" s="93"/>
      <c r="R1038193" s="93"/>
      <c r="S1038193" s="4"/>
      <c r="T1038193" s="2"/>
      <c r="U1038193" s="4"/>
      <c r="V1038193" s="94"/>
      <c r="W1038193" s="4"/>
      <c r="X1038193" s="95"/>
      <c r="Y1038193" s="95"/>
    </row>
    <row r="1038194" s="90" customFormat="1" customHeight="1" spans="1:25">
      <c r="A1038194" s="4"/>
      <c r="B1038194" s="4"/>
      <c r="C1038194" s="4"/>
      <c r="D1038194" s="4"/>
      <c r="E1038194" s="4"/>
      <c r="F1038194" s="4"/>
      <c r="G1038194" s="4"/>
      <c r="H1038194" s="91"/>
      <c r="I1038194" s="91"/>
      <c r="J1038194" s="4"/>
      <c r="K1038194" s="92"/>
      <c r="L1038194" s="92"/>
      <c r="M1038194" s="4"/>
      <c r="N1038194" s="4"/>
      <c r="O1038194" s="4"/>
      <c r="P1038194" s="93"/>
      <c r="Q1038194" s="93"/>
      <c r="R1038194" s="93"/>
      <c r="S1038194" s="4"/>
      <c r="T1038194" s="2"/>
      <c r="U1038194" s="4"/>
      <c r="V1038194" s="94"/>
      <c r="W1038194" s="4"/>
      <c r="X1038194" s="95"/>
      <c r="Y1038194" s="95"/>
    </row>
    <row r="1038195" s="90" customFormat="1" customHeight="1" spans="1:25">
      <c r="A1038195" s="4"/>
      <c r="B1038195" s="4"/>
      <c r="C1038195" s="4"/>
      <c r="D1038195" s="4"/>
      <c r="E1038195" s="4"/>
      <c r="F1038195" s="4"/>
      <c r="G1038195" s="4"/>
      <c r="H1038195" s="91"/>
      <c r="I1038195" s="91"/>
      <c r="J1038195" s="4"/>
      <c r="K1038195" s="92"/>
      <c r="L1038195" s="92"/>
      <c r="M1038195" s="4"/>
      <c r="N1038195" s="4"/>
      <c r="O1038195" s="4"/>
      <c r="P1038195" s="93"/>
      <c r="Q1038195" s="93"/>
      <c r="R1038195" s="93"/>
      <c r="S1038195" s="4"/>
      <c r="T1038195" s="2"/>
      <c r="U1038195" s="4"/>
      <c r="V1038195" s="94"/>
      <c r="W1038195" s="4"/>
      <c r="X1038195" s="95"/>
      <c r="Y1038195" s="95"/>
    </row>
    <row r="1038196" s="90" customFormat="1" customHeight="1" spans="1:25">
      <c r="A1038196" s="4"/>
      <c r="B1038196" s="4"/>
      <c r="C1038196" s="4"/>
      <c r="D1038196" s="4"/>
      <c r="E1038196" s="4"/>
      <c r="F1038196" s="4"/>
      <c r="G1038196" s="4"/>
      <c r="H1038196" s="91"/>
      <c r="I1038196" s="91"/>
      <c r="J1038196" s="4"/>
      <c r="K1038196" s="92"/>
      <c r="L1038196" s="92"/>
      <c r="M1038196" s="4"/>
      <c r="N1038196" s="4"/>
      <c r="O1038196" s="4"/>
      <c r="P1038196" s="93"/>
      <c r="Q1038196" s="93"/>
      <c r="R1038196" s="93"/>
      <c r="S1038196" s="4"/>
      <c r="T1038196" s="2"/>
      <c r="U1038196" s="4"/>
      <c r="V1038196" s="94"/>
      <c r="W1038196" s="4"/>
      <c r="X1038196" s="95"/>
      <c r="Y1038196" s="95"/>
    </row>
    <row r="1038197" s="90" customFormat="1" customHeight="1" spans="1:25">
      <c r="A1038197" s="4"/>
      <c r="B1038197" s="4"/>
      <c r="C1038197" s="4"/>
      <c r="D1038197" s="4"/>
      <c r="E1038197" s="4"/>
      <c r="F1038197" s="4"/>
      <c r="G1038197" s="4"/>
      <c r="H1038197" s="91"/>
      <c r="I1038197" s="91"/>
      <c r="J1038197" s="4"/>
      <c r="K1038197" s="92"/>
      <c r="L1038197" s="92"/>
      <c r="M1038197" s="4"/>
      <c r="N1038197" s="4"/>
      <c r="O1038197" s="4"/>
      <c r="P1038197" s="93"/>
      <c r="Q1038197" s="93"/>
      <c r="R1038197" s="93"/>
      <c r="S1038197" s="4"/>
      <c r="T1038197" s="2"/>
      <c r="U1038197" s="4"/>
      <c r="V1038197" s="94"/>
      <c r="W1038197" s="4"/>
      <c r="X1038197" s="95"/>
      <c r="Y1038197" s="95"/>
    </row>
    <row r="1038198" s="90" customFormat="1" customHeight="1" spans="1:25">
      <c r="A1038198" s="4"/>
      <c r="B1038198" s="4"/>
      <c r="C1038198" s="4"/>
      <c r="D1038198" s="4"/>
      <c r="E1038198" s="4"/>
      <c r="F1038198" s="4"/>
      <c r="G1038198" s="4"/>
      <c r="H1038198" s="91"/>
      <c r="I1038198" s="91"/>
      <c r="J1038198" s="4"/>
      <c r="K1038198" s="92"/>
      <c r="L1038198" s="92"/>
      <c r="M1038198" s="4"/>
      <c r="N1038198" s="4"/>
      <c r="O1038198" s="4"/>
      <c r="P1038198" s="93"/>
      <c r="Q1038198" s="93"/>
      <c r="R1038198" s="93"/>
      <c r="S1038198" s="4"/>
      <c r="T1038198" s="2"/>
      <c r="U1038198" s="4"/>
      <c r="V1038198" s="94"/>
      <c r="W1038198" s="4"/>
      <c r="X1038198" s="95"/>
      <c r="Y1038198" s="95"/>
    </row>
    <row r="1038199" s="90" customFormat="1" customHeight="1" spans="1:25">
      <c r="A1038199" s="4"/>
      <c r="B1038199" s="4"/>
      <c r="C1038199" s="4"/>
      <c r="D1038199" s="4"/>
      <c r="E1038199" s="4"/>
      <c r="F1038199" s="4"/>
      <c r="G1038199" s="4"/>
      <c r="H1038199" s="91"/>
      <c r="I1038199" s="91"/>
      <c r="J1038199" s="4"/>
      <c r="K1038199" s="92"/>
      <c r="L1038199" s="92"/>
      <c r="M1038199" s="4"/>
      <c r="N1038199" s="4"/>
      <c r="O1038199" s="4"/>
      <c r="P1038199" s="93"/>
      <c r="Q1038199" s="93"/>
      <c r="R1038199" s="93"/>
      <c r="S1038199" s="4"/>
      <c r="T1038199" s="2"/>
      <c r="U1038199" s="4"/>
      <c r="V1038199" s="94"/>
      <c r="W1038199" s="4"/>
      <c r="X1038199" s="95"/>
      <c r="Y1038199" s="95"/>
    </row>
    <row r="1038200" s="90" customFormat="1" customHeight="1" spans="1:25">
      <c r="A1038200" s="4"/>
      <c r="B1038200" s="4"/>
      <c r="C1038200" s="4"/>
      <c r="D1038200" s="4"/>
      <c r="E1038200" s="4"/>
      <c r="F1038200" s="4"/>
      <c r="G1038200" s="4"/>
      <c r="H1038200" s="91"/>
      <c r="I1038200" s="91"/>
      <c r="J1038200" s="4"/>
      <c r="K1038200" s="92"/>
      <c r="L1038200" s="92"/>
      <c r="M1038200" s="4"/>
      <c r="N1038200" s="4"/>
      <c r="O1038200" s="4"/>
      <c r="P1038200" s="93"/>
      <c r="Q1038200" s="93"/>
      <c r="R1038200" s="93"/>
      <c r="S1038200" s="4"/>
      <c r="T1038200" s="2"/>
      <c r="U1038200" s="4"/>
      <c r="V1038200" s="94"/>
      <c r="W1038200" s="4"/>
      <c r="X1038200" s="95"/>
      <c r="Y1038200" s="95"/>
    </row>
    <row r="1038201" s="90" customFormat="1" customHeight="1" spans="1:25">
      <c r="A1038201" s="4"/>
      <c r="B1038201" s="4"/>
      <c r="C1038201" s="4"/>
      <c r="D1038201" s="4"/>
      <c r="E1038201" s="4"/>
      <c r="F1038201" s="4"/>
      <c r="G1038201" s="4"/>
      <c r="H1038201" s="91"/>
      <c r="I1038201" s="91"/>
      <c r="J1038201" s="4"/>
      <c r="K1038201" s="92"/>
      <c r="L1038201" s="92"/>
      <c r="M1038201" s="4"/>
      <c r="N1038201" s="4"/>
      <c r="O1038201" s="4"/>
      <c r="P1038201" s="93"/>
      <c r="Q1038201" s="93"/>
      <c r="R1038201" s="93"/>
      <c r="S1038201" s="4"/>
      <c r="T1038201" s="2"/>
      <c r="U1038201" s="4"/>
      <c r="V1038201" s="94"/>
      <c r="W1038201" s="4"/>
      <c r="X1038201" s="95"/>
      <c r="Y1038201" s="95"/>
    </row>
    <row r="1038202" s="90" customFormat="1" customHeight="1" spans="1:25">
      <c r="A1038202" s="4"/>
      <c r="B1038202" s="4"/>
      <c r="C1038202" s="4"/>
      <c r="D1038202" s="4"/>
      <c r="E1038202" s="4"/>
      <c r="F1038202" s="4"/>
      <c r="G1038202" s="4"/>
      <c r="H1038202" s="91"/>
      <c r="I1038202" s="91"/>
      <c r="J1038202" s="4"/>
      <c r="K1038202" s="92"/>
      <c r="L1038202" s="92"/>
      <c r="M1038202" s="4"/>
      <c r="N1038202" s="4"/>
      <c r="O1038202" s="4"/>
      <c r="P1038202" s="93"/>
      <c r="Q1038202" s="93"/>
      <c r="R1038202" s="93"/>
      <c r="S1038202" s="4"/>
      <c r="T1038202" s="2"/>
      <c r="U1038202" s="4"/>
      <c r="V1038202" s="94"/>
      <c r="W1038202" s="4"/>
      <c r="X1038202" s="95"/>
      <c r="Y1038202" s="95"/>
    </row>
    <row r="1038203" s="90" customFormat="1" customHeight="1" spans="1:25">
      <c r="A1038203" s="4"/>
      <c r="B1038203" s="4"/>
      <c r="C1038203" s="4"/>
      <c r="D1038203" s="4"/>
      <c r="E1038203" s="4"/>
      <c r="F1038203" s="4"/>
      <c r="G1038203" s="4"/>
      <c r="H1038203" s="91"/>
      <c r="I1038203" s="91"/>
      <c r="J1038203" s="4"/>
      <c r="K1038203" s="92"/>
      <c r="L1038203" s="92"/>
      <c r="M1038203" s="4"/>
      <c r="N1038203" s="4"/>
      <c r="O1038203" s="4"/>
      <c r="P1038203" s="93"/>
      <c r="Q1038203" s="93"/>
      <c r="R1038203" s="93"/>
      <c r="S1038203" s="4"/>
      <c r="T1038203" s="2"/>
      <c r="U1038203" s="4"/>
      <c r="V1038203" s="94"/>
      <c r="W1038203" s="4"/>
      <c r="X1038203" s="95"/>
      <c r="Y1038203" s="95"/>
    </row>
    <row r="1038204" s="90" customFormat="1" customHeight="1" spans="1:25">
      <c r="A1038204" s="4"/>
      <c r="B1038204" s="4"/>
      <c r="C1038204" s="4"/>
      <c r="D1038204" s="4"/>
      <c r="E1038204" s="4"/>
      <c r="F1038204" s="4"/>
      <c r="G1038204" s="4"/>
      <c r="H1038204" s="91"/>
      <c r="I1038204" s="91"/>
      <c r="J1038204" s="4"/>
      <c r="K1038204" s="92"/>
      <c r="L1038204" s="92"/>
      <c r="M1038204" s="4"/>
      <c r="N1038204" s="4"/>
      <c r="O1038204" s="4"/>
      <c r="P1038204" s="93"/>
      <c r="Q1038204" s="93"/>
      <c r="R1038204" s="93"/>
      <c r="S1038204" s="4"/>
      <c r="T1038204" s="2"/>
      <c r="U1038204" s="4"/>
      <c r="V1038204" s="94"/>
      <c r="W1038204" s="4"/>
      <c r="X1038204" s="95"/>
      <c r="Y1038204" s="95"/>
    </row>
    <row r="1038205" s="90" customFormat="1" customHeight="1" spans="1:25">
      <c r="A1038205" s="4"/>
      <c r="B1038205" s="4"/>
      <c r="C1038205" s="4"/>
      <c r="D1038205" s="4"/>
      <c r="E1038205" s="4"/>
      <c r="F1038205" s="4"/>
      <c r="G1038205" s="4"/>
      <c r="H1038205" s="91"/>
      <c r="I1038205" s="91"/>
      <c r="J1038205" s="4"/>
      <c r="K1038205" s="92"/>
      <c r="L1038205" s="92"/>
      <c r="M1038205" s="4"/>
      <c r="N1038205" s="4"/>
      <c r="O1038205" s="4"/>
      <c r="P1038205" s="93"/>
      <c r="Q1038205" s="93"/>
      <c r="R1038205" s="93"/>
      <c r="S1038205" s="4"/>
      <c r="T1038205" s="2"/>
      <c r="U1038205" s="4"/>
      <c r="V1038205" s="94"/>
      <c r="W1038205" s="4"/>
      <c r="X1038205" s="95"/>
      <c r="Y1038205" s="95"/>
    </row>
    <row r="1038206" s="90" customFormat="1" customHeight="1" spans="1:25">
      <c r="A1038206" s="4"/>
      <c r="B1038206" s="4"/>
      <c r="C1038206" s="4"/>
      <c r="D1038206" s="4"/>
      <c r="E1038206" s="4"/>
      <c r="F1038206" s="4"/>
      <c r="G1038206" s="4"/>
      <c r="H1038206" s="91"/>
      <c r="I1038206" s="91"/>
      <c r="J1038206" s="4"/>
      <c r="K1038206" s="92"/>
      <c r="L1038206" s="92"/>
      <c r="M1038206" s="4"/>
      <c r="N1038206" s="4"/>
      <c r="O1038206" s="4"/>
      <c r="P1038206" s="93"/>
      <c r="Q1038206" s="93"/>
      <c r="R1038206" s="93"/>
      <c r="S1038206" s="4"/>
      <c r="T1038206" s="2"/>
      <c r="U1038206" s="4"/>
      <c r="V1038206" s="94"/>
      <c r="W1038206" s="4"/>
      <c r="X1038206" s="95"/>
      <c r="Y1038206" s="95"/>
    </row>
    <row r="1038207" s="90" customFormat="1" customHeight="1" spans="1:25">
      <c r="A1038207" s="4"/>
      <c r="B1038207" s="4"/>
      <c r="C1038207" s="4"/>
      <c r="D1038207" s="4"/>
      <c r="E1038207" s="4"/>
      <c r="F1038207" s="4"/>
      <c r="G1038207" s="4"/>
      <c r="H1038207" s="91"/>
      <c r="I1038207" s="91"/>
      <c r="J1038207" s="4"/>
      <c r="K1038207" s="92"/>
      <c r="L1038207" s="92"/>
      <c r="M1038207" s="4"/>
      <c r="N1038207" s="4"/>
      <c r="O1038207" s="4"/>
      <c r="P1038207" s="93"/>
      <c r="Q1038207" s="93"/>
      <c r="R1038207" s="93"/>
      <c r="S1038207" s="4"/>
      <c r="T1038207" s="2"/>
      <c r="U1038207" s="4"/>
      <c r="V1038207" s="94"/>
      <c r="W1038207" s="4"/>
      <c r="X1038207" s="95"/>
      <c r="Y1038207" s="95"/>
    </row>
    <row r="1038208" s="90" customFormat="1" customHeight="1" spans="1:25">
      <c r="A1038208" s="4"/>
      <c r="B1038208" s="4"/>
      <c r="C1038208" s="4"/>
      <c r="D1038208" s="4"/>
      <c r="E1038208" s="4"/>
      <c r="F1038208" s="4"/>
      <c r="G1038208" s="4"/>
      <c r="H1038208" s="91"/>
      <c r="I1038208" s="91"/>
      <c r="J1038208" s="4"/>
      <c r="K1038208" s="92"/>
      <c r="L1038208" s="92"/>
      <c r="M1038208" s="4"/>
      <c r="N1038208" s="4"/>
      <c r="O1038208" s="4"/>
      <c r="P1038208" s="93"/>
      <c r="Q1038208" s="93"/>
      <c r="R1038208" s="93"/>
      <c r="S1038208" s="4"/>
      <c r="T1038208" s="2"/>
      <c r="U1038208" s="4"/>
      <c r="V1038208" s="94"/>
      <c r="W1038208" s="4"/>
      <c r="X1038208" s="95"/>
      <c r="Y1038208" s="95"/>
    </row>
    <row r="1038209" s="90" customFormat="1" customHeight="1" spans="1:25">
      <c r="A1038209" s="4"/>
      <c r="B1038209" s="4"/>
      <c r="C1038209" s="4"/>
      <c r="D1038209" s="4"/>
      <c r="E1038209" s="4"/>
      <c r="F1038209" s="4"/>
      <c r="G1038209" s="4"/>
      <c r="H1038209" s="91"/>
      <c r="I1038209" s="91"/>
      <c r="J1038209" s="4"/>
      <c r="K1038209" s="92"/>
      <c r="L1038209" s="92"/>
      <c r="M1038209" s="4"/>
      <c r="N1038209" s="4"/>
      <c r="O1038209" s="4"/>
      <c r="P1038209" s="93"/>
      <c r="Q1038209" s="93"/>
      <c r="R1038209" s="93"/>
      <c r="S1038209" s="4"/>
      <c r="T1038209" s="2"/>
      <c r="U1038209" s="4"/>
      <c r="V1038209" s="94"/>
      <c r="W1038209" s="4"/>
      <c r="X1038209" s="95"/>
      <c r="Y1038209" s="95"/>
    </row>
    <row r="1038210" s="90" customFormat="1" customHeight="1" spans="1:25">
      <c r="A1038210" s="4"/>
      <c r="B1038210" s="4"/>
      <c r="C1038210" s="4"/>
      <c r="D1038210" s="4"/>
      <c r="E1038210" s="4"/>
      <c r="F1038210" s="4"/>
      <c r="G1038210" s="4"/>
      <c r="H1038210" s="91"/>
      <c r="I1038210" s="91"/>
      <c r="J1038210" s="4"/>
      <c r="K1038210" s="92"/>
      <c r="L1038210" s="92"/>
      <c r="M1038210" s="4"/>
      <c r="N1038210" s="4"/>
      <c r="O1038210" s="4"/>
      <c r="P1038210" s="93"/>
      <c r="Q1038210" s="93"/>
      <c r="R1038210" s="93"/>
      <c r="S1038210" s="4"/>
      <c r="T1038210" s="2"/>
      <c r="U1038210" s="4"/>
      <c r="V1038210" s="94"/>
      <c r="W1038210" s="4"/>
      <c r="X1038210" s="95"/>
      <c r="Y1038210" s="95"/>
    </row>
    <row r="1038211" s="90" customFormat="1" customHeight="1" spans="1:25">
      <c r="A1038211" s="4"/>
      <c r="B1038211" s="4"/>
      <c r="C1038211" s="4"/>
      <c r="D1038211" s="4"/>
      <c r="E1038211" s="4"/>
      <c r="F1038211" s="4"/>
      <c r="G1038211" s="4"/>
      <c r="H1038211" s="91"/>
      <c r="I1038211" s="91"/>
      <c r="J1038211" s="4"/>
      <c r="K1038211" s="92"/>
      <c r="L1038211" s="92"/>
      <c r="M1038211" s="4"/>
      <c r="N1038211" s="4"/>
      <c r="O1038211" s="4"/>
      <c r="P1038211" s="93"/>
      <c r="Q1038211" s="93"/>
      <c r="R1038211" s="93"/>
      <c r="S1038211" s="4"/>
      <c r="T1038211" s="2"/>
      <c r="U1038211" s="4"/>
      <c r="V1038211" s="94"/>
      <c r="W1038211" s="4"/>
      <c r="X1038211" s="95"/>
      <c r="Y1038211" s="95"/>
    </row>
    <row r="1038212" s="90" customFormat="1" customHeight="1" spans="1:25">
      <c r="A1038212" s="4"/>
      <c r="B1038212" s="4"/>
      <c r="C1038212" s="4"/>
      <c r="D1038212" s="4"/>
      <c r="E1038212" s="4"/>
      <c r="F1038212" s="4"/>
      <c r="G1038212" s="4"/>
      <c r="H1038212" s="91"/>
      <c r="I1038212" s="91"/>
      <c r="J1038212" s="4"/>
      <c r="K1038212" s="92"/>
      <c r="L1038212" s="92"/>
      <c r="M1038212" s="4"/>
      <c r="N1038212" s="4"/>
      <c r="O1038212" s="4"/>
      <c r="P1038212" s="93"/>
      <c r="Q1038212" s="93"/>
      <c r="R1038212" s="93"/>
      <c r="S1038212" s="4"/>
      <c r="T1038212" s="2"/>
      <c r="U1038212" s="4"/>
      <c r="V1038212" s="94"/>
      <c r="W1038212" s="4"/>
      <c r="X1038212" s="95"/>
      <c r="Y1038212" s="95"/>
    </row>
    <row r="1038213" s="90" customFormat="1" customHeight="1" spans="1:25">
      <c r="A1038213" s="4"/>
      <c r="B1038213" s="4"/>
      <c r="C1038213" s="4"/>
      <c r="D1038213" s="4"/>
      <c r="E1038213" s="4"/>
      <c r="F1038213" s="4"/>
      <c r="G1038213" s="4"/>
      <c r="H1038213" s="91"/>
      <c r="I1038213" s="91"/>
      <c r="J1038213" s="4"/>
      <c r="K1038213" s="92"/>
      <c r="L1038213" s="92"/>
      <c r="M1038213" s="4"/>
      <c r="N1038213" s="4"/>
      <c r="O1038213" s="4"/>
      <c r="P1038213" s="93"/>
      <c r="Q1038213" s="93"/>
      <c r="R1038213" s="93"/>
      <c r="S1038213" s="4"/>
      <c r="T1038213" s="2"/>
      <c r="U1038213" s="4"/>
      <c r="V1038213" s="94"/>
      <c r="W1038213" s="4"/>
      <c r="X1038213" s="95"/>
      <c r="Y1038213" s="95"/>
    </row>
    <row r="1038214" s="90" customFormat="1" customHeight="1" spans="1:25">
      <c r="A1038214" s="4"/>
      <c r="B1038214" s="4"/>
      <c r="C1038214" s="4"/>
      <c r="D1038214" s="4"/>
      <c r="E1038214" s="4"/>
      <c r="F1038214" s="4"/>
      <c r="G1038214" s="4"/>
      <c r="H1038214" s="91"/>
      <c r="I1038214" s="91"/>
      <c r="J1038214" s="4"/>
      <c r="K1038214" s="92"/>
      <c r="L1038214" s="92"/>
      <c r="M1038214" s="4"/>
      <c r="N1038214" s="4"/>
      <c r="O1038214" s="4"/>
      <c r="P1038214" s="93"/>
      <c r="Q1038214" s="93"/>
      <c r="R1038214" s="93"/>
      <c r="S1038214" s="4"/>
      <c r="T1038214" s="2"/>
      <c r="U1038214" s="4"/>
      <c r="V1038214" s="94"/>
      <c r="W1038214" s="4"/>
      <c r="X1038214" s="95"/>
      <c r="Y1038214" s="95"/>
    </row>
    <row r="1038215" s="90" customFormat="1" customHeight="1" spans="1:25">
      <c r="A1038215" s="4"/>
      <c r="B1038215" s="4"/>
      <c r="C1038215" s="4"/>
      <c r="D1038215" s="4"/>
      <c r="E1038215" s="4"/>
      <c r="F1038215" s="4"/>
      <c r="G1038215" s="4"/>
      <c r="H1038215" s="91"/>
      <c r="I1038215" s="91"/>
      <c r="J1038215" s="4"/>
      <c r="K1038215" s="92"/>
      <c r="L1038215" s="92"/>
      <c r="M1038215" s="4"/>
      <c r="N1038215" s="4"/>
      <c r="O1038215" s="4"/>
      <c r="P1038215" s="93"/>
      <c r="Q1038215" s="93"/>
      <c r="R1038215" s="93"/>
      <c r="S1038215" s="4"/>
      <c r="T1038215" s="2"/>
      <c r="U1038215" s="4"/>
      <c r="V1038215" s="94"/>
      <c r="W1038215" s="4"/>
      <c r="X1038215" s="95"/>
      <c r="Y1038215" s="95"/>
    </row>
    <row r="1038216" s="90" customFormat="1" customHeight="1" spans="1:25">
      <c r="A1038216" s="4"/>
      <c r="B1038216" s="4"/>
      <c r="C1038216" s="4"/>
      <c r="D1038216" s="4"/>
      <c r="E1038216" s="4"/>
      <c r="F1038216" s="4"/>
      <c r="G1038216" s="4"/>
      <c r="H1038216" s="91"/>
      <c r="I1038216" s="91"/>
      <c r="J1038216" s="4"/>
      <c r="K1038216" s="92"/>
      <c r="L1038216" s="92"/>
      <c r="M1038216" s="4"/>
      <c r="N1038216" s="4"/>
      <c r="O1038216" s="4"/>
      <c r="P1038216" s="93"/>
      <c r="Q1038216" s="93"/>
      <c r="R1038216" s="93"/>
      <c r="S1038216" s="4"/>
      <c r="T1038216" s="2"/>
      <c r="U1038216" s="4"/>
      <c r="V1038216" s="94"/>
      <c r="W1038216" s="4"/>
      <c r="X1038216" s="95"/>
      <c r="Y1038216" s="95"/>
    </row>
    <row r="1038217" s="90" customFormat="1" customHeight="1" spans="1:25">
      <c r="A1038217" s="4"/>
      <c r="B1038217" s="4"/>
      <c r="C1038217" s="4"/>
      <c r="D1038217" s="4"/>
      <c r="E1038217" s="4"/>
      <c r="F1038217" s="4"/>
      <c r="G1038217" s="4"/>
      <c r="H1038217" s="91"/>
      <c r="I1038217" s="91"/>
      <c r="J1038217" s="4"/>
      <c r="K1038217" s="92"/>
      <c r="L1038217" s="92"/>
      <c r="M1038217" s="4"/>
      <c r="N1038217" s="4"/>
      <c r="O1038217" s="4"/>
      <c r="P1038217" s="93"/>
      <c r="Q1038217" s="93"/>
      <c r="R1038217" s="93"/>
      <c r="S1038217" s="4"/>
      <c r="T1038217" s="2"/>
      <c r="U1038217" s="4"/>
      <c r="V1038217" s="94"/>
      <c r="W1038217" s="4"/>
      <c r="X1038217" s="95"/>
      <c r="Y1038217" s="95"/>
    </row>
    <row r="1038218" s="90" customFormat="1" customHeight="1" spans="1:25">
      <c r="A1038218" s="4"/>
      <c r="B1038218" s="4"/>
      <c r="C1038218" s="4"/>
      <c r="D1038218" s="4"/>
      <c r="E1038218" s="4"/>
      <c r="F1038218" s="4"/>
      <c r="G1038218" s="4"/>
      <c r="H1038218" s="91"/>
      <c r="I1038218" s="91"/>
      <c r="J1038218" s="4"/>
      <c r="K1038218" s="92"/>
      <c r="L1038218" s="92"/>
      <c r="M1038218" s="4"/>
      <c r="N1038218" s="4"/>
      <c r="O1038218" s="4"/>
      <c r="P1038218" s="93"/>
      <c r="Q1038218" s="93"/>
      <c r="R1038218" s="93"/>
      <c r="S1038218" s="4"/>
      <c r="T1038218" s="2"/>
      <c r="U1038218" s="4"/>
      <c r="V1038218" s="94"/>
      <c r="W1038218" s="4"/>
      <c r="X1038218" s="95"/>
      <c r="Y1038218" s="95"/>
    </row>
    <row r="1038219" s="90" customFormat="1" customHeight="1" spans="1:25">
      <c r="A1038219" s="4"/>
      <c r="B1038219" s="4"/>
      <c r="C1038219" s="4"/>
      <c r="D1038219" s="4"/>
      <c r="E1038219" s="4"/>
      <c r="F1038219" s="4"/>
      <c r="G1038219" s="4"/>
      <c r="H1038219" s="91"/>
      <c r="I1038219" s="91"/>
      <c r="J1038219" s="4"/>
      <c r="K1038219" s="92"/>
      <c r="L1038219" s="92"/>
      <c r="M1038219" s="4"/>
      <c r="N1038219" s="4"/>
      <c r="O1038219" s="4"/>
      <c r="P1038219" s="93"/>
      <c r="Q1038219" s="93"/>
      <c r="R1038219" s="93"/>
      <c r="S1038219" s="4"/>
      <c r="T1038219" s="2"/>
      <c r="U1038219" s="4"/>
      <c r="V1038219" s="94"/>
      <c r="W1038219" s="4"/>
      <c r="X1038219" s="95"/>
      <c r="Y1038219" s="95"/>
    </row>
    <row r="1038220" s="90" customFormat="1" customHeight="1" spans="1:25">
      <c r="A1038220" s="4"/>
      <c r="B1038220" s="4"/>
      <c r="C1038220" s="4"/>
      <c r="D1038220" s="4"/>
      <c r="E1038220" s="4"/>
      <c r="F1038220" s="4"/>
      <c r="G1038220" s="4"/>
      <c r="H1038220" s="91"/>
      <c r="I1038220" s="91"/>
      <c r="J1038220" s="4"/>
      <c r="K1038220" s="92"/>
      <c r="L1038220" s="92"/>
      <c r="M1038220" s="4"/>
      <c r="N1038220" s="4"/>
      <c r="O1038220" s="4"/>
      <c r="P1038220" s="93"/>
      <c r="Q1038220" s="93"/>
      <c r="R1038220" s="93"/>
      <c r="S1038220" s="4"/>
      <c r="T1038220" s="2"/>
      <c r="U1038220" s="4"/>
      <c r="V1038220" s="94"/>
      <c r="W1038220" s="4"/>
      <c r="X1038220" s="95"/>
      <c r="Y1038220" s="95"/>
    </row>
    <row r="1038221" s="90" customFormat="1" customHeight="1" spans="1:25">
      <c r="A1038221" s="4"/>
      <c r="B1038221" s="4"/>
      <c r="C1038221" s="4"/>
      <c r="D1038221" s="4"/>
      <c r="E1038221" s="4"/>
      <c r="F1038221" s="4"/>
      <c r="G1038221" s="4"/>
      <c r="H1038221" s="91"/>
      <c r="I1038221" s="91"/>
      <c r="J1038221" s="4"/>
      <c r="K1038221" s="92"/>
      <c r="L1038221" s="92"/>
      <c r="M1038221" s="4"/>
      <c r="N1038221" s="4"/>
      <c r="O1038221" s="4"/>
      <c r="P1038221" s="93"/>
      <c r="Q1038221" s="93"/>
      <c r="R1038221" s="93"/>
      <c r="S1038221" s="4"/>
      <c r="T1038221" s="2"/>
      <c r="U1038221" s="4"/>
      <c r="V1038221" s="94"/>
      <c r="W1038221" s="4"/>
      <c r="X1038221" s="95"/>
      <c r="Y1038221" s="95"/>
    </row>
    <row r="1038222" s="90" customFormat="1" customHeight="1" spans="1:25">
      <c r="A1038222" s="4"/>
      <c r="B1038222" s="4"/>
      <c r="C1038222" s="4"/>
      <c r="D1038222" s="4"/>
      <c r="E1038222" s="4"/>
      <c r="F1038222" s="4"/>
      <c r="G1038222" s="4"/>
      <c r="H1038222" s="91"/>
      <c r="I1038222" s="91"/>
      <c r="J1038222" s="4"/>
      <c r="K1038222" s="92"/>
      <c r="L1038222" s="92"/>
      <c r="M1038222" s="4"/>
      <c r="N1038222" s="4"/>
      <c r="O1038222" s="4"/>
      <c r="P1038222" s="93"/>
      <c r="Q1038222" s="93"/>
      <c r="R1038222" s="93"/>
      <c r="S1038222" s="4"/>
      <c r="T1038222" s="2"/>
      <c r="U1038222" s="4"/>
      <c r="V1038222" s="94"/>
      <c r="W1038222" s="4"/>
      <c r="X1038222" s="95"/>
      <c r="Y1038222" s="95"/>
    </row>
    <row r="1038223" s="90" customFormat="1" customHeight="1" spans="1:25">
      <c r="A1038223" s="4"/>
      <c r="B1038223" s="4"/>
      <c r="C1038223" s="4"/>
      <c r="D1038223" s="4"/>
      <c r="E1038223" s="4"/>
      <c r="F1038223" s="4"/>
      <c r="G1038223" s="4"/>
      <c r="H1038223" s="91"/>
      <c r="I1038223" s="91"/>
      <c r="J1038223" s="4"/>
      <c r="K1038223" s="92"/>
      <c r="L1038223" s="92"/>
      <c r="M1038223" s="4"/>
      <c r="N1038223" s="4"/>
      <c r="O1038223" s="4"/>
      <c r="P1038223" s="93"/>
      <c r="Q1038223" s="93"/>
      <c r="R1038223" s="93"/>
      <c r="S1038223" s="4"/>
      <c r="T1038223" s="2"/>
      <c r="U1038223" s="4"/>
      <c r="V1038223" s="94"/>
      <c r="W1038223" s="4"/>
      <c r="X1038223" s="95"/>
      <c r="Y1038223" s="95"/>
    </row>
    <row r="1038224" s="90" customFormat="1" customHeight="1" spans="1:25">
      <c r="A1038224" s="4"/>
      <c r="B1038224" s="4"/>
      <c r="C1038224" s="4"/>
      <c r="D1038224" s="4"/>
      <c r="E1038224" s="4"/>
      <c r="F1038224" s="4"/>
      <c r="G1038224" s="4"/>
      <c r="H1038224" s="91"/>
      <c r="I1038224" s="91"/>
      <c r="J1038224" s="4"/>
      <c r="K1038224" s="92"/>
      <c r="L1038224" s="92"/>
      <c r="M1038224" s="4"/>
      <c r="N1038224" s="4"/>
      <c r="O1038224" s="4"/>
      <c r="P1038224" s="93"/>
      <c r="Q1038224" s="93"/>
      <c r="R1038224" s="93"/>
      <c r="S1038224" s="4"/>
      <c r="T1038224" s="2"/>
      <c r="U1038224" s="4"/>
      <c r="V1038224" s="94"/>
      <c r="W1038224" s="4"/>
      <c r="X1038224" s="95"/>
      <c r="Y1038224" s="95"/>
    </row>
    <row r="1038225" s="90" customFormat="1" customHeight="1" spans="1:25">
      <c r="A1038225" s="4"/>
      <c r="B1038225" s="4"/>
      <c r="C1038225" s="4"/>
      <c r="D1038225" s="4"/>
      <c r="E1038225" s="4"/>
      <c r="F1038225" s="4"/>
      <c r="G1038225" s="4"/>
      <c r="H1038225" s="91"/>
      <c r="I1038225" s="91"/>
      <c r="J1038225" s="4"/>
      <c r="K1038225" s="92"/>
      <c r="L1038225" s="92"/>
      <c r="M1038225" s="4"/>
      <c r="N1038225" s="4"/>
      <c r="O1038225" s="4"/>
      <c r="P1038225" s="93"/>
      <c r="Q1038225" s="93"/>
      <c r="R1038225" s="93"/>
      <c r="S1038225" s="4"/>
      <c r="T1038225" s="2"/>
      <c r="U1038225" s="4"/>
      <c r="V1038225" s="94"/>
      <c r="W1038225" s="4"/>
      <c r="X1038225" s="95"/>
      <c r="Y1038225" s="95"/>
    </row>
    <row r="1038226" s="90" customFormat="1" customHeight="1" spans="1:25">
      <c r="A1038226" s="4"/>
      <c r="B1038226" s="4"/>
      <c r="C1038226" s="4"/>
      <c r="D1038226" s="4"/>
      <c r="E1038226" s="4"/>
      <c r="F1038226" s="4"/>
      <c r="G1038226" s="4"/>
      <c r="H1038226" s="91"/>
      <c r="I1038226" s="91"/>
      <c r="J1038226" s="4"/>
      <c r="K1038226" s="92"/>
      <c r="L1038226" s="92"/>
      <c r="M1038226" s="4"/>
      <c r="N1038226" s="4"/>
      <c r="O1038226" s="4"/>
      <c r="P1038226" s="93"/>
      <c r="Q1038226" s="93"/>
      <c r="R1038226" s="93"/>
      <c r="S1038226" s="4"/>
      <c r="T1038226" s="2"/>
      <c r="U1038226" s="4"/>
      <c r="V1038226" s="94"/>
      <c r="W1038226" s="4"/>
      <c r="X1038226" s="95"/>
      <c r="Y1038226" s="95"/>
    </row>
    <row r="1038227" s="90" customFormat="1" customHeight="1" spans="1:25">
      <c r="A1038227" s="4"/>
      <c r="B1038227" s="4"/>
      <c r="C1038227" s="4"/>
      <c r="D1038227" s="4"/>
      <c r="E1038227" s="4"/>
      <c r="F1038227" s="4"/>
      <c r="G1038227" s="4"/>
      <c r="H1038227" s="91"/>
      <c r="I1038227" s="91"/>
      <c r="J1038227" s="4"/>
      <c r="K1038227" s="92"/>
      <c r="L1038227" s="92"/>
      <c r="M1038227" s="4"/>
      <c r="N1038227" s="4"/>
      <c r="O1038227" s="4"/>
      <c r="P1038227" s="93"/>
      <c r="Q1038227" s="93"/>
      <c r="R1038227" s="93"/>
      <c r="S1038227" s="4"/>
      <c r="T1038227" s="2"/>
      <c r="U1038227" s="4"/>
      <c r="V1038227" s="94"/>
      <c r="W1038227" s="4"/>
      <c r="X1038227" s="95"/>
      <c r="Y1038227" s="95"/>
    </row>
    <row r="1038228" s="90" customFormat="1" customHeight="1" spans="1:25">
      <c r="A1038228" s="4"/>
      <c r="B1038228" s="4"/>
      <c r="C1038228" s="4"/>
      <c r="D1038228" s="4"/>
      <c r="E1038228" s="4"/>
      <c r="F1038228" s="4"/>
      <c r="G1038228" s="4"/>
      <c r="H1038228" s="91"/>
      <c r="I1038228" s="91"/>
      <c r="J1038228" s="4"/>
      <c r="K1038228" s="92"/>
      <c r="L1038228" s="92"/>
      <c r="M1038228" s="4"/>
      <c r="N1038228" s="4"/>
      <c r="O1038228" s="4"/>
      <c r="P1038228" s="93"/>
      <c r="Q1038228" s="93"/>
      <c r="R1038228" s="93"/>
      <c r="S1038228" s="4"/>
      <c r="T1038228" s="2"/>
      <c r="U1038228" s="4"/>
      <c r="V1038228" s="94"/>
      <c r="W1038228" s="4"/>
      <c r="X1038228" s="95"/>
      <c r="Y1038228" s="95"/>
    </row>
    <row r="1038229" s="90" customFormat="1" customHeight="1" spans="1:25">
      <c r="A1038229" s="4"/>
      <c r="B1038229" s="4"/>
      <c r="C1038229" s="4"/>
      <c r="D1038229" s="4"/>
      <c r="E1038229" s="4"/>
      <c r="F1038229" s="4"/>
      <c r="G1038229" s="4"/>
      <c r="H1038229" s="91"/>
      <c r="I1038229" s="91"/>
      <c r="J1038229" s="4"/>
      <c r="K1038229" s="92"/>
      <c r="L1038229" s="92"/>
      <c r="M1038229" s="4"/>
      <c r="N1038229" s="4"/>
      <c r="O1038229" s="4"/>
      <c r="P1038229" s="93"/>
      <c r="Q1038229" s="93"/>
      <c r="R1038229" s="93"/>
      <c r="S1038229" s="4"/>
      <c r="T1038229" s="2"/>
      <c r="U1038229" s="4"/>
      <c r="V1038229" s="94"/>
      <c r="W1038229" s="4"/>
      <c r="X1038229" s="95"/>
      <c r="Y1038229" s="95"/>
    </row>
    <row r="1038230" s="90" customFormat="1" customHeight="1" spans="1:25">
      <c r="A1038230" s="4"/>
      <c r="B1038230" s="4"/>
      <c r="C1038230" s="4"/>
      <c r="D1038230" s="4"/>
      <c r="E1038230" s="4"/>
      <c r="F1038230" s="4"/>
      <c r="G1038230" s="4"/>
      <c r="H1038230" s="91"/>
      <c r="I1038230" s="91"/>
      <c r="J1038230" s="4"/>
      <c r="K1038230" s="92"/>
      <c r="L1038230" s="92"/>
      <c r="M1038230" s="4"/>
      <c r="N1038230" s="4"/>
      <c r="O1038230" s="4"/>
      <c r="P1038230" s="93"/>
      <c r="Q1038230" s="93"/>
      <c r="R1038230" s="93"/>
      <c r="S1038230" s="4"/>
      <c r="T1038230" s="2"/>
      <c r="U1038230" s="4"/>
      <c r="V1038230" s="94"/>
      <c r="W1038230" s="4"/>
      <c r="X1038230" s="95"/>
      <c r="Y1038230" s="95"/>
    </row>
    <row r="1038231" s="90" customFormat="1" customHeight="1" spans="1:25">
      <c r="A1038231" s="4"/>
      <c r="B1038231" s="4"/>
      <c r="C1038231" s="4"/>
      <c r="D1038231" s="4"/>
      <c r="E1038231" s="4"/>
      <c r="F1038231" s="4"/>
      <c r="G1038231" s="4"/>
      <c r="H1038231" s="91"/>
      <c r="I1038231" s="91"/>
      <c r="J1038231" s="4"/>
      <c r="K1038231" s="92"/>
      <c r="L1038231" s="92"/>
      <c r="M1038231" s="4"/>
      <c r="N1038231" s="4"/>
      <c r="O1038231" s="4"/>
      <c r="P1038231" s="93"/>
      <c r="Q1038231" s="93"/>
      <c r="R1038231" s="93"/>
      <c r="S1038231" s="4"/>
      <c r="T1038231" s="2"/>
      <c r="U1038231" s="4"/>
      <c r="V1038231" s="94"/>
      <c r="W1038231" s="4"/>
      <c r="X1038231" s="95"/>
      <c r="Y1038231" s="95"/>
    </row>
    <row r="1038232" s="90" customFormat="1" customHeight="1" spans="1:25">
      <c r="A1038232" s="4"/>
      <c r="B1038232" s="4"/>
      <c r="C1038232" s="4"/>
      <c r="D1038232" s="4"/>
      <c r="E1038232" s="4"/>
      <c r="F1038232" s="4"/>
      <c r="G1038232" s="4"/>
      <c r="H1038232" s="91"/>
      <c r="I1038232" s="91"/>
      <c r="J1038232" s="4"/>
      <c r="K1038232" s="92"/>
      <c r="L1038232" s="92"/>
      <c r="M1038232" s="4"/>
      <c r="N1038232" s="4"/>
      <c r="O1038232" s="4"/>
      <c r="P1038232" s="93"/>
      <c r="Q1038232" s="93"/>
      <c r="R1038232" s="93"/>
      <c r="S1038232" s="4"/>
      <c r="T1038232" s="2"/>
      <c r="U1038232" s="4"/>
      <c r="V1038232" s="94"/>
      <c r="W1038232" s="4"/>
      <c r="X1038232" s="95"/>
      <c r="Y1038232" s="95"/>
    </row>
    <row r="1038233" s="90" customFormat="1" customHeight="1" spans="1:25">
      <c r="A1038233" s="4"/>
      <c r="B1038233" s="4"/>
      <c r="C1038233" s="4"/>
      <c r="D1038233" s="4"/>
      <c r="E1038233" s="4"/>
      <c r="F1038233" s="4"/>
      <c r="G1038233" s="4"/>
      <c r="H1038233" s="91"/>
      <c r="I1038233" s="91"/>
      <c r="J1038233" s="4"/>
      <c r="K1038233" s="92"/>
      <c r="L1038233" s="92"/>
      <c r="M1038233" s="4"/>
      <c r="N1038233" s="4"/>
      <c r="O1038233" s="4"/>
      <c r="P1038233" s="93"/>
      <c r="Q1038233" s="93"/>
      <c r="R1038233" s="93"/>
      <c r="S1038233" s="4"/>
      <c r="T1038233" s="2"/>
      <c r="U1038233" s="4"/>
      <c r="V1038233" s="94"/>
      <c r="W1038233" s="4"/>
      <c r="X1038233" s="95"/>
      <c r="Y1038233" s="95"/>
    </row>
    <row r="1038234" s="90" customFormat="1" customHeight="1" spans="1:25">
      <c r="A1038234" s="4"/>
      <c r="B1038234" s="4"/>
      <c r="C1038234" s="4"/>
      <c r="D1038234" s="4"/>
      <c r="E1038234" s="4"/>
      <c r="F1038234" s="4"/>
      <c r="G1038234" s="4"/>
      <c r="H1038234" s="91"/>
      <c r="I1038234" s="91"/>
      <c r="J1038234" s="4"/>
      <c r="K1038234" s="92"/>
      <c r="L1038234" s="92"/>
      <c r="M1038234" s="4"/>
      <c r="N1038234" s="4"/>
      <c r="O1038234" s="4"/>
      <c r="P1038234" s="93"/>
      <c r="Q1038234" s="93"/>
      <c r="R1038234" s="93"/>
      <c r="S1038234" s="4"/>
      <c r="T1038234" s="2"/>
      <c r="U1038234" s="4"/>
      <c r="V1038234" s="94"/>
      <c r="W1038234" s="4"/>
      <c r="X1038234" s="95"/>
      <c r="Y1038234" s="95"/>
    </row>
    <row r="1038235" s="90" customFormat="1" customHeight="1" spans="1:25">
      <c r="A1038235" s="4"/>
      <c r="B1038235" s="4"/>
      <c r="C1038235" s="4"/>
      <c r="D1038235" s="4"/>
      <c r="E1038235" s="4"/>
      <c r="F1038235" s="4"/>
      <c r="G1038235" s="4"/>
      <c r="H1038235" s="91"/>
      <c r="I1038235" s="91"/>
      <c r="J1038235" s="4"/>
      <c r="K1038235" s="92"/>
      <c r="L1038235" s="92"/>
      <c r="M1038235" s="4"/>
      <c r="N1038235" s="4"/>
      <c r="O1038235" s="4"/>
      <c r="P1038235" s="93"/>
      <c r="Q1038235" s="93"/>
      <c r="R1038235" s="93"/>
      <c r="S1038235" s="4"/>
      <c r="T1038235" s="2"/>
      <c r="U1038235" s="4"/>
      <c r="V1038235" s="94"/>
      <c r="W1038235" s="4"/>
      <c r="X1038235" s="95"/>
      <c r="Y1038235" s="95"/>
    </row>
    <row r="1038236" s="90" customFormat="1" customHeight="1" spans="1:25">
      <c r="A1038236" s="4"/>
      <c r="B1038236" s="4"/>
      <c r="C1038236" s="4"/>
      <c r="D1038236" s="4"/>
      <c r="E1038236" s="4"/>
      <c r="F1038236" s="4"/>
      <c r="G1038236" s="4"/>
      <c r="H1038236" s="91"/>
      <c r="I1038236" s="91"/>
      <c r="J1038236" s="4"/>
      <c r="K1038236" s="92"/>
      <c r="L1038236" s="92"/>
      <c r="M1038236" s="4"/>
      <c r="N1038236" s="4"/>
      <c r="O1038236" s="4"/>
      <c r="P1038236" s="93"/>
      <c r="Q1038236" s="93"/>
      <c r="R1038236" s="93"/>
      <c r="S1038236" s="4"/>
      <c r="T1038236" s="2"/>
      <c r="U1038236" s="4"/>
      <c r="V1038236" s="94"/>
      <c r="W1038236" s="4"/>
      <c r="X1038236" s="95"/>
      <c r="Y1038236" s="95"/>
    </row>
    <row r="1038237" s="90" customFormat="1" customHeight="1" spans="1:25">
      <c r="A1038237" s="4"/>
      <c r="B1038237" s="4"/>
      <c r="C1038237" s="4"/>
      <c r="D1038237" s="4"/>
      <c r="E1038237" s="4"/>
      <c r="F1038237" s="4"/>
      <c r="G1038237" s="4"/>
      <c r="H1038237" s="91"/>
      <c r="I1038237" s="91"/>
      <c r="J1038237" s="4"/>
      <c r="K1038237" s="92"/>
      <c r="L1038237" s="92"/>
      <c r="M1038237" s="4"/>
      <c r="N1038237" s="4"/>
      <c r="O1038237" s="4"/>
      <c r="P1038237" s="93"/>
      <c r="Q1038237" s="93"/>
      <c r="R1038237" s="93"/>
      <c r="S1038237" s="4"/>
      <c r="T1038237" s="2"/>
      <c r="U1038237" s="4"/>
      <c r="V1038237" s="94"/>
      <c r="W1038237" s="4"/>
      <c r="X1038237" s="95"/>
      <c r="Y1038237" s="95"/>
    </row>
    <row r="1038238" s="90" customFormat="1" customHeight="1" spans="1:25">
      <c r="A1038238" s="4"/>
      <c r="B1038238" s="4"/>
      <c r="C1038238" s="4"/>
      <c r="D1038238" s="4"/>
      <c r="E1038238" s="4"/>
      <c r="F1038238" s="4"/>
      <c r="G1038238" s="4"/>
      <c r="H1038238" s="91"/>
      <c r="I1038238" s="91"/>
      <c r="J1038238" s="4"/>
      <c r="K1038238" s="92"/>
      <c r="L1038238" s="92"/>
      <c r="M1038238" s="4"/>
      <c r="N1038238" s="4"/>
      <c r="O1038238" s="4"/>
      <c r="P1038238" s="93"/>
      <c r="Q1038238" s="93"/>
      <c r="R1038238" s="93"/>
      <c r="S1038238" s="4"/>
      <c r="T1038238" s="2"/>
      <c r="U1038238" s="4"/>
      <c r="V1038238" s="94"/>
      <c r="W1038238" s="4"/>
      <c r="X1038238" s="95"/>
      <c r="Y1038238" s="95"/>
    </row>
    <row r="1038239" s="90" customFormat="1" customHeight="1" spans="1:25">
      <c r="A1038239" s="4"/>
      <c r="B1038239" s="4"/>
      <c r="C1038239" s="4"/>
      <c r="D1038239" s="4"/>
      <c r="E1038239" s="4"/>
      <c r="F1038239" s="4"/>
      <c r="G1038239" s="4"/>
      <c r="H1038239" s="91"/>
      <c r="I1038239" s="91"/>
      <c r="J1038239" s="4"/>
      <c r="K1038239" s="92"/>
      <c r="L1038239" s="92"/>
      <c r="M1038239" s="4"/>
      <c r="N1038239" s="4"/>
      <c r="O1038239" s="4"/>
      <c r="P1038239" s="93"/>
      <c r="Q1038239" s="93"/>
      <c r="R1038239" s="93"/>
      <c r="S1038239" s="4"/>
      <c r="T1038239" s="2"/>
      <c r="U1038239" s="4"/>
      <c r="V1038239" s="94"/>
      <c r="W1038239" s="4"/>
      <c r="X1038239" s="95"/>
      <c r="Y1038239" s="95"/>
    </row>
    <row r="1038240" s="90" customFormat="1" customHeight="1" spans="1:25">
      <c r="A1038240" s="4"/>
      <c r="B1038240" s="4"/>
      <c r="C1038240" s="4"/>
      <c r="D1038240" s="4"/>
      <c r="E1038240" s="4"/>
      <c r="F1038240" s="4"/>
      <c r="G1038240" s="4"/>
      <c r="H1038240" s="91"/>
      <c r="I1038240" s="91"/>
      <c r="J1038240" s="4"/>
      <c r="K1038240" s="92"/>
      <c r="L1038240" s="92"/>
      <c r="M1038240" s="4"/>
      <c r="N1038240" s="4"/>
      <c r="O1038240" s="4"/>
      <c r="P1038240" s="93"/>
      <c r="Q1038240" s="93"/>
      <c r="R1038240" s="93"/>
      <c r="S1038240" s="4"/>
      <c r="T1038240" s="2"/>
      <c r="U1038240" s="4"/>
      <c r="V1038240" s="94"/>
      <c r="W1038240" s="4"/>
      <c r="X1038240" s="95"/>
      <c r="Y1038240" s="95"/>
    </row>
    <row r="1038241" s="90" customFormat="1" customHeight="1" spans="1:25">
      <c r="A1038241" s="4"/>
      <c r="B1038241" s="4"/>
      <c r="C1038241" s="4"/>
      <c r="D1038241" s="4"/>
      <c r="E1038241" s="4"/>
      <c r="F1038241" s="4"/>
      <c r="G1038241" s="4"/>
      <c r="H1038241" s="91"/>
      <c r="I1038241" s="91"/>
      <c r="J1038241" s="4"/>
      <c r="K1038241" s="92"/>
      <c r="L1038241" s="92"/>
      <c r="M1038241" s="4"/>
      <c r="N1038241" s="4"/>
      <c r="O1038241" s="4"/>
      <c r="P1038241" s="93"/>
      <c r="Q1038241" s="93"/>
      <c r="R1038241" s="93"/>
      <c r="S1038241" s="4"/>
      <c r="T1038241" s="2"/>
      <c r="U1038241" s="4"/>
      <c r="V1038241" s="94"/>
      <c r="W1038241" s="4"/>
      <c r="X1038241" s="95"/>
      <c r="Y1038241" s="95"/>
    </row>
    <row r="1038242" s="90" customFormat="1" customHeight="1" spans="1:25">
      <c r="A1038242" s="4"/>
      <c r="B1038242" s="4"/>
      <c r="C1038242" s="4"/>
      <c r="D1038242" s="4"/>
      <c r="E1038242" s="4"/>
      <c r="F1038242" s="4"/>
      <c r="G1038242" s="4"/>
      <c r="H1038242" s="91"/>
      <c r="I1038242" s="91"/>
      <c r="J1038242" s="4"/>
      <c r="K1038242" s="92"/>
      <c r="L1038242" s="92"/>
      <c r="M1038242" s="4"/>
      <c r="N1038242" s="4"/>
      <c r="O1038242" s="4"/>
      <c r="P1038242" s="93"/>
      <c r="Q1038242" s="93"/>
      <c r="R1038242" s="93"/>
      <c r="S1038242" s="4"/>
      <c r="T1038242" s="2"/>
      <c r="U1038242" s="4"/>
      <c r="V1038242" s="94"/>
      <c r="W1038242" s="4"/>
      <c r="X1038242" s="95"/>
      <c r="Y1038242" s="95"/>
    </row>
    <row r="1038243" s="90" customFormat="1" customHeight="1" spans="1:25">
      <c r="A1038243" s="4"/>
      <c r="B1038243" s="4"/>
      <c r="C1038243" s="4"/>
      <c r="D1038243" s="4"/>
      <c r="E1038243" s="4"/>
      <c r="F1038243" s="4"/>
      <c r="G1038243" s="4"/>
      <c r="H1038243" s="91"/>
      <c r="I1038243" s="91"/>
      <c r="J1038243" s="4"/>
      <c r="K1038243" s="92"/>
      <c r="L1038243" s="92"/>
      <c r="M1038243" s="4"/>
      <c r="N1038243" s="4"/>
      <c r="O1038243" s="4"/>
      <c r="P1038243" s="93"/>
      <c r="Q1038243" s="93"/>
      <c r="R1038243" s="93"/>
      <c r="S1038243" s="4"/>
      <c r="T1038243" s="2"/>
      <c r="U1038243" s="4"/>
      <c r="V1038243" s="94"/>
      <c r="W1038243" s="4"/>
      <c r="X1038243" s="95"/>
      <c r="Y1038243" s="95"/>
    </row>
    <row r="1038244" s="90" customFormat="1" customHeight="1" spans="1:25">
      <c r="A1038244" s="4"/>
      <c r="B1038244" s="4"/>
      <c r="C1038244" s="4"/>
      <c r="D1038244" s="4"/>
      <c r="E1038244" s="4"/>
      <c r="F1038244" s="4"/>
      <c r="G1038244" s="4"/>
      <c r="H1038244" s="91"/>
      <c r="I1038244" s="91"/>
      <c r="J1038244" s="4"/>
      <c r="K1038244" s="92"/>
      <c r="L1038244" s="92"/>
      <c r="M1038244" s="4"/>
      <c r="N1038244" s="4"/>
      <c r="O1038244" s="4"/>
      <c r="P1038244" s="93"/>
      <c r="Q1038244" s="93"/>
      <c r="R1038244" s="93"/>
      <c r="S1038244" s="4"/>
      <c r="T1038244" s="2"/>
      <c r="U1038244" s="4"/>
      <c r="V1038244" s="94"/>
      <c r="W1038244" s="4"/>
      <c r="X1038244" s="95"/>
      <c r="Y1038244" s="95"/>
    </row>
    <row r="1038245" s="90" customFormat="1" customHeight="1" spans="1:25">
      <c r="A1038245" s="4"/>
      <c r="B1038245" s="4"/>
      <c r="C1038245" s="4"/>
      <c r="D1038245" s="4"/>
      <c r="E1038245" s="4"/>
      <c r="F1038245" s="4"/>
      <c r="G1038245" s="4"/>
      <c r="H1038245" s="91"/>
      <c r="I1038245" s="91"/>
      <c r="J1038245" s="4"/>
      <c r="K1038245" s="92"/>
      <c r="L1038245" s="92"/>
      <c r="M1038245" s="4"/>
      <c r="N1038245" s="4"/>
      <c r="O1038245" s="4"/>
      <c r="P1038245" s="93"/>
      <c r="Q1038245" s="93"/>
      <c r="R1038245" s="93"/>
      <c r="S1038245" s="4"/>
      <c r="T1038245" s="2"/>
      <c r="U1038245" s="4"/>
      <c r="V1038245" s="94"/>
      <c r="W1038245" s="4"/>
      <c r="X1038245" s="95"/>
      <c r="Y1038245" s="95"/>
    </row>
    <row r="1038246" s="90" customFormat="1" customHeight="1" spans="1:25">
      <c r="A1038246" s="4"/>
      <c r="B1038246" s="4"/>
      <c r="C1038246" s="4"/>
      <c r="D1038246" s="4"/>
      <c r="E1038246" s="4"/>
      <c r="F1038246" s="4"/>
      <c r="G1038246" s="4"/>
      <c r="H1038246" s="91"/>
      <c r="I1038246" s="91"/>
      <c r="J1038246" s="4"/>
      <c r="K1038246" s="92"/>
      <c r="L1038246" s="92"/>
      <c r="M1038246" s="4"/>
      <c r="N1038246" s="4"/>
      <c r="O1038246" s="4"/>
      <c r="P1038246" s="93"/>
      <c r="Q1038246" s="93"/>
      <c r="R1038246" s="93"/>
      <c r="S1038246" s="4"/>
      <c r="T1038246" s="2"/>
      <c r="U1038246" s="4"/>
      <c r="V1038246" s="94"/>
      <c r="W1038246" s="4"/>
      <c r="X1038246" s="95"/>
      <c r="Y1038246" s="95"/>
    </row>
    <row r="1038247" s="90" customFormat="1" customHeight="1" spans="1:25">
      <c r="A1038247" s="4"/>
      <c r="B1038247" s="4"/>
      <c r="C1038247" s="4"/>
      <c r="D1038247" s="4"/>
      <c r="E1038247" s="4"/>
      <c r="F1038247" s="4"/>
      <c r="G1038247" s="4"/>
      <c r="H1038247" s="91"/>
      <c r="I1038247" s="91"/>
      <c r="J1038247" s="4"/>
      <c r="K1038247" s="92"/>
      <c r="L1038247" s="92"/>
      <c r="M1038247" s="4"/>
      <c r="N1038247" s="4"/>
      <c r="O1038247" s="4"/>
      <c r="P1038247" s="93"/>
      <c r="Q1038247" s="93"/>
      <c r="R1038247" s="93"/>
      <c r="S1038247" s="4"/>
      <c r="T1038247" s="2"/>
      <c r="U1038247" s="4"/>
      <c r="V1038247" s="94"/>
      <c r="W1038247" s="4"/>
      <c r="X1038247" s="95"/>
      <c r="Y1038247" s="95"/>
    </row>
    <row r="1038248" s="90" customFormat="1" customHeight="1" spans="1:25">
      <c r="A1038248" s="4"/>
      <c r="B1038248" s="4"/>
      <c r="C1038248" s="4"/>
      <c r="D1038248" s="4"/>
      <c r="E1038248" s="4"/>
      <c r="F1038248" s="4"/>
      <c r="G1038248" s="4"/>
      <c r="H1038248" s="91"/>
      <c r="I1038248" s="91"/>
      <c r="J1038248" s="4"/>
      <c r="K1038248" s="92"/>
      <c r="L1038248" s="92"/>
      <c r="M1038248" s="4"/>
      <c r="N1038248" s="4"/>
      <c r="O1038248" s="4"/>
      <c r="P1038248" s="93"/>
      <c r="Q1038248" s="93"/>
      <c r="R1038248" s="93"/>
      <c r="S1038248" s="4"/>
      <c r="T1038248" s="2"/>
      <c r="U1038248" s="4"/>
      <c r="V1038248" s="94"/>
      <c r="W1038248" s="4"/>
      <c r="X1038248" s="95"/>
      <c r="Y1038248" s="95"/>
    </row>
    <row r="1038249" s="90" customFormat="1" customHeight="1" spans="1:25">
      <c r="A1038249" s="4"/>
      <c r="B1038249" s="4"/>
      <c r="C1038249" s="4"/>
      <c r="D1038249" s="4"/>
      <c r="E1038249" s="4"/>
      <c r="F1038249" s="4"/>
      <c r="G1038249" s="4"/>
      <c r="H1038249" s="91"/>
      <c r="I1038249" s="91"/>
      <c r="J1038249" s="4"/>
      <c r="K1038249" s="92"/>
      <c r="L1038249" s="92"/>
      <c r="M1038249" s="4"/>
      <c r="N1038249" s="4"/>
      <c r="O1038249" s="4"/>
      <c r="P1038249" s="93"/>
      <c r="Q1038249" s="93"/>
      <c r="R1038249" s="93"/>
      <c r="S1038249" s="4"/>
      <c r="T1038249" s="2"/>
      <c r="U1038249" s="4"/>
      <c r="V1038249" s="94"/>
      <c r="W1038249" s="4"/>
      <c r="X1038249" s="95"/>
      <c r="Y1038249" s="95"/>
    </row>
    <row r="1038250" s="90" customFormat="1" customHeight="1" spans="1:25">
      <c r="A1038250" s="4"/>
      <c r="B1038250" s="4"/>
      <c r="C1038250" s="4"/>
      <c r="D1038250" s="4"/>
      <c r="E1038250" s="4"/>
      <c r="F1038250" s="4"/>
      <c r="G1038250" s="4"/>
      <c r="H1038250" s="91"/>
      <c r="I1038250" s="91"/>
      <c r="J1038250" s="4"/>
      <c r="K1038250" s="92"/>
      <c r="L1038250" s="92"/>
      <c r="M1038250" s="4"/>
      <c r="N1038250" s="4"/>
      <c r="O1038250" s="4"/>
      <c r="P1038250" s="93"/>
      <c r="Q1038250" s="93"/>
      <c r="R1038250" s="93"/>
      <c r="S1038250" s="4"/>
      <c r="T1038250" s="2"/>
      <c r="U1038250" s="4"/>
      <c r="V1038250" s="94"/>
      <c r="W1038250" s="4"/>
      <c r="X1038250" s="95"/>
      <c r="Y1038250" s="95"/>
    </row>
    <row r="1038251" s="90" customFormat="1" customHeight="1" spans="1:25">
      <c r="A1038251" s="4"/>
      <c r="B1038251" s="4"/>
      <c r="C1038251" s="4"/>
      <c r="D1038251" s="4"/>
      <c r="E1038251" s="4"/>
      <c r="F1038251" s="4"/>
      <c r="G1038251" s="4"/>
      <c r="H1038251" s="91"/>
      <c r="I1038251" s="91"/>
      <c r="J1038251" s="4"/>
      <c r="K1038251" s="92"/>
      <c r="L1038251" s="92"/>
      <c r="M1038251" s="4"/>
      <c r="N1038251" s="4"/>
      <c r="O1038251" s="4"/>
      <c r="P1038251" s="93"/>
      <c r="Q1038251" s="93"/>
      <c r="R1038251" s="93"/>
      <c r="S1038251" s="4"/>
      <c r="T1038251" s="2"/>
      <c r="U1038251" s="4"/>
      <c r="V1038251" s="94"/>
      <c r="W1038251" s="4"/>
      <c r="X1038251" s="95"/>
      <c r="Y1038251" s="95"/>
    </row>
    <row r="1038252" s="90" customFormat="1" customHeight="1" spans="1:25">
      <c r="A1038252" s="4"/>
      <c r="B1038252" s="4"/>
      <c r="C1038252" s="4"/>
      <c r="D1038252" s="4"/>
      <c r="E1038252" s="4"/>
      <c r="F1038252" s="4"/>
      <c r="G1038252" s="4"/>
      <c r="H1038252" s="91"/>
      <c r="I1038252" s="91"/>
      <c r="J1038252" s="4"/>
      <c r="K1038252" s="92"/>
      <c r="L1038252" s="92"/>
      <c r="M1038252" s="4"/>
      <c r="N1038252" s="4"/>
      <c r="O1038252" s="4"/>
      <c r="P1038252" s="93"/>
      <c r="Q1038252" s="93"/>
      <c r="R1038252" s="93"/>
      <c r="S1038252" s="4"/>
      <c r="T1038252" s="2"/>
      <c r="U1038252" s="4"/>
      <c r="V1038252" s="94"/>
      <c r="W1038252" s="4"/>
      <c r="X1038252" s="95"/>
      <c r="Y1038252" s="95"/>
    </row>
    <row r="1038253" s="90" customFormat="1" customHeight="1" spans="1:25">
      <c r="A1038253" s="4"/>
      <c r="B1038253" s="4"/>
      <c r="C1038253" s="4"/>
      <c r="D1038253" s="4"/>
      <c r="E1038253" s="4"/>
      <c r="F1038253" s="4"/>
      <c r="G1038253" s="4"/>
      <c r="H1038253" s="91"/>
      <c r="I1038253" s="91"/>
      <c r="J1038253" s="4"/>
      <c r="K1038253" s="92"/>
      <c r="L1038253" s="92"/>
      <c r="M1038253" s="4"/>
      <c r="N1038253" s="4"/>
      <c r="O1038253" s="4"/>
      <c r="P1038253" s="93"/>
      <c r="Q1038253" s="93"/>
      <c r="R1038253" s="93"/>
      <c r="S1038253" s="4"/>
      <c r="T1038253" s="2"/>
      <c r="U1038253" s="4"/>
      <c r="V1038253" s="94"/>
      <c r="W1038253" s="4"/>
      <c r="X1038253" s="95"/>
      <c r="Y1038253" s="95"/>
    </row>
    <row r="1038254" s="90" customFormat="1" customHeight="1" spans="1:25">
      <c r="A1038254" s="4"/>
      <c r="B1038254" s="4"/>
      <c r="C1038254" s="4"/>
      <c r="D1038254" s="4"/>
      <c r="E1038254" s="4"/>
      <c r="F1038254" s="4"/>
      <c r="G1038254" s="4"/>
      <c r="H1038254" s="91"/>
      <c r="I1038254" s="91"/>
      <c r="J1038254" s="4"/>
      <c r="K1038254" s="92"/>
      <c r="L1038254" s="92"/>
      <c r="M1038254" s="4"/>
      <c r="N1038254" s="4"/>
      <c r="O1038254" s="4"/>
      <c r="P1038254" s="93"/>
      <c r="Q1038254" s="93"/>
      <c r="R1038254" s="93"/>
      <c r="S1038254" s="4"/>
      <c r="T1038254" s="2"/>
      <c r="U1038254" s="4"/>
      <c r="V1038254" s="94"/>
      <c r="W1038254" s="4"/>
      <c r="X1038254" s="95"/>
      <c r="Y1038254" s="95"/>
    </row>
    <row r="1038255" s="90" customFormat="1" customHeight="1" spans="1:25">
      <c r="A1038255" s="4"/>
      <c r="B1038255" s="4"/>
      <c r="C1038255" s="4"/>
      <c r="D1038255" s="4"/>
      <c r="E1038255" s="4"/>
      <c r="F1038255" s="4"/>
      <c r="G1038255" s="4"/>
      <c r="H1038255" s="91"/>
      <c r="I1038255" s="91"/>
      <c r="J1038255" s="4"/>
      <c r="K1038255" s="92"/>
      <c r="L1038255" s="92"/>
      <c r="M1038255" s="4"/>
      <c r="N1038255" s="4"/>
      <c r="O1038255" s="4"/>
      <c r="P1038255" s="93"/>
      <c r="Q1038255" s="93"/>
      <c r="R1038255" s="93"/>
      <c r="S1038255" s="4"/>
      <c r="T1038255" s="2"/>
      <c r="U1038255" s="4"/>
      <c r="V1038255" s="94"/>
      <c r="W1038255" s="4"/>
      <c r="X1038255" s="95"/>
      <c r="Y1038255" s="95"/>
    </row>
    <row r="1038256" s="90" customFormat="1" customHeight="1" spans="1:25">
      <c r="A1038256" s="4"/>
      <c r="B1038256" s="4"/>
      <c r="C1038256" s="4"/>
      <c r="D1038256" s="4"/>
      <c r="E1038256" s="4"/>
      <c r="F1038256" s="4"/>
      <c r="G1038256" s="4"/>
      <c r="H1038256" s="91"/>
      <c r="I1038256" s="91"/>
      <c r="J1038256" s="4"/>
      <c r="K1038256" s="92"/>
      <c r="L1038256" s="92"/>
      <c r="M1038256" s="4"/>
      <c r="N1038256" s="4"/>
      <c r="O1038256" s="4"/>
      <c r="P1038256" s="93"/>
      <c r="Q1038256" s="93"/>
      <c r="R1038256" s="93"/>
      <c r="S1038256" s="4"/>
      <c r="T1038256" s="2"/>
      <c r="U1038256" s="4"/>
      <c r="V1038256" s="94"/>
      <c r="W1038256" s="4"/>
      <c r="X1038256" s="95"/>
      <c r="Y1038256" s="95"/>
    </row>
    <row r="1038257" s="90" customFormat="1" customHeight="1" spans="1:25">
      <c r="A1038257" s="4"/>
      <c r="B1038257" s="4"/>
      <c r="C1038257" s="4"/>
      <c r="D1038257" s="4"/>
      <c r="E1038257" s="4"/>
      <c r="F1038257" s="4"/>
      <c r="G1038257" s="4"/>
      <c r="H1038257" s="91"/>
      <c r="I1038257" s="91"/>
      <c r="J1038257" s="4"/>
      <c r="K1038257" s="92"/>
      <c r="L1038257" s="92"/>
      <c r="M1038257" s="4"/>
      <c r="N1038257" s="4"/>
      <c r="O1038257" s="4"/>
      <c r="P1038257" s="93"/>
      <c r="Q1038257" s="93"/>
      <c r="R1038257" s="93"/>
      <c r="S1038257" s="4"/>
      <c r="T1038257" s="2"/>
      <c r="U1038257" s="4"/>
      <c r="V1038257" s="94"/>
      <c r="W1038257" s="4"/>
      <c r="X1038257" s="95"/>
      <c r="Y1038257" s="95"/>
    </row>
    <row r="1038258" s="90" customFormat="1" customHeight="1" spans="1:25">
      <c r="A1038258" s="4"/>
      <c r="B1038258" s="4"/>
      <c r="C1038258" s="4"/>
      <c r="D1038258" s="4"/>
      <c r="E1038258" s="4"/>
      <c r="F1038258" s="4"/>
      <c r="G1038258" s="4"/>
      <c r="H1038258" s="91"/>
      <c r="I1038258" s="91"/>
      <c r="J1038258" s="4"/>
      <c r="K1038258" s="92"/>
      <c r="L1038258" s="92"/>
      <c r="M1038258" s="4"/>
      <c r="N1038258" s="4"/>
      <c r="O1038258" s="4"/>
      <c r="P1038258" s="93"/>
      <c r="Q1038258" s="93"/>
      <c r="R1038258" s="93"/>
      <c r="S1038258" s="4"/>
      <c r="T1038258" s="2"/>
      <c r="U1038258" s="4"/>
      <c r="V1038258" s="94"/>
      <c r="W1038258" s="4"/>
      <c r="X1038258" s="95"/>
      <c r="Y1038258" s="95"/>
    </row>
    <row r="1038259" s="90" customFormat="1" customHeight="1" spans="1:25">
      <c r="A1038259" s="4"/>
      <c r="B1038259" s="4"/>
      <c r="C1038259" s="4"/>
      <c r="D1038259" s="4"/>
      <c r="E1038259" s="4"/>
      <c r="F1038259" s="4"/>
      <c r="G1038259" s="4"/>
      <c r="H1038259" s="91"/>
      <c r="I1038259" s="91"/>
      <c r="J1038259" s="4"/>
      <c r="K1038259" s="92"/>
      <c r="L1038259" s="92"/>
      <c r="M1038259" s="4"/>
      <c r="N1038259" s="4"/>
      <c r="O1038259" s="4"/>
      <c r="P1038259" s="93"/>
      <c r="Q1038259" s="93"/>
      <c r="R1038259" s="93"/>
      <c r="S1038259" s="4"/>
      <c r="T1038259" s="2"/>
      <c r="U1038259" s="4"/>
      <c r="V1038259" s="94"/>
      <c r="W1038259" s="4"/>
      <c r="X1038259" s="95"/>
      <c r="Y1038259" s="95"/>
    </row>
    <row r="1038260" s="90" customFormat="1" customHeight="1" spans="1:25">
      <c r="A1038260" s="4"/>
      <c r="B1038260" s="4"/>
      <c r="C1038260" s="4"/>
      <c r="D1038260" s="4"/>
      <c r="E1038260" s="4"/>
      <c r="F1038260" s="4"/>
      <c r="G1038260" s="4"/>
      <c r="H1038260" s="91"/>
      <c r="I1038260" s="91"/>
      <c r="J1038260" s="4"/>
      <c r="K1038260" s="92"/>
      <c r="L1038260" s="92"/>
      <c r="M1038260" s="4"/>
      <c r="N1038260" s="4"/>
      <c r="O1038260" s="4"/>
      <c r="P1038260" s="93"/>
      <c r="Q1038260" s="93"/>
      <c r="R1038260" s="93"/>
      <c r="S1038260" s="4"/>
      <c r="T1038260" s="2"/>
      <c r="U1038260" s="4"/>
      <c r="V1038260" s="94"/>
      <c r="W1038260" s="4"/>
      <c r="X1038260" s="95"/>
      <c r="Y1038260" s="95"/>
    </row>
    <row r="1038261" s="90" customFormat="1" customHeight="1" spans="1:25">
      <c r="A1038261" s="4"/>
      <c r="B1038261" s="4"/>
      <c r="C1038261" s="4"/>
      <c r="D1038261" s="4"/>
      <c r="E1038261" s="4"/>
      <c r="F1038261" s="4"/>
      <c r="G1038261" s="4"/>
      <c r="H1038261" s="91"/>
      <c r="I1038261" s="91"/>
      <c r="J1038261" s="4"/>
      <c r="K1038261" s="92"/>
      <c r="L1038261" s="92"/>
      <c r="M1038261" s="4"/>
      <c r="N1038261" s="4"/>
      <c r="O1038261" s="4"/>
      <c r="P1038261" s="93"/>
      <c r="Q1038261" s="93"/>
      <c r="R1038261" s="93"/>
      <c r="S1038261" s="4"/>
      <c r="T1038261" s="2"/>
      <c r="U1038261" s="4"/>
      <c r="V1038261" s="94"/>
      <c r="W1038261" s="4"/>
      <c r="X1038261" s="95"/>
      <c r="Y1038261" s="95"/>
    </row>
    <row r="1038262" s="90" customFormat="1" customHeight="1" spans="1:25">
      <c r="A1038262" s="4"/>
      <c r="B1038262" s="4"/>
      <c r="C1038262" s="4"/>
      <c r="D1038262" s="4"/>
      <c r="E1038262" s="4"/>
      <c r="F1038262" s="4"/>
      <c r="G1038262" s="4"/>
      <c r="H1038262" s="91"/>
      <c r="I1038262" s="91"/>
      <c r="J1038262" s="4"/>
      <c r="K1038262" s="92"/>
      <c r="L1038262" s="92"/>
      <c r="M1038262" s="4"/>
      <c r="N1038262" s="4"/>
      <c r="O1038262" s="4"/>
      <c r="P1038262" s="93"/>
      <c r="Q1038262" s="93"/>
      <c r="R1038262" s="93"/>
      <c r="S1038262" s="4"/>
      <c r="T1038262" s="2"/>
      <c r="U1038262" s="4"/>
      <c r="V1038262" s="94"/>
      <c r="W1038262" s="4"/>
      <c r="X1038262" s="95"/>
      <c r="Y1038262" s="95"/>
    </row>
    <row r="1038263" s="90" customFormat="1" customHeight="1" spans="1:25">
      <c r="A1038263" s="4"/>
      <c r="B1038263" s="4"/>
      <c r="C1038263" s="4"/>
      <c r="D1038263" s="4"/>
      <c r="E1038263" s="4"/>
      <c r="F1038263" s="4"/>
      <c r="G1038263" s="4"/>
      <c r="H1038263" s="91"/>
      <c r="I1038263" s="91"/>
      <c r="J1038263" s="4"/>
      <c r="K1038263" s="92"/>
      <c r="L1038263" s="92"/>
      <c r="M1038263" s="4"/>
      <c r="N1038263" s="4"/>
      <c r="O1038263" s="4"/>
      <c r="P1038263" s="93"/>
      <c r="Q1038263" s="93"/>
      <c r="R1038263" s="93"/>
      <c r="S1038263" s="4"/>
      <c r="T1038263" s="2"/>
      <c r="U1038263" s="4"/>
      <c r="V1038263" s="94"/>
      <c r="W1038263" s="4"/>
      <c r="X1038263" s="95"/>
      <c r="Y1038263" s="95"/>
    </row>
    <row r="1038264" s="90" customFormat="1" customHeight="1" spans="1:25">
      <c r="A1038264" s="4"/>
      <c r="B1038264" s="4"/>
      <c r="C1038264" s="4"/>
      <c r="D1038264" s="4"/>
      <c r="E1038264" s="4"/>
      <c r="F1038264" s="4"/>
      <c r="G1038264" s="4"/>
      <c r="H1038264" s="91"/>
      <c r="I1038264" s="91"/>
      <c r="J1038264" s="4"/>
      <c r="K1038264" s="92"/>
      <c r="L1038264" s="92"/>
      <c r="M1038264" s="4"/>
      <c r="N1038264" s="4"/>
      <c r="O1038264" s="4"/>
      <c r="P1038264" s="93"/>
      <c r="Q1038264" s="93"/>
      <c r="R1038264" s="93"/>
      <c r="S1038264" s="4"/>
      <c r="T1038264" s="2"/>
      <c r="U1038264" s="4"/>
      <c r="V1038264" s="94"/>
      <c r="W1038264" s="4"/>
      <c r="X1038264" s="95"/>
      <c r="Y1038264" s="95"/>
    </row>
    <row r="1038265" s="90" customFormat="1" customHeight="1" spans="1:25">
      <c r="A1038265" s="4"/>
      <c r="B1038265" s="4"/>
      <c r="C1038265" s="4"/>
      <c r="D1038265" s="4"/>
      <c r="E1038265" s="4"/>
      <c r="F1038265" s="4"/>
      <c r="G1038265" s="4"/>
      <c r="H1038265" s="91"/>
      <c r="I1038265" s="91"/>
      <c r="J1038265" s="4"/>
      <c r="K1038265" s="92"/>
      <c r="L1038265" s="92"/>
      <c r="M1038265" s="4"/>
      <c r="N1038265" s="4"/>
      <c r="O1038265" s="4"/>
      <c r="P1038265" s="93"/>
      <c r="Q1038265" s="93"/>
      <c r="R1038265" s="93"/>
      <c r="S1038265" s="4"/>
      <c r="T1038265" s="2"/>
      <c r="U1038265" s="4"/>
      <c r="V1038265" s="94"/>
      <c r="W1038265" s="4"/>
      <c r="X1038265" s="95"/>
      <c r="Y1038265" s="95"/>
    </row>
    <row r="1038266" s="90" customFormat="1" customHeight="1" spans="1:25">
      <c r="A1038266" s="4"/>
      <c r="B1038266" s="4"/>
      <c r="C1038266" s="4"/>
      <c r="D1038266" s="4"/>
      <c r="E1038266" s="4"/>
      <c r="F1038266" s="4"/>
      <c r="G1038266" s="4"/>
      <c r="H1038266" s="91"/>
      <c r="I1038266" s="91"/>
      <c r="J1038266" s="4"/>
      <c r="K1038266" s="92"/>
      <c r="L1038266" s="92"/>
      <c r="M1038266" s="4"/>
      <c r="N1038266" s="4"/>
      <c r="O1038266" s="4"/>
      <c r="P1038266" s="93"/>
      <c r="Q1038266" s="93"/>
      <c r="R1038266" s="93"/>
      <c r="S1038266" s="4"/>
      <c r="T1038266" s="2"/>
      <c r="U1038266" s="4"/>
      <c r="V1038266" s="94"/>
      <c r="W1038266" s="4"/>
      <c r="X1038266" s="95"/>
      <c r="Y1038266" s="95"/>
    </row>
    <row r="1038267" s="90" customFormat="1" customHeight="1" spans="1:25">
      <c r="A1038267" s="4"/>
      <c r="B1038267" s="4"/>
      <c r="C1038267" s="4"/>
      <c r="D1038267" s="4"/>
      <c r="E1038267" s="4"/>
      <c r="F1038267" s="4"/>
      <c r="G1038267" s="4"/>
      <c r="H1038267" s="91"/>
      <c r="I1038267" s="91"/>
      <c r="J1038267" s="4"/>
      <c r="K1038267" s="92"/>
      <c r="L1038267" s="92"/>
      <c r="M1038267" s="4"/>
      <c r="N1038267" s="4"/>
      <c r="O1038267" s="4"/>
      <c r="P1038267" s="93"/>
      <c r="Q1038267" s="93"/>
      <c r="R1038267" s="93"/>
      <c r="S1038267" s="4"/>
      <c r="T1038267" s="2"/>
      <c r="U1038267" s="4"/>
      <c r="V1038267" s="94"/>
      <c r="W1038267" s="4"/>
      <c r="X1038267" s="95"/>
      <c r="Y1038267" s="95"/>
    </row>
    <row r="1038268" s="90" customFormat="1" customHeight="1" spans="1:25">
      <c r="A1038268" s="4"/>
      <c r="B1038268" s="4"/>
      <c r="C1038268" s="4"/>
      <c r="D1038268" s="4"/>
      <c r="E1038268" s="4"/>
      <c r="F1038268" s="4"/>
      <c r="G1038268" s="4"/>
      <c r="H1038268" s="91"/>
      <c r="I1038268" s="91"/>
      <c r="J1038268" s="4"/>
      <c r="K1038268" s="92"/>
      <c r="L1038268" s="92"/>
      <c r="M1038268" s="4"/>
      <c r="N1038268" s="4"/>
      <c r="O1038268" s="4"/>
      <c r="P1038268" s="93"/>
      <c r="Q1038268" s="93"/>
      <c r="R1038268" s="93"/>
      <c r="S1038268" s="4"/>
      <c r="T1038268" s="2"/>
      <c r="U1038268" s="4"/>
      <c r="V1038268" s="94"/>
      <c r="W1038268" s="4"/>
      <c r="X1038268" s="95"/>
      <c r="Y1038268" s="95"/>
    </row>
    <row r="1038269" s="90" customFormat="1" customHeight="1" spans="1:25">
      <c r="A1038269" s="4"/>
      <c r="B1038269" s="4"/>
      <c r="C1038269" s="4"/>
      <c r="D1038269" s="4"/>
      <c r="E1038269" s="4"/>
      <c r="F1038269" s="4"/>
      <c r="G1038269" s="4"/>
      <c r="H1038269" s="91"/>
      <c r="I1038269" s="91"/>
      <c r="J1038269" s="4"/>
      <c r="K1038269" s="92"/>
      <c r="L1038269" s="92"/>
      <c r="M1038269" s="4"/>
      <c r="N1038269" s="4"/>
      <c r="O1038269" s="4"/>
      <c r="P1038269" s="93"/>
      <c r="Q1038269" s="93"/>
      <c r="R1038269" s="93"/>
      <c r="S1038269" s="4"/>
      <c r="T1038269" s="2"/>
      <c r="U1038269" s="4"/>
      <c r="V1038269" s="94"/>
      <c r="W1038269" s="4"/>
      <c r="X1038269" s="95"/>
      <c r="Y1038269" s="95"/>
    </row>
    <row r="1038270" s="90" customFormat="1" customHeight="1" spans="1:25">
      <c r="A1038270" s="4"/>
      <c r="B1038270" s="4"/>
      <c r="C1038270" s="4"/>
      <c r="D1038270" s="4"/>
      <c r="E1038270" s="4"/>
      <c r="F1038270" s="4"/>
      <c r="G1038270" s="4"/>
      <c r="H1038270" s="91"/>
      <c r="I1038270" s="91"/>
      <c r="J1038270" s="4"/>
      <c r="K1038270" s="92"/>
      <c r="L1038270" s="92"/>
      <c r="M1038270" s="4"/>
      <c r="N1038270" s="4"/>
      <c r="O1038270" s="4"/>
      <c r="P1038270" s="93"/>
      <c r="Q1038270" s="93"/>
      <c r="R1038270" s="93"/>
      <c r="S1038270" s="4"/>
      <c r="T1038270" s="2"/>
      <c r="U1038270" s="4"/>
      <c r="V1038270" s="94"/>
      <c r="W1038270" s="4"/>
      <c r="X1038270" s="95"/>
      <c r="Y1038270" s="95"/>
    </row>
    <row r="1038271" s="90" customFormat="1" customHeight="1" spans="1:25">
      <c r="A1038271" s="4"/>
      <c r="B1038271" s="4"/>
      <c r="C1038271" s="4"/>
      <c r="D1038271" s="4"/>
      <c r="E1038271" s="4"/>
      <c r="F1038271" s="4"/>
      <c r="G1038271" s="4"/>
      <c r="H1038271" s="91"/>
      <c r="I1038271" s="91"/>
      <c r="J1038271" s="4"/>
      <c r="K1038271" s="92"/>
      <c r="L1038271" s="92"/>
      <c r="M1038271" s="4"/>
      <c r="N1038271" s="4"/>
      <c r="O1038271" s="4"/>
      <c r="P1038271" s="93"/>
      <c r="Q1038271" s="93"/>
      <c r="R1038271" s="93"/>
      <c r="S1038271" s="4"/>
      <c r="T1038271" s="2"/>
      <c r="U1038271" s="4"/>
      <c r="V1038271" s="94"/>
      <c r="W1038271" s="4"/>
      <c r="X1038271" s="95"/>
      <c r="Y1038271" s="95"/>
    </row>
    <row r="1038272" s="90" customFormat="1" customHeight="1" spans="1:25">
      <c r="A1038272" s="4"/>
      <c r="B1038272" s="4"/>
      <c r="C1038272" s="4"/>
      <c r="D1038272" s="4"/>
      <c r="E1038272" s="4"/>
      <c r="F1038272" s="4"/>
      <c r="G1038272" s="4"/>
      <c r="H1038272" s="91"/>
      <c r="I1038272" s="91"/>
      <c r="J1038272" s="4"/>
      <c r="K1038272" s="92"/>
      <c r="L1038272" s="92"/>
      <c r="M1038272" s="4"/>
      <c r="N1038272" s="4"/>
      <c r="O1038272" s="4"/>
      <c r="P1038272" s="93"/>
      <c r="Q1038272" s="93"/>
      <c r="R1038272" s="93"/>
      <c r="S1038272" s="4"/>
      <c r="T1038272" s="2"/>
      <c r="U1038272" s="4"/>
      <c r="V1038272" s="94"/>
      <c r="W1038272" s="4"/>
      <c r="X1038272" s="95"/>
      <c r="Y1038272" s="95"/>
    </row>
    <row r="1038273" s="90" customFormat="1" customHeight="1" spans="1:25">
      <c r="A1038273" s="4"/>
      <c r="B1038273" s="4"/>
      <c r="C1038273" s="4"/>
      <c r="D1038273" s="4"/>
      <c r="E1038273" s="4"/>
      <c r="F1038273" s="4"/>
      <c r="G1038273" s="4"/>
      <c r="H1038273" s="91"/>
      <c r="I1038273" s="91"/>
      <c r="J1038273" s="4"/>
      <c r="K1038273" s="92"/>
      <c r="L1038273" s="92"/>
      <c r="M1038273" s="4"/>
      <c r="N1038273" s="4"/>
      <c r="O1038273" s="4"/>
      <c r="P1038273" s="93"/>
      <c r="Q1038273" s="93"/>
      <c r="R1038273" s="93"/>
      <c r="S1038273" s="4"/>
      <c r="T1038273" s="2"/>
      <c r="U1038273" s="4"/>
      <c r="V1038273" s="94"/>
      <c r="W1038273" s="4"/>
      <c r="X1038273" s="95"/>
      <c r="Y1038273" s="95"/>
    </row>
    <row r="1038274" s="90" customFormat="1" customHeight="1" spans="1:25">
      <c r="A1038274" s="4"/>
      <c r="B1038274" s="4"/>
      <c r="C1038274" s="4"/>
      <c r="D1038274" s="4"/>
      <c r="E1038274" s="4"/>
      <c r="F1038274" s="4"/>
      <c r="G1038274" s="4"/>
      <c r="H1038274" s="91"/>
      <c r="I1038274" s="91"/>
      <c r="J1038274" s="4"/>
      <c r="K1038274" s="92"/>
      <c r="L1038274" s="92"/>
      <c r="M1038274" s="4"/>
      <c r="N1038274" s="4"/>
      <c r="O1038274" s="4"/>
      <c r="P1038274" s="93"/>
      <c r="Q1038274" s="93"/>
      <c r="R1038274" s="93"/>
      <c r="S1038274" s="4"/>
      <c r="T1038274" s="2"/>
      <c r="U1038274" s="4"/>
      <c r="V1038274" s="94"/>
      <c r="W1038274" s="4"/>
      <c r="X1038274" s="95"/>
      <c r="Y1038274" s="95"/>
    </row>
    <row r="1038275" s="90" customFormat="1" customHeight="1" spans="1:25">
      <c r="A1038275" s="4"/>
      <c r="B1038275" s="4"/>
      <c r="C1038275" s="4"/>
      <c r="D1038275" s="4"/>
      <c r="E1038275" s="4"/>
      <c r="F1038275" s="4"/>
      <c r="G1038275" s="4"/>
      <c r="H1038275" s="91"/>
      <c r="I1038275" s="91"/>
      <c r="J1038275" s="4"/>
      <c r="K1038275" s="92"/>
      <c r="L1038275" s="92"/>
      <c r="M1038275" s="4"/>
      <c r="N1038275" s="4"/>
      <c r="O1038275" s="4"/>
      <c r="P1038275" s="93"/>
      <c r="Q1038275" s="93"/>
      <c r="R1038275" s="93"/>
      <c r="S1038275" s="4"/>
      <c r="T1038275" s="2"/>
      <c r="U1038275" s="4"/>
      <c r="V1038275" s="94"/>
      <c r="W1038275" s="4"/>
      <c r="X1038275" s="95"/>
      <c r="Y1038275" s="95"/>
    </row>
    <row r="1038276" s="90" customFormat="1" customHeight="1" spans="1:25">
      <c r="A1038276" s="4"/>
      <c r="B1038276" s="4"/>
      <c r="C1038276" s="4"/>
      <c r="D1038276" s="4"/>
      <c r="E1038276" s="4"/>
      <c r="F1038276" s="4"/>
      <c r="G1038276" s="4"/>
      <c r="H1038276" s="91"/>
      <c r="I1038276" s="91"/>
      <c r="J1038276" s="4"/>
      <c r="K1038276" s="92"/>
      <c r="L1038276" s="92"/>
      <c r="M1038276" s="4"/>
      <c r="N1038276" s="4"/>
      <c r="O1038276" s="4"/>
      <c r="P1038276" s="93"/>
      <c r="Q1038276" s="93"/>
      <c r="R1038276" s="93"/>
      <c r="S1038276" s="4"/>
      <c r="T1038276" s="2"/>
      <c r="U1038276" s="4"/>
      <c r="V1038276" s="94"/>
      <c r="W1038276" s="4"/>
      <c r="X1038276" s="95"/>
      <c r="Y1038276" s="95"/>
    </row>
    <row r="1038277" s="90" customFormat="1" customHeight="1" spans="1:25">
      <c r="A1038277" s="4"/>
      <c r="B1038277" s="4"/>
      <c r="C1038277" s="4"/>
      <c r="D1038277" s="4"/>
      <c r="E1038277" s="4"/>
      <c r="F1038277" s="4"/>
      <c r="G1038277" s="4"/>
      <c r="H1038277" s="91"/>
      <c r="I1038277" s="91"/>
      <c r="J1038277" s="4"/>
      <c r="K1038277" s="92"/>
      <c r="L1038277" s="92"/>
      <c r="M1038277" s="4"/>
      <c r="N1038277" s="4"/>
      <c r="O1038277" s="4"/>
      <c r="P1038277" s="93"/>
      <c r="Q1038277" s="93"/>
      <c r="R1038277" s="93"/>
      <c r="S1038277" s="4"/>
      <c r="T1038277" s="2"/>
      <c r="U1038277" s="4"/>
      <c r="V1038277" s="94"/>
      <c r="W1038277" s="4"/>
      <c r="X1038277" s="95"/>
      <c r="Y1038277" s="95"/>
    </row>
    <row r="1038278" s="90" customFormat="1" customHeight="1" spans="1:25">
      <c r="A1038278" s="4"/>
      <c r="B1038278" s="4"/>
      <c r="C1038278" s="4"/>
      <c r="D1038278" s="4"/>
      <c r="E1038278" s="4"/>
      <c r="F1038278" s="4"/>
      <c r="G1038278" s="4"/>
      <c r="H1038278" s="91"/>
      <c r="I1038278" s="91"/>
      <c r="J1038278" s="4"/>
      <c r="K1038278" s="92"/>
      <c r="L1038278" s="92"/>
      <c r="M1038278" s="4"/>
      <c r="N1038278" s="4"/>
      <c r="O1038278" s="4"/>
      <c r="P1038278" s="93"/>
      <c r="Q1038278" s="93"/>
      <c r="R1038278" s="93"/>
      <c r="S1038278" s="4"/>
      <c r="T1038278" s="2"/>
      <c r="U1038278" s="4"/>
      <c r="V1038278" s="94"/>
      <c r="W1038278" s="4"/>
      <c r="X1038278" s="95"/>
      <c r="Y1038278" s="95"/>
    </row>
    <row r="1038279" s="90" customFormat="1" customHeight="1" spans="1:25">
      <c r="A1038279" s="4"/>
      <c r="B1038279" s="4"/>
      <c r="C1038279" s="4"/>
      <c r="D1038279" s="4"/>
      <c r="E1038279" s="4"/>
      <c r="F1038279" s="4"/>
      <c r="G1038279" s="4"/>
      <c r="H1038279" s="91"/>
      <c r="I1038279" s="91"/>
      <c r="J1038279" s="4"/>
      <c r="K1038279" s="92"/>
      <c r="L1038279" s="92"/>
      <c r="M1038279" s="4"/>
      <c r="N1038279" s="4"/>
      <c r="O1038279" s="4"/>
      <c r="P1038279" s="93"/>
      <c r="Q1038279" s="93"/>
      <c r="R1038279" s="93"/>
      <c r="S1038279" s="4"/>
      <c r="T1038279" s="2"/>
      <c r="U1038279" s="4"/>
      <c r="V1038279" s="94"/>
      <c r="W1038279" s="4"/>
      <c r="X1038279" s="95"/>
      <c r="Y1038279" s="95"/>
    </row>
    <row r="1038280" s="90" customFormat="1" customHeight="1" spans="1:25">
      <c r="A1038280" s="4"/>
      <c r="B1038280" s="4"/>
      <c r="C1038280" s="4"/>
      <c r="D1038280" s="4"/>
      <c r="E1038280" s="4"/>
      <c r="F1038280" s="4"/>
      <c r="G1038280" s="4"/>
      <c r="H1038280" s="91"/>
      <c r="I1038280" s="91"/>
      <c r="J1038280" s="4"/>
      <c r="K1038280" s="92"/>
      <c r="L1038280" s="92"/>
      <c r="M1038280" s="4"/>
      <c r="N1038280" s="4"/>
      <c r="O1038280" s="4"/>
      <c r="P1038280" s="93"/>
      <c r="Q1038280" s="93"/>
      <c r="R1038280" s="93"/>
      <c r="S1038280" s="4"/>
      <c r="T1038280" s="2"/>
      <c r="U1038280" s="4"/>
      <c r="V1038280" s="94"/>
      <c r="W1038280" s="4"/>
      <c r="X1038280" s="95"/>
      <c r="Y1038280" s="95"/>
    </row>
    <row r="1038281" s="90" customFormat="1" customHeight="1" spans="1:25">
      <c r="A1038281" s="4"/>
      <c r="B1038281" s="4"/>
      <c r="C1038281" s="4"/>
      <c r="D1038281" s="4"/>
      <c r="E1038281" s="4"/>
      <c r="F1038281" s="4"/>
      <c r="G1038281" s="4"/>
      <c r="H1038281" s="91"/>
      <c r="I1038281" s="91"/>
      <c r="J1038281" s="4"/>
      <c r="K1038281" s="92"/>
      <c r="L1038281" s="92"/>
      <c r="M1038281" s="4"/>
      <c r="N1038281" s="4"/>
      <c r="O1038281" s="4"/>
      <c r="P1038281" s="93"/>
      <c r="Q1038281" s="93"/>
      <c r="R1038281" s="93"/>
      <c r="S1038281" s="4"/>
      <c r="T1038281" s="2"/>
      <c r="U1038281" s="4"/>
      <c r="V1038281" s="94"/>
      <c r="W1038281" s="4"/>
      <c r="X1038281" s="95"/>
      <c r="Y1038281" s="95"/>
    </row>
    <row r="1038282" s="90" customFormat="1" customHeight="1" spans="1:25">
      <c r="A1038282" s="4"/>
      <c r="B1038282" s="4"/>
      <c r="C1038282" s="4"/>
      <c r="D1038282" s="4"/>
      <c r="E1038282" s="4"/>
      <c r="F1038282" s="4"/>
      <c r="G1038282" s="4"/>
      <c r="H1038282" s="91"/>
      <c r="I1038282" s="91"/>
      <c r="J1038282" s="4"/>
      <c r="K1038282" s="92"/>
      <c r="L1038282" s="92"/>
      <c r="M1038282" s="4"/>
      <c r="N1038282" s="4"/>
      <c r="O1038282" s="4"/>
      <c r="P1038282" s="93"/>
      <c r="Q1038282" s="93"/>
      <c r="R1038282" s="93"/>
      <c r="S1038282" s="4"/>
      <c r="T1038282" s="2"/>
      <c r="U1038282" s="4"/>
      <c r="V1038282" s="94"/>
      <c r="W1038282" s="4"/>
      <c r="X1038282" s="95"/>
      <c r="Y1038282" s="95"/>
    </row>
    <row r="1038283" s="90" customFormat="1" customHeight="1" spans="1:25">
      <c r="A1038283" s="4"/>
      <c r="B1038283" s="4"/>
      <c r="C1038283" s="4"/>
      <c r="D1038283" s="4"/>
      <c r="E1038283" s="4"/>
      <c r="F1038283" s="4"/>
      <c r="G1038283" s="4"/>
      <c r="H1038283" s="91"/>
      <c r="I1038283" s="91"/>
      <c r="J1038283" s="4"/>
      <c r="K1038283" s="92"/>
      <c r="L1038283" s="92"/>
      <c r="M1038283" s="4"/>
      <c r="N1038283" s="4"/>
      <c r="O1038283" s="4"/>
      <c r="P1038283" s="93"/>
      <c r="Q1038283" s="93"/>
      <c r="R1038283" s="93"/>
      <c r="S1038283" s="4"/>
      <c r="T1038283" s="2"/>
      <c r="U1038283" s="4"/>
      <c r="V1038283" s="94"/>
      <c r="W1038283" s="4"/>
      <c r="X1038283" s="95"/>
      <c r="Y1038283" s="95"/>
    </row>
    <row r="1038284" s="90" customFormat="1" customHeight="1" spans="1:25">
      <c r="A1038284" s="4"/>
      <c r="B1038284" s="4"/>
      <c r="C1038284" s="4"/>
      <c r="D1038284" s="4"/>
      <c r="E1038284" s="4"/>
      <c r="F1038284" s="4"/>
      <c r="G1038284" s="4"/>
      <c r="H1038284" s="91"/>
      <c r="I1038284" s="91"/>
      <c r="J1038284" s="4"/>
      <c r="K1038284" s="92"/>
      <c r="L1038284" s="92"/>
      <c r="M1038284" s="4"/>
      <c r="N1038284" s="4"/>
      <c r="O1038284" s="4"/>
      <c r="P1038284" s="93"/>
      <c r="Q1038284" s="93"/>
      <c r="R1038284" s="93"/>
      <c r="S1038284" s="4"/>
      <c r="T1038284" s="2"/>
      <c r="U1038284" s="4"/>
      <c r="V1038284" s="94"/>
      <c r="W1038284" s="4"/>
      <c r="X1038284" s="95"/>
      <c r="Y1038284" s="95"/>
    </row>
    <row r="1038285" s="90" customFormat="1" customHeight="1" spans="1:25">
      <c r="A1038285" s="4"/>
      <c r="B1038285" s="4"/>
      <c r="C1038285" s="4"/>
      <c r="D1038285" s="4"/>
      <c r="E1038285" s="4"/>
      <c r="F1038285" s="4"/>
      <c r="G1038285" s="4"/>
      <c r="H1038285" s="91"/>
      <c r="I1038285" s="91"/>
      <c r="J1038285" s="4"/>
      <c r="K1038285" s="92"/>
      <c r="L1038285" s="92"/>
      <c r="M1038285" s="4"/>
      <c r="N1038285" s="4"/>
      <c r="O1038285" s="4"/>
      <c r="P1038285" s="93"/>
      <c r="Q1038285" s="93"/>
      <c r="R1038285" s="93"/>
      <c r="S1038285" s="4"/>
      <c r="T1038285" s="2"/>
      <c r="U1038285" s="4"/>
      <c r="V1038285" s="94"/>
      <c r="W1038285" s="4"/>
      <c r="X1038285" s="95"/>
      <c r="Y1038285" s="95"/>
    </row>
    <row r="1038286" s="90" customFormat="1" customHeight="1" spans="1:25">
      <c r="A1038286" s="4"/>
      <c r="B1038286" s="4"/>
      <c r="C1038286" s="4"/>
      <c r="D1038286" s="4"/>
      <c r="E1038286" s="4"/>
      <c r="F1038286" s="4"/>
      <c r="G1038286" s="4"/>
      <c r="H1038286" s="91"/>
      <c r="I1038286" s="91"/>
      <c r="J1038286" s="4"/>
      <c r="K1038286" s="92"/>
      <c r="L1038286" s="92"/>
      <c r="M1038286" s="4"/>
      <c r="N1038286" s="4"/>
      <c r="O1038286" s="4"/>
      <c r="P1038286" s="93"/>
      <c r="Q1038286" s="93"/>
      <c r="R1038286" s="93"/>
      <c r="S1038286" s="4"/>
      <c r="T1038286" s="2"/>
      <c r="U1038286" s="4"/>
      <c r="V1038286" s="94"/>
      <c r="W1038286" s="4"/>
      <c r="X1038286" s="95"/>
      <c r="Y1038286" s="95"/>
    </row>
    <row r="1038287" s="90" customFormat="1" customHeight="1" spans="1:25">
      <c r="A1038287" s="4"/>
      <c r="B1038287" s="4"/>
      <c r="C1038287" s="4"/>
      <c r="D1038287" s="4"/>
      <c r="E1038287" s="4"/>
      <c r="F1038287" s="4"/>
      <c r="G1038287" s="4"/>
      <c r="H1038287" s="91"/>
      <c r="I1038287" s="91"/>
      <c r="J1038287" s="4"/>
      <c r="K1038287" s="92"/>
      <c r="L1038287" s="92"/>
      <c r="M1038287" s="4"/>
      <c r="N1038287" s="4"/>
      <c r="O1038287" s="4"/>
      <c r="P1038287" s="93"/>
      <c r="Q1038287" s="93"/>
      <c r="R1038287" s="93"/>
      <c r="S1038287" s="4"/>
      <c r="T1038287" s="2"/>
      <c r="U1038287" s="4"/>
      <c r="V1038287" s="94"/>
      <c r="W1038287" s="4"/>
      <c r="X1038287" s="95"/>
      <c r="Y1038287" s="95"/>
    </row>
    <row r="1038288" s="90" customFormat="1" customHeight="1" spans="1:25">
      <c r="A1038288" s="4"/>
      <c r="B1038288" s="4"/>
      <c r="C1038288" s="4"/>
      <c r="D1038288" s="4"/>
      <c r="E1038288" s="4"/>
      <c r="F1038288" s="4"/>
      <c r="G1038288" s="4"/>
      <c r="H1038288" s="91"/>
      <c r="I1038288" s="91"/>
      <c r="J1038288" s="4"/>
      <c r="K1038288" s="92"/>
      <c r="L1038288" s="92"/>
      <c r="M1038288" s="4"/>
      <c r="N1038288" s="4"/>
      <c r="O1038288" s="4"/>
      <c r="P1038288" s="93"/>
      <c r="Q1038288" s="93"/>
      <c r="R1038288" s="93"/>
      <c r="S1038288" s="4"/>
      <c r="T1038288" s="2"/>
      <c r="U1038288" s="4"/>
      <c r="V1038288" s="94"/>
      <c r="W1038288" s="4"/>
      <c r="X1038288" s="95"/>
      <c r="Y1038288" s="95"/>
    </row>
    <row r="1038289" s="90" customFormat="1" customHeight="1" spans="1:25">
      <c r="A1038289" s="4"/>
      <c r="B1038289" s="4"/>
      <c r="C1038289" s="4"/>
      <c r="D1038289" s="4"/>
      <c r="E1038289" s="4"/>
      <c r="F1038289" s="4"/>
      <c r="G1038289" s="4"/>
      <c r="H1038289" s="91"/>
      <c r="I1038289" s="91"/>
      <c r="J1038289" s="4"/>
      <c r="K1038289" s="92"/>
      <c r="L1038289" s="92"/>
      <c r="M1038289" s="4"/>
      <c r="N1038289" s="4"/>
      <c r="O1038289" s="4"/>
      <c r="P1038289" s="93"/>
      <c r="Q1038289" s="93"/>
      <c r="R1038289" s="93"/>
      <c r="S1038289" s="4"/>
      <c r="T1038289" s="2"/>
      <c r="U1038289" s="4"/>
      <c r="V1038289" s="94"/>
      <c r="W1038289" s="4"/>
      <c r="X1038289" s="95"/>
      <c r="Y1038289" s="95"/>
    </row>
    <row r="1038290" s="90" customFormat="1" customHeight="1" spans="1:25">
      <c r="A1038290" s="4"/>
      <c r="B1038290" s="4"/>
      <c r="C1038290" s="4"/>
      <c r="D1038290" s="4"/>
      <c r="E1038290" s="4"/>
      <c r="F1038290" s="4"/>
      <c r="G1038290" s="4"/>
      <c r="H1038290" s="91"/>
      <c r="I1038290" s="91"/>
      <c r="J1038290" s="4"/>
      <c r="K1038290" s="92"/>
      <c r="L1038290" s="92"/>
      <c r="M1038290" s="4"/>
      <c r="N1038290" s="4"/>
      <c r="O1038290" s="4"/>
      <c r="P1038290" s="93"/>
      <c r="Q1038290" s="93"/>
      <c r="R1038290" s="93"/>
      <c r="S1038290" s="4"/>
      <c r="T1038290" s="2"/>
      <c r="U1038290" s="4"/>
      <c r="V1038290" s="94"/>
      <c r="W1038290" s="4"/>
      <c r="X1038290" s="95"/>
      <c r="Y1038290" s="95"/>
    </row>
    <row r="1038291" s="90" customFormat="1" customHeight="1" spans="1:25">
      <c r="A1038291" s="4"/>
      <c r="B1038291" s="4"/>
      <c r="C1038291" s="4"/>
      <c r="D1038291" s="4"/>
      <c r="E1038291" s="4"/>
      <c r="F1038291" s="4"/>
      <c r="G1038291" s="4"/>
      <c r="H1038291" s="91"/>
      <c r="I1038291" s="91"/>
      <c r="J1038291" s="4"/>
      <c r="K1038291" s="92"/>
      <c r="L1038291" s="92"/>
      <c r="M1038291" s="4"/>
      <c r="N1038291" s="4"/>
      <c r="O1038291" s="4"/>
      <c r="P1038291" s="93"/>
      <c r="Q1038291" s="93"/>
      <c r="R1038291" s="93"/>
      <c r="S1038291" s="4"/>
      <c r="T1038291" s="2"/>
      <c r="U1038291" s="4"/>
      <c r="V1038291" s="94"/>
      <c r="W1038291" s="4"/>
      <c r="X1038291" s="95"/>
      <c r="Y1038291" s="95"/>
    </row>
    <row r="1038292" s="90" customFormat="1" customHeight="1" spans="1:25">
      <c r="A1038292" s="4"/>
      <c r="B1038292" s="4"/>
      <c r="C1038292" s="4"/>
      <c r="D1038292" s="4"/>
      <c r="E1038292" s="4"/>
      <c r="F1038292" s="4"/>
      <c r="G1038292" s="4"/>
      <c r="H1038292" s="91"/>
      <c r="I1038292" s="91"/>
      <c r="J1038292" s="4"/>
      <c r="K1038292" s="92"/>
      <c r="L1038292" s="92"/>
      <c r="M1038292" s="4"/>
      <c r="N1038292" s="4"/>
      <c r="O1038292" s="4"/>
      <c r="P1038292" s="93"/>
      <c r="Q1038292" s="93"/>
      <c r="R1038292" s="93"/>
      <c r="S1038292" s="4"/>
      <c r="T1038292" s="2"/>
      <c r="U1038292" s="4"/>
      <c r="V1038292" s="94"/>
      <c r="W1038292" s="4"/>
      <c r="X1038292" s="95"/>
      <c r="Y1038292" s="95"/>
    </row>
    <row r="1038293" s="90" customFormat="1" customHeight="1" spans="1:25">
      <c r="A1038293" s="4"/>
      <c r="B1038293" s="4"/>
      <c r="C1038293" s="4"/>
      <c r="D1038293" s="4"/>
      <c r="E1038293" s="4"/>
      <c r="F1038293" s="4"/>
      <c r="G1038293" s="4"/>
      <c r="H1038293" s="91"/>
      <c r="I1038293" s="91"/>
      <c r="J1038293" s="4"/>
      <c r="K1038293" s="92"/>
      <c r="L1038293" s="92"/>
      <c r="M1038293" s="4"/>
      <c r="N1038293" s="4"/>
      <c r="O1038293" s="4"/>
      <c r="P1038293" s="93"/>
      <c r="Q1038293" s="93"/>
      <c r="R1038293" s="93"/>
      <c r="S1038293" s="4"/>
      <c r="T1038293" s="2"/>
      <c r="U1038293" s="4"/>
      <c r="V1038293" s="94"/>
      <c r="W1038293" s="4"/>
      <c r="X1038293" s="95"/>
      <c r="Y1038293" s="95"/>
    </row>
    <row r="1038294" s="90" customFormat="1" customHeight="1" spans="1:25">
      <c r="A1038294" s="4"/>
      <c r="B1038294" s="4"/>
      <c r="C1038294" s="4"/>
      <c r="D1038294" s="4"/>
      <c r="E1038294" s="4"/>
      <c r="F1038294" s="4"/>
      <c r="G1038294" s="4"/>
      <c r="H1038294" s="91"/>
      <c r="I1038294" s="91"/>
      <c r="J1038294" s="4"/>
      <c r="K1038294" s="92"/>
      <c r="L1038294" s="92"/>
      <c r="M1038294" s="4"/>
      <c r="N1038294" s="4"/>
      <c r="O1038294" s="4"/>
      <c r="P1038294" s="93"/>
      <c r="Q1038294" s="93"/>
      <c r="R1038294" s="93"/>
      <c r="S1038294" s="4"/>
      <c r="T1038294" s="2"/>
      <c r="U1038294" s="4"/>
      <c r="V1038294" s="94"/>
      <c r="W1038294" s="4"/>
      <c r="X1038294" s="95"/>
      <c r="Y1038294" s="95"/>
    </row>
    <row r="1038295" s="90" customFormat="1" customHeight="1" spans="1:25">
      <c r="A1038295" s="4"/>
      <c r="B1038295" s="4"/>
      <c r="C1038295" s="4"/>
      <c r="D1038295" s="4"/>
      <c r="E1038295" s="4"/>
      <c r="F1038295" s="4"/>
      <c r="G1038295" s="4"/>
      <c r="H1038295" s="91"/>
      <c r="I1038295" s="91"/>
      <c r="J1038295" s="4"/>
      <c r="K1038295" s="92"/>
      <c r="L1038295" s="92"/>
      <c r="M1038295" s="4"/>
      <c r="N1038295" s="4"/>
      <c r="O1038295" s="4"/>
      <c r="P1038295" s="93"/>
      <c r="Q1038295" s="93"/>
      <c r="R1038295" s="93"/>
      <c r="S1038295" s="4"/>
      <c r="T1038295" s="2"/>
      <c r="U1038295" s="4"/>
      <c r="V1038295" s="94"/>
      <c r="W1038295" s="4"/>
      <c r="X1038295" s="95"/>
      <c r="Y1038295" s="95"/>
    </row>
    <row r="1038296" s="90" customFormat="1" customHeight="1" spans="1:25">
      <c r="A1038296" s="4"/>
      <c r="B1038296" s="4"/>
      <c r="C1038296" s="4"/>
      <c r="D1038296" s="4"/>
      <c r="E1038296" s="4"/>
      <c r="F1038296" s="4"/>
      <c r="G1038296" s="4"/>
      <c r="H1038296" s="91"/>
      <c r="I1038296" s="91"/>
      <c r="J1038296" s="4"/>
      <c r="K1038296" s="92"/>
      <c r="L1038296" s="92"/>
      <c r="M1038296" s="4"/>
      <c r="N1038296" s="4"/>
      <c r="O1038296" s="4"/>
      <c r="P1038296" s="93"/>
      <c r="Q1038296" s="93"/>
      <c r="R1038296" s="93"/>
      <c r="S1038296" s="4"/>
      <c r="T1038296" s="2"/>
      <c r="U1038296" s="4"/>
      <c r="V1038296" s="94"/>
      <c r="W1038296" s="4"/>
      <c r="X1038296" s="95"/>
      <c r="Y1038296" s="95"/>
    </row>
    <row r="1038297" s="90" customFormat="1" customHeight="1" spans="1:25">
      <c r="A1038297" s="4"/>
      <c r="B1038297" s="4"/>
      <c r="C1038297" s="4"/>
      <c r="D1038297" s="4"/>
      <c r="E1038297" s="4"/>
      <c r="F1038297" s="4"/>
      <c r="G1038297" s="4"/>
      <c r="H1038297" s="91"/>
      <c r="I1038297" s="91"/>
      <c r="J1038297" s="4"/>
      <c r="K1038297" s="92"/>
      <c r="L1038297" s="92"/>
      <c r="M1038297" s="4"/>
      <c r="N1038297" s="4"/>
      <c r="O1038297" s="4"/>
      <c r="P1038297" s="93"/>
      <c r="Q1038297" s="93"/>
      <c r="R1038297" s="93"/>
      <c r="S1038297" s="4"/>
      <c r="T1038297" s="2"/>
      <c r="U1038297" s="4"/>
      <c r="V1038297" s="94"/>
      <c r="W1038297" s="4"/>
      <c r="X1038297" s="95"/>
      <c r="Y1038297" s="95"/>
    </row>
    <row r="1038298" s="90" customFormat="1" customHeight="1" spans="1:25">
      <c r="A1038298" s="4"/>
      <c r="B1038298" s="4"/>
      <c r="C1038298" s="4"/>
      <c r="D1038298" s="4"/>
      <c r="E1038298" s="4"/>
      <c r="F1038298" s="4"/>
      <c r="G1038298" s="4"/>
      <c r="H1038298" s="91"/>
      <c r="I1038298" s="91"/>
      <c r="J1038298" s="4"/>
      <c r="K1038298" s="92"/>
      <c r="L1038298" s="92"/>
      <c r="M1038298" s="4"/>
      <c r="N1038298" s="4"/>
      <c r="O1038298" s="4"/>
      <c r="P1038298" s="93"/>
      <c r="Q1038298" s="93"/>
      <c r="R1038298" s="93"/>
      <c r="S1038298" s="4"/>
      <c r="T1038298" s="2"/>
      <c r="U1038298" s="4"/>
      <c r="V1038298" s="94"/>
      <c r="W1038298" s="4"/>
      <c r="X1038298" s="95"/>
      <c r="Y1038298" s="95"/>
    </row>
    <row r="1038299" s="90" customFormat="1" customHeight="1" spans="1:25">
      <c r="A1038299" s="4"/>
      <c r="B1038299" s="4"/>
      <c r="C1038299" s="4"/>
      <c r="D1038299" s="4"/>
      <c r="E1038299" s="4"/>
      <c r="F1038299" s="4"/>
      <c r="G1038299" s="4"/>
      <c r="H1038299" s="91"/>
      <c r="I1038299" s="91"/>
      <c r="J1038299" s="4"/>
      <c r="K1038299" s="92"/>
      <c r="L1038299" s="92"/>
      <c r="M1038299" s="4"/>
      <c r="N1038299" s="4"/>
      <c r="O1038299" s="4"/>
      <c r="P1038299" s="93"/>
      <c r="Q1038299" s="93"/>
      <c r="R1038299" s="93"/>
      <c r="S1038299" s="4"/>
      <c r="T1038299" s="2"/>
      <c r="U1038299" s="4"/>
      <c r="V1038299" s="94"/>
      <c r="W1038299" s="4"/>
      <c r="X1038299" s="95"/>
      <c r="Y1038299" s="95"/>
    </row>
    <row r="1038300" s="90" customFormat="1" customHeight="1" spans="1:25">
      <c r="A1038300" s="4"/>
      <c r="B1038300" s="4"/>
      <c r="C1038300" s="4"/>
      <c r="D1038300" s="4"/>
      <c r="E1038300" s="4"/>
      <c r="F1038300" s="4"/>
      <c r="G1038300" s="4"/>
      <c r="H1038300" s="91"/>
      <c r="I1038300" s="91"/>
      <c r="J1038300" s="4"/>
      <c r="K1038300" s="92"/>
      <c r="L1038300" s="92"/>
      <c r="M1038300" s="4"/>
      <c r="N1038300" s="4"/>
      <c r="O1038300" s="4"/>
      <c r="P1038300" s="93"/>
      <c r="Q1038300" s="93"/>
      <c r="R1038300" s="93"/>
      <c r="S1038300" s="4"/>
      <c r="T1038300" s="2"/>
      <c r="U1038300" s="4"/>
      <c r="V1038300" s="94"/>
      <c r="W1038300" s="4"/>
      <c r="X1038300" s="95"/>
      <c r="Y1038300" s="95"/>
    </row>
    <row r="1038301" s="90" customFormat="1" customHeight="1" spans="1:25">
      <c r="A1038301" s="4"/>
      <c r="B1038301" s="4"/>
      <c r="C1038301" s="4"/>
      <c r="D1038301" s="4"/>
      <c r="E1038301" s="4"/>
      <c r="F1038301" s="4"/>
      <c r="G1038301" s="4"/>
      <c r="H1038301" s="91"/>
      <c r="I1038301" s="91"/>
      <c r="J1038301" s="4"/>
      <c r="K1038301" s="92"/>
      <c r="L1038301" s="92"/>
      <c r="M1038301" s="4"/>
      <c r="N1038301" s="4"/>
      <c r="O1038301" s="4"/>
      <c r="P1038301" s="93"/>
      <c r="Q1038301" s="93"/>
      <c r="R1038301" s="93"/>
      <c r="S1038301" s="4"/>
      <c r="T1038301" s="2"/>
      <c r="U1038301" s="4"/>
      <c r="V1038301" s="94"/>
      <c r="W1038301" s="4"/>
      <c r="X1038301" s="95"/>
      <c r="Y1038301" s="95"/>
    </row>
    <row r="1038302" s="90" customFormat="1" customHeight="1" spans="1:25">
      <c r="A1038302" s="4"/>
      <c r="B1038302" s="4"/>
      <c r="C1038302" s="4"/>
      <c r="D1038302" s="4"/>
      <c r="E1038302" s="4"/>
      <c r="F1038302" s="4"/>
      <c r="G1038302" s="4"/>
      <c r="H1038302" s="91"/>
      <c r="I1038302" s="91"/>
      <c r="J1038302" s="4"/>
      <c r="K1038302" s="92"/>
      <c r="L1038302" s="92"/>
      <c r="M1038302" s="4"/>
      <c r="N1038302" s="4"/>
      <c r="O1038302" s="4"/>
      <c r="P1038302" s="93"/>
      <c r="Q1038302" s="93"/>
      <c r="R1038302" s="93"/>
      <c r="S1038302" s="4"/>
      <c r="T1038302" s="2"/>
      <c r="U1038302" s="4"/>
      <c r="V1038302" s="94"/>
      <c r="W1038302" s="4"/>
      <c r="X1038302" s="95"/>
      <c r="Y1038302" s="95"/>
    </row>
    <row r="1038303" s="90" customFormat="1" customHeight="1" spans="1:25">
      <c r="A1038303" s="4"/>
      <c r="B1038303" s="4"/>
      <c r="C1038303" s="4"/>
      <c r="D1038303" s="4"/>
      <c r="E1038303" s="4"/>
      <c r="F1038303" s="4"/>
      <c r="G1038303" s="4"/>
      <c r="H1038303" s="91"/>
      <c r="I1038303" s="91"/>
      <c r="J1038303" s="4"/>
      <c r="K1038303" s="92"/>
      <c r="L1038303" s="92"/>
      <c r="M1038303" s="4"/>
      <c r="N1038303" s="4"/>
      <c r="O1038303" s="4"/>
      <c r="P1038303" s="93"/>
      <c r="Q1038303" s="93"/>
      <c r="R1038303" s="93"/>
      <c r="S1038303" s="4"/>
      <c r="T1038303" s="2"/>
      <c r="U1038303" s="4"/>
      <c r="V1038303" s="94"/>
      <c r="W1038303" s="4"/>
      <c r="X1038303" s="95"/>
      <c r="Y1038303" s="95"/>
    </row>
    <row r="1038304" s="90" customFormat="1" customHeight="1" spans="1:25">
      <c r="A1038304" s="4"/>
      <c r="B1038304" s="4"/>
      <c r="C1038304" s="4"/>
      <c r="D1038304" s="4"/>
      <c r="E1038304" s="4"/>
      <c r="F1038304" s="4"/>
      <c r="G1038304" s="4"/>
      <c r="H1038304" s="91"/>
      <c r="I1038304" s="91"/>
      <c r="J1038304" s="4"/>
      <c r="K1038304" s="92"/>
      <c r="L1038304" s="92"/>
      <c r="M1038304" s="4"/>
      <c r="N1038304" s="4"/>
      <c r="O1038304" s="4"/>
      <c r="P1038304" s="93"/>
      <c r="Q1038304" s="93"/>
      <c r="R1038304" s="93"/>
      <c r="S1038304" s="4"/>
      <c r="T1038304" s="2"/>
      <c r="U1038304" s="4"/>
      <c r="V1038304" s="94"/>
      <c r="W1038304" s="4"/>
      <c r="X1038304" s="95"/>
      <c r="Y1038304" s="95"/>
    </row>
    <row r="1038305" s="90" customFormat="1" customHeight="1" spans="1:25">
      <c r="A1038305" s="4"/>
      <c r="B1038305" s="4"/>
      <c r="C1038305" s="4"/>
      <c r="D1038305" s="4"/>
      <c r="E1038305" s="4"/>
      <c r="F1038305" s="4"/>
      <c r="G1038305" s="4"/>
      <c r="H1038305" s="91"/>
      <c r="I1038305" s="91"/>
      <c r="J1038305" s="4"/>
      <c r="K1038305" s="92"/>
      <c r="L1038305" s="92"/>
      <c r="M1038305" s="4"/>
      <c r="N1038305" s="4"/>
      <c r="O1038305" s="4"/>
      <c r="P1038305" s="93"/>
      <c r="Q1038305" s="93"/>
      <c r="R1038305" s="93"/>
      <c r="S1038305" s="4"/>
      <c r="T1038305" s="2"/>
      <c r="U1038305" s="4"/>
      <c r="V1038305" s="94"/>
      <c r="W1038305" s="4"/>
      <c r="X1038305" s="95"/>
      <c r="Y1038305" s="95"/>
    </row>
    <row r="1038306" s="90" customFormat="1" customHeight="1" spans="1:25">
      <c r="A1038306" s="4"/>
      <c r="B1038306" s="4"/>
      <c r="C1038306" s="4"/>
      <c r="D1038306" s="4"/>
      <c r="E1038306" s="4"/>
      <c r="F1038306" s="4"/>
      <c r="G1038306" s="4"/>
      <c r="H1038306" s="91"/>
      <c r="I1038306" s="91"/>
      <c r="J1038306" s="4"/>
      <c r="K1038306" s="92"/>
      <c r="L1038306" s="92"/>
      <c r="M1038306" s="4"/>
      <c r="N1038306" s="4"/>
      <c r="O1038306" s="4"/>
      <c r="P1038306" s="93"/>
      <c r="Q1038306" s="93"/>
      <c r="R1038306" s="93"/>
      <c r="S1038306" s="4"/>
      <c r="T1038306" s="2"/>
      <c r="U1038306" s="4"/>
      <c r="V1038306" s="94"/>
      <c r="W1038306" s="4"/>
      <c r="X1038306" s="95"/>
      <c r="Y1038306" s="95"/>
    </row>
    <row r="1038307" s="90" customFormat="1" customHeight="1" spans="1:25">
      <c r="A1038307" s="4"/>
      <c r="B1038307" s="4"/>
      <c r="C1038307" s="4"/>
      <c r="D1038307" s="4"/>
      <c r="E1038307" s="4"/>
      <c r="F1038307" s="4"/>
      <c r="G1038307" s="4"/>
      <c r="H1038307" s="91"/>
      <c r="I1038307" s="91"/>
      <c r="J1038307" s="4"/>
      <c r="K1038307" s="92"/>
      <c r="L1038307" s="92"/>
      <c r="M1038307" s="4"/>
      <c r="N1038307" s="4"/>
      <c r="O1038307" s="4"/>
      <c r="P1038307" s="93"/>
      <c r="Q1038307" s="93"/>
      <c r="R1038307" s="93"/>
      <c r="S1038307" s="4"/>
      <c r="T1038307" s="2"/>
      <c r="U1038307" s="4"/>
      <c r="V1038307" s="94"/>
      <c r="W1038307" s="4"/>
      <c r="X1038307" s="95"/>
      <c r="Y1038307" s="95"/>
    </row>
    <row r="1038308" s="90" customFormat="1" customHeight="1" spans="1:25">
      <c r="A1038308" s="4"/>
      <c r="B1038308" s="4"/>
      <c r="C1038308" s="4"/>
      <c r="D1038308" s="4"/>
      <c r="E1038308" s="4"/>
      <c r="F1038308" s="4"/>
      <c r="G1038308" s="4"/>
      <c r="H1038308" s="91"/>
      <c r="I1038308" s="91"/>
      <c r="J1038308" s="4"/>
      <c r="K1038308" s="92"/>
      <c r="L1038308" s="92"/>
      <c r="M1038308" s="4"/>
      <c r="N1038308" s="4"/>
      <c r="O1038308" s="4"/>
      <c r="P1038308" s="93"/>
      <c r="Q1038308" s="93"/>
      <c r="R1038308" s="93"/>
      <c r="S1038308" s="4"/>
      <c r="T1038308" s="2"/>
      <c r="U1038308" s="4"/>
      <c r="V1038308" s="94"/>
      <c r="W1038308" s="4"/>
      <c r="X1038308" s="95"/>
      <c r="Y1038308" s="95"/>
    </row>
    <row r="1038309" s="90" customFormat="1" customHeight="1" spans="1:25">
      <c r="A1038309" s="4"/>
      <c r="B1038309" s="4"/>
      <c r="C1038309" s="4"/>
      <c r="D1038309" s="4"/>
      <c r="E1038309" s="4"/>
      <c r="F1038309" s="4"/>
      <c r="G1038309" s="4"/>
      <c r="H1038309" s="91"/>
      <c r="I1038309" s="91"/>
      <c r="J1038309" s="4"/>
      <c r="K1038309" s="92"/>
      <c r="L1038309" s="92"/>
      <c r="M1038309" s="4"/>
      <c r="N1038309" s="4"/>
      <c r="O1038309" s="4"/>
      <c r="P1038309" s="93"/>
      <c r="Q1038309" s="93"/>
      <c r="R1038309" s="93"/>
      <c r="S1038309" s="4"/>
      <c r="T1038309" s="2"/>
      <c r="U1038309" s="4"/>
      <c r="V1038309" s="94"/>
      <c r="W1038309" s="4"/>
      <c r="X1038309" s="95"/>
      <c r="Y1038309" s="95"/>
    </row>
    <row r="1038310" s="90" customFormat="1" customHeight="1" spans="1:25">
      <c r="A1038310" s="4"/>
      <c r="B1038310" s="4"/>
      <c r="C1038310" s="4"/>
      <c r="D1038310" s="4"/>
      <c r="E1038310" s="4"/>
      <c r="F1038310" s="4"/>
      <c r="G1038310" s="4"/>
      <c r="H1038310" s="91"/>
      <c r="I1038310" s="91"/>
      <c r="J1038310" s="4"/>
      <c r="K1038310" s="92"/>
      <c r="L1038310" s="92"/>
      <c r="M1038310" s="4"/>
      <c r="N1038310" s="4"/>
      <c r="O1038310" s="4"/>
      <c r="P1038310" s="93"/>
      <c r="Q1038310" s="93"/>
      <c r="R1038310" s="93"/>
      <c r="S1038310" s="4"/>
      <c r="T1038310" s="2"/>
      <c r="U1038310" s="4"/>
      <c r="V1038310" s="94"/>
      <c r="W1038310" s="4"/>
      <c r="X1038310" s="95"/>
      <c r="Y1038310" s="95"/>
    </row>
    <row r="1038311" s="90" customFormat="1" customHeight="1" spans="1:25">
      <c r="A1038311" s="4"/>
      <c r="B1038311" s="4"/>
      <c r="C1038311" s="4"/>
      <c r="D1038311" s="4"/>
      <c r="E1038311" s="4"/>
      <c r="F1038311" s="4"/>
      <c r="G1038311" s="4"/>
      <c r="H1038311" s="91"/>
      <c r="I1038311" s="91"/>
      <c r="J1038311" s="4"/>
      <c r="K1038311" s="92"/>
      <c r="L1038311" s="92"/>
      <c r="M1038311" s="4"/>
      <c r="N1038311" s="4"/>
      <c r="O1038311" s="4"/>
      <c r="P1038311" s="93"/>
      <c r="Q1038311" s="93"/>
      <c r="R1038311" s="93"/>
      <c r="S1038311" s="4"/>
      <c r="T1038311" s="2"/>
      <c r="U1038311" s="4"/>
      <c r="V1038311" s="94"/>
      <c r="W1038311" s="4"/>
      <c r="X1038311" s="95"/>
      <c r="Y1038311" s="95"/>
    </row>
    <row r="1038312" s="90" customFormat="1" customHeight="1" spans="1:25">
      <c r="A1038312" s="4"/>
      <c r="B1038312" s="4"/>
      <c r="C1038312" s="4"/>
      <c r="D1038312" s="4"/>
      <c r="E1038312" s="4"/>
      <c r="F1038312" s="4"/>
      <c r="G1038312" s="4"/>
      <c r="H1038312" s="91"/>
      <c r="I1038312" s="91"/>
      <c r="J1038312" s="4"/>
      <c r="K1038312" s="92"/>
      <c r="L1038312" s="92"/>
      <c r="M1038312" s="4"/>
      <c r="N1038312" s="4"/>
      <c r="O1038312" s="4"/>
      <c r="P1038312" s="93"/>
      <c r="Q1038312" s="93"/>
      <c r="R1038312" s="93"/>
      <c r="S1038312" s="4"/>
      <c r="T1038312" s="2"/>
      <c r="U1038312" s="4"/>
      <c r="V1038312" s="94"/>
      <c r="W1038312" s="4"/>
      <c r="X1038312" s="95"/>
      <c r="Y1038312" s="95"/>
    </row>
    <row r="1038313" s="90" customFormat="1" customHeight="1" spans="1:25">
      <c r="A1038313" s="4"/>
      <c r="B1038313" s="4"/>
      <c r="C1038313" s="4"/>
      <c r="D1038313" s="4"/>
      <c r="E1038313" s="4"/>
      <c r="F1038313" s="4"/>
      <c r="G1038313" s="4"/>
      <c r="H1038313" s="91"/>
      <c r="I1038313" s="91"/>
      <c r="J1038313" s="4"/>
      <c r="K1038313" s="92"/>
      <c r="L1038313" s="92"/>
      <c r="M1038313" s="4"/>
      <c r="N1038313" s="4"/>
      <c r="O1038313" s="4"/>
      <c r="P1038313" s="93"/>
      <c r="Q1038313" s="93"/>
      <c r="R1038313" s="93"/>
      <c r="S1038313" s="4"/>
      <c r="T1038313" s="2"/>
      <c r="U1038313" s="4"/>
      <c r="V1038313" s="94"/>
      <c r="W1038313" s="4"/>
      <c r="X1038313" s="95"/>
      <c r="Y1038313" s="95"/>
    </row>
    <row r="1038314" s="90" customFormat="1" customHeight="1" spans="1:25">
      <c r="A1038314" s="4"/>
      <c r="B1038314" s="4"/>
      <c r="C1038314" s="4"/>
      <c r="D1038314" s="4"/>
      <c r="E1038314" s="4"/>
      <c r="F1038314" s="4"/>
      <c r="G1038314" s="4"/>
      <c r="H1038314" s="91"/>
      <c r="I1038314" s="91"/>
      <c r="J1038314" s="4"/>
      <c r="K1038314" s="92"/>
      <c r="L1038314" s="92"/>
      <c r="M1038314" s="4"/>
      <c r="N1038314" s="4"/>
      <c r="O1038314" s="4"/>
      <c r="P1038314" s="93"/>
      <c r="Q1038314" s="93"/>
      <c r="R1038314" s="93"/>
      <c r="S1038314" s="4"/>
      <c r="T1038314" s="2"/>
      <c r="U1038314" s="4"/>
      <c r="V1038314" s="94"/>
      <c r="W1038314" s="4"/>
      <c r="X1038314" s="95"/>
      <c r="Y1038314" s="95"/>
    </row>
    <row r="1038315" s="90" customFormat="1" customHeight="1" spans="1:25">
      <c r="A1038315" s="4"/>
      <c r="B1038315" s="4"/>
      <c r="C1038315" s="4"/>
      <c r="D1038315" s="4"/>
      <c r="E1038315" s="4"/>
      <c r="F1038315" s="4"/>
      <c r="G1038315" s="4"/>
      <c r="H1038315" s="91"/>
      <c r="I1038315" s="91"/>
      <c r="J1038315" s="4"/>
      <c r="K1038315" s="92"/>
      <c r="L1038315" s="92"/>
      <c r="M1038315" s="4"/>
      <c r="N1038315" s="4"/>
      <c r="O1038315" s="4"/>
      <c r="P1038315" s="93"/>
      <c r="Q1038315" s="93"/>
      <c r="R1038315" s="93"/>
      <c r="S1038315" s="4"/>
      <c r="T1038315" s="2"/>
      <c r="U1038315" s="4"/>
      <c r="V1038315" s="94"/>
      <c r="W1038315" s="4"/>
      <c r="X1038315" s="95"/>
      <c r="Y1038315" s="95"/>
    </row>
    <row r="1038316" s="90" customFormat="1" customHeight="1" spans="1:25">
      <c r="A1038316" s="4"/>
      <c r="B1038316" s="4"/>
      <c r="C1038316" s="4"/>
      <c r="D1038316" s="4"/>
      <c r="E1038316" s="4"/>
      <c r="F1038316" s="4"/>
      <c r="G1038316" s="4"/>
      <c r="H1038316" s="91"/>
      <c r="I1038316" s="91"/>
      <c r="J1038316" s="4"/>
      <c r="K1038316" s="92"/>
      <c r="L1038316" s="92"/>
      <c r="M1038316" s="4"/>
      <c r="N1038316" s="4"/>
      <c r="O1038316" s="4"/>
      <c r="P1038316" s="93"/>
      <c r="Q1038316" s="93"/>
      <c r="R1038316" s="93"/>
      <c r="S1038316" s="4"/>
      <c r="T1038316" s="2"/>
      <c r="U1038316" s="4"/>
      <c r="V1038316" s="94"/>
      <c r="W1038316" s="4"/>
      <c r="X1038316" s="95"/>
      <c r="Y1038316" s="95"/>
    </row>
    <row r="1038317" s="90" customFormat="1" customHeight="1" spans="1:25">
      <c r="A1038317" s="4"/>
      <c r="B1038317" s="4"/>
      <c r="C1038317" s="4"/>
      <c r="D1038317" s="4"/>
      <c r="E1038317" s="4"/>
      <c r="F1038317" s="4"/>
      <c r="G1038317" s="4"/>
      <c r="H1038317" s="91"/>
      <c r="I1038317" s="91"/>
      <c r="J1038317" s="4"/>
      <c r="K1038317" s="92"/>
      <c r="L1038317" s="92"/>
      <c r="M1038317" s="4"/>
      <c r="N1038317" s="4"/>
      <c r="O1038317" s="4"/>
      <c r="P1038317" s="93"/>
      <c r="Q1038317" s="93"/>
      <c r="R1038317" s="93"/>
      <c r="S1038317" s="4"/>
      <c r="T1038317" s="2"/>
      <c r="U1038317" s="4"/>
      <c r="V1038317" s="94"/>
      <c r="W1038317" s="4"/>
      <c r="X1038317" s="95"/>
      <c r="Y1038317" s="95"/>
    </row>
    <row r="1038318" s="90" customFormat="1" customHeight="1" spans="1:25">
      <c r="A1038318" s="4"/>
      <c r="B1038318" s="4"/>
      <c r="C1038318" s="4"/>
      <c r="D1038318" s="4"/>
      <c r="E1038318" s="4"/>
      <c r="F1038318" s="4"/>
      <c r="G1038318" s="4"/>
      <c r="H1038318" s="91"/>
      <c r="I1038318" s="91"/>
      <c r="J1038318" s="4"/>
      <c r="K1038318" s="92"/>
      <c r="L1038318" s="92"/>
      <c r="M1038318" s="4"/>
      <c r="N1038318" s="4"/>
      <c r="O1038318" s="4"/>
      <c r="P1038318" s="93"/>
      <c r="Q1038318" s="93"/>
      <c r="R1038318" s="93"/>
      <c r="S1038318" s="4"/>
      <c r="T1038318" s="2"/>
      <c r="U1038318" s="4"/>
      <c r="V1038318" s="94"/>
      <c r="W1038318" s="4"/>
      <c r="X1038318" s="95"/>
      <c r="Y1038318" s="95"/>
    </row>
    <row r="1038319" s="90" customFormat="1" customHeight="1" spans="1:25">
      <c r="A1038319" s="4"/>
      <c r="B1038319" s="4"/>
      <c r="C1038319" s="4"/>
      <c r="D1038319" s="4"/>
      <c r="E1038319" s="4"/>
      <c r="F1038319" s="4"/>
      <c r="G1038319" s="4"/>
      <c r="H1038319" s="91"/>
      <c r="I1038319" s="91"/>
      <c r="J1038319" s="4"/>
      <c r="K1038319" s="92"/>
      <c r="L1038319" s="92"/>
      <c r="M1038319" s="4"/>
      <c r="N1038319" s="4"/>
      <c r="O1038319" s="4"/>
      <c r="P1038319" s="93"/>
      <c r="Q1038319" s="93"/>
      <c r="R1038319" s="93"/>
      <c r="S1038319" s="4"/>
      <c r="T1038319" s="2"/>
      <c r="U1038319" s="4"/>
      <c r="V1038319" s="94"/>
      <c r="W1038319" s="4"/>
      <c r="X1038319" s="95"/>
      <c r="Y1038319" s="95"/>
    </row>
    <row r="1038320" s="90" customFormat="1" customHeight="1" spans="1:25">
      <c r="A1038320" s="4"/>
      <c r="B1038320" s="4"/>
      <c r="C1038320" s="4"/>
      <c r="D1038320" s="4"/>
      <c r="E1038320" s="4"/>
      <c r="F1038320" s="4"/>
      <c r="G1038320" s="4"/>
      <c r="H1038320" s="91"/>
      <c r="I1038320" s="91"/>
      <c r="J1038320" s="4"/>
      <c r="K1038320" s="92"/>
      <c r="L1038320" s="92"/>
      <c r="M1038320" s="4"/>
      <c r="N1038320" s="4"/>
      <c r="O1038320" s="4"/>
      <c r="P1038320" s="93"/>
      <c r="Q1038320" s="93"/>
      <c r="R1038320" s="93"/>
      <c r="S1038320" s="4"/>
      <c r="T1038320" s="2"/>
      <c r="U1038320" s="4"/>
      <c r="V1038320" s="94"/>
      <c r="W1038320" s="4"/>
      <c r="X1038320" s="95"/>
      <c r="Y1038320" s="95"/>
    </row>
    <row r="1038321" s="90" customFormat="1" customHeight="1" spans="1:25">
      <c r="A1038321" s="4"/>
      <c r="B1038321" s="4"/>
      <c r="C1038321" s="4"/>
      <c r="D1038321" s="4"/>
      <c r="E1038321" s="4"/>
      <c r="F1038321" s="4"/>
      <c r="G1038321" s="4"/>
      <c r="H1038321" s="91"/>
      <c r="I1038321" s="91"/>
      <c r="J1038321" s="4"/>
      <c r="K1038321" s="92"/>
      <c r="L1038321" s="92"/>
      <c r="M1038321" s="4"/>
      <c r="N1038321" s="4"/>
      <c r="O1038321" s="4"/>
      <c r="P1038321" s="93"/>
      <c r="Q1038321" s="93"/>
      <c r="R1038321" s="93"/>
      <c r="S1038321" s="4"/>
      <c r="T1038321" s="2"/>
      <c r="U1038321" s="4"/>
      <c r="V1038321" s="94"/>
      <c r="W1038321" s="4"/>
      <c r="X1038321" s="95"/>
      <c r="Y1038321" s="95"/>
    </row>
    <row r="1038322" s="90" customFormat="1" customHeight="1" spans="1:25">
      <c r="A1038322" s="4"/>
      <c r="B1038322" s="4"/>
      <c r="C1038322" s="4"/>
      <c r="D1038322" s="4"/>
      <c r="E1038322" s="4"/>
      <c r="F1038322" s="4"/>
      <c r="G1038322" s="4"/>
      <c r="H1038322" s="91"/>
      <c r="I1038322" s="91"/>
      <c r="J1038322" s="4"/>
      <c r="K1038322" s="92"/>
      <c r="L1038322" s="92"/>
      <c r="M1038322" s="4"/>
      <c r="N1038322" s="4"/>
      <c r="O1038322" s="4"/>
      <c r="P1038322" s="93"/>
      <c r="Q1038322" s="93"/>
      <c r="R1038322" s="93"/>
      <c r="S1038322" s="4"/>
      <c r="T1038322" s="2"/>
      <c r="U1038322" s="4"/>
      <c r="V1038322" s="94"/>
      <c r="W1038322" s="4"/>
      <c r="X1038322" s="95"/>
      <c r="Y1038322" s="95"/>
    </row>
    <row r="1038323" s="90" customFormat="1" customHeight="1" spans="1:25">
      <c r="A1038323" s="4"/>
      <c r="B1038323" s="4"/>
      <c r="C1038323" s="4"/>
      <c r="D1038323" s="4"/>
      <c r="E1038323" s="4"/>
      <c r="F1038323" s="4"/>
      <c r="G1038323" s="4"/>
      <c r="H1038323" s="91"/>
      <c r="I1038323" s="91"/>
      <c r="J1038323" s="4"/>
      <c r="K1038323" s="92"/>
      <c r="L1038323" s="92"/>
      <c r="M1038323" s="4"/>
      <c r="N1038323" s="4"/>
      <c r="O1038323" s="4"/>
      <c r="P1038323" s="93"/>
      <c r="Q1038323" s="93"/>
      <c r="R1038323" s="93"/>
      <c r="S1038323" s="4"/>
      <c r="T1038323" s="2"/>
      <c r="U1038323" s="4"/>
      <c r="V1038323" s="94"/>
      <c r="W1038323" s="4"/>
      <c r="X1038323" s="95"/>
      <c r="Y1038323" s="95"/>
    </row>
    <row r="1038324" s="90" customFormat="1" customHeight="1" spans="1:25">
      <c r="A1038324" s="4"/>
      <c r="B1038324" s="4"/>
      <c r="C1038324" s="4"/>
      <c r="D1038324" s="4"/>
      <c r="E1038324" s="4"/>
      <c r="F1038324" s="4"/>
      <c r="G1038324" s="4"/>
      <c r="H1038324" s="91"/>
      <c r="I1038324" s="91"/>
      <c r="J1038324" s="4"/>
      <c r="K1038324" s="92"/>
      <c r="L1038324" s="92"/>
      <c r="M1038324" s="4"/>
      <c r="N1038324" s="4"/>
      <c r="O1038324" s="4"/>
      <c r="P1038324" s="93"/>
      <c r="Q1038324" s="93"/>
      <c r="R1038324" s="93"/>
      <c r="S1038324" s="4"/>
      <c r="T1038324" s="2"/>
      <c r="U1038324" s="4"/>
      <c r="V1038324" s="94"/>
      <c r="W1038324" s="4"/>
      <c r="X1038324" s="95"/>
      <c r="Y1038324" s="95"/>
    </row>
    <row r="1038325" s="90" customFormat="1" customHeight="1" spans="1:25">
      <c r="A1038325" s="4"/>
      <c r="B1038325" s="4"/>
      <c r="C1038325" s="4"/>
      <c r="D1038325" s="4"/>
      <c r="E1038325" s="4"/>
      <c r="F1038325" s="4"/>
      <c r="G1038325" s="4"/>
      <c r="H1038325" s="91"/>
      <c r="I1038325" s="91"/>
      <c r="J1038325" s="4"/>
      <c r="K1038325" s="92"/>
      <c r="L1038325" s="92"/>
      <c r="M1038325" s="4"/>
      <c r="N1038325" s="4"/>
      <c r="O1038325" s="4"/>
      <c r="P1038325" s="93"/>
      <c r="Q1038325" s="93"/>
      <c r="R1038325" s="93"/>
      <c r="S1038325" s="4"/>
      <c r="T1038325" s="2"/>
      <c r="U1038325" s="4"/>
      <c r="V1038325" s="94"/>
      <c r="W1038325" s="4"/>
      <c r="X1038325" s="95"/>
      <c r="Y1038325" s="95"/>
    </row>
    <row r="1038326" s="90" customFormat="1" customHeight="1" spans="1:25">
      <c r="A1038326" s="4"/>
      <c r="B1038326" s="4"/>
      <c r="C1038326" s="4"/>
      <c r="D1038326" s="4"/>
      <c r="E1038326" s="4"/>
      <c r="F1038326" s="4"/>
      <c r="G1038326" s="4"/>
      <c r="H1038326" s="91"/>
      <c r="I1038326" s="91"/>
      <c r="J1038326" s="4"/>
      <c r="K1038326" s="92"/>
      <c r="L1038326" s="92"/>
      <c r="M1038326" s="4"/>
      <c r="N1038326" s="4"/>
      <c r="O1038326" s="4"/>
      <c r="P1038326" s="93"/>
      <c r="Q1038326" s="93"/>
      <c r="R1038326" s="93"/>
      <c r="S1038326" s="4"/>
      <c r="T1038326" s="2"/>
      <c r="U1038326" s="4"/>
      <c r="V1038326" s="94"/>
      <c r="W1038326" s="4"/>
      <c r="X1038326" s="95"/>
      <c r="Y1038326" s="95"/>
    </row>
    <row r="1038327" s="90" customFormat="1" customHeight="1" spans="1:25">
      <c r="A1038327" s="4"/>
      <c r="B1038327" s="4"/>
      <c r="C1038327" s="4"/>
      <c r="D1038327" s="4"/>
      <c r="E1038327" s="4"/>
      <c r="F1038327" s="4"/>
      <c r="G1038327" s="4"/>
      <c r="H1038327" s="91"/>
      <c r="I1038327" s="91"/>
      <c r="J1038327" s="4"/>
      <c r="K1038327" s="92"/>
      <c r="L1038327" s="92"/>
      <c r="M1038327" s="4"/>
      <c r="N1038327" s="4"/>
      <c r="O1038327" s="4"/>
      <c r="P1038327" s="93"/>
      <c r="Q1038327" s="93"/>
      <c r="R1038327" s="93"/>
      <c r="S1038327" s="4"/>
      <c r="T1038327" s="2"/>
      <c r="U1038327" s="4"/>
      <c r="V1038327" s="94"/>
      <c r="W1038327" s="4"/>
      <c r="X1038327" s="95"/>
      <c r="Y1038327" s="95"/>
    </row>
    <row r="1038328" s="90" customFormat="1" customHeight="1" spans="1:25">
      <c r="A1038328" s="4"/>
      <c r="B1038328" s="4"/>
      <c r="C1038328" s="4"/>
      <c r="D1038328" s="4"/>
      <c r="E1038328" s="4"/>
      <c r="F1038328" s="4"/>
      <c r="G1038328" s="4"/>
      <c r="H1038328" s="91"/>
      <c r="I1038328" s="91"/>
      <c r="J1038328" s="4"/>
      <c r="K1038328" s="92"/>
      <c r="L1038328" s="92"/>
      <c r="M1038328" s="4"/>
      <c r="N1038328" s="4"/>
      <c r="O1038328" s="4"/>
      <c r="P1038328" s="93"/>
      <c r="Q1038328" s="93"/>
      <c r="R1038328" s="93"/>
      <c r="S1038328" s="4"/>
      <c r="T1038328" s="2"/>
      <c r="U1038328" s="4"/>
      <c r="V1038328" s="94"/>
      <c r="W1038328" s="4"/>
      <c r="X1038328" s="95"/>
      <c r="Y1038328" s="95"/>
    </row>
    <row r="1038329" s="90" customFormat="1" customHeight="1" spans="1:25">
      <c r="A1038329" s="4"/>
      <c r="B1038329" s="4"/>
      <c r="C1038329" s="4"/>
      <c r="D1038329" s="4"/>
      <c r="E1038329" s="4"/>
      <c r="F1038329" s="4"/>
      <c r="G1038329" s="4"/>
      <c r="H1038329" s="91"/>
      <c r="I1038329" s="91"/>
      <c r="J1038329" s="4"/>
      <c r="K1038329" s="92"/>
      <c r="L1038329" s="92"/>
      <c r="M1038329" s="4"/>
      <c r="N1038329" s="4"/>
      <c r="O1038329" s="4"/>
      <c r="P1038329" s="93"/>
      <c r="Q1038329" s="93"/>
      <c r="R1038329" s="93"/>
      <c r="S1038329" s="4"/>
      <c r="T1038329" s="2"/>
      <c r="U1038329" s="4"/>
      <c r="V1038329" s="94"/>
      <c r="W1038329" s="4"/>
      <c r="X1038329" s="95"/>
      <c r="Y1038329" s="95"/>
    </row>
    <row r="1038330" s="90" customFormat="1" customHeight="1" spans="1:25">
      <c r="A1038330" s="4"/>
      <c r="B1038330" s="4"/>
      <c r="C1038330" s="4"/>
      <c r="D1038330" s="4"/>
      <c r="E1038330" s="4"/>
      <c r="F1038330" s="4"/>
      <c r="G1038330" s="4"/>
      <c r="H1038330" s="91"/>
      <c r="I1038330" s="91"/>
      <c r="J1038330" s="4"/>
      <c r="K1038330" s="92"/>
      <c r="L1038330" s="92"/>
      <c r="M1038330" s="4"/>
      <c r="N1038330" s="4"/>
      <c r="O1038330" s="4"/>
      <c r="P1038330" s="93"/>
      <c r="Q1038330" s="93"/>
      <c r="R1038330" s="93"/>
      <c r="S1038330" s="4"/>
      <c r="T1038330" s="2"/>
      <c r="U1038330" s="4"/>
      <c r="V1038330" s="94"/>
      <c r="W1038330" s="4"/>
      <c r="X1038330" s="95"/>
      <c r="Y1038330" s="95"/>
    </row>
    <row r="1038331" s="90" customFormat="1" customHeight="1" spans="1:25">
      <c r="A1038331" s="4"/>
      <c r="B1038331" s="4"/>
      <c r="C1038331" s="4"/>
      <c r="D1038331" s="4"/>
      <c r="E1038331" s="4"/>
      <c r="F1038331" s="4"/>
      <c r="G1038331" s="4"/>
      <c r="H1038331" s="91"/>
      <c r="I1038331" s="91"/>
      <c r="J1038331" s="4"/>
      <c r="K1038331" s="92"/>
      <c r="L1038331" s="92"/>
      <c r="M1038331" s="4"/>
      <c r="N1038331" s="4"/>
      <c r="O1038331" s="4"/>
      <c r="P1038331" s="93"/>
      <c r="Q1038331" s="93"/>
      <c r="R1038331" s="93"/>
      <c r="S1038331" s="4"/>
      <c r="T1038331" s="2"/>
      <c r="U1038331" s="4"/>
      <c r="V1038331" s="94"/>
      <c r="W1038331" s="4"/>
      <c r="X1038331" s="95"/>
      <c r="Y1038331" s="95"/>
    </row>
    <row r="1038332" s="90" customFormat="1" customHeight="1" spans="1:25">
      <c r="A1038332" s="4"/>
      <c r="B1038332" s="4"/>
      <c r="C1038332" s="4"/>
      <c r="D1038332" s="4"/>
      <c r="E1038332" s="4"/>
      <c r="F1038332" s="4"/>
      <c r="G1038332" s="4"/>
      <c r="H1038332" s="91"/>
      <c r="I1038332" s="91"/>
      <c r="J1038332" s="4"/>
      <c r="K1038332" s="92"/>
      <c r="L1038332" s="92"/>
      <c r="M1038332" s="4"/>
      <c r="N1038332" s="4"/>
      <c r="O1038332" s="4"/>
      <c r="P1038332" s="93"/>
      <c r="Q1038332" s="93"/>
      <c r="R1038332" s="93"/>
      <c r="S1038332" s="4"/>
      <c r="T1038332" s="2"/>
      <c r="U1038332" s="4"/>
      <c r="V1038332" s="94"/>
      <c r="W1038332" s="4"/>
      <c r="X1038332" s="95"/>
      <c r="Y1038332" s="95"/>
    </row>
    <row r="1038333" s="90" customFormat="1" customHeight="1" spans="1:25">
      <c r="A1038333" s="4"/>
      <c r="B1038333" s="4"/>
      <c r="C1038333" s="4"/>
      <c r="D1038333" s="4"/>
      <c r="E1038333" s="4"/>
      <c r="F1038333" s="4"/>
      <c r="G1038333" s="4"/>
      <c r="H1038333" s="91"/>
      <c r="I1038333" s="91"/>
      <c r="J1038333" s="4"/>
      <c r="K1038333" s="92"/>
      <c r="L1038333" s="92"/>
      <c r="M1038333" s="4"/>
      <c r="N1038333" s="4"/>
      <c r="O1038333" s="4"/>
      <c r="P1038333" s="93"/>
      <c r="Q1038333" s="93"/>
      <c r="R1038333" s="93"/>
      <c r="S1038333" s="4"/>
      <c r="T1038333" s="2"/>
      <c r="U1038333" s="4"/>
      <c r="V1038333" s="94"/>
      <c r="W1038333" s="4"/>
      <c r="X1038333" s="95"/>
      <c r="Y1038333" s="95"/>
    </row>
    <row r="1038334" s="90" customFormat="1" customHeight="1" spans="1:25">
      <c r="A1038334" s="4"/>
      <c r="B1038334" s="4"/>
      <c r="C1038334" s="4"/>
      <c r="D1038334" s="4"/>
      <c r="E1038334" s="4"/>
      <c r="F1038334" s="4"/>
      <c r="G1038334" s="4"/>
      <c r="H1038334" s="91"/>
      <c r="I1038334" s="91"/>
      <c r="J1038334" s="4"/>
      <c r="K1038334" s="92"/>
      <c r="L1038334" s="92"/>
      <c r="M1038334" s="4"/>
      <c r="N1038334" s="4"/>
      <c r="O1038334" s="4"/>
      <c r="P1038334" s="93"/>
      <c r="Q1038334" s="93"/>
      <c r="R1038334" s="93"/>
      <c r="S1038334" s="4"/>
      <c r="T1038334" s="2"/>
      <c r="U1038334" s="4"/>
      <c r="V1038334" s="94"/>
      <c r="W1038334" s="4"/>
      <c r="X1038334" s="95"/>
      <c r="Y1038334" s="95"/>
    </row>
    <row r="1038335" s="90" customFormat="1" customHeight="1" spans="1:25">
      <c r="A1038335" s="4"/>
      <c r="B1038335" s="4"/>
      <c r="C1038335" s="4"/>
      <c r="D1038335" s="4"/>
      <c r="E1038335" s="4"/>
      <c r="F1038335" s="4"/>
      <c r="G1038335" s="4"/>
      <c r="H1038335" s="91"/>
      <c r="I1038335" s="91"/>
      <c r="J1038335" s="4"/>
      <c r="K1038335" s="92"/>
      <c r="L1038335" s="92"/>
      <c r="M1038335" s="4"/>
      <c r="N1038335" s="4"/>
      <c r="O1038335" s="4"/>
      <c r="P1038335" s="93"/>
      <c r="Q1038335" s="93"/>
      <c r="R1038335" s="93"/>
      <c r="S1038335" s="4"/>
      <c r="T1038335" s="2"/>
      <c r="U1038335" s="4"/>
      <c r="V1038335" s="94"/>
      <c r="W1038335" s="4"/>
      <c r="X1038335" s="95"/>
      <c r="Y1038335" s="95"/>
    </row>
    <row r="1038336" s="90" customFormat="1" customHeight="1" spans="1:25">
      <c r="A1038336" s="4"/>
      <c r="B1038336" s="4"/>
      <c r="C1038336" s="4"/>
      <c r="D1038336" s="4"/>
      <c r="E1038336" s="4"/>
      <c r="F1038336" s="4"/>
      <c r="G1038336" s="4"/>
      <c r="H1038336" s="91"/>
      <c r="I1038336" s="91"/>
      <c r="J1038336" s="4"/>
      <c r="K1038336" s="92"/>
      <c r="L1038336" s="92"/>
      <c r="M1038336" s="4"/>
      <c r="N1038336" s="4"/>
      <c r="O1038336" s="4"/>
      <c r="P1038336" s="93"/>
      <c r="Q1038336" s="93"/>
      <c r="R1038336" s="93"/>
      <c r="S1038336" s="4"/>
      <c r="T1038336" s="2"/>
      <c r="U1038336" s="4"/>
      <c r="V1038336" s="94"/>
      <c r="W1038336" s="4"/>
      <c r="X1038336" s="95"/>
      <c r="Y1038336" s="95"/>
    </row>
  </sheetData>
  <autoFilter ref="A1:AA7315">
    <extLst/>
  </autoFilter>
  <conditionalFormatting sqref="M25">
    <cfRule type="expression" dxfId="0" priority="4205">
      <formula>(#REF!&lt;&gt;"")*(#REF!&lt;&gt;"")</formula>
    </cfRule>
  </conditionalFormatting>
  <conditionalFormatting sqref="M26">
    <cfRule type="expression" dxfId="0" priority="4104">
      <formula>(#REF!&lt;&gt;"")*(#REF!&lt;&gt;"")</formula>
    </cfRule>
  </conditionalFormatting>
  <conditionalFormatting sqref="P75">
    <cfRule type="expression" dxfId="1" priority="4026">
      <formula>(#REF!&lt;&gt;"")*(P$1&lt;&gt;"")</formula>
    </cfRule>
  </conditionalFormatting>
  <conditionalFormatting sqref="P76">
    <cfRule type="expression" dxfId="1" priority="5063">
      <formula>(#REF!&lt;&gt;"")*(P$1&lt;&gt;"")</formula>
    </cfRule>
  </conditionalFormatting>
  <conditionalFormatting sqref="Q92">
    <cfRule type="expression" dxfId="1" priority="5066">
      <formula>(#REF!&lt;&gt;"")*(#REF!&lt;&gt;"")</formula>
    </cfRule>
  </conditionalFormatting>
  <conditionalFormatting sqref="P98:Q98">
    <cfRule type="expression" dxfId="1" priority="5067">
      <formula>(#REF!&lt;&gt;"")*(#REF!&lt;&gt;"")</formula>
    </cfRule>
  </conditionalFormatting>
  <conditionalFormatting sqref="P99:Q99">
    <cfRule type="expression" dxfId="1" priority="4015">
      <formula>(#REF!&lt;&gt;"")*(#REF!&lt;&gt;"")</formula>
    </cfRule>
  </conditionalFormatting>
  <conditionalFormatting sqref="P100:Q100">
    <cfRule type="expression" dxfId="1" priority="5065">
      <formula>(#REF!&lt;&gt;"")*(#REF!&lt;&gt;"")</formula>
    </cfRule>
  </conditionalFormatting>
  <conditionalFormatting sqref="P101:Q101">
    <cfRule type="expression" dxfId="1" priority="5064">
      <formula>(#REF!&lt;&gt;"")*(#REF!&lt;&gt;"")</formula>
    </cfRule>
  </conditionalFormatting>
  <conditionalFormatting sqref="P102:Q102">
    <cfRule type="expression" dxfId="1" priority="4049">
      <formula>(#REF!&lt;&gt;"")*(#REF!&lt;&gt;"")</formula>
    </cfRule>
  </conditionalFormatting>
  <conditionalFormatting sqref="P103">
    <cfRule type="expression" dxfId="1" priority="4964">
      <formula>(#REF!&lt;&gt;"")*(#REF!&lt;&gt;"")</formula>
    </cfRule>
  </conditionalFormatting>
  <conditionalFormatting sqref="Q103">
    <cfRule type="expression" dxfId="1" priority="4965">
      <formula>(#REF!&lt;&gt;"")*(#REF!&lt;&gt;"")</formula>
    </cfRule>
  </conditionalFormatting>
  <conditionalFormatting sqref="P105:Q105">
    <cfRule type="expression" dxfId="1" priority="4872">
      <formula>(#REF!&lt;&gt;"")*(#REF!&lt;&gt;"")</formula>
    </cfRule>
  </conditionalFormatting>
  <conditionalFormatting sqref="P107:Q107">
    <cfRule type="expression" dxfId="1" priority="5033">
      <formula>(#REF!&lt;&gt;"")*(#REF!&lt;&gt;"")</formula>
    </cfRule>
  </conditionalFormatting>
  <conditionalFormatting sqref="P108:Q108">
    <cfRule type="expression" dxfId="1" priority="5034">
      <formula>(#REF!&lt;&gt;"")*(#REF!&lt;&gt;"")</formula>
    </cfRule>
  </conditionalFormatting>
  <conditionalFormatting sqref="P109:Q109">
    <cfRule type="expression" dxfId="1" priority="4871">
      <formula>(#REF!&lt;&gt;"")*(#REF!&lt;&gt;"")</formula>
    </cfRule>
  </conditionalFormatting>
  <conditionalFormatting sqref="P110:Q110">
    <cfRule type="expression" dxfId="1" priority="4198">
      <formula>(#REF!&lt;&gt;"")*(#REF!&lt;&gt;"")</formula>
    </cfRule>
  </conditionalFormatting>
  <conditionalFormatting sqref="P112:Q112">
    <cfRule type="expression" dxfId="1" priority="4870">
      <formula>(#REF!&lt;&gt;"")*(#REF!&lt;&gt;"")</formula>
    </cfRule>
  </conditionalFormatting>
  <conditionalFormatting sqref="P113:Q113">
    <cfRule type="expression" dxfId="1" priority="4770">
      <formula>(#REF!&lt;&gt;"")*(#REF!&lt;&gt;"")</formula>
    </cfRule>
  </conditionalFormatting>
  <conditionalFormatting sqref="P114:Q114">
    <cfRule type="expression" dxfId="1" priority="4869">
      <formula>(#REF!&lt;&gt;"")*(#REF!&lt;&gt;"")</formula>
    </cfRule>
  </conditionalFormatting>
  <conditionalFormatting sqref="P118:Q118">
    <cfRule type="expression" dxfId="1" priority="4657">
      <formula>(#REF!&lt;&gt;"")*(#REF!&lt;&gt;"")</formula>
    </cfRule>
  </conditionalFormatting>
  <conditionalFormatting sqref="P119:Q119">
    <cfRule type="expression" dxfId="1" priority="4622">
      <formula>(#REF!&lt;&gt;"")*(#REF!&lt;&gt;"")</formula>
    </cfRule>
  </conditionalFormatting>
  <conditionalFormatting sqref="P121:Q121">
    <cfRule type="expression" dxfId="1" priority="4204">
      <formula>(#REF!&lt;&gt;"")*(#REF!&lt;&gt;"")</formula>
    </cfRule>
  </conditionalFormatting>
  <conditionalFormatting sqref="P123:Q123">
    <cfRule type="expression" dxfId="1" priority="4655">
      <formula>(#REF!&lt;&gt;"")*(#REF!&lt;&gt;"")</formula>
    </cfRule>
  </conditionalFormatting>
  <conditionalFormatting sqref="P193:Q193">
    <cfRule type="expression" dxfId="1" priority="5060">
      <formula>(#REF!&lt;&gt;"")*(#REF!&lt;&gt;"")</formula>
    </cfRule>
  </conditionalFormatting>
  <conditionalFormatting sqref="P201">
    <cfRule type="expression" dxfId="1" priority="5046">
      <formula>(#REF!&lt;&gt;"")*(#REF!&lt;&gt;"")</formula>
    </cfRule>
  </conditionalFormatting>
  <conditionalFormatting sqref="Q201">
    <cfRule type="expression" dxfId="1" priority="5047">
      <formula>(#REF!&lt;&gt;"")*(#REF!&lt;&gt;"")</formula>
    </cfRule>
  </conditionalFormatting>
  <conditionalFormatting sqref="P202">
    <cfRule type="expression" dxfId="1" priority="5044">
      <formula>(#REF!&lt;&gt;"")*(#REF!&lt;&gt;"")</formula>
    </cfRule>
  </conditionalFormatting>
  <conditionalFormatting sqref="Q202">
    <cfRule type="expression" dxfId="1" priority="5045">
      <formula>(#REF!&lt;&gt;"")*(#REF!&lt;&gt;"")</formula>
    </cfRule>
  </conditionalFormatting>
  <conditionalFormatting sqref="P203">
    <cfRule type="expression" dxfId="1" priority="5048">
      <formula>(#REF!&lt;&gt;"")*(#REF!&lt;&gt;"")</formula>
    </cfRule>
  </conditionalFormatting>
  <conditionalFormatting sqref="Q203">
    <cfRule type="expression" dxfId="1" priority="5049">
      <formula>(#REF!&lt;&gt;"")*(#REF!&lt;&gt;"")</formula>
    </cfRule>
  </conditionalFormatting>
  <conditionalFormatting sqref="P204:Q204">
    <cfRule type="expression" dxfId="1" priority="5050">
      <formula>(#REF!&lt;&gt;"")*(#REF!&lt;&gt;"")</formula>
    </cfRule>
  </conditionalFormatting>
  <conditionalFormatting sqref="P205:Q205">
    <cfRule type="expression" dxfId="1" priority="5051">
      <formula>(#REF!&lt;&gt;"")*(#REF!&lt;&gt;"")</formula>
    </cfRule>
  </conditionalFormatting>
  <conditionalFormatting sqref="P206">
    <cfRule type="expression" dxfId="1" priority="5058">
      <formula>(#REF!&lt;&gt;"")*(#REF!&lt;&gt;"")</formula>
    </cfRule>
  </conditionalFormatting>
  <conditionalFormatting sqref="Q206">
    <cfRule type="expression" dxfId="1" priority="5059">
      <formula>(#REF!&lt;&gt;"")*(#REF!&lt;&gt;"")</formula>
    </cfRule>
  </conditionalFormatting>
  <conditionalFormatting sqref="P207">
    <cfRule type="expression" dxfId="1" priority="5056">
      <formula>(#REF!&lt;&gt;"")*(#REF!&lt;&gt;"")</formula>
    </cfRule>
  </conditionalFormatting>
  <conditionalFormatting sqref="Q207">
    <cfRule type="expression" dxfId="1" priority="5057">
      <formula>(#REF!&lt;&gt;"")*(#REF!&lt;&gt;"")</formula>
    </cfRule>
  </conditionalFormatting>
  <conditionalFormatting sqref="P208">
    <cfRule type="expression" dxfId="1" priority="5054">
      <formula>(#REF!&lt;&gt;"")*(#REF!&lt;&gt;"")</formula>
    </cfRule>
  </conditionalFormatting>
  <conditionalFormatting sqref="Q208">
    <cfRule type="expression" dxfId="1" priority="5055">
      <formula>(#REF!&lt;&gt;"")*(#REF!&lt;&gt;"")</formula>
    </cfRule>
  </conditionalFormatting>
  <conditionalFormatting sqref="P209">
    <cfRule type="expression" dxfId="1" priority="5052">
      <formula>(#REF!&lt;&gt;"")*(#REF!&lt;&gt;"")</formula>
    </cfRule>
  </conditionalFormatting>
  <conditionalFormatting sqref="Q209">
    <cfRule type="expression" dxfId="1" priority="5053">
      <formula>(#REF!&lt;&gt;"")*(#REF!&lt;&gt;"")</formula>
    </cfRule>
  </conditionalFormatting>
  <conditionalFormatting sqref="P210">
    <cfRule type="expression" dxfId="1" priority="4987">
      <formula>(#REF!&lt;&gt;"")*(#REF!&lt;&gt;"")</formula>
    </cfRule>
  </conditionalFormatting>
  <conditionalFormatting sqref="Q210">
    <cfRule type="expression" dxfId="1" priority="4988">
      <formula>(#REF!&lt;&gt;"")*(#REF!&lt;&gt;"")</formula>
    </cfRule>
  </conditionalFormatting>
  <conditionalFormatting sqref="P211">
    <cfRule type="expression" dxfId="1" priority="4989">
      <formula>(#REF!&lt;&gt;"")*(#REF!&lt;&gt;"")</formula>
    </cfRule>
  </conditionalFormatting>
  <conditionalFormatting sqref="Q211">
    <cfRule type="expression" dxfId="1" priority="4990">
      <formula>(#REF!&lt;&gt;"")*(#REF!&lt;&gt;"")</formula>
    </cfRule>
  </conditionalFormatting>
  <conditionalFormatting sqref="P212">
    <cfRule type="expression" dxfId="1" priority="4985">
      <formula>(#REF!&lt;&gt;"")*(#REF!&lt;&gt;"")</formula>
    </cfRule>
  </conditionalFormatting>
  <conditionalFormatting sqref="Q212">
    <cfRule type="expression" dxfId="1" priority="4986">
      <formula>(#REF!&lt;&gt;"")*(#REF!&lt;&gt;"")</formula>
    </cfRule>
  </conditionalFormatting>
  <conditionalFormatting sqref="Q263">
    <cfRule type="expression" dxfId="1" priority="5043">
      <formula>(#REF!&lt;&gt;"")*(#REF!&lt;&gt;"")</formula>
    </cfRule>
  </conditionalFormatting>
  <conditionalFormatting sqref="P287:Q287">
    <cfRule type="expression" dxfId="1" priority="5042">
      <formula>(#REF!&lt;&gt;"")*(#REF!&lt;&gt;"")</formula>
    </cfRule>
  </conditionalFormatting>
  <conditionalFormatting sqref="P296">
    <cfRule type="expression" dxfId="1" priority="5041">
      <formula>(#REF!&lt;&gt;"")*(#REF!&lt;&gt;"")</formula>
    </cfRule>
  </conditionalFormatting>
  <conditionalFormatting sqref="Q296">
    <cfRule type="expression" dxfId="1" priority="5040">
      <formula>(#REF!&lt;&gt;"")*(#REF!&lt;&gt;"")</formula>
    </cfRule>
  </conditionalFormatting>
  <conditionalFormatting sqref="O297:P297">
    <cfRule type="expression" dxfId="1" priority="5039">
      <formula>(#REF!&lt;&gt;"")*(O$1&lt;&gt;"")</formula>
    </cfRule>
  </conditionalFormatting>
  <conditionalFormatting sqref="P298">
    <cfRule type="expression" dxfId="1" priority="4130">
      <formula>(#REF!&lt;&gt;"")*(#REF!&lt;&gt;"")</formula>
    </cfRule>
  </conditionalFormatting>
  <conditionalFormatting sqref="Q298">
    <cfRule type="expression" dxfId="1" priority="4129">
      <formula>(#REF!&lt;&gt;"")*(#REF!&lt;&gt;"")</formula>
    </cfRule>
  </conditionalFormatting>
  <conditionalFormatting sqref="O299:P299">
    <cfRule type="expression" dxfId="1" priority="4128">
      <formula>(#REF!&lt;&gt;"")*(O$1&lt;&gt;"")</formula>
    </cfRule>
  </conditionalFormatting>
  <conditionalFormatting sqref="P404">
    <cfRule type="expression" dxfId="1" priority="5037">
      <formula>(#REF!&lt;&gt;"")*(#REF!&lt;&gt;"")</formula>
    </cfRule>
  </conditionalFormatting>
  <conditionalFormatting sqref="Q404">
    <cfRule type="expression" dxfId="1" priority="5038">
      <formula>(#REF!&lt;&gt;"")*(#REF!&lt;&gt;"")</formula>
    </cfRule>
  </conditionalFormatting>
  <conditionalFormatting sqref="J457">
    <cfRule type="expression" dxfId="1" priority="4781">
      <formula>(#REF!&lt;&gt;"")*(J$1&lt;&gt;"")</formula>
    </cfRule>
  </conditionalFormatting>
  <conditionalFormatting sqref="M457">
    <cfRule type="expression" dxfId="0" priority="4782">
      <formula>(#REF!&lt;&gt;"")*(#REF!&lt;&gt;"")</formula>
    </cfRule>
  </conditionalFormatting>
  <conditionalFormatting sqref="J460">
    <cfRule type="expression" dxfId="1" priority="5036">
      <formula>(#REF!&lt;&gt;"")*(J$1&lt;&gt;"")</formula>
    </cfRule>
  </conditionalFormatting>
  <conditionalFormatting sqref="J472">
    <cfRule type="expression" dxfId="1" priority="4776">
      <formula>(#REF!&lt;&gt;"")*(J$1&lt;&gt;"")</formula>
    </cfRule>
  </conditionalFormatting>
  <conditionalFormatting sqref="M472">
    <cfRule type="expression" dxfId="0" priority="4777">
      <formula>(#REF!&lt;&gt;"")*(#REF!&lt;&gt;"")</formula>
    </cfRule>
  </conditionalFormatting>
  <conditionalFormatting sqref="J475">
    <cfRule type="expression" dxfId="1" priority="5035">
      <formula>(#REF!&lt;&gt;"")*(J$1&lt;&gt;"")</formula>
    </cfRule>
  </conditionalFormatting>
  <conditionalFormatting sqref="P525:Q525">
    <cfRule type="expression" dxfId="1" priority="5029">
      <formula>(#REF!&lt;&gt;"")*(#REF!&lt;&gt;"")</formula>
    </cfRule>
  </conditionalFormatting>
  <conditionalFormatting sqref="P526:Q526">
    <cfRule type="expression" dxfId="1" priority="5028">
      <formula>(#REF!&lt;&gt;"")*(#REF!&lt;&gt;"")</formula>
    </cfRule>
  </conditionalFormatting>
  <conditionalFormatting sqref="P527:Q527">
    <cfRule type="expression" dxfId="1" priority="5027">
      <formula>(#REF!&lt;&gt;"")*(#REF!&lt;&gt;"")</formula>
    </cfRule>
  </conditionalFormatting>
  <conditionalFormatting sqref="P528:Q528">
    <cfRule type="expression" dxfId="1" priority="4688">
      <formula>(#REF!&lt;&gt;"")*(#REF!&lt;&gt;"")</formula>
    </cfRule>
  </conditionalFormatting>
  <conditionalFormatting sqref="P531:Q531">
    <cfRule type="expression" dxfId="1" priority="5022">
      <formula>(#REF!&lt;&gt;"")*(#REF!&lt;&gt;"")</formula>
    </cfRule>
  </conditionalFormatting>
  <conditionalFormatting sqref="P532">
    <cfRule type="expression" dxfId="1" priority="4335">
      <formula>(#REF!&lt;&gt;"")*(#REF!&lt;&gt;"")</formula>
    </cfRule>
  </conditionalFormatting>
  <conditionalFormatting sqref="Q532">
    <cfRule type="expression" dxfId="1" priority="4336">
      <formula>(#REF!&lt;&gt;"")*(#REF!&lt;&gt;"")</formula>
    </cfRule>
  </conditionalFormatting>
  <conditionalFormatting sqref="P533:Q533">
    <cfRule type="expression" dxfId="1" priority="5021">
      <formula>(#REF!&lt;&gt;"")*(#REF!&lt;&gt;"")</formula>
    </cfRule>
  </conditionalFormatting>
  <conditionalFormatting sqref="J538">
    <cfRule type="expression" dxfId="1" priority="5026">
      <formula>(#REF!&lt;&gt;"")*(J$1&lt;&gt;"")</formula>
    </cfRule>
  </conditionalFormatting>
  <conditionalFormatting sqref="P538:Q538">
    <cfRule type="expression" dxfId="1" priority="5023">
      <formula>(#REF!&lt;&gt;"")*(#REF!&lt;&gt;"")</formula>
    </cfRule>
  </conditionalFormatting>
  <conditionalFormatting sqref="P539:Q539">
    <cfRule type="expression" dxfId="1" priority="5024">
      <formula>(#REF!&lt;&gt;"")*(#REF!&lt;&gt;"")</formula>
    </cfRule>
  </conditionalFormatting>
  <conditionalFormatting sqref="P556:Q556">
    <cfRule type="expression" dxfId="1" priority="5030">
      <formula>(#REF!&lt;&gt;"")*(#REF!&lt;&gt;"")</formula>
    </cfRule>
  </conditionalFormatting>
  <conditionalFormatting sqref="J612">
    <cfRule type="expression" dxfId="1" priority="4014">
      <formula>(#REF!&lt;&gt;"")*(J$1&lt;&gt;"")</formula>
    </cfRule>
  </conditionalFormatting>
  <conditionalFormatting sqref="J613">
    <cfRule type="expression" dxfId="1" priority="4013">
      <formula>(#REF!&lt;&gt;"")*(J$1&lt;&gt;"")</formula>
    </cfRule>
  </conditionalFormatting>
  <conditionalFormatting sqref="J614">
    <cfRule type="expression" dxfId="1" priority="4012">
      <formula>(#REF!&lt;&gt;"")*(J$1&lt;&gt;"")</formula>
    </cfRule>
  </conditionalFormatting>
  <conditionalFormatting sqref="J636">
    <cfRule type="expression" dxfId="1" priority="3987">
      <formula>(#REF!&lt;&gt;"")*(J$1&lt;&gt;"")</formula>
    </cfRule>
  </conditionalFormatting>
  <conditionalFormatting sqref="J640">
    <cfRule type="expression" dxfId="1" priority="3939">
      <formula>(#REF!&lt;&gt;"")*(J$1&lt;&gt;"")</formula>
    </cfRule>
  </conditionalFormatting>
  <conditionalFormatting sqref="M658">
    <cfRule type="expression" dxfId="0" priority="4995">
      <formula>(#REF!&lt;&gt;"")*(#REF!&lt;&gt;"")</formula>
    </cfRule>
  </conditionalFormatting>
  <conditionalFormatting sqref="J731">
    <cfRule type="expression" dxfId="1" priority="4179">
      <formula>(#REF!&lt;&gt;"")*(J$1&lt;&gt;"")</formula>
    </cfRule>
  </conditionalFormatting>
  <conditionalFormatting sqref="M731">
    <cfRule type="expression" dxfId="0" priority="4180">
      <formula>(#REF!&lt;&gt;"")*(#REF!&lt;&gt;"")</formula>
    </cfRule>
  </conditionalFormatting>
  <conditionalFormatting sqref="J737">
    <cfRule type="expression" dxfId="1" priority="4050">
      <formula>(#REF!&lt;&gt;"")*(J$1&lt;&gt;"")</formula>
    </cfRule>
  </conditionalFormatting>
  <conditionalFormatting sqref="M737">
    <cfRule type="expression" dxfId="0" priority="4051">
      <formula>(#REF!&lt;&gt;"")*(#REF!&lt;&gt;"")</formula>
    </cfRule>
  </conditionalFormatting>
  <conditionalFormatting sqref="J748">
    <cfRule type="expression" dxfId="1" priority="4052">
      <formula>(#REF!&lt;&gt;"")*(J$1&lt;&gt;"")</formula>
    </cfRule>
  </conditionalFormatting>
  <conditionalFormatting sqref="M748">
    <cfRule type="expression" dxfId="0" priority="4053">
      <formula>(#REF!&lt;&gt;"")*(#REF!&lt;&gt;"")</formula>
    </cfRule>
  </conditionalFormatting>
  <conditionalFormatting sqref="J752">
    <cfRule type="expression" dxfId="1" priority="4949">
      <formula>(#REF!&lt;&gt;"")*(J$1&lt;&gt;"")</formula>
    </cfRule>
  </conditionalFormatting>
  <conditionalFormatting sqref="M752">
    <cfRule type="expression" dxfId="0" priority="4950">
      <formula>(#REF!&lt;&gt;"")*(#REF!&lt;&gt;"")</formula>
    </cfRule>
  </conditionalFormatting>
  <conditionalFormatting sqref="J753">
    <cfRule type="expression" dxfId="1" priority="4047">
      <formula>(#REF!&lt;&gt;"")*(J$1&lt;&gt;"")</formula>
    </cfRule>
    <cfRule type="expression" dxfId="1" priority="4045">
      <formula>(#REF!&lt;&gt;"")*(J$1&lt;&gt;"")</formula>
    </cfRule>
  </conditionalFormatting>
  <conditionalFormatting sqref="M753">
    <cfRule type="expression" dxfId="0" priority="4048">
      <formula>(#REF!&lt;&gt;"")*(#REF!&lt;&gt;"")</formula>
    </cfRule>
    <cfRule type="expression" dxfId="0" priority="4046">
      <formula>(#REF!&lt;&gt;"")*(#REF!&lt;&gt;"")</formula>
    </cfRule>
  </conditionalFormatting>
  <conditionalFormatting sqref="J754">
    <cfRule type="expression" dxfId="1" priority="4956">
      <formula>(#REF!&lt;&gt;"")*(J$1&lt;&gt;"")</formula>
    </cfRule>
  </conditionalFormatting>
  <conditionalFormatting sqref="M754">
    <cfRule type="expression" dxfId="0" priority="4957">
      <formula>(#REF!&lt;&gt;"")*(#REF!&lt;&gt;"")</formula>
    </cfRule>
  </conditionalFormatting>
  <conditionalFormatting sqref="J755">
    <cfRule type="expression" dxfId="1" priority="4947">
      <formula>(#REF!&lt;&gt;"")*(J$1&lt;&gt;"")</formula>
    </cfRule>
  </conditionalFormatting>
  <conditionalFormatting sqref="M755">
    <cfRule type="expression" dxfId="0" priority="4948">
      <formula>(#REF!&lt;&gt;"")*(#REF!&lt;&gt;"")</formula>
    </cfRule>
  </conditionalFormatting>
  <conditionalFormatting sqref="J761">
    <cfRule type="expression" dxfId="1" priority="4199">
      <formula>(#REF!&lt;&gt;"")*(J$1&lt;&gt;"")</formula>
    </cfRule>
  </conditionalFormatting>
  <conditionalFormatting sqref="M761">
    <cfRule type="expression" dxfId="0" priority="4200">
      <formula>(#REF!&lt;&gt;"")*(#REF!&lt;&gt;"")</formula>
    </cfRule>
  </conditionalFormatting>
  <conditionalFormatting sqref="H795">
    <cfRule type="expression" dxfId="0" priority="4953">
      <formula>(#REF!&lt;&gt;"")*(H$1&lt;&gt;"")</formula>
    </cfRule>
  </conditionalFormatting>
  <conditionalFormatting sqref="N795">
    <cfRule type="expression" dxfId="0" priority="4954">
      <formula>(#REF!&lt;&gt;"")*(N$1&lt;&gt;"")</formula>
    </cfRule>
  </conditionalFormatting>
  <conditionalFormatting sqref="H796">
    <cfRule type="expression" dxfId="0" priority="4208">
      <formula>(#REF!&lt;&gt;"")*(H$1&lt;&gt;"")</formula>
    </cfRule>
  </conditionalFormatting>
  <conditionalFormatting sqref="N796">
    <cfRule type="expression" dxfId="0" priority="4209">
      <formula>(#REF!&lt;&gt;"")*(N$1&lt;&gt;"")</formula>
    </cfRule>
  </conditionalFormatting>
  <conditionalFormatting sqref="O796:P796">
    <cfRule type="expression" dxfId="0" priority="4207">
      <formula>(#REF!&lt;&gt;"")*(O$1&lt;&gt;"")</formula>
    </cfRule>
  </conditionalFormatting>
  <conditionalFormatting sqref="Q796:R796">
    <cfRule type="expression" dxfId="0" priority="4211">
      <formula>(#REF!&lt;&gt;"")*(Q$1&lt;&gt;"")</formula>
    </cfRule>
  </conditionalFormatting>
  <conditionalFormatting sqref="H797">
    <cfRule type="expression" dxfId="0" priority="4176">
      <formula>(#REF!&lt;&gt;"")*(H$1&lt;&gt;"")</formula>
    </cfRule>
  </conditionalFormatting>
  <conditionalFormatting sqref="O797:P797">
    <cfRule type="expression" dxfId="0" priority="4175">
      <formula>(#REF!&lt;&gt;"")*(O$1&lt;&gt;"")</formula>
    </cfRule>
  </conditionalFormatting>
  <conditionalFormatting sqref="Q797:R797">
    <cfRule type="expression" dxfId="0" priority="4178">
      <formula>(#REF!&lt;&gt;"")*(Q$1&lt;&gt;"")</formula>
    </cfRule>
  </conditionalFormatting>
  <conditionalFormatting sqref="M798">
    <cfRule type="expression" dxfId="0" priority="5006">
      <formula>(#REF!&lt;&gt;"")*(#REF!&lt;&gt;"")</formula>
    </cfRule>
  </conditionalFormatting>
  <conditionalFormatting sqref="Q798">
    <cfRule type="expression" dxfId="0" priority="5005">
      <formula>(#REF!&lt;&gt;"")*(#REF!&lt;&gt;"")</formula>
    </cfRule>
  </conditionalFormatting>
  <conditionalFormatting sqref="Q799">
    <cfRule type="expression" dxfId="0" priority="5003">
      <formula>(#REF!&lt;&gt;"")*(#REF!&lt;&gt;"")</formula>
    </cfRule>
  </conditionalFormatting>
  <conditionalFormatting sqref="Q800">
    <cfRule type="expression" dxfId="0" priority="5007">
      <formula>(#REF!&lt;&gt;"")*(#REF!&lt;&gt;"")</formula>
    </cfRule>
  </conditionalFormatting>
  <conditionalFormatting sqref="H801">
    <cfRule type="expression" dxfId="0" priority="4174">
      <formula>(#REF!&lt;&gt;"")*(H$1&lt;&gt;"")</formula>
    </cfRule>
  </conditionalFormatting>
  <conditionalFormatting sqref="M801">
    <cfRule type="expression" dxfId="0" priority="4172">
      <formula>(#REF!&lt;&gt;"")*(#REF!&lt;&gt;"")</formula>
    </cfRule>
  </conditionalFormatting>
  <conditionalFormatting sqref="Q801">
    <cfRule type="expression" dxfId="0" priority="4173">
      <formula>(#REF!&lt;&gt;"")*(#REF!&lt;&gt;"")</formula>
    </cfRule>
  </conditionalFormatting>
  <conditionalFormatting sqref="H805">
    <cfRule type="expression" dxfId="0" priority="4169">
      <formula>(#REF!&lt;&gt;"")*(H$1&lt;&gt;"")</formula>
    </cfRule>
  </conditionalFormatting>
  <conditionalFormatting sqref="Q806">
    <cfRule type="expression" dxfId="0" priority="4105">
      <formula>(#REF!&lt;&gt;"")*(#REF!&lt;&gt;"")</formula>
    </cfRule>
  </conditionalFormatting>
  <conditionalFormatting sqref="T806">
    <cfRule type="expression" dxfId="0" priority="4773">
      <formula>(#REF!&lt;&gt;"")*(#REF!&lt;&gt;"")</formula>
    </cfRule>
  </conditionalFormatting>
  <conditionalFormatting sqref="M814">
    <cfRule type="expression" dxfId="0" priority="4958">
      <formula>(#REF!&lt;&gt;"")*(#REF!&lt;&gt;"")</formula>
    </cfRule>
  </conditionalFormatting>
  <conditionalFormatting sqref="M815">
    <cfRule type="expression" dxfId="0" priority="4999">
      <formula>(#REF!&lt;&gt;"")*(#REF!&lt;&gt;"")</formula>
    </cfRule>
  </conditionalFormatting>
  <conditionalFormatting sqref="M816">
    <cfRule type="expression" dxfId="0" priority="4785">
      <formula>(#REF!&lt;&gt;"")*(#REF!&lt;&gt;"")</formula>
    </cfRule>
  </conditionalFormatting>
  <conditionalFormatting sqref="M817">
    <cfRule type="expression" dxfId="0" priority="4784">
      <formula>(#REF!&lt;&gt;"")*(#REF!&lt;&gt;"")</formula>
    </cfRule>
  </conditionalFormatting>
  <conditionalFormatting sqref="M818">
    <cfRule type="expression" dxfId="0" priority="4998">
      <formula>(#REF!&lt;&gt;"")*(#REF!&lt;&gt;"")</formula>
    </cfRule>
  </conditionalFormatting>
  <conditionalFormatting sqref="H819">
    <cfRule type="expression" dxfId="0" priority="4168">
      <formula>(#REF!&lt;&gt;"")*(H$1&lt;&gt;"")</formula>
    </cfRule>
  </conditionalFormatting>
  <conditionalFormatting sqref="K819">
    <cfRule type="expression" dxfId="0" priority="4166">
      <formula>(#REF!&lt;&gt;"")*(#REF!&lt;&gt;"")</formula>
    </cfRule>
    <cfRule type="expression" dxfId="1" priority="4167">
      <formula>(#REF!&lt;&gt;"")*(K$1&lt;&gt;"")</formula>
    </cfRule>
  </conditionalFormatting>
  <conditionalFormatting sqref="M819">
    <cfRule type="expression" dxfId="0" priority="4165">
      <formula>(#REF!&lt;&gt;"")*(#REF!&lt;&gt;"")</formula>
    </cfRule>
  </conditionalFormatting>
  <conditionalFormatting sqref="H820">
    <cfRule type="expression" dxfId="0" priority="4136">
      <formula>(#REF!&lt;&gt;"")*(H$1&lt;&gt;"")</formula>
    </cfRule>
  </conditionalFormatting>
  <conditionalFormatting sqref="K820">
    <cfRule type="expression" dxfId="1" priority="4135">
      <formula>(#REF!&lt;&gt;"")*(K$1&lt;&gt;"")</formula>
    </cfRule>
    <cfRule type="expression" dxfId="0" priority="4134">
      <formula>(#REF!&lt;&gt;"")*(#REF!&lt;&gt;"")</formula>
    </cfRule>
  </conditionalFormatting>
  <conditionalFormatting sqref="M820">
    <cfRule type="expression" dxfId="0" priority="4133">
      <formula>(#REF!&lt;&gt;"")*(#REF!&lt;&gt;"")</formula>
    </cfRule>
  </conditionalFormatting>
  <conditionalFormatting sqref="M821">
    <cfRule type="expression" dxfId="0" priority="4996">
      <formula>(#REF!&lt;&gt;"")*(#REF!&lt;&gt;"")</formula>
    </cfRule>
  </conditionalFormatting>
  <conditionalFormatting sqref="M822">
    <cfRule type="expression" dxfId="0" priority="4994">
      <formula>(#REF!&lt;&gt;"")*(#REF!&lt;&gt;"")</formula>
    </cfRule>
  </conditionalFormatting>
  <conditionalFormatting sqref="M823">
    <cfRule type="expression" dxfId="0" priority="4993">
      <formula>(#REF!&lt;&gt;"")*(#REF!&lt;&gt;"")</formula>
    </cfRule>
  </conditionalFormatting>
  <conditionalFormatting sqref="M824">
    <cfRule type="expression" dxfId="0" priority="4992">
      <formula>(#REF!&lt;&gt;"")*(#REF!&lt;&gt;"")</formula>
    </cfRule>
  </conditionalFormatting>
  <conditionalFormatting sqref="M825">
    <cfRule type="expression" dxfId="0" priority="4991">
      <formula>(#REF!&lt;&gt;"")*(#REF!&lt;&gt;"")</formula>
    </cfRule>
  </conditionalFormatting>
  <conditionalFormatting sqref="M828">
    <cfRule type="expression" dxfId="0" priority="5000">
      <formula>(#REF!&lt;&gt;"")*(#REF!&lt;&gt;"")</formula>
    </cfRule>
  </conditionalFormatting>
  <conditionalFormatting sqref="M836">
    <cfRule type="expression" dxfId="1" priority="4978">
      <formula>(#REF!&lt;&gt;"")*(M$1&lt;&gt;"")</formula>
    </cfRule>
    <cfRule type="expression" dxfId="0" priority="4977">
      <formula>(#REF!&lt;&gt;"")*(#REF!&lt;&gt;"")</formula>
    </cfRule>
  </conditionalFormatting>
  <conditionalFormatting sqref="O836:P836">
    <cfRule type="expression" dxfId="1" priority="4976">
      <formula>(#REF!&lt;&gt;"")*(O$1&lt;&gt;"")</formula>
    </cfRule>
  </conditionalFormatting>
  <conditionalFormatting sqref="Q836">
    <cfRule type="expression" dxfId="1" priority="4980">
      <formula>(#REF!&lt;&gt;"")*(#REF!&lt;&gt;"")</formula>
    </cfRule>
  </conditionalFormatting>
  <conditionalFormatting sqref="H837">
    <cfRule type="expression" dxfId="0" priority="4156">
      <formula>(#REF!&lt;&gt;"")*(H$1&lt;&gt;"")</formula>
    </cfRule>
  </conditionalFormatting>
  <conditionalFormatting sqref="M837">
    <cfRule type="expression" dxfId="1" priority="4152">
      <formula>(#REF!&lt;&gt;"")*(M$1&lt;&gt;"")</formula>
    </cfRule>
    <cfRule type="expression" dxfId="0" priority="4151">
      <formula>(#REF!&lt;&gt;"")*(#REF!&lt;&gt;"")</formula>
    </cfRule>
  </conditionalFormatting>
  <conditionalFormatting sqref="Q837">
    <cfRule type="expression" dxfId="1" priority="4158">
      <formula>(#REF!&lt;&gt;"")*(#REF!&lt;&gt;"")</formula>
    </cfRule>
    <cfRule type="expression" dxfId="1" priority="4154">
      <formula>(#REF!&lt;&gt;"")*(#REF!&lt;&gt;"")</formula>
    </cfRule>
  </conditionalFormatting>
  <conditionalFormatting sqref="H838">
    <cfRule type="expression" dxfId="0" priority="4148">
      <formula>(#REF!&lt;&gt;"")*(H$1&lt;&gt;"")</formula>
    </cfRule>
  </conditionalFormatting>
  <conditionalFormatting sqref="K838">
    <cfRule type="expression" dxfId="0" priority="4146">
      <formula>(#REF!&lt;&gt;"")*(#REF!&lt;&gt;"")</formula>
    </cfRule>
  </conditionalFormatting>
  <conditionalFormatting sqref="M838">
    <cfRule type="expression" dxfId="1" priority="4145">
      <formula>(#REF!&lt;&gt;"")*(M$1&lt;&gt;"")</formula>
    </cfRule>
    <cfRule type="expression" dxfId="0" priority="4144">
      <formula>(#REF!&lt;&gt;"")*(#REF!&lt;&gt;"")</formula>
    </cfRule>
  </conditionalFormatting>
  <conditionalFormatting sqref="H839">
    <cfRule type="expression" dxfId="0" priority="4141">
      <formula>(#REF!&lt;&gt;"")*(H$1&lt;&gt;"")</formula>
    </cfRule>
  </conditionalFormatting>
  <conditionalFormatting sqref="K839">
    <cfRule type="expression" dxfId="0" priority="4139">
      <formula>(#REF!&lt;&gt;"")*(#REF!&lt;&gt;"")</formula>
    </cfRule>
  </conditionalFormatting>
  <conditionalFormatting sqref="M839">
    <cfRule type="expression" dxfId="1" priority="4138">
      <formula>(#REF!&lt;&gt;"")*(M$1&lt;&gt;"")</formula>
    </cfRule>
    <cfRule type="expression" dxfId="0" priority="4137">
      <formula>(#REF!&lt;&gt;"")*(#REF!&lt;&gt;"")</formula>
    </cfRule>
  </conditionalFormatting>
  <conditionalFormatting sqref="H840">
    <cfRule type="expression" dxfId="0" priority="4101">
      <formula>(#REF!&lt;&gt;"")*(H$1&lt;&gt;"")</formula>
    </cfRule>
  </conditionalFormatting>
  <conditionalFormatting sqref="K840">
    <cfRule type="expression" dxfId="0" priority="4099">
      <formula>(#REF!&lt;&gt;"")*(#REF!&lt;&gt;"")</formula>
    </cfRule>
  </conditionalFormatting>
  <conditionalFormatting sqref="M840">
    <cfRule type="expression" dxfId="1" priority="4098">
      <formula>(#REF!&lt;&gt;"")*(M$1&lt;&gt;"")</formula>
    </cfRule>
    <cfRule type="expression" dxfId="0" priority="4097">
      <formula>(#REF!&lt;&gt;"")*(#REF!&lt;&gt;"")</formula>
    </cfRule>
  </conditionalFormatting>
  <conditionalFormatting sqref="H841">
    <cfRule type="expression" dxfId="0" priority="4094">
      <formula>(#REF!&lt;&gt;"")*(H$1&lt;&gt;"")</formula>
    </cfRule>
  </conditionalFormatting>
  <conditionalFormatting sqref="K841">
    <cfRule type="expression" dxfId="1" priority="4077">
      <formula>(#REF!&lt;&gt;"")*(K$1&lt;&gt;"")</formula>
    </cfRule>
    <cfRule type="expression" dxfId="0" priority="4076">
      <formula>(#REF!&lt;&gt;"")*(#REF!&lt;&gt;"")</formula>
    </cfRule>
    <cfRule type="expression" dxfId="1" priority="4075">
      <formula>(#REF!&lt;&gt;"")*(K$1&lt;&gt;"")</formula>
    </cfRule>
    <cfRule type="expression" dxfId="0" priority="4074">
      <formula>(#REF!&lt;&gt;"")*(#REF!&lt;&gt;"")</formula>
    </cfRule>
  </conditionalFormatting>
  <conditionalFormatting sqref="M841">
    <cfRule type="expression" dxfId="0" priority="4095">
      <formula>(#REF!&lt;&gt;"")*(#REF!&lt;&gt;"")</formula>
    </cfRule>
    <cfRule type="expression" dxfId="1" priority="4092">
      <formula>(#REF!&lt;&gt;"")*(M$1&lt;&gt;"")</formula>
    </cfRule>
    <cfRule type="expression" dxfId="0" priority="4091">
      <formula>(#REF!&lt;&gt;"")*(#REF!&lt;&gt;"")</formula>
    </cfRule>
  </conditionalFormatting>
  <conditionalFormatting sqref="O841:P841">
    <cfRule type="expression" dxfId="1" priority="4090">
      <formula>(#REF!&lt;&gt;"")*(O$1&lt;&gt;"")</formula>
    </cfRule>
    <cfRule type="expression" dxfId="1" priority="4089">
      <formula>(#REF!&lt;&gt;"")*(O$1&lt;&gt;"")</formula>
    </cfRule>
  </conditionalFormatting>
  <conditionalFormatting sqref="H842">
    <cfRule type="expression" dxfId="0" priority="4009">
      <formula>(#REF!&lt;&gt;"")*(H$1&lt;&gt;"")</formula>
    </cfRule>
  </conditionalFormatting>
  <conditionalFormatting sqref="K842">
    <cfRule type="expression" dxfId="1" priority="4003">
      <formula>(#REF!&lt;&gt;"")*(K$1&lt;&gt;"")</formula>
    </cfRule>
    <cfRule type="expression" dxfId="0" priority="4002">
      <formula>(#REF!&lt;&gt;"")*(#REF!&lt;&gt;"")</formula>
    </cfRule>
    <cfRule type="expression" dxfId="1" priority="4001">
      <formula>(#REF!&lt;&gt;"")*(K$1&lt;&gt;"")</formula>
    </cfRule>
    <cfRule type="expression" dxfId="0" priority="4000">
      <formula>(#REF!&lt;&gt;"")*(#REF!&lt;&gt;"")</formula>
    </cfRule>
  </conditionalFormatting>
  <conditionalFormatting sqref="M842">
    <cfRule type="expression" dxfId="0" priority="4010">
      <formula>(#REF!&lt;&gt;"")*(#REF!&lt;&gt;"")</formula>
    </cfRule>
    <cfRule type="expression" dxfId="1" priority="4007">
      <formula>(#REF!&lt;&gt;"")*(M$1&lt;&gt;"")</formula>
    </cfRule>
    <cfRule type="expression" dxfId="0" priority="4006">
      <formula>(#REF!&lt;&gt;"")*(#REF!&lt;&gt;"")</formula>
    </cfRule>
  </conditionalFormatting>
  <conditionalFormatting sqref="O842:P842">
    <cfRule type="expression" dxfId="1" priority="4005">
      <formula>(#REF!&lt;&gt;"")*(O$1&lt;&gt;"")</formula>
    </cfRule>
    <cfRule type="expression" dxfId="1" priority="4004">
      <formula>(#REF!&lt;&gt;"")*(O$1&lt;&gt;"")</formula>
    </cfRule>
  </conditionalFormatting>
  <conditionalFormatting sqref="M843">
    <cfRule type="expression" dxfId="1" priority="4969">
      <formula>(#REF!&lt;&gt;"")*(M$1&lt;&gt;"")</formula>
    </cfRule>
    <cfRule type="expression" dxfId="0" priority="4968">
      <formula>(#REF!&lt;&gt;"")*(#REF!&lt;&gt;"")</formula>
    </cfRule>
  </conditionalFormatting>
  <conditionalFormatting sqref="O843:P843">
    <cfRule type="expression" dxfId="1" priority="4967">
      <formula>(#REF!&lt;&gt;"")*(O$1&lt;&gt;"")</formula>
    </cfRule>
  </conditionalFormatting>
  <conditionalFormatting sqref="Q843">
    <cfRule type="expression" dxfId="1" priority="4974">
      <formula>(#REF!&lt;&gt;"")*(#REF!&lt;&gt;"")</formula>
    </cfRule>
    <cfRule type="expression" dxfId="1" priority="4971">
      <formula>(#REF!&lt;&gt;"")*(#REF!&lt;&gt;"")</formula>
    </cfRule>
  </conditionalFormatting>
  <conditionalFormatting sqref="Q846">
    <cfRule type="expression" dxfId="0" priority="3960">
      <formula>(#REF!&lt;&gt;"")*(#REF!&lt;&gt;"")</formula>
    </cfRule>
    <cfRule type="expression" dxfId="1" priority="3959">
      <formula>(#REF!&lt;&gt;"")*(#REF!&lt;&gt;"")</formula>
    </cfRule>
  </conditionalFormatting>
  <conditionalFormatting sqref="Q847">
    <cfRule type="expression" dxfId="0" priority="3957">
      <formula>(#REF!&lt;&gt;"")*(#REF!&lt;&gt;"")</formula>
    </cfRule>
    <cfRule type="expression" dxfId="1" priority="3956">
      <formula>(#REF!&lt;&gt;"")*(#REF!&lt;&gt;"")</formula>
    </cfRule>
  </conditionalFormatting>
  <conditionalFormatting sqref="H849">
    <cfRule type="expression" dxfId="0" priority="3984">
      <formula>(#REF!&lt;&gt;"")*(H$1&lt;&gt;"")</formula>
    </cfRule>
  </conditionalFormatting>
  <conditionalFormatting sqref="M849">
    <cfRule type="expression" dxfId="0" priority="3986">
      <formula>(#REF!&lt;&gt;"")*(#REF!&lt;&gt;"")</formula>
    </cfRule>
    <cfRule type="expression" dxfId="0" priority="3985">
      <formula>(#REF!&lt;&gt;"")*(#REF!&lt;&gt;"")</formula>
    </cfRule>
  </conditionalFormatting>
  <conditionalFormatting sqref="Q854">
    <cfRule type="expression" dxfId="0" priority="4123">
      <formula>(#REF!&lt;&gt;"")*(#REF!&lt;&gt;"")</formula>
    </cfRule>
    <cfRule type="expression" dxfId="1" priority="4122">
      <formula>(#REF!&lt;&gt;"")*(#REF!&lt;&gt;"")</formula>
    </cfRule>
  </conditionalFormatting>
  <conditionalFormatting sqref="Q856">
    <cfRule type="expression" dxfId="0" priority="4055">
      <formula>(#REF!&lt;&gt;"")*(#REF!&lt;&gt;"")</formula>
    </cfRule>
    <cfRule type="expression" dxfId="1" priority="4054">
      <formula>(#REF!&lt;&gt;"")*(#REF!&lt;&gt;"")</formula>
    </cfRule>
  </conditionalFormatting>
  <conditionalFormatting sqref="Q857">
    <cfRule type="expression" dxfId="0" priority="4521">
      <formula>(#REF!&lt;&gt;"")*(#REF!&lt;&gt;"")</formula>
    </cfRule>
    <cfRule type="expression" dxfId="1" priority="4520">
      <formula>(#REF!&lt;&gt;"")*(#REF!&lt;&gt;"")</formula>
    </cfRule>
  </conditionalFormatting>
  <conditionalFormatting sqref="Q859">
    <cfRule type="expression" dxfId="0" priority="4121">
      <formula>(#REF!&lt;&gt;"")*(#REF!&lt;&gt;"")</formula>
    </cfRule>
    <cfRule type="expression" dxfId="1" priority="4120">
      <formula>(#REF!&lt;&gt;"")*(#REF!&lt;&gt;"")</formula>
    </cfRule>
  </conditionalFormatting>
  <conditionalFormatting sqref="Q862">
    <cfRule type="expression" dxfId="1" priority="4983">
      <formula>(#REF!&lt;&gt;"")*(#REF!&lt;&gt;"")</formula>
    </cfRule>
  </conditionalFormatting>
  <conditionalFormatting sqref="M863">
    <cfRule type="expression" dxfId="0" priority="4984">
      <formula>(#REF!&lt;&gt;"")*(#REF!&lt;&gt;"")</formula>
    </cfRule>
  </conditionalFormatting>
  <conditionalFormatting sqref="M872">
    <cfRule type="expression" dxfId="0" priority="3962">
      <formula>(#REF!&lt;&gt;"")*(#REF!&lt;&gt;"")</formula>
    </cfRule>
  </conditionalFormatting>
  <conditionalFormatting sqref="M873">
    <cfRule type="expression" dxfId="0" priority="3961">
      <formula>(#REF!&lt;&gt;"")*(#REF!&lt;&gt;"")</formula>
    </cfRule>
  </conditionalFormatting>
  <conditionalFormatting sqref="H874">
    <cfRule type="expression" dxfId="0" priority="3981">
      <formula>(#REF!&lt;&gt;"")*(H$1&lt;&gt;"")</formula>
    </cfRule>
  </conditionalFormatting>
  <conditionalFormatting sqref="M874">
    <cfRule type="expression" dxfId="0" priority="3983">
      <formula>(#REF!&lt;&gt;"")*(#REF!&lt;&gt;"")</formula>
    </cfRule>
    <cfRule type="expression" dxfId="0" priority="3982">
      <formula>(#REF!&lt;&gt;"")*(#REF!&lt;&gt;"")</formula>
    </cfRule>
  </conditionalFormatting>
  <conditionalFormatting sqref="M889">
    <cfRule type="expression" dxfId="0" priority="4704">
      <formula>(#REF!&lt;&gt;"")*(#REF!&lt;&gt;"")</formula>
    </cfRule>
  </conditionalFormatting>
  <conditionalFormatting sqref="M892">
    <cfRule type="expression" dxfId="0" priority="4703">
      <formula>(#REF!&lt;&gt;"")*(#REF!&lt;&gt;"")</formula>
    </cfRule>
  </conditionalFormatting>
  <conditionalFormatting sqref="M900">
    <cfRule type="expression" dxfId="0" priority="4783">
      <formula>(#REF!&lt;&gt;"")*(#REF!&lt;&gt;"")</formula>
    </cfRule>
  </conditionalFormatting>
  <conditionalFormatting sqref="M902">
    <cfRule type="expression" dxfId="0" priority="4775">
      <formula>(#REF!&lt;&gt;"")*(#REF!&lt;&gt;"")</formula>
    </cfRule>
  </conditionalFormatting>
  <conditionalFormatting sqref="M903">
    <cfRule type="expression" dxfId="0" priority="4774">
      <formula>(#REF!&lt;&gt;"")*(#REF!&lt;&gt;"")</formula>
    </cfRule>
  </conditionalFormatting>
  <conditionalFormatting sqref="M905">
    <cfRule type="expression" dxfId="0" priority="4162">
      <formula>(#REF!&lt;&gt;"")*(#REF!&lt;&gt;"")</formula>
    </cfRule>
  </conditionalFormatting>
  <conditionalFormatting sqref="M912">
    <cfRule type="expression" dxfId="0" priority="4555">
      <formula>(#REF!&lt;&gt;"")*(#REF!&lt;&gt;"")</formula>
    </cfRule>
  </conditionalFormatting>
  <conditionalFormatting sqref="M914">
    <cfRule type="expression" dxfId="0" priority="4556">
      <formula>(#REF!&lt;&gt;"")*(#REF!&lt;&gt;"")</formula>
    </cfRule>
  </conditionalFormatting>
  <conditionalFormatting sqref="M916">
    <cfRule type="expression" dxfId="0" priority="4779">
      <formula>(#REF!&lt;&gt;"")*(#REF!&lt;&gt;"")</formula>
    </cfRule>
  </conditionalFormatting>
  <conditionalFormatting sqref="M918">
    <cfRule type="expression" dxfId="0" priority="4778">
      <formula>(#REF!&lt;&gt;"")*(#REF!&lt;&gt;"")</formula>
    </cfRule>
  </conditionalFormatting>
  <conditionalFormatting sqref="H963">
    <cfRule type="expression" dxfId="0" priority="3978">
      <formula>(#REF!&lt;&gt;"")*(H$1&lt;&gt;"")</formula>
    </cfRule>
  </conditionalFormatting>
  <conditionalFormatting sqref="M963">
    <cfRule type="expression" dxfId="0" priority="3980">
      <formula>(#REF!&lt;&gt;"")*(#REF!&lt;&gt;"")</formula>
    </cfRule>
    <cfRule type="expression" dxfId="0" priority="3979">
      <formula>(#REF!&lt;&gt;"")*(#REF!&lt;&gt;"")</formula>
    </cfRule>
  </conditionalFormatting>
  <conditionalFormatting sqref="M972">
    <cfRule type="expression" dxfId="0" priority="4946">
      <formula>(#REF!&lt;&gt;"")*(#REF!&lt;&gt;"")</formula>
    </cfRule>
  </conditionalFormatting>
  <conditionalFormatting sqref="M973">
    <cfRule type="expression" dxfId="0" priority="4161">
      <formula>(#REF!&lt;&gt;"")*(#REF!&lt;&gt;"")</formula>
    </cfRule>
  </conditionalFormatting>
  <conditionalFormatting sqref="M974">
    <cfRule type="expression" dxfId="0" priority="4160">
      <formula>(#REF!&lt;&gt;"")*(#REF!&lt;&gt;"")</formula>
    </cfRule>
  </conditionalFormatting>
  <conditionalFormatting sqref="M975">
    <cfRule type="expression" dxfId="0" priority="4945">
      <formula>(#REF!&lt;&gt;"")*(#REF!&lt;&gt;"")</formula>
    </cfRule>
  </conditionalFormatting>
  <conditionalFormatting sqref="A985">
    <cfRule type="expression" dxfId="0" priority="4702">
      <formula>(#REF!&lt;&gt;"")*(#REF!&lt;&gt;"")</formula>
    </cfRule>
  </conditionalFormatting>
  <conditionalFormatting sqref="M985">
    <cfRule type="expression" dxfId="0" priority="4700">
      <formula>(#REF!&lt;&gt;"")*(#REF!&lt;&gt;"")</formula>
    </cfRule>
  </conditionalFormatting>
  <conditionalFormatting sqref="N985">
    <cfRule type="expression" dxfId="0" priority="4696">
      <formula>(#REF!&lt;&gt;"")*(#REF!&lt;&gt;"")</formula>
    </cfRule>
    <cfRule type="expression" dxfId="0" priority="4695">
      <formula>(#REF!&lt;&gt;"")*(#REF!&lt;&gt;"")</formula>
    </cfRule>
  </conditionalFormatting>
  <conditionalFormatting sqref="O985">
    <cfRule type="expression" dxfId="0" priority="4697">
      <formula>(#REF!&lt;&gt;"")*(#REF!&lt;&gt;"")</formula>
    </cfRule>
  </conditionalFormatting>
  <conditionalFormatting sqref="P985:Q985">
    <cfRule type="expression" dxfId="1" priority="4699">
      <formula>(#REF!&lt;&gt;"")*(#REF!&lt;&gt;"")</formula>
    </cfRule>
  </conditionalFormatting>
  <conditionalFormatting sqref="A987">
    <cfRule type="expression" dxfId="0" priority="4694">
      <formula>(#REF!&lt;&gt;"")*(#REF!&lt;&gt;"")</formula>
    </cfRule>
  </conditionalFormatting>
  <conditionalFormatting sqref="M987">
    <cfRule type="expression" dxfId="0" priority="4692">
      <formula>(#REF!&lt;&gt;"")*(#REF!&lt;&gt;"")</formula>
    </cfRule>
  </conditionalFormatting>
  <conditionalFormatting sqref="N987">
    <cfRule type="expression" dxfId="0" priority="4662">
      <formula>(#REF!&lt;&gt;"")*(#REF!&lt;&gt;"")</formula>
    </cfRule>
    <cfRule type="expression" dxfId="0" priority="4661">
      <formula>(#REF!&lt;&gt;"")*(#REF!&lt;&gt;"")</formula>
    </cfRule>
  </conditionalFormatting>
  <conditionalFormatting sqref="O987">
    <cfRule type="expression" dxfId="0" priority="4689">
      <formula>(#REF!&lt;&gt;"")*(#REF!&lt;&gt;"")</formula>
    </cfRule>
  </conditionalFormatting>
  <conditionalFormatting sqref="P987:Q987">
    <cfRule type="expression" dxfId="1" priority="4691">
      <formula>(#REF!&lt;&gt;"")*(#REF!&lt;&gt;"")</formula>
    </cfRule>
  </conditionalFormatting>
  <conditionalFormatting sqref="A989">
    <cfRule type="expression" dxfId="0" priority="4566">
      <formula>(#REF!&lt;&gt;"")*(#REF!&lt;&gt;"")</formula>
    </cfRule>
  </conditionalFormatting>
  <conditionalFormatting sqref="M989">
    <cfRule type="expression" dxfId="0" priority="4564">
      <formula>(#REF!&lt;&gt;"")*(#REF!&lt;&gt;"")</formula>
    </cfRule>
  </conditionalFormatting>
  <conditionalFormatting sqref="N989">
    <cfRule type="expression" dxfId="0" priority="4560">
      <formula>(#REF!&lt;&gt;"")*(#REF!&lt;&gt;"")</formula>
    </cfRule>
    <cfRule type="expression" dxfId="0" priority="4559">
      <formula>(#REF!&lt;&gt;"")*(#REF!&lt;&gt;"")</formula>
    </cfRule>
  </conditionalFormatting>
  <conditionalFormatting sqref="O989">
    <cfRule type="expression" dxfId="0" priority="4561">
      <formula>(#REF!&lt;&gt;"")*(#REF!&lt;&gt;"")</formula>
    </cfRule>
  </conditionalFormatting>
  <conditionalFormatting sqref="P989:Q989">
    <cfRule type="expression" dxfId="1" priority="4563">
      <formula>(#REF!&lt;&gt;"")*(#REF!&lt;&gt;"")</formula>
    </cfRule>
  </conditionalFormatting>
  <conditionalFormatting sqref="N990">
    <cfRule type="expression" dxfId="0" priority="4558">
      <formula>(#REF!&lt;&gt;"")*(#REF!&lt;&gt;"")</formula>
    </cfRule>
    <cfRule type="expression" dxfId="0" priority="4557">
      <formula>(#REF!&lt;&gt;"")*(#REF!&lt;&gt;"")</formula>
    </cfRule>
  </conditionalFormatting>
  <conditionalFormatting sqref="P990:Q990">
    <cfRule type="expression" dxfId="1" priority="4567">
      <formula>(#REF!&lt;&gt;"")*(#REF!&lt;&gt;"")</formula>
    </cfRule>
  </conditionalFormatting>
  <conditionalFormatting sqref="N991">
    <cfRule type="expression" dxfId="0" priority="4933">
      <formula>(#REF!&lt;&gt;"")*(#REF!&lt;&gt;"")</formula>
    </cfRule>
  </conditionalFormatting>
  <conditionalFormatting sqref="P991:Q991">
    <cfRule type="expression" dxfId="0" priority="4934">
      <formula>(#REF!&lt;&gt;"")*(#REF!&lt;&gt;"")</formula>
    </cfRule>
  </conditionalFormatting>
  <conditionalFormatting sqref="M994">
    <cfRule type="expression" dxfId="0" priority="4891">
      <formula>(#REF!&lt;&gt;"")*(#REF!&lt;&gt;"")</formula>
    </cfRule>
  </conditionalFormatting>
  <conditionalFormatting sqref="N994">
    <cfRule type="expression" dxfId="0" priority="4892">
      <formula>(#REF!&lt;&gt;"")*(#REF!&lt;&gt;"")</formula>
    </cfRule>
  </conditionalFormatting>
  <conditionalFormatting sqref="O994">
    <cfRule type="expression" dxfId="0" priority="4883">
      <formula>(#REF!&lt;&gt;"")*(#REF!&lt;&gt;"")</formula>
    </cfRule>
    <cfRule type="expression" dxfId="0" priority="4882">
      <formula>(#REF!&lt;&gt;"")*(#REF!&lt;&gt;"")</formula>
    </cfRule>
  </conditionalFormatting>
  <conditionalFormatting sqref="P994:Q994">
    <cfRule type="expression" dxfId="1" priority="4894">
      <formula>(#REF!&lt;&gt;"")*(#REF!&lt;&gt;"")</formula>
    </cfRule>
    <cfRule type="expression" dxfId="0" priority="4890">
      <formula>(#REF!&lt;&gt;"")*(#REF!&lt;&gt;"")</formula>
    </cfRule>
  </conditionalFormatting>
  <conditionalFormatting sqref="R994">
    <cfRule type="expression" dxfId="0" priority="4895">
      <formula>(#REF!&lt;&gt;"")*(#REF!&lt;&gt;"")</formula>
    </cfRule>
  </conditionalFormatting>
  <conditionalFormatting sqref="M995">
    <cfRule type="expression" dxfId="0" priority="4885">
      <formula>(#REF!&lt;&gt;"")*(#REF!&lt;&gt;"")</formula>
    </cfRule>
  </conditionalFormatting>
  <conditionalFormatting sqref="N995:O995">
    <cfRule type="expression" dxfId="0" priority="4886">
      <formula>(#REF!&lt;&gt;"")*(#REF!&lt;&gt;"")</formula>
    </cfRule>
  </conditionalFormatting>
  <conditionalFormatting sqref="P995:Q995">
    <cfRule type="expression" dxfId="1" priority="4888">
      <formula>(#REF!&lt;&gt;"")*(#REF!&lt;&gt;"")</formula>
    </cfRule>
    <cfRule type="expression" dxfId="0" priority="4884">
      <formula>(#REF!&lt;&gt;"")*(#REF!&lt;&gt;"")</formula>
    </cfRule>
  </conditionalFormatting>
  <conditionalFormatting sqref="R995">
    <cfRule type="expression" dxfId="0" priority="4889">
      <formula>(#REF!&lt;&gt;"")*(#REF!&lt;&gt;"")</formula>
    </cfRule>
  </conditionalFormatting>
  <conditionalFormatting sqref="C999">
    <cfRule type="expression" dxfId="0" priority="4925">
      <formula>(#REF!&lt;&gt;"")*(#REF!&lt;&gt;"")</formula>
    </cfRule>
  </conditionalFormatting>
  <conditionalFormatting sqref="O999">
    <cfRule type="expression" dxfId="0" priority="4922">
      <formula>(#REF!&lt;&gt;"")*(#REF!&lt;&gt;"")</formula>
    </cfRule>
  </conditionalFormatting>
  <conditionalFormatting sqref="P999">
    <cfRule type="expression" dxfId="0" priority="4923">
      <formula>(#REF!&lt;&gt;"")*(#REF!&lt;&gt;"")</formula>
    </cfRule>
  </conditionalFormatting>
  <conditionalFormatting sqref="C1000">
    <cfRule type="expression" dxfId="0" priority="4539">
      <formula>(#REF!&lt;&gt;"")*(#REF!&lt;&gt;"")</formula>
    </cfRule>
  </conditionalFormatting>
  <conditionalFormatting sqref="G1000">
    <cfRule type="expression" dxfId="0" priority="4540">
      <formula>(#REF!&lt;&gt;"")*(#REF!&lt;&gt;"")</formula>
    </cfRule>
  </conditionalFormatting>
  <conditionalFormatting sqref="N1000">
    <cfRule type="expression" dxfId="0" priority="4543">
      <formula>(#REF!&lt;&gt;"")*(#REF!&lt;&gt;"")</formula>
    </cfRule>
  </conditionalFormatting>
  <conditionalFormatting sqref="O1000">
    <cfRule type="expression" dxfId="0" priority="4537">
      <formula>(#REF!&lt;&gt;"")*(#REF!&lt;&gt;"")</formula>
    </cfRule>
  </conditionalFormatting>
  <conditionalFormatting sqref="P1000:Q1000">
    <cfRule type="expression" dxfId="1" priority="4545">
      <formula>(#REF!&lt;&gt;"")*(#REF!&lt;&gt;"")</formula>
    </cfRule>
  </conditionalFormatting>
  <conditionalFormatting sqref="P1000">
    <cfRule type="expression" dxfId="0" priority="4538">
      <formula>(#REF!&lt;&gt;"")*(#REF!&lt;&gt;"")</formula>
    </cfRule>
  </conditionalFormatting>
  <conditionalFormatting sqref="Q1000">
    <cfRule type="expression" dxfId="0" priority="4542">
      <formula>(#REF!&lt;&gt;"")*(#REF!&lt;&gt;"")</formula>
    </cfRule>
  </conditionalFormatting>
  <conditionalFormatting sqref="R1000">
    <cfRule type="expression" dxfId="0" priority="4536">
      <formula>(#REF!&lt;&gt;"")*(#REF!&lt;&gt;"")</formula>
    </cfRule>
  </conditionalFormatting>
  <conditionalFormatting sqref="C1001">
    <cfRule type="expression" dxfId="0" priority="4924">
      <formula>(#REF!&lt;&gt;"")*(#REF!&lt;&gt;"")</formula>
    </cfRule>
  </conditionalFormatting>
  <conditionalFormatting sqref="O1001">
    <cfRule type="expression" dxfId="0" priority="4920">
      <formula>(#REF!&lt;&gt;"")*(#REF!&lt;&gt;"")</formula>
    </cfRule>
  </conditionalFormatting>
  <conditionalFormatting sqref="P1001">
    <cfRule type="expression" dxfId="0" priority="4921">
      <formula>(#REF!&lt;&gt;"")*(#REF!&lt;&gt;"")</formula>
    </cfRule>
  </conditionalFormatting>
  <conditionalFormatting sqref="A1002">
    <cfRule type="expression" dxfId="0" priority="4535">
      <formula>(#REF!&lt;&gt;"")*(#REF!&lt;&gt;"")</formula>
    </cfRule>
  </conditionalFormatting>
  <conditionalFormatting sqref="C1002">
    <cfRule type="expression" dxfId="0" priority="4527">
      <formula>(#REF!&lt;&gt;"")*(#REF!&lt;&gt;"")</formula>
    </cfRule>
  </conditionalFormatting>
  <conditionalFormatting sqref="G1002">
    <cfRule type="expression" dxfId="0" priority="4530">
      <formula>(#REF!&lt;&gt;"")*(#REF!&lt;&gt;"")</formula>
    </cfRule>
  </conditionalFormatting>
  <conditionalFormatting sqref="H1002">
    <cfRule type="expression" dxfId="0" priority="4528">
      <formula>(#REF!&lt;&gt;"")*(#REF!&lt;&gt;"")</formula>
    </cfRule>
  </conditionalFormatting>
  <conditionalFormatting sqref="N1002">
    <cfRule type="expression" dxfId="0" priority="4532">
      <formula>(#REF!&lt;&gt;"")*(#REF!&lt;&gt;"")</formula>
    </cfRule>
  </conditionalFormatting>
  <conditionalFormatting sqref="O1002">
    <cfRule type="expression" dxfId="0" priority="4525">
      <formula>(#REF!&lt;&gt;"")*(#REF!&lt;&gt;"")</formula>
    </cfRule>
  </conditionalFormatting>
  <conditionalFormatting sqref="P1002:Q1002">
    <cfRule type="expression" dxfId="1" priority="4534">
      <formula>(#REF!&lt;&gt;"")*(#REF!&lt;&gt;"")</formula>
    </cfRule>
  </conditionalFormatting>
  <conditionalFormatting sqref="P1002">
    <cfRule type="expression" dxfId="0" priority="4526">
      <formula>(#REF!&lt;&gt;"")*(#REF!&lt;&gt;"")</formula>
    </cfRule>
  </conditionalFormatting>
  <conditionalFormatting sqref="Q1002">
    <cfRule type="expression" dxfId="0" priority="4531">
      <formula>(#REF!&lt;&gt;"")*(#REF!&lt;&gt;"")</formula>
    </cfRule>
  </conditionalFormatting>
  <conditionalFormatting sqref="R1002">
    <cfRule type="expression" dxfId="0" priority="4524">
      <formula>(#REF!&lt;&gt;"")*(#REF!&lt;&gt;"")</formula>
    </cfRule>
  </conditionalFormatting>
  <conditionalFormatting sqref="H1003">
    <cfRule type="expression" dxfId="0" priority="4929">
      <formula>(#REF!&lt;&gt;"")*(#REF!&lt;&gt;"")</formula>
    </cfRule>
  </conditionalFormatting>
  <conditionalFormatting sqref="C1004">
    <cfRule type="expression" dxfId="0" priority="4926">
      <formula>(#REF!&lt;&gt;"")*(#REF!&lt;&gt;"")</formula>
    </cfRule>
  </conditionalFormatting>
  <conditionalFormatting sqref="H1005">
    <cfRule type="expression" dxfId="0" priority="4511">
      <formula>(#REF!&lt;&gt;"")*(#REF!&lt;&gt;"")</formula>
    </cfRule>
  </conditionalFormatting>
  <conditionalFormatting sqref="C1010">
    <cfRule type="expression" dxfId="0" priority="4917">
      <formula>(#REF!&lt;&gt;"")*(#REF!&lt;&gt;"")</formula>
    </cfRule>
  </conditionalFormatting>
  <conditionalFormatting sqref="M1010">
    <cfRule type="expression" dxfId="0" priority="4916">
      <formula>(#REF!&lt;&gt;"")*(#REF!&lt;&gt;"")</formula>
    </cfRule>
  </conditionalFormatting>
  <conditionalFormatting sqref="N1010">
    <cfRule type="expression" dxfId="0" priority="4915">
      <formula>(#REF!&lt;&gt;"")*(#REF!&lt;&gt;"")</formula>
    </cfRule>
  </conditionalFormatting>
  <conditionalFormatting sqref="P1013:Q1013">
    <cfRule type="expression" dxfId="1" priority="4879">
      <formula>(#REF!&lt;&gt;"")*(#REF!&lt;&gt;"")</formula>
    </cfRule>
  </conditionalFormatting>
  <conditionalFormatting sqref="M1014">
    <cfRule type="expression" dxfId="0" priority="4551">
      <formula>(#REF!&lt;&gt;"")*(#REF!&lt;&gt;"")</formula>
    </cfRule>
  </conditionalFormatting>
  <conditionalFormatting sqref="P1014:Q1014">
    <cfRule type="expression" dxfId="1" priority="4552">
      <formula>(#REF!&lt;&gt;"")*(#REF!&lt;&gt;"")</formula>
    </cfRule>
  </conditionalFormatting>
  <conditionalFormatting sqref="N1016">
    <cfRule type="expression" dxfId="0" priority="4548">
      <formula>(#REF!&lt;&gt;"")*(#REF!&lt;&gt;"")</formula>
    </cfRule>
    <cfRule type="expression" dxfId="0" priority="4547">
      <formula>(#REF!&lt;&gt;"")*(#REF!&lt;&gt;"")</formula>
    </cfRule>
  </conditionalFormatting>
  <conditionalFormatting sqref="P1016:Q1016">
    <cfRule type="expression" dxfId="1" priority="4549">
      <formula>(#REF!&lt;&gt;"")*(#REF!&lt;&gt;"")</formula>
    </cfRule>
  </conditionalFormatting>
  <conditionalFormatting sqref="H1017">
    <cfRule type="expression" dxfId="0" priority="4216">
      <formula>(#REF!&lt;&gt;"")*(#REF!&lt;&gt;"")</formula>
    </cfRule>
  </conditionalFormatting>
  <conditionalFormatting sqref="N1017">
    <cfRule type="expression" dxfId="0" priority="4213">
      <formula>(#REF!&lt;&gt;"")*(#REF!&lt;&gt;"")</formula>
    </cfRule>
    <cfRule type="expression" dxfId="0" priority="4212">
      <formula>(#REF!&lt;&gt;"")*(#REF!&lt;&gt;"")</formula>
    </cfRule>
  </conditionalFormatting>
  <conditionalFormatting sqref="P1017:Q1017">
    <cfRule type="expression" dxfId="1" priority="4214">
      <formula>(#REF!&lt;&gt;"")*(#REF!&lt;&gt;"")</formula>
    </cfRule>
  </conditionalFormatting>
  <conditionalFormatting sqref="H1018">
    <cfRule type="expression" dxfId="0" priority="4195">
      <formula>(#REF!&lt;&gt;"")*(#REF!&lt;&gt;"")</formula>
    </cfRule>
  </conditionalFormatting>
  <conditionalFormatting sqref="N1018">
    <cfRule type="expression" dxfId="0" priority="4192">
      <formula>(#REF!&lt;&gt;"")*(#REF!&lt;&gt;"")</formula>
    </cfRule>
    <cfRule type="expression" dxfId="0" priority="4191">
      <formula>(#REF!&lt;&gt;"")*(#REF!&lt;&gt;"")</formula>
    </cfRule>
  </conditionalFormatting>
  <conditionalFormatting sqref="P1018:Q1018">
    <cfRule type="expression" dxfId="1" priority="4193">
      <formula>(#REF!&lt;&gt;"")*(#REF!&lt;&gt;"")</formula>
    </cfRule>
  </conditionalFormatting>
  <conditionalFormatting sqref="H1019">
    <cfRule type="expression" dxfId="0" priority="4188">
      <formula>(#REF!&lt;&gt;"")*(#REF!&lt;&gt;"")</formula>
    </cfRule>
  </conditionalFormatting>
  <conditionalFormatting sqref="N1019">
    <cfRule type="expression" dxfId="0" priority="4185">
      <formula>(#REF!&lt;&gt;"")*(#REF!&lt;&gt;"")</formula>
    </cfRule>
    <cfRule type="expression" dxfId="0" priority="4184">
      <formula>(#REF!&lt;&gt;"")*(#REF!&lt;&gt;"")</formula>
    </cfRule>
  </conditionalFormatting>
  <conditionalFormatting sqref="P1019:Q1019">
    <cfRule type="expression" dxfId="1" priority="4186">
      <formula>(#REF!&lt;&gt;"")*(#REF!&lt;&gt;"")</formula>
    </cfRule>
  </conditionalFormatting>
  <conditionalFormatting sqref="T1019">
    <cfRule type="expression" dxfId="0" priority="4189">
      <formula>(#REF!&lt;&gt;"")*(#REF!&lt;&gt;"")</formula>
    </cfRule>
  </conditionalFormatting>
  <conditionalFormatting sqref="A1020">
    <cfRule type="expression" dxfId="0" priority="4918">
      <formula>(#REF!&lt;&gt;"")*(#REF!&lt;&gt;"")</formula>
    </cfRule>
  </conditionalFormatting>
  <conditionalFormatting sqref="Q1020">
    <cfRule type="expression" dxfId="0" priority="4914">
      <formula>(#REF!&lt;&gt;"")*(#REF!&lt;&gt;"")</formula>
    </cfRule>
  </conditionalFormatting>
  <conditionalFormatting sqref="R1023">
    <cfRule type="expression" dxfId="0" priority="4913">
      <formula>(#REF!&lt;&gt;"")*(#REF!&lt;&gt;"")</formula>
    </cfRule>
  </conditionalFormatting>
  <conditionalFormatting sqref="R1024">
    <cfRule type="expression" dxfId="0" priority="4908">
      <formula>(#REF!&lt;&gt;"")*(#REF!&lt;&gt;"")</formula>
    </cfRule>
  </conditionalFormatting>
  <conditionalFormatting sqref="M1025">
    <cfRule type="expression" dxfId="0" priority="4876">
      <formula>($A1025&lt;&gt;"")*(#REF!&lt;&gt;"")</formula>
    </cfRule>
  </conditionalFormatting>
  <conditionalFormatting sqref="R1025">
    <cfRule type="expression" dxfId="0" priority="4877">
      <formula>($A1025&lt;&gt;"")*(#REF!&lt;&gt;"")</formula>
    </cfRule>
  </conditionalFormatting>
  <conditionalFormatting sqref="M1026">
    <cfRule type="expression" dxfId="0" priority="4909">
      <formula>($A1026&lt;&gt;"")*(#REF!&lt;&gt;"")</formula>
    </cfRule>
  </conditionalFormatting>
  <conditionalFormatting sqref="M1027">
    <cfRule type="expression" dxfId="0" priority="4901">
      <formula>($A1027&lt;&gt;"")*(#REF!&lt;&gt;"")</formula>
    </cfRule>
  </conditionalFormatting>
  <conditionalFormatting sqref="M1028">
    <cfRule type="expression" dxfId="0" priority="4900">
      <formula>($A1028&lt;&gt;"")*(#REF!&lt;&gt;"")</formula>
    </cfRule>
  </conditionalFormatting>
  <conditionalFormatting sqref="M1029">
    <cfRule type="expression" dxfId="0" priority="4903">
      <formula>($A1029&lt;&gt;"")*(#REF!&lt;&gt;"")</formula>
    </cfRule>
  </conditionalFormatting>
  <conditionalFormatting sqref="M1030">
    <cfRule type="expression" dxfId="0" priority="4899">
      <formula>($A1030&lt;&gt;"")*(#REF!&lt;&gt;"")</formula>
    </cfRule>
  </conditionalFormatting>
  <conditionalFormatting sqref="H1032">
    <cfRule type="expression" dxfId="0" priority="3975">
      <formula>(#REF!&lt;&gt;"")*(H$1&lt;&gt;"")</formula>
    </cfRule>
  </conditionalFormatting>
  <conditionalFormatting sqref="M1032">
    <cfRule type="expression" dxfId="0" priority="3977">
      <formula>(#REF!&lt;&gt;"")*(#REF!&lt;&gt;"")</formula>
    </cfRule>
    <cfRule type="expression" dxfId="0" priority="3976">
      <formula>(#REF!&lt;&gt;"")*(#REF!&lt;&gt;"")</formula>
    </cfRule>
  </conditionalFormatting>
  <conditionalFormatting sqref="P1034:R1034">
    <cfRule type="expression" dxfId="0" priority="4904">
      <formula>($A1034&lt;&gt;"")*(#REF!&lt;&gt;"")</formula>
    </cfRule>
  </conditionalFormatting>
  <conditionalFormatting sqref="Q1035">
    <cfRule type="expression" dxfId="0" priority="4684">
      <formula>($A1035&lt;&gt;"")*(#REF!&lt;&gt;"")</formula>
    </cfRule>
  </conditionalFormatting>
  <conditionalFormatting sqref="M1036">
    <cfRule type="expression" dxfId="0" priority="4906">
      <formula>($A1036&lt;&gt;"")*(#REF!&lt;&gt;"")</formula>
    </cfRule>
  </conditionalFormatting>
  <conditionalFormatting sqref="P1036:R1036">
    <cfRule type="expression" dxfId="0" priority="4905">
      <formula>($A1036&lt;&gt;"")*(#REF!&lt;&gt;"")</formula>
    </cfRule>
  </conditionalFormatting>
  <conditionalFormatting sqref="P1038:Q1038">
    <cfRule type="expression" dxfId="1" priority="4036">
      <formula>($A1038&lt;&gt;"")*(#REF!&lt;&gt;"")</formula>
    </cfRule>
  </conditionalFormatting>
  <conditionalFormatting sqref="R1038">
    <cfRule type="expression" dxfId="0" priority="4034">
      <formula>($A1038&lt;&gt;"")*(#REF!&lt;&gt;"")</formula>
    </cfRule>
  </conditionalFormatting>
  <conditionalFormatting sqref="P1039:Q1039">
    <cfRule type="expression" dxfId="1" priority="4687">
      <formula>($A1039&lt;&gt;"")*(#REF!&lt;&gt;"")</formula>
    </cfRule>
  </conditionalFormatting>
  <conditionalFormatting sqref="R1039">
    <cfRule type="expression" dxfId="0" priority="4685">
      <formula>($A1039&lt;&gt;"")*(#REF!&lt;&gt;"")</formula>
    </cfRule>
  </conditionalFormatting>
  <conditionalFormatting sqref="H1074">
    <cfRule type="expression" dxfId="0" priority="3972">
      <formula>(#REF!&lt;&gt;"")*(H$1&lt;&gt;"")</formula>
    </cfRule>
  </conditionalFormatting>
  <conditionalFormatting sqref="M1074">
    <cfRule type="expression" dxfId="0" priority="3974">
      <formula>(#REF!&lt;&gt;"")*(#REF!&lt;&gt;"")</formula>
    </cfRule>
    <cfRule type="expression" dxfId="0" priority="3973">
      <formula>(#REF!&lt;&gt;"")*(#REF!&lt;&gt;"")</formula>
    </cfRule>
  </conditionalFormatting>
  <conditionalFormatting sqref="J1088">
    <cfRule type="expression" dxfId="1" priority="4846">
      <formula>(#REF!&lt;&gt;"")*(J$1&lt;&gt;"")</formula>
    </cfRule>
  </conditionalFormatting>
  <conditionalFormatting sqref="J1090">
    <cfRule type="expression" dxfId="1" priority="4861">
      <formula>(#REF!&lt;&gt;"")*(J$1&lt;&gt;"")</formula>
    </cfRule>
  </conditionalFormatting>
  <conditionalFormatting sqref="J1091">
    <cfRule type="expression" dxfId="1" priority="4860">
      <formula>(#REF!&lt;&gt;"")*(J$1&lt;&gt;"")</formula>
    </cfRule>
  </conditionalFormatting>
  <conditionalFormatting sqref="J1092">
    <cfRule type="expression" dxfId="1" priority="4859">
      <formula>(#REF!&lt;&gt;"")*(J$1&lt;&gt;"")</formula>
    </cfRule>
  </conditionalFormatting>
  <conditionalFormatting sqref="E1108:G1108">
    <cfRule type="expression" dxfId="0" priority="4856">
      <formula>(#REF!&lt;&gt;"")*(E$1&lt;&gt;"")</formula>
    </cfRule>
  </conditionalFormatting>
  <conditionalFormatting sqref="K1109">
    <cfRule type="expression" dxfId="0" priority="4850">
      <formula>(#REF!&lt;&gt;"")*(#REF!&lt;&gt;"")</formula>
    </cfRule>
  </conditionalFormatting>
  <conditionalFormatting sqref="M1109">
    <cfRule type="expression" dxfId="0" priority="4851">
      <formula>(#REF!&lt;&gt;"")*(#REF!&lt;&gt;"")</formula>
    </cfRule>
  </conditionalFormatting>
  <conditionalFormatting sqref="T1109:U1109">
    <cfRule type="expression" dxfId="0" priority="4853">
      <formula>(#REF!&lt;&gt;"")*(#REF!&lt;&gt;"")</formula>
    </cfRule>
  </conditionalFormatting>
  <conditionalFormatting sqref="O1127:Q1127">
    <cfRule type="expression" dxfId="1" priority="4849">
      <formula>(#REF!&lt;&gt;"")*(O$1&lt;&gt;"")</formula>
    </cfRule>
  </conditionalFormatting>
  <conditionalFormatting sqref="O1128">
    <cfRule type="expression" dxfId="1" priority="4847">
      <formula>(#REF!&lt;&gt;"")*(O$1&lt;&gt;"")</formula>
    </cfRule>
  </conditionalFormatting>
  <conditionalFormatting sqref="Q1138">
    <cfRule type="expression" dxfId="0" priority="4801">
      <formula>(#REF!&lt;&gt;"")*(#REF!&lt;&gt;"")</formula>
    </cfRule>
  </conditionalFormatting>
  <conditionalFormatting sqref="P1139:Q1139">
    <cfRule type="expression" dxfId="1" priority="4682">
      <formula>(#REF!&lt;&gt;"")*(#REF!&lt;&gt;"")</formula>
    </cfRule>
  </conditionalFormatting>
  <conditionalFormatting sqref="Q1139">
    <cfRule type="expression" dxfId="0" priority="4680">
      <formula>(#REF!&lt;&gt;"")*(#REF!&lt;&gt;"")</formula>
    </cfRule>
  </conditionalFormatting>
  <conditionalFormatting sqref="Q1140">
    <cfRule type="expression" dxfId="0" priority="4835">
      <formula>(#REF!&lt;&gt;"")*(#REF!&lt;&gt;"")</formula>
    </cfRule>
  </conditionalFormatting>
  <conditionalFormatting sqref="M1141">
    <cfRule type="expression" dxfId="0" priority="4672">
      <formula>(#REF!&lt;&gt;"")*(#REF!&lt;&gt;"")</formula>
    </cfRule>
  </conditionalFormatting>
  <conditionalFormatting sqref="N1141">
    <cfRule type="expression" dxfId="0" priority="4670">
      <formula>(#REF!&lt;&gt;"")*(#REF!&lt;&gt;"")</formula>
    </cfRule>
    <cfRule type="expression" dxfId="0" priority="4671">
      <formula>(#REF!&lt;&gt;"")*(#REF!&lt;&gt;"")</formula>
    </cfRule>
  </conditionalFormatting>
  <conditionalFormatting sqref="P1141:Q1141">
    <cfRule type="expression" dxfId="1" priority="4674">
      <formula>(#REF!&lt;&gt;"")*(#REF!&lt;&gt;"")</formula>
    </cfRule>
  </conditionalFormatting>
  <conditionalFormatting sqref="C1143">
    <cfRule type="expression" dxfId="0" priority="4676">
      <formula>(#REF!&lt;&gt;"")*(#REF!&lt;&gt;"")</formula>
    </cfRule>
  </conditionalFormatting>
  <conditionalFormatting sqref="P1143:Q1143">
    <cfRule type="expression" dxfId="1" priority="4678">
      <formula>(#REF!&lt;&gt;"")*(#REF!&lt;&gt;"")</formula>
    </cfRule>
  </conditionalFormatting>
  <conditionalFormatting sqref="N1146">
    <cfRule type="expression" dxfId="0" priority="4664">
      <formula>(#REF!&lt;&gt;"")*(#REF!&lt;&gt;"")</formula>
    </cfRule>
    <cfRule type="expression" dxfId="0" priority="4663">
      <formula>(#REF!&lt;&gt;"")*(#REF!&lt;&gt;"")</formula>
    </cfRule>
  </conditionalFormatting>
  <conditionalFormatting sqref="R1148">
    <cfRule type="expression" dxfId="0" priority="4569">
      <formula>(#REF!&lt;&gt;"")*(#REF!&lt;&gt;"")</formula>
    </cfRule>
  </conditionalFormatting>
  <conditionalFormatting sqref="A1149">
    <cfRule type="expression" dxfId="0" priority="4510">
      <formula>(#REF!&lt;&gt;"")*(#REF!&lt;&gt;"")</formula>
    </cfRule>
    <cfRule type="expression" dxfId="0" priority="4503">
      <formula>(#REF!&lt;&gt;"")*(#REF!&lt;&gt;"")</formula>
    </cfRule>
  </conditionalFormatting>
  <conditionalFormatting sqref="N1149">
    <cfRule type="expression" dxfId="0" priority="4501">
      <formula>(#REF!&lt;&gt;"")*(#REF!&lt;&gt;"")</formula>
    </cfRule>
    <cfRule type="expression" dxfId="0" priority="4502">
      <formula>(#REF!&lt;&gt;"")*(#REF!&lt;&gt;"")</formula>
    </cfRule>
  </conditionalFormatting>
  <conditionalFormatting sqref="P1149:Q1149">
    <cfRule type="expression" dxfId="1" priority="4509">
      <formula>(#REF!&lt;&gt;"")*(#REF!&lt;&gt;"")</formula>
    </cfRule>
  </conditionalFormatting>
  <conditionalFormatting sqref="Q1149">
    <cfRule type="expression" dxfId="0" priority="4505">
      <formula>(#REF!&lt;&gt;"")*(#REF!&lt;&gt;"")</formula>
    </cfRule>
  </conditionalFormatting>
  <conditionalFormatting sqref="R1149">
    <cfRule type="expression" dxfId="0" priority="4500">
      <formula>(#REF!&lt;&gt;"")*(#REF!&lt;&gt;"")</formula>
    </cfRule>
  </conditionalFormatting>
  <conditionalFormatting sqref="N1151:R1151">
    <cfRule type="expression" dxfId="0" priority="4667">
      <formula>(#REF!&lt;&gt;"")*(#REF!&lt;&gt;"")</formula>
    </cfRule>
  </conditionalFormatting>
  <conditionalFormatting sqref="P1151:Q1151">
    <cfRule type="expression" dxfId="1" priority="4668">
      <formula>(#REF!&lt;&gt;"")*(#REF!&lt;&gt;"")</formula>
    </cfRule>
  </conditionalFormatting>
  <conditionalFormatting sqref="T1151">
    <cfRule type="expression" dxfId="0" priority="4666">
      <formula>(#REF!&lt;&gt;"")*(#REF!&lt;&gt;"")</formula>
    </cfRule>
    <cfRule type="expression" dxfId="0" priority="4665">
      <formula>(#REF!&lt;&gt;"")*(#REF!&lt;&gt;"")</formula>
    </cfRule>
  </conditionalFormatting>
  <conditionalFormatting sqref="M1155">
    <cfRule type="expression" dxfId="0" priority="4820">
      <formula>(#REF!&lt;&gt;"")*(#REF!&lt;&gt;"")</formula>
    </cfRule>
  </conditionalFormatting>
  <conditionalFormatting sqref="P1155:Q1155">
    <cfRule type="expression" dxfId="0" priority="4819">
      <formula>(#REF!&lt;&gt;"")*(#REF!&lt;&gt;"")</formula>
    </cfRule>
  </conditionalFormatting>
  <conditionalFormatting sqref="Q1155">
    <cfRule type="expression" dxfId="0" priority="4818">
      <formula>(#REF!&lt;&gt;"")*(#REF!&lt;&gt;"")</formula>
    </cfRule>
  </conditionalFormatting>
  <conditionalFormatting sqref="M1161">
    <cfRule type="expression" dxfId="0" priority="4826">
      <formula>(#REF!&lt;&gt;"")*(#REF!&lt;&gt;"")</formula>
    </cfRule>
  </conditionalFormatting>
  <conditionalFormatting sqref="Q1162">
    <cfRule type="expression" dxfId="0" priority="4824">
      <formula>(#REF!&lt;&gt;"")*(#REF!&lt;&gt;"")</formula>
    </cfRule>
  </conditionalFormatting>
  <conditionalFormatting sqref="Q1164">
    <cfRule type="expression" dxfId="0" priority="4829">
      <formula>(#REF!&lt;&gt;"")*(#REF!&lt;&gt;"")</formula>
    </cfRule>
  </conditionalFormatting>
  <conditionalFormatting sqref="J1166">
    <cfRule type="expression" dxfId="1" priority="4800">
      <formula>(#REF!&lt;&gt;"")*(#REF!&lt;&gt;"")</formula>
    </cfRule>
  </conditionalFormatting>
  <conditionalFormatting sqref="M1166">
    <cfRule type="expression" dxfId="0" priority="4796">
      <formula>(#REF!&lt;&gt;"")*(#REF!&lt;&gt;"")</formula>
    </cfRule>
  </conditionalFormatting>
  <conditionalFormatting sqref="O1166">
    <cfRule type="expression" dxfId="0" priority="4799">
      <formula>(#REF!&lt;&gt;"")*(#REF!&lt;&gt;"")</formula>
    </cfRule>
  </conditionalFormatting>
  <conditionalFormatting sqref="Q1166">
    <cfRule type="expression" dxfId="0" priority="4798">
      <formula>(#REF!&lt;&gt;"")*(#REF!&lt;&gt;"")</formula>
    </cfRule>
    <cfRule type="expression" dxfId="0" priority="4797">
      <formula>(#REF!&lt;&gt;"")*(#REF!&lt;&gt;"")</formula>
    </cfRule>
  </conditionalFormatting>
  <conditionalFormatting sqref="J1170">
    <cfRule type="expression" dxfId="1" priority="4794">
      <formula>(#REF!&lt;&gt;"")*(#REF!&lt;&gt;"")</formula>
    </cfRule>
  </conditionalFormatting>
  <conditionalFormatting sqref="M1170">
    <cfRule type="expression" dxfId="0" priority="4795">
      <formula>(#REF!&lt;&gt;"")*(#REF!&lt;&gt;"")</formula>
    </cfRule>
  </conditionalFormatting>
  <conditionalFormatting sqref="Q1170">
    <cfRule type="expression" dxfId="0" priority="4793">
      <formula>(#REF!&lt;&gt;"")*(#REF!&lt;&gt;"")</formula>
    </cfRule>
    <cfRule type="expression" dxfId="0" priority="4792">
      <formula>(#REF!&lt;&gt;"")*(#REF!&lt;&gt;"")</formula>
    </cfRule>
    <cfRule type="expression" dxfId="1" priority="4791">
      <formula>(#REF!&lt;&gt;"")*(#REF!&lt;&gt;"")</formula>
    </cfRule>
  </conditionalFormatting>
  <conditionalFormatting sqref="J1171">
    <cfRule type="expression" dxfId="1" priority="4789">
      <formula>(#REF!&lt;&gt;"")*(#REF!&lt;&gt;"")</formula>
    </cfRule>
  </conditionalFormatting>
  <conditionalFormatting sqref="M1171">
    <cfRule type="expression" dxfId="0" priority="4790">
      <formula>(#REF!&lt;&gt;"")*(#REF!&lt;&gt;"")</formula>
    </cfRule>
  </conditionalFormatting>
  <conditionalFormatting sqref="Q1171">
    <cfRule type="expression" dxfId="0" priority="4788">
      <formula>(#REF!&lt;&gt;"")*(#REF!&lt;&gt;"")</formula>
    </cfRule>
    <cfRule type="expression" dxfId="0" priority="4787">
      <formula>(#REF!&lt;&gt;"")*(#REF!&lt;&gt;"")</formula>
    </cfRule>
    <cfRule type="expression" dxfId="1" priority="4786">
      <formula>(#REF!&lt;&gt;"")*(#REF!&lt;&gt;"")</formula>
    </cfRule>
  </conditionalFormatting>
  <conditionalFormatting sqref="Q1172">
    <cfRule type="expression" dxfId="0" priority="4830">
      <formula>(#REF!&lt;&gt;"")*(#REF!&lt;&gt;"")</formula>
    </cfRule>
    <cfRule type="expression" dxfId="0" priority="4828">
      <formula>(#REF!&lt;&gt;"")*(#REF!&lt;&gt;"")</formula>
    </cfRule>
    <cfRule type="expression" dxfId="1" priority="4821">
      <formula>(#REF!&lt;&gt;"")*(#REF!&lt;&gt;"")</formula>
    </cfRule>
  </conditionalFormatting>
  <conditionalFormatting sqref="Q1173">
    <cfRule type="expression" dxfId="1" priority="4843">
      <formula>(#REF!&lt;&gt;"")*(#REF!&lt;&gt;"")</formula>
    </cfRule>
  </conditionalFormatting>
  <conditionalFormatting sqref="R1173">
    <cfRule type="expression" dxfId="0" priority="4822">
      <formula>(#REF!&lt;&gt;"")*(#REF!&lt;&gt;"")</formula>
    </cfRule>
  </conditionalFormatting>
  <conditionalFormatting sqref="Q1174">
    <cfRule type="expression" dxfId="0" priority="4814">
      <formula>($A1174&lt;&gt;"")*(#REF!&lt;&gt;"")</formula>
    </cfRule>
  </conditionalFormatting>
  <conditionalFormatting sqref="A1176">
    <cfRule type="expression" dxfId="0" priority="4813">
      <formula>($A1176&lt;&gt;"")*(#REF!&lt;&gt;"")</formula>
    </cfRule>
  </conditionalFormatting>
  <conditionalFormatting sqref="Q1176:R1176">
    <cfRule type="expression" dxfId="0" priority="4810">
      <formula>(#REF!&lt;&gt;"")*(#REF!&lt;&gt;"")</formula>
    </cfRule>
  </conditionalFormatting>
  <conditionalFormatting sqref="Q1176">
    <cfRule type="expression" dxfId="0" priority="4809">
      <formula>(#REF!&lt;&gt;"")*(#REF!&lt;&gt;"")</formula>
    </cfRule>
    <cfRule type="expression" dxfId="0" priority="4811">
      <formula>(#REF!&lt;&gt;"")*(#REF!&lt;&gt;"")</formula>
    </cfRule>
    <cfRule type="expression" dxfId="1" priority="4812">
      <formula>(#REF!&lt;&gt;"")*(#REF!&lt;&gt;"")</formula>
    </cfRule>
  </conditionalFormatting>
  <conditionalFormatting sqref="A1178">
    <cfRule type="expression" dxfId="0" priority="4808">
      <formula>($A1178&lt;&gt;"")*(#REF!&lt;&gt;"")</formula>
    </cfRule>
  </conditionalFormatting>
  <conditionalFormatting sqref="P1179">
    <cfRule type="expression" dxfId="0" priority="4805">
      <formula>($A1179&lt;&gt;"")*(#REF!&lt;&gt;"")</formula>
    </cfRule>
    <cfRule type="expression" dxfId="0" priority="4803">
      <formula>($A1179&lt;&gt;"")*(#REF!&lt;&gt;"")</formula>
    </cfRule>
  </conditionalFormatting>
  <conditionalFormatting sqref="P1180">
    <cfRule type="expression" dxfId="0" priority="4804">
      <formula>($A1180&lt;&gt;"")*(#REF!&lt;&gt;"")</formula>
    </cfRule>
    <cfRule type="expression" dxfId="0" priority="4802">
      <formula>($A1180&lt;&gt;"")*(#REF!&lt;&gt;"")</formula>
    </cfRule>
  </conditionalFormatting>
  <conditionalFormatting sqref="M1185">
    <cfRule type="expression" dxfId="0" priority="4763">
      <formula>(#REF!&lt;&gt;"")*(#REF!&lt;&gt;"")</formula>
    </cfRule>
  </conditionalFormatting>
  <conditionalFormatting sqref="M1186">
    <cfRule type="expression" dxfId="0" priority="4766">
      <formula>(#REF!&lt;&gt;"")*(#REF!&lt;&gt;"")</formula>
    </cfRule>
  </conditionalFormatting>
  <conditionalFormatting sqref="P1236:Q1236">
    <cfRule type="expression" dxfId="1" priority="4757">
      <formula>(#REF!&lt;&gt;"")*(#REF!&lt;&gt;"")</formula>
    </cfRule>
  </conditionalFormatting>
  <conditionalFormatting sqref="P1262:Q1262">
    <cfRule type="expression" dxfId="1" priority="4752">
      <formula>(#REF!&lt;&gt;"")*(#REF!&lt;&gt;"")</formula>
    </cfRule>
  </conditionalFormatting>
  <conditionalFormatting sqref="H1270">
    <cfRule type="expression" dxfId="0" priority="4751">
      <formula>(#REF!&lt;&gt;"")*(#REF!&lt;&gt;"")</formula>
    </cfRule>
  </conditionalFormatting>
  <conditionalFormatting sqref="E1298:H1298">
    <cfRule type="expression" dxfId="0" priority="3786">
      <formula>(#REF!&lt;&gt;"")*(#REF!&lt;&gt;"")</formula>
    </cfRule>
  </conditionalFormatting>
  <conditionalFormatting sqref="N1298">
    <cfRule type="expression" dxfId="0" priority="3785">
      <formula>(#REF!&lt;&gt;"")*(#REF!&lt;&gt;"")</formula>
    </cfRule>
  </conditionalFormatting>
  <conditionalFormatting sqref="A1299">
    <cfRule type="expression" dxfId="0" priority="4743">
      <formula>(#REF!&lt;&gt;"")*(#REF!&lt;&gt;"")</formula>
    </cfRule>
  </conditionalFormatting>
  <conditionalFormatting sqref="Q1299">
    <cfRule type="expression" dxfId="0" priority="4742">
      <formula>(#REF!&lt;&gt;"")*(#REF!&lt;&gt;"")</formula>
    </cfRule>
  </conditionalFormatting>
  <conditionalFormatting sqref="H1300">
    <cfRule type="expression" dxfId="0" priority="4716">
      <formula>(#REF!&lt;&gt;"")*(#REF!&lt;&gt;"")</formula>
    </cfRule>
  </conditionalFormatting>
  <conditionalFormatting sqref="M1300">
    <cfRule type="expression" dxfId="0" priority="4717">
      <formula>(#REF!&lt;&gt;"")*(#REF!&lt;&gt;"")</formula>
    </cfRule>
  </conditionalFormatting>
  <conditionalFormatting sqref="P1300:Q1300">
    <cfRule type="expression" dxfId="1" priority="4718">
      <formula>(#REF!&lt;&gt;"")*(#REF!&lt;&gt;"")</formula>
    </cfRule>
  </conditionalFormatting>
  <conditionalFormatting sqref="M1304">
    <cfRule type="expression" dxfId="0" priority="4749">
      <formula>(#REF!&lt;&gt;"")*(#REF!&lt;&gt;"")</formula>
    </cfRule>
  </conditionalFormatting>
  <conditionalFormatting sqref="P1307">
    <cfRule type="expression" dxfId="0" priority="4733">
      <formula>(#REF!&lt;&gt;"")*(#REF!&lt;&gt;"")</formula>
    </cfRule>
  </conditionalFormatting>
  <conditionalFormatting sqref="M1309">
    <cfRule type="expression" dxfId="0" priority="4741">
      <formula>(#REF!&lt;&gt;"")*(#REF!&lt;&gt;"")</formula>
    </cfRule>
  </conditionalFormatting>
  <conditionalFormatting sqref="Q1309">
    <cfRule type="expression" dxfId="0" priority="4744">
      <formula>(#REF!&lt;&gt;"")*(#REF!&lt;&gt;"")</formula>
    </cfRule>
  </conditionalFormatting>
  <conditionalFormatting sqref="T1309">
    <cfRule type="expression" dxfId="0" priority="4740">
      <formula>(#REF!&lt;&gt;"")*(#REF!&lt;&gt;"")</formula>
    </cfRule>
  </conditionalFormatting>
  <conditionalFormatting sqref="M1310">
    <cfRule type="expression" dxfId="0" priority="4735">
      <formula>(#REF!&lt;&gt;"")*(#REF!&lt;&gt;"")</formula>
    </cfRule>
  </conditionalFormatting>
  <conditionalFormatting sqref="P1310:Q1310">
    <cfRule type="expression" dxfId="0" priority="4734">
      <formula>(#REF!&lt;&gt;"")*(#REF!&lt;&gt;"")</formula>
    </cfRule>
  </conditionalFormatting>
  <conditionalFormatting sqref="M1311">
    <cfRule type="expression" dxfId="0" priority="4736">
      <formula>(#REF!&lt;&gt;"")*(#REF!&lt;&gt;"")</formula>
    </cfRule>
  </conditionalFormatting>
  <conditionalFormatting sqref="Q1311">
    <cfRule type="expression" dxfId="0" priority="4739">
      <formula>(#REF!&lt;&gt;"")*(#REF!&lt;&gt;"")</formula>
    </cfRule>
  </conditionalFormatting>
  <conditionalFormatting sqref="T1311">
    <cfRule type="expression" dxfId="0" priority="4738">
      <formula>(#REF!&lt;&gt;"")*(#REF!&lt;&gt;"")</formula>
    </cfRule>
  </conditionalFormatting>
  <conditionalFormatting sqref="Q1313">
    <cfRule type="expression" dxfId="0" priority="4737">
      <formula>(#REF!&lt;&gt;"")*(#REF!&lt;&gt;"")</formula>
    </cfRule>
  </conditionalFormatting>
  <conditionalFormatting sqref="Q1315">
    <cfRule type="expression" dxfId="0" priority="4732">
      <formula>(#REF!&lt;&gt;"")*(#REF!&lt;&gt;"")</formula>
    </cfRule>
    <cfRule type="expression" dxfId="0" priority="4731">
      <formula>(#REF!&lt;&gt;"")*(#REF!&lt;&gt;"")</formula>
    </cfRule>
  </conditionalFormatting>
  <conditionalFormatting sqref="J1316">
    <cfRule type="expression" dxfId="1" priority="4714">
      <formula>(#REF!&lt;&gt;"")*(#REF!&lt;&gt;"")</formula>
    </cfRule>
  </conditionalFormatting>
  <conditionalFormatting sqref="M1316">
    <cfRule type="expression" dxfId="0" priority="4715">
      <formula>(#REF!&lt;&gt;"")*(#REF!&lt;&gt;"")</formula>
    </cfRule>
  </conditionalFormatting>
  <conditionalFormatting sqref="Q1316">
    <cfRule type="expression" dxfId="0" priority="4713">
      <formula>(#REF!&lt;&gt;"")*(#REF!&lt;&gt;"")</formula>
    </cfRule>
    <cfRule type="expression" dxfId="0" priority="4712">
      <formula>(#REF!&lt;&gt;"")*(#REF!&lt;&gt;"")</formula>
    </cfRule>
    <cfRule type="expression" dxfId="1" priority="4711">
      <formula>(#REF!&lt;&gt;"")*(#REF!&lt;&gt;"")</formula>
    </cfRule>
  </conditionalFormatting>
  <conditionalFormatting sqref="M1318">
    <cfRule type="expression" dxfId="0" priority="4708">
      <formula>(#REF!&lt;&gt;"")*(#REF!&lt;&gt;"")</formula>
    </cfRule>
  </conditionalFormatting>
  <conditionalFormatting sqref="Q1318">
    <cfRule type="expression" dxfId="0" priority="4709">
      <formula>(#REF!&lt;&gt;"")*(#REF!&lt;&gt;"")</formula>
    </cfRule>
    <cfRule type="expression" dxfId="1" priority="4710">
      <formula>(#REF!&lt;&gt;"")*(#REF!&lt;&gt;"")</formula>
    </cfRule>
    <cfRule type="expression" dxfId="0" priority="4706">
      <formula>(#REF!&lt;&gt;"")*(#REF!&lt;&gt;"")</formula>
    </cfRule>
    <cfRule type="expression" dxfId="1" priority="4707">
      <formula>(#REF!&lt;&gt;"")*(#REF!&lt;&gt;"")</formula>
    </cfRule>
  </conditionalFormatting>
  <conditionalFormatting sqref="R1318">
    <cfRule type="expression" dxfId="0" priority="4705">
      <formula>(#REF!&lt;&gt;"")*(#REF!&lt;&gt;"")</formula>
    </cfRule>
  </conditionalFormatting>
  <conditionalFormatting sqref="M1319">
    <cfRule type="expression" dxfId="0" priority="4632">
      <formula>(#REF!&lt;&gt;"")*(#REF!&lt;&gt;"")</formula>
    </cfRule>
  </conditionalFormatting>
  <conditionalFormatting sqref="Q1319">
    <cfRule type="expression" dxfId="0" priority="4633">
      <formula>(#REF!&lt;&gt;"")*(#REF!&lt;&gt;"")</formula>
    </cfRule>
    <cfRule type="expression" dxfId="1" priority="4634">
      <formula>(#REF!&lt;&gt;"")*(#REF!&lt;&gt;"")</formula>
    </cfRule>
    <cfRule type="expression" dxfId="0" priority="4630">
      <formula>(#REF!&lt;&gt;"")*(#REF!&lt;&gt;"")</formula>
    </cfRule>
    <cfRule type="expression" dxfId="1" priority="4631">
      <formula>(#REF!&lt;&gt;"")*(#REF!&lt;&gt;"")</formula>
    </cfRule>
  </conditionalFormatting>
  <conditionalFormatting sqref="R1319">
    <cfRule type="expression" dxfId="0" priority="4629">
      <formula>(#REF!&lt;&gt;"")*(#REF!&lt;&gt;"")</formula>
    </cfRule>
  </conditionalFormatting>
  <conditionalFormatting sqref="M1320">
    <cfRule type="expression" dxfId="0" priority="4626">
      <formula>(#REF!&lt;&gt;"")*(#REF!&lt;&gt;"")</formula>
    </cfRule>
  </conditionalFormatting>
  <conditionalFormatting sqref="Q1320">
    <cfRule type="expression" dxfId="0" priority="4627">
      <formula>(#REF!&lt;&gt;"")*(#REF!&lt;&gt;"")</formula>
    </cfRule>
    <cfRule type="expression" dxfId="1" priority="4628">
      <formula>(#REF!&lt;&gt;"")*(#REF!&lt;&gt;"")</formula>
    </cfRule>
    <cfRule type="expression" dxfId="0" priority="4624">
      <formula>(#REF!&lt;&gt;"")*(#REF!&lt;&gt;"")</formula>
    </cfRule>
    <cfRule type="expression" dxfId="1" priority="4625">
      <formula>(#REF!&lt;&gt;"")*(#REF!&lt;&gt;"")</formula>
    </cfRule>
  </conditionalFormatting>
  <conditionalFormatting sqref="R1320">
    <cfRule type="expression" dxfId="0" priority="4623">
      <formula>(#REF!&lt;&gt;"")*(#REF!&lt;&gt;"")</formula>
    </cfRule>
  </conditionalFormatting>
  <conditionalFormatting sqref="P1322">
    <cfRule type="expression" dxfId="0" priority="4728">
      <formula>($A1322&lt;&gt;"")*(#REF!&lt;&gt;"")</formula>
    </cfRule>
  </conditionalFormatting>
  <conditionalFormatting sqref="Q1322">
    <cfRule type="expression" dxfId="0" priority="4727">
      <formula>($A1322&lt;&gt;"")*(#REF!&lt;&gt;"")</formula>
    </cfRule>
    <cfRule type="expression" dxfId="0" priority="4726">
      <formula>($A1322&lt;&gt;"")*(#REF!&lt;&gt;"")</formula>
    </cfRule>
  </conditionalFormatting>
  <conditionalFormatting sqref="R1322">
    <cfRule type="expression" dxfId="0" priority="4725">
      <formula>($A1322&lt;&gt;"")*(#REF!&lt;&gt;"")</formula>
    </cfRule>
  </conditionalFormatting>
  <conditionalFormatting sqref="P1323:Q1323">
    <cfRule type="expression" dxfId="0" priority="4723">
      <formula>($A1323&lt;&gt;"")*(#REF!&lt;&gt;"")</formula>
    </cfRule>
  </conditionalFormatting>
  <conditionalFormatting sqref="Q1323">
    <cfRule type="expression" dxfId="0" priority="4722">
      <formula>($A1323&lt;&gt;"")*(#REF!&lt;&gt;"")</formula>
    </cfRule>
  </conditionalFormatting>
  <conditionalFormatting sqref="R1323">
    <cfRule type="expression" dxfId="0" priority="4724">
      <formula>($A1323&lt;&gt;"")*(#REF!&lt;&gt;"")</formula>
    </cfRule>
  </conditionalFormatting>
  <conditionalFormatting sqref="H1324">
    <cfRule type="expression" dxfId="0" priority="4721">
      <formula>($A1324&lt;&gt;"")*(#REF!&lt;&gt;"")</formula>
    </cfRule>
  </conditionalFormatting>
  <conditionalFormatting sqref="E1330:F1330">
    <cfRule type="expression" dxfId="0" priority="4649">
      <formula>(#REF!&lt;&gt;"")*(E$1&lt;&gt;"")</formula>
    </cfRule>
  </conditionalFormatting>
  <conditionalFormatting sqref="P1330:Q1330">
    <cfRule type="expression" dxfId="1" priority="4651">
      <formula>(#REF!&lt;&gt;"")*(#REF!&lt;&gt;"")</formula>
    </cfRule>
  </conditionalFormatting>
  <conditionalFormatting sqref="Q1330">
    <cfRule type="expression" dxfId="0" priority="4652">
      <formula>(#REF!&lt;&gt;"")*(#REF!&lt;&gt;"")</formula>
    </cfRule>
  </conditionalFormatting>
  <conditionalFormatting sqref="E1331:F1331">
    <cfRule type="expression" dxfId="0" priority="4645">
      <formula>(#REF!&lt;&gt;"")*(E$1&lt;&gt;"")</formula>
    </cfRule>
  </conditionalFormatting>
  <conditionalFormatting sqref="P1331:Q1331">
    <cfRule type="expression" dxfId="1" priority="4647">
      <formula>(#REF!&lt;&gt;"")*(#REF!&lt;&gt;"")</formula>
    </cfRule>
  </conditionalFormatting>
  <conditionalFormatting sqref="Q1331">
    <cfRule type="expression" dxfId="0" priority="4648">
      <formula>(#REF!&lt;&gt;"")*(#REF!&lt;&gt;"")</formula>
    </cfRule>
  </conditionalFormatting>
  <conditionalFormatting sqref="E1332:F1332">
    <cfRule type="expression" dxfId="0" priority="4641">
      <formula>(#REF!&lt;&gt;"")*(E$1&lt;&gt;"")</formula>
    </cfRule>
  </conditionalFormatting>
  <conditionalFormatting sqref="P1332:Q1332">
    <cfRule type="expression" dxfId="1" priority="4643">
      <formula>(#REF!&lt;&gt;"")*(#REF!&lt;&gt;"")</formula>
    </cfRule>
  </conditionalFormatting>
  <conditionalFormatting sqref="Q1332">
    <cfRule type="expression" dxfId="0" priority="4644">
      <formula>(#REF!&lt;&gt;"")*(#REF!&lt;&gt;"")</formula>
    </cfRule>
  </conditionalFormatting>
  <conditionalFormatting sqref="E1337:F1337">
    <cfRule type="expression" dxfId="0" priority="4637">
      <formula>(#REF!&lt;&gt;"")*(E$1&lt;&gt;"")</formula>
    </cfRule>
  </conditionalFormatting>
  <conditionalFormatting sqref="P1337">
    <cfRule type="expression" dxfId="1" priority="4636">
      <formula>(#REF!&lt;&gt;"")*(#REF!&lt;&gt;"")</formula>
    </cfRule>
    <cfRule type="expression" dxfId="0" priority="4635">
      <formula>(#REF!&lt;&gt;"")*(#REF!&lt;&gt;"")</formula>
    </cfRule>
  </conditionalFormatting>
  <conditionalFormatting sqref="Q1337">
    <cfRule type="expression" dxfId="0" priority="4640">
      <formula>(#REF!&lt;&gt;"")*(#REF!&lt;&gt;"")</formula>
    </cfRule>
    <cfRule type="expression" dxfId="1" priority="4639">
      <formula>(#REF!&lt;&gt;"")*(#REF!&lt;&gt;"")</formula>
    </cfRule>
  </conditionalFormatting>
  <conditionalFormatting sqref="M1401">
    <cfRule type="expression" dxfId="0" priority="4614">
      <formula>(#REF!&lt;&gt;"")*(#REF!&lt;&gt;"")</formula>
    </cfRule>
  </conditionalFormatting>
  <conditionalFormatting sqref="M1402">
    <cfRule type="expression" dxfId="0" priority="4616">
      <formula>(#REF!&lt;&gt;"")*(#REF!&lt;&gt;"")</formula>
    </cfRule>
  </conditionalFormatting>
  <conditionalFormatting sqref="M1403">
    <cfRule type="expression" dxfId="0" priority="4044">
      <formula>(#REF!&lt;&gt;"")*(#REF!&lt;&gt;"")</formula>
    </cfRule>
  </conditionalFormatting>
  <conditionalFormatting sqref="M1404">
    <cfRule type="expression" dxfId="0" priority="4043">
      <formula>(#REF!&lt;&gt;"")*(#REF!&lt;&gt;"")</formula>
    </cfRule>
  </conditionalFormatting>
  <conditionalFormatting sqref="Q1407">
    <cfRule type="expression" dxfId="1" priority="4612">
      <formula>(#REF!&lt;&gt;"")*(#REF!&lt;&gt;"")</formula>
    </cfRule>
  </conditionalFormatting>
  <conditionalFormatting sqref="M1408">
    <cfRule type="expression" dxfId="1" priority="4020">
      <formula>(#REF!&lt;&gt;"")*(M$1&lt;&gt;"")</formula>
    </cfRule>
    <cfRule type="expression" dxfId="0" priority="4019">
      <formula>(#REF!&lt;&gt;"")*(#REF!&lt;&gt;"")</formula>
    </cfRule>
  </conditionalFormatting>
  <conditionalFormatting sqref="M1443">
    <cfRule type="expression" dxfId="0" priority="4606">
      <formula>(#REF!&lt;&gt;"")*(#REF!&lt;&gt;"")</formula>
    </cfRule>
  </conditionalFormatting>
  <conditionalFormatting sqref="M1444">
    <cfRule type="expression" dxfId="0" priority="4608">
      <formula>(#REF!&lt;&gt;"")*(#REF!&lt;&gt;"")</formula>
    </cfRule>
  </conditionalFormatting>
  <conditionalFormatting sqref="N1444">
    <cfRule type="expression" dxfId="0" priority="4609">
      <formula>(#REF!&lt;&gt;"")*(#REF!&lt;&gt;"")</formula>
    </cfRule>
  </conditionalFormatting>
  <conditionalFormatting sqref="P1447">
    <cfRule type="expression" dxfId="0" priority="4605">
      <formula>(#REF!&lt;&gt;"")*(#REF!&lt;&gt;"")</formula>
    </cfRule>
  </conditionalFormatting>
  <conditionalFormatting sqref="Q1447">
    <cfRule type="expression" dxfId="0" priority="4603">
      <formula>(#REF!&lt;&gt;"")*(#REF!&lt;&gt;"")</formula>
    </cfRule>
    <cfRule type="expression" dxfId="1" priority="4604">
      <formula>(#REF!&lt;&gt;"")*(#REF!&lt;&gt;"")</formula>
    </cfRule>
  </conditionalFormatting>
  <conditionalFormatting sqref="N1448:R1448">
    <cfRule type="expression" dxfId="0" priority="4597">
      <formula>($A1448&lt;&gt;"")*(#REF!&lt;&gt;"")</formula>
    </cfRule>
  </conditionalFormatting>
  <conditionalFormatting sqref="P1449:R1449">
    <cfRule type="expression" dxfId="0" priority="4596">
      <formula>($A1449&lt;&gt;"")*(#REF!&lt;&gt;"")</formula>
    </cfRule>
  </conditionalFormatting>
  <conditionalFormatting sqref="Q1449">
    <cfRule type="expression" dxfId="0" priority="4598">
      <formula>($A1449&lt;&gt;"")*(#REF!&lt;&gt;"")</formula>
    </cfRule>
  </conditionalFormatting>
  <conditionalFormatting sqref="N1450:R1450">
    <cfRule type="expression" dxfId="0" priority="4593">
      <formula>($A1450&lt;&gt;"")*(#REF!&lt;&gt;"")</formula>
    </cfRule>
  </conditionalFormatting>
  <conditionalFormatting sqref="Q1450">
    <cfRule type="expression" dxfId="0" priority="4594">
      <formula>($A1450&lt;&gt;"")*(#REF!&lt;&gt;"")</formula>
    </cfRule>
  </conditionalFormatting>
  <conditionalFormatting sqref="Q1451">
    <cfRule type="expression" dxfId="0" priority="4590">
      <formula>(#REF!&lt;&gt;"")*(#REF!&lt;&gt;"")</formula>
    </cfRule>
    <cfRule type="expression" dxfId="0" priority="4589">
      <formula>(#REF!&lt;&gt;"")*(#REF!&lt;&gt;"")</formula>
    </cfRule>
    <cfRule type="expression" dxfId="0" priority="4591">
      <formula>(#REF!&lt;&gt;"")*(#REF!&lt;&gt;"")</formula>
    </cfRule>
    <cfRule type="expression" dxfId="1" priority="4592">
      <formula>(#REF!&lt;&gt;"")*(#REF!&lt;&gt;"")</formula>
    </cfRule>
  </conditionalFormatting>
  <conditionalFormatting sqref="K1452">
    <cfRule type="expression" dxfId="0" priority="4585">
      <formula>(#REF!&lt;&gt;"")*(#REF!&lt;&gt;"")</formula>
    </cfRule>
  </conditionalFormatting>
  <conditionalFormatting sqref="P1452">
    <cfRule type="expression" dxfId="0" priority="4584">
      <formula>($A1452&lt;&gt;"")*(#REF!&lt;&gt;"")</formula>
    </cfRule>
  </conditionalFormatting>
  <conditionalFormatting sqref="Q1452">
    <cfRule type="expression" dxfId="0" priority="4586">
      <formula>($A1452&lt;&gt;"")*(#REF!&lt;&gt;"")</formula>
    </cfRule>
    <cfRule type="expression" dxfId="0" priority="4583">
      <formula>($A1452&lt;&gt;"")*(#REF!&lt;&gt;"")</formula>
    </cfRule>
  </conditionalFormatting>
  <conditionalFormatting sqref="U1452">
    <cfRule type="expression" dxfId="0" priority="4587">
      <formula>($A1452&lt;&gt;"")*(#REF!&lt;&gt;"")</formula>
    </cfRule>
  </conditionalFormatting>
  <conditionalFormatting sqref="Q1453">
    <cfRule type="expression" dxfId="0" priority="4580">
      <formula>(#REF!&lt;&gt;"")*(#REF!&lt;&gt;"")</formula>
    </cfRule>
    <cfRule type="expression" dxfId="0" priority="4581">
      <formula>(#REF!&lt;&gt;"")*(#REF!&lt;&gt;"")</formula>
    </cfRule>
    <cfRule type="expression" dxfId="1" priority="4582">
      <formula>(#REF!&lt;&gt;"")*(#REF!&lt;&gt;"")</formula>
    </cfRule>
  </conditionalFormatting>
  <conditionalFormatting sqref="Q1454">
    <cfRule type="expression" dxfId="0" priority="4577">
      <formula>(#REF!&lt;&gt;"")*(#REF!&lt;&gt;"")</formula>
    </cfRule>
    <cfRule type="expression" dxfId="0" priority="4578">
      <formula>(#REF!&lt;&gt;"")*(#REF!&lt;&gt;"")</formula>
    </cfRule>
    <cfRule type="expression" dxfId="1" priority="4579">
      <formula>(#REF!&lt;&gt;"")*(#REF!&lt;&gt;"")</formula>
    </cfRule>
  </conditionalFormatting>
  <conditionalFormatting sqref="M1455">
    <cfRule type="expression" dxfId="0" priority="3952">
      <formula>($A1455&lt;&gt;"")*(#REF!&lt;&gt;"")</formula>
    </cfRule>
  </conditionalFormatting>
  <conditionalFormatting sqref="P1455">
    <cfRule type="expression" dxfId="1" priority="3953">
      <formula>($A1455&lt;&gt;"")*(#REF!&lt;&gt;"")</formula>
    </cfRule>
    <cfRule type="expression" dxfId="0" priority="3951">
      <formula>($A1455&lt;&gt;"")*(#REF!&lt;&gt;"")</formula>
    </cfRule>
  </conditionalFormatting>
  <conditionalFormatting sqref="Q1455">
    <cfRule type="expression" dxfId="0" priority="3948">
      <formula>(#REF!&lt;&gt;"")*(#REF!&lt;&gt;"")</formula>
    </cfRule>
    <cfRule type="expression" dxfId="0" priority="3949">
      <formula>(#REF!&lt;&gt;"")*(#REF!&lt;&gt;"")</formula>
    </cfRule>
    <cfRule type="expression" dxfId="1" priority="3950">
      <formula>(#REF!&lt;&gt;"")*(#REF!&lt;&gt;"")</formula>
    </cfRule>
  </conditionalFormatting>
  <conditionalFormatting sqref="M1456">
    <cfRule type="expression" dxfId="0" priority="4575">
      <formula>($A1456&lt;&gt;"")*(#REF!&lt;&gt;"")</formula>
    </cfRule>
  </conditionalFormatting>
  <conditionalFormatting sqref="P1459">
    <cfRule type="expression" dxfId="0" priority="3946">
      <formula>($A1459&lt;&gt;"")*(#REF!&lt;&gt;"")</formula>
    </cfRule>
    <cfRule type="expression" dxfId="1" priority="3947">
      <formula>($A1459&lt;&gt;"")*(#REF!&lt;&gt;"")</formula>
    </cfRule>
  </conditionalFormatting>
  <conditionalFormatting sqref="Q1459">
    <cfRule type="expression" dxfId="1" priority="3945">
      <formula>($A1459&lt;&gt;"")*(#REF!&lt;&gt;"")</formula>
    </cfRule>
  </conditionalFormatting>
  <conditionalFormatting sqref="P1460">
    <cfRule type="expression" dxfId="0" priority="3942">
      <formula>($A1460&lt;&gt;"")*(#REF!&lt;&gt;"")</formula>
    </cfRule>
    <cfRule type="expression" dxfId="1" priority="3943">
      <formula>($A1460&lt;&gt;"")*(#REF!&lt;&gt;"")</formula>
    </cfRule>
  </conditionalFormatting>
  <conditionalFormatting sqref="Q1460">
    <cfRule type="expression" dxfId="1" priority="3941">
      <formula>($A1460&lt;&gt;"")*(#REF!&lt;&gt;"")</formula>
    </cfRule>
  </conditionalFormatting>
  <conditionalFormatting sqref="H1461">
    <cfRule type="expression" dxfId="0" priority="3969">
      <formula>(#REF!&lt;&gt;"")*(H$1&lt;&gt;"")</formula>
    </cfRule>
  </conditionalFormatting>
  <conditionalFormatting sqref="M1461">
    <cfRule type="expression" dxfId="0" priority="3971">
      <formula>(#REF!&lt;&gt;"")*(#REF!&lt;&gt;"")</formula>
    </cfRule>
    <cfRule type="expression" dxfId="0" priority="3970">
      <formula>(#REF!&lt;&gt;"")*(#REF!&lt;&gt;"")</formula>
    </cfRule>
  </conditionalFormatting>
  <conditionalFormatting sqref="Q1472">
    <cfRule type="expression" dxfId="1" priority="4572">
      <formula>(#REF!&lt;&gt;"")*(#REF!&lt;&gt;"")</formula>
    </cfRule>
    <cfRule type="expression" dxfId="0" priority="4571">
      <formula>(#REF!&lt;&gt;"")*(#REF!&lt;&gt;"")</formula>
    </cfRule>
  </conditionalFormatting>
  <conditionalFormatting sqref="M1474">
    <cfRule type="expression" dxfId="0" priority="4512">
      <formula>(#REF!&lt;&gt;"")*(#REF!&lt;&gt;"")</formula>
    </cfRule>
  </conditionalFormatting>
  <conditionalFormatting sqref="M1483">
    <cfRule type="expression" dxfId="0" priority="4522">
      <formula>(#REF!&lt;&gt;"")*(#REF!&lt;&gt;"")</formula>
    </cfRule>
  </conditionalFormatting>
  <conditionalFormatting sqref="J1487">
    <cfRule type="expression" dxfId="1" priority="4332">
      <formula>(#REF!&lt;&gt;"")*(J$1&lt;&gt;"")</formula>
    </cfRule>
  </conditionalFormatting>
  <conditionalFormatting sqref="P1489">
    <cfRule type="expression" dxfId="1" priority="4088">
      <formula>($A1489&lt;&gt;"")*(#REF!&lt;&gt;"")</formula>
    </cfRule>
    <cfRule type="expression" dxfId="0" priority="4087">
      <formula>($A1489&lt;&gt;"")*(#REF!&lt;&gt;"")</formula>
    </cfRule>
  </conditionalFormatting>
  <conditionalFormatting sqref="Q1489">
    <cfRule type="expression" dxfId="0" priority="4084">
      <formula>(#REF!&lt;&gt;"")*(#REF!&lt;&gt;"")</formula>
    </cfRule>
    <cfRule type="expression" dxfId="0" priority="4085">
      <formula>(#REF!&lt;&gt;"")*(#REF!&lt;&gt;"")</formula>
    </cfRule>
    <cfRule type="expression" dxfId="1" priority="4086">
      <formula>(#REF!&lt;&gt;"")*(#REF!&lt;&gt;"")</formula>
    </cfRule>
  </conditionalFormatting>
  <conditionalFormatting sqref="P1563">
    <cfRule type="expression" dxfId="1" priority="4490">
      <formula>(#REF!&lt;&gt;"")*(#REF!&lt;&gt;"")</formula>
    </cfRule>
  </conditionalFormatting>
  <conditionalFormatting sqref="Q1563">
    <cfRule type="expression" dxfId="1" priority="4489">
      <formula>(#REF!&lt;&gt;"")*(#REF!&lt;&gt;"")</formula>
    </cfRule>
  </conditionalFormatting>
  <conditionalFormatting sqref="H1564">
    <cfRule type="expression" dxfId="0" priority="4028">
      <formula>(#REF!&lt;&gt;"")*(#REF!&lt;&gt;"")</formula>
    </cfRule>
    <cfRule type="expression" dxfId="0" priority="4027">
      <formula>(#REF!&lt;&gt;"")*(#REF!&lt;&gt;"")</formula>
    </cfRule>
  </conditionalFormatting>
  <conditionalFormatting sqref="J1571">
    <cfRule type="expression" dxfId="1" priority="4127">
      <formula>(#REF!&lt;&gt;"")*(J$1&lt;&gt;"")</formula>
    </cfRule>
  </conditionalFormatting>
  <conditionalFormatting sqref="J1575">
    <cfRule type="expression" dxfId="1" priority="4119">
      <formula>(#REF!&lt;&gt;"")*(J$1&lt;&gt;"")</formula>
    </cfRule>
  </conditionalFormatting>
  <conditionalFormatting sqref="Q1578">
    <cfRule type="expression" dxfId="1" priority="4486">
      <formula>(#REF!&lt;&gt;"")*(#REF!&lt;&gt;"")</formula>
    </cfRule>
    <cfRule type="expression" dxfId="0" priority="4485">
      <formula>(#REF!&lt;&gt;"")*(#REF!&lt;&gt;"")</formula>
    </cfRule>
  </conditionalFormatting>
  <conditionalFormatting sqref="P1581:Q1581">
    <cfRule type="expression" dxfId="1" priority="4483">
      <formula>(#REF!&lt;&gt;"")*(#REF!&lt;&gt;"")</formula>
    </cfRule>
  </conditionalFormatting>
  <conditionalFormatting sqref="H1592">
    <cfRule type="expression" dxfId="0" priority="4472">
      <formula>(#REF!&lt;&gt;"")*(#REF!&lt;&gt;"")</formula>
    </cfRule>
  </conditionalFormatting>
  <conditionalFormatting sqref="R1592">
    <cfRule type="expression" dxfId="0" priority="4474">
      <formula>(#REF!&lt;&gt;"")*(#REF!&lt;&gt;"")</formula>
    </cfRule>
  </conditionalFormatting>
  <conditionalFormatting sqref="P1595:Q1595">
    <cfRule type="expression" dxfId="1" priority="4461">
      <formula>(#REF!&lt;&gt;"")*(#REF!&lt;&gt;"")</formula>
    </cfRule>
  </conditionalFormatting>
  <conditionalFormatting sqref="R1595">
    <cfRule type="expression" dxfId="0" priority="4463">
      <formula>(#REF!&lt;&gt;"")*(#REF!&lt;&gt;"")</formula>
    </cfRule>
  </conditionalFormatting>
  <conditionalFormatting sqref="M1596">
    <cfRule type="expression" dxfId="0" priority="4479">
      <formula>(#REF!&lt;&gt;"")*(#REF!&lt;&gt;"")</formula>
    </cfRule>
  </conditionalFormatting>
  <conditionalFormatting sqref="N1596:O1596">
    <cfRule type="expression" dxfId="0" priority="4477">
      <formula>(#REF!&lt;&gt;"")*(#REF!&lt;&gt;"")</formula>
    </cfRule>
  </conditionalFormatting>
  <conditionalFormatting sqref="O1596">
    <cfRule type="expression" dxfId="0" priority="4476">
      <formula>(#REF!&lt;&gt;"")*(#REF!&lt;&gt;"")</formula>
    </cfRule>
  </conditionalFormatting>
  <conditionalFormatting sqref="P1596:Q1596">
    <cfRule type="expression" dxfId="0" priority="4478">
      <formula>(#REF!&lt;&gt;"")*(#REF!&lt;&gt;"")</formula>
    </cfRule>
  </conditionalFormatting>
  <conditionalFormatting sqref="Q1596">
    <cfRule type="expression" dxfId="0" priority="4464">
      <formula>(#REF!&lt;&gt;"")*(#REF!&lt;&gt;"")</formula>
    </cfRule>
  </conditionalFormatting>
  <conditionalFormatting sqref="Q1605">
    <cfRule type="expression" dxfId="0" priority="4471">
      <formula>(#REF!&lt;&gt;"")*(#REF!&lt;&gt;"")</formula>
    </cfRule>
  </conditionalFormatting>
  <conditionalFormatting sqref="P1606:Q1606">
    <cfRule type="expression" dxfId="1" priority="4406">
      <formula>($A1606&lt;&gt;"")*(#REF!&lt;&gt;"")</formula>
    </cfRule>
  </conditionalFormatting>
  <conditionalFormatting sqref="P1606:R1606">
    <cfRule type="expression" dxfId="0" priority="4404">
      <formula>($A1606&lt;&gt;"")*(#REF!&lt;&gt;"")</formula>
    </cfRule>
  </conditionalFormatting>
  <conditionalFormatting sqref="P1607">
    <cfRule type="expression" dxfId="0" priority="4467">
      <formula>($A1607&lt;&gt;"")*(#REF!&lt;&gt;"")</formula>
    </cfRule>
  </conditionalFormatting>
  <conditionalFormatting sqref="Q1607">
    <cfRule type="expression" dxfId="0" priority="4465">
      <formula>($A1607&lt;&gt;"")*(#REF!&lt;&gt;"")</formula>
    </cfRule>
  </conditionalFormatting>
  <conditionalFormatting sqref="R1607">
    <cfRule type="expression" dxfId="0" priority="4466">
      <formula>($A1607&lt;&gt;"")*(#REF!&lt;&gt;"")</formula>
    </cfRule>
  </conditionalFormatting>
  <conditionalFormatting sqref="R1609">
    <cfRule type="expression" dxfId="0" priority="3989">
      <formula>($A1609&lt;&gt;"")*(#REF!&lt;&gt;"")</formula>
    </cfRule>
  </conditionalFormatting>
  <conditionalFormatting sqref="C1611">
    <cfRule type="expression" dxfId="0" priority="4434">
      <formula>(#REF!&lt;&gt;"")*(#REF!&lt;&gt;"")</formula>
    </cfRule>
  </conditionalFormatting>
  <conditionalFormatting sqref="H1611">
    <cfRule type="expression" dxfId="0" priority="4437">
      <formula>(#REF!&lt;&gt;"")*(#REF!&lt;&gt;"")</formula>
    </cfRule>
  </conditionalFormatting>
  <conditionalFormatting sqref="N1611:O1611">
    <cfRule type="expression" dxfId="0" priority="4433">
      <formula>(#REF!&lt;&gt;"")*(#REF!&lt;&gt;"")</formula>
    </cfRule>
  </conditionalFormatting>
  <conditionalFormatting sqref="P1611:Q1611">
    <cfRule type="expression" dxfId="0" priority="4435">
      <formula>(#REF!&lt;&gt;"")*(#REF!&lt;&gt;"")</formula>
    </cfRule>
  </conditionalFormatting>
  <conditionalFormatting sqref="C1612">
    <cfRule type="expression" dxfId="0" priority="4425">
      <formula>(#REF!&lt;&gt;"")*(#REF!&lt;&gt;"")</formula>
    </cfRule>
  </conditionalFormatting>
  <conditionalFormatting sqref="H1612">
    <cfRule type="expression" dxfId="0" priority="4431">
      <formula>(#REF!&lt;&gt;"")*(#REF!&lt;&gt;"")</formula>
    </cfRule>
    <cfRule type="expression" dxfId="0" priority="4428">
      <formula>(#REF!&lt;&gt;"")*(#REF!&lt;&gt;"")</formula>
    </cfRule>
  </conditionalFormatting>
  <conditionalFormatting sqref="K1612">
    <cfRule type="expression" dxfId="0" priority="4429">
      <formula>(#REF!&lt;&gt;"")*(#REF!&lt;&gt;"")</formula>
    </cfRule>
  </conditionalFormatting>
  <conditionalFormatting sqref="M1612">
    <cfRule type="expression" dxfId="0" priority="4427">
      <formula>(#REF!&lt;&gt;"")*(#REF!&lt;&gt;"")</formula>
    </cfRule>
  </conditionalFormatting>
  <conditionalFormatting sqref="N1612">
    <cfRule type="expression" dxfId="0" priority="4423">
      <formula>(#REF!&lt;&gt;"")*(#REF!&lt;&gt;"")</formula>
    </cfRule>
  </conditionalFormatting>
  <conditionalFormatting sqref="O1612">
    <cfRule type="expression" dxfId="0" priority="4424">
      <formula>(#REF!&lt;&gt;"")*(#REF!&lt;&gt;"")</formula>
    </cfRule>
  </conditionalFormatting>
  <conditionalFormatting sqref="P1612:Q1612">
    <cfRule type="expression" dxfId="0" priority="4426">
      <formula>(#REF!&lt;&gt;"")*(#REF!&lt;&gt;"")</formula>
    </cfRule>
  </conditionalFormatting>
  <conditionalFormatting sqref="R1612">
    <cfRule type="expression" dxfId="0" priority="4430">
      <formula>(#REF!&lt;&gt;"")*(#REF!&lt;&gt;"")</formula>
    </cfRule>
  </conditionalFormatting>
  <conditionalFormatting sqref="N1613:O1613">
    <cfRule type="expression" dxfId="0" priority="4442">
      <formula>(#REF!&lt;&gt;"")*(#REF!&lt;&gt;"")</formula>
    </cfRule>
  </conditionalFormatting>
  <conditionalFormatting sqref="P1613:Q1613">
    <cfRule type="expression" dxfId="0" priority="4440">
      <formula>(#REF!&lt;&gt;"")*(#REF!&lt;&gt;"")</formula>
    </cfRule>
  </conditionalFormatting>
  <conditionalFormatting sqref="M1615">
    <cfRule type="expression" dxfId="0" priority="4400">
      <formula>(#REF!&lt;&gt;"")*(#REF!&lt;&gt;"")</formula>
    </cfRule>
  </conditionalFormatting>
  <conditionalFormatting sqref="N1615">
    <cfRule type="expression" dxfId="0" priority="4398">
      <formula>(#REF!&lt;&gt;"")*(#REF!&lt;&gt;"")</formula>
    </cfRule>
    <cfRule type="expression" dxfId="0" priority="4399">
      <formula>(#REF!&lt;&gt;"")*(#REF!&lt;&gt;"")</formula>
    </cfRule>
  </conditionalFormatting>
  <conditionalFormatting sqref="P1615:Q1615">
    <cfRule type="expression" dxfId="1" priority="4402">
      <formula>(#REF!&lt;&gt;"")*(#REF!&lt;&gt;"")</formula>
    </cfRule>
  </conditionalFormatting>
  <conditionalFormatting sqref="M1619">
    <cfRule type="expression" dxfId="0" priority="4422">
      <formula>(#REF!&lt;&gt;"")*(#REF!&lt;&gt;"")</formula>
    </cfRule>
  </conditionalFormatting>
  <conditionalFormatting sqref="Q1619">
    <cfRule type="expression" dxfId="0" priority="4421">
      <formula>(#REF!&lt;&gt;"")*(#REF!&lt;&gt;"")</formula>
    </cfRule>
  </conditionalFormatting>
  <conditionalFormatting sqref="P1620:Q1620">
    <cfRule type="expression" dxfId="1" priority="4469">
      <formula>($A1620&lt;&gt;"")*(#REF!&lt;&gt;"")</formula>
    </cfRule>
  </conditionalFormatting>
  <conditionalFormatting sqref="P1621:Q1621">
    <cfRule type="expression" dxfId="1" priority="4419">
      <formula>(#REF!&lt;&gt;"")*(#REF!&lt;&gt;"")</formula>
    </cfRule>
  </conditionalFormatting>
  <conditionalFormatting sqref="A1631">
    <cfRule type="expression" dxfId="0" priority="4414">
      <formula>(#REF!&lt;&gt;"")*(#REF!&lt;&gt;"")</formula>
    </cfRule>
  </conditionalFormatting>
  <conditionalFormatting sqref="K1631">
    <cfRule type="expression" dxfId="0" priority="4408">
      <formula>(#REF!&lt;&gt;"")*(#REF!&lt;&gt;"")</formula>
    </cfRule>
    <cfRule type="expression" dxfId="0" priority="4407">
      <formula>(#REF!&lt;&gt;"")*(#REF!&lt;&gt;"")</formula>
    </cfRule>
  </conditionalFormatting>
  <conditionalFormatting sqref="M1631">
    <cfRule type="expression" dxfId="0" priority="4410">
      <formula>(#REF!&lt;&gt;"")*(#REF!&lt;&gt;"")</formula>
    </cfRule>
  </conditionalFormatting>
  <conditionalFormatting sqref="P1631">
    <cfRule type="expression" dxfId="1" priority="4409">
      <formula>(#REF!&lt;&gt;"")*(#REF!&lt;&gt;"")</formula>
    </cfRule>
  </conditionalFormatting>
  <conditionalFormatting sqref="Q1631">
    <cfRule type="expression" dxfId="0" priority="4417">
      <formula>(#REF!&lt;&gt;"")*(#REF!&lt;&gt;"")</formula>
    </cfRule>
    <cfRule type="expression" dxfId="1" priority="4411">
      <formula>(#REF!&lt;&gt;"")*(#REF!&lt;&gt;"")</formula>
    </cfRule>
  </conditionalFormatting>
  <conditionalFormatting sqref="T1631:U1631">
    <cfRule type="expression" dxfId="0" priority="4413">
      <formula>(#REF!&lt;&gt;"")*(#REF!&lt;&gt;"")</formula>
    </cfRule>
  </conditionalFormatting>
  <conditionalFormatting sqref="M1634">
    <cfRule type="expression" dxfId="0" priority="4334">
      <formula>(#REF!&lt;&gt;"")*(#REF!&lt;&gt;"")</formula>
    </cfRule>
  </conditionalFormatting>
  <conditionalFormatting sqref="J1639">
    <cfRule type="expression" dxfId="1" priority="4350">
      <formula>(#REF!&lt;&gt;"")*(J$1&lt;&gt;"")</formula>
    </cfRule>
  </conditionalFormatting>
  <conditionalFormatting sqref="M1639">
    <cfRule type="expression" dxfId="0" priority="4351">
      <formula>(#REF!&lt;&gt;"")*(#REF!&lt;&gt;"")</formula>
    </cfRule>
  </conditionalFormatting>
  <conditionalFormatting sqref="H1640">
    <cfRule type="expression" dxfId="0" priority="4348">
      <formula>(#REF!&lt;&gt;"")*(H$1&lt;&gt;"")</formula>
    </cfRule>
  </conditionalFormatting>
  <conditionalFormatting sqref="Q1640">
    <cfRule type="expression" dxfId="1" priority="4347">
      <formula>(#REF!&lt;&gt;"")*(#REF!&lt;&gt;"")</formula>
    </cfRule>
    <cfRule type="expression" dxfId="0" priority="4346">
      <formula>(#REF!&lt;&gt;"")*(#REF!&lt;&gt;"")</formula>
    </cfRule>
  </conditionalFormatting>
  <conditionalFormatting sqref="H1641">
    <cfRule type="expression" dxfId="0" priority="4343">
      <formula>(#REF!&lt;&gt;"")*(H$1&lt;&gt;"")</formula>
    </cfRule>
  </conditionalFormatting>
  <conditionalFormatting sqref="Q1641">
    <cfRule type="expression" dxfId="1" priority="4341">
      <formula>(#REF!&lt;&gt;"")*(#REF!&lt;&gt;"")</formula>
    </cfRule>
  </conditionalFormatting>
  <conditionalFormatting sqref="M1643">
    <cfRule type="expression" dxfId="0" priority="4339">
      <formula>(#REF!&lt;&gt;"")*(#REF!&lt;&gt;"")</formula>
    </cfRule>
  </conditionalFormatting>
  <conditionalFormatting sqref="M1644">
    <cfRule type="expression" dxfId="0" priority="4333">
      <formula>(#REF!&lt;&gt;"")*(#REF!&lt;&gt;"")</formula>
    </cfRule>
  </conditionalFormatting>
  <conditionalFormatting sqref="M1645">
    <cfRule type="expression" dxfId="0" priority="4337">
      <formula>(#REF!&lt;&gt;"")*(#REF!&lt;&gt;"")</formula>
    </cfRule>
  </conditionalFormatting>
  <conditionalFormatting sqref="M1646">
    <cfRule type="expression" dxfId="0" priority="4338">
      <formula>(#REF!&lt;&gt;"")*(#REF!&lt;&gt;"")</formula>
    </cfRule>
  </conditionalFormatting>
  <conditionalFormatting sqref="Q1649">
    <cfRule type="expression" dxfId="0" priority="4395">
      <formula>(#REF!&lt;&gt;"")*(#REF!&lt;&gt;"")</formula>
    </cfRule>
    <cfRule type="expression" dxfId="1" priority="4394">
      <formula>(#REF!&lt;&gt;"")*(#REF!&lt;&gt;"")</formula>
    </cfRule>
  </conditionalFormatting>
  <conditionalFormatting sqref="J1654">
    <cfRule type="expression" dxfId="1" priority="4491">
      <formula>(#REF!&lt;&gt;"")*(J$1&lt;&gt;"")</formula>
    </cfRule>
  </conditionalFormatting>
  <conditionalFormatting sqref="M1656">
    <cfRule type="expression" dxfId="0" priority="4390">
      <formula>(#REF!&lt;&gt;"")*(#REF!&lt;&gt;"")</formula>
    </cfRule>
  </conditionalFormatting>
  <conditionalFormatting sqref="M1657">
    <cfRule type="expression" dxfId="0" priority="4182">
      <formula>(#REF!&lt;&gt;"")*(#REF!&lt;&gt;"")</formula>
    </cfRule>
  </conditionalFormatting>
  <conditionalFormatting sqref="M1658">
    <cfRule type="expression" dxfId="0" priority="4070">
      <formula>(#REF!&lt;&gt;"")*(#REF!&lt;&gt;"")</formula>
    </cfRule>
  </conditionalFormatting>
  <conditionalFormatting sqref="N1658">
    <cfRule type="expression" dxfId="0" priority="4068">
      <formula>(#REF!&lt;&gt;"")*(#REF!&lt;&gt;"")</formula>
    </cfRule>
    <cfRule type="expression" dxfId="0" priority="4069">
      <formula>(#REF!&lt;&gt;"")*(#REF!&lt;&gt;"")</formula>
    </cfRule>
  </conditionalFormatting>
  <conditionalFormatting sqref="P1658:Q1658">
    <cfRule type="expression" dxfId="1" priority="4072">
      <formula>(#REF!&lt;&gt;"")*(#REF!&lt;&gt;"")</formula>
    </cfRule>
  </conditionalFormatting>
  <conditionalFormatting sqref="M1659">
    <cfRule type="expression" dxfId="0" priority="4064">
      <formula>(#REF!&lt;&gt;"")*(#REF!&lt;&gt;"")</formula>
    </cfRule>
  </conditionalFormatting>
  <conditionalFormatting sqref="N1659">
    <cfRule type="expression" dxfId="0" priority="4062">
      <formula>(#REF!&lt;&gt;"")*(#REF!&lt;&gt;"")</formula>
    </cfRule>
    <cfRule type="expression" dxfId="0" priority="4063">
      <formula>(#REF!&lt;&gt;"")*(#REF!&lt;&gt;"")</formula>
    </cfRule>
  </conditionalFormatting>
  <conditionalFormatting sqref="P1659:Q1659">
    <cfRule type="expression" dxfId="1" priority="4066">
      <formula>(#REF!&lt;&gt;"")*(#REF!&lt;&gt;"")</formula>
    </cfRule>
  </conditionalFormatting>
  <conditionalFormatting sqref="M1660">
    <cfRule type="expression" dxfId="0" priority="4021">
      <formula>(#REF!&lt;&gt;"")*(#REF!&lt;&gt;"")</formula>
    </cfRule>
  </conditionalFormatting>
  <conditionalFormatting sqref="M1661">
    <cfRule type="expression" dxfId="0" priority="4033">
      <formula>(#REF!&lt;&gt;"")*(#REF!&lt;&gt;"")</formula>
    </cfRule>
  </conditionalFormatting>
  <conditionalFormatting sqref="Q1661">
    <cfRule type="expression" dxfId="0" priority="4032">
      <formula>(#REF!&lt;&gt;"")*(#REF!&lt;&gt;"")</formula>
    </cfRule>
  </conditionalFormatting>
  <conditionalFormatting sqref="A1714">
    <cfRule type="expression" dxfId="1" priority="4367">
      <formula>(#REF!&lt;&gt;"")*(A$1&lt;&gt;"")</formula>
    </cfRule>
  </conditionalFormatting>
  <conditionalFormatting sqref="A1715">
    <cfRule type="expression" dxfId="1" priority="4355">
      <formula>(#REF!&lt;&gt;"")*(A$1&lt;&gt;"")</formula>
    </cfRule>
  </conditionalFormatting>
  <conditionalFormatting sqref="J1715:K1715">
    <cfRule type="expression" dxfId="1" priority="4356">
      <formula>(#REF!&lt;&gt;"")*(J$1&lt;&gt;"")</formula>
    </cfRule>
  </conditionalFormatting>
  <conditionalFormatting sqref="A1716">
    <cfRule type="expression" dxfId="1" priority="4366">
      <formula>(#REF!&lt;&gt;"")*(A$1&lt;&gt;"")</formula>
    </cfRule>
  </conditionalFormatting>
  <conditionalFormatting sqref="E1716:G1716">
    <cfRule type="expression" dxfId="1" priority="4385">
      <formula>(#REF!&lt;&gt;"")*(E$1&lt;&gt;"")</formula>
    </cfRule>
  </conditionalFormatting>
  <conditionalFormatting sqref="K1721">
    <cfRule type="duplicateValues" dxfId="2" priority="4365"/>
  </conditionalFormatting>
  <conditionalFormatting sqref="J1724">
    <cfRule type="expression" dxfId="1" priority="4384">
      <formula>(#REF!&lt;&gt;"")*(J$1&lt;&gt;"")</formula>
    </cfRule>
  </conditionalFormatting>
  <conditionalFormatting sqref="P1724">
    <cfRule type="expression" dxfId="1" priority="4380">
      <formula>(#REF!&lt;&gt;"")*(#REF!&lt;&gt;"")</formula>
    </cfRule>
  </conditionalFormatting>
  <conditionalFormatting sqref="P1725">
    <cfRule type="expression" dxfId="1" priority="4381">
      <formula>(#REF!&lt;&gt;"")*(#REF!&lt;&gt;"")</formula>
    </cfRule>
  </conditionalFormatting>
  <conditionalFormatting sqref="M1735">
    <cfRule type="expression" dxfId="1" priority="4224">
      <formula>(#REF!&lt;&gt;"")*(M$1&lt;&gt;"")</formula>
    </cfRule>
  </conditionalFormatting>
  <conditionalFormatting sqref="M1736">
    <cfRule type="expression" dxfId="1" priority="4360">
      <formula>(#REF!&lt;&gt;"")*(M$1&lt;&gt;"")</formula>
    </cfRule>
  </conditionalFormatting>
  <conditionalFormatting sqref="M1743">
    <cfRule type="expression" dxfId="1" priority="4016">
      <formula>(#REF!&lt;&gt;"")*(M$1&lt;&gt;"")</formula>
    </cfRule>
  </conditionalFormatting>
  <conditionalFormatting sqref="J1744">
    <cfRule type="expression" dxfId="1" priority="4374">
      <formula>(#REF!&lt;&gt;"")*(J$1&lt;&gt;"")</formula>
    </cfRule>
  </conditionalFormatting>
  <conditionalFormatting sqref="P1744">
    <cfRule type="expression" dxfId="1" priority="4373">
      <formula>(#REF!&lt;&gt;"")*(#REF!&lt;&gt;"")</formula>
    </cfRule>
  </conditionalFormatting>
  <conditionalFormatting sqref="J1745">
    <cfRule type="expression" dxfId="1" priority="4362">
      <formula>(#REF!&lt;&gt;"")*(J$1&lt;&gt;"")</formula>
    </cfRule>
  </conditionalFormatting>
  <conditionalFormatting sqref="P1745">
    <cfRule type="expression" dxfId="1" priority="4361">
      <formula>(#REF!&lt;&gt;"")*(#REF!&lt;&gt;"")</formula>
    </cfRule>
  </conditionalFormatting>
  <conditionalFormatting sqref="J1746">
    <cfRule type="expression" dxfId="1" priority="4358">
      <formula>(#REF!&lt;&gt;"")*(J$1&lt;&gt;"")</formula>
    </cfRule>
  </conditionalFormatting>
  <conditionalFormatting sqref="M1746">
    <cfRule type="expression" dxfId="1" priority="4359">
      <formula>(#REF!&lt;&gt;"")*(M$1&lt;&gt;"")</formula>
    </cfRule>
  </conditionalFormatting>
  <conditionalFormatting sqref="P1746">
    <cfRule type="expression" dxfId="1" priority="4357">
      <formula>(#REF!&lt;&gt;"")*(#REF!&lt;&gt;"")</formula>
    </cfRule>
  </conditionalFormatting>
  <conditionalFormatting sqref="M1747">
    <cfRule type="expression" dxfId="0" priority="4496">
      <formula>(#REF!&lt;&gt;"")*(#REF!&lt;&gt;"")</formula>
    </cfRule>
  </conditionalFormatting>
  <conditionalFormatting sqref="J1749">
    <cfRule type="expression" dxfId="1" priority="4378">
      <formula>(#REF!&lt;&gt;"")*(J$1&lt;&gt;"")</formula>
    </cfRule>
  </conditionalFormatting>
  <conditionalFormatting sqref="P1749">
    <cfRule type="expression" dxfId="1" priority="4377">
      <formula>(#REF!&lt;&gt;"")*(#REF!&lt;&gt;"")</formula>
    </cfRule>
  </conditionalFormatting>
  <conditionalFormatting sqref="J1752">
    <cfRule type="expression" dxfId="1" priority="4370">
      <formula>(#REF!&lt;&gt;"")*(J$1&lt;&gt;"")</formula>
    </cfRule>
  </conditionalFormatting>
  <conditionalFormatting sqref="P1752">
    <cfRule type="expression" dxfId="1" priority="4369">
      <formula>(#REF!&lt;&gt;"")*(#REF!&lt;&gt;"")</formula>
    </cfRule>
    <cfRule type="expression" dxfId="1" priority="4368">
      <formula>(#REF!&lt;&gt;"")*(#REF!&lt;&gt;"")</formula>
    </cfRule>
  </conditionalFormatting>
  <conditionalFormatting sqref="J1753">
    <cfRule type="expression" dxfId="1" priority="4372">
      <formula>(#REF!&lt;&gt;"")*(J$1&lt;&gt;"")</formula>
    </cfRule>
  </conditionalFormatting>
  <conditionalFormatting sqref="P1753">
    <cfRule type="expression" dxfId="1" priority="4371">
      <formula>(#REF!&lt;&gt;"")*(#REF!&lt;&gt;"")</formula>
    </cfRule>
  </conditionalFormatting>
  <conditionalFormatting sqref="P1842">
    <cfRule type="expression" dxfId="1" priority="4237">
      <formula>(#REF!&lt;&gt;"")*(#REF!&lt;&gt;"")</formula>
    </cfRule>
  </conditionalFormatting>
  <conditionalFormatting sqref="Q1842">
    <cfRule type="expression" dxfId="1" priority="4238">
      <formula>(#REF!&lt;&gt;"")*(#REF!&lt;&gt;"")</formula>
    </cfRule>
  </conditionalFormatting>
  <conditionalFormatting sqref="P1846">
    <cfRule type="expression" dxfId="1" priority="4309">
      <formula>(#REF!&lt;&gt;"")*(#REF!&lt;&gt;"")</formula>
    </cfRule>
  </conditionalFormatting>
  <conditionalFormatting sqref="Q1846">
    <cfRule type="expression" dxfId="1" priority="4310">
      <formula>(#REF!&lt;&gt;"")*(#REF!&lt;&gt;"")</formula>
    </cfRule>
  </conditionalFormatting>
  <conditionalFormatting sqref="P1859">
    <cfRule type="expression" dxfId="1" priority="4236">
      <formula>(#REF!&lt;&gt;"")*(#REF!&lt;&gt;"")</formula>
    </cfRule>
  </conditionalFormatting>
  <conditionalFormatting sqref="Q1859">
    <cfRule type="expression" dxfId="1" priority="4235">
      <formula>(#REF!&lt;&gt;"")*(#REF!&lt;&gt;"")</formula>
    </cfRule>
  </conditionalFormatting>
  <conditionalFormatting sqref="J1913">
    <cfRule type="expression" dxfId="1" priority="4320">
      <formula>(#REF!&lt;&gt;"")*(J$1&lt;&gt;"")</formula>
    </cfRule>
  </conditionalFormatting>
  <conditionalFormatting sqref="J1927">
    <cfRule type="expression" dxfId="1" priority="4030">
      <formula>(#REF!&lt;&gt;"")*(J$1&lt;&gt;"")</formula>
    </cfRule>
  </conditionalFormatting>
  <conditionalFormatting sqref="Q1938">
    <cfRule type="expression" dxfId="0" priority="4312">
      <formula>(#REF!&lt;&gt;"")*(#REF!&lt;&gt;"")</formula>
    </cfRule>
    <cfRule type="expression" dxfId="1" priority="4311">
      <formula>(#REF!&lt;&gt;"")*(#REF!&lt;&gt;"")</formula>
    </cfRule>
  </conditionalFormatting>
  <conditionalFormatting sqref="Q1940">
    <cfRule type="expression" dxfId="0" priority="4314">
      <formula>(#REF!&lt;&gt;"")*(#REF!&lt;&gt;"")</formula>
    </cfRule>
    <cfRule type="expression" dxfId="1" priority="4313">
      <formula>(#REF!&lt;&gt;"")*(#REF!&lt;&gt;"")</formula>
    </cfRule>
  </conditionalFormatting>
  <conditionalFormatting sqref="P1942">
    <cfRule type="expression" dxfId="1" priority="4315">
      <formula>(#REF!&lt;&gt;"")*(#REF!&lt;&gt;"")</formula>
    </cfRule>
  </conditionalFormatting>
  <conditionalFormatting sqref="Q1942">
    <cfRule type="expression" dxfId="1" priority="4316">
      <formula>(#REF!&lt;&gt;"")*(#REF!&lt;&gt;"")</formula>
    </cfRule>
  </conditionalFormatting>
  <conditionalFormatting sqref="M1943">
    <cfRule type="expression" dxfId="0" priority="4308">
      <formula>(#REF!&lt;&gt;"")*(#REF!&lt;&gt;"")</formula>
    </cfRule>
  </conditionalFormatting>
  <conditionalFormatting sqref="E1945:G1945">
    <cfRule type="expression" dxfId="0" priority="4303">
      <formula>(#REF!&lt;&gt;"")*(#REF!&lt;&gt;"")</formula>
    </cfRule>
  </conditionalFormatting>
  <conditionalFormatting sqref="J1945">
    <cfRule type="expression" dxfId="0" priority="4306">
      <formula>(#REF!&lt;&gt;"")*(#REF!&lt;&gt;"")</formula>
    </cfRule>
  </conditionalFormatting>
  <conditionalFormatting sqref="N1945:O1945">
    <cfRule type="expression" dxfId="0" priority="4295">
      <formula>(#REF!&lt;&gt;"")*(#REF!&lt;&gt;"")</formula>
    </cfRule>
  </conditionalFormatting>
  <conditionalFormatting sqref="P1945:Q1945">
    <cfRule type="expression" dxfId="0" priority="4293">
      <formula>(#REF!&lt;&gt;"")*(#REF!&lt;&gt;"")</formula>
    </cfRule>
    <cfRule type="expression" dxfId="1" priority="4297">
      <formula>(#REF!&lt;&gt;"")*(#REF!&lt;&gt;"")</formula>
    </cfRule>
  </conditionalFormatting>
  <conditionalFormatting sqref="N1946">
    <cfRule type="expression" dxfId="0" priority="4272">
      <formula>(#REF!&lt;&gt;"")*(#REF!&lt;&gt;"")</formula>
    </cfRule>
    <cfRule type="expression" dxfId="0" priority="4271">
      <formula>(#REF!&lt;&gt;"")*(#REF!&lt;&gt;"")</formula>
    </cfRule>
  </conditionalFormatting>
  <conditionalFormatting sqref="P1946:Q1946">
    <cfRule type="expression" dxfId="1" priority="4275">
      <formula>(#REF!&lt;&gt;"")*(#REF!&lt;&gt;"")</formula>
    </cfRule>
  </conditionalFormatting>
  <conditionalFormatting sqref="Q1946">
    <cfRule type="expression" dxfId="0" priority="4273">
      <formula>(#REF!&lt;&gt;"")*(#REF!&lt;&gt;"")</formula>
    </cfRule>
  </conditionalFormatting>
  <conditionalFormatting sqref="N1947">
    <cfRule type="expression" dxfId="0" priority="3932">
      <formula>(#REF!&lt;&gt;"")*(#REF!&lt;&gt;"")</formula>
    </cfRule>
    <cfRule type="expression" dxfId="0" priority="3931">
      <formula>(#REF!&lt;&gt;"")*(#REF!&lt;&gt;"")</formula>
    </cfRule>
  </conditionalFormatting>
  <conditionalFormatting sqref="P1947:Q1947">
    <cfRule type="expression" dxfId="1" priority="3935">
      <formula>(#REF!&lt;&gt;"")*(#REF!&lt;&gt;"")</formula>
    </cfRule>
  </conditionalFormatting>
  <conditionalFormatting sqref="Q1947">
    <cfRule type="expression" dxfId="0" priority="3933">
      <formula>(#REF!&lt;&gt;"")*(#REF!&lt;&gt;"")</formula>
    </cfRule>
  </conditionalFormatting>
  <conditionalFormatting sqref="T1947">
    <cfRule type="expression" dxfId="0" priority="3937">
      <formula>(#REF!&lt;&gt;"")*(#REF!&lt;&gt;"")</formula>
    </cfRule>
  </conditionalFormatting>
  <conditionalFormatting sqref="N1949">
    <cfRule type="expression" dxfId="0" priority="3924">
      <formula>(#REF!&lt;&gt;"")*(#REF!&lt;&gt;"")</formula>
    </cfRule>
    <cfRule type="expression" dxfId="0" priority="3923">
      <formula>(#REF!&lt;&gt;"")*(#REF!&lt;&gt;"")</formula>
    </cfRule>
  </conditionalFormatting>
  <conditionalFormatting sqref="P1949:Q1949">
    <cfRule type="expression" dxfId="1" priority="3927">
      <formula>(#REF!&lt;&gt;"")*(#REF!&lt;&gt;"")</formula>
    </cfRule>
  </conditionalFormatting>
  <conditionalFormatting sqref="Q1949">
    <cfRule type="expression" dxfId="0" priority="3925">
      <formula>(#REF!&lt;&gt;"")*(#REF!&lt;&gt;"")</formula>
    </cfRule>
  </conditionalFormatting>
  <conditionalFormatting sqref="T1949">
    <cfRule type="expression" dxfId="0" priority="3929">
      <formula>(#REF!&lt;&gt;"")*(#REF!&lt;&gt;"")</formula>
    </cfRule>
  </conditionalFormatting>
  <conditionalFormatting sqref="H1950">
    <cfRule type="expression" dxfId="0" priority="3966">
      <formula>(#REF!&lt;&gt;"")*(H$1&lt;&gt;"")</formula>
    </cfRule>
  </conditionalFormatting>
  <conditionalFormatting sqref="M1950">
    <cfRule type="expression" dxfId="0" priority="3968">
      <formula>(#REF!&lt;&gt;"")*(#REF!&lt;&gt;"")</formula>
    </cfRule>
    <cfRule type="expression" dxfId="0" priority="3967">
      <formula>(#REF!&lt;&gt;"")*(#REF!&lt;&gt;"")</formula>
    </cfRule>
  </conditionalFormatting>
  <conditionalFormatting sqref="M1951">
    <cfRule type="expression" dxfId="0" priority="4302">
      <formula>(#REF!&lt;&gt;"")*(#REF!&lt;&gt;"")</formula>
    </cfRule>
  </conditionalFormatting>
  <conditionalFormatting sqref="T1951">
    <cfRule type="expression" dxfId="0" priority="4292">
      <formula>(#REF!&lt;&gt;"")*(#REF!&lt;&gt;"")</formula>
    </cfRule>
  </conditionalFormatting>
  <conditionalFormatting sqref="M1952">
    <cfRule type="expression" dxfId="0" priority="4304">
      <formula>(#REF!&lt;&gt;"")*(#REF!&lt;&gt;"")</formula>
    </cfRule>
  </conditionalFormatting>
  <conditionalFormatting sqref="C1953">
    <cfRule type="expression" dxfId="0" priority="4298">
      <formula>(#REF!&lt;&gt;"")*(#REF!&lt;&gt;"")</formula>
    </cfRule>
  </conditionalFormatting>
  <conditionalFormatting sqref="N1954:R1954">
    <cfRule type="expression" dxfId="0" priority="4268">
      <formula>(#REF!&lt;&gt;"")*(#REF!&lt;&gt;"")</formula>
    </cfRule>
  </conditionalFormatting>
  <conditionalFormatting sqref="P1954:Q1954">
    <cfRule type="expression" dxfId="1" priority="4269">
      <formula>(#REF!&lt;&gt;"")*(#REF!&lt;&gt;"")</formula>
    </cfRule>
  </conditionalFormatting>
  <conditionalFormatting sqref="T1954">
    <cfRule type="expression" dxfId="0" priority="4267">
      <formula>(#REF!&lt;&gt;"")*(#REF!&lt;&gt;"")</formula>
    </cfRule>
    <cfRule type="expression" dxfId="0" priority="4266">
      <formula>(#REF!&lt;&gt;"")*(#REF!&lt;&gt;"")</formula>
    </cfRule>
  </conditionalFormatting>
  <conditionalFormatting sqref="M1957">
    <cfRule type="expression" dxfId="0" priority="4265">
      <formula>(#REF!&lt;&gt;"")*(#REF!&lt;&gt;"")</formula>
    </cfRule>
  </conditionalFormatting>
  <conditionalFormatting sqref="A1967">
    <cfRule type="expression" dxfId="0" priority="3922">
      <formula>(#REF!&lt;&gt;"")*(#REF!&lt;&gt;"")</formula>
    </cfRule>
  </conditionalFormatting>
  <conditionalFormatting sqref="M1967">
    <cfRule type="expression" dxfId="0" priority="3919">
      <formula>(#REF!&lt;&gt;"")*(#REF!&lt;&gt;"")</formula>
    </cfRule>
  </conditionalFormatting>
  <conditionalFormatting sqref="P1967:Q1967">
    <cfRule type="expression" dxfId="1" priority="3920">
      <formula>(#REF!&lt;&gt;"")*(#REF!&lt;&gt;"")</formula>
    </cfRule>
  </conditionalFormatting>
  <conditionalFormatting sqref="R1967">
    <cfRule type="expression" dxfId="0" priority="3902">
      <formula>(#REF!&lt;&gt;"")*(#REF!&lt;&gt;"")</formula>
    </cfRule>
  </conditionalFormatting>
  <conditionalFormatting sqref="T1967">
    <cfRule type="expression" dxfId="0" priority="3916">
      <formula>(#REF!&lt;&gt;"")*(#REF!&lt;&gt;"")</formula>
    </cfRule>
  </conditionalFormatting>
  <conditionalFormatting sqref="A1968">
    <cfRule type="expression" dxfId="0" priority="3915">
      <formula>(#REF!&lt;&gt;"")*(#REF!&lt;&gt;"")</formula>
    </cfRule>
  </conditionalFormatting>
  <conditionalFormatting sqref="M1968">
    <cfRule type="expression" dxfId="0" priority="3912">
      <formula>(#REF!&lt;&gt;"")*(#REF!&lt;&gt;"")</formula>
    </cfRule>
  </conditionalFormatting>
  <conditionalFormatting sqref="N1968">
    <cfRule type="expression" dxfId="0" priority="3905">
      <formula>(#REF!&lt;&gt;"")*(#REF!&lt;&gt;"")</formula>
    </cfRule>
    <cfRule type="expression" dxfId="0" priority="3904">
      <formula>(#REF!&lt;&gt;"")*(#REF!&lt;&gt;"")</formula>
    </cfRule>
  </conditionalFormatting>
  <conditionalFormatting sqref="O1968">
    <cfRule type="expression" dxfId="0" priority="3908">
      <formula>(#REF!&lt;&gt;"")*(#REF!&lt;&gt;"")</formula>
    </cfRule>
  </conditionalFormatting>
  <conditionalFormatting sqref="O1968:P1968">
    <cfRule type="expression" dxfId="0" priority="3906">
      <formula>(#REF!&lt;&gt;"")*(#REF!&lt;&gt;"")</formula>
    </cfRule>
  </conditionalFormatting>
  <conditionalFormatting sqref="P1968">
    <cfRule type="expression" dxfId="1" priority="3907">
      <formula>(#REF!&lt;&gt;"")*(#REF!&lt;&gt;"")</formula>
    </cfRule>
  </conditionalFormatting>
  <conditionalFormatting sqref="Q1968">
    <cfRule type="expression" dxfId="1" priority="3913">
      <formula>(#REF!&lt;&gt;"")*(#REF!&lt;&gt;"")</formula>
    </cfRule>
  </conditionalFormatting>
  <conditionalFormatting sqref="R1968">
    <cfRule type="expression" dxfId="0" priority="3903">
      <formula>(#REF!&lt;&gt;"")*(#REF!&lt;&gt;"")</formula>
    </cfRule>
  </conditionalFormatting>
  <conditionalFormatting sqref="T1968">
    <cfRule type="expression" dxfId="0" priority="3909">
      <formula>(#REF!&lt;&gt;"")*(#REF!&lt;&gt;"")</formula>
    </cfRule>
  </conditionalFormatting>
  <conditionalFormatting sqref="A1969">
    <cfRule type="expression" dxfId="0" priority="3901">
      <formula>(#REF!&lt;&gt;"")*(#REF!&lt;&gt;"")</formula>
    </cfRule>
  </conditionalFormatting>
  <conditionalFormatting sqref="M1969">
    <cfRule type="expression" dxfId="0" priority="3898">
      <formula>(#REF!&lt;&gt;"")*(#REF!&lt;&gt;"")</formula>
    </cfRule>
  </conditionalFormatting>
  <conditionalFormatting sqref="N1969">
    <cfRule type="expression" dxfId="0" priority="3891">
      <formula>(#REF!&lt;&gt;"")*(#REF!&lt;&gt;"")</formula>
    </cfRule>
    <cfRule type="expression" dxfId="0" priority="3890">
      <formula>(#REF!&lt;&gt;"")*(#REF!&lt;&gt;"")</formula>
    </cfRule>
  </conditionalFormatting>
  <conditionalFormatting sqref="O1969">
    <cfRule type="expression" dxfId="0" priority="3894">
      <formula>(#REF!&lt;&gt;"")*(#REF!&lt;&gt;"")</formula>
    </cfRule>
  </conditionalFormatting>
  <conditionalFormatting sqref="O1969:P1969">
    <cfRule type="expression" dxfId="0" priority="3892">
      <formula>(#REF!&lt;&gt;"")*(#REF!&lt;&gt;"")</formula>
    </cfRule>
  </conditionalFormatting>
  <conditionalFormatting sqref="P1969">
    <cfRule type="expression" dxfId="1" priority="3893">
      <formula>(#REF!&lt;&gt;"")*(#REF!&lt;&gt;"")</formula>
    </cfRule>
  </conditionalFormatting>
  <conditionalFormatting sqref="Q1969">
    <cfRule type="expression" dxfId="1" priority="3899">
      <formula>(#REF!&lt;&gt;"")*(#REF!&lt;&gt;"")</formula>
    </cfRule>
  </conditionalFormatting>
  <conditionalFormatting sqref="R1969">
    <cfRule type="expression" dxfId="0" priority="3889">
      <formula>(#REF!&lt;&gt;"")*(#REF!&lt;&gt;"")</formula>
    </cfRule>
  </conditionalFormatting>
  <conditionalFormatting sqref="T1969">
    <cfRule type="expression" dxfId="0" priority="3895">
      <formula>(#REF!&lt;&gt;"")*(#REF!&lt;&gt;"")</formula>
    </cfRule>
  </conditionalFormatting>
  <conditionalFormatting sqref="A1970">
    <cfRule type="expression" dxfId="0" priority="3888">
      <formula>(#REF!&lt;&gt;"")*(#REF!&lt;&gt;"")</formula>
    </cfRule>
  </conditionalFormatting>
  <conditionalFormatting sqref="M1970">
    <cfRule type="expression" dxfId="0" priority="3885">
      <formula>(#REF!&lt;&gt;"")*(#REF!&lt;&gt;"")</formula>
    </cfRule>
  </conditionalFormatting>
  <conditionalFormatting sqref="N1970">
    <cfRule type="expression" dxfId="0" priority="3878">
      <formula>(#REF!&lt;&gt;"")*(#REF!&lt;&gt;"")</formula>
    </cfRule>
    <cfRule type="expression" dxfId="0" priority="3877">
      <formula>(#REF!&lt;&gt;"")*(#REF!&lt;&gt;"")</formula>
    </cfRule>
  </conditionalFormatting>
  <conditionalFormatting sqref="O1970">
    <cfRule type="expression" dxfId="0" priority="3881">
      <formula>(#REF!&lt;&gt;"")*(#REF!&lt;&gt;"")</formula>
    </cfRule>
  </conditionalFormatting>
  <conditionalFormatting sqref="O1970:P1970">
    <cfRule type="expression" dxfId="0" priority="3879">
      <formula>(#REF!&lt;&gt;"")*(#REF!&lt;&gt;"")</formula>
    </cfRule>
  </conditionalFormatting>
  <conditionalFormatting sqref="P1970">
    <cfRule type="expression" dxfId="1" priority="3880">
      <formula>(#REF!&lt;&gt;"")*(#REF!&lt;&gt;"")</formula>
    </cfRule>
  </conditionalFormatting>
  <conditionalFormatting sqref="Q1970">
    <cfRule type="expression" dxfId="1" priority="3886">
      <formula>(#REF!&lt;&gt;"")*(#REF!&lt;&gt;"")</formula>
    </cfRule>
  </conditionalFormatting>
  <conditionalFormatting sqref="R1970">
    <cfRule type="expression" dxfId="0" priority="3876">
      <formula>(#REF!&lt;&gt;"")*(#REF!&lt;&gt;"")</formula>
    </cfRule>
  </conditionalFormatting>
  <conditionalFormatting sqref="T1970">
    <cfRule type="expression" dxfId="0" priority="3882">
      <formula>(#REF!&lt;&gt;"")*(#REF!&lt;&gt;"")</formula>
    </cfRule>
  </conditionalFormatting>
  <conditionalFormatting sqref="A1971">
    <cfRule type="expression" dxfId="0" priority="3875">
      <formula>(#REF!&lt;&gt;"")*(#REF!&lt;&gt;"")</formula>
    </cfRule>
  </conditionalFormatting>
  <conditionalFormatting sqref="M1971">
    <cfRule type="expression" dxfId="0" priority="3872">
      <formula>(#REF!&lt;&gt;"")*(#REF!&lt;&gt;"")</formula>
    </cfRule>
  </conditionalFormatting>
  <conditionalFormatting sqref="N1971">
    <cfRule type="expression" dxfId="0" priority="3865">
      <formula>(#REF!&lt;&gt;"")*(#REF!&lt;&gt;"")</formula>
    </cfRule>
    <cfRule type="expression" dxfId="0" priority="3864">
      <formula>(#REF!&lt;&gt;"")*(#REF!&lt;&gt;"")</formula>
    </cfRule>
  </conditionalFormatting>
  <conditionalFormatting sqref="O1971">
    <cfRule type="expression" dxfId="0" priority="3868">
      <formula>(#REF!&lt;&gt;"")*(#REF!&lt;&gt;"")</formula>
    </cfRule>
  </conditionalFormatting>
  <conditionalFormatting sqref="O1971:P1971">
    <cfRule type="expression" dxfId="0" priority="3866">
      <formula>(#REF!&lt;&gt;"")*(#REF!&lt;&gt;"")</formula>
    </cfRule>
  </conditionalFormatting>
  <conditionalFormatting sqref="P1971">
    <cfRule type="expression" dxfId="1" priority="3867">
      <formula>(#REF!&lt;&gt;"")*(#REF!&lt;&gt;"")</formula>
    </cfRule>
  </conditionalFormatting>
  <conditionalFormatting sqref="Q1971">
    <cfRule type="expression" dxfId="1" priority="3873">
      <formula>(#REF!&lt;&gt;"")*(#REF!&lt;&gt;"")</formula>
    </cfRule>
  </conditionalFormatting>
  <conditionalFormatting sqref="R1971">
    <cfRule type="expression" dxfId="0" priority="3863">
      <formula>(#REF!&lt;&gt;"")*(#REF!&lt;&gt;"")</formula>
    </cfRule>
  </conditionalFormatting>
  <conditionalFormatting sqref="T1971">
    <cfRule type="expression" dxfId="0" priority="3869">
      <formula>(#REF!&lt;&gt;"")*(#REF!&lt;&gt;"")</formula>
    </cfRule>
  </conditionalFormatting>
  <conditionalFormatting sqref="A1972">
    <cfRule type="expression" dxfId="0" priority="3862">
      <formula>(#REF!&lt;&gt;"")*(#REF!&lt;&gt;"")</formula>
    </cfRule>
  </conditionalFormatting>
  <conditionalFormatting sqref="M1972">
    <cfRule type="expression" dxfId="0" priority="3859">
      <formula>(#REF!&lt;&gt;"")*(#REF!&lt;&gt;"")</formula>
    </cfRule>
  </conditionalFormatting>
  <conditionalFormatting sqref="N1972">
    <cfRule type="expression" dxfId="0" priority="3852">
      <formula>(#REF!&lt;&gt;"")*(#REF!&lt;&gt;"")</formula>
    </cfRule>
    <cfRule type="expression" dxfId="0" priority="3851">
      <formula>(#REF!&lt;&gt;"")*(#REF!&lt;&gt;"")</formula>
    </cfRule>
  </conditionalFormatting>
  <conditionalFormatting sqref="O1972">
    <cfRule type="expression" dxfId="0" priority="3855">
      <formula>(#REF!&lt;&gt;"")*(#REF!&lt;&gt;"")</formula>
    </cfRule>
  </conditionalFormatting>
  <conditionalFormatting sqref="O1972:P1972">
    <cfRule type="expression" dxfId="0" priority="3853">
      <formula>(#REF!&lt;&gt;"")*(#REF!&lt;&gt;"")</formula>
    </cfRule>
  </conditionalFormatting>
  <conditionalFormatting sqref="P1972">
    <cfRule type="expression" dxfId="1" priority="3854">
      <formula>(#REF!&lt;&gt;"")*(#REF!&lt;&gt;"")</formula>
    </cfRule>
  </conditionalFormatting>
  <conditionalFormatting sqref="Q1972">
    <cfRule type="expression" dxfId="1" priority="3860">
      <formula>(#REF!&lt;&gt;"")*(#REF!&lt;&gt;"")</formula>
    </cfRule>
  </conditionalFormatting>
  <conditionalFormatting sqref="R1972">
    <cfRule type="expression" dxfId="0" priority="3850">
      <formula>(#REF!&lt;&gt;"")*(#REF!&lt;&gt;"")</formula>
    </cfRule>
  </conditionalFormatting>
  <conditionalFormatting sqref="T1972">
    <cfRule type="expression" dxfId="0" priority="3856">
      <formula>(#REF!&lt;&gt;"")*(#REF!&lt;&gt;"")</formula>
    </cfRule>
  </conditionalFormatting>
  <conditionalFormatting sqref="A1973">
    <cfRule type="expression" dxfId="0" priority="3849">
      <formula>(#REF!&lt;&gt;"")*(#REF!&lt;&gt;"")</formula>
    </cfRule>
  </conditionalFormatting>
  <conditionalFormatting sqref="M1973">
    <cfRule type="expression" dxfId="0" priority="3846">
      <formula>(#REF!&lt;&gt;"")*(#REF!&lt;&gt;"")</formula>
    </cfRule>
  </conditionalFormatting>
  <conditionalFormatting sqref="N1973">
    <cfRule type="expression" dxfId="0" priority="3839">
      <formula>(#REF!&lt;&gt;"")*(#REF!&lt;&gt;"")</formula>
    </cfRule>
    <cfRule type="expression" dxfId="0" priority="3838">
      <formula>(#REF!&lt;&gt;"")*(#REF!&lt;&gt;"")</formula>
    </cfRule>
  </conditionalFormatting>
  <conditionalFormatting sqref="O1973">
    <cfRule type="expression" dxfId="0" priority="3842">
      <formula>(#REF!&lt;&gt;"")*(#REF!&lt;&gt;"")</formula>
    </cfRule>
  </conditionalFormatting>
  <conditionalFormatting sqref="O1973:P1973">
    <cfRule type="expression" dxfId="0" priority="3840">
      <formula>(#REF!&lt;&gt;"")*(#REF!&lt;&gt;"")</formula>
    </cfRule>
  </conditionalFormatting>
  <conditionalFormatting sqref="P1973">
    <cfRule type="expression" dxfId="1" priority="3841">
      <formula>(#REF!&lt;&gt;"")*(#REF!&lt;&gt;"")</formula>
    </cfRule>
  </conditionalFormatting>
  <conditionalFormatting sqref="Q1973">
    <cfRule type="expression" dxfId="1" priority="3847">
      <formula>(#REF!&lt;&gt;"")*(#REF!&lt;&gt;"")</formula>
    </cfRule>
  </conditionalFormatting>
  <conditionalFormatting sqref="R1973">
    <cfRule type="expression" dxfId="0" priority="3837">
      <formula>(#REF!&lt;&gt;"")*(#REF!&lt;&gt;"")</formula>
    </cfRule>
  </conditionalFormatting>
  <conditionalFormatting sqref="T1973">
    <cfRule type="expression" dxfId="0" priority="3843">
      <formula>(#REF!&lt;&gt;"")*(#REF!&lt;&gt;"")</formula>
    </cfRule>
  </conditionalFormatting>
  <conditionalFormatting sqref="A1974">
    <cfRule type="expression" dxfId="0" priority="3836">
      <formula>(#REF!&lt;&gt;"")*(#REF!&lt;&gt;"")</formula>
    </cfRule>
  </conditionalFormatting>
  <conditionalFormatting sqref="M1974">
    <cfRule type="expression" dxfId="0" priority="3833">
      <formula>(#REF!&lt;&gt;"")*(#REF!&lt;&gt;"")</formula>
    </cfRule>
  </conditionalFormatting>
  <conditionalFormatting sqref="N1974">
    <cfRule type="expression" dxfId="0" priority="3826">
      <formula>(#REF!&lt;&gt;"")*(#REF!&lt;&gt;"")</formula>
    </cfRule>
    <cfRule type="expression" dxfId="0" priority="3825">
      <formula>(#REF!&lt;&gt;"")*(#REF!&lt;&gt;"")</formula>
    </cfRule>
  </conditionalFormatting>
  <conditionalFormatting sqref="O1974">
    <cfRule type="expression" dxfId="0" priority="3829">
      <formula>(#REF!&lt;&gt;"")*(#REF!&lt;&gt;"")</formula>
    </cfRule>
  </conditionalFormatting>
  <conditionalFormatting sqref="O1974:P1974">
    <cfRule type="expression" dxfId="0" priority="3827">
      <formula>(#REF!&lt;&gt;"")*(#REF!&lt;&gt;"")</formula>
    </cfRule>
  </conditionalFormatting>
  <conditionalFormatting sqref="P1974">
    <cfRule type="expression" dxfId="1" priority="3828">
      <formula>(#REF!&lt;&gt;"")*(#REF!&lt;&gt;"")</formula>
    </cfRule>
  </conditionalFormatting>
  <conditionalFormatting sqref="Q1974">
    <cfRule type="expression" dxfId="1" priority="3834">
      <formula>(#REF!&lt;&gt;"")*(#REF!&lt;&gt;"")</formula>
    </cfRule>
  </conditionalFormatting>
  <conditionalFormatting sqref="R1974">
    <cfRule type="expression" dxfId="0" priority="3824">
      <formula>(#REF!&lt;&gt;"")*(#REF!&lt;&gt;"")</formula>
    </cfRule>
  </conditionalFormatting>
  <conditionalFormatting sqref="T1974">
    <cfRule type="expression" dxfId="0" priority="3830">
      <formula>(#REF!&lt;&gt;"")*(#REF!&lt;&gt;"")</formula>
    </cfRule>
  </conditionalFormatting>
  <conditionalFormatting sqref="A1975">
    <cfRule type="expression" dxfId="0" priority="3823">
      <formula>(#REF!&lt;&gt;"")*(#REF!&lt;&gt;"")</formula>
    </cfRule>
  </conditionalFormatting>
  <conditionalFormatting sqref="M1975">
    <cfRule type="expression" dxfId="0" priority="3820">
      <formula>(#REF!&lt;&gt;"")*(#REF!&lt;&gt;"")</formula>
    </cfRule>
  </conditionalFormatting>
  <conditionalFormatting sqref="N1975">
    <cfRule type="expression" dxfId="0" priority="3813">
      <formula>(#REF!&lt;&gt;"")*(#REF!&lt;&gt;"")</formula>
    </cfRule>
    <cfRule type="expression" dxfId="0" priority="3812">
      <formula>(#REF!&lt;&gt;"")*(#REF!&lt;&gt;"")</formula>
    </cfRule>
  </conditionalFormatting>
  <conditionalFormatting sqref="O1975">
    <cfRule type="expression" dxfId="0" priority="3816">
      <formula>(#REF!&lt;&gt;"")*(#REF!&lt;&gt;"")</formula>
    </cfRule>
  </conditionalFormatting>
  <conditionalFormatting sqref="O1975:P1975">
    <cfRule type="expression" dxfId="0" priority="3814">
      <formula>(#REF!&lt;&gt;"")*(#REF!&lt;&gt;"")</formula>
    </cfRule>
  </conditionalFormatting>
  <conditionalFormatting sqref="P1975">
    <cfRule type="expression" dxfId="1" priority="3815">
      <formula>(#REF!&lt;&gt;"")*(#REF!&lt;&gt;"")</formula>
    </cfRule>
  </conditionalFormatting>
  <conditionalFormatting sqref="Q1975">
    <cfRule type="expression" dxfId="1" priority="3821">
      <formula>(#REF!&lt;&gt;"")*(#REF!&lt;&gt;"")</formula>
    </cfRule>
  </conditionalFormatting>
  <conditionalFormatting sqref="R1975">
    <cfRule type="expression" dxfId="0" priority="3811">
      <formula>(#REF!&lt;&gt;"")*(#REF!&lt;&gt;"")</formula>
    </cfRule>
  </conditionalFormatting>
  <conditionalFormatting sqref="T1975">
    <cfRule type="expression" dxfId="0" priority="3817">
      <formula>(#REF!&lt;&gt;"")*(#REF!&lt;&gt;"")</formula>
    </cfRule>
  </conditionalFormatting>
  <conditionalFormatting sqref="H1976">
    <cfRule type="expression" dxfId="0" priority="3963">
      <formula>(#REF!&lt;&gt;"")*(H$1&lt;&gt;"")</formula>
    </cfRule>
  </conditionalFormatting>
  <conditionalFormatting sqref="M1976">
    <cfRule type="expression" dxfId="0" priority="3965">
      <formula>(#REF!&lt;&gt;"")*(#REF!&lt;&gt;"")</formula>
    </cfRule>
    <cfRule type="expression" dxfId="0" priority="3964">
      <formula>(#REF!&lt;&gt;"")*(#REF!&lt;&gt;"")</formula>
    </cfRule>
  </conditionalFormatting>
  <conditionalFormatting sqref="M1979">
    <cfRule type="expression" dxfId="0" priority="4284">
      <formula>(#REF!&lt;&gt;"")*(#REF!&lt;&gt;"")</formula>
    </cfRule>
  </conditionalFormatting>
  <conditionalFormatting sqref="T1979">
    <cfRule type="expression" dxfId="0" priority="4282">
      <formula>(#REF!&lt;&gt;"")*(#REF!&lt;&gt;"")</formula>
    </cfRule>
  </conditionalFormatting>
  <conditionalFormatting sqref="Q1984">
    <cfRule type="expression" dxfId="0" priority="4285">
      <formula>(#REF!&lt;&gt;"")*(#REF!&lt;&gt;"")</formula>
    </cfRule>
  </conditionalFormatting>
  <conditionalFormatting sqref="M1985">
    <cfRule type="expression" dxfId="0" priority="4288">
      <formula>(#REF!&lt;&gt;"")*(#REF!&lt;&gt;"")</formula>
    </cfRule>
  </conditionalFormatting>
  <conditionalFormatting sqref="Q1985">
    <cfRule type="expression" dxfId="0" priority="4281">
      <formula>(#REF!&lt;&gt;"")*(#REF!&lt;&gt;"")</formula>
    </cfRule>
    <cfRule type="expression" dxfId="0" priority="4280">
      <formula>(#REF!&lt;&gt;"")*(#REF!&lt;&gt;"")</formula>
    </cfRule>
    <cfRule type="expression" dxfId="1" priority="4277">
      <formula>(#REF!&lt;&gt;"")*(#REF!&lt;&gt;"")</formula>
    </cfRule>
  </conditionalFormatting>
  <conditionalFormatting sqref="M1986">
    <cfRule type="expression" dxfId="0" priority="4279">
      <formula>(#REF!&lt;&gt;"")*(#REF!&lt;&gt;"")</formula>
    </cfRule>
  </conditionalFormatting>
  <conditionalFormatting sqref="Q1986">
    <cfRule type="expression" dxfId="0" priority="4286">
      <formula>(#REF!&lt;&gt;"")*(#REF!&lt;&gt;"")</formula>
    </cfRule>
  </conditionalFormatting>
  <conditionalFormatting sqref="Q1986:R1986">
    <cfRule type="expression" dxfId="0" priority="4278">
      <formula>(#REF!&lt;&gt;"")*(#REF!&lt;&gt;"")</formula>
    </cfRule>
  </conditionalFormatting>
  <conditionalFormatting sqref="M1989">
    <cfRule type="expression" dxfId="0" priority="4251">
      <formula>(#REF!&lt;&gt;"")*(#REF!&lt;&gt;"")</formula>
    </cfRule>
  </conditionalFormatting>
  <conditionalFormatting sqref="Q1989">
    <cfRule type="expression" dxfId="0" priority="4225">
      <formula>(#REF!&lt;&gt;"")*(#REF!&lt;&gt;"")</formula>
    </cfRule>
  </conditionalFormatting>
  <conditionalFormatting sqref="A1996">
    <cfRule type="expression" dxfId="0" priority="4255">
      <formula>(#REF!&lt;&gt;"")*(#REF!&lt;&gt;"")</formula>
    </cfRule>
  </conditionalFormatting>
  <conditionalFormatting sqref="G1996">
    <cfRule type="expression" dxfId="0" priority="4254">
      <formula>(#REF!&lt;&gt;"")*(#REF!&lt;&gt;"")</formula>
    </cfRule>
  </conditionalFormatting>
  <conditionalFormatting sqref="N1999">
    <cfRule type="expression" dxfId="0" priority="4229">
      <formula>(#REF!&lt;&gt;"")*(#REF!&lt;&gt;"")</formula>
    </cfRule>
  </conditionalFormatting>
  <conditionalFormatting sqref="P1999:Q1999">
    <cfRule type="expression" dxfId="1" priority="4230">
      <formula>(#REF!&lt;&gt;"")*(#REF!&lt;&gt;"")</formula>
    </cfRule>
  </conditionalFormatting>
  <conditionalFormatting sqref="Q2005">
    <cfRule type="expression" dxfId="0" priority="4252">
      <formula>(#REF!&lt;&gt;"")*(#REF!&lt;&gt;"")</formula>
    </cfRule>
  </conditionalFormatting>
  <conditionalFormatting sqref="M2022">
    <cfRule type="expression" dxfId="0" priority="4247">
      <formula>(#REF!&lt;&gt;"")*(#REF!&lt;&gt;"")</formula>
    </cfRule>
  </conditionalFormatting>
  <conditionalFormatting sqref="Q2023">
    <cfRule type="expression" dxfId="0" priority="4221">
      <formula>(#REF!&lt;&gt;"")*(#REF!&lt;&gt;"")</formula>
    </cfRule>
  </conditionalFormatting>
  <conditionalFormatting sqref="Q2025">
    <cfRule type="expression" dxfId="0" priority="4222">
      <formula>(#REF!&lt;&gt;"")*(#REF!&lt;&gt;"")</formula>
    </cfRule>
  </conditionalFormatting>
  <conditionalFormatting sqref="M2030">
    <cfRule type="expression" dxfId="1" priority="4220">
      <formula>(#REF!&lt;&gt;"")*(M$1&lt;&gt;"")</formula>
    </cfRule>
  </conditionalFormatting>
  <conditionalFormatting sqref="M2031">
    <cfRule type="expression" dxfId="1" priority="4217">
      <formula>(#REF!&lt;&gt;"")*(M$1&lt;&gt;"")</formula>
    </cfRule>
  </conditionalFormatting>
  <conditionalFormatting sqref="M2032">
    <cfRule type="expression" dxfId="1" priority="4218">
      <formula>(#REF!&lt;&gt;"")*(M$1&lt;&gt;"")</formula>
    </cfRule>
  </conditionalFormatting>
  <conditionalFormatting sqref="M2033">
    <cfRule type="expression" dxfId="1" priority="4219">
      <formula>(#REF!&lt;&gt;"")*(M$1&lt;&gt;"")</formula>
    </cfRule>
  </conditionalFormatting>
  <conditionalFormatting sqref="M2047">
    <cfRule type="expression" dxfId="0" priority="4234">
      <formula>(#REF!&lt;&gt;"")*(#REF!&lt;&gt;"")</formula>
    </cfRule>
  </conditionalFormatting>
  <conditionalFormatting sqref="P2083">
    <cfRule type="expression" dxfId="1" priority="4024">
      <formula>(#REF!&lt;&gt;"")*(#REF!&lt;&gt;"")</formula>
    </cfRule>
  </conditionalFormatting>
  <conditionalFormatting sqref="Q2083">
    <cfRule type="expression" dxfId="1" priority="4025">
      <formula>(#REF!&lt;&gt;"")*(#REF!&lt;&gt;"")</formula>
    </cfRule>
  </conditionalFormatting>
  <conditionalFormatting sqref="P2084">
    <cfRule type="expression" dxfId="1" priority="4022">
      <formula>(#REF!&lt;&gt;"")*(#REF!&lt;&gt;"")</formula>
    </cfRule>
  </conditionalFormatting>
  <conditionalFormatting sqref="Q2084">
    <cfRule type="expression" dxfId="1" priority="4023">
      <formula>(#REF!&lt;&gt;"")*(#REF!&lt;&gt;"")</formula>
    </cfRule>
  </conditionalFormatting>
  <conditionalFormatting sqref="P2085">
    <cfRule type="expression" dxfId="1" priority="4202">
      <formula>(#REF!&lt;&gt;"")*(#REF!&lt;&gt;"")</formula>
    </cfRule>
  </conditionalFormatting>
  <conditionalFormatting sqref="Q2085">
    <cfRule type="expression" dxfId="1" priority="4203">
      <formula>(#REF!&lt;&gt;"")*(#REF!&lt;&gt;"")</formula>
    </cfRule>
  </conditionalFormatting>
  <conditionalFormatting sqref="M2091">
    <cfRule type="expression" dxfId="0" priority="4041">
      <formula>(#REF!&lt;&gt;"")*(#REF!&lt;&gt;"")</formula>
    </cfRule>
  </conditionalFormatting>
  <conditionalFormatting sqref="Q2091">
    <cfRule type="expression" dxfId="0" priority="4042">
      <formula>(#REF!&lt;&gt;"")*(#REF!&lt;&gt;"")</formula>
    </cfRule>
  </conditionalFormatting>
  <conditionalFormatting sqref="M2092">
    <cfRule type="expression" dxfId="0" priority="4039">
      <formula>(#REF!&lt;&gt;"")*(#REF!&lt;&gt;"")</formula>
    </cfRule>
  </conditionalFormatting>
  <conditionalFormatting sqref="Q2092">
    <cfRule type="expression" dxfId="0" priority="4040">
      <formula>(#REF!&lt;&gt;"")*(#REF!&lt;&gt;"")</formula>
    </cfRule>
  </conditionalFormatting>
  <conditionalFormatting sqref="M2095">
    <cfRule type="expression" dxfId="0" priority="4037">
      <formula>(#REF!&lt;&gt;"")*(#REF!&lt;&gt;"")</formula>
    </cfRule>
  </conditionalFormatting>
  <conditionalFormatting sqref="Q2095">
    <cfRule type="expression" dxfId="0" priority="4038">
      <formula>(#REF!&lt;&gt;"")*(#REF!&lt;&gt;"")</formula>
    </cfRule>
  </conditionalFormatting>
  <conditionalFormatting sqref="M2097">
    <cfRule type="expression" dxfId="0" priority="4131">
      <formula>(#REF!&lt;&gt;"")*(#REF!&lt;&gt;"")</formula>
    </cfRule>
  </conditionalFormatting>
  <conditionalFormatting sqref="Q2097">
    <cfRule type="expression" dxfId="0" priority="4132">
      <formula>(#REF!&lt;&gt;"")*(#REF!&lt;&gt;"")</formula>
    </cfRule>
  </conditionalFormatting>
  <conditionalFormatting sqref="Q2098">
    <cfRule type="expression" dxfId="0" priority="4197">
      <formula>(#REF!&lt;&gt;"")*(#REF!&lt;&gt;"")</formula>
    </cfRule>
  </conditionalFormatting>
  <conditionalFormatting sqref="Q2112">
    <cfRule type="expression" dxfId="0" priority="4196">
      <formula>(#REF!&lt;&gt;"")*(#REF!&lt;&gt;"")</formula>
    </cfRule>
  </conditionalFormatting>
  <conditionalFormatting sqref="Q2132">
    <cfRule type="expression" dxfId="0" priority="4106">
      <formula>(#REF!&lt;&gt;"")*(#REF!&lt;&gt;"")</formula>
    </cfRule>
  </conditionalFormatting>
  <conditionalFormatting sqref="M2136">
    <cfRule type="expression" dxfId="0" priority="4118">
      <formula>(#REF!&lt;&gt;"")*(#REF!&lt;&gt;"")</formula>
    </cfRule>
  </conditionalFormatting>
  <conditionalFormatting sqref="Q2136">
    <cfRule type="expression" dxfId="0" priority="4117">
      <formula>(#REF!&lt;&gt;"")*(#REF!&lt;&gt;"")</formula>
    </cfRule>
  </conditionalFormatting>
  <conditionalFormatting sqref="M2137">
    <cfRule type="expression" dxfId="0" priority="4116">
      <formula>(#REF!&lt;&gt;"")*(#REF!&lt;&gt;"")</formula>
    </cfRule>
  </conditionalFormatting>
  <conditionalFormatting sqref="Q2137">
    <cfRule type="expression" dxfId="0" priority="4115">
      <formula>(#REF!&lt;&gt;"")*(#REF!&lt;&gt;"")</formula>
    </cfRule>
  </conditionalFormatting>
  <conditionalFormatting sqref="Q2149">
    <cfRule type="expression" dxfId="0" priority="4107">
      <formula>(#REF!&lt;&gt;"")*(#REF!&lt;&gt;"")</formula>
    </cfRule>
  </conditionalFormatting>
  <conditionalFormatting sqref="J2157">
    <cfRule type="expression" dxfId="1" priority="4080">
      <formula>(#REF!&lt;&gt;"")*(J$1&lt;&gt;"")</formula>
    </cfRule>
  </conditionalFormatting>
  <conditionalFormatting sqref="M2157">
    <cfRule type="expression" dxfId="0" priority="4081">
      <formula>(#REF!&lt;&gt;"")*(#REF!&lt;&gt;"")</formula>
    </cfRule>
  </conditionalFormatting>
  <conditionalFormatting sqref="J2158">
    <cfRule type="expression" dxfId="1" priority="4078">
      <formula>(#REF!&lt;&gt;"")*(J$1&lt;&gt;"")</formula>
    </cfRule>
  </conditionalFormatting>
  <conditionalFormatting sqref="M2158">
    <cfRule type="expression" dxfId="0" priority="4079">
      <formula>(#REF!&lt;&gt;"")*(#REF!&lt;&gt;"")</formula>
    </cfRule>
  </conditionalFormatting>
  <conditionalFormatting sqref="J2193">
    <cfRule type="expression" dxfId="1" priority="3998">
      <formula>(#REF!&lt;&gt;"")*(J$1&lt;&gt;"")</formula>
    </cfRule>
  </conditionalFormatting>
  <conditionalFormatting sqref="M2193">
    <cfRule type="expression" dxfId="0" priority="3999">
      <formula>(#REF!&lt;&gt;"")*(#REF!&lt;&gt;"")</formula>
    </cfRule>
  </conditionalFormatting>
  <conditionalFormatting sqref="J2218">
    <cfRule type="expression" dxfId="1" priority="3990">
      <formula>(#REF!&lt;&gt;"")*(J$1&lt;&gt;"")</formula>
    </cfRule>
  </conditionalFormatting>
  <conditionalFormatting sqref="M2218">
    <cfRule type="expression" dxfId="0" priority="3991">
      <formula>(#REF!&lt;&gt;"")*(#REF!&lt;&gt;"")</formula>
    </cfRule>
  </conditionalFormatting>
  <conditionalFormatting sqref="J2219">
    <cfRule type="expression" dxfId="1" priority="3988">
      <formula>(#REF!&lt;&gt;"")*(J$1&lt;&gt;"")</formula>
    </cfRule>
  </conditionalFormatting>
  <conditionalFormatting sqref="M2234">
    <cfRule type="expression" dxfId="0" priority="3810">
      <formula>(#REF!&lt;&gt;"")*(#REF!&lt;&gt;"")</formula>
    </cfRule>
  </conditionalFormatting>
  <conditionalFormatting sqref="M2235">
    <cfRule type="expression" dxfId="0" priority="3809">
      <formula>(#REF!&lt;&gt;"")*(#REF!&lt;&gt;"")</formula>
    </cfRule>
  </conditionalFormatting>
  <conditionalFormatting sqref="M2236">
    <cfRule type="expression" dxfId="0" priority="3808">
      <formula>(#REF!&lt;&gt;"")*(#REF!&lt;&gt;"")</formula>
    </cfRule>
  </conditionalFormatting>
  <conditionalFormatting sqref="E2242:G2242">
    <cfRule type="expression" dxfId="0" priority="3806">
      <formula>(#REF!&lt;&gt;"")*(#REF!&lt;&gt;"")</formula>
    </cfRule>
  </conditionalFormatting>
  <conditionalFormatting sqref="M2242">
    <cfRule type="expression" dxfId="0" priority="3801">
      <formula>(#REF!&lt;&gt;"")*(#REF!&lt;&gt;"")</formula>
    </cfRule>
  </conditionalFormatting>
  <conditionalFormatting sqref="N2242">
    <cfRule type="expression" dxfId="0" priority="3799">
      <formula>(#REF!&lt;&gt;"")*(#REF!&lt;&gt;"")</formula>
    </cfRule>
    <cfRule type="expression" dxfId="0" priority="3798">
      <formula>(#REF!&lt;&gt;"")*(#REF!&lt;&gt;"")</formula>
    </cfRule>
  </conditionalFormatting>
  <conditionalFormatting sqref="O2242">
    <cfRule type="expression" dxfId="0" priority="3802">
      <formula>(#REF!&lt;&gt;"")*(#REF!&lt;&gt;"")</formula>
    </cfRule>
  </conditionalFormatting>
  <conditionalFormatting sqref="P2242:Q2242">
    <cfRule type="expression" dxfId="0" priority="3800">
      <formula>(#REF!&lt;&gt;"")*(#REF!&lt;&gt;"")</formula>
    </cfRule>
    <cfRule type="expression" dxfId="1" priority="3804">
      <formula>(#REF!&lt;&gt;"")*(#REF!&lt;&gt;"")</formula>
    </cfRule>
  </conditionalFormatting>
  <conditionalFormatting sqref="R2242">
    <cfRule type="expression" dxfId="0" priority="3805">
      <formula>(#REF!&lt;&gt;"")*(#REF!&lt;&gt;"")</formula>
    </cfRule>
  </conditionalFormatting>
  <conditionalFormatting sqref="T2242">
    <cfRule type="expression" dxfId="0" priority="3795">
      <formula>(#REF!&lt;&gt;"")*(#REF!&lt;&gt;"")</formula>
    </cfRule>
  </conditionalFormatting>
  <conditionalFormatting sqref="P2243:Q2243">
    <cfRule type="expression" dxfId="1" priority="3796">
      <formula>(#REF!&lt;&gt;"")*(#REF!&lt;&gt;"")</formula>
    </cfRule>
  </conditionalFormatting>
  <conditionalFormatting sqref="T2243">
    <cfRule type="expression" dxfId="0" priority="3793">
      <formula>(#REF!&lt;&gt;"")*(#REF!&lt;&gt;"")</formula>
    </cfRule>
  </conditionalFormatting>
  <conditionalFormatting sqref="H2564">
    <cfRule type="expression" dxfId="0" priority="3630">
      <formula>(#REF!&lt;&gt;"")*(H$1&lt;&gt;"")</formula>
    </cfRule>
  </conditionalFormatting>
  <conditionalFormatting sqref="N2572">
    <cfRule type="expression" dxfId="0" priority="3407">
      <formula>(#REF!&lt;&gt;"")*(N$1&lt;&gt;"")</formula>
    </cfRule>
  </conditionalFormatting>
  <conditionalFormatting sqref="N2585">
    <cfRule type="expression" dxfId="0" priority="3323">
      <formula>(#REF!&lt;&gt;"")*(N$1&lt;&gt;"")</formula>
    </cfRule>
  </conditionalFormatting>
  <conditionalFormatting sqref="L2588">
    <cfRule type="expression" dxfId="0" priority="3531">
      <formula>(#REF!&lt;&gt;"")*(L$1&lt;&gt;"")</formula>
    </cfRule>
  </conditionalFormatting>
  <conditionalFormatting sqref="K2589:L2589">
    <cfRule type="expression" dxfId="0" priority="3530">
      <formula>(#REF!&lt;&gt;"")*(K$1&lt;&gt;"")</formula>
    </cfRule>
  </conditionalFormatting>
  <conditionalFormatting sqref="H2591">
    <cfRule type="expression" dxfId="0" priority="3279">
      <formula>(#REF!&lt;&gt;"")*(H$1&lt;&gt;"")</formula>
    </cfRule>
  </conditionalFormatting>
  <conditionalFormatting sqref="K2591:L2591">
    <cfRule type="expression" dxfId="0" priority="3280">
      <formula>(#REF!&lt;&gt;"")*(K$1&lt;&gt;"")</formula>
    </cfRule>
  </conditionalFormatting>
  <conditionalFormatting sqref="K2621">
    <cfRule type="expression" dxfId="0" priority="3450">
      <formula>(#REF!&lt;&gt;"")*(K$1&lt;&gt;"")</formula>
    </cfRule>
  </conditionalFormatting>
  <conditionalFormatting sqref="G2622">
    <cfRule type="expression" dxfId="0" priority="3502">
      <formula>(#REF!&lt;&gt;"")*(G$1&lt;&gt;"")</formula>
    </cfRule>
  </conditionalFormatting>
  <conditionalFormatting sqref="O2622">
    <cfRule type="expression" dxfId="0" priority="3501">
      <formula>(#REF!&lt;&gt;"")*(O$1&lt;&gt;"")</formula>
    </cfRule>
  </conditionalFormatting>
  <conditionalFormatting sqref="R2622">
    <cfRule type="expression" dxfId="0" priority="3504">
      <formula>(#REF!&lt;&gt;"")*(R$1&lt;&gt;"")</formula>
    </cfRule>
  </conditionalFormatting>
  <conditionalFormatting sqref="F2623">
    <cfRule type="expression" dxfId="0" priority="3364">
      <formula>(#REF!&lt;&gt;"")*(F$1&lt;&gt;"")</formula>
    </cfRule>
  </conditionalFormatting>
  <conditionalFormatting sqref="G2623">
    <cfRule type="expression" dxfId="0" priority="3367">
      <formula>(#REF!&lt;&gt;"")*(G$1&lt;&gt;"")</formula>
    </cfRule>
  </conditionalFormatting>
  <conditionalFormatting sqref="H2623">
    <cfRule type="expression" dxfId="1" priority="3365">
      <formula>(#REF!&lt;&gt;"")*(H$1&lt;&gt;"")</formula>
    </cfRule>
  </conditionalFormatting>
  <conditionalFormatting sqref="O2623">
    <cfRule type="expression" dxfId="0" priority="3366">
      <formula>(#REF!&lt;&gt;"")*(O$1&lt;&gt;"")</formula>
    </cfRule>
  </conditionalFormatting>
  <conditionalFormatting sqref="R2623">
    <cfRule type="expression" dxfId="0" priority="3369">
      <formula>(#REF!&lt;&gt;"")*(R$1&lt;&gt;"")</formula>
    </cfRule>
  </conditionalFormatting>
  <conditionalFormatting sqref="P2627">
    <cfRule type="expression" dxfId="0" priority="3426">
      <formula>(#REF!&lt;&gt;"")*(P$1&lt;&gt;"")</formula>
    </cfRule>
  </conditionalFormatting>
  <conditionalFormatting sqref="P2628">
    <cfRule type="expression" dxfId="0" priority="3425">
      <formula>(#REF!&lt;&gt;"")*(P$1&lt;&gt;"")</formula>
    </cfRule>
  </conditionalFormatting>
  <conditionalFormatting sqref="F2629">
    <cfRule type="expression" dxfId="0" priority="3360">
      <formula>(#REF!&lt;&gt;"")*(F$1&lt;&gt;"")</formula>
    </cfRule>
  </conditionalFormatting>
  <conditionalFormatting sqref="H2629">
    <cfRule type="expression" dxfId="1" priority="3362">
      <formula>(#REF!&lt;&gt;"")*(H$1&lt;&gt;"")</formula>
    </cfRule>
  </conditionalFormatting>
  <conditionalFormatting sqref="N2629">
    <cfRule type="expression" dxfId="0" priority="3359">
      <formula>(#REF!&lt;&gt;"")*(N$1&lt;&gt;"")</formula>
    </cfRule>
  </conditionalFormatting>
  <conditionalFormatting sqref="P2629">
    <cfRule type="expression" dxfId="0" priority="3361">
      <formula>(#REF!&lt;&gt;"")*(P$1&lt;&gt;"")</formula>
    </cfRule>
  </conditionalFormatting>
  <conditionalFormatting sqref="G2698">
    <cfRule type="expression" dxfId="0" priority="3602">
      <formula>(#REF!&lt;&gt;"")*(G$1&lt;&gt;"")</formula>
    </cfRule>
  </conditionalFormatting>
  <conditionalFormatting sqref="G2699">
    <cfRule type="expression" dxfId="0" priority="3596">
      <formula>(#REF!&lt;&gt;"")*(G$1&lt;&gt;"")</formula>
    </cfRule>
  </conditionalFormatting>
  <conditionalFormatting sqref="G2700">
    <cfRule type="expression" dxfId="0" priority="3594">
      <formula>(#REF!&lt;&gt;"")*(G$1&lt;&gt;"")</formula>
    </cfRule>
  </conditionalFormatting>
  <conditionalFormatting sqref="G2701">
    <cfRule type="expression" dxfId="0" priority="3598">
      <formula>(#REF!&lt;&gt;"")*(G$1&lt;&gt;"")</formula>
    </cfRule>
  </conditionalFormatting>
  <conditionalFormatting sqref="F2702:G2702">
    <cfRule type="expression" dxfId="0" priority="3551">
      <formula>(#REF!&lt;&gt;"")*(F$1&lt;&gt;"")</formula>
    </cfRule>
  </conditionalFormatting>
  <conditionalFormatting sqref="O2702">
    <cfRule type="expression" dxfId="0" priority="3550">
      <formula>(#REF!&lt;&gt;"")*(O$1&lt;&gt;"")</formula>
    </cfRule>
  </conditionalFormatting>
  <conditionalFormatting sqref="F2703">
    <cfRule type="expression" dxfId="0" priority="3393">
      <formula>(#REF!&lt;&gt;"")*(F$1&lt;&gt;"")</formula>
    </cfRule>
  </conditionalFormatting>
  <conditionalFormatting sqref="H2703">
    <cfRule type="expression" dxfId="1" priority="3290">
      <formula>(#REF!&lt;&gt;"")*(H$1&lt;&gt;"")</formula>
    </cfRule>
  </conditionalFormatting>
  <conditionalFormatting sqref="F2704:G2704">
    <cfRule type="expression" dxfId="0" priority="3391">
      <formula>(#REF!&lt;&gt;"")*(F$1&lt;&gt;"")</formula>
    </cfRule>
  </conditionalFormatting>
  <conditionalFormatting sqref="H2704">
    <cfRule type="expression" dxfId="1" priority="3389">
      <formula>(#REF!&lt;&gt;"")*(H$1&lt;&gt;"")</formula>
    </cfRule>
  </conditionalFormatting>
  <conditionalFormatting sqref="O2704">
    <cfRule type="expression" dxfId="0" priority="3390">
      <formula>(#REF!&lt;&gt;"")*(O$1&lt;&gt;"")</formula>
    </cfRule>
  </conditionalFormatting>
  <conditionalFormatting sqref="N2712">
    <cfRule type="expression" dxfId="0" priority="3489">
      <formula>(#REF!&lt;&gt;"")*(N$1&lt;&gt;"")</formula>
    </cfRule>
  </conditionalFormatting>
  <conditionalFormatting sqref="N2714">
    <cfRule type="expression" dxfId="0" priority="3350">
      <formula>(#REF!&lt;&gt;"")*(N$1&lt;&gt;"")</formula>
    </cfRule>
  </conditionalFormatting>
  <conditionalFormatting sqref="X2714">
    <cfRule type="expression" dxfId="0" priority="3346">
      <formula>(#REF!&lt;&gt;"")*(X$1&lt;&gt;"")</formula>
    </cfRule>
  </conditionalFormatting>
  <conditionalFormatting sqref="E2715">
    <cfRule type="expression" dxfId="0" priority="3343">
      <formula>(#REF!&lt;&gt;"")*(E$1&lt;&gt;"")</formula>
    </cfRule>
  </conditionalFormatting>
  <conditionalFormatting sqref="K2715">
    <cfRule type="expression" dxfId="0" priority="3344">
      <formula>(#REF!&lt;&gt;"")*(K$1&lt;&gt;"")</formula>
    </cfRule>
  </conditionalFormatting>
  <conditionalFormatting sqref="M2715">
    <cfRule type="expression" dxfId="0" priority="3347">
      <formula>(#REF!&lt;&gt;"")*(M$1&lt;&gt;"")</formula>
    </cfRule>
  </conditionalFormatting>
  <conditionalFormatting sqref="N2715">
    <cfRule type="expression" dxfId="0" priority="3348">
      <formula>(#REF!&lt;&gt;"")*(N$1&lt;&gt;"")</formula>
    </cfRule>
  </conditionalFormatting>
  <conditionalFormatting sqref="X2715">
    <cfRule type="expression" dxfId="0" priority="3345">
      <formula>(#REF!&lt;&gt;"")*(X$1&lt;&gt;"")</formula>
    </cfRule>
  </conditionalFormatting>
  <conditionalFormatting sqref="H2789">
    <cfRule type="expression" dxfId="1" priority="3395">
      <formula>(#REF!&lt;&gt;"")*(H$1&lt;&gt;"")</formula>
    </cfRule>
  </conditionalFormatting>
  <conditionalFormatting sqref="H2791">
    <cfRule type="expression" dxfId="1" priority="3296">
      <formula>(#REF!&lt;&gt;"")*(H$1&lt;&gt;"")</formula>
    </cfRule>
  </conditionalFormatting>
  <conditionalFormatting sqref="P2799">
    <cfRule type="expression" dxfId="0" priority="3665">
      <formula>(#REF!&lt;&gt;"")*(P$1&lt;&gt;"")</formula>
    </cfRule>
  </conditionalFormatting>
  <conditionalFormatting sqref="P2800">
    <cfRule type="expression" dxfId="0" priority="3554">
      <formula>(#REF!&lt;&gt;"")*(P$1&lt;&gt;"")</formula>
    </cfRule>
  </conditionalFormatting>
  <conditionalFormatting sqref="P2801">
    <cfRule type="expression" dxfId="0" priority="3555">
      <formula>(#REF!&lt;&gt;"")*(P$1&lt;&gt;"")</formula>
    </cfRule>
  </conditionalFormatting>
  <conditionalFormatting sqref="P2802">
    <cfRule type="expression" dxfId="0" priority="3677">
      <formula>(#REF!&lt;&gt;"")*(P$1&lt;&gt;"")</formula>
    </cfRule>
  </conditionalFormatting>
  <conditionalFormatting sqref="H2815">
    <cfRule type="expression" dxfId="0" priority="3423">
      <formula>(#REF!&lt;&gt;"")*(H$1&lt;&gt;"")</formula>
    </cfRule>
  </conditionalFormatting>
  <conditionalFormatting sqref="H2816">
    <cfRule type="expression" dxfId="0" priority="3294">
      <formula>(#REF!&lt;&gt;"")*(H$1&lt;&gt;"")</formula>
    </cfRule>
  </conditionalFormatting>
  <conditionalFormatting sqref="H2819">
    <cfRule type="expression" dxfId="0" priority="3262">
      <formula>(#REF!&lt;&gt;"")*(H$1&lt;&gt;"")</formula>
    </cfRule>
  </conditionalFormatting>
  <conditionalFormatting sqref="H2820">
    <cfRule type="expression" dxfId="0" priority="3580">
      <formula>(#REF!&lt;&gt;"")*(H$1&lt;&gt;"")</formula>
    </cfRule>
  </conditionalFormatting>
  <conditionalFormatting sqref="H2821">
    <cfRule type="expression" dxfId="0" priority="3385">
      <formula>(#REF!&lt;&gt;"")*(H$1&lt;&gt;"")</formula>
    </cfRule>
  </conditionalFormatting>
  <conditionalFormatting sqref="O2822">
    <cfRule type="expression" dxfId="0" priority="3656">
      <formula>(#REF!&lt;&gt;"")*(O$1&lt;&gt;"")</formula>
    </cfRule>
  </conditionalFormatting>
  <conditionalFormatting sqref="E2823">
    <cfRule type="expression" dxfId="0" priority="3657">
      <formula>(#REF!&lt;&gt;"")*(E$1&lt;&gt;"")</formula>
    </cfRule>
  </conditionalFormatting>
  <conditionalFormatting sqref="G2823">
    <cfRule type="expression" dxfId="0" priority="3658">
      <formula>(#REF!&lt;&gt;"")*(G$1&lt;&gt;"")</formula>
    </cfRule>
  </conditionalFormatting>
  <conditionalFormatting sqref="K2823">
    <cfRule type="expression" dxfId="0" priority="3669">
      <formula>(#REF!&lt;&gt;"")*(K$1&lt;&gt;"")</formula>
    </cfRule>
  </conditionalFormatting>
  <conditionalFormatting sqref="O2823">
    <cfRule type="expression" dxfId="0" priority="3655">
      <formula>(#REF!&lt;&gt;"")*(O$1&lt;&gt;"")</formula>
    </cfRule>
  </conditionalFormatting>
  <conditionalFormatting sqref="K2840">
    <cfRule type="expression" dxfId="0" priority="3576">
      <formula>(#REF!&lt;&gt;"")*(K$1&lt;&gt;"")</formula>
    </cfRule>
  </conditionalFormatting>
  <conditionalFormatting sqref="K2841">
    <cfRule type="expression" dxfId="0" priority="3579">
      <formula>(#REF!&lt;&gt;"")*(K$1&lt;&gt;"")</formula>
    </cfRule>
  </conditionalFormatting>
  <conditionalFormatting sqref="F2842">
    <cfRule type="expression" dxfId="0" priority="3645">
      <formula>(#REF!&lt;&gt;"")*(F$1&lt;&gt;"")</formula>
    </cfRule>
  </conditionalFormatting>
  <conditionalFormatting sqref="H2842">
    <cfRule type="expression" dxfId="0" priority="3465">
      <formula>(#REF!&lt;&gt;"")*(H$1&lt;&gt;"")</formula>
    </cfRule>
  </conditionalFormatting>
  <conditionalFormatting sqref="R2842">
    <cfRule type="expression" dxfId="0" priority="3647">
      <formula>(#REF!&lt;&gt;"")*(R$1&lt;&gt;"")</formula>
    </cfRule>
  </conditionalFormatting>
  <conditionalFormatting sqref="C2845">
    <cfRule type="expression" dxfId="0" priority="3307">
      <formula>(#REF!&lt;&gt;"")*(#REF!&lt;&gt;"")</formula>
    </cfRule>
  </conditionalFormatting>
  <conditionalFormatting sqref="N2848">
    <cfRule type="expression" dxfId="0" priority="3762">
      <formula>(#REF!&lt;&gt;"")*(#REF!&lt;&gt;"")</formula>
    </cfRule>
  </conditionalFormatting>
  <conditionalFormatting sqref="Q2851">
    <cfRule type="expression" dxfId="1" priority="3759">
      <formula>(#REF!&lt;&gt;"")*(#REF!&lt;&gt;"")</formula>
    </cfRule>
    <cfRule type="expression" dxfId="0" priority="3760">
      <formula>(#REF!&lt;&gt;"")*(#REF!&lt;&gt;"")</formula>
    </cfRule>
  </conditionalFormatting>
  <conditionalFormatting sqref="Q2852">
    <cfRule type="expression" dxfId="1" priority="3757">
      <formula>(#REF!&lt;&gt;"")*(#REF!&lt;&gt;"")</formula>
    </cfRule>
    <cfRule type="expression" dxfId="0" priority="3758">
      <formula>(#REF!&lt;&gt;"")*(#REF!&lt;&gt;"")</formula>
    </cfRule>
  </conditionalFormatting>
  <conditionalFormatting sqref="Q2853">
    <cfRule type="expression" dxfId="1" priority="3755">
      <formula>(#REF!&lt;&gt;"")*(#REF!&lt;&gt;"")</formula>
    </cfRule>
    <cfRule type="expression" dxfId="0" priority="3756">
      <formula>(#REF!&lt;&gt;"")*(#REF!&lt;&gt;"")</formula>
    </cfRule>
  </conditionalFormatting>
  <conditionalFormatting sqref="A2854">
    <cfRule type="expression" dxfId="0" priority="3752">
      <formula>(#REF!&lt;&gt;"")*(#REF!&lt;&gt;"")</formula>
    </cfRule>
  </conditionalFormatting>
  <conditionalFormatting sqref="M2854">
    <cfRule type="expression" dxfId="0" priority="3749">
      <formula>(#REF!&lt;&gt;"")*(#REF!&lt;&gt;"")</formula>
    </cfRule>
  </conditionalFormatting>
  <conditionalFormatting sqref="P2854">
    <cfRule type="expression" dxfId="1" priority="3750">
      <formula>(#REF!&lt;&gt;"")*(#REF!&lt;&gt;"")</formula>
    </cfRule>
  </conditionalFormatting>
  <conditionalFormatting sqref="Q2854">
    <cfRule type="expression" dxfId="1" priority="3746">
      <formula>(#REF!&lt;&gt;"")*(#REF!&lt;&gt;"")</formula>
    </cfRule>
    <cfRule type="expression" dxfId="0" priority="3747">
      <formula>(#REF!&lt;&gt;"")*(#REF!&lt;&gt;"")</formula>
    </cfRule>
  </conditionalFormatting>
  <conditionalFormatting sqref="A2855">
    <cfRule type="expression" dxfId="0" priority="3745">
      <formula>(#REF!&lt;&gt;"")*(#REF!&lt;&gt;"")</formula>
    </cfRule>
  </conditionalFormatting>
  <conditionalFormatting sqref="M2855">
    <cfRule type="expression" dxfId="0" priority="3742">
      <formula>(#REF!&lt;&gt;"")*(#REF!&lt;&gt;"")</formula>
    </cfRule>
  </conditionalFormatting>
  <conditionalFormatting sqref="P2855">
    <cfRule type="expression" dxfId="1" priority="3743">
      <formula>(#REF!&lt;&gt;"")*(#REF!&lt;&gt;"")</formula>
    </cfRule>
  </conditionalFormatting>
  <conditionalFormatting sqref="Q2855">
    <cfRule type="expression" dxfId="1" priority="3739">
      <formula>(#REF!&lt;&gt;"")*(#REF!&lt;&gt;"")</formula>
    </cfRule>
    <cfRule type="expression" dxfId="0" priority="3740">
      <formula>(#REF!&lt;&gt;"")*(#REF!&lt;&gt;"")</formula>
    </cfRule>
  </conditionalFormatting>
  <conditionalFormatting sqref="A2856">
    <cfRule type="expression" dxfId="0" priority="3737">
      <formula>(#REF!&lt;&gt;"")*(#REF!&lt;&gt;"")</formula>
    </cfRule>
  </conditionalFormatting>
  <conditionalFormatting sqref="M2856">
    <cfRule type="expression" dxfId="0" priority="3734">
      <formula>(#REF!&lt;&gt;"")*(#REF!&lt;&gt;"")</formula>
    </cfRule>
  </conditionalFormatting>
  <conditionalFormatting sqref="P2856">
    <cfRule type="expression" dxfId="1" priority="3735">
      <formula>(#REF!&lt;&gt;"")*(#REF!&lt;&gt;"")</formula>
    </cfRule>
  </conditionalFormatting>
  <conditionalFormatting sqref="Q2856">
    <cfRule type="expression" dxfId="1" priority="3731">
      <formula>(#REF!&lt;&gt;"")*(#REF!&lt;&gt;"")</formula>
    </cfRule>
    <cfRule type="expression" dxfId="0" priority="3732">
      <formula>(#REF!&lt;&gt;"")*(#REF!&lt;&gt;"")</formula>
    </cfRule>
  </conditionalFormatting>
  <conditionalFormatting sqref="T2856">
    <cfRule type="expression" dxfId="0" priority="3738">
      <formula>(#REF!&lt;&gt;"")*(#REF!&lt;&gt;"")</formula>
    </cfRule>
  </conditionalFormatting>
  <conditionalFormatting sqref="A2857">
    <cfRule type="expression" dxfId="0" priority="3729">
      <formula>(#REF!&lt;&gt;"")*(#REF!&lt;&gt;"")</formula>
    </cfRule>
  </conditionalFormatting>
  <conditionalFormatting sqref="M2857">
    <cfRule type="expression" dxfId="0" priority="3726">
      <formula>(#REF!&lt;&gt;"")*(#REF!&lt;&gt;"")</formula>
    </cfRule>
  </conditionalFormatting>
  <conditionalFormatting sqref="P2857">
    <cfRule type="expression" dxfId="1" priority="3727">
      <formula>(#REF!&lt;&gt;"")*(#REF!&lt;&gt;"")</formula>
    </cfRule>
  </conditionalFormatting>
  <conditionalFormatting sqref="Q2857">
    <cfRule type="expression" dxfId="1" priority="3723">
      <formula>(#REF!&lt;&gt;"")*(#REF!&lt;&gt;"")</formula>
    </cfRule>
    <cfRule type="expression" dxfId="0" priority="3724">
      <formula>(#REF!&lt;&gt;"")*(#REF!&lt;&gt;"")</formula>
    </cfRule>
  </conditionalFormatting>
  <conditionalFormatting sqref="T2857">
    <cfRule type="expression" dxfId="0" priority="3730">
      <formula>(#REF!&lt;&gt;"")*(#REF!&lt;&gt;"")</formula>
    </cfRule>
  </conditionalFormatting>
  <conditionalFormatting sqref="Q2859">
    <cfRule type="expression" dxfId="1" priority="3753">
      <formula>(#REF!&lt;&gt;"")*(#REF!&lt;&gt;"")</formula>
    </cfRule>
    <cfRule type="expression" dxfId="0" priority="3754">
      <formula>(#REF!&lt;&gt;"")*(#REF!&lt;&gt;"")</formula>
    </cfRule>
  </conditionalFormatting>
  <conditionalFormatting sqref="M2866">
    <cfRule type="expression" dxfId="0" priority="3720">
      <formula>(#REF!&lt;&gt;"")*(#REF!&lt;&gt;"")</formula>
    </cfRule>
  </conditionalFormatting>
  <conditionalFormatting sqref="M2867">
    <cfRule type="expression" dxfId="0" priority="3719">
      <formula>(#REF!&lt;&gt;"")*(#REF!&lt;&gt;"")</formula>
    </cfRule>
  </conditionalFormatting>
  <conditionalFormatting sqref="M2868">
    <cfRule type="expression" dxfId="0" priority="3693">
      <formula>(#REF!&lt;&gt;"")*(#REF!&lt;&gt;"")</formula>
    </cfRule>
  </conditionalFormatting>
  <conditionalFormatting sqref="M2869">
    <cfRule type="expression" dxfId="0" priority="3692">
      <formula>(#REF!&lt;&gt;"")*(#REF!&lt;&gt;"")</formula>
    </cfRule>
  </conditionalFormatting>
  <conditionalFormatting sqref="M2870">
    <cfRule type="expression" dxfId="0" priority="3664">
      <formula>(#REF!&lt;&gt;"")*(#REF!&lt;&gt;"")</formula>
    </cfRule>
  </conditionalFormatting>
  <conditionalFormatting sqref="M2871">
    <cfRule type="expression" dxfId="0" priority="3663">
      <formula>(#REF!&lt;&gt;"")*(#REF!&lt;&gt;"")</formula>
    </cfRule>
  </conditionalFormatting>
  <conditionalFormatting sqref="M2872">
    <cfRule type="expression" dxfId="0" priority="3659">
      <formula>(#REF!&lt;&gt;"")*(#REF!&lt;&gt;"")</formula>
    </cfRule>
  </conditionalFormatting>
  <conditionalFormatting sqref="M2873">
    <cfRule type="expression" dxfId="0" priority="3651">
      <formula>(#REF!&lt;&gt;"")*(#REF!&lt;&gt;"")</formula>
    </cfRule>
  </conditionalFormatting>
  <conditionalFormatting sqref="M2876">
    <cfRule type="expression" dxfId="0" priority="3634">
      <formula>(#REF!&lt;&gt;"")*(#REF!&lt;&gt;"")</formula>
    </cfRule>
  </conditionalFormatting>
  <conditionalFormatting sqref="M2877">
    <cfRule type="expression" dxfId="0" priority="3633">
      <formula>(#REF!&lt;&gt;"")*(#REF!&lt;&gt;"")</formula>
    </cfRule>
  </conditionalFormatting>
  <conditionalFormatting sqref="H2878">
    <cfRule type="expression" dxfId="0" priority="3267">
      <formula>(#REF!&lt;&gt;"")*(#REF!&lt;&gt;"")</formula>
    </cfRule>
    <cfRule type="expression" dxfId="0" priority="3266">
      <formula>(#REF!&lt;&gt;"")*(#REF!&lt;&gt;"")</formula>
    </cfRule>
  </conditionalFormatting>
  <conditionalFormatting sqref="M2878">
    <cfRule type="expression" dxfId="0" priority="3268">
      <formula>(#REF!&lt;&gt;"")*(#REF!&lt;&gt;"")</formula>
    </cfRule>
  </conditionalFormatting>
  <conditionalFormatting sqref="H2879">
    <cfRule type="expression" dxfId="0" priority="3260">
      <formula>(#REF!&lt;&gt;"")*(#REF!&lt;&gt;"")</formula>
    </cfRule>
    <cfRule type="expression" dxfId="0" priority="3259">
      <formula>(#REF!&lt;&gt;"")*(#REF!&lt;&gt;"")</formula>
    </cfRule>
  </conditionalFormatting>
  <conditionalFormatting sqref="M2879">
    <cfRule type="expression" dxfId="0" priority="3261">
      <formula>(#REF!&lt;&gt;"")*(#REF!&lt;&gt;"")</formula>
    </cfRule>
  </conditionalFormatting>
  <conditionalFormatting sqref="H2880">
    <cfRule type="expression" dxfId="1" priority="3275">
      <formula>(#REF!&lt;&gt;"")*(H$1&lt;&gt;"")</formula>
    </cfRule>
  </conditionalFormatting>
  <conditionalFormatting sqref="M2880">
    <cfRule type="expression" dxfId="3" priority="3277">
      <formula>('C:\Users\wurui\Documents\计提\2023.4计提\[2023年4月IDC费用支付明细表-华北WM.xlsx]4月带宽'!#REF!&lt;&gt;"")*('C:\Users\wurui\Documents\计提\2023.4计提\[2023年4月IDC费用支付明细表-华北WM.xlsx]4月带宽'!#REF!&lt;&gt;"")</formula>
    </cfRule>
  </conditionalFormatting>
  <conditionalFormatting sqref="T2880">
    <cfRule type="expression" dxfId="3" priority="3276">
      <formula>('C:\Users\wurui\Documents\计提\2023.4计提\[2023年4月IDC费用支付明细表-华北WM.xlsx]4月带宽'!#REF!&lt;&gt;"")*('C:\Users\wurui\Documents\计提\2023.4计提\[2023年4月IDC费用支付明细表-华北WM.xlsx]4月带宽'!#REF!&lt;&gt;"")</formula>
    </cfRule>
  </conditionalFormatting>
  <conditionalFormatting sqref="M2881">
    <cfRule type="expression" dxfId="3" priority="3272">
      <formula>('C:\Users\wurui\Documents\计提\2023.4计提\[2023年4月IDC费用支付明细表-华北WM.xlsx]4月带宽'!#REF!&lt;&gt;"")*('C:\Users\wurui\Documents\计提\2023.4计提\[2023年4月IDC费用支付明细表-华北WM.xlsx]4月带宽'!#REF!&lt;&gt;"")</formula>
    </cfRule>
  </conditionalFormatting>
  <conditionalFormatting sqref="T2881">
    <cfRule type="expression" dxfId="3" priority="3271">
      <formula>('C:\Users\wurui\Documents\计提\2023.4计提\[2023年4月IDC费用支付明细表-华北WM.xlsx]4月带宽'!#REF!&lt;&gt;"")*('C:\Users\wurui\Documents\计提\2023.4计提\[2023年4月IDC费用支付明细表-华北WM.xlsx]4月带宽'!#REF!&lt;&gt;"")</formula>
    </cfRule>
  </conditionalFormatting>
  <conditionalFormatting sqref="M2882">
    <cfRule type="expression" dxfId="3" priority="3274">
      <formula>('C:\Users\wurui\Documents\计提\2023.4计提\[2023年4月IDC费用支付明细表-华北WM.xlsx]4月带宽'!#REF!&lt;&gt;"")*('C:\Users\wurui\Documents\计提\2023.4计提\[2023年4月IDC费用支付明细表-华北WM.xlsx]4月带宽'!#REF!&lt;&gt;"")</formula>
    </cfRule>
  </conditionalFormatting>
  <conditionalFormatting sqref="T2882">
    <cfRule type="expression" dxfId="3" priority="3273">
      <formula>('C:\Users\wurui\Documents\计提\2023.4计提\[2023年4月IDC费用支付明细表-华北WM.xlsx]4月带宽'!#REF!&lt;&gt;"")*('C:\Users\wurui\Documents\计提\2023.4计提\[2023年4月IDC费用支付明细表-华北WM.xlsx]4月带宽'!#REF!&lt;&gt;"")</formula>
    </cfRule>
  </conditionalFormatting>
  <conditionalFormatting sqref="E2883">
    <cfRule type="expression" dxfId="1" priority="3635">
      <formula>(#REF!&lt;&gt;"")*(E$1&lt;&gt;"")</formula>
    </cfRule>
  </conditionalFormatting>
  <conditionalFormatting sqref="M2885">
    <cfRule type="expression" dxfId="0" priority="3470">
      <formula>(#REF!&lt;&gt;"")*(#REF!&lt;&gt;"")</formula>
    </cfRule>
  </conditionalFormatting>
  <conditionalFormatting sqref="M2887">
    <cfRule type="expression" dxfId="0" priority="3666">
      <formula>(#REF!&lt;&gt;"")*(#REF!&lt;&gt;"")</formula>
    </cfRule>
  </conditionalFormatting>
  <conditionalFormatting sqref="M2888">
    <cfRule type="expression" dxfId="0" priority="3457">
      <formula>(#REF!&lt;&gt;"")*(#REF!&lt;&gt;"")</formula>
    </cfRule>
  </conditionalFormatting>
  <conditionalFormatting sqref="K2890">
    <cfRule type="expression" dxfId="3" priority="3703">
      <formula>('C:\Users\wurui\Documents\计提\2023.4计提\[2023年4月IDC费用支付明细表-华北WM.xlsx]4月带宽'!#REF!&lt;&gt;"")*('C:\Users\wurui\Documents\计提\2023.4计提\[2023年4月IDC费用支付明细表-华北WM.xlsx]4月带宽'!#REF!&lt;&gt;"")</formula>
    </cfRule>
  </conditionalFormatting>
  <conditionalFormatting sqref="K2891">
    <cfRule type="expression" dxfId="3" priority="3702">
      <formula>('C:\Users\wurui\Documents\计提\2023.4计提\[2023年4月IDC费用支付明细表-华北WM.xlsx]4月带宽'!#REF!&lt;&gt;"")*('C:\Users\wurui\Documents\计提\2023.4计提\[2023年4月IDC费用支付明细表-华北WM.xlsx]4月带宽'!#REF!&lt;&gt;"")</formula>
    </cfRule>
  </conditionalFormatting>
  <conditionalFormatting sqref="K2892">
    <cfRule type="expression" dxfId="3" priority="3458">
      <formula>('C:\Users\wurui\Documents\计提\2023.4计提\[2023年4月IDC费用支付明细表-华北WM.xlsx]4月带宽'!#REF!&lt;&gt;"")*('C:\Users\wurui\Documents\计提\2023.4计提\[2023年4月IDC费用支付明细表-华北WM.xlsx]4月带宽'!#REF!&lt;&gt;"")</formula>
    </cfRule>
    <cfRule type="expression" dxfId="3" priority="3339">
      <formula>('C:\Users\wurui\Documents\计提\2023.4计提\[2023年4月IDC费用支付明细表-华北WM.xlsx]4月带宽'!#REF!&lt;&gt;"")*('C:\Users\wurui\Documents\计提\2023.4计提\[2023年4月IDC费用支付明细表-华北WM.xlsx]4月带宽'!#REF!&lt;&gt;"")</formula>
    </cfRule>
  </conditionalFormatting>
  <conditionalFormatting sqref="M2892">
    <cfRule type="expression" dxfId="3" priority="3459">
      <formula>('C:\Users\wurui\Documents\计提\2023.4计提\[2023年4月IDC费用支付明细表-华北WM.xlsx]4月带宽'!#REF!&lt;&gt;"")*('C:\Users\wurui\Documents\计提\2023.4计提\[2023年4月IDC费用支付明细表-华北WM.xlsx]4月带宽'!#REF!&lt;&gt;"")</formula>
    </cfRule>
  </conditionalFormatting>
  <conditionalFormatting sqref="K2893">
    <cfRule type="expression" dxfId="3" priority="3717">
      <formula>('C:\Users\wurui\Documents\计提\2023.4计提\[2023年4月IDC费用支付明细表-华北WM.xlsx]4月带宽'!#REF!&lt;&gt;"")*('C:\Users\wurui\Documents\计提\2023.4计提\[2023年4月IDC费用支付明细表-华北WM.xlsx]4月带宽'!#REF!&lt;&gt;"")</formula>
    </cfRule>
  </conditionalFormatting>
  <conditionalFormatting sqref="T2893">
    <cfRule type="expression" dxfId="3" priority="3654">
      <formula>('C:\Users\wurui\Documents\计提\2023.4计提\[2023年4月IDC费用支付明细表-华北WM.xlsx]4月带宽'!#REF!&lt;&gt;"")*('C:\Users\wurui\Documents\计提\2023.4计提\[2023年4月IDC费用支付明细表-华北WM.xlsx]4月带宽'!#REF!&lt;&gt;"")</formula>
    </cfRule>
  </conditionalFormatting>
  <conditionalFormatting sqref="K2894">
    <cfRule type="expression" dxfId="3" priority="3484">
      <formula>('C:\Users\wurui\Documents\计提\2023.4计提\[2023年4月IDC费用支付明细表-华北WM.xlsx]4月带宽'!#REF!&lt;&gt;"")*('C:\Users\wurui\Documents\计提\2023.4计提\[2023年4月IDC费用支付明细表-华北WM.xlsx]4月带宽'!#REF!&lt;&gt;"")</formula>
    </cfRule>
  </conditionalFormatting>
  <conditionalFormatting sqref="M2894">
    <cfRule type="expression" dxfId="3" priority="3485">
      <formula>('C:\Users\wurui\Documents\计提\2023.4计提\[2023年4月IDC费用支付明细表-华北WM.xlsx]4月带宽'!#REF!&lt;&gt;"")*('C:\Users\wurui\Documents\计提\2023.4计提\[2023年4月IDC费用支付明细表-华北WM.xlsx]4月带宽'!#REF!&lt;&gt;"")</formula>
    </cfRule>
  </conditionalFormatting>
  <conditionalFormatting sqref="T2894">
    <cfRule type="expression" dxfId="3" priority="3486">
      <formula>('C:\Users\wurui\Documents\计提\2023.4计提\[2023年4月IDC费用支付明细表-华北WM.xlsx]4月带宽'!#REF!&lt;&gt;"")*('C:\Users\wurui\Documents\计提\2023.4计提\[2023年4月IDC费用支付明细表-华北WM.xlsx]4月带宽'!#REF!&lt;&gt;"")</formula>
    </cfRule>
  </conditionalFormatting>
  <conditionalFormatting sqref="K2895">
    <cfRule type="expression" dxfId="3" priority="3481">
      <formula>('C:\Users\wurui\Documents\计提\2023.4计提\[2023年4月IDC费用支付明细表-华北WM.xlsx]4月带宽'!#REF!&lt;&gt;"")*('C:\Users\wurui\Documents\计提\2023.4计提\[2023年4月IDC费用支付明细表-华北WM.xlsx]4月带宽'!#REF!&lt;&gt;"")</formula>
    </cfRule>
  </conditionalFormatting>
  <conditionalFormatting sqref="M2895">
    <cfRule type="expression" dxfId="3" priority="3482">
      <formula>('C:\Users\wurui\Documents\计提\2023.4计提\[2023年4月IDC费用支付明细表-华北WM.xlsx]4月带宽'!#REF!&lt;&gt;"")*('C:\Users\wurui\Documents\计提\2023.4计提\[2023年4月IDC费用支付明细表-华北WM.xlsx]4月带宽'!#REF!&lt;&gt;"")</formula>
    </cfRule>
  </conditionalFormatting>
  <conditionalFormatting sqref="T2895">
    <cfRule type="expression" dxfId="3" priority="3483">
      <formula>('C:\Users\wurui\Documents\计提\2023.4计提\[2023年4月IDC费用支付明细表-华北WM.xlsx]4月带宽'!#REF!&lt;&gt;"")*('C:\Users\wurui\Documents\计提\2023.4计提\[2023年4月IDC费用支付明细表-华北WM.xlsx]4月带宽'!#REF!&lt;&gt;"")</formula>
    </cfRule>
  </conditionalFormatting>
  <conditionalFormatting sqref="K2896">
    <cfRule type="expression" dxfId="3" priority="3478">
      <formula>('C:\Users\wurui\Documents\计提\2023.4计提\[2023年4月IDC费用支付明细表-华北WM.xlsx]4月带宽'!#REF!&lt;&gt;"")*('C:\Users\wurui\Documents\计提\2023.4计提\[2023年4月IDC费用支付明细表-华北WM.xlsx]4月带宽'!#REF!&lt;&gt;"")</formula>
    </cfRule>
  </conditionalFormatting>
  <conditionalFormatting sqref="M2896">
    <cfRule type="expression" dxfId="3" priority="3479">
      <formula>('C:\Users\wurui\Documents\计提\2023.4计提\[2023年4月IDC费用支付明细表-华北WM.xlsx]4月带宽'!#REF!&lt;&gt;"")*('C:\Users\wurui\Documents\计提\2023.4计提\[2023年4月IDC费用支付明细表-华北WM.xlsx]4月带宽'!#REF!&lt;&gt;"")</formula>
    </cfRule>
  </conditionalFormatting>
  <conditionalFormatting sqref="T2896">
    <cfRule type="expression" dxfId="3" priority="3480">
      <formula>('C:\Users\wurui\Documents\计提\2023.4计提\[2023年4月IDC费用支付明细表-华北WM.xlsx]4月带宽'!#REF!&lt;&gt;"")*('C:\Users\wurui\Documents\计提\2023.4计提\[2023年4月IDC费用支付明细表-华北WM.xlsx]4月带宽'!#REF!&lt;&gt;"")</formula>
    </cfRule>
  </conditionalFormatting>
  <conditionalFormatting sqref="K2897">
    <cfRule type="expression" dxfId="3" priority="3442">
      <formula>('C:\Users\wurui\Documents\计提\2023.4计提\[2023年4月IDC费用支付明细表-华北WM.xlsx]4月带宽'!#REF!&lt;&gt;"")*('C:\Users\wurui\Documents\计提\2023.4计提\[2023年4月IDC费用支付明细表-华北WM.xlsx]4月带宽'!#REF!&lt;&gt;"")</formula>
    </cfRule>
  </conditionalFormatting>
  <conditionalFormatting sqref="M2897">
    <cfRule type="expression" dxfId="3" priority="3443">
      <formula>('C:\Users\wurui\Documents\计提\2023.4计提\[2023年4月IDC费用支付明细表-华北WM.xlsx]4月带宽'!#REF!&lt;&gt;"")*('C:\Users\wurui\Documents\计提\2023.4计提\[2023年4月IDC费用支付明细表-华北WM.xlsx]4月带宽'!#REF!&lt;&gt;"")</formula>
    </cfRule>
  </conditionalFormatting>
  <conditionalFormatting sqref="T2897">
    <cfRule type="expression" dxfId="3" priority="3444">
      <formula>('C:\Users\wurui\Documents\计提\2023.4计提\[2023年4月IDC费用支付明细表-华北WM.xlsx]4月带宽'!#REF!&lt;&gt;"")*('C:\Users\wurui\Documents\计提\2023.4计提\[2023年4月IDC费用支付明细表-华北WM.xlsx]4月带宽'!#REF!&lt;&gt;"")</formula>
    </cfRule>
  </conditionalFormatting>
  <conditionalFormatting sqref="K2898">
    <cfRule type="expression" dxfId="3" priority="3704">
      <formula>('C:\Users\wurui\Documents\计提\2023.4计提\[2023年4月IDC费用支付明细表-华北WM.xlsx]4月带宽'!#REF!&lt;&gt;"")*('C:\Users\wurui\Documents\计提\2023.4计提\[2023年4月IDC费用支付明细表-华北WM.xlsx]4月带宽'!#REF!&lt;&gt;"")</formula>
    </cfRule>
  </conditionalFormatting>
  <conditionalFormatting sqref="T2898">
    <cfRule type="expression" dxfId="3" priority="3778">
      <formula>('C:\Users\wurui\Documents\计提\2023.4计提\[2023年4月IDC费用支付明细表-华北WM.xlsx]4月带宽'!#REF!&lt;&gt;"")*('C:\Users\wurui\Documents\计提\2023.4计提\[2023年4月IDC费用支付明细表-华北WM.xlsx]4月带宽'!#REF!&lt;&gt;"")</formula>
    </cfRule>
  </conditionalFormatting>
  <conditionalFormatting sqref="M2900">
    <cfRule type="expression" dxfId="0" priority="3696">
      <formula>(#REF!&lt;&gt;"")*(#REF!&lt;&gt;"")</formula>
    </cfRule>
  </conditionalFormatting>
  <conditionalFormatting sqref="M2902">
    <cfRule type="expression" dxfId="0" priority="3415">
      <formula>(#REF!&lt;&gt;"")*(#REF!&lt;&gt;"")</formula>
    </cfRule>
  </conditionalFormatting>
  <conditionalFormatting sqref="M2905">
    <cfRule type="expression" dxfId="0" priority="3464">
      <formula>(#REF!&lt;&gt;"")*(#REF!&lt;&gt;"")</formula>
    </cfRule>
  </conditionalFormatting>
  <conditionalFormatting sqref="K2908">
    <cfRule type="expression" dxfId="3" priority="3512">
      <formula>('C:\Users\wurui\Documents\计提\2023.4计提\[2023年4月IDC费用支付明细表-华北WM.xlsx]4月带宽'!#REF!&lt;&gt;"")*('C:\Users\wurui\Documents\计提\2023.4计提\[2023年4月IDC费用支付明细表-华北WM.xlsx]4月带宽'!#REF!&lt;&gt;"")</formula>
    </cfRule>
  </conditionalFormatting>
  <conditionalFormatting sqref="M2909">
    <cfRule type="expression" dxfId="0" priority="3455">
      <formula>(#REF!&lt;&gt;"")*(#REF!&lt;&gt;"")</formula>
    </cfRule>
  </conditionalFormatting>
  <conditionalFormatting sqref="K2910">
    <cfRule type="expression" dxfId="3" priority="3510">
      <formula>('C:\Users\wurui\Documents\计提\2023.4计提\[2023年4月IDC费用支付明细表-华北WM.xlsx]4月带宽'!#REF!&lt;&gt;"")*('C:\Users\wurui\Documents\计提\2023.4计提\[2023年4月IDC费用支付明细表-华北WM.xlsx]4月带宽'!#REF!&lt;&gt;"")</formula>
    </cfRule>
  </conditionalFormatting>
  <conditionalFormatting sqref="M2911">
    <cfRule type="expression" dxfId="0" priority="3448">
      <formula>(#REF!&lt;&gt;"")*(#REF!&lt;&gt;"")</formula>
    </cfRule>
  </conditionalFormatting>
  <conditionalFormatting sqref="M2912">
    <cfRule type="expression" dxfId="0" priority="3447">
      <formula>(#REF!&lt;&gt;"")*(#REF!&lt;&gt;"")</formula>
    </cfRule>
  </conditionalFormatting>
  <conditionalFormatting sqref="M2916">
    <cfRule type="expression" dxfId="0" priority="3414">
      <formula>(#REF!&lt;&gt;"")*(#REF!&lt;&gt;"")</formula>
    </cfRule>
  </conditionalFormatting>
  <conditionalFormatting sqref="K2917">
    <cfRule type="expression" dxfId="3" priority="3715">
      <formula>('C:\Users\wurui\Documents\计提\2023.4计提\[2023年4月IDC费用支付明细表-华北WM.xlsx]4月带宽'!#REF!&lt;&gt;"")*('C:\Users\wurui\Documents\计提\2023.4计提\[2023年4月IDC费用支付明细表-华北WM.xlsx]4月带宽'!#REF!&lt;&gt;"")</formula>
    </cfRule>
  </conditionalFormatting>
  <conditionalFormatting sqref="K2918">
    <cfRule type="expression" dxfId="3" priority="3410">
      <formula>('C:\Users\wurui\Documents\计提\2023.4计提\[2023年4月IDC费用支付明细表-华北WM.xlsx]4月带宽'!#REF!&lt;&gt;"")*('C:\Users\wurui\Documents\计提\2023.4计提\[2023年4月IDC费用支付明细表-华北WM.xlsx]4月带宽'!#REF!&lt;&gt;"")</formula>
    </cfRule>
  </conditionalFormatting>
  <conditionalFormatting sqref="K2919">
    <cfRule type="expression" dxfId="3" priority="3461">
      <formula>('C:\Users\wurui\Documents\计提\2023.4计提\[2023年4月IDC费用支付明细表-华北WM.xlsx]4月带宽'!#REF!&lt;&gt;"")*('C:\Users\wurui\Documents\计提\2023.4计提\[2023年4月IDC费用支付明细表-华北WM.xlsx]4月带宽'!#REF!&lt;&gt;"")</formula>
    </cfRule>
  </conditionalFormatting>
  <conditionalFormatting sqref="K2920">
    <cfRule type="expression" dxfId="3" priority="3412">
      <formula>('C:\Users\wurui\Documents\计提\2023.4计提\[2023年4月IDC费用支付明细表-华北WM.xlsx]4月带宽'!#REF!&lt;&gt;"")*('C:\Users\wurui\Documents\计提\2023.4计提\[2023年4月IDC费用支付明细表-华北WM.xlsx]4月带宽'!#REF!&lt;&gt;"")</formula>
    </cfRule>
  </conditionalFormatting>
  <conditionalFormatting sqref="M2921">
    <cfRule type="expression" dxfId="0" priority="3460">
      <formula>(#REF!&lt;&gt;"")*(#REF!&lt;&gt;"")</formula>
    </cfRule>
  </conditionalFormatting>
  <conditionalFormatting sqref="M2924">
    <cfRule type="expression" dxfId="0" priority="3453">
      <formula>(#REF!&lt;&gt;"")*(#REF!&lt;&gt;"")</formula>
    </cfRule>
  </conditionalFormatting>
  <conditionalFormatting sqref="M2925">
    <cfRule type="expression" dxfId="0" priority="3454">
      <formula>(#REF!&lt;&gt;"")*(#REF!&lt;&gt;"")</formula>
    </cfRule>
  </conditionalFormatting>
  <conditionalFormatting sqref="M2926">
    <cfRule type="expression" dxfId="0" priority="3278">
      <formula>(#REF!&lt;&gt;"")*(#REF!&lt;&gt;"")</formula>
    </cfRule>
  </conditionalFormatting>
  <conditionalFormatting sqref="M2927">
    <cfRule type="expression" dxfId="0" priority="3258">
      <formula>(#REF!&lt;&gt;"")*(#REF!&lt;&gt;"")</formula>
    </cfRule>
  </conditionalFormatting>
  <conditionalFormatting sqref="M2928">
    <cfRule type="expression" dxfId="0" priority="3452">
      <formula>(#REF!&lt;&gt;"")*(#REF!&lt;&gt;"")</formula>
    </cfRule>
  </conditionalFormatting>
  <conditionalFormatting sqref="K2929">
    <cfRule type="expression" dxfId="3" priority="3528">
      <formula>('C:\Users\wurui\Documents\计提\2023.4计提\[2023年4月IDC费用支付明细表-华北WM.xlsx]4月带宽'!#REF!&lt;&gt;"")*('C:\Users\wurui\Documents\计提\2023.4计提\[2023年4月IDC费用支付明细表-华北WM.xlsx]4月带宽'!#REF!&lt;&gt;"")</formula>
    </cfRule>
  </conditionalFormatting>
  <conditionalFormatting sqref="K2930">
    <cfRule type="expression" dxfId="3" priority="3524">
      <formula>('C:\Users\wurui\Documents\计提\2023.4计提\[2023年4月IDC费用支付明细表-华北WM.xlsx]4月带宽'!#REF!&lt;&gt;"")*('C:\Users\wurui\Documents\计提\2023.4计提\[2023年4月IDC费用支付明细表-华北WM.xlsx]4月带宽'!#REF!&lt;&gt;"")</formula>
    </cfRule>
  </conditionalFormatting>
  <conditionalFormatting sqref="H2931">
    <cfRule type="expression" dxfId="1" priority="3526">
      <formula>(#REF!&lt;&gt;"")*(H$1&lt;&gt;"")</formula>
    </cfRule>
  </conditionalFormatting>
  <conditionalFormatting sqref="K2931">
    <cfRule type="expression" dxfId="3" priority="3714">
      <formula>('C:\Users\wurui\Documents\计提\2023.4计提\[2023年4月IDC费用支付明细表-华北WM.xlsx]4月带宽'!#REF!&lt;&gt;"")*('C:\Users\wurui\Documents\计提\2023.4计提\[2023年4月IDC费用支付明细表-华北WM.xlsx]4月带宽'!#REF!&lt;&gt;"")</formula>
    </cfRule>
  </conditionalFormatting>
  <conditionalFormatting sqref="H2932">
    <cfRule type="expression" dxfId="1" priority="3593">
      <formula>(#REF!&lt;&gt;"")*(H$1&lt;&gt;"")</formula>
    </cfRule>
  </conditionalFormatting>
  <conditionalFormatting sqref="K2933">
    <cfRule type="expression" dxfId="3" priority="3287">
      <formula>('C:\Users\wurui\Documents\计提\2023.4计提\[2023年4月IDC费用支付明细表-华北WM.xlsx]4月带宽'!#REF!&lt;&gt;"")*('C:\Users\wurui\Documents\计提\2023.4计提\[2023年4月IDC费用支付明细表-华北WM.xlsx]4月带宽'!#REF!&lt;&gt;"")</formula>
    </cfRule>
  </conditionalFormatting>
  <conditionalFormatting sqref="K2934">
    <cfRule type="expression" dxfId="3" priority="3288">
      <formula>('C:\Users\wurui\Documents\计提\2023.4计提\[2023年4月IDC费用支付明细表-华北WM.xlsx]4月带宽'!#REF!&lt;&gt;"")*('C:\Users\wurui\Documents\计提\2023.4计提\[2023年4月IDC费用支付明细表-华北WM.xlsx]4月带宽'!#REF!&lt;&gt;"")</formula>
    </cfRule>
  </conditionalFormatting>
  <conditionalFormatting sqref="K2935">
    <cfRule type="expression" dxfId="3" priority="3289">
      <formula>('C:\Users\wurui\Documents\计提\2023.4计提\[2023年4月IDC费用支付明细表-华北WM.xlsx]4月带宽'!#REF!&lt;&gt;"")*('C:\Users\wurui\Documents\计提\2023.4计提\[2023年4月IDC费用支付明细表-华北WM.xlsx]4月带宽'!#REF!&lt;&gt;"")</formula>
    </cfRule>
  </conditionalFormatting>
  <conditionalFormatting sqref="M2935">
    <cfRule type="expression" dxfId="0" priority="3706">
      <formula>(#REF!&lt;&gt;"")*(#REF!&lt;&gt;"")</formula>
    </cfRule>
  </conditionalFormatting>
  <conditionalFormatting sqref="K2938">
    <cfRule type="expression" dxfId="3" priority="3582">
      <formula>('C:\Users\wurui\Documents\计提\2023.4计提\[2023年4月IDC费用支付明细表-华北WM.xlsx]4月带宽'!#REF!&lt;&gt;"")*('C:\Users\wurui\Documents\计提\2023.4计提\[2023年4月IDC费用支付明细表-华北WM.xlsx]4月带宽'!#REF!&lt;&gt;"")</formula>
    </cfRule>
  </conditionalFormatting>
  <conditionalFormatting sqref="K2939">
    <cfRule type="expression" dxfId="3" priority="3675">
      <formula>('C:\Users\wurui\Documents\计提\2023.4计提\[2023年4月IDC费用支付明细表-华北WM.xlsx]4月带宽'!#REF!&lt;&gt;"")*('C:\Users\wurui\Documents\计提\2023.4计提\[2023年4月IDC费用支付明细表-华北WM.xlsx]4月带宽'!#REF!&lt;&gt;"")</formula>
    </cfRule>
  </conditionalFormatting>
  <conditionalFormatting sqref="M2939">
    <cfRule type="expression" dxfId="3" priority="3676">
      <formula>('C:\Users\wurui\Documents\计提\2023.4计提\[2023年4月IDC费用支付明细表-华北WM.xlsx]4月带宽'!#REF!&lt;&gt;"")*('C:\Users\wurui\Documents\计提\2023.4计提\[2023年4月IDC费用支付明细表-华北WM.xlsx]4月带宽'!#REF!&lt;&gt;"")</formula>
    </cfRule>
  </conditionalFormatting>
  <conditionalFormatting sqref="T2939">
    <cfRule type="expression" dxfId="3" priority="3494">
      <formula>('C:\Users\wurui\Documents\计提\2023.4计提\[2023年4月IDC费用支付明细表-华北WM.xlsx]4月带宽'!#REF!&lt;&gt;"")*('C:\Users\wurui\Documents\计提\2023.4计提\[2023年4月IDC费用支付明细表-华北WM.xlsx]4月带宽'!#REF!&lt;&gt;"")</formula>
    </cfRule>
  </conditionalFormatting>
  <conditionalFormatting sqref="K2940">
    <cfRule type="expression" dxfId="3" priority="3673">
      <formula>('C:\Users\wurui\Documents\计提\2023.4计提\[2023年4月IDC费用支付明细表-华北WM.xlsx]4月带宽'!#REF!&lt;&gt;"")*('C:\Users\wurui\Documents\计提\2023.4计提\[2023年4月IDC费用支付明细表-华北WM.xlsx]4月带宽'!#REF!&lt;&gt;"")</formula>
    </cfRule>
  </conditionalFormatting>
  <conditionalFormatting sqref="M2940">
    <cfRule type="expression" dxfId="3" priority="3674">
      <formula>('C:\Users\wurui\Documents\计提\2023.4计提\[2023年4月IDC费用支付明细表-华北WM.xlsx]4月带宽'!#REF!&lt;&gt;"")*('C:\Users\wurui\Documents\计提\2023.4计提\[2023年4月IDC费用支付明细表-华北WM.xlsx]4月带宽'!#REF!&lt;&gt;"")</formula>
    </cfRule>
  </conditionalFormatting>
  <conditionalFormatting sqref="H2941">
    <cfRule type="expression" dxfId="1" priority="3374">
      <formula>(#REF!&lt;&gt;"")*(H$1&lt;&gt;"")</formula>
    </cfRule>
  </conditionalFormatting>
  <conditionalFormatting sqref="K2941">
    <cfRule type="expression" dxfId="3" priority="3375">
      <formula>('C:\Users\wurui\Documents\计提\2023.4计提\[2023年4月IDC费用支付明细表-华北WM.xlsx]4月带宽'!#REF!&lt;&gt;"")*('C:\Users\wurui\Documents\计提\2023.4计提\[2023年4月IDC费用支付明细表-华北WM.xlsx]4月带宽'!#REF!&lt;&gt;"")</formula>
    </cfRule>
  </conditionalFormatting>
  <conditionalFormatting sqref="M2941">
    <cfRule type="expression" dxfId="3" priority="3376">
      <formula>('C:\Users\wurui\Documents\计提\2023.4计提\[2023年4月IDC费用支付明细表-华北WM.xlsx]4月带宽'!#REF!&lt;&gt;"")*('C:\Users\wurui\Documents\计提\2023.4计提\[2023年4月IDC费用支付明细表-华北WM.xlsx]4月带宽'!#REF!&lt;&gt;"")</formula>
    </cfRule>
  </conditionalFormatting>
  <conditionalFormatting sqref="T2941">
    <cfRule type="expression" dxfId="3" priority="3377">
      <formula>('C:\Users\wurui\Documents\计提\2023.4计提\[2023年4月IDC费用支付明细表-华北WM.xlsx]4月带宽'!#REF!&lt;&gt;"")*('C:\Users\wurui\Documents\计提\2023.4计提\[2023年4月IDC费用支付明细表-华北WM.xlsx]4月带宽'!#REF!&lt;&gt;"")</formula>
    </cfRule>
  </conditionalFormatting>
  <conditionalFormatting sqref="H2942">
    <cfRule type="expression" dxfId="1" priority="3353">
      <formula>(#REF!&lt;&gt;"")*(H$1&lt;&gt;"")</formula>
    </cfRule>
  </conditionalFormatting>
  <conditionalFormatting sqref="K2942">
    <cfRule type="expression" dxfId="3" priority="3355">
      <formula>('C:\Users\wurui\Documents\计提\2023.4计提\[2023年4月IDC费用支付明细表-华北WM.xlsx]4月带宽'!#REF!&lt;&gt;"")*('C:\Users\wurui\Documents\计提\2023.4计提\[2023年4月IDC费用支付明细表-华北WM.xlsx]4月带宽'!#REF!&lt;&gt;"")</formula>
    </cfRule>
  </conditionalFormatting>
  <conditionalFormatting sqref="M2942">
    <cfRule type="expression" dxfId="3" priority="3356">
      <formula>('C:\Users\wurui\Documents\计提\2023.4计提\[2023年4月IDC费用支付明细表-华北WM.xlsx]4月带宽'!#REF!&lt;&gt;"")*('C:\Users\wurui\Documents\计提\2023.4计提\[2023年4月IDC费用支付明细表-华北WM.xlsx]4月带宽'!#REF!&lt;&gt;"")</formula>
    </cfRule>
  </conditionalFormatting>
  <conditionalFormatting sqref="T2942">
    <cfRule type="expression" dxfId="3" priority="3354">
      <formula>('C:\Users\wurui\Documents\计提\2023.4计提\[2023年4月IDC费用支付明细表-华北WM.xlsx]4月带宽'!#REF!&lt;&gt;"")*('C:\Users\wurui\Documents\计提\2023.4计提\[2023年4月IDC费用支付明细表-华北WM.xlsx]4月带宽'!#REF!&lt;&gt;"")</formula>
    </cfRule>
  </conditionalFormatting>
  <conditionalFormatting sqref="K2943">
    <cfRule type="expression" dxfId="3" priority="3641">
      <formula>('C:\Users\wurui\Documents\计提\2023.4计提\[2023年4月IDC费用支付明细表-华北WM.xlsx]4月带宽'!#REF!&lt;&gt;"")*('C:\Users\wurui\Documents\计提\2023.4计提\[2023年4月IDC费用支付明细表-华北WM.xlsx]4月带宽'!#REF!&lt;&gt;"")</formula>
    </cfRule>
  </conditionalFormatting>
  <conditionalFormatting sqref="M2943">
    <cfRule type="expression" dxfId="3" priority="3642">
      <formula>('C:\Users\wurui\Documents\计提\2023.4计提\[2023年4月IDC费用支付明细表-华北WM.xlsx]4月带宽'!#REF!&lt;&gt;"")*('C:\Users\wurui\Documents\计提\2023.4计提\[2023年4月IDC费用支付明细表-华北WM.xlsx]4月带宽'!#REF!&lt;&gt;"")</formula>
    </cfRule>
  </conditionalFormatting>
  <conditionalFormatting sqref="T2943">
    <cfRule type="expression" dxfId="3" priority="3640">
      <formula>('C:\Users\wurui\Documents\计提\2023.4计提\[2023年4月IDC费用支付明细表-华北WM.xlsx]4月带宽'!#REF!&lt;&gt;"")*('C:\Users\wurui\Documents\计提\2023.4计提\[2023年4月IDC费用支付明细表-华北WM.xlsx]4月带宽'!#REF!&lt;&gt;"")</formula>
    </cfRule>
  </conditionalFormatting>
  <conditionalFormatting sqref="H2944">
    <cfRule type="expression" dxfId="1" priority="3298">
      <formula>(#REF!&lt;&gt;"")*(H$1&lt;&gt;"")</formula>
    </cfRule>
  </conditionalFormatting>
  <conditionalFormatting sqref="K2944">
    <cfRule type="expression" dxfId="3" priority="3300">
      <formula>('C:\Users\wurui\Documents\计提\2023.4计提\[2023年4月IDC费用支付明细表-华北WM.xlsx]4月带宽'!#REF!&lt;&gt;"")*('C:\Users\wurui\Documents\计提\2023.4计提\[2023年4月IDC费用支付明细表-华北WM.xlsx]4月带宽'!#REF!&lt;&gt;"")</formula>
    </cfRule>
  </conditionalFormatting>
  <conditionalFormatting sqref="M2944">
    <cfRule type="expression" dxfId="3" priority="3301">
      <formula>('C:\Users\wurui\Documents\计提\2023.4计提\[2023年4月IDC费用支付明细表-华北WM.xlsx]4月带宽'!#REF!&lt;&gt;"")*('C:\Users\wurui\Documents\计提\2023.4计提\[2023年4月IDC费用支付明细表-华北WM.xlsx]4月带宽'!#REF!&lt;&gt;"")</formula>
    </cfRule>
  </conditionalFormatting>
  <conditionalFormatting sqref="T2944">
    <cfRule type="expression" dxfId="3" priority="3299">
      <formula>('C:\Users\wurui\Documents\计提\2023.4计提\[2023年4月IDC费用支付明细表-华北WM.xlsx]4月带宽'!#REF!&lt;&gt;"")*('C:\Users\wurui\Documents\计提\2023.4计提\[2023年4月IDC费用支付明细表-华北WM.xlsx]4月带宽'!#REF!&lt;&gt;"")</formula>
    </cfRule>
  </conditionalFormatting>
  <conditionalFormatting sqref="K2945">
    <cfRule type="expression" dxfId="3" priority="3636">
      <formula>('C:\Users\wurui\Documents\计提\2023.4计提\[2023年4月IDC费用支付明细表-华北WM.xlsx]4月带宽'!#REF!&lt;&gt;"")*('C:\Users\wurui\Documents\计提\2023.4计提\[2023年4月IDC费用支付明细表-华北WM.xlsx]4月带宽'!#REF!&lt;&gt;"")</formula>
    </cfRule>
  </conditionalFormatting>
  <conditionalFormatting sqref="M2945">
    <cfRule type="expression" dxfId="3" priority="3638">
      <formula>('C:\Users\wurui\Documents\计提\2023.4计提\[2023年4月IDC费用支付明细表-华北WM.xlsx]4月带宽'!#REF!&lt;&gt;"")*('C:\Users\wurui\Documents\计提\2023.4计提\[2023年4月IDC费用支付明细表-华北WM.xlsx]4月带宽'!#REF!&lt;&gt;"")</formula>
    </cfRule>
  </conditionalFormatting>
  <conditionalFormatting sqref="T2945">
    <cfRule type="expression" dxfId="3" priority="3637">
      <formula>('C:\Users\wurui\Documents\计提\2023.4计提\[2023年4月IDC费用支付明细表-华北WM.xlsx]4月带宽'!#REF!&lt;&gt;"")*('C:\Users\wurui\Documents\计提\2023.4计提\[2023年4月IDC费用支付明细表-华北WM.xlsx]4月带宽'!#REF!&lt;&gt;"")</formula>
    </cfRule>
  </conditionalFormatting>
  <conditionalFormatting sqref="H2946">
    <cfRule type="expression" dxfId="1" priority="3379">
      <formula>(#REF!&lt;&gt;"")*(H$1&lt;&gt;"")</formula>
    </cfRule>
  </conditionalFormatting>
  <conditionalFormatting sqref="K2946">
    <cfRule type="expression" dxfId="3" priority="3572">
      <formula>('C:\Users\wurui\Documents\计提\2023.4计提\[2023年4月IDC费用支付明细表-华北WM.xlsx]4月带宽'!#REF!&lt;&gt;"")*('C:\Users\wurui\Documents\计提\2023.4计提\[2023年4月IDC费用支付明细表-华北WM.xlsx]4月带宽'!#REF!&lt;&gt;"")</formula>
    </cfRule>
  </conditionalFormatting>
  <conditionalFormatting sqref="M2946">
    <cfRule type="expression" dxfId="3" priority="3573">
      <formula>('C:\Users\wurui\Documents\计提\2023.4计提\[2023年4月IDC费用支付明细表-华北WM.xlsx]4月带宽'!#REF!&lt;&gt;"")*('C:\Users\wurui\Documents\计提\2023.4计提\[2023年4月IDC费用支付明细表-华北WM.xlsx]4月带宽'!#REF!&lt;&gt;"")</formula>
    </cfRule>
  </conditionalFormatting>
  <conditionalFormatting sqref="K2947">
    <cfRule type="expression" dxfId="3" priority="3499">
      <formula>('C:\Users\wurui\Documents\计提\2023.4计提\[2023年4月IDC费用支付明细表-华北WM.xlsx]4月带宽'!#REF!&lt;&gt;"")*('C:\Users\wurui\Documents\计提\2023.4计提\[2023年4月IDC费用支付明细表-华北WM.xlsx]4月带宽'!#REF!&lt;&gt;"")</formula>
    </cfRule>
  </conditionalFormatting>
  <conditionalFormatting sqref="M2947">
    <cfRule type="expression" dxfId="3" priority="3500">
      <formula>('C:\Users\wurui\Documents\计提\2023.4计提\[2023年4月IDC费用支付明细表-华北WM.xlsx]4月带宽'!#REF!&lt;&gt;"")*('C:\Users\wurui\Documents\计提\2023.4计提\[2023年4月IDC费用支付明细表-华北WM.xlsx]4月带宽'!#REF!&lt;&gt;"")</formula>
    </cfRule>
  </conditionalFormatting>
  <conditionalFormatting sqref="T2947">
    <cfRule type="expression" dxfId="3" priority="3498">
      <formula>('C:\Users\wurui\Documents\计提\2023.4计提\[2023年4月IDC费用支付明细表-华北WM.xlsx]4月带宽'!#REF!&lt;&gt;"")*('C:\Users\wurui\Documents\计提\2023.4计提\[2023年4月IDC费用支付明细表-华北WM.xlsx]4月带宽'!#REF!&lt;&gt;"")</formula>
    </cfRule>
  </conditionalFormatting>
  <conditionalFormatting sqref="H2948">
    <cfRule type="expression" dxfId="1" priority="3302">
      <formula>(#REF!&lt;&gt;"")*(H$1&lt;&gt;"")</formula>
    </cfRule>
  </conditionalFormatting>
  <conditionalFormatting sqref="K2948">
    <cfRule type="expression" dxfId="3" priority="3304">
      <formula>('C:\Users\wurui\Documents\计提\2023.4计提\[2023年4月IDC费用支付明细表-华北WM.xlsx]4月带宽'!#REF!&lt;&gt;"")*('C:\Users\wurui\Documents\计提\2023.4计提\[2023年4月IDC费用支付明细表-华北WM.xlsx]4月带宽'!#REF!&lt;&gt;"")</formula>
    </cfRule>
  </conditionalFormatting>
  <conditionalFormatting sqref="M2948">
    <cfRule type="expression" dxfId="3" priority="3305">
      <formula>('C:\Users\wurui\Documents\计提\2023.4计提\[2023年4月IDC费用支付明细表-华北WM.xlsx]4月带宽'!#REF!&lt;&gt;"")*('C:\Users\wurui\Documents\计提\2023.4计提\[2023年4月IDC费用支付明细表-华北WM.xlsx]4月带宽'!#REF!&lt;&gt;"")</formula>
    </cfRule>
  </conditionalFormatting>
  <conditionalFormatting sqref="T2948">
    <cfRule type="expression" dxfId="3" priority="3303">
      <formula>('C:\Users\wurui\Documents\计提\2023.4计提\[2023年4月IDC费用支付明细表-华北WM.xlsx]4月带宽'!#REF!&lt;&gt;"")*('C:\Users\wurui\Documents\计提\2023.4计提\[2023年4月IDC费用支付明细表-华北WM.xlsx]4月带宽'!#REF!&lt;&gt;"")</formula>
    </cfRule>
  </conditionalFormatting>
  <conditionalFormatting sqref="K2949">
    <cfRule type="expression" dxfId="3" priority="3495">
      <formula>('C:\Users\wurui\Documents\计提\2023.4计提\[2023年4月IDC费用支付明细表-华北WM.xlsx]4月带宽'!#REF!&lt;&gt;"")*('C:\Users\wurui\Documents\计提\2023.4计提\[2023年4月IDC费用支付明细表-华北WM.xlsx]4月带宽'!#REF!&lt;&gt;"")</formula>
    </cfRule>
  </conditionalFormatting>
  <conditionalFormatting sqref="M2949">
    <cfRule type="expression" dxfId="3" priority="3497">
      <formula>('C:\Users\wurui\Documents\计提\2023.4计提\[2023年4月IDC费用支付明细表-华北WM.xlsx]4月带宽'!#REF!&lt;&gt;"")*('C:\Users\wurui\Documents\计提\2023.4计提\[2023年4月IDC费用支付明细表-华北WM.xlsx]4月带宽'!#REF!&lt;&gt;"")</formula>
    </cfRule>
  </conditionalFormatting>
  <conditionalFormatting sqref="T2949">
    <cfRule type="expression" dxfId="3" priority="3496">
      <formula>('C:\Users\wurui\Documents\计提\2023.4计提\[2023年4月IDC费用支付明细表-华北WM.xlsx]4月带宽'!#REF!&lt;&gt;"")*('C:\Users\wurui\Documents\计提\2023.4计提\[2023年4月IDC费用支付明细表-华北WM.xlsx]4月带宽'!#REF!&lt;&gt;"")</formula>
    </cfRule>
  </conditionalFormatting>
  <conditionalFormatting sqref="H2950">
    <cfRule type="expression" dxfId="1" priority="3378">
      <formula>(#REF!&lt;&gt;"")*(H$1&lt;&gt;"")</formula>
    </cfRule>
  </conditionalFormatting>
  <conditionalFormatting sqref="K2950">
    <cfRule type="expression" dxfId="3" priority="3381">
      <formula>('C:\Users\wurui\Documents\计提\2023.4计提\[2023年4月IDC费用支付明细表-华北WM.xlsx]4月带宽'!#REF!&lt;&gt;"")*('C:\Users\wurui\Documents\计提\2023.4计提\[2023年4月IDC费用支付明细表-华北WM.xlsx]4月带宽'!#REF!&lt;&gt;"")</formula>
    </cfRule>
  </conditionalFormatting>
  <conditionalFormatting sqref="M2950">
    <cfRule type="expression" dxfId="3" priority="3382">
      <formula>('C:\Users\wurui\Documents\计提\2023.4计提\[2023年4月IDC费用支付明细表-华北WM.xlsx]4月带宽'!#REF!&lt;&gt;"")*('C:\Users\wurui\Documents\计提\2023.4计提\[2023年4月IDC费用支付明细表-华北WM.xlsx]4月带宽'!#REF!&lt;&gt;"")</formula>
    </cfRule>
  </conditionalFormatting>
  <conditionalFormatting sqref="T2950">
    <cfRule type="expression" dxfId="3" priority="3380">
      <formula>('C:\Users\wurui\Documents\计提\2023.4计提\[2023年4月IDC费用支付明细表-华北WM.xlsx]4月带宽'!#REF!&lt;&gt;"")*('C:\Users\wurui\Documents\计提\2023.4计提\[2023年4月IDC费用支付明细表-华北WM.xlsx]4月带宽'!#REF!&lt;&gt;"")</formula>
    </cfRule>
  </conditionalFormatting>
  <conditionalFormatting sqref="H2951">
    <cfRule type="expression" dxfId="1" priority="3332">
      <formula>(#REF!&lt;&gt;"")*(H$1&lt;&gt;"")</formula>
    </cfRule>
  </conditionalFormatting>
  <conditionalFormatting sqref="K2951">
    <cfRule type="expression" dxfId="3" priority="3333">
      <formula>('C:\Users\wurui\Documents\计提\2023.4计提\[2023年4月IDC费用支付明细表-华北WM.xlsx]4月带宽'!#REF!&lt;&gt;"")*('C:\Users\wurui\Documents\计提\2023.4计提\[2023年4月IDC费用支付明细表-华北WM.xlsx]4月带宽'!#REF!&lt;&gt;"")</formula>
    </cfRule>
  </conditionalFormatting>
  <conditionalFormatting sqref="M2951">
    <cfRule type="expression" dxfId="3" priority="3335">
      <formula>('C:\Users\wurui\Documents\计提\2023.4计提\[2023年4月IDC费用支付明细表-华北WM.xlsx]4月带宽'!#REF!&lt;&gt;"")*('C:\Users\wurui\Documents\计提\2023.4计提\[2023年4月IDC费用支付明细表-华北WM.xlsx]4月带宽'!#REF!&lt;&gt;"")</formula>
    </cfRule>
  </conditionalFormatting>
  <conditionalFormatting sqref="T2951">
    <cfRule type="expression" dxfId="3" priority="3334">
      <formula>('C:\Users\wurui\Documents\计提\2023.4计提\[2023年4月IDC费用支付明细表-华北WM.xlsx]4月带宽'!#REF!&lt;&gt;"")*('C:\Users\wurui\Documents\计提\2023.4计提\[2023年4月IDC费用支付明细表-华北WM.xlsx]4月带宽'!#REF!&lt;&gt;"")</formula>
    </cfRule>
  </conditionalFormatting>
  <conditionalFormatting sqref="H2952">
    <cfRule type="expression" dxfId="1" priority="3328">
      <formula>(#REF!&lt;&gt;"")*(H$1&lt;&gt;"")</formula>
    </cfRule>
  </conditionalFormatting>
  <conditionalFormatting sqref="K2952">
    <cfRule type="expression" dxfId="3" priority="3329">
      <formula>('C:\Users\wurui\Documents\计提\2023.4计提\[2023年4月IDC费用支付明细表-华北WM.xlsx]4月带宽'!#REF!&lt;&gt;"")*('C:\Users\wurui\Documents\计提\2023.4计提\[2023年4月IDC费用支付明细表-华北WM.xlsx]4月带宽'!#REF!&lt;&gt;"")</formula>
    </cfRule>
  </conditionalFormatting>
  <conditionalFormatting sqref="M2952">
    <cfRule type="expression" dxfId="3" priority="3331">
      <formula>('C:\Users\wurui\Documents\计提\2023.4计提\[2023年4月IDC费用支付明细表-华北WM.xlsx]4月带宽'!#REF!&lt;&gt;"")*('C:\Users\wurui\Documents\计提\2023.4计提\[2023年4月IDC费用支付明细表-华北WM.xlsx]4月带宽'!#REF!&lt;&gt;"")</formula>
    </cfRule>
  </conditionalFormatting>
  <conditionalFormatting sqref="T2952">
    <cfRule type="expression" dxfId="3" priority="3330">
      <formula>('C:\Users\wurui\Documents\计提\2023.4计提\[2023年4月IDC费用支付明细表-华北WM.xlsx]4月带宽'!#REF!&lt;&gt;"")*('C:\Users\wurui\Documents\计提\2023.4计提\[2023年4月IDC费用支付明细表-华北WM.xlsx]4月带宽'!#REF!&lt;&gt;"")</formula>
    </cfRule>
  </conditionalFormatting>
  <conditionalFormatting sqref="H2953">
    <cfRule type="expression" dxfId="1" priority="3320">
      <formula>(#REF!&lt;&gt;"")*(H$1&lt;&gt;"")</formula>
    </cfRule>
  </conditionalFormatting>
  <conditionalFormatting sqref="K2953">
    <cfRule type="expression" dxfId="3" priority="3321">
      <formula>('C:\Users\wurui\Documents\计提\2023.4计提\[2023年4月IDC费用支付明细表-华北WM.xlsx]4月带宽'!#REF!&lt;&gt;"")*('C:\Users\wurui\Documents\计提\2023.4计提\[2023年4月IDC费用支付明细表-华北WM.xlsx]4月带宽'!#REF!&lt;&gt;"")</formula>
    </cfRule>
  </conditionalFormatting>
  <conditionalFormatting sqref="M2953">
    <cfRule type="expression" dxfId="3" priority="3322">
      <formula>('C:\Users\wurui\Documents\计提\2023.4计提\[2023年4月IDC费用支付明细表-华北WM.xlsx]4月带宽'!#REF!&lt;&gt;"")*('C:\Users\wurui\Documents\计提\2023.4计提\[2023年4月IDC费用支付明细表-华北WM.xlsx]4月带宽'!#REF!&lt;&gt;"")</formula>
    </cfRule>
  </conditionalFormatting>
  <conditionalFormatting sqref="T2953">
    <cfRule type="expression" dxfId="3" priority="3319">
      <formula>('C:\Users\wurui\Documents\计提\2023.4计提\[2023年4月IDC费用支付明细表-华北WM.xlsx]4月带宽'!#REF!&lt;&gt;"")*('C:\Users\wurui\Documents\计提\2023.4计提\[2023年4月IDC费用支付明细表-华北WM.xlsx]4月带宽'!#REF!&lt;&gt;"")</formula>
    </cfRule>
  </conditionalFormatting>
  <conditionalFormatting sqref="H2954">
    <cfRule type="expression" dxfId="1" priority="3315">
      <formula>(#REF!&lt;&gt;"")*(H$1&lt;&gt;"")</formula>
    </cfRule>
  </conditionalFormatting>
  <conditionalFormatting sqref="K2954">
    <cfRule type="expression" dxfId="3" priority="3316">
      <formula>('C:\Users\wurui\Documents\计提\2023.4计提\[2023年4月IDC费用支付明细表-华北WM.xlsx]4月带宽'!#REF!&lt;&gt;"")*('C:\Users\wurui\Documents\计提\2023.4计提\[2023年4月IDC费用支付明细表-华北WM.xlsx]4月带宽'!#REF!&lt;&gt;"")</formula>
    </cfRule>
  </conditionalFormatting>
  <conditionalFormatting sqref="M2954">
    <cfRule type="expression" dxfId="3" priority="3318">
      <formula>('C:\Users\wurui\Documents\计提\2023.4计提\[2023年4月IDC费用支付明细表-华北WM.xlsx]4月带宽'!#REF!&lt;&gt;"")*('C:\Users\wurui\Documents\计提\2023.4计提\[2023年4月IDC费用支付明细表-华北WM.xlsx]4月带宽'!#REF!&lt;&gt;"")</formula>
    </cfRule>
  </conditionalFormatting>
  <conditionalFormatting sqref="T2954">
    <cfRule type="expression" dxfId="3" priority="3317">
      <formula>('C:\Users\wurui\Documents\计提\2023.4计提\[2023年4月IDC费用支付明细表-华北WM.xlsx]4月带宽'!#REF!&lt;&gt;"")*('C:\Users\wurui\Documents\计提\2023.4计提\[2023年4月IDC费用支付明细表-华北WM.xlsx]4月带宽'!#REF!&lt;&gt;"")</formula>
    </cfRule>
  </conditionalFormatting>
  <conditionalFormatting sqref="K2955">
    <cfRule type="expression" dxfId="3" priority="3311">
      <formula>('C:\Users\wurui\Documents\计提\2023.4计提\[2023年4月IDC费用支付明细表-华北WM.xlsx]4月带宽'!#REF!&lt;&gt;"")*('C:\Users\wurui\Documents\计提\2023.4计提\[2023年4月IDC费用支付明细表-华北WM.xlsx]4月带宽'!#REF!&lt;&gt;"")</formula>
    </cfRule>
  </conditionalFormatting>
  <conditionalFormatting sqref="M2955">
    <cfRule type="expression" dxfId="3" priority="3310">
      <formula>('C:\Users\wurui\Documents\计提\2023.4计提\[2023年4月IDC费用支付明细表-华北WM.xlsx]4月带宽'!#REF!&lt;&gt;"")*('C:\Users\wurui\Documents\计提\2023.4计提\[2023年4月IDC费用支付明细表-华北WM.xlsx]4月带宽'!#REF!&lt;&gt;"")</formula>
    </cfRule>
  </conditionalFormatting>
  <conditionalFormatting sqref="T2955">
    <cfRule type="expression" dxfId="3" priority="3309">
      <formula>('C:\Users\wurui\Documents\计提\2023.4计提\[2023年4月IDC费用支付明细表-华北WM.xlsx]4月带宽'!#REF!&lt;&gt;"")*('C:\Users\wurui\Documents\计提\2023.4计提\[2023年4月IDC费用支付明细表-华北WM.xlsx]4月带宽'!#REF!&lt;&gt;"")</formula>
    </cfRule>
  </conditionalFormatting>
  <conditionalFormatting sqref="K2956">
    <cfRule type="expression" dxfId="3" priority="3314">
      <formula>('C:\Users\wurui\Documents\计提\2023.4计提\[2023年4月IDC费用支付明细表-华北WM.xlsx]4月带宽'!#REF!&lt;&gt;"")*('C:\Users\wurui\Documents\计提\2023.4计提\[2023年4月IDC费用支付明细表-华北WM.xlsx]4月带宽'!#REF!&lt;&gt;"")</formula>
    </cfRule>
  </conditionalFormatting>
  <conditionalFormatting sqref="M2956">
    <cfRule type="expression" dxfId="3" priority="3313">
      <formula>('C:\Users\wurui\Documents\计提\2023.4计提\[2023年4月IDC费用支付明细表-华北WM.xlsx]4月带宽'!#REF!&lt;&gt;"")*('C:\Users\wurui\Documents\计提\2023.4计提\[2023年4月IDC费用支付明细表-华北WM.xlsx]4月带宽'!#REF!&lt;&gt;"")</formula>
    </cfRule>
  </conditionalFormatting>
  <conditionalFormatting sqref="T2956">
    <cfRule type="expression" dxfId="3" priority="3312">
      <formula>('C:\Users\wurui\Documents\计提\2023.4计提\[2023年4月IDC费用支付明细表-华北WM.xlsx]4月带宽'!#REF!&lt;&gt;"")*('C:\Users\wurui\Documents\计提\2023.4计提\[2023年4月IDC费用支付明细表-华北WM.xlsx]4月带宽'!#REF!&lt;&gt;"")</formula>
    </cfRule>
  </conditionalFormatting>
  <conditionalFormatting sqref="M2962">
    <cfRule type="expression" dxfId="0" priority="3284">
      <formula>(#REF!&lt;&gt;"")*(#REF!&lt;&gt;"")</formula>
    </cfRule>
  </conditionalFormatting>
  <conditionalFormatting sqref="M2963">
    <cfRule type="expression" dxfId="0" priority="3560">
      <formula>(#REF!&lt;&gt;"")*(#REF!&lt;&gt;"")</formula>
    </cfRule>
  </conditionalFormatting>
  <conditionalFormatting sqref="M2964">
    <cfRule type="expression" dxfId="0" priority="3285">
      <formula>(#REF!&lt;&gt;"")*(#REF!&lt;&gt;"")</formula>
    </cfRule>
  </conditionalFormatting>
  <conditionalFormatting sqref="M2965">
    <cfRule type="expression" dxfId="0" priority="3559">
      <formula>(#REF!&lt;&gt;"")*(#REF!&lt;&gt;"")</formula>
    </cfRule>
  </conditionalFormatting>
  <conditionalFormatting sqref="M2966">
    <cfRule type="expression" dxfId="0" priority="3546">
      <formula>(#REF!&lt;&gt;"")*(#REF!&lt;&gt;"")</formula>
    </cfRule>
  </conditionalFormatting>
  <conditionalFormatting sqref="M2967">
    <cfRule type="expression" dxfId="0" priority="3517">
      <formula>(#REF!&lt;&gt;"")*(#REF!&lt;&gt;"")</formula>
    </cfRule>
  </conditionalFormatting>
  <conditionalFormatting sqref="M2968">
    <cfRule type="expression" dxfId="0" priority="3547">
      <formula>(#REF!&lt;&gt;"")*(#REF!&lt;&gt;"")</formula>
    </cfRule>
  </conditionalFormatting>
  <conditionalFormatting sqref="M2969">
    <cfRule type="expression" dxfId="0" priority="3558">
      <formula>(#REF!&lt;&gt;"")*(#REF!&lt;&gt;"")</formula>
    </cfRule>
  </conditionalFormatting>
  <conditionalFormatting sqref="M2971">
    <cfRule type="expression" dxfId="0" priority="3711">
      <formula>(#REF!&lt;&gt;"")*(#REF!&lt;&gt;"")</formula>
    </cfRule>
  </conditionalFormatting>
  <conditionalFormatting sqref="M2972">
    <cfRule type="expression" dxfId="0" priority="3691">
      <formula>(#REF!&lt;&gt;"")*(#REF!&lt;&gt;"")</formula>
    </cfRule>
  </conditionalFormatting>
  <conditionalFormatting sqref="M2976">
    <cfRule type="expression" dxfId="0" priority="3569">
      <formula>(#REF!&lt;&gt;"")*(#REF!&lt;&gt;"")</formula>
    </cfRule>
  </conditionalFormatting>
  <conditionalFormatting sqref="M2978">
    <cfRule type="expression" dxfId="0" priority="3568">
      <formula>(#REF!&lt;&gt;"")*(#REF!&lt;&gt;"")</formula>
    </cfRule>
  </conditionalFormatting>
  <conditionalFormatting sqref="M2983">
    <cfRule type="expression" dxfId="0" priority="3538">
      <formula>(#REF!&lt;&gt;"")*(#REF!&lt;&gt;"")</formula>
    </cfRule>
  </conditionalFormatting>
  <conditionalFormatting sqref="M2985">
    <cfRule type="expression" dxfId="0" priority="3535">
      <formula>(#REF!&lt;&gt;"")*(#REF!&lt;&gt;"")</formula>
    </cfRule>
  </conditionalFormatting>
  <conditionalFormatting sqref="M2986">
    <cfRule type="expression" dxfId="0" priority="3600">
      <formula>(#REF!&lt;&gt;"")*(#REF!&lt;&gt;"")</formula>
    </cfRule>
  </conditionalFormatting>
  <conditionalFormatting sqref="M2991">
    <cfRule type="expression" dxfId="0" priority="3537">
      <formula>(#REF!&lt;&gt;"")*(#REF!&lt;&gt;"")</formula>
    </cfRule>
  </conditionalFormatting>
  <conditionalFormatting sqref="M2992">
    <cfRule type="expression" dxfId="0" priority="3534">
      <formula>(#REF!&lt;&gt;"")*(#REF!&lt;&gt;"")</formula>
    </cfRule>
  </conditionalFormatting>
  <conditionalFormatting sqref="E2994">
    <cfRule type="expression" dxfId="0" priority="3649">
      <formula>(#REF!&lt;&gt;"")*(E$1&lt;&gt;"")</formula>
    </cfRule>
  </conditionalFormatting>
  <conditionalFormatting sqref="E3000">
    <cfRule type="expression" dxfId="0" priority="3610">
      <formula>(#REF!&lt;&gt;"")*(E$1&lt;&gt;"")</formula>
    </cfRule>
  </conditionalFormatting>
  <conditionalFormatting sqref="M3000">
    <cfRule type="expression" dxfId="0" priority="3611">
      <formula>(#REF!&lt;&gt;"")*(#REF!&lt;&gt;"")</formula>
    </cfRule>
  </conditionalFormatting>
  <conditionalFormatting sqref="M3001">
    <cfRule type="expression" dxfId="0" priority="3686">
      <formula>(#REF!&lt;&gt;"")*(#REF!&lt;&gt;"")</formula>
    </cfRule>
  </conditionalFormatting>
  <conditionalFormatting sqref="M3002">
    <cfRule type="expression" dxfId="0" priority="3685">
      <formula>(#REF!&lt;&gt;"")*(#REF!&lt;&gt;"")</formula>
    </cfRule>
  </conditionalFormatting>
  <conditionalFormatting sqref="M3003">
    <cfRule type="expression" dxfId="0" priority="3680">
      <formula>(#REF!&lt;&gt;"")*(#REF!&lt;&gt;"")</formula>
    </cfRule>
  </conditionalFormatting>
  <conditionalFormatting sqref="M3004">
    <cfRule type="expression" dxfId="0" priority="3679">
      <formula>(#REF!&lt;&gt;"")*(#REF!&lt;&gt;"")</formula>
    </cfRule>
  </conditionalFormatting>
  <conditionalFormatting sqref="M3005">
    <cfRule type="expression" dxfId="0" priority="3684">
      <formula>(#REF!&lt;&gt;"")*(#REF!&lt;&gt;"")</formula>
    </cfRule>
  </conditionalFormatting>
  <conditionalFormatting sqref="M3013">
    <cfRule type="expression" dxfId="0" priority="3701">
      <formula>(#REF!&lt;&gt;"")*(#REF!&lt;&gt;"")</formula>
    </cfRule>
  </conditionalFormatting>
  <conditionalFormatting sqref="M3015">
    <cfRule type="expression" dxfId="0" priority="3493">
      <formula>(#REF!&lt;&gt;"")*(#REF!&lt;&gt;"")</formula>
    </cfRule>
  </conditionalFormatting>
  <conditionalFormatting sqref="M3020">
    <cfRule type="expression" dxfId="0" priority="3609">
      <formula>(#REF!&lt;&gt;"")*(#REF!&lt;&gt;"")</formula>
    </cfRule>
  </conditionalFormatting>
  <conditionalFormatting sqref="M3022">
    <cfRule type="expression" dxfId="0" priority="3565">
      <formula>(#REF!&lt;&gt;"")*(#REF!&lt;&gt;"")</formula>
    </cfRule>
  </conditionalFormatting>
  <conditionalFormatting sqref="T3022">
    <cfRule type="expression" dxfId="1" priority="3564">
      <formula>(#REF!&lt;&gt;"")*(#REF!&lt;&gt;"")</formula>
    </cfRule>
  </conditionalFormatting>
  <conditionalFormatting sqref="M3023">
    <cfRule type="expression" dxfId="0" priority="3567">
      <formula>(#REF!&lt;&gt;"")*(#REF!&lt;&gt;"")</formula>
    </cfRule>
  </conditionalFormatting>
  <conditionalFormatting sqref="T3023">
    <cfRule type="expression" dxfId="1" priority="3566">
      <formula>(#REF!&lt;&gt;"")*(#REF!&lt;&gt;"")</formula>
    </cfRule>
  </conditionalFormatting>
  <conditionalFormatting sqref="M3028">
    <cfRule type="expression" dxfId="0" priority="3563">
      <formula>(#REF!&lt;&gt;"")*(#REF!&lt;&gt;"")</formula>
    </cfRule>
  </conditionalFormatting>
  <conditionalFormatting sqref="M3029">
    <cfRule type="expression" dxfId="0" priority="3562">
      <formula>(#REF!&lt;&gt;"")*(#REF!&lt;&gt;"")</formula>
    </cfRule>
  </conditionalFormatting>
  <conditionalFormatting sqref="M3030">
    <cfRule type="expression" dxfId="0" priority="3561">
      <formula>(#REF!&lt;&gt;"")*(#REF!&lt;&gt;"")</formula>
    </cfRule>
  </conditionalFormatting>
  <conditionalFormatting sqref="M3031">
    <cfRule type="expression" dxfId="0" priority="3475">
      <formula>(#REF!&lt;&gt;"")*(#REF!&lt;&gt;"")</formula>
    </cfRule>
  </conditionalFormatting>
  <conditionalFormatting sqref="M3032">
    <cfRule type="expression" dxfId="0" priority="3474">
      <formula>(#REF!&lt;&gt;"")*(#REF!&lt;&gt;"")</formula>
    </cfRule>
  </conditionalFormatting>
  <conditionalFormatting sqref="M3033">
    <cfRule type="expression" dxfId="0" priority="3515">
      <formula>(#REF!&lt;&gt;"")*(#REF!&lt;&gt;"")</formula>
    </cfRule>
  </conditionalFormatting>
  <conditionalFormatting sqref="M3034">
    <cfRule type="expression" dxfId="0" priority="3473">
      <formula>(#REF!&lt;&gt;"")*(#REF!&lt;&gt;"")</formula>
    </cfRule>
  </conditionalFormatting>
  <conditionalFormatting sqref="M3035">
    <cfRule type="expression" dxfId="0" priority="3476">
      <formula>(#REF!&lt;&gt;"")*(#REF!&lt;&gt;"")</formula>
    </cfRule>
  </conditionalFormatting>
  <conditionalFormatting sqref="M3038">
    <cfRule type="expression" dxfId="0" priority="3629">
      <formula>(#REF!&lt;&gt;"")*(#REF!&lt;&gt;"")</formula>
    </cfRule>
  </conditionalFormatting>
  <conditionalFormatting sqref="M3039">
    <cfRule type="expression" dxfId="0" priority="3628">
      <formula>(#REF!&lt;&gt;"")*(#REF!&lt;&gt;"")</formula>
    </cfRule>
  </conditionalFormatting>
  <conditionalFormatting sqref="M3040">
    <cfRule type="expression" dxfId="0" priority="3588">
      <formula>(#REF!&lt;&gt;"")*(#REF!&lt;&gt;"")</formula>
    </cfRule>
  </conditionalFormatting>
  <conditionalFormatting sqref="M3041">
    <cfRule type="expression" dxfId="0" priority="3627">
      <formula>(#REF!&lt;&gt;"")*(#REF!&lt;&gt;"")</formula>
    </cfRule>
  </conditionalFormatting>
  <conditionalFormatting sqref="M3042">
    <cfRule type="expression" dxfId="0" priority="3587">
      <formula>(#REF!&lt;&gt;"")*(#REF!&lt;&gt;"")</formula>
    </cfRule>
  </conditionalFormatting>
  <conditionalFormatting sqref="L3044">
    <cfRule type="expression" dxfId="1" priority="3784">
      <formula>(#REF!&lt;&gt;"")*(L$1&lt;&gt;"")</formula>
    </cfRule>
  </conditionalFormatting>
  <conditionalFormatting sqref="M3048">
    <cfRule type="expression" dxfId="0" priority="3509">
      <formula>(#REF!&lt;&gt;"")*(#REF!&lt;&gt;"")</formula>
    </cfRule>
  </conditionalFormatting>
  <conditionalFormatting sqref="M3049">
    <cfRule type="expression" dxfId="0" priority="3508">
      <formula>(#REF!&lt;&gt;"")*(#REF!&lt;&gt;"")</formula>
    </cfRule>
  </conditionalFormatting>
  <conditionalFormatting sqref="M3052">
    <cfRule type="expression" dxfId="0" priority="3543">
      <formula>(#REF!&lt;&gt;"")*(#REF!&lt;&gt;"")</formula>
    </cfRule>
  </conditionalFormatting>
  <conditionalFormatting sqref="M3054">
    <cfRule type="expression" dxfId="0" priority="3540">
      <formula>(#REF!&lt;&gt;"")*(#REF!&lt;&gt;"")</formula>
    </cfRule>
  </conditionalFormatting>
  <conditionalFormatting sqref="L3055">
    <cfRule type="expression" dxfId="1" priority="3441">
      <formula>(#REF!&lt;&gt;"")*(L$1&lt;&gt;"")</formula>
    </cfRule>
  </conditionalFormatting>
  <conditionalFormatting sqref="M3055">
    <cfRule type="expression" dxfId="0" priority="3440">
      <formula>(#REF!&lt;&gt;"")*(#REF!&lt;&gt;"")</formula>
    </cfRule>
  </conditionalFormatting>
  <conditionalFormatting sqref="L3056">
    <cfRule type="expression" dxfId="1" priority="3439">
      <formula>(#REF!&lt;&gt;"")*(L$1&lt;&gt;"")</formula>
    </cfRule>
  </conditionalFormatting>
  <conditionalFormatting sqref="M3056">
    <cfRule type="expression" dxfId="0" priority="3438">
      <formula>(#REF!&lt;&gt;"")*(#REF!&lt;&gt;"")</formula>
    </cfRule>
  </conditionalFormatting>
  <conditionalFormatting sqref="M3060">
    <cfRule type="expression" dxfId="0" priority="3541">
      <formula>(#REF!&lt;&gt;"")*(#REF!&lt;&gt;"")</formula>
    </cfRule>
  </conditionalFormatting>
  <conditionalFormatting sqref="M3069">
    <cfRule type="expression" dxfId="0" priority="3542">
      <formula>(#REF!&lt;&gt;"")*(#REF!&lt;&gt;"")</formula>
    </cfRule>
  </conditionalFormatting>
  <conditionalFormatting sqref="M3072">
    <cfRule type="expression" dxfId="0" priority="3707">
      <formula>(#REF!&lt;&gt;"")*(#REF!&lt;&gt;"")</formula>
    </cfRule>
  </conditionalFormatting>
  <conditionalFormatting sqref="M3075">
    <cfRule type="expression" dxfId="0" priority="3708">
      <formula>(#REF!&lt;&gt;"")*(#REF!&lt;&gt;"")</formula>
    </cfRule>
  </conditionalFormatting>
  <conditionalFormatting sqref="M3076">
    <cfRule type="expression" dxfId="0" priority="3373">
      <formula>(#REF!&lt;&gt;"")*(#REF!&lt;&gt;"")</formula>
    </cfRule>
  </conditionalFormatting>
  <conditionalFormatting sqref="M3077">
    <cfRule type="expression" dxfId="0" priority="3372">
      <formula>(#REF!&lt;&gt;"")*(#REF!&lt;&gt;"")</formula>
    </cfRule>
  </conditionalFormatting>
  <conditionalFormatting sqref="M3078">
    <cfRule type="expression" dxfId="0" priority="3370">
      <formula>(#REF!&lt;&gt;"")*(#REF!&lt;&gt;"")</formula>
    </cfRule>
  </conditionalFormatting>
  <conditionalFormatting sqref="M3079">
    <cfRule type="expression" dxfId="0" priority="3371">
      <formula>(#REF!&lt;&gt;"")*(#REF!&lt;&gt;"")</formula>
    </cfRule>
  </conditionalFormatting>
  <conditionalFormatting sqref="M3080">
    <cfRule type="expression" dxfId="0" priority="3699">
      <formula>(#REF!&lt;&gt;"")*(#REF!&lt;&gt;"")</formula>
    </cfRule>
  </conditionalFormatting>
  <conditionalFormatting sqref="M3082">
    <cfRule type="expression" dxfId="0" priority="3700">
      <formula>(#REF!&lt;&gt;"")*(#REF!&lt;&gt;"")</formula>
    </cfRule>
  </conditionalFormatting>
  <conditionalFormatting sqref="M3086">
    <cfRule type="expression" dxfId="0" priority="3606">
      <formula>(#REF!&lt;&gt;"")*(#REF!&lt;&gt;"")</formula>
    </cfRule>
  </conditionalFormatting>
  <conditionalFormatting sqref="M3087">
    <cfRule type="expression" dxfId="0" priority="3605">
      <formula>(#REF!&lt;&gt;"")*(#REF!&lt;&gt;"")</formula>
    </cfRule>
  </conditionalFormatting>
  <conditionalFormatting sqref="M3088">
    <cfRule type="expression" dxfId="0" priority="3308">
      <formula>(#REF!&lt;&gt;"")*(#REF!&lt;&gt;"")</formula>
    </cfRule>
  </conditionalFormatting>
  <conditionalFormatting sqref="M3097">
    <cfRule type="expression" dxfId="0" priority="3683">
      <formula>(#REF!&lt;&gt;"")*(#REF!&lt;&gt;"")</formula>
    </cfRule>
  </conditionalFormatting>
  <conditionalFormatting sqref="M3098">
    <cfRule type="expression" dxfId="0" priority="3337">
      <formula>(#REF!&lt;&gt;"")*(#REF!&lt;&gt;"")</formula>
    </cfRule>
  </conditionalFormatting>
  <conditionalFormatting sqref="M3099">
    <cfRule type="expression" dxfId="0" priority="3698">
      <formula>(#REF!&lt;&gt;"")*(#REF!&lt;&gt;"")</formula>
    </cfRule>
  </conditionalFormatting>
  <conditionalFormatting sqref="M3100">
    <cfRule type="expression" dxfId="0" priority="3667">
      <formula>(#REF!&lt;&gt;"")*(#REF!&lt;&gt;"")</formula>
    </cfRule>
  </conditionalFormatting>
  <conditionalFormatting sqref="M3101">
    <cfRule type="expression" dxfId="0" priority="3626">
      <formula>(#REF!&lt;&gt;"")*(#REF!&lt;&gt;"")</formula>
    </cfRule>
  </conditionalFormatting>
  <conditionalFormatting sqref="M3102">
    <cfRule type="expression" dxfId="0" priority="3358">
      <formula>(#REF!&lt;&gt;"")*(#REF!&lt;&gt;"")</formula>
    </cfRule>
  </conditionalFormatting>
  <conditionalFormatting sqref="M3103">
    <cfRule type="expression" dxfId="0" priority="3625">
      <formula>(#REF!&lt;&gt;"")*(#REF!&lt;&gt;"")</formula>
    </cfRule>
  </conditionalFormatting>
  <conditionalFormatting sqref="M3104">
    <cfRule type="expression" dxfId="0" priority="3682">
      <formula>(#REF!&lt;&gt;"")*(#REF!&lt;&gt;"")</formula>
    </cfRule>
  </conditionalFormatting>
  <conditionalFormatting sqref="M3105">
    <cfRule type="expression" dxfId="0" priority="3624">
      <formula>(#REF!&lt;&gt;"")*(#REF!&lt;&gt;"")</formula>
    </cfRule>
  </conditionalFormatting>
  <conditionalFormatting sqref="M3106">
    <cfRule type="expression" dxfId="0" priority="3357">
      <formula>(#REF!&lt;&gt;"")*(#REF!&lt;&gt;"")</formula>
    </cfRule>
  </conditionalFormatting>
  <conditionalFormatting sqref="M3107">
    <cfRule type="expression" dxfId="0" priority="3586">
      <formula>(#REF!&lt;&gt;"")*(#REF!&lt;&gt;"")</formula>
    </cfRule>
  </conditionalFormatting>
  <conditionalFormatting sqref="M3108">
    <cfRule type="expression" dxfId="0" priority="3492">
      <formula>(#REF!&lt;&gt;"")*(#REF!&lt;&gt;"")</formula>
    </cfRule>
  </conditionalFormatting>
  <conditionalFormatting sqref="M3109">
    <cfRule type="expression" dxfId="0" priority="3286">
      <formula>(#REF!&lt;&gt;"")*(#REF!&lt;&gt;"")</formula>
    </cfRule>
  </conditionalFormatting>
  <conditionalFormatting sqref="M3110">
    <cfRule type="expression" dxfId="0" priority="3400">
      <formula>(#REF!&lt;&gt;"")*(#REF!&lt;&gt;"")</formula>
    </cfRule>
  </conditionalFormatting>
  <conditionalFormatting sqref="M3111">
    <cfRule type="expression" dxfId="0" priority="3398">
      <formula>(#REF!&lt;&gt;"")*(#REF!&lt;&gt;"")</formula>
    </cfRule>
  </conditionalFormatting>
  <conditionalFormatting sqref="M3112">
    <cfRule type="expression" dxfId="0" priority="3399">
      <formula>(#REF!&lt;&gt;"")*(#REF!&lt;&gt;"")</formula>
    </cfRule>
  </conditionalFormatting>
  <conditionalFormatting sqref="M3115">
    <cfRule type="expression" dxfId="0" priority="3623">
      <formula>(#REF!&lt;&gt;"")*(#REF!&lt;&gt;"")</formula>
    </cfRule>
  </conditionalFormatting>
  <conditionalFormatting sqref="M3116">
    <cfRule type="expression" dxfId="0" priority="3544">
      <formula>(#REF!&lt;&gt;"")*(#REF!&lt;&gt;"")</formula>
    </cfRule>
  </conditionalFormatting>
  <conditionalFormatting sqref="M3119">
    <cfRule type="expression" dxfId="0" priority="3545">
      <formula>(#REF!&lt;&gt;"")*(#REF!&lt;&gt;"")</formula>
    </cfRule>
  </conditionalFormatting>
  <conditionalFormatting sqref="M3122">
    <cfRule type="expression" dxfId="0" priority="3466">
      <formula>(#REF!&lt;&gt;"")*(#REF!&lt;&gt;"")</formula>
    </cfRule>
  </conditionalFormatting>
  <conditionalFormatting sqref="M3123">
    <cfRule type="expression" dxfId="0" priority="3467">
      <formula>(#REF!&lt;&gt;"")*(#REF!&lt;&gt;"")</formula>
    </cfRule>
  </conditionalFormatting>
  <conditionalFormatting sqref="M3125">
    <cfRule type="expression" dxfId="0" priority="3472">
      <formula>(#REF!&lt;&gt;"")*(#REF!&lt;&gt;"")</formula>
    </cfRule>
  </conditionalFormatting>
  <conditionalFormatting sqref="M3127">
    <cfRule type="expression" dxfId="0" priority="3571">
      <formula>(#REF!&lt;&gt;"")*(#REF!&lt;&gt;"")</formula>
    </cfRule>
  </conditionalFormatting>
  <conditionalFormatting sqref="M3128">
    <cfRule type="expression" dxfId="0" priority="3583">
      <formula>(#REF!&lt;&gt;"")*(#REF!&lt;&gt;"")</formula>
    </cfRule>
  </conditionalFormatting>
  <conditionalFormatting sqref="M3131">
    <cfRule type="expression" dxfId="0" priority="3697">
      <formula>(#REF!&lt;&gt;"")*(#REF!&lt;&gt;"")</formula>
    </cfRule>
  </conditionalFormatting>
  <conditionalFormatting sqref="M3132">
    <cfRule type="expression" dxfId="0" priority="3539">
      <formula>(#REF!&lt;&gt;"")*(#REF!&lt;&gt;"")</formula>
    </cfRule>
  </conditionalFormatting>
  <conditionalFormatting sqref="M3133">
    <cfRule type="expression" dxfId="0" priority="3519">
      <formula>(#REF!&lt;&gt;"")*(#REF!&lt;&gt;"")</formula>
    </cfRule>
  </conditionalFormatting>
  <conditionalFormatting sqref="M3134">
    <cfRule type="expression" dxfId="0" priority="3518">
      <formula>(#REF!&lt;&gt;"")*(#REF!&lt;&gt;"")</formula>
    </cfRule>
  </conditionalFormatting>
  <conditionalFormatting sqref="M3135">
    <cfRule type="expression" dxfId="0" priority="3471">
      <formula>(#REF!&lt;&gt;"")*(#REF!&lt;&gt;"")</formula>
    </cfRule>
  </conditionalFormatting>
  <conditionalFormatting sqref="M3136">
    <cfRule type="expression" dxfId="0" priority="3695">
      <formula>(#REF!&lt;&gt;"")*(#REF!&lt;&gt;"")</formula>
    </cfRule>
  </conditionalFormatting>
  <conditionalFormatting sqref="M3138">
    <cfRule type="expression" dxfId="0" priority="3570">
      <formula>(#REF!&lt;&gt;"")*(#REF!&lt;&gt;"")</formula>
    </cfRule>
  </conditionalFormatting>
  <conditionalFormatting sqref="M3140">
    <cfRule type="expression" dxfId="0" priority="3327">
      <formula>(#REF!&lt;&gt;"")*(#REF!&lt;&gt;"")</formula>
    </cfRule>
  </conditionalFormatting>
  <conditionalFormatting sqref="M3141">
    <cfRule type="expression" dxfId="0" priority="3326">
      <formula>(#REF!&lt;&gt;"")*(#REF!&lt;&gt;"")</formula>
    </cfRule>
  </conditionalFormatting>
  <conditionalFormatting sqref="M3142">
    <cfRule type="expression" dxfId="0" priority="3264">
      <formula>(#REF!&lt;&gt;"")*(#REF!&lt;&gt;"")</formula>
    </cfRule>
  </conditionalFormatting>
  <conditionalFormatting sqref="M3143">
    <cfRule type="expression" dxfId="0" priority="3324">
      <formula>(#REF!&lt;&gt;"")*(#REF!&lt;&gt;"")</formula>
    </cfRule>
  </conditionalFormatting>
  <conditionalFormatting sqref="M3144">
    <cfRule type="expression" dxfId="0" priority="3325">
      <formula>(#REF!&lt;&gt;"")*(#REF!&lt;&gt;"")</formula>
    </cfRule>
  </conditionalFormatting>
  <conditionalFormatting sqref="M3148">
    <cfRule type="expression" dxfId="0" priority="3336">
      <formula>(#REF!&lt;&gt;"")*(#REF!&lt;&gt;"")</formula>
    </cfRule>
  </conditionalFormatting>
  <conditionalFormatting sqref="M3152">
    <cfRule type="expression" dxfId="0" priority="3574">
      <formula>(#REF!&lt;&gt;"")*(#REF!&lt;&gt;"")</formula>
    </cfRule>
  </conditionalFormatting>
  <conditionalFormatting sqref="M3153">
    <cfRule type="expression" dxfId="0" priority="3575">
      <formula>(#REF!&lt;&gt;"")*(#REF!&lt;&gt;"")</formula>
    </cfRule>
  </conditionalFormatting>
  <conditionalFormatting sqref="M3154">
    <cfRule type="expression" dxfId="0" priority="3709">
      <formula>(#REF!&lt;&gt;"")*(#REF!&lt;&gt;"")</formula>
    </cfRule>
  </conditionalFormatting>
  <conditionalFormatting sqref="M3155">
    <cfRule type="expression" dxfId="0" priority="3612">
      <formula>(#REF!&lt;&gt;"")*(#REF!&lt;&gt;"")</formula>
    </cfRule>
  </conditionalFormatting>
  <conditionalFormatting sqref="M3157">
    <cfRule type="expression" dxfId="0" priority="3520">
      <formula>(#REF!&lt;&gt;"")*(#REF!&lt;&gt;"")</formula>
    </cfRule>
  </conditionalFormatting>
  <conditionalFormatting sqref="M3158">
    <cfRule type="expression" dxfId="0" priority="3521">
      <formula>(#REF!&lt;&gt;"")*(#REF!&lt;&gt;"")</formula>
    </cfRule>
  </conditionalFormatting>
  <conditionalFormatting sqref="M3162">
    <cfRule type="expression" dxfId="0" priority="3668">
      <formula>(#REF!&lt;&gt;"")*(#REF!&lt;&gt;"")</formula>
    </cfRule>
  </conditionalFormatting>
  <conditionalFormatting sqref="M3164">
    <cfRule type="expression" dxfId="0" priority="3653">
      <formula>(#REF!&lt;&gt;"")*(#REF!&lt;&gt;"")</formula>
    </cfRule>
  </conditionalFormatting>
  <conditionalFormatting sqref="M3165">
    <cfRule type="expression" dxfId="0" priority="3536">
      <formula>(#REF!&lt;&gt;"")*(#REF!&lt;&gt;"")</formula>
    </cfRule>
  </conditionalFormatting>
  <conditionalFormatting sqref="M3166">
    <cfRule type="expression" dxfId="0" priority="3469">
      <formula>(#REF!&lt;&gt;"")*(#REF!&lt;&gt;"")</formula>
    </cfRule>
  </conditionalFormatting>
  <conditionalFormatting sqref="M3167">
    <cfRule type="expression" dxfId="0" priority="3451">
      <formula>(#REF!&lt;&gt;"")*(#REF!&lt;&gt;"")</formula>
    </cfRule>
  </conditionalFormatting>
  <conditionalFormatting sqref="M3168">
    <cfRule type="expression" dxfId="0" priority="3283">
      <formula>(#REF!&lt;&gt;"")*(#REF!&lt;&gt;"")</formula>
    </cfRule>
  </conditionalFormatting>
  <conditionalFormatting sqref="M3171">
    <cfRule type="expression" dxfId="0" priority="3468">
      <formula>(#REF!&lt;&gt;"")*(#REF!&lt;&gt;"")</formula>
    </cfRule>
  </conditionalFormatting>
  <conditionalFormatting sqref="M3173">
    <cfRule type="expression" dxfId="0" priority="3616">
      <formula>(#REF!&lt;&gt;"")*(#REF!&lt;&gt;"")</formula>
    </cfRule>
  </conditionalFormatting>
  <conditionalFormatting sqref="M3174">
    <cfRule type="expression" dxfId="0" priority="3584">
      <formula>(#REF!&lt;&gt;"")*(#REF!&lt;&gt;"")</formula>
    </cfRule>
  </conditionalFormatting>
  <conditionalFormatting sqref="M3175">
    <cfRule type="expression" dxfId="0" priority="3617">
      <formula>(#REF!&lt;&gt;"")*(#REF!&lt;&gt;"")</formula>
    </cfRule>
  </conditionalFormatting>
  <conditionalFormatting sqref="M3176">
    <cfRule type="expression" dxfId="0" priority="3589">
      <formula>(#REF!&lt;&gt;"")*(#REF!&lt;&gt;"")</formula>
    </cfRule>
  </conditionalFormatting>
  <conditionalFormatting sqref="M3178">
    <cfRule type="expression" dxfId="0" priority="3710">
      <formula>(#REF!&lt;&gt;"")*(#REF!&lt;&gt;"")</formula>
    </cfRule>
  </conditionalFormatting>
  <conditionalFormatting sqref="M3179">
    <cfRule type="expression" dxfId="0" priority="3618">
      <formula>(#REF!&lt;&gt;"")*(#REF!&lt;&gt;"")</formula>
    </cfRule>
  </conditionalFormatting>
  <conditionalFormatting sqref="M3180">
    <cfRule type="expression" dxfId="0" priority="3585">
      <formula>(#REF!&lt;&gt;"")*(#REF!&lt;&gt;"")</formula>
    </cfRule>
  </conditionalFormatting>
  <conditionalFormatting sqref="M3185">
    <cfRule type="expression" dxfId="0" priority="2760">
      <formula>(#REF!&lt;&gt;"")*(#REF!&lt;&gt;"")</formula>
    </cfRule>
  </conditionalFormatting>
  <conditionalFormatting sqref="N3185">
    <cfRule type="expression" dxfId="0" priority="2759">
      <formula>(#REF!&lt;&gt;"")*(#REF!&lt;&gt;"")</formula>
    </cfRule>
  </conditionalFormatting>
  <conditionalFormatting sqref="P3185:Q3185">
    <cfRule type="expression" dxfId="1" priority="2762">
      <formula>(#REF!&lt;&gt;"")*(#REF!&lt;&gt;"")</formula>
    </cfRule>
  </conditionalFormatting>
  <conditionalFormatting sqref="Q3185">
    <cfRule type="expression" dxfId="0" priority="2761">
      <formula>(#REF!&lt;&gt;"")*(#REF!&lt;&gt;"")</formula>
    </cfRule>
  </conditionalFormatting>
  <conditionalFormatting sqref="R3185">
    <cfRule type="expression" dxfId="0" priority="2699">
      <formula>(#REF!&lt;&gt;"")*(#REF!&lt;&gt;"")</formula>
    </cfRule>
  </conditionalFormatting>
  <conditionalFormatting sqref="M3187">
    <cfRule type="expression" dxfId="0" priority="2764">
      <formula>(#REF!&lt;&gt;"")*(#REF!&lt;&gt;"")</formula>
    </cfRule>
  </conditionalFormatting>
  <conditionalFormatting sqref="N3187">
    <cfRule type="expression" dxfId="0" priority="2763">
      <formula>(#REF!&lt;&gt;"")*(#REF!&lt;&gt;"")</formula>
    </cfRule>
  </conditionalFormatting>
  <conditionalFormatting sqref="P3187:Q3187">
    <cfRule type="expression" dxfId="1" priority="2766">
      <formula>(#REF!&lt;&gt;"")*(#REF!&lt;&gt;"")</formula>
    </cfRule>
  </conditionalFormatting>
  <conditionalFormatting sqref="Q3187">
    <cfRule type="expression" dxfId="0" priority="2765">
      <formula>(#REF!&lt;&gt;"")*(#REF!&lt;&gt;"")</formula>
    </cfRule>
  </conditionalFormatting>
  <conditionalFormatting sqref="R3187">
    <cfRule type="expression" dxfId="0" priority="2700">
      <formula>(#REF!&lt;&gt;"")*(#REF!&lt;&gt;"")</formula>
    </cfRule>
  </conditionalFormatting>
  <conditionalFormatting sqref="M3189">
    <cfRule type="expression" dxfId="0" priority="2756">
      <formula>(#REF!&lt;&gt;"")*(#REF!&lt;&gt;"")</formula>
    </cfRule>
  </conditionalFormatting>
  <conditionalFormatting sqref="N3189">
    <cfRule type="expression" dxfId="0" priority="2755">
      <formula>(#REF!&lt;&gt;"")*(#REF!&lt;&gt;"")</formula>
    </cfRule>
  </conditionalFormatting>
  <conditionalFormatting sqref="P3189:Q3189">
    <cfRule type="expression" dxfId="1" priority="2758">
      <formula>(#REF!&lt;&gt;"")*(#REF!&lt;&gt;"")</formula>
    </cfRule>
  </conditionalFormatting>
  <conditionalFormatting sqref="Q3189">
    <cfRule type="expression" dxfId="0" priority="2757">
      <formula>(#REF!&lt;&gt;"")*(#REF!&lt;&gt;"")</formula>
    </cfRule>
  </conditionalFormatting>
  <conditionalFormatting sqref="R3189">
    <cfRule type="expression" dxfId="0" priority="2701">
      <formula>(#REF!&lt;&gt;"")*(#REF!&lt;&gt;"")</formula>
    </cfRule>
  </conditionalFormatting>
  <conditionalFormatting sqref="P3190">
    <cfRule type="expression" dxfId="1" priority="2844">
      <formula>(#REF!&lt;&gt;"")*(#REF!&lt;&gt;"")</formula>
    </cfRule>
  </conditionalFormatting>
  <conditionalFormatting sqref="P3192">
    <cfRule type="expression" dxfId="1" priority="2843">
      <formula>(#REF!&lt;&gt;"")*(#REF!&lt;&gt;"")</formula>
    </cfRule>
  </conditionalFormatting>
  <conditionalFormatting sqref="A3194">
    <cfRule type="expression" dxfId="0" priority="2776">
      <formula>(#REF!&lt;&gt;"")*(#REF!&lt;&gt;"")</formula>
    </cfRule>
  </conditionalFormatting>
  <conditionalFormatting sqref="R3194">
    <cfRule type="expression" dxfId="0" priority="2702">
      <formula>(#REF!&lt;&gt;"")*(#REF!&lt;&gt;"")</formula>
    </cfRule>
  </conditionalFormatting>
  <conditionalFormatting sqref="A3195">
    <cfRule type="expression" dxfId="0" priority="2748">
      <formula>(#REF!&lt;&gt;"")*(#REF!&lt;&gt;"")</formula>
    </cfRule>
  </conditionalFormatting>
  <conditionalFormatting sqref="F3195:G3195">
    <cfRule type="expression" dxfId="0" priority="2750">
      <formula>(#REF!&lt;&gt;"")*(#REF!&lt;&gt;"")</formula>
    </cfRule>
  </conditionalFormatting>
  <conditionalFormatting sqref="M3195">
    <cfRule type="expression" dxfId="0" priority="2749">
      <formula>(#REF!&lt;&gt;"")*(#REF!&lt;&gt;"")</formula>
    </cfRule>
  </conditionalFormatting>
  <conditionalFormatting sqref="R3195">
    <cfRule type="expression" dxfId="0" priority="2703">
      <formula>(#REF!&lt;&gt;"")*(#REF!&lt;&gt;"")</formula>
    </cfRule>
  </conditionalFormatting>
  <conditionalFormatting sqref="A3196">
    <cfRule type="expression" dxfId="0" priority="2775">
      <formula>(#REF!&lt;&gt;"")*(#REF!&lt;&gt;"")</formula>
    </cfRule>
  </conditionalFormatting>
  <conditionalFormatting sqref="R3196">
    <cfRule type="expression" dxfId="0" priority="2704">
      <formula>(#REF!&lt;&gt;"")*(#REF!&lt;&gt;"")</formula>
    </cfRule>
  </conditionalFormatting>
  <conditionalFormatting sqref="R3199">
    <cfRule type="expression" dxfId="0" priority="2705">
      <formula>(#REF!&lt;&gt;"")*(#REF!&lt;&gt;"")</formula>
    </cfRule>
  </conditionalFormatting>
  <conditionalFormatting sqref="M3201">
    <cfRule type="expression" dxfId="0" priority="2768">
      <formula>(#REF!&lt;&gt;"")*(#REF!&lt;&gt;"")</formula>
    </cfRule>
  </conditionalFormatting>
  <conditionalFormatting sqref="P3201">
    <cfRule type="expression" dxfId="1" priority="2746">
      <formula>(#REF!&lt;&gt;"")*(#REF!&lt;&gt;"")</formula>
    </cfRule>
  </conditionalFormatting>
  <conditionalFormatting sqref="Q3201">
    <cfRule type="expression" dxfId="0" priority="2767">
      <formula>(#REF!&lt;&gt;"")*(#REF!&lt;&gt;"")</formula>
    </cfRule>
    <cfRule type="expression" dxfId="1" priority="2769">
      <formula>(#REF!&lt;&gt;"")*(#REF!&lt;&gt;"")</formula>
    </cfRule>
  </conditionalFormatting>
  <conditionalFormatting sqref="R3201">
    <cfRule type="expression" dxfId="0" priority="2706">
      <formula>(#REF!&lt;&gt;"")*(#REF!&lt;&gt;"")</formula>
    </cfRule>
  </conditionalFormatting>
  <conditionalFormatting sqref="A3207">
    <cfRule type="expression" dxfId="0" priority="2753">
      <formula>(#REF!&lt;&gt;"")*(#REF!&lt;&gt;"")</formula>
    </cfRule>
  </conditionalFormatting>
  <conditionalFormatting sqref="F3207:G3207">
    <cfRule type="expression" dxfId="0" priority="2754">
      <formula>(#REF!&lt;&gt;"")*(#REF!&lt;&gt;"")</formula>
    </cfRule>
  </conditionalFormatting>
  <conditionalFormatting sqref="J3207">
    <cfRule type="expression" dxfId="0" priority="2752">
      <formula>(#REF!&lt;&gt;"")*(#REF!&lt;&gt;"")</formula>
    </cfRule>
  </conditionalFormatting>
  <conditionalFormatting sqref="K3207">
    <cfRule type="expression" dxfId="0" priority="2751">
      <formula>(#REF!&lt;&gt;"")*(#REF!&lt;&gt;"")</formula>
    </cfRule>
  </conditionalFormatting>
  <conditionalFormatting sqref="R3207">
    <cfRule type="expression" dxfId="0" priority="2707">
      <formula>(#REF!&lt;&gt;"")*(#REF!&lt;&gt;"")</formula>
    </cfRule>
  </conditionalFormatting>
  <conditionalFormatting sqref="A3208">
    <cfRule type="expression" dxfId="0" priority="2773">
      <formula>(#REF!&lt;&gt;"")*(#REF!&lt;&gt;"")</formula>
    </cfRule>
  </conditionalFormatting>
  <conditionalFormatting sqref="R3208">
    <cfRule type="expression" dxfId="0" priority="2708">
      <formula>(#REF!&lt;&gt;"")*(#REF!&lt;&gt;"")</formula>
    </cfRule>
  </conditionalFormatting>
  <conditionalFormatting sqref="A3209">
    <cfRule type="expression" dxfId="0" priority="2772">
      <formula>(#REF!&lt;&gt;"")*(#REF!&lt;&gt;"")</formula>
    </cfRule>
  </conditionalFormatting>
  <conditionalFormatting sqref="P3209">
    <cfRule type="expression" dxfId="1" priority="2745">
      <formula>(#REF!&lt;&gt;"")*(#REF!&lt;&gt;"")</formula>
    </cfRule>
  </conditionalFormatting>
  <conditionalFormatting sqref="R3209">
    <cfRule type="expression" dxfId="0" priority="2709">
      <formula>(#REF!&lt;&gt;"")*(#REF!&lt;&gt;"")</formula>
    </cfRule>
  </conditionalFormatting>
  <conditionalFormatting sqref="A3211">
    <cfRule type="expression" dxfId="0" priority="2694">
      <formula>(#REF!&lt;&gt;"")*(#REF!&lt;&gt;"")</formula>
    </cfRule>
  </conditionalFormatting>
  <conditionalFormatting sqref="F3211:G3211">
    <cfRule type="expression" dxfId="0" priority="2695">
      <formula>(#REF!&lt;&gt;"")*(#REF!&lt;&gt;"")</formula>
    </cfRule>
  </conditionalFormatting>
  <conditionalFormatting sqref="J3211">
    <cfRule type="expression" dxfId="0" priority="2693">
      <formula>(#REF!&lt;&gt;"")*(#REF!&lt;&gt;"")</formula>
    </cfRule>
  </conditionalFormatting>
  <conditionalFormatting sqref="K3211">
    <cfRule type="expression" dxfId="0" priority="2692">
      <formula>(#REF!&lt;&gt;"")*(#REF!&lt;&gt;"")</formula>
    </cfRule>
  </conditionalFormatting>
  <conditionalFormatting sqref="M3211">
    <cfRule type="expression" dxfId="0" priority="2697">
      <formula>(#REF!&lt;&gt;"")*(#REF!&lt;&gt;"")</formula>
    </cfRule>
  </conditionalFormatting>
  <conditionalFormatting sqref="P3211">
    <cfRule type="expression" dxfId="1" priority="2691">
      <formula>(#REF!&lt;&gt;"")*(#REF!&lt;&gt;"")</formula>
    </cfRule>
  </conditionalFormatting>
  <conditionalFormatting sqref="Q3211">
    <cfRule type="expression" dxfId="1" priority="2698">
      <formula>(#REF!&lt;&gt;"")*(#REF!&lt;&gt;"")</formula>
    </cfRule>
    <cfRule type="expression" dxfId="0" priority="2696">
      <formula>(#REF!&lt;&gt;"")*(#REF!&lt;&gt;"")</formula>
    </cfRule>
  </conditionalFormatting>
  <conditionalFormatting sqref="R3211">
    <cfRule type="expression" dxfId="0" priority="2690">
      <formula>(#REF!&lt;&gt;"")*(#REF!&lt;&gt;"")</formula>
    </cfRule>
  </conditionalFormatting>
  <conditionalFormatting sqref="A3212">
    <cfRule type="expression" dxfId="0" priority="2648">
      <formula>(#REF!&lt;&gt;"")*(#REF!&lt;&gt;"")</formula>
    </cfRule>
  </conditionalFormatting>
  <conditionalFormatting sqref="F3212:G3212">
    <cfRule type="expression" dxfId="0" priority="2649">
      <formula>(#REF!&lt;&gt;"")*(#REF!&lt;&gt;"")</formula>
    </cfRule>
  </conditionalFormatting>
  <conditionalFormatting sqref="J3212">
    <cfRule type="expression" dxfId="0" priority="2647">
      <formula>(#REF!&lt;&gt;"")*(#REF!&lt;&gt;"")</formula>
    </cfRule>
  </conditionalFormatting>
  <conditionalFormatting sqref="K3212">
    <cfRule type="expression" dxfId="0" priority="2646">
      <formula>(#REF!&lt;&gt;"")*(#REF!&lt;&gt;"")</formula>
    </cfRule>
  </conditionalFormatting>
  <conditionalFormatting sqref="M3212">
    <cfRule type="expression" dxfId="0" priority="2651">
      <formula>(#REF!&lt;&gt;"")*(#REF!&lt;&gt;"")</formula>
    </cfRule>
  </conditionalFormatting>
  <conditionalFormatting sqref="P3212">
    <cfRule type="expression" dxfId="1" priority="2645">
      <formula>(#REF!&lt;&gt;"")*(#REF!&lt;&gt;"")</formula>
    </cfRule>
  </conditionalFormatting>
  <conditionalFormatting sqref="Q3212">
    <cfRule type="expression" dxfId="1" priority="2652">
      <formula>(#REF!&lt;&gt;"")*(#REF!&lt;&gt;"")</formula>
    </cfRule>
    <cfRule type="expression" dxfId="0" priority="2650">
      <formula>(#REF!&lt;&gt;"")*(#REF!&lt;&gt;"")</formula>
    </cfRule>
  </conditionalFormatting>
  <conditionalFormatting sqref="R3212">
    <cfRule type="expression" dxfId="0" priority="2644">
      <formula>(#REF!&lt;&gt;"")*(#REF!&lt;&gt;"")</formula>
    </cfRule>
  </conditionalFormatting>
  <conditionalFormatting sqref="M3232">
    <cfRule type="expression" dxfId="0" priority="3100">
      <formula>(#REF!&lt;&gt;"")*(#REF!&lt;&gt;"")</formula>
    </cfRule>
    <cfRule type="expression" dxfId="0" priority="3101">
      <formula>(#REF!&lt;&gt;"")*(#REF!&lt;&gt;"")</formula>
    </cfRule>
  </conditionalFormatting>
  <conditionalFormatting sqref="M3233">
    <cfRule type="expression" dxfId="0" priority="3169">
      <formula>(#REF!&lt;&gt;"")*(#REF!&lt;&gt;"")</formula>
    </cfRule>
  </conditionalFormatting>
  <conditionalFormatting sqref="P3233:Q3233">
    <cfRule type="expression" dxfId="1" priority="3171">
      <formula>(#REF!&lt;&gt;"")*(#REF!&lt;&gt;"")</formula>
    </cfRule>
  </conditionalFormatting>
  <conditionalFormatting sqref="Q3233">
    <cfRule type="expression" dxfId="0" priority="3170">
      <formula>(#REF!&lt;&gt;"")*(#REF!&lt;&gt;"")</formula>
    </cfRule>
  </conditionalFormatting>
  <conditionalFormatting sqref="M3234">
    <cfRule type="expression" dxfId="0" priority="3166">
      <formula>(#REF!&lt;&gt;"")*(#REF!&lt;&gt;"")</formula>
    </cfRule>
  </conditionalFormatting>
  <conditionalFormatting sqref="P3234:Q3234">
    <cfRule type="expression" dxfId="1" priority="3168">
      <formula>(#REF!&lt;&gt;"")*(#REF!&lt;&gt;"")</formula>
    </cfRule>
  </conditionalFormatting>
  <conditionalFormatting sqref="Q3234">
    <cfRule type="expression" dxfId="0" priority="3167">
      <formula>(#REF!&lt;&gt;"")*(#REF!&lt;&gt;"")</formula>
    </cfRule>
  </conditionalFormatting>
  <conditionalFormatting sqref="M3240">
    <cfRule type="expression" dxfId="0" priority="3163">
      <formula>(#REF!&lt;&gt;"")*(#REF!&lt;&gt;"")</formula>
    </cfRule>
  </conditionalFormatting>
  <conditionalFormatting sqref="P3240:Q3240">
    <cfRule type="expression" dxfId="1" priority="3165">
      <formula>(#REF!&lt;&gt;"")*(#REF!&lt;&gt;"")</formula>
    </cfRule>
  </conditionalFormatting>
  <conditionalFormatting sqref="T3240">
    <cfRule type="expression" dxfId="0" priority="3162">
      <formula>(#REF!&lt;&gt;"")*(#REF!&lt;&gt;"")</formula>
    </cfRule>
  </conditionalFormatting>
  <conditionalFormatting sqref="A3300">
    <cfRule type="expression" dxfId="0" priority="3055">
      <formula>(#REF!&lt;&gt;"")*(#REF!&lt;&gt;"")</formula>
    </cfRule>
  </conditionalFormatting>
  <conditionalFormatting sqref="M3300">
    <cfRule type="expression" dxfId="0" priority="3054">
      <formula>(#REF!&lt;&gt;"")*(#REF!&lt;&gt;"")</formula>
    </cfRule>
  </conditionalFormatting>
  <conditionalFormatting sqref="P3300:Q3300">
    <cfRule type="expression" dxfId="1" priority="3056">
      <formula>(#REF!&lt;&gt;"")*(#REF!&lt;&gt;"")</formula>
    </cfRule>
  </conditionalFormatting>
  <conditionalFormatting sqref="E3301:F3301">
    <cfRule type="expression" dxfId="0" priority="3190">
      <formula>(#REF!&lt;&gt;"")*(#REF!&lt;&gt;"")</formula>
    </cfRule>
  </conditionalFormatting>
  <conditionalFormatting sqref="A3302">
    <cfRule type="expression" dxfId="0" priority="3187">
      <formula>(#REF!&lt;&gt;"")*(#REF!&lt;&gt;"")</formula>
    </cfRule>
  </conditionalFormatting>
  <conditionalFormatting sqref="A3303">
    <cfRule type="expression" dxfId="0" priority="3181">
      <formula>(#REF!&lt;&gt;"")*(#REF!&lt;&gt;"")</formula>
    </cfRule>
  </conditionalFormatting>
  <conditionalFormatting sqref="A3304">
    <cfRule type="expression" dxfId="0" priority="3178">
      <formula>(#REF!&lt;&gt;"")*(#REF!&lt;&gt;"")</formula>
    </cfRule>
  </conditionalFormatting>
  <conditionalFormatting sqref="L3304:M3304">
    <cfRule type="expression" dxfId="0" priority="3180">
      <formula>(#REF!&lt;&gt;"")*(#REF!&lt;&gt;"")</formula>
    </cfRule>
  </conditionalFormatting>
  <conditionalFormatting sqref="M3304">
    <cfRule type="expression" dxfId="0" priority="3179">
      <formula>(#REF!&lt;&gt;"")*(#REF!&lt;&gt;"")</formula>
    </cfRule>
  </conditionalFormatting>
  <conditionalFormatting sqref="A3322">
    <cfRule type="expression" dxfId="0" priority="3176">
      <formula>(#REF!&lt;&gt;"")*(#REF!&lt;&gt;"")</formula>
    </cfRule>
  </conditionalFormatting>
  <conditionalFormatting sqref="M3322">
    <cfRule type="expression" dxfId="0" priority="3175">
      <formula>(#REF!&lt;&gt;"")*(#REF!&lt;&gt;"")</formula>
    </cfRule>
  </conditionalFormatting>
  <conditionalFormatting sqref="P3322:Q3322">
    <cfRule type="expression" dxfId="1" priority="3177">
      <formula>(#REF!&lt;&gt;"")*(#REF!&lt;&gt;"")</formula>
    </cfRule>
  </conditionalFormatting>
  <conditionalFormatting sqref="A3331">
    <cfRule type="expression" dxfId="0" priority="3185">
      <formula>(#REF!&lt;&gt;"")*(#REF!&lt;&gt;"")</formula>
    </cfRule>
  </conditionalFormatting>
  <conditionalFormatting sqref="A3332">
    <cfRule type="expression" dxfId="0" priority="3183">
      <formula>(#REF!&lt;&gt;"")*(#REF!&lt;&gt;"")</formula>
    </cfRule>
  </conditionalFormatting>
  <conditionalFormatting sqref="L3332:O3332">
    <cfRule type="expression" dxfId="0" priority="3186">
      <formula>(#REF!&lt;&gt;"")*(#REF!&lt;&gt;"")</formula>
    </cfRule>
  </conditionalFormatting>
  <conditionalFormatting sqref="P3332">
    <cfRule type="expression" dxfId="1" priority="3184">
      <formula>(#REF!&lt;&gt;"")*(#REF!&lt;&gt;"")</formula>
    </cfRule>
  </conditionalFormatting>
  <conditionalFormatting sqref="Q3332">
    <cfRule type="expression" dxfId="1" priority="3188">
      <formula>(#REF!&lt;&gt;"")*(#REF!&lt;&gt;"")</formula>
    </cfRule>
  </conditionalFormatting>
  <conditionalFormatting sqref="A3335">
    <cfRule type="expression" dxfId="0" priority="3155">
      <formula>(#REF!&lt;&gt;"")*(#REF!&lt;&gt;"")</formula>
    </cfRule>
  </conditionalFormatting>
  <conditionalFormatting sqref="A3336">
    <cfRule type="expression" dxfId="0" priority="3137">
      <formula>(#REF!&lt;&gt;"")*(#REF!&lt;&gt;"")</formula>
    </cfRule>
  </conditionalFormatting>
  <conditionalFormatting sqref="H3336">
    <cfRule type="expression" dxfId="0" priority="3138">
      <formula>(#REF!&lt;&gt;"")*(#REF!&lt;&gt;"")</formula>
    </cfRule>
  </conditionalFormatting>
  <conditionalFormatting sqref="P3336:Q3336">
    <cfRule type="expression" dxfId="1" priority="3140">
      <formula>(#REF!&lt;&gt;"")*(#REF!&lt;&gt;"")</formula>
    </cfRule>
  </conditionalFormatting>
  <conditionalFormatting sqref="Q3336">
    <cfRule type="expression" dxfId="0" priority="3139">
      <formula>(#REF!&lt;&gt;"")*(#REF!&lt;&gt;"")</formula>
    </cfRule>
  </conditionalFormatting>
  <conditionalFormatting sqref="A3337">
    <cfRule type="expression" dxfId="0" priority="3133">
      <formula>(#REF!&lt;&gt;"")*(#REF!&lt;&gt;"")</formula>
    </cfRule>
  </conditionalFormatting>
  <conditionalFormatting sqref="H3337">
    <cfRule type="expression" dxfId="0" priority="3134">
      <formula>(#REF!&lt;&gt;"")*(#REF!&lt;&gt;"")</formula>
    </cfRule>
  </conditionalFormatting>
  <conditionalFormatting sqref="P3337:Q3337">
    <cfRule type="expression" dxfId="1" priority="3136">
      <formula>(#REF!&lt;&gt;"")*(#REF!&lt;&gt;"")</formula>
    </cfRule>
  </conditionalFormatting>
  <conditionalFormatting sqref="Q3337">
    <cfRule type="expression" dxfId="0" priority="3135">
      <formula>(#REF!&lt;&gt;"")*(#REF!&lt;&gt;"")</formula>
    </cfRule>
  </conditionalFormatting>
  <conditionalFormatting sqref="A3338">
    <cfRule type="expression" dxfId="0" priority="3129">
      <formula>(#REF!&lt;&gt;"")*(#REF!&lt;&gt;"")</formula>
    </cfRule>
  </conditionalFormatting>
  <conditionalFormatting sqref="H3338">
    <cfRule type="expression" dxfId="0" priority="3130">
      <formula>(#REF!&lt;&gt;"")*(#REF!&lt;&gt;"")</formula>
    </cfRule>
  </conditionalFormatting>
  <conditionalFormatting sqref="P3338:Q3338">
    <cfRule type="expression" dxfId="1" priority="3132">
      <formula>(#REF!&lt;&gt;"")*(#REF!&lt;&gt;"")</formula>
    </cfRule>
  </conditionalFormatting>
  <conditionalFormatting sqref="Q3338">
    <cfRule type="expression" dxfId="0" priority="3131">
      <formula>(#REF!&lt;&gt;"")*(#REF!&lt;&gt;"")</formula>
    </cfRule>
  </conditionalFormatting>
  <conditionalFormatting sqref="A3339">
    <cfRule type="expression" dxfId="0" priority="3118">
      <formula>(#REF!&lt;&gt;"")*(#REF!&lt;&gt;"")</formula>
    </cfRule>
  </conditionalFormatting>
  <conditionalFormatting sqref="H3339">
    <cfRule type="expression" dxfId="0" priority="3119">
      <formula>(#REF!&lt;&gt;"")*(#REF!&lt;&gt;"")</formula>
    </cfRule>
  </conditionalFormatting>
  <conditionalFormatting sqref="J3339:K3339">
    <cfRule type="expression" dxfId="0" priority="3121">
      <formula>(#REF!&lt;&gt;"")*(#REF!&lt;&gt;"")</formula>
    </cfRule>
  </conditionalFormatting>
  <conditionalFormatting sqref="L3339:O3339">
    <cfRule type="expression" dxfId="0" priority="3124">
      <formula>(#REF!&lt;&gt;"")*(#REF!&lt;&gt;"")</formula>
    </cfRule>
  </conditionalFormatting>
  <conditionalFormatting sqref="M3339">
    <cfRule type="expression" dxfId="0" priority="3128">
      <formula>(#REF!&lt;&gt;"")*(#REF!&lt;&gt;"")</formula>
    </cfRule>
    <cfRule type="expression" dxfId="0" priority="3127">
      <formula>(#REF!&lt;&gt;"")*(#REF!&lt;&gt;"")</formula>
    </cfRule>
    <cfRule type="expression" dxfId="0" priority="3122">
      <formula>(#REF!&lt;&gt;"")*(#REF!&lt;&gt;"")</formula>
    </cfRule>
    <cfRule type="expression" dxfId="0" priority="3120">
      <formula>(#REF!&lt;&gt;"")*(#REF!&lt;&gt;"")</formula>
    </cfRule>
  </conditionalFormatting>
  <conditionalFormatting sqref="P3339">
    <cfRule type="expression" dxfId="1" priority="3123">
      <formula>(#REF!&lt;&gt;"")*(#REF!&lt;&gt;"")</formula>
    </cfRule>
  </conditionalFormatting>
  <conditionalFormatting sqref="Q3339">
    <cfRule type="expression" dxfId="0" priority="3125">
      <formula>(#REF!&lt;&gt;"")*(#REF!&lt;&gt;"")</formula>
    </cfRule>
    <cfRule type="expression" dxfId="1" priority="3126">
      <formula>(#REF!&lt;&gt;"")*(#REF!&lt;&gt;"")</formula>
    </cfRule>
  </conditionalFormatting>
  <conditionalFormatting sqref="Q3359">
    <cfRule type="expression" dxfId="0" priority="3106">
      <formula>(#REF!&lt;&gt;"")*(#REF!&lt;&gt;"")</formula>
    </cfRule>
    <cfRule type="expression" dxfId="1" priority="3105">
      <formula>(#REF!&lt;&gt;"")*(#REF!&lt;&gt;"")</formula>
    </cfRule>
  </conditionalFormatting>
  <conditionalFormatting sqref="A3368">
    <cfRule type="expression" dxfId="0" priority="3000">
      <formula>(#REF!&lt;&gt;"")*(#REF!&lt;&gt;"")</formula>
    </cfRule>
  </conditionalFormatting>
  <conditionalFormatting sqref="M3368">
    <cfRule type="expression" dxfId="0" priority="2999">
      <formula>(#REF!&lt;&gt;"")*(#REF!&lt;&gt;"")</formula>
    </cfRule>
  </conditionalFormatting>
  <conditionalFormatting sqref="N3368">
    <cfRule type="expression" dxfId="0" priority="3001">
      <formula>(#REF!&lt;&gt;"")*(#REF!&lt;&gt;"")</formula>
    </cfRule>
  </conditionalFormatting>
  <conditionalFormatting sqref="O3368">
    <cfRule type="expression" dxfId="0" priority="2995">
      <formula>(#REF!&lt;&gt;"")*(#REF!&lt;&gt;"")</formula>
    </cfRule>
  </conditionalFormatting>
  <conditionalFormatting sqref="P3368">
    <cfRule type="expression" dxfId="1" priority="2996">
      <formula>(#REF!&lt;&gt;"")*(#REF!&lt;&gt;"")</formula>
    </cfRule>
  </conditionalFormatting>
  <conditionalFormatting sqref="Q3368">
    <cfRule type="expression" dxfId="0" priority="2998">
      <formula>(#REF!&lt;&gt;"")*(#REF!&lt;&gt;"")</formula>
    </cfRule>
    <cfRule type="expression" dxfId="1" priority="2997">
      <formula>(#REF!&lt;&gt;"")*(#REF!&lt;&gt;"")</formula>
    </cfRule>
  </conditionalFormatting>
  <conditionalFormatting sqref="A3369">
    <cfRule type="expression" dxfId="0" priority="3005">
      <formula>(#REF!&lt;&gt;"")*(#REF!&lt;&gt;"")</formula>
    </cfRule>
  </conditionalFormatting>
  <conditionalFormatting sqref="A3370">
    <cfRule type="expression" dxfId="0" priority="3004">
      <formula>(#REF!&lt;&gt;"")*(#REF!&lt;&gt;"")</formula>
    </cfRule>
  </conditionalFormatting>
  <conditionalFormatting sqref="O3370">
    <cfRule type="expression" dxfId="0" priority="3002">
      <formula>(#REF!&lt;&gt;"")*(#REF!&lt;&gt;"")</formula>
    </cfRule>
  </conditionalFormatting>
  <conditionalFormatting sqref="P3370">
    <cfRule type="expression" dxfId="1" priority="3003">
      <formula>(#REF!&lt;&gt;"")*(#REF!&lt;&gt;"")</formula>
    </cfRule>
  </conditionalFormatting>
  <conditionalFormatting sqref="A3371">
    <cfRule type="expression" dxfId="0" priority="2907">
      <formula>(#REF!&lt;&gt;"")*(#REF!&lt;&gt;"")</formula>
    </cfRule>
  </conditionalFormatting>
  <conditionalFormatting sqref="M3371">
    <cfRule type="expression" dxfId="0" priority="2912">
      <formula>(#REF!&lt;&gt;"")*(#REF!&lt;&gt;"")</formula>
    </cfRule>
  </conditionalFormatting>
  <conditionalFormatting sqref="N3371">
    <cfRule type="expression" dxfId="0" priority="2906">
      <formula>(#REF!&lt;&gt;"")*(#REF!&lt;&gt;"")</formula>
    </cfRule>
  </conditionalFormatting>
  <conditionalFormatting sqref="O3371">
    <cfRule type="expression" dxfId="0" priority="2908">
      <formula>(#REF!&lt;&gt;"")*(#REF!&lt;&gt;"")</formula>
    </cfRule>
  </conditionalFormatting>
  <conditionalFormatting sqref="P3371">
    <cfRule type="expression" dxfId="1" priority="2909">
      <formula>(#REF!&lt;&gt;"")*(#REF!&lt;&gt;"")</formula>
    </cfRule>
  </conditionalFormatting>
  <conditionalFormatting sqref="Q3371">
    <cfRule type="expression" dxfId="0" priority="2911">
      <formula>(#REF!&lt;&gt;"")*(#REF!&lt;&gt;"")</formula>
    </cfRule>
    <cfRule type="expression" dxfId="1" priority="2910">
      <formula>(#REF!&lt;&gt;"")*(#REF!&lt;&gt;"")</formula>
    </cfRule>
  </conditionalFormatting>
  <conditionalFormatting sqref="T3371">
    <cfRule type="expression" dxfId="0" priority="2913">
      <formula>(#REF!&lt;&gt;"")*(#REF!&lt;&gt;"")</formula>
    </cfRule>
  </conditionalFormatting>
  <conditionalFormatting sqref="A3372">
    <cfRule type="expression" dxfId="0" priority="2914">
      <formula>(#REF!&lt;&gt;"")*(#REF!&lt;&gt;"")</formula>
    </cfRule>
  </conditionalFormatting>
  <conditionalFormatting sqref="M3372">
    <cfRule type="expression" dxfId="0" priority="2904">
      <formula>(#REF!&lt;&gt;"")*(#REF!&lt;&gt;"")</formula>
    </cfRule>
  </conditionalFormatting>
  <conditionalFormatting sqref="N3372">
    <cfRule type="expression" dxfId="0" priority="2905">
      <formula>(#REF!&lt;&gt;"")*(#REF!&lt;&gt;"")</formula>
    </cfRule>
  </conditionalFormatting>
  <conditionalFormatting sqref="Q3375">
    <cfRule type="expression" dxfId="0" priority="3229">
      <formula>(#REF!&lt;&gt;"")*(#REF!&lt;&gt;"")</formula>
    </cfRule>
    <cfRule type="expression" dxfId="1" priority="3156">
      <formula>(#REF!&lt;&gt;"")*(#REF!&lt;&gt;"")</formula>
    </cfRule>
  </conditionalFormatting>
  <conditionalFormatting sqref="A3392">
    <cfRule type="expression" dxfId="0" priority="3066">
      <formula>(#REF!&lt;&gt;"")*(#REF!&lt;&gt;"")</formula>
    </cfRule>
  </conditionalFormatting>
  <conditionalFormatting sqref="N3392">
    <cfRule type="expression" dxfId="0" priority="3068">
      <formula>(#REF!&lt;&gt;"")*(#REF!&lt;&gt;"")</formula>
    </cfRule>
  </conditionalFormatting>
  <conditionalFormatting sqref="P3392">
    <cfRule type="expression" dxfId="1" priority="3067">
      <formula>(#REF!&lt;&gt;"")*(#REF!&lt;&gt;"")</formula>
    </cfRule>
  </conditionalFormatting>
  <conditionalFormatting sqref="Q3392">
    <cfRule type="expression" dxfId="0" priority="3065">
      <formula>(#REF!&lt;&gt;"")*(#REF!&lt;&gt;"")</formula>
    </cfRule>
    <cfRule type="expression" dxfId="1" priority="3064">
      <formula>(#REF!&lt;&gt;"")*(#REF!&lt;&gt;"")</formula>
    </cfRule>
  </conditionalFormatting>
  <conditionalFormatting sqref="T3392">
    <cfRule type="expression" dxfId="0" priority="3069">
      <formula>(#REF!&lt;&gt;"")*(#REF!&lt;&gt;"")</formula>
    </cfRule>
  </conditionalFormatting>
  <conditionalFormatting sqref="A3395">
    <cfRule type="expression" dxfId="0" priority="3042">
      <formula>(#REF!&lt;&gt;"")*(#REF!&lt;&gt;"")</formula>
    </cfRule>
  </conditionalFormatting>
  <conditionalFormatting sqref="N3395">
    <cfRule type="expression" dxfId="0" priority="3044">
      <formula>(#REF!&lt;&gt;"")*(#REF!&lt;&gt;"")</formula>
    </cfRule>
  </conditionalFormatting>
  <conditionalFormatting sqref="P3395">
    <cfRule type="expression" dxfId="1" priority="3043">
      <formula>(#REF!&lt;&gt;"")*(#REF!&lt;&gt;"")</formula>
    </cfRule>
  </conditionalFormatting>
  <conditionalFormatting sqref="Q3395">
    <cfRule type="expression" dxfId="1" priority="3047">
      <formula>(#REF!&lt;&gt;"")*(#REF!&lt;&gt;"")</formula>
    </cfRule>
    <cfRule type="expression" dxfId="0" priority="3041">
      <formula>(#REF!&lt;&gt;"")*(#REF!&lt;&gt;"")</formula>
    </cfRule>
  </conditionalFormatting>
  <conditionalFormatting sqref="T3395">
    <cfRule type="expression" dxfId="0" priority="3046">
      <formula>(#REF!&lt;&gt;"")*(#REF!&lt;&gt;"")</formula>
    </cfRule>
  </conditionalFormatting>
  <conditionalFormatting sqref="A3398">
    <cfRule type="expression" dxfId="0" priority="2993">
      <formula>(#REF!&lt;&gt;"")*(#REF!&lt;&gt;"")</formula>
    </cfRule>
  </conditionalFormatting>
  <conditionalFormatting sqref="M3398:O3398">
    <cfRule type="expression" dxfId="0" priority="2992">
      <formula>(#REF!&lt;&gt;"")*(#REF!&lt;&gt;"")</formula>
    </cfRule>
  </conditionalFormatting>
  <conditionalFormatting sqref="N3398">
    <cfRule type="expression" dxfId="0" priority="2991">
      <formula>(#REF!&lt;&gt;"")*(#REF!&lt;&gt;"")</formula>
    </cfRule>
  </conditionalFormatting>
  <conditionalFormatting sqref="P3398">
    <cfRule type="expression" dxfId="1" priority="2990">
      <formula>(#REF!&lt;&gt;"")*(#REF!&lt;&gt;"")</formula>
    </cfRule>
  </conditionalFormatting>
  <conditionalFormatting sqref="Q3398">
    <cfRule type="expression" dxfId="1" priority="2989">
      <formula>(#REF!&lt;&gt;"")*(#REF!&lt;&gt;"")</formula>
    </cfRule>
    <cfRule type="expression" dxfId="0" priority="2988">
      <formula>(#REF!&lt;&gt;"")*(#REF!&lt;&gt;"")</formula>
    </cfRule>
  </conditionalFormatting>
  <conditionalFormatting sqref="A3399">
    <cfRule type="expression" dxfId="0" priority="2834">
      <formula>(#REF!&lt;&gt;"")*(#REF!&lt;&gt;"")</formula>
    </cfRule>
  </conditionalFormatting>
  <conditionalFormatting sqref="L3399">
    <cfRule type="expression" dxfId="0" priority="2836">
      <formula>(#REF!&lt;&gt;"")*(#REF!&lt;&gt;"")</formula>
    </cfRule>
  </conditionalFormatting>
  <conditionalFormatting sqref="M3399:O3399">
    <cfRule type="expression" dxfId="0" priority="2833">
      <formula>(#REF!&lt;&gt;"")*(#REF!&lt;&gt;"")</formula>
    </cfRule>
  </conditionalFormatting>
  <conditionalFormatting sqref="N3399">
    <cfRule type="expression" dxfId="0" priority="2832">
      <formula>(#REF!&lt;&gt;"")*(#REF!&lt;&gt;"")</formula>
    </cfRule>
  </conditionalFormatting>
  <conditionalFormatting sqref="P3399">
    <cfRule type="expression" dxfId="1" priority="2831">
      <formula>(#REF!&lt;&gt;"")*(#REF!&lt;&gt;"")</formula>
    </cfRule>
  </conditionalFormatting>
  <conditionalFormatting sqref="Q3399">
    <cfRule type="expression" dxfId="1" priority="2830">
      <formula>(#REF!&lt;&gt;"")*(#REF!&lt;&gt;"")</formula>
    </cfRule>
    <cfRule type="expression" dxfId="0" priority="2829">
      <formula>(#REF!&lt;&gt;"")*(#REF!&lt;&gt;"")</formula>
    </cfRule>
  </conditionalFormatting>
  <conditionalFormatting sqref="R3399">
    <cfRule type="expression" dxfId="0" priority="2710">
      <formula>(#REF!&lt;&gt;"")*(#REF!&lt;&gt;"")</formula>
    </cfRule>
  </conditionalFormatting>
  <conditionalFormatting sqref="A3400">
    <cfRule type="expression" dxfId="0" priority="2826">
      <formula>(#REF!&lt;&gt;"")*(#REF!&lt;&gt;"")</formula>
    </cfRule>
  </conditionalFormatting>
  <conditionalFormatting sqref="L3400">
    <cfRule type="expression" dxfId="0" priority="2828">
      <formula>(#REF!&lt;&gt;"")*(#REF!&lt;&gt;"")</formula>
    </cfRule>
  </conditionalFormatting>
  <conditionalFormatting sqref="M3400:O3400">
    <cfRule type="expression" dxfId="0" priority="2825">
      <formula>(#REF!&lt;&gt;"")*(#REF!&lt;&gt;"")</formula>
    </cfRule>
  </conditionalFormatting>
  <conditionalFormatting sqref="N3400">
    <cfRule type="expression" dxfId="0" priority="2824">
      <formula>(#REF!&lt;&gt;"")*(#REF!&lt;&gt;"")</formula>
    </cfRule>
  </conditionalFormatting>
  <conditionalFormatting sqref="P3400">
    <cfRule type="expression" dxfId="1" priority="2823">
      <formula>(#REF!&lt;&gt;"")*(#REF!&lt;&gt;"")</formula>
    </cfRule>
  </conditionalFormatting>
  <conditionalFormatting sqref="Q3400">
    <cfRule type="expression" dxfId="1" priority="2822">
      <formula>(#REF!&lt;&gt;"")*(#REF!&lt;&gt;"")</formula>
    </cfRule>
    <cfRule type="expression" dxfId="0" priority="2821">
      <formula>(#REF!&lt;&gt;"")*(#REF!&lt;&gt;"")</formula>
    </cfRule>
  </conditionalFormatting>
  <conditionalFormatting sqref="R3400">
    <cfRule type="expression" dxfId="0" priority="2711">
      <formula>(#REF!&lt;&gt;"")*(#REF!&lt;&gt;"")</formula>
    </cfRule>
  </conditionalFormatting>
  <conditionalFormatting sqref="A3401">
    <cfRule type="expression" dxfId="0" priority="2741">
      <formula>(#REF!&lt;&gt;"")*(#REF!&lt;&gt;"")</formula>
    </cfRule>
  </conditionalFormatting>
  <conditionalFormatting sqref="H3401">
    <cfRule type="expression" dxfId="0" priority="2732">
      <formula>(#REF!&lt;&gt;"")*(#REF!&lt;&gt;"")</formula>
    </cfRule>
  </conditionalFormatting>
  <conditionalFormatting sqref="J3401">
    <cfRule type="expression" dxfId="0" priority="2739">
      <formula>(#REF!&lt;&gt;"")*(#REF!&lt;&gt;"")</formula>
    </cfRule>
  </conditionalFormatting>
  <conditionalFormatting sqref="K3401">
    <cfRule type="expression" dxfId="0" priority="2731">
      <formula>(#REF!&lt;&gt;"")*(#REF!&lt;&gt;"")</formula>
    </cfRule>
  </conditionalFormatting>
  <conditionalFormatting sqref="L3401">
    <cfRule type="expression" dxfId="0" priority="2740">
      <formula>(#REF!&lt;&gt;"")*(#REF!&lt;&gt;"")</formula>
    </cfRule>
  </conditionalFormatting>
  <conditionalFormatting sqref="M3401">
    <cfRule type="expression" dxfId="0" priority="2738">
      <formula>(#REF!&lt;&gt;"")*(#REF!&lt;&gt;"")</formula>
    </cfRule>
  </conditionalFormatting>
  <conditionalFormatting sqref="N3401">
    <cfRule type="expression" dxfId="0" priority="2733">
      <formula>(#REF!&lt;&gt;"")*(#REF!&lt;&gt;"")</formula>
    </cfRule>
  </conditionalFormatting>
  <conditionalFormatting sqref="O3401">
    <cfRule type="expression" dxfId="0" priority="2737">
      <formula>(#REF!&lt;&gt;"")*(#REF!&lt;&gt;"")</formula>
    </cfRule>
  </conditionalFormatting>
  <conditionalFormatting sqref="P3401">
    <cfRule type="expression" dxfId="1" priority="2734">
      <formula>(#REF!&lt;&gt;"")*(#REF!&lt;&gt;"")</formula>
    </cfRule>
  </conditionalFormatting>
  <conditionalFormatting sqref="Q3401">
    <cfRule type="expression" dxfId="0" priority="2735">
      <formula>(#REF!&lt;&gt;"")*(#REF!&lt;&gt;"")</formula>
    </cfRule>
    <cfRule type="expression" dxfId="1" priority="2736">
      <formula>(#REF!&lt;&gt;"")*(#REF!&lt;&gt;"")</formula>
    </cfRule>
  </conditionalFormatting>
  <conditionalFormatting sqref="R3401">
    <cfRule type="expression" dxfId="0" priority="2712">
      <formula>(#REF!&lt;&gt;"")*(#REF!&lt;&gt;"")</formula>
    </cfRule>
  </conditionalFormatting>
  <conditionalFormatting sqref="T3401">
    <cfRule type="expression" dxfId="0" priority="2742">
      <formula>(#REF!&lt;&gt;"")*(#REF!&lt;&gt;"")</formula>
    </cfRule>
  </conditionalFormatting>
  <conditionalFormatting sqref="A3402">
    <cfRule type="expression" dxfId="0" priority="1634">
      <formula>(#REF!&lt;&gt;"")*(#REF!&lt;&gt;"")</formula>
    </cfRule>
  </conditionalFormatting>
  <conditionalFormatting sqref="E3402:G3402">
    <cfRule type="expression" dxfId="0" priority="1636">
      <formula>(#REF!&lt;&gt;"")*(#REF!&lt;&gt;"")</formula>
    </cfRule>
  </conditionalFormatting>
  <conditionalFormatting sqref="H3402">
    <cfRule type="expression" dxfId="0" priority="1625">
      <formula>(#REF!&lt;&gt;"")*(#REF!&lt;&gt;"")</formula>
    </cfRule>
  </conditionalFormatting>
  <conditionalFormatting sqref="J3402">
    <cfRule type="expression" dxfId="0" priority="1632">
      <formula>(#REF!&lt;&gt;"")*(#REF!&lt;&gt;"")</formula>
    </cfRule>
  </conditionalFormatting>
  <conditionalFormatting sqref="K3402">
    <cfRule type="expression" dxfId="0" priority="1624">
      <formula>(#REF!&lt;&gt;"")*(#REF!&lt;&gt;"")</formula>
    </cfRule>
  </conditionalFormatting>
  <conditionalFormatting sqref="L3402">
    <cfRule type="expression" dxfId="0" priority="1633">
      <formula>(#REF!&lt;&gt;"")*(#REF!&lt;&gt;"")</formula>
    </cfRule>
  </conditionalFormatting>
  <conditionalFormatting sqref="M3402">
    <cfRule type="expression" dxfId="0" priority="1631">
      <formula>(#REF!&lt;&gt;"")*(#REF!&lt;&gt;"")</formula>
    </cfRule>
  </conditionalFormatting>
  <conditionalFormatting sqref="O3402">
    <cfRule type="expression" dxfId="0" priority="1630">
      <formula>(#REF!&lt;&gt;"")*(#REF!&lt;&gt;"")</formula>
    </cfRule>
  </conditionalFormatting>
  <conditionalFormatting sqref="P3402">
    <cfRule type="expression" dxfId="1" priority="1627">
      <formula>(#REF!&lt;&gt;"")*(#REF!&lt;&gt;"")</formula>
    </cfRule>
  </conditionalFormatting>
  <conditionalFormatting sqref="A3403">
    <cfRule type="expression" dxfId="0" priority="1572">
      <formula>(#REF!&lt;&gt;"")*(#REF!&lt;&gt;"")</formula>
    </cfRule>
  </conditionalFormatting>
  <conditionalFormatting sqref="E3403:G3403">
    <cfRule type="expression" dxfId="0" priority="1573">
      <formula>(#REF!&lt;&gt;"")*(#REF!&lt;&gt;"")</formula>
    </cfRule>
  </conditionalFormatting>
  <conditionalFormatting sqref="H3403">
    <cfRule type="expression" dxfId="0" priority="1568">
      <formula>(#REF!&lt;&gt;"")*(#REF!&lt;&gt;"")</formula>
    </cfRule>
  </conditionalFormatting>
  <conditionalFormatting sqref="J3403">
    <cfRule type="expression" dxfId="0" priority="1570">
      <formula>(#REF!&lt;&gt;"")*(#REF!&lt;&gt;"")</formula>
    </cfRule>
  </conditionalFormatting>
  <conditionalFormatting sqref="K3403">
    <cfRule type="expression" dxfId="0" priority="1567">
      <formula>(#REF!&lt;&gt;"")*(#REF!&lt;&gt;"")</formula>
    </cfRule>
  </conditionalFormatting>
  <conditionalFormatting sqref="L3403">
    <cfRule type="expression" dxfId="0" priority="1571">
      <formula>(#REF!&lt;&gt;"")*(#REF!&lt;&gt;"")</formula>
    </cfRule>
  </conditionalFormatting>
  <conditionalFormatting sqref="M3403">
    <cfRule type="expression" dxfId="0" priority="1569">
      <formula>(#REF!&lt;&gt;"")*(#REF!&lt;&gt;"")</formula>
    </cfRule>
  </conditionalFormatting>
  <conditionalFormatting sqref="O3403">
    <cfRule type="expression" dxfId="0" priority="1559">
      <formula>(#REF!&lt;&gt;"")*(#REF!&lt;&gt;"")</formula>
    </cfRule>
  </conditionalFormatting>
  <conditionalFormatting sqref="P3403">
    <cfRule type="expression" dxfId="1" priority="1558">
      <formula>(#REF!&lt;&gt;"")*(#REF!&lt;&gt;"")</formula>
    </cfRule>
  </conditionalFormatting>
  <conditionalFormatting sqref="A3404">
    <cfRule type="expression" dxfId="0" priority="1565">
      <formula>(#REF!&lt;&gt;"")*(#REF!&lt;&gt;"")</formula>
    </cfRule>
  </conditionalFormatting>
  <conditionalFormatting sqref="E3404:G3404">
    <cfRule type="expression" dxfId="0" priority="1566">
      <formula>(#REF!&lt;&gt;"")*(#REF!&lt;&gt;"")</formula>
    </cfRule>
  </conditionalFormatting>
  <conditionalFormatting sqref="H3404">
    <cfRule type="expression" dxfId="0" priority="1561">
      <formula>(#REF!&lt;&gt;"")*(#REF!&lt;&gt;"")</formula>
    </cfRule>
  </conditionalFormatting>
  <conditionalFormatting sqref="J3404">
    <cfRule type="expression" dxfId="0" priority="1563">
      <formula>(#REF!&lt;&gt;"")*(#REF!&lt;&gt;"")</formula>
    </cfRule>
  </conditionalFormatting>
  <conditionalFormatting sqref="K3404">
    <cfRule type="expression" dxfId="0" priority="1560">
      <formula>(#REF!&lt;&gt;"")*(#REF!&lt;&gt;"")</formula>
    </cfRule>
  </conditionalFormatting>
  <conditionalFormatting sqref="A3405">
    <cfRule type="expression" dxfId="0" priority="657">
      <formula>(#REF!&lt;&gt;"")*(#REF!&lt;&gt;"")</formula>
    </cfRule>
  </conditionalFormatting>
  <conditionalFormatting sqref="E3405:G3405">
    <cfRule type="expression" dxfId="0" priority="658">
      <formula>(#REF!&lt;&gt;"")*(#REF!&lt;&gt;"")</formula>
    </cfRule>
  </conditionalFormatting>
  <conditionalFormatting sqref="H3405">
    <cfRule type="expression" dxfId="0" priority="655">
      <formula>(#REF!&lt;&gt;"")*(#REF!&lt;&gt;"")</formula>
    </cfRule>
  </conditionalFormatting>
  <conditionalFormatting sqref="J3405">
    <cfRule type="expression" dxfId="0" priority="656">
      <formula>(#REF!&lt;&gt;"")*(#REF!&lt;&gt;"")</formula>
    </cfRule>
  </conditionalFormatting>
  <conditionalFormatting sqref="K3405">
    <cfRule type="expression" dxfId="0" priority="654">
      <formula>(#REF!&lt;&gt;"")*(#REF!&lt;&gt;"")</formula>
    </cfRule>
  </conditionalFormatting>
  <conditionalFormatting sqref="A3406">
    <cfRule type="expression" dxfId="0" priority="582">
      <formula>(#REF!&lt;&gt;"")*(#REF!&lt;&gt;"")</formula>
    </cfRule>
  </conditionalFormatting>
  <conditionalFormatting sqref="E3406:G3406">
    <cfRule type="expression" dxfId="0" priority="583">
      <formula>(#REF!&lt;&gt;"")*(#REF!&lt;&gt;"")</formula>
    </cfRule>
  </conditionalFormatting>
  <conditionalFormatting sqref="H3406">
    <cfRule type="expression" dxfId="0" priority="580">
      <formula>(#REF!&lt;&gt;"")*(#REF!&lt;&gt;"")</formula>
    </cfRule>
  </conditionalFormatting>
  <conditionalFormatting sqref="J3406">
    <cfRule type="expression" dxfId="0" priority="581">
      <formula>(#REF!&lt;&gt;"")*(#REF!&lt;&gt;"")</formula>
    </cfRule>
  </conditionalFormatting>
  <conditionalFormatting sqref="K3406">
    <cfRule type="expression" dxfId="0" priority="579">
      <formula>(#REF!&lt;&gt;"")*(#REF!&lt;&gt;"")</formula>
    </cfRule>
  </conditionalFormatting>
  <conditionalFormatting sqref="L3406">
    <cfRule type="expression" dxfId="0" priority="587">
      <formula>(#REF!&lt;&gt;"")*(#REF!&lt;&gt;"")</formula>
    </cfRule>
  </conditionalFormatting>
  <conditionalFormatting sqref="M3406">
    <cfRule type="expression" dxfId="0" priority="586">
      <formula>(#REF!&lt;&gt;"")*(#REF!&lt;&gt;"")</formula>
    </cfRule>
  </conditionalFormatting>
  <conditionalFormatting sqref="N3406">
    <cfRule type="expression" dxfId="0" priority="589">
      <formula>(#REF!&lt;&gt;"")*(#REF!&lt;&gt;"")</formula>
    </cfRule>
  </conditionalFormatting>
  <conditionalFormatting sqref="O3406">
    <cfRule type="expression" dxfId="0" priority="585">
      <formula>(#REF!&lt;&gt;"")*(#REF!&lt;&gt;"")</formula>
    </cfRule>
  </conditionalFormatting>
  <conditionalFormatting sqref="P3406">
    <cfRule type="expression" dxfId="1" priority="584">
      <formula>(#REF!&lt;&gt;"")*(#REF!&lt;&gt;"")</formula>
    </cfRule>
  </conditionalFormatting>
  <conditionalFormatting sqref="Q3406">
    <cfRule type="expression" dxfId="0" priority="590">
      <formula>(#REF!&lt;&gt;"")*(#REF!&lt;&gt;"")</formula>
    </cfRule>
    <cfRule type="expression" dxfId="1" priority="591">
      <formula>(#REF!&lt;&gt;"")*(#REF!&lt;&gt;"")</formula>
    </cfRule>
  </conditionalFormatting>
  <conditionalFormatting sqref="R3406">
    <cfRule type="expression" dxfId="0" priority="588">
      <formula>(#REF!&lt;&gt;"")*(#REF!&lt;&gt;"")</formula>
    </cfRule>
  </conditionalFormatting>
  <conditionalFormatting sqref="A3407">
    <cfRule type="expression" dxfId="0" priority="3036">
      <formula>(#REF!&lt;&gt;"")*(#REF!&lt;&gt;"")</formula>
    </cfRule>
  </conditionalFormatting>
  <conditionalFormatting sqref="A3408">
    <cfRule type="expression" dxfId="0" priority="3034">
      <formula>(#REF!&lt;&gt;"")*(#REF!&lt;&gt;"")</formula>
    </cfRule>
  </conditionalFormatting>
  <conditionalFormatting sqref="E3408:G3408">
    <cfRule type="expression" dxfId="0" priority="3035">
      <formula>(#REF!&lt;&gt;"")*(#REF!&lt;&gt;"")</formula>
    </cfRule>
  </conditionalFormatting>
  <conditionalFormatting sqref="A3409">
    <cfRule type="expression" dxfId="0" priority="3032">
      <formula>(#REF!&lt;&gt;"")*(#REF!&lt;&gt;"")</formula>
    </cfRule>
  </conditionalFormatting>
  <conditionalFormatting sqref="E3409:G3409">
    <cfRule type="expression" dxfId="0" priority="3033">
      <formula>(#REF!&lt;&gt;"")*(#REF!&lt;&gt;"")</formula>
    </cfRule>
  </conditionalFormatting>
  <conditionalFormatting sqref="A3410">
    <cfRule type="expression" dxfId="0" priority="3020">
      <formula>(#REF!&lt;&gt;"")*(#REF!&lt;&gt;"")</formula>
    </cfRule>
  </conditionalFormatting>
  <conditionalFormatting sqref="E3410:G3410">
    <cfRule type="expression" dxfId="0" priority="3021">
      <formula>(#REF!&lt;&gt;"")*(#REF!&lt;&gt;"")</formula>
    </cfRule>
  </conditionalFormatting>
  <conditionalFormatting sqref="L3410">
    <cfRule type="expression" dxfId="0" priority="3027">
      <formula>(#REF!&lt;&gt;"")*(#REF!&lt;&gt;"")</formula>
    </cfRule>
  </conditionalFormatting>
  <conditionalFormatting sqref="M3410:O3410">
    <cfRule type="expression" dxfId="0" priority="3024">
      <formula>(#REF!&lt;&gt;"")*(#REF!&lt;&gt;"")</formula>
    </cfRule>
  </conditionalFormatting>
  <conditionalFormatting sqref="N3410">
    <cfRule type="expression" dxfId="0" priority="3023">
      <formula>(#REF!&lt;&gt;"")*(#REF!&lt;&gt;"")</formula>
    </cfRule>
  </conditionalFormatting>
  <conditionalFormatting sqref="P3410">
    <cfRule type="expression" dxfId="1" priority="3022">
      <formula>(#REF!&lt;&gt;"")*(#REF!&lt;&gt;"")</formula>
    </cfRule>
  </conditionalFormatting>
  <conditionalFormatting sqref="Q3410">
    <cfRule type="expression" dxfId="1" priority="3026">
      <formula>(#REF!&lt;&gt;"")*(#REF!&lt;&gt;"")</formula>
    </cfRule>
    <cfRule type="expression" dxfId="0" priority="3025">
      <formula>(#REF!&lt;&gt;"")*(#REF!&lt;&gt;"")</formula>
    </cfRule>
  </conditionalFormatting>
  <conditionalFormatting sqref="A3411">
    <cfRule type="expression" dxfId="0" priority="3030">
      <formula>(#REF!&lt;&gt;"")*(#REF!&lt;&gt;"")</formula>
    </cfRule>
  </conditionalFormatting>
  <conditionalFormatting sqref="E3411:G3411">
    <cfRule type="expression" dxfId="0" priority="3031">
      <formula>(#REF!&lt;&gt;"")*(#REF!&lt;&gt;"")</formula>
    </cfRule>
  </conditionalFormatting>
  <conditionalFormatting sqref="A3412">
    <cfRule type="expression" dxfId="0" priority="3028">
      <formula>(#REF!&lt;&gt;"")*(#REF!&lt;&gt;"")</formula>
    </cfRule>
  </conditionalFormatting>
  <conditionalFormatting sqref="E3412:G3412">
    <cfRule type="expression" dxfId="0" priority="3029">
      <formula>(#REF!&lt;&gt;"")*(#REF!&lt;&gt;"")</formula>
    </cfRule>
  </conditionalFormatting>
  <conditionalFormatting sqref="O3415">
    <cfRule type="expression" dxfId="0" priority="2689">
      <formula>(#REF!&lt;&gt;"")*(#REF!&lt;&gt;"")</formula>
    </cfRule>
  </conditionalFormatting>
  <conditionalFormatting sqref="M3418:N3418">
    <cfRule type="expression" dxfId="0" priority="3019">
      <formula>(#REF!&lt;&gt;"")*(#REF!&lt;&gt;"")</formula>
    </cfRule>
  </conditionalFormatting>
  <conditionalFormatting sqref="A3419">
    <cfRule type="expression" dxfId="0" priority="3017">
      <formula>(#REF!&lt;&gt;"")*(#REF!&lt;&gt;"")</formula>
    </cfRule>
  </conditionalFormatting>
  <conditionalFormatting sqref="L3419">
    <cfRule type="expression" dxfId="0" priority="3018">
      <formula>(#REF!&lt;&gt;"")*(#REF!&lt;&gt;"")</formula>
    </cfRule>
  </conditionalFormatting>
  <conditionalFormatting sqref="M3419:N3419">
    <cfRule type="expression" dxfId="0" priority="3016">
      <formula>(#REF!&lt;&gt;"")*(#REF!&lt;&gt;"")</formula>
    </cfRule>
  </conditionalFormatting>
  <conditionalFormatting sqref="E3426:G3426">
    <cfRule type="expression" dxfId="0" priority="3009">
      <formula>(#REF!&lt;&gt;"")*(#REF!&lt;&gt;"")</formula>
    </cfRule>
  </conditionalFormatting>
  <conditionalFormatting sqref="E3427:G3427">
    <cfRule type="expression" dxfId="0" priority="3008">
      <formula>(#REF!&lt;&gt;"")*(#REF!&lt;&gt;"")</formula>
    </cfRule>
  </conditionalFormatting>
  <conditionalFormatting sqref="E3428:G3428">
    <cfRule type="expression" dxfId="0" priority="3007">
      <formula>(#REF!&lt;&gt;"")*(#REF!&lt;&gt;"")</formula>
    </cfRule>
  </conditionalFormatting>
  <conditionalFormatting sqref="E3429:G3429">
    <cfRule type="expression" dxfId="0" priority="3006">
      <formula>(#REF!&lt;&gt;"")*(#REF!&lt;&gt;"")</formula>
    </cfRule>
  </conditionalFormatting>
  <conditionalFormatting sqref="E3430:G3430">
    <cfRule type="expression" dxfId="0" priority="3010">
      <formula>(#REF!&lt;&gt;"")*(#REF!&lt;&gt;"")</formula>
    </cfRule>
  </conditionalFormatting>
  <conditionalFormatting sqref="E3431:G3431">
    <cfRule type="expression" dxfId="0" priority="2987">
      <formula>(#REF!&lt;&gt;"")*(#REF!&lt;&gt;"")</formula>
    </cfRule>
  </conditionalFormatting>
  <conditionalFormatting sqref="P3432:Q3432">
    <cfRule type="expression" dxfId="1" priority="2985">
      <formula>(#REF!&lt;&gt;"")*(#REF!&lt;&gt;"")</formula>
    </cfRule>
  </conditionalFormatting>
  <conditionalFormatting sqref="Q3432">
    <cfRule type="expression" dxfId="0" priority="2984">
      <formula>(#REF!&lt;&gt;"")*(#REF!&lt;&gt;"")</formula>
    </cfRule>
  </conditionalFormatting>
  <conditionalFormatting sqref="N3433">
    <cfRule type="expression" dxfId="0" priority="2983">
      <formula>(#REF!&lt;&gt;"")*(#REF!&lt;&gt;"")</formula>
    </cfRule>
  </conditionalFormatting>
  <conditionalFormatting sqref="O3433">
    <cfRule type="expression" dxfId="0" priority="2981">
      <formula>(#REF!&lt;&gt;"")*(#REF!&lt;&gt;"")</formula>
    </cfRule>
  </conditionalFormatting>
  <conditionalFormatting sqref="P3433">
    <cfRule type="expression" dxfId="1" priority="2982">
      <formula>(#REF!&lt;&gt;"")*(#REF!&lt;&gt;"")</formula>
    </cfRule>
  </conditionalFormatting>
  <conditionalFormatting sqref="N3434">
    <cfRule type="expression" dxfId="0" priority="2978">
      <formula>(#REF!&lt;&gt;"")*(#REF!&lt;&gt;"")</formula>
    </cfRule>
  </conditionalFormatting>
  <conditionalFormatting sqref="O3434">
    <cfRule type="expression" dxfId="0" priority="2976">
      <formula>(#REF!&lt;&gt;"")*(#REF!&lt;&gt;"")</formula>
    </cfRule>
  </conditionalFormatting>
  <conditionalFormatting sqref="P3434">
    <cfRule type="expression" dxfId="1" priority="2977">
      <formula>(#REF!&lt;&gt;"")*(#REF!&lt;&gt;"")</formula>
    </cfRule>
  </conditionalFormatting>
  <conditionalFormatting sqref="N3435">
    <cfRule type="expression" dxfId="0" priority="2975">
      <formula>(#REF!&lt;&gt;"")*(#REF!&lt;&gt;"")</formula>
    </cfRule>
  </conditionalFormatting>
  <conditionalFormatting sqref="O3435">
    <cfRule type="expression" dxfId="0" priority="2973">
      <formula>(#REF!&lt;&gt;"")*(#REF!&lt;&gt;"")</formula>
    </cfRule>
  </conditionalFormatting>
  <conditionalFormatting sqref="P3435">
    <cfRule type="expression" dxfId="1" priority="2974">
      <formula>(#REF!&lt;&gt;"")*(#REF!&lt;&gt;"")</formula>
    </cfRule>
  </conditionalFormatting>
  <conditionalFormatting sqref="E3436:G3436">
    <cfRule type="expression" dxfId="0" priority="2980">
      <formula>(#REF!&lt;&gt;"")*(#REF!&lt;&gt;"")</formula>
    </cfRule>
  </conditionalFormatting>
  <conditionalFormatting sqref="N3436">
    <cfRule type="expression" dxfId="0" priority="2972">
      <formula>(#REF!&lt;&gt;"")*(#REF!&lt;&gt;"")</formula>
    </cfRule>
  </conditionalFormatting>
  <conditionalFormatting sqref="O3436">
    <cfRule type="expression" dxfId="0" priority="2970">
      <formula>(#REF!&lt;&gt;"")*(#REF!&lt;&gt;"")</formula>
    </cfRule>
  </conditionalFormatting>
  <conditionalFormatting sqref="P3436">
    <cfRule type="expression" dxfId="1" priority="2971">
      <formula>(#REF!&lt;&gt;"")*(#REF!&lt;&gt;"")</formula>
    </cfRule>
  </conditionalFormatting>
  <conditionalFormatting sqref="E3437:G3437">
    <cfRule type="expression" dxfId="0" priority="2979">
      <formula>(#REF!&lt;&gt;"")*(#REF!&lt;&gt;"")</formula>
    </cfRule>
  </conditionalFormatting>
  <conditionalFormatting sqref="N3437">
    <cfRule type="expression" dxfId="0" priority="2969">
      <formula>(#REF!&lt;&gt;"")*(#REF!&lt;&gt;"")</formula>
    </cfRule>
  </conditionalFormatting>
  <conditionalFormatting sqref="O3437">
    <cfRule type="expression" dxfId="0" priority="2967">
      <formula>(#REF!&lt;&gt;"")*(#REF!&lt;&gt;"")</formula>
    </cfRule>
  </conditionalFormatting>
  <conditionalFormatting sqref="P3437">
    <cfRule type="expression" dxfId="1" priority="2968">
      <formula>(#REF!&lt;&gt;"")*(#REF!&lt;&gt;"")</formula>
    </cfRule>
  </conditionalFormatting>
  <conditionalFormatting sqref="E3438:G3438">
    <cfRule type="expression" dxfId="0" priority="2966">
      <formula>(#REF!&lt;&gt;"")*(#REF!&lt;&gt;"")</formula>
    </cfRule>
  </conditionalFormatting>
  <conditionalFormatting sqref="M3438">
    <cfRule type="expression" dxfId="0" priority="2961">
      <formula>(#REF!&lt;&gt;"")*(#REF!&lt;&gt;"")</formula>
    </cfRule>
  </conditionalFormatting>
  <conditionalFormatting sqref="N3438">
    <cfRule type="expression" dxfId="0" priority="2960">
      <formula>(#REF!&lt;&gt;"")*(#REF!&lt;&gt;"")</formula>
    </cfRule>
  </conditionalFormatting>
  <conditionalFormatting sqref="O3438">
    <cfRule type="expression" dxfId="0" priority="2958">
      <formula>(#REF!&lt;&gt;"")*(#REF!&lt;&gt;"")</formula>
    </cfRule>
  </conditionalFormatting>
  <conditionalFormatting sqref="P3438">
    <cfRule type="expression" dxfId="1" priority="2959">
      <formula>(#REF!&lt;&gt;"")*(#REF!&lt;&gt;"")</formula>
    </cfRule>
  </conditionalFormatting>
  <conditionalFormatting sqref="Q3438">
    <cfRule type="expression" dxfId="1" priority="2962">
      <formula>(#REF!&lt;&gt;"")*(#REF!&lt;&gt;"")</formula>
    </cfRule>
  </conditionalFormatting>
  <conditionalFormatting sqref="E3439:G3439">
    <cfRule type="expression" dxfId="0" priority="2964">
      <formula>(#REF!&lt;&gt;"")*(#REF!&lt;&gt;"")</formula>
    </cfRule>
  </conditionalFormatting>
  <conditionalFormatting sqref="M3439">
    <cfRule type="expression" dxfId="0" priority="2956">
      <formula>(#REF!&lt;&gt;"")*(#REF!&lt;&gt;"")</formula>
    </cfRule>
  </conditionalFormatting>
  <conditionalFormatting sqref="N3439">
    <cfRule type="expression" dxfId="0" priority="2955">
      <formula>(#REF!&lt;&gt;"")*(#REF!&lt;&gt;"")</formula>
    </cfRule>
  </conditionalFormatting>
  <conditionalFormatting sqref="O3439">
    <cfRule type="expression" dxfId="0" priority="2953">
      <formula>(#REF!&lt;&gt;"")*(#REF!&lt;&gt;"")</formula>
    </cfRule>
  </conditionalFormatting>
  <conditionalFormatting sqref="P3439">
    <cfRule type="expression" dxfId="1" priority="2954">
      <formula>(#REF!&lt;&gt;"")*(#REF!&lt;&gt;"")</formula>
    </cfRule>
  </conditionalFormatting>
  <conditionalFormatting sqref="Q3439">
    <cfRule type="expression" dxfId="1" priority="2957">
      <formula>(#REF!&lt;&gt;"")*(#REF!&lt;&gt;"")</formula>
    </cfRule>
  </conditionalFormatting>
  <conditionalFormatting sqref="E3440:G3440">
    <cfRule type="expression" dxfId="0" priority="2963">
      <formula>(#REF!&lt;&gt;"")*(#REF!&lt;&gt;"")</formula>
    </cfRule>
  </conditionalFormatting>
  <conditionalFormatting sqref="K3440">
    <cfRule type="expression" dxfId="0" priority="2942">
      <formula>(#REF!&lt;&gt;"")*(#REF!&lt;&gt;"")</formula>
    </cfRule>
  </conditionalFormatting>
  <conditionalFormatting sqref="M3440">
    <cfRule type="expression" dxfId="0" priority="2951">
      <formula>(#REF!&lt;&gt;"")*(#REF!&lt;&gt;"")</formula>
    </cfRule>
  </conditionalFormatting>
  <conditionalFormatting sqref="N3440">
    <cfRule type="expression" dxfId="0" priority="2950">
      <formula>(#REF!&lt;&gt;"")*(#REF!&lt;&gt;"")</formula>
    </cfRule>
  </conditionalFormatting>
  <conditionalFormatting sqref="O3440">
    <cfRule type="expression" dxfId="0" priority="2948">
      <formula>(#REF!&lt;&gt;"")*(#REF!&lt;&gt;"")</formula>
    </cfRule>
  </conditionalFormatting>
  <conditionalFormatting sqref="P3440">
    <cfRule type="expression" dxfId="1" priority="2949">
      <formula>(#REF!&lt;&gt;"")*(#REF!&lt;&gt;"")</formula>
    </cfRule>
  </conditionalFormatting>
  <conditionalFormatting sqref="Q3440">
    <cfRule type="expression" dxfId="1" priority="2952">
      <formula>(#REF!&lt;&gt;"")*(#REF!&lt;&gt;"")</formula>
    </cfRule>
  </conditionalFormatting>
  <conditionalFormatting sqref="K3441">
    <cfRule type="expression" dxfId="0" priority="2941">
      <formula>(#REF!&lt;&gt;"")*(#REF!&lt;&gt;"")</formula>
    </cfRule>
  </conditionalFormatting>
  <conditionalFormatting sqref="K3442">
    <cfRule type="expression" dxfId="0" priority="2940">
      <formula>(#REF!&lt;&gt;"")*(#REF!&lt;&gt;"")</formula>
    </cfRule>
  </conditionalFormatting>
  <conditionalFormatting sqref="A3443">
    <cfRule type="expression" dxfId="0" priority="2938">
      <formula>(#REF!&lt;&gt;"")*(#REF!&lt;&gt;"")</formula>
    </cfRule>
  </conditionalFormatting>
  <conditionalFormatting sqref="K3443">
    <cfRule type="expression" dxfId="0" priority="2936">
      <formula>(#REF!&lt;&gt;"")*(#REF!&lt;&gt;"")</formula>
    </cfRule>
  </conditionalFormatting>
  <conditionalFormatting sqref="L3443">
    <cfRule type="expression" dxfId="0" priority="2939">
      <formula>(#REF!&lt;&gt;"")*(#REF!&lt;&gt;"")</formula>
    </cfRule>
  </conditionalFormatting>
  <conditionalFormatting sqref="M3443">
    <cfRule type="expression" dxfId="0" priority="2937">
      <formula>(#REF!&lt;&gt;"")*(#REF!&lt;&gt;"")</formula>
    </cfRule>
  </conditionalFormatting>
  <conditionalFormatting sqref="O3443">
    <cfRule type="expression" dxfId="0" priority="2932">
      <formula>(#REF!&lt;&gt;"")*(#REF!&lt;&gt;"")</formula>
    </cfRule>
  </conditionalFormatting>
  <conditionalFormatting sqref="P3443">
    <cfRule type="expression" dxfId="1" priority="2933">
      <formula>(#REF!&lt;&gt;"")*(#REF!&lt;&gt;"")</formula>
    </cfRule>
  </conditionalFormatting>
  <conditionalFormatting sqref="Q3443">
    <cfRule type="expression" dxfId="0" priority="2934">
      <formula>(#REF!&lt;&gt;"")*(#REF!&lt;&gt;"")</formula>
    </cfRule>
    <cfRule type="expression" dxfId="1" priority="2935">
      <formula>(#REF!&lt;&gt;"")*(#REF!&lt;&gt;"")</formula>
    </cfRule>
  </conditionalFormatting>
  <conditionalFormatting sqref="A3444">
    <cfRule type="expression" dxfId="0" priority="2931">
      <formula>(#REF!&lt;&gt;"")*(#REF!&lt;&gt;"")</formula>
    </cfRule>
  </conditionalFormatting>
  <conditionalFormatting sqref="K3444">
    <cfRule type="expression" dxfId="0" priority="2930">
      <formula>(#REF!&lt;&gt;"")*(#REF!&lt;&gt;"")</formula>
    </cfRule>
  </conditionalFormatting>
  <conditionalFormatting sqref="A3445">
    <cfRule type="expression" dxfId="0" priority="2927">
      <formula>(#REF!&lt;&gt;"")*(#REF!&lt;&gt;"")</formula>
    </cfRule>
  </conditionalFormatting>
  <conditionalFormatting sqref="K3445">
    <cfRule type="expression" dxfId="0" priority="2925">
      <formula>(#REF!&lt;&gt;"")*(#REF!&lt;&gt;"")</formula>
    </cfRule>
  </conditionalFormatting>
  <conditionalFormatting sqref="L3445">
    <cfRule type="expression" dxfId="0" priority="2928">
      <formula>(#REF!&lt;&gt;"")*(#REF!&lt;&gt;"")</formula>
    </cfRule>
  </conditionalFormatting>
  <conditionalFormatting sqref="M3445">
    <cfRule type="expression" dxfId="0" priority="2926">
      <formula>(#REF!&lt;&gt;"")*(#REF!&lt;&gt;"")</formula>
    </cfRule>
  </conditionalFormatting>
  <conditionalFormatting sqref="N3445">
    <cfRule type="expression" dxfId="0" priority="2929">
      <formula>(#REF!&lt;&gt;"")*(#REF!&lt;&gt;"")</formula>
    </cfRule>
  </conditionalFormatting>
  <conditionalFormatting sqref="O3445">
    <cfRule type="expression" dxfId="0" priority="2923">
      <formula>(#REF!&lt;&gt;"")*(#REF!&lt;&gt;"")</formula>
    </cfRule>
  </conditionalFormatting>
  <conditionalFormatting sqref="P3445">
    <cfRule type="expression" dxfId="1" priority="2924">
      <formula>(#REF!&lt;&gt;"")*(#REF!&lt;&gt;"")</formula>
    </cfRule>
  </conditionalFormatting>
  <conditionalFormatting sqref="A3446">
    <cfRule type="expression" dxfId="0" priority="2915">
      <formula>(#REF!&lt;&gt;"")*(#REF!&lt;&gt;"")</formula>
    </cfRule>
  </conditionalFormatting>
  <conditionalFormatting sqref="J3446">
    <cfRule type="expression" dxfId="0" priority="2920">
      <formula>(#REF!&lt;&gt;"")*(#REF!&lt;&gt;"")</formula>
    </cfRule>
  </conditionalFormatting>
  <conditionalFormatting sqref="K3446">
    <cfRule type="expression" dxfId="0" priority="2918">
      <formula>(#REF!&lt;&gt;"")*(#REF!&lt;&gt;"")</formula>
    </cfRule>
  </conditionalFormatting>
  <conditionalFormatting sqref="M3446">
    <cfRule type="expression" dxfId="0" priority="2919">
      <formula>(#REF!&lt;&gt;"")*(#REF!&lt;&gt;"")</formula>
    </cfRule>
  </conditionalFormatting>
  <conditionalFormatting sqref="N3446">
    <cfRule type="expression" dxfId="0" priority="2922">
      <formula>(#REF!&lt;&gt;"")*(#REF!&lt;&gt;"")</formula>
    </cfRule>
  </conditionalFormatting>
  <conditionalFormatting sqref="O3446">
    <cfRule type="expression" dxfId="0" priority="2916">
      <formula>(#REF!&lt;&gt;"")*(#REF!&lt;&gt;"")</formula>
    </cfRule>
  </conditionalFormatting>
  <conditionalFormatting sqref="P3446">
    <cfRule type="expression" dxfId="1" priority="2917">
      <formula>(#REF!&lt;&gt;"")*(#REF!&lt;&gt;"")</formula>
    </cfRule>
  </conditionalFormatting>
  <conditionalFormatting sqref="A3447">
    <cfRule type="expression" dxfId="0" priority="2901">
      <formula>(#REF!&lt;&gt;"")*(#REF!&lt;&gt;"")</formula>
    </cfRule>
  </conditionalFormatting>
  <conditionalFormatting sqref="J3447">
    <cfRule type="expression" dxfId="0" priority="2903">
      <formula>(#REF!&lt;&gt;"")*(#REF!&lt;&gt;"")</formula>
    </cfRule>
  </conditionalFormatting>
  <conditionalFormatting sqref="K3447">
    <cfRule type="expression" dxfId="0" priority="2902">
      <formula>(#REF!&lt;&gt;"")*(#REF!&lt;&gt;"")</formula>
    </cfRule>
  </conditionalFormatting>
  <conditionalFormatting sqref="M3447">
    <cfRule type="expression" dxfId="0" priority="2897">
      <formula>(#REF!&lt;&gt;"")*(#REF!&lt;&gt;"")</formula>
    </cfRule>
  </conditionalFormatting>
  <conditionalFormatting sqref="N3447">
    <cfRule type="expression" dxfId="0" priority="2898">
      <formula>(#REF!&lt;&gt;"")*(#REF!&lt;&gt;"")</formula>
    </cfRule>
  </conditionalFormatting>
  <conditionalFormatting sqref="O3447">
    <cfRule type="expression" dxfId="0" priority="2895">
      <formula>(#REF!&lt;&gt;"")*(#REF!&lt;&gt;"")</formula>
    </cfRule>
  </conditionalFormatting>
  <conditionalFormatting sqref="P3447">
    <cfRule type="expression" dxfId="1" priority="2896">
      <formula>(#REF!&lt;&gt;"")*(#REF!&lt;&gt;"")</formula>
    </cfRule>
  </conditionalFormatting>
  <conditionalFormatting sqref="Q3447">
    <cfRule type="expression" dxfId="0" priority="2899">
      <formula>(#REF!&lt;&gt;"")*(#REF!&lt;&gt;"")</formula>
    </cfRule>
    <cfRule type="expression" dxfId="1" priority="2900">
      <formula>(#REF!&lt;&gt;"")*(#REF!&lt;&gt;"")</formula>
    </cfRule>
  </conditionalFormatting>
  <conditionalFormatting sqref="A3448">
    <cfRule type="expression" dxfId="0" priority="2891">
      <formula>(#REF!&lt;&gt;"")*(#REF!&lt;&gt;"")</formula>
    </cfRule>
  </conditionalFormatting>
  <conditionalFormatting sqref="J3448">
    <cfRule type="expression" dxfId="0" priority="2893">
      <formula>(#REF!&lt;&gt;"")*(#REF!&lt;&gt;"")</formula>
    </cfRule>
  </conditionalFormatting>
  <conditionalFormatting sqref="K3448">
    <cfRule type="expression" dxfId="0" priority="2892">
      <formula>(#REF!&lt;&gt;"")*(#REF!&lt;&gt;"")</formula>
    </cfRule>
  </conditionalFormatting>
  <conditionalFormatting sqref="L3448">
    <cfRule type="expression" dxfId="0" priority="2894">
      <formula>(#REF!&lt;&gt;"")*(#REF!&lt;&gt;"")</formula>
    </cfRule>
  </conditionalFormatting>
  <conditionalFormatting sqref="M3448">
    <cfRule type="expression" dxfId="0" priority="2887">
      <formula>(#REF!&lt;&gt;"")*(#REF!&lt;&gt;"")</formula>
    </cfRule>
  </conditionalFormatting>
  <conditionalFormatting sqref="N3448">
    <cfRule type="expression" dxfId="0" priority="2888">
      <formula>(#REF!&lt;&gt;"")*(#REF!&lt;&gt;"")</formula>
    </cfRule>
  </conditionalFormatting>
  <conditionalFormatting sqref="O3448">
    <cfRule type="expression" dxfId="0" priority="2885">
      <formula>(#REF!&lt;&gt;"")*(#REF!&lt;&gt;"")</formula>
    </cfRule>
  </conditionalFormatting>
  <conditionalFormatting sqref="P3448">
    <cfRule type="expression" dxfId="1" priority="2886">
      <formula>(#REF!&lt;&gt;"")*(#REF!&lt;&gt;"")</formula>
    </cfRule>
  </conditionalFormatting>
  <conditionalFormatting sqref="Q3448">
    <cfRule type="expression" dxfId="0" priority="2889">
      <formula>(#REF!&lt;&gt;"")*(#REF!&lt;&gt;"")</formula>
    </cfRule>
    <cfRule type="expression" dxfId="1" priority="2890">
      <formula>(#REF!&lt;&gt;"")*(#REF!&lt;&gt;"")</formula>
    </cfRule>
  </conditionalFormatting>
  <conditionalFormatting sqref="A3449">
    <cfRule type="expression" dxfId="0" priority="2881">
      <formula>(#REF!&lt;&gt;"")*(#REF!&lt;&gt;"")</formula>
    </cfRule>
  </conditionalFormatting>
  <conditionalFormatting sqref="J3449">
    <cfRule type="expression" dxfId="0" priority="2883">
      <formula>(#REF!&lt;&gt;"")*(#REF!&lt;&gt;"")</formula>
    </cfRule>
  </conditionalFormatting>
  <conditionalFormatting sqref="K3449">
    <cfRule type="expression" dxfId="0" priority="2882">
      <formula>(#REF!&lt;&gt;"")*(#REF!&lt;&gt;"")</formula>
    </cfRule>
  </conditionalFormatting>
  <conditionalFormatting sqref="L3449">
    <cfRule type="expression" dxfId="0" priority="2884">
      <formula>(#REF!&lt;&gt;"")*(#REF!&lt;&gt;"")</formula>
    </cfRule>
  </conditionalFormatting>
  <conditionalFormatting sqref="M3449">
    <cfRule type="expression" dxfId="0" priority="2877">
      <formula>(#REF!&lt;&gt;"")*(#REF!&lt;&gt;"")</formula>
    </cfRule>
  </conditionalFormatting>
  <conditionalFormatting sqref="N3449">
    <cfRule type="expression" dxfId="0" priority="2878">
      <formula>(#REF!&lt;&gt;"")*(#REF!&lt;&gt;"")</formula>
    </cfRule>
  </conditionalFormatting>
  <conditionalFormatting sqref="O3449">
    <cfRule type="expression" dxfId="0" priority="2875">
      <formula>(#REF!&lt;&gt;"")*(#REF!&lt;&gt;"")</formula>
    </cfRule>
  </conditionalFormatting>
  <conditionalFormatting sqref="P3449">
    <cfRule type="expression" dxfId="1" priority="2876">
      <formula>(#REF!&lt;&gt;"")*(#REF!&lt;&gt;"")</formula>
    </cfRule>
  </conditionalFormatting>
  <conditionalFormatting sqref="Q3449">
    <cfRule type="expression" dxfId="0" priority="2879">
      <formula>(#REF!&lt;&gt;"")*(#REF!&lt;&gt;"")</formula>
    </cfRule>
    <cfRule type="expression" dxfId="1" priority="2880">
      <formula>(#REF!&lt;&gt;"")*(#REF!&lt;&gt;"")</formula>
    </cfRule>
  </conditionalFormatting>
  <conditionalFormatting sqref="A3452">
    <cfRule type="expression" dxfId="0" priority="2845">
      <formula>(#REF!&lt;&gt;"")*(#REF!&lt;&gt;"")</formula>
    </cfRule>
  </conditionalFormatting>
  <conditionalFormatting sqref="H3452">
    <cfRule type="expression" dxfId="0" priority="2848">
      <formula>(#REF!&lt;&gt;"")*(#REF!&lt;&gt;"")</formula>
    </cfRule>
  </conditionalFormatting>
  <conditionalFormatting sqref="J3452">
    <cfRule type="expression" dxfId="0" priority="2847">
      <formula>(#REF!&lt;&gt;"")*(#REF!&lt;&gt;"")</formula>
    </cfRule>
  </conditionalFormatting>
  <conditionalFormatting sqref="K3452">
    <cfRule type="expression" dxfId="0" priority="2846">
      <formula>(#REF!&lt;&gt;"")*(#REF!&lt;&gt;"")</formula>
    </cfRule>
  </conditionalFormatting>
  <conditionalFormatting sqref="O3454">
    <cfRule type="expression" dxfId="0" priority="648">
      <formula>(#REF!&lt;&gt;"")*(#REF!&lt;&gt;"")</formula>
    </cfRule>
  </conditionalFormatting>
  <conditionalFormatting sqref="P3454">
    <cfRule type="expression" dxfId="1" priority="647">
      <formula>(#REF!&lt;&gt;"")*(#REF!&lt;&gt;"")</formula>
    </cfRule>
  </conditionalFormatting>
  <conditionalFormatting sqref="L3455:M3455">
    <cfRule type="expression" dxfId="0" priority="578">
      <formula>(#REF!&lt;&gt;"")*(#REF!&lt;&gt;"")</formula>
    </cfRule>
  </conditionalFormatting>
  <conditionalFormatting sqref="O3455">
    <cfRule type="expression" dxfId="0" priority="576">
      <formula>(#REF!&lt;&gt;"")*(#REF!&lt;&gt;"")</formula>
    </cfRule>
  </conditionalFormatting>
  <conditionalFormatting sqref="P3455">
    <cfRule type="expression" dxfId="1" priority="575">
      <formula>(#REF!&lt;&gt;"")*(#REF!&lt;&gt;"")</formula>
    </cfRule>
  </conditionalFormatting>
  <conditionalFormatting sqref="K3456">
    <cfRule type="expression" dxfId="0" priority="2377">
      <formula>(#REF!&lt;&gt;"")*(#REF!&lt;&gt;"")</formula>
    </cfRule>
    <cfRule type="expression" dxfId="0" priority="2376">
      <formula>(#REF!&lt;&gt;"")*(#REF!&lt;&gt;"")</formula>
    </cfRule>
  </conditionalFormatting>
  <conditionalFormatting sqref="P3456:Q3456">
    <cfRule type="expression" dxfId="1" priority="2609">
      <formula>(#REF!&lt;&gt;"")*(#REF!&lt;&gt;"")</formula>
    </cfRule>
  </conditionalFormatting>
  <conditionalFormatting sqref="A3457">
    <cfRule type="expression" dxfId="0" priority="2605">
      <formula>(#REF!&lt;&gt;"")*(#REF!&lt;&gt;"")</formula>
    </cfRule>
  </conditionalFormatting>
  <conditionalFormatting sqref="K3457">
    <cfRule type="expression" dxfId="0" priority="2375">
      <formula>(#REF!&lt;&gt;"")*(#REF!&lt;&gt;"")</formula>
    </cfRule>
    <cfRule type="expression" dxfId="0" priority="2374">
      <formula>(#REF!&lt;&gt;"")*(#REF!&lt;&gt;"")</formula>
    </cfRule>
  </conditionalFormatting>
  <conditionalFormatting sqref="L3457">
    <cfRule type="expression" dxfId="0" priority="2607">
      <formula>(#REF!&lt;&gt;"")*(#REF!&lt;&gt;"")</formula>
    </cfRule>
  </conditionalFormatting>
  <conditionalFormatting sqref="M3457">
    <cfRule type="expression" dxfId="0" priority="2603">
      <formula>(#REF!&lt;&gt;"")*(#REF!&lt;&gt;"")</formula>
    </cfRule>
  </conditionalFormatting>
  <conditionalFormatting sqref="N3457">
    <cfRule type="expression" dxfId="0" priority="2604">
      <formula>(#REF!&lt;&gt;"")*(#REF!&lt;&gt;"")</formula>
    </cfRule>
  </conditionalFormatting>
  <conditionalFormatting sqref="O3457">
    <cfRule type="expression" dxfId="0" priority="2602">
      <formula>(#REF!&lt;&gt;"")*(#REF!&lt;&gt;"")</formula>
    </cfRule>
  </conditionalFormatting>
  <conditionalFormatting sqref="P3457">
    <cfRule type="expression" dxfId="1" priority="2599">
      <formula>(#REF!&lt;&gt;"")*(#REF!&lt;&gt;"")</formula>
    </cfRule>
  </conditionalFormatting>
  <conditionalFormatting sqref="Q3457">
    <cfRule type="expression" dxfId="0" priority="2600">
      <formula>(#REF!&lt;&gt;"")*(#REF!&lt;&gt;"")</formula>
    </cfRule>
    <cfRule type="expression" dxfId="1" priority="2601">
      <formula>(#REF!&lt;&gt;"")*(#REF!&lt;&gt;"")</formula>
    </cfRule>
  </conditionalFormatting>
  <conditionalFormatting sqref="A3458">
    <cfRule type="expression" dxfId="0" priority="2596">
      <formula>(#REF!&lt;&gt;"")*(#REF!&lt;&gt;"")</formula>
    </cfRule>
  </conditionalFormatting>
  <conditionalFormatting sqref="K3458">
    <cfRule type="expression" dxfId="0" priority="2373">
      <formula>(#REF!&lt;&gt;"")*(#REF!&lt;&gt;"")</formula>
    </cfRule>
    <cfRule type="expression" dxfId="0" priority="2372">
      <formula>(#REF!&lt;&gt;"")*(#REF!&lt;&gt;"")</formula>
    </cfRule>
  </conditionalFormatting>
  <conditionalFormatting sqref="L3458">
    <cfRule type="expression" dxfId="0" priority="2598">
      <formula>(#REF!&lt;&gt;"")*(#REF!&lt;&gt;"")</formula>
    </cfRule>
  </conditionalFormatting>
  <conditionalFormatting sqref="M3458">
    <cfRule type="expression" dxfId="0" priority="2594">
      <formula>(#REF!&lt;&gt;"")*(#REF!&lt;&gt;"")</formula>
    </cfRule>
  </conditionalFormatting>
  <conditionalFormatting sqref="N3458">
    <cfRule type="expression" dxfId="0" priority="2595">
      <formula>(#REF!&lt;&gt;"")*(#REF!&lt;&gt;"")</formula>
    </cfRule>
  </conditionalFormatting>
  <conditionalFormatting sqref="O3458">
    <cfRule type="expression" dxfId="0" priority="2593">
      <formula>(#REF!&lt;&gt;"")*(#REF!&lt;&gt;"")</formula>
    </cfRule>
  </conditionalFormatting>
  <conditionalFormatting sqref="P3458">
    <cfRule type="expression" dxfId="1" priority="2590">
      <formula>(#REF!&lt;&gt;"")*(#REF!&lt;&gt;"")</formula>
    </cfRule>
  </conditionalFormatting>
  <conditionalFormatting sqref="Q3458">
    <cfRule type="expression" dxfId="0" priority="2591">
      <formula>(#REF!&lt;&gt;"")*(#REF!&lt;&gt;"")</formula>
    </cfRule>
    <cfRule type="expression" dxfId="1" priority="2592">
      <formula>(#REF!&lt;&gt;"")*(#REF!&lt;&gt;"")</formula>
    </cfRule>
  </conditionalFormatting>
  <conditionalFormatting sqref="A3459">
    <cfRule type="expression" dxfId="0" priority="2587">
      <formula>(#REF!&lt;&gt;"")*(#REF!&lt;&gt;"")</formula>
    </cfRule>
  </conditionalFormatting>
  <conditionalFormatting sqref="K3459">
    <cfRule type="expression" dxfId="0" priority="2371">
      <formula>(#REF!&lt;&gt;"")*(#REF!&lt;&gt;"")</formula>
    </cfRule>
    <cfRule type="expression" dxfId="0" priority="2370">
      <formula>(#REF!&lt;&gt;"")*(#REF!&lt;&gt;"")</formula>
    </cfRule>
  </conditionalFormatting>
  <conditionalFormatting sqref="L3459">
    <cfRule type="expression" dxfId="0" priority="2589">
      <formula>(#REF!&lt;&gt;"")*(#REF!&lt;&gt;"")</formula>
    </cfRule>
  </conditionalFormatting>
  <conditionalFormatting sqref="M3459">
    <cfRule type="expression" dxfId="0" priority="2585">
      <formula>(#REF!&lt;&gt;"")*(#REF!&lt;&gt;"")</formula>
    </cfRule>
  </conditionalFormatting>
  <conditionalFormatting sqref="N3459">
    <cfRule type="expression" dxfId="0" priority="2586">
      <formula>(#REF!&lt;&gt;"")*(#REF!&lt;&gt;"")</formula>
    </cfRule>
  </conditionalFormatting>
  <conditionalFormatting sqref="O3459">
    <cfRule type="expression" dxfId="0" priority="2584">
      <formula>(#REF!&lt;&gt;"")*(#REF!&lt;&gt;"")</formula>
    </cfRule>
  </conditionalFormatting>
  <conditionalFormatting sqref="P3459">
    <cfRule type="expression" dxfId="1" priority="2583">
      <formula>(#REF!&lt;&gt;"")*(#REF!&lt;&gt;"")</formula>
    </cfRule>
  </conditionalFormatting>
  <conditionalFormatting sqref="Q3459">
    <cfRule type="expression" dxfId="0" priority="2511">
      <formula>(#REF!&lt;&gt;"")*(#REF!&lt;&gt;"")</formula>
    </cfRule>
    <cfRule type="expression" dxfId="1" priority="2512">
      <formula>(#REF!&lt;&gt;"")*(#REF!&lt;&gt;"")</formula>
    </cfRule>
  </conditionalFormatting>
  <conditionalFormatting sqref="T3459">
    <cfRule type="expression" dxfId="0" priority="2508">
      <formula>(#REF!&lt;&gt;"")*(#REF!&lt;&gt;"")</formula>
    </cfRule>
  </conditionalFormatting>
  <conditionalFormatting sqref="A3460">
    <cfRule type="expression" dxfId="0" priority="2580">
      <formula>(#REF!&lt;&gt;"")*(#REF!&lt;&gt;"")</formula>
    </cfRule>
  </conditionalFormatting>
  <conditionalFormatting sqref="K3460">
    <cfRule type="expression" dxfId="0" priority="2369">
      <formula>(#REF!&lt;&gt;"")*(#REF!&lt;&gt;"")</formula>
    </cfRule>
    <cfRule type="expression" dxfId="0" priority="2368">
      <formula>(#REF!&lt;&gt;"")*(#REF!&lt;&gt;"")</formula>
    </cfRule>
  </conditionalFormatting>
  <conditionalFormatting sqref="L3460">
    <cfRule type="expression" dxfId="0" priority="2582">
      <formula>(#REF!&lt;&gt;"")*(#REF!&lt;&gt;"")</formula>
    </cfRule>
  </conditionalFormatting>
  <conditionalFormatting sqref="M3460">
    <cfRule type="expression" dxfId="0" priority="2578">
      <formula>(#REF!&lt;&gt;"")*(#REF!&lt;&gt;"")</formula>
    </cfRule>
  </conditionalFormatting>
  <conditionalFormatting sqref="N3460">
    <cfRule type="expression" dxfId="0" priority="2579">
      <formula>(#REF!&lt;&gt;"")*(#REF!&lt;&gt;"")</formula>
    </cfRule>
  </conditionalFormatting>
  <conditionalFormatting sqref="O3460">
    <cfRule type="expression" dxfId="0" priority="2577">
      <formula>(#REF!&lt;&gt;"")*(#REF!&lt;&gt;"")</formula>
    </cfRule>
  </conditionalFormatting>
  <conditionalFormatting sqref="P3460">
    <cfRule type="expression" dxfId="1" priority="2576">
      <formula>(#REF!&lt;&gt;"")*(#REF!&lt;&gt;"")</formula>
    </cfRule>
  </conditionalFormatting>
  <conditionalFormatting sqref="Q3460">
    <cfRule type="expression" dxfId="0" priority="2509">
      <formula>(#REF!&lt;&gt;"")*(#REF!&lt;&gt;"")</formula>
    </cfRule>
    <cfRule type="expression" dxfId="1" priority="2510">
      <formula>(#REF!&lt;&gt;"")*(#REF!&lt;&gt;"")</formula>
    </cfRule>
  </conditionalFormatting>
  <conditionalFormatting sqref="T3460">
    <cfRule type="expression" dxfId="0" priority="2507">
      <formula>(#REF!&lt;&gt;"")*(#REF!&lt;&gt;"")</formula>
    </cfRule>
  </conditionalFormatting>
  <conditionalFormatting sqref="A3461">
    <cfRule type="expression" dxfId="0" priority="2573">
      <formula>(#REF!&lt;&gt;"")*(#REF!&lt;&gt;"")</formula>
    </cfRule>
  </conditionalFormatting>
  <conditionalFormatting sqref="K3461">
    <cfRule type="expression" dxfId="0" priority="2367">
      <formula>(#REF!&lt;&gt;"")*(#REF!&lt;&gt;"")</formula>
    </cfRule>
    <cfRule type="expression" dxfId="0" priority="2366">
      <formula>(#REF!&lt;&gt;"")*(#REF!&lt;&gt;"")</formula>
    </cfRule>
  </conditionalFormatting>
  <conditionalFormatting sqref="L3461">
    <cfRule type="expression" dxfId="0" priority="2575">
      <formula>(#REF!&lt;&gt;"")*(#REF!&lt;&gt;"")</formula>
    </cfRule>
  </conditionalFormatting>
  <conditionalFormatting sqref="M3461">
    <cfRule type="expression" dxfId="0" priority="2571">
      <formula>(#REF!&lt;&gt;"")*(#REF!&lt;&gt;"")</formula>
    </cfRule>
  </conditionalFormatting>
  <conditionalFormatting sqref="N3461">
    <cfRule type="expression" dxfId="0" priority="2572">
      <formula>(#REF!&lt;&gt;"")*(#REF!&lt;&gt;"")</formula>
    </cfRule>
  </conditionalFormatting>
  <conditionalFormatting sqref="O3461">
    <cfRule type="expression" dxfId="0" priority="2570">
      <formula>(#REF!&lt;&gt;"")*(#REF!&lt;&gt;"")</formula>
    </cfRule>
  </conditionalFormatting>
  <conditionalFormatting sqref="P3461">
    <cfRule type="expression" dxfId="1" priority="2567">
      <formula>(#REF!&lt;&gt;"")*(#REF!&lt;&gt;"")</formula>
    </cfRule>
  </conditionalFormatting>
  <conditionalFormatting sqref="Q3461">
    <cfRule type="expression" dxfId="0" priority="2568">
      <formula>(#REF!&lt;&gt;"")*(#REF!&lt;&gt;"")</formula>
    </cfRule>
    <cfRule type="expression" dxfId="1" priority="2569">
      <formula>(#REF!&lt;&gt;"")*(#REF!&lt;&gt;"")</formula>
    </cfRule>
  </conditionalFormatting>
  <conditionalFormatting sqref="A3462">
    <cfRule type="expression" dxfId="0" priority="2564">
      <formula>(#REF!&lt;&gt;"")*(#REF!&lt;&gt;"")</formula>
    </cfRule>
  </conditionalFormatting>
  <conditionalFormatting sqref="K3462">
    <cfRule type="expression" dxfId="0" priority="2353">
      <formula>(#REF!&lt;&gt;"")*(#REF!&lt;&gt;"")</formula>
    </cfRule>
    <cfRule type="expression" dxfId="0" priority="2352">
      <formula>(#REF!&lt;&gt;"")*(#REF!&lt;&gt;"")</formula>
    </cfRule>
  </conditionalFormatting>
  <conditionalFormatting sqref="L3462">
    <cfRule type="expression" dxfId="0" priority="2566">
      <formula>(#REF!&lt;&gt;"")*(#REF!&lt;&gt;"")</formula>
    </cfRule>
  </conditionalFormatting>
  <conditionalFormatting sqref="M3462">
    <cfRule type="expression" dxfId="0" priority="2562">
      <formula>(#REF!&lt;&gt;"")*(#REF!&lt;&gt;"")</formula>
    </cfRule>
  </conditionalFormatting>
  <conditionalFormatting sqref="N3462">
    <cfRule type="expression" dxfId="0" priority="2563">
      <formula>(#REF!&lt;&gt;"")*(#REF!&lt;&gt;"")</formula>
    </cfRule>
  </conditionalFormatting>
  <conditionalFormatting sqref="O3462">
    <cfRule type="expression" dxfId="0" priority="2561">
      <formula>(#REF!&lt;&gt;"")*(#REF!&lt;&gt;"")</formula>
    </cfRule>
  </conditionalFormatting>
  <conditionalFormatting sqref="P3462">
    <cfRule type="expression" dxfId="1" priority="2558">
      <formula>(#REF!&lt;&gt;"")*(#REF!&lt;&gt;"")</formula>
    </cfRule>
  </conditionalFormatting>
  <conditionalFormatting sqref="Q3462">
    <cfRule type="expression" dxfId="0" priority="2559">
      <formula>(#REF!&lt;&gt;"")*(#REF!&lt;&gt;"")</formula>
    </cfRule>
    <cfRule type="expression" dxfId="1" priority="2560">
      <formula>(#REF!&lt;&gt;"")*(#REF!&lt;&gt;"")</formula>
    </cfRule>
  </conditionalFormatting>
  <conditionalFormatting sqref="A3463">
    <cfRule type="expression" dxfId="0" priority="2555">
      <formula>(#REF!&lt;&gt;"")*(#REF!&lt;&gt;"")</formula>
    </cfRule>
  </conditionalFormatting>
  <conditionalFormatting sqref="K3463">
    <cfRule type="expression" dxfId="0" priority="2365">
      <formula>(#REF!&lt;&gt;"")*(#REF!&lt;&gt;"")</formula>
    </cfRule>
    <cfRule type="expression" dxfId="0" priority="2364">
      <formula>(#REF!&lt;&gt;"")*(#REF!&lt;&gt;"")</formula>
    </cfRule>
  </conditionalFormatting>
  <conditionalFormatting sqref="L3463">
    <cfRule type="expression" dxfId="0" priority="2557">
      <formula>(#REF!&lt;&gt;"")*(#REF!&lt;&gt;"")</formula>
    </cfRule>
  </conditionalFormatting>
  <conditionalFormatting sqref="M3463">
    <cfRule type="expression" dxfId="0" priority="2553">
      <formula>(#REF!&lt;&gt;"")*(#REF!&lt;&gt;"")</formula>
    </cfRule>
  </conditionalFormatting>
  <conditionalFormatting sqref="N3463">
    <cfRule type="expression" dxfId="0" priority="2554">
      <formula>(#REF!&lt;&gt;"")*(#REF!&lt;&gt;"")</formula>
    </cfRule>
  </conditionalFormatting>
  <conditionalFormatting sqref="O3463">
    <cfRule type="expression" dxfId="0" priority="2552">
      <formula>(#REF!&lt;&gt;"")*(#REF!&lt;&gt;"")</formula>
    </cfRule>
  </conditionalFormatting>
  <conditionalFormatting sqref="P3463">
    <cfRule type="expression" dxfId="1" priority="2549">
      <formula>(#REF!&lt;&gt;"")*(#REF!&lt;&gt;"")</formula>
    </cfRule>
  </conditionalFormatting>
  <conditionalFormatting sqref="Q3463">
    <cfRule type="expression" dxfId="0" priority="2550">
      <formula>(#REF!&lt;&gt;"")*(#REF!&lt;&gt;"")</formula>
    </cfRule>
    <cfRule type="expression" dxfId="1" priority="2551">
      <formula>(#REF!&lt;&gt;"")*(#REF!&lt;&gt;"")</formula>
    </cfRule>
  </conditionalFormatting>
  <conditionalFormatting sqref="A3464">
    <cfRule type="expression" dxfId="0" priority="2546">
      <formula>(#REF!&lt;&gt;"")*(#REF!&lt;&gt;"")</formula>
    </cfRule>
  </conditionalFormatting>
  <conditionalFormatting sqref="K3464">
    <cfRule type="expression" dxfId="0" priority="2363">
      <formula>(#REF!&lt;&gt;"")*(#REF!&lt;&gt;"")</formula>
    </cfRule>
    <cfRule type="expression" dxfId="0" priority="2362">
      <formula>(#REF!&lt;&gt;"")*(#REF!&lt;&gt;"")</formula>
    </cfRule>
  </conditionalFormatting>
  <conditionalFormatting sqref="L3464">
    <cfRule type="expression" dxfId="0" priority="2548">
      <formula>(#REF!&lt;&gt;"")*(#REF!&lt;&gt;"")</formula>
    </cfRule>
  </conditionalFormatting>
  <conditionalFormatting sqref="M3464">
    <cfRule type="expression" dxfId="0" priority="2544">
      <formula>(#REF!&lt;&gt;"")*(#REF!&lt;&gt;"")</formula>
    </cfRule>
  </conditionalFormatting>
  <conditionalFormatting sqref="N3464">
    <cfRule type="expression" dxfId="0" priority="2545">
      <formula>(#REF!&lt;&gt;"")*(#REF!&lt;&gt;"")</formula>
    </cfRule>
  </conditionalFormatting>
  <conditionalFormatting sqref="O3464">
    <cfRule type="expression" dxfId="0" priority="2543">
      <formula>(#REF!&lt;&gt;"")*(#REF!&lt;&gt;"")</formula>
    </cfRule>
  </conditionalFormatting>
  <conditionalFormatting sqref="P3464">
    <cfRule type="expression" dxfId="1" priority="2540">
      <formula>(#REF!&lt;&gt;"")*(#REF!&lt;&gt;"")</formula>
    </cfRule>
  </conditionalFormatting>
  <conditionalFormatting sqref="Q3464">
    <cfRule type="expression" dxfId="0" priority="2541">
      <formula>(#REF!&lt;&gt;"")*(#REF!&lt;&gt;"")</formula>
    </cfRule>
    <cfRule type="expression" dxfId="1" priority="2542">
      <formula>(#REF!&lt;&gt;"")*(#REF!&lt;&gt;"")</formula>
    </cfRule>
  </conditionalFormatting>
  <conditionalFormatting sqref="A3465">
    <cfRule type="expression" dxfId="0" priority="2537">
      <formula>(#REF!&lt;&gt;"")*(#REF!&lt;&gt;"")</formula>
    </cfRule>
  </conditionalFormatting>
  <conditionalFormatting sqref="K3465">
    <cfRule type="expression" dxfId="0" priority="2361">
      <formula>(#REF!&lt;&gt;"")*(#REF!&lt;&gt;"")</formula>
    </cfRule>
    <cfRule type="expression" dxfId="0" priority="2360">
      <formula>(#REF!&lt;&gt;"")*(#REF!&lt;&gt;"")</formula>
    </cfRule>
  </conditionalFormatting>
  <conditionalFormatting sqref="L3465">
    <cfRule type="expression" dxfId="0" priority="2539">
      <formula>(#REF!&lt;&gt;"")*(#REF!&lt;&gt;"")</formula>
    </cfRule>
  </conditionalFormatting>
  <conditionalFormatting sqref="M3465">
    <cfRule type="expression" dxfId="0" priority="2535">
      <formula>(#REF!&lt;&gt;"")*(#REF!&lt;&gt;"")</formula>
    </cfRule>
  </conditionalFormatting>
  <conditionalFormatting sqref="N3465">
    <cfRule type="expression" dxfId="0" priority="2536">
      <formula>(#REF!&lt;&gt;"")*(#REF!&lt;&gt;"")</formula>
    </cfRule>
  </conditionalFormatting>
  <conditionalFormatting sqref="O3465">
    <cfRule type="expression" dxfId="0" priority="2534">
      <formula>(#REF!&lt;&gt;"")*(#REF!&lt;&gt;"")</formula>
    </cfRule>
  </conditionalFormatting>
  <conditionalFormatting sqref="P3465">
    <cfRule type="expression" dxfId="1" priority="2531">
      <formula>(#REF!&lt;&gt;"")*(#REF!&lt;&gt;"")</formula>
    </cfRule>
  </conditionalFormatting>
  <conditionalFormatting sqref="Q3465">
    <cfRule type="expression" dxfId="0" priority="2532">
      <formula>(#REF!&lt;&gt;"")*(#REF!&lt;&gt;"")</formula>
    </cfRule>
    <cfRule type="expression" dxfId="1" priority="2533">
      <formula>(#REF!&lt;&gt;"")*(#REF!&lt;&gt;"")</formula>
    </cfRule>
  </conditionalFormatting>
  <conditionalFormatting sqref="A3466">
    <cfRule type="expression" dxfId="0" priority="2528">
      <formula>(#REF!&lt;&gt;"")*(#REF!&lt;&gt;"")</formula>
    </cfRule>
  </conditionalFormatting>
  <conditionalFormatting sqref="K3466">
    <cfRule type="expression" dxfId="0" priority="2359">
      <formula>(#REF!&lt;&gt;"")*(#REF!&lt;&gt;"")</formula>
    </cfRule>
    <cfRule type="expression" dxfId="0" priority="2358">
      <formula>(#REF!&lt;&gt;"")*(#REF!&lt;&gt;"")</formula>
    </cfRule>
  </conditionalFormatting>
  <conditionalFormatting sqref="L3466">
    <cfRule type="expression" dxfId="0" priority="2530">
      <formula>(#REF!&lt;&gt;"")*(#REF!&lt;&gt;"")</formula>
    </cfRule>
  </conditionalFormatting>
  <conditionalFormatting sqref="M3466">
    <cfRule type="expression" dxfId="0" priority="2526">
      <formula>(#REF!&lt;&gt;"")*(#REF!&lt;&gt;"")</formula>
    </cfRule>
  </conditionalFormatting>
  <conditionalFormatting sqref="N3466">
    <cfRule type="expression" dxfId="0" priority="2527">
      <formula>(#REF!&lt;&gt;"")*(#REF!&lt;&gt;"")</formula>
    </cfRule>
  </conditionalFormatting>
  <conditionalFormatting sqref="O3466">
    <cfRule type="expression" dxfId="0" priority="2525">
      <formula>(#REF!&lt;&gt;"")*(#REF!&lt;&gt;"")</formula>
    </cfRule>
  </conditionalFormatting>
  <conditionalFormatting sqref="P3466">
    <cfRule type="expression" dxfId="1" priority="2522">
      <formula>(#REF!&lt;&gt;"")*(#REF!&lt;&gt;"")</formula>
    </cfRule>
  </conditionalFormatting>
  <conditionalFormatting sqref="Q3466">
    <cfRule type="expression" dxfId="0" priority="2523">
      <formula>(#REF!&lt;&gt;"")*(#REF!&lt;&gt;"")</formula>
    </cfRule>
    <cfRule type="expression" dxfId="1" priority="2524">
      <formula>(#REF!&lt;&gt;"")*(#REF!&lt;&gt;"")</formula>
    </cfRule>
  </conditionalFormatting>
  <conditionalFormatting sqref="A3467">
    <cfRule type="expression" dxfId="0" priority="2519">
      <formula>(#REF!&lt;&gt;"")*(#REF!&lt;&gt;"")</formula>
    </cfRule>
  </conditionalFormatting>
  <conditionalFormatting sqref="K3467">
    <cfRule type="expression" dxfId="0" priority="2357">
      <formula>(#REF!&lt;&gt;"")*(#REF!&lt;&gt;"")</formula>
    </cfRule>
    <cfRule type="expression" dxfId="0" priority="2356">
      <formula>(#REF!&lt;&gt;"")*(#REF!&lt;&gt;"")</formula>
    </cfRule>
  </conditionalFormatting>
  <conditionalFormatting sqref="L3467">
    <cfRule type="expression" dxfId="0" priority="2521">
      <formula>(#REF!&lt;&gt;"")*(#REF!&lt;&gt;"")</formula>
    </cfRule>
  </conditionalFormatting>
  <conditionalFormatting sqref="M3467">
    <cfRule type="expression" dxfId="0" priority="2517">
      <formula>(#REF!&lt;&gt;"")*(#REF!&lt;&gt;"")</formula>
    </cfRule>
  </conditionalFormatting>
  <conditionalFormatting sqref="N3467">
    <cfRule type="expression" dxfId="0" priority="2518">
      <formula>(#REF!&lt;&gt;"")*(#REF!&lt;&gt;"")</formula>
    </cfRule>
  </conditionalFormatting>
  <conditionalFormatting sqref="O3467">
    <cfRule type="expression" dxfId="0" priority="2516">
      <formula>(#REF!&lt;&gt;"")*(#REF!&lt;&gt;"")</formula>
    </cfRule>
  </conditionalFormatting>
  <conditionalFormatting sqref="P3467">
    <cfRule type="expression" dxfId="1" priority="2513">
      <formula>(#REF!&lt;&gt;"")*(#REF!&lt;&gt;"")</formula>
    </cfRule>
  </conditionalFormatting>
  <conditionalFormatting sqref="Q3467">
    <cfRule type="expression" dxfId="0" priority="2514">
      <formula>(#REF!&lt;&gt;"")*(#REF!&lt;&gt;"")</formula>
    </cfRule>
    <cfRule type="expression" dxfId="1" priority="2515">
      <formula>(#REF!&lt;&gt;"")*(#REF!&lt;&gt;"")</formula>
    </cfRule>
  </conditionalFormatting>
  <conditionalFormatting sqref="A3468">
    <cfRule type="expression" dxfId="0" priority="2505">
      <formula>(#REF!&lt;&gt;"")*(#REF!&lt;&gt;"")</formula>
    </cfRule>
  </conditionalFormatting>
  <conditionalFormatting sqref="H3468">
    <cfRule type="expression" dxfId="0" priority="2506">
      <formula>(#REF!&lt;&gt;"")*(#REF!&lt;&gt;"")</formula>
    </cfRule>
  </conditionalFormatting>
  <conditionalFormatting sqref="J3468">
    <cfRule type="expression" dxfId="0" priority="2502">
      <formula>(#REF!&lt;&gt;"")*(#REF!&lt;&gt;"")</formula>
    </cfRule>
  </conditionalFormatting>
  <conditionalFormatting sqref="K3468">
    <cfRule type="expression" dxfId="0" priority="2351">
      <formula>(#REF!&lt;&gt;"")*(#REF!&lt;&gt;"")</formula>
    </cfRule>
    <cfRule type="expression" dxfId="0" priority="2350">
      <formula>(#REF!&lt;&gt;"")*(#REF!&lt;&gt;"")</formula>
    </cfRule>
  </conditionalFormatting>
  <conditionalFormatting sqref="L3468">
    <cfRule type="expression" dxfId="0" priority="2503">
      <formula>(#REF!&lt;&gt;"")*(#REF!&lt;&gt;"")</formula>
    </cfRule>
  </conditionalFormatting>
  <conditionalFormatting sqref="M3468">
    <cfRule type="expression" dxfId="0" priority="2500">
      <formula>(#REF!&lt;&gt;"")*(#REF!&lt;&gt;"")</formula>
    </cfRule>
  </conditionalFormatting>
  <conditionalFormatting sqref="N3468">
    <cfRule type="expression" dxfId="0" priority="2501">
      <formula>(#REF!&lt;&gt;"")*(#REF!&lt;&gt;"")</formula>
    </cfRule>
  </conditionalFormatting>
  <conditionalFormatting sqref="O3468">
    <cfRule type="expression" dxfId="0" priority="2499">
      <formula>(#REF!&lt;&gt;"")*(#REF!&lt;&gt;"")</formula>
    </cfRule>
  </conditionalFormatting>
  <conditionalFormatting sqref="P3468">
    <cfRule type="expression" dxfId="1" priority="2496">
      <formula>(#REF!&lt;&gt;"")*(#REF!&lt;&gt;"")</formula>
    </cfRule>
  </conditionalFormatting>
  <conditionalFormatting sqref="Q3468">
    <cfRule type="expression" dxfId="0" priority="2497">
      <formula>(#REF!&lt;&gt;"")*(#REF!&lt;&gt;"")</formula>
    </cfRule>
    <cfRule type="expression" dxfId="1" priority="2498">
      <formula>(#REF!&lt;&gt;"")*(#REF!&lt;&gt;"")</formula>
    </cfRule>
  </conditionalFormatting>
  <conditionalFormatting sqref="T3468">
    <cfRule type="expression" dxfId="0" priority="2504">
      <formula>(#REF!&lt;&gt;"")*(#REF!&lt;&gt;"")</formula>
    </cfRule>
  </conditionalFormatting>
  <conditionalFormatting sqref="A3469">
    <cfRule type="expression" dxfId="0" priority="2494">
      <formula>(#REF!&lt;&gt;"")*(#REF!&lt;&gt;"")</formula>
    </cfRule>
  </conditionalFormatting>
  <conditionalFormatting sqref="H3469">
    <cfRule type="expression" dxfId="0" priority="2495">
      <formula>(#REF!&lt;&gt;"")*(#REF!&lt;&gt;"")</formula>
    </cfRule>
  </conditionalFormatting>
  <conditionalFormatting sqref="J3469">
    <cfRule type="expression" dxfId="0" priority="2492">
      <formula>(#REF!&lt;&gt;"")*(#REF!&lt;&gt;"")</formula>
    </cfRule>
  </conditionalFormatting>
  <conditionalFormatting sqref="K3469">
    <cfRule type="expression" dxfId="0" priority="2355">
      <formula>(#REF!&lt;&gt;"")*(#REF!&lt;&gt;"")</formula>
    </cfRule>
    <cfRule type="expression" dxfId="0" priority="2354">
      <formula>(#REF!&lt;&gt;"")*(#REF!&lt;&gt;"")</formula>
    </cfRule>
  </conditionalFormatting>
  <conditionalFormatting sqref="L3469">
    <cfRule type="expression" dxfId="0" priority="2493">
      <formula>(#REF!&lt;&gt;"")*(#REF!&lt;&gt;"")</formula>
    </cfRule>
  </conditionalFormatting>
  <conditionalFormatting sqref="M3469">
    <cfRule type="expression" dxfId="0" priority="2490">
      <formula>(#REF!&lt;&gt;"")*(#REF!&lt;&gt;"")</formula>
    </cfRule>
  </conditionalFormatting>
  <conditionalFormatting sqref="N3469">
    <cfRule type="expression" dxfId="0" priority="2491">
      <formula>(#REF!&lt;&gt;"")*(#REF!&lt;&gt;"")</formula>
    </cfRule>
  </conditionalFormatting>
  <conditionalFormatting sqref="O3469">
    <cfRule type="expression" dxfId="0" priority="2489">
      <formula>(#REF!&lt;&gt;"")*(#REF!&lt;&gt;"")</formula>
    </cfRule>
  </conditionalFormatting>
  <conditionalFormatting sqref="P3469">
    <cfRule type="expression" dxfId="1" priority="2486">
      <formula>(#REF!&lt;&gt;"")*(#REF!&lt;&gt;"")</formula>
    </cfRule>
  </conditionalFormatting>
  <conditionalFormatting sqref="Q3469">
    <cfRule type="expression" dxfId="0" priority="2487">
      <formula>(#REF!&lt;&gt;"")*(#REF!&lt;&gt;"")</formula>
    </cfRule>
    <cfRule type="expression" dxfId="1" priority="2488">
      <formula>(#REF!&lt;&gt;"")*(#REF!&lt;&gt;"")</formula>
    </cfRule>
  </conditionalFormatting>
  <conditionalFormatting sqref="A3470">
    <cfRule type="expression" dxfId="0" priority="2484">
      <formula>(#REF!&lt;&gt;"")*(#REF!&lt;&gt;"")</formula>
    </cfRule>
  </conditionalFormatting>
  <conditionalFormatting sqref="H3470">
    <cfRule type="expression" dxfId="0" priority="2485">
      <formula>(#REF!&lt;&gt;"")*(#REF!&lt;&gt;"")</formula>
    </cfRule>
  </conditionalFormatting>
  <conditionalFormatting sqref="J3470">
    <cfRule type="expression" dxfId="0" priority="2482">
      <formula>(#REF!&lt;&gt;"")*(#REF!&lt;&gt;"")</formula>
    </cfRule>
  </conditionalFormatting>
  <conditionalFormatting sqref="L3470">
    <cfRule type="expression" dxfId="0" priority="2483">
      <formula>(#REF!&lt;&gt;"")*(#REF!&lt;&gt;"")</formula>
    </cfRule>
  </conditionalFormatting>
  <conditionalFormatting sqref="M3470">
    <cfRule type="expression" dxfId="0" priority="2479">
      <formula>(#REF!&lt;&gt;"")*(#REF!&lt;&gt;"")</formula>
    </cfRule>
  </conditionalFormatting>
  <conditionalFormatting sqref="N3470">
    <cfRule type="expression" dxfId="0" priority="2480">
      <formula>(#REF!&lt;&gt;"")*(#REF!&lt;&gt;"")</formula>
    </cfRule>
  </conditionalFormatting>
  <conditionalFormatting sqref="O3470">
    <cfRule type="expression" dxfId="0" priority="2478">
      <formula>(#REF!&lt;&gt;"")*(#REF!&lt;&gt;"")</formula>
    </cfRule>
  </conditionalFormatting>
  <conditionalFormatting sqref="P3470">
    <cfRule type="expression" dxfId="1" priority="2475">
      <formula>(#REF!&lt;&gt;"")*(#REF!&lt;&gt;"")</formula>
    </cfRule>
  </conditionalFormatting>
  <conditionalFormatting sqref="Q3470">
    <cfRule type="expression" dxfId="0" priority="2476">
      <formula>(#REF!&lt;&gt;"")*(#REF!&lt;&gt;"")</formula>
    </cfRule>
    <cfRule type="expression" dxfId="1" priority="2477">
      <formula>(#REF!&lt;&gt;"")*(#REF!&lt;&gt;"")</formula>
    </cfRule>
  </conditionalFormatting>
  <conditionalFormatting sqref="R3470">
    <cfRule type="expression" dxfId="0" priority="2378">
      <formula>(#REF!&lt;&gt;"")*(#REF!&lt;&gt;"")</formula>
    </cfRule>
  </conditionalFormatting>
  <conditionalFormatting sqref="A3471">
    <cfRule type="expression" dxfId="0" priority="2473">
      <formula>(#REF!&lt;&gt;"")*(#REF!&lt;&gt;"")</formula>
    </cfRule>
  </conditionalFormatting>
  <conditionalFormatting sqref="H3471">
    <cfRule type="expression" dxfId="0" priority="2474">
      <formula>(#REF!&lt;&gt;"")*(#REF!&lt;&gt;"")</formula>
    </cfRule>
  </conditionalFormatting>
  <conditionalFormatting sqref="J3471">
    <cfRule type="expression" dxfId="0" priority="2471">
      <formula>(#REF!&lt;&gt;"")*(#REF!&lt;&gt;"")</formula>
    </cfRule>
  </conditionalFormatting>
  <conditionalFormatting sqref="K3471">
    <cfRule type="expression" dxfId="0" priority="2470">
      <formula>(#REF!&lt;&gt;"")*(#REF!&lt;&gt;"")</formula>
    </cfRule>
  </conditionalFormatting>
  <conditionalFormatting sqref="L3471">
    <cfRule type="expression" dxfId="0" priority="2472">
      <formula>(#REF!&lt;&gt;"")*(#REF!&lt;&gt;"")</formula>
    </cfRule>
  </conditionalFormatting>
  <conditionalFormatting sqref="M3471">
    <cfRule type="expression" dxfId="0" priority="2468">
      <formula>(#REF!&lt;&gt;"")*(#REF!&lt;&gt;"")</formula>
    </cfRule>
  </conditionalFormatting>
  <conditionalFormatting sqref="N3471">
    <cfRule type="expression" dxfId="0" priority="2469">
      <formula>(#REF!&lt;&gt;"")*(#REF!&lt;&gt;"")</formula>
    </cfRule>
  </conditionalFormatting>
  <conditionalFormatting sqref="O3471">
    <cfRule type="expression" dxfId="0" priority="2467">
      <formula>(#REF!&lt;&gt;"")*(#REF!&lt;&gt;"")</formula>
    </cfRule>
  </conditionalFormatting>
  <conditionalFormatting sqref="P3471">
    <cfRule type="expression" dxfId="1" priority="2464">
      <formula>(#REF!&lt;&gt;"")*(#REF!&lt;&gt;"")</formula>
    </cfRule>
  </conditionalFormatting>
  <conditionalFormatting sqref="Q3471">
    <cfRule type="expression" dxfId="0" priority="2465">
      <formula>(#REF!&lt;&gt;"")*(#REF!&lt;&gt;"")</formula>
    </cfRule>
    <cfRule type="expression" dxfId="1" priority="2466">
      <formula>(#REF!&lt;&gt;"")*(#REF!&lt;&gt;"")</formula>
    </cfRule>
  </conditionalFormatting>
  <conditionalFormatting sqref="R3471">
    <cfRule type="expression" dxfId="0" priority="2379">
      <formula>(#REF!&lt;&gt;"")*(#REF!&lt;&gt;"")</formula>
    </cfRule>
  </conditionalFormatting>
  <conditionalFormatting sqref="A3472">
    <cfRule type="expression" dxfId="0" priority="2462">
      <formula>(#REF!&lt;&gt;"")*(#REF!&lt;&gt;"")</formula>
    </cfRule>
  </conditionalFormatting>
  <conditionalFormatting sqref="H3472">
    <cfRule type="expression" dxfId="0" priority="2463">
      <formula>(#REF!&lt;&gt;"")*(#REF!&lt;&gt;"")</formula>
    </cfRule>
  </conditionalFormatting>
  <conditionalFormatting sqref="J3472">
    <cfRule type="expression" dxfId="0" priority="2460">
      <formula>(#REF!&lt;&gt;"")*(#REF!&lt;&gt;"")</formula>
    </cfRule>
  </conditionalFormatting>
  <conditionalFormatting sqref="K3472">
    <cfRule type="expression" dxfId="0" priority="2459">
      <formula>(#REF!&lt;&gt;"")*(#REF!&lt;&gt;"")</formula>
    </cfRule>
  </conditionalFormatting>
  <conditionalFormatting sqref="L3472">
    <cfRule type="expression" dxfId="0" priority="2461">
      <formula>(#REF!&lt;&gt;"")*(#REF!&lt;&gt;"")</formula>
    </cfRule>
  </conditionalFormatting>
  <conditionalFormatting sqref="M3472">
    <cfRule type="expression" dxfId="0" priority="2457">
      <formula>(#REF!&lt;&gt;"")*(#REF!&lt;&gt;"")</formula>
    </cfRule>
  </conditionalFormatting>
  <conditionalFormatting sqref="N3472">
    <cfRule type="expression" dxfId="0" priority="2458">
      <formula>(#REF!&lt;&gt;"")*(#REF!&lt;&gt;"")</formula>
    </cfRule>
  </conditionalFormatting>
  <conditionalFormatting sqref="O3472">
    <cfRule type="expression" dxfId="0" priority="2456">
      <formula>(#REF!&lt;&gt;"")*(#REF!&lt;&gt;"")</formula>
    </cfRule>
  </conditionalFormatting>
  <conditionalFormatting sqref="P3472">
    <cfRule type="expression" dxfId="1" priority="2453">
      <formula>(#REF!&lt;&gt;"")*(#REF!&lt;&gt;"")</formula>
    </cfRule>
  </conditionalFormatting>
  <conditionalFormatting sqref="Q3472">
    <cfRule type="expression" dxfId="0" priority="2454">
      <formula>(#REF!&lt;&gt;"")*(#REF!&lt;&gt;"")</formula>
    </cfRule>
    <cfRule type="expression" dxfId="1" priority="2455">
      <formula>(#REF!&lt;&gt;"")*(#REF!&lt;&gt;"")</formula>
    </cfRule>
  </conditionalFormatting>
  <conditionalFormatting sqref="R3472">
    <cfRule type="expression" dxfId="0" priority="2380">
      <formula>(#REF!&lt;&gt;"")*(#REF!&lt;&gt;"")</formula>
    </cfRule>
  </conditionalFormatting>
  <conditionalFormatting sqref="A3473">
    <cfRule type="expression" dxfId="0" priority="2451">
      <formula>(#REF!&lt;&gt;"")*(#REF!&lt;&gt;"")</formula>
    </cfRule>
  </conditionalFormatting>
  <conditionalFormatting sqref="H3473">
    <cfRule type="expression" dxfId="0" priority="2452">
      <formula>(#REF!&lt;&gt;"")*(#REF!&lt;&gt;"")</formula>
    </cfRule>
  </conditionalFormatting>
  <conditionalFormatting sqref="J3473">
    <cfRule type="expression" dxfId="0" priority="2449">
      <formula>(#REF!&lt;&gt;"")*(#REF!&lt;&gt;"")</formula>
    </cfRule>
  </conditionalFormatting>
  <conditionalFormatting sqref="K3473">
    <cfRule type="expression" dxfId="0" priority="2448">
      <formula>(#REF!&lt;&gt;"")*(#REF!&lt;&gt;"")</formula>
    </cfRule>
  </conditionalFormatting>
  <conditionalFormatting sqref="L3473">
    <cfRule type="expression" dxfId="0" priority="2450">
      <formula>(#REF!&lt;&gt;"")*(#REF!&lt;&gt;"")</formula>
    </cfRule>
  </conditionalFormatting>
  <conditionalFormatting sqref="M3473">
    <cfRule type="expression" dxfId="0" priority="2446">
      <formula>(#REF!&lt;&gt;"")*(#REF!&lt;&gt;"")</formula>
    </cfRule>
  </conditionalFormatting>
  <conditionalFormatting sqref="N3473">
    <cfRule type="expression" dxfId="0" priority="2447">
      <formula>(#REF!&lt;&gt;"")*(#REF!&lt;&gt;"")</formula>
    </cfRule>
  </conditionalFormatting>
  <conditionalFormatting sqref="O3473">
    <cfRule type="expression" dxfId="0" priority="2445">
      <formula>(#REF!&lt;&gt;"")*(#REF!&lt;&gt;"")</formula>
    </cfRule>
  </conditionalFormatting>
  <conditionalFormatting sqref="P3473">
    <cfRule type="expression" dxfId="1" priority="2442">
      <formula>(#REF!&lt;&gt;"")*(#REF!&lt;&gt;"")</formula>
    </cfRule>
  </conditionalFormatting>
  <conditionalFormatting sqref="Q3473">
    <cfRule type="expression" dxfId="0" priority="2443">
      <formula>(#REF!&lt;&gt;"")*(#REF!&lt;&gt;"")</formula>
    </cfRule>
    <cfRule type="expression" dxfId="1" priority="2444">
      <formula>(#REF!&lt;&gt;"")*(#REF!&lt;&gt;"")</formula>
    </cfRule>
  </conditionalFormatting>
  <conditionalFormatting sqref="R3473">
    <cfRule type="expression" dxfId="0" priority="2381">
      <formula>(#REF!&lt;&gt;"")*(#REF!&lt;&gt;"")</formula>
    </cfRule>
  </conditionalFormatting>
  <conditionalFormatting sqref="A3474">
    <cfRule type="expression" dxfId="0" priority="2440">
      <formula>(#REF!&lt;&gt;"")*(#REF!&lt;&gt;"")</formula>
    </cfRule>
  </conditionalFormatting>
  <conditionalFormatting sqref="H3474">
    <cfRule type="expression" dxfId="0" priority="2441">
      <formula>(#REF!&lt;&gt;"")*(#REF!&lt;&gt;"")</formula>
    </cfRule>
  </conditionalFormatting>
  <conditionalFormatting sqref="J3474">
    <cfRule type="expression" dxfId="0" priority="2438">
      <formula>(#REF!&lt;&gt;"")*(#REF!&lt;&gt;"")</formula>
    </cfRule>
  </conditionalFormatting>
  <conditionalFormatting sqref="K3474">
    <cfRule type="expression" dxfId="0" priority="2437">
      <formula>(#REF!&lt;&gt;"")*(#REF!&lt;&gt;"")</formula>
    </cfRule>
  </conditionalFormatting>
  <conditionalFormatting sqref="L3474">
    <cfRule type="expression" dxfId="0" priority="2439">
      <formula>(#REF!&lt;&gt;"")*(#REF!&lt;&gt;"")</formula>
    </cfRule>
  </conditionalFormatting>
  <conditionalFormatting sqref="M3474">
    <cfRule type="expression" dxfId="0" priority="2436">
      <formula>(#REF!&lt;&gt;"")*(#REF!&lt;&gt;"")</formula>
    </cfRule>
  </conditionalFormatting>
  <conditionalFormatting sqref="N3474">
    <cfRule type="expression" dxfId="0" priority="2391">
      <formula>(#REF!&lt;&gt;"")*(#REF!&lt;&gt;"")</formula>
    </cfRule>
  </conditionalFormatting>
  <conditionalFormatting sqref="O3474">
    <cfRule type="expression" dxfId="0" priority="2435">
      <formula>(#REF!&lt;&gt;"")*(#REF!&lt;&gt;"")</formula>
    </cfRule>
  </conditionalFormatting>
  <conditionalFormatting sqref="P3474">
    <cfRule type="expression" dxfId="1" priority="2432">
      <formula>(#REF!&lt;&gt;"")*(#REF!&lt;&gt;"")</formula>
    </cfRule>
  </conditionalFormatting>
  <conditionalFormatting sqref="Q3474">
    <cfRule type="expression" dxfId="0" priority="2433">
      <formula>(#REF!&lt;&gt;"")*(#REF!&lt;&gt;"")</formula>
    </cfRule>
    <cfRule type="expression" dxfId="1" priority="2434">
      <formula>(#REF!&lt;&gt;"")*(#REF!&lt;&gt;"")</formula>
    </cfRule>
  </conditionalFormatting>
  <conditionalFormatting sqref="R3474">
    <cfRule type="expression" dxfId="0" priority="2382">
      <formula>(#REF!&lt;&gt;"")*(#REF!&lt;&gt;"")</formula>
    </cfRule>
  </conditionalFormatting>
  <conditionalFormatting sqref="A3475">
    <cfRule type="expression" dxfId="0" priority="2420">
      <formula>(#REF!&lt;&gt;"")*(#REF!&lt;&gt;"")</formula>
    </cfRule>
  </conditionalFormatting>
  <conditionalFormatting sqref="H3475">
    <cfRule type="expression" dxfId="0" priority="2421">
      <formula>(#REF!&lt;&gt;"")*(#REF!&lt;&gt;"")</formula>
    </cfRule>
  </conditionalFormatting>
  <conditionalFormatting sqref="J3475">
    <cfRule type="expression" dxfId="0" priority="2418">
      <formula>(#REF!&lt;&gt;"")*(#REF!&lt;&gt;"")</formula>
    </cfRule>
  </conditionalFormatting>
  <conditionalFormatting sqref="K3475">
    <cfRule type="expression" dxfId="0" priority="2417">
      <formula>(#REF!&lt;&gt;"")*(#REF!&lt;&gt;"")</formula>
    </cfRule>
  </conditionalFormatting>
  <conditionalFormatting sqref="L3475">
    <cfRule type="expression" dxfId="0" priority="2419">
      <formula>(#REF!&lt;&gt;"")*(#REF!&lt;&gt;"")</formula>
    </cfRule>
  </conditionalFormatting>
  <conditionalFormatting sqref="M3475">
    <cfRule type="expression" dxfId="0" priority="2416">
      <formula>(#REF!&lt;&gt;"")*(#REF!&lt;&gt;"")</formula>
    </cfRule>
  </conditionalFormatting>
  <conditionalFormatting sqref="N3475">
    <cfRule type="expression" dxfId="0" priority="2390">
      <formula>(#REF!&lt;&gt;"")*(#REF!&lt;&gt;"")</formula>
    </cfRule>
  </conditionalFormatting>
  <conditionalFormatting sqref="O3475">
    <cfRule type="expression" dxfId="0" priority="2415">
      <formula>(#REF!&lt;&gt;"")*(#REF!&lt;&gt;"")</formula>
    </cfRule>
  </conditionalFormatting>
  <conditionalFormatting sqref="P3475">
    <cfRule type="expression" dxfId="1" priority="2412">
      <formula>(#REF!&lt;&gt;"")*(#REF!&lt;&gt;"")</formula>
    </cfRule>
  </conditionalFormatting>
  <conditionalFormatting sqref="Q3475">
    <cfRule type="expression" dxfId="0" priority="2413">
      <formula>(#REF!&lt;&gt;"")*(#REF!&lt;&gt;"")</formula>
    </cfRule>
    <cfRule type="expression" dxfId="1" priority="2414">
      <formula>(#REF!&lt;&gt;"")*(#REF!&lt;&gt;"")</formula>
    </cfRule>
  </conditionalFormatting>
  <conditionalFormatting sqref="R3475">
    <cfRule type="expression" dxfId="0" priority="2383">
      <formula>(#REF!&lt;&gt;"")*(#REF!&lt;&gt;"")</formula>
    </cfRule>
  </conditionalFormatting>
  <conditionalFormatting sqref="A3476">
    <cfRule type="expression" dxfId="0" priority="2430">
      <formula>(#REF!&lt;&gt;"")*(#REF!&lt;&gt;"")</formula>
    </cfRule>
  </conditionalFormatting>
  <conditionalFormatting sqref="H3476">
    <cfRule type="expression" dxfId="0" priority="2431">
      <formula>(#REF!&lt;&gt;"")*(#REF!&lt;&gt;"")</formula>
    </cfRule>
  </conditionalFormatting>
  <conditionalFormatting sqref="J3476">
    <cfRule type="expression" dxfId="0" priority="2428">
      <formula>(#REF!&lt;&gt;"")*(#REF!&lt;&gt;"")</formula>
    </cfRule>
  </conditionalFormatting>
  <conditionalFormatting sqref="K3476">
    <cfRule type="expression" dxfId="0" priority="2427">
      <formula>(#REF!&lt;&gt;"")*(#REF!&lt;&gt;"")</formula>
    </cfRule>
  </conditionalFormatting>
  <conditionalFormatting sqref="L3476">
    <cfRule type="expression" dxfId="0" priority="2429">
      <formula>(#REF!&lt;&gt;"")*(#REF!&lt;&gt;"")</formula>
    </cfRule>
  </conditionalFormatting>
  <conditionalFormatting sqref="M3476">
    <cfRule type="expression" dxfId="0" priority="2426">
      <formula>(#REF!&lt;&gt;"")*(#REF!&lt;&gt;"")</formula>
    </cfRule>
  </conditionalFormatting>
  <conditionalFormatting sqref="N3476">
    <cfRule type="expression" dxfId="0" priority="2388">
      <formula>(#REF!&lt;&gt;"")*(#REF!&lt;&gt;"")</formula>
    </cfRule>
  </conditionalFormatting>
  <conditionalFormatting sqref="O3476">
    <cfRule type="expression" dxfId="0" priority="2425">
      <formula>(#REF!&lt;&gt;"")*(#REF!&lt;&gt;"")</formula>
    </cfRule>
  </conditionalFormatting>
  <conditionalFormatting sqref="P3476">
    <cfRule type="expression" dxfId="1" priority="2422">
      <formula>(#REF!&lt;&gt;"")*(#REF!&lt;&gt;"")</formula>
    </cfRule>
  </conditionalFormatting>
  <conditionalFormatting sqref="Q3476">
    <cfRule type="expression" dxfId="0" priority="2423">
      <formula>(#REF!&lt;&gt;"")*(#REF!&lt;&gt;"")</formula>
    </cfRule>
    <cfRule type="expression" dxfId="1" priority="2424">
      <formula>(#REF!&lt;&gt;"")*(#REF!&lt;&gt;"")</formula>
    </cfRule>
  </conditionalFormatting>
  <conditionalFormatting sqref="R3476">
    <cfRule type="expression" dxfId="0" priority="2384">
      <formula>(#REF!&lt;&gt;"")*(#REF!&lt;&gt;"")</formula>
    </cfRule>
  </conditionalFormatting>
  <conditionalFormatting sqref="A3477">
    <cfRule type="expression" dxfId="0" priority="2410">
      <formula>(#REF!&lt;&gt;"")*(#REF!&lt;&gt;"")</formula>
    </cfRule>
  </conditionalFormatting>
  <conditionalFormatting sqref="H3477">
    <cfRule type="expression" dxfId="0" priority="2411">
      <formula>(#REF!&lt;&gt;"")*(#REF!&lt;&gt;"")</formula>
    </cfRule>
  </conditionalFormatting>
  <conditionalFormatting sqref="J3477">
    <cfRule type="expression" dxfId="0" priority="2408">
      <formula>(#REF!&lt;&gt;"")*(#REF!&lt;&gt;"")</formula>
    </cfRule>
  </conditionalFormatting>
  <conditionalFormatting sqref="K3477">
    <cfRule type="expression" dxfId="0" priority="2407">
      <formula>(#REF!&lt;&gt;"")*(#REF!&lt;&gt;"")</formula>
    </cfRule>
  </conditionalFormatting>
  <conditionalFormatting sqref="L3477">
    <cfRule type="expression" dxfId="0" priority="2409">
      <formula>(#REF!&lt;&gt;"")*(#REF!&lt;&gt;"")</formula>
    </cfRule>
  </conditionalFormatting>
  <conditionalFormatting sqref="M3477">
    <cfRule type="expression" dxfId="0" priority="2406">
      <formula>(#REF!&lt;&gt;"")*(#REF!&lt;&gt;"")</formula>
    </cfRule>
  </conditionalFormatting>
  <conditionalFormatting sqref="N3477">
    <cfRule type="expression" dxfId="0" priority="2389">
      <formula>(#REF!&lt;&gt;"")*(#REF!&lt;&gt;"")</formula>
    </cfRule>
  </conditionalFormatting>
  <conditionalFormatting sqref="O3477">
    <cfRule type="expression" dxfId="0" priority="2405">
      <formula>(#REF!&lt;&gt;"")*(#REF!&lt;&gt;"")</formula>
    </cfRule>
  </conditionalFormatting>
  <conditionalFormatting sqref="P3477">
    <cfRule type="expression" dxfId="1" priority="2402">
      <formula>(#REF!&lt;&gt;"")*(#REF!&lt;&gt;"")</formula>
    </cfRule>
  </conditionalFormatting>
  <conditionalFormatting sqref="Q3477">
    <cfRule type="expression" dxfId="0" priority="2403">
      <formula>(#REF!&lt;&gt;"")*(#REF!&lt;&gt;"")</formula>
    </cfRule>
    <cfRule type="expression" dxfId="1" priority="2404">
      <formula>(#REF!&lt;&gt;"")*(#REF!&lt;&gt;"")</formula>
    </cfRule>
  </conditionalFormatting>
  <conditionalFormatting sqref="R3477">
    <cfRule type="expression" dxfId="0" priority="2385">
      <formula>(#REF!&lt;&gt;"")*(#REF!&lt;&gt;"")</formula>
    </cfRule>
  </conditionalFormatting>
  <conditionalFormatting sqref="A3478">
    <cfRule type="expression" dxfId="0" priority="2400">
      <formula>(#REF!&lt;&gt;"")*(#REF!&lt;&gt;"")</formula>
    </cfRule>
  </conditionalFormatting>
  <conditionalFormatting sqref="H3478">
    <cfRule type="expression" dxfId="0" priority="2401">
      <formula>(#REF!&lt;&gt;"")*(#REF!&lt;&gt;"")</formula>
    </cfRule>
  </conditionalFormatting>
  <conditionalFormatting sqref="J3478">
    <cfRule type="expression" dxfId="0" priority="2398">
      <formula>(#REF!&lt;&gt;"")*(#REF!&lt;&gt;"")</formula>
    </cfRule>
  </conditionalFormatting>
  <conditionalFormatting sqref="K3478">
    <cfRule type="expression" dxfId="0" priority="2397">
      <formula>(#REF!&lt;&gt;"")*(#REF!&lt;&gt;"")</formula>
    </cfRule>
  </conditionalFormatting>
  <conditionalFormatting sqref="L3478">
    <cfRule type="expression" dxfId="0" priority="2399">
      <formula>(#REF!&lt;&gt;"")*(#REF!&lt;&gt;"")</formula>
    </cfRule>
  </conditionalFormatting>
  <conditionalFormatting sqref="M3478">
    <cfRule type="expression" dxfId="0" priority="2396">
      <formula>(#REF!&lt;&gt;"")*(#REF!&lt;&gt;"")</formula>
    </cfRule>
  </conditionalFormatting>
  <conditionalFormatting sqref="N3478">
    <cfRule type="expression" dxfId="0" priority="2387">
      <formula>(#REF!&lt;&gt;"")*(#REF!&lt;&gt;"")</formula>
    </cfRule>
  </conditionalFormatting>
  <conditionalFormatting sqref="O3478">
    <cfRule type="expression" dxfId="0" priority="2395">
      <formula>(#REF!&lt;&gt;"")*(#REF!&lt;&gt;"")</formula>
    </cfRule>
  </conditionalFormatting>
  <conditionalFormatting sqref="P3478">
    <cfRule type="expression" dxfId="1" priority="2392">
      <formula>(#REF!&lt;&gt;"")*(#REF!&lt;&gt;"")</formula>
    </cfRule>
  </conditionalFormatting>
  <conditionalFormatting sqref="Q3478">
    <cfRule type="expression" dxfId="0" priority="2393">
      <formula>(#REF!&lt;&gt;"")*(#REF!&lt;&gt;"")</formula>
    </cfRule>
    <cfRule type="expression" dxfId="1" priority="2394">
      <formula>(#REF!&lt;&gt;"")*(#REF!&lt;&gt;"")</formula>
    </cfRule>
  </conditionalFormatting>
  <conditionalFormatting sqref="R3478">
    <cfRule type="expression" dxfId="0" priority="2386">
      <formula>(#REF!&lt;&gt;"")*(#REF!&lt;&gt;"")</formula>
    </cfRule>
  </conditionalFormatting>
  <conditionalFormatting sqref="A3479">
    <cfRule type="expression" dxfId="0" priority="2339">
      <formula>(#REF!&lt;&gt;"")*(#REF!&lt;&gt;"")</formula>
    </cfRule>
  </conditionalFormatting>
  <conditionalFormatting sqref="H3479">
    <cfRule type="expression" dxfId="0" priority="2340">
      <formula>(#REF!&lt;&gt;"")*(#REF!&lt;&gt;"")</formula>
    </cfRule>
  </conditionalFormatting>
  <conditionalFormatting sqref="J3479">
    <cfRule type="expression" dxfId="0" priority="2338">
      <formula>(#REF!&lt;&gt;"")*(#REF!&lt;&gt;"")</formula>
    </cfRule>
  </conditionalFormatting>
  <conditionalFormatting sqref="L3479">
    <cfRule type="expression" dxfId="0" priority="2342">
      <formula>(#REF!&lt;&gt;"")*(#REF!&lt;&gt;"")</formula>
    </cfRule>
  </conditionalFormatting>
  <conditionalFormatting sqref="M3479">
    <cfRule type="expression" dxfId="0" priority="2341">
      <formula>(#REF!&lt;&gt;"")*(#REF!&lt;&gt;"")</formula>
    </cfRule>
  </conditionalFormatting>
  <conditionalFormatting sqref="P3479">
    <cfRule type="expression" dxfId="1" priority="2337">
      <formula>(#REF!&lt;&gt;"")*(#REF!&lt;&gt;"")</formula>
    </cfRule>
  </conditionalFormatting>
  <conditionalFormatting sqref="A3480">
    <cfRule type="expression" dxfId="0" priority="2344">
      <formula>(#REF!&lt;&gt;"")*(#REF!&lt;&gt;"")</formula>
    </cfRule>
  </conditionalFormatting>
  <conditionalFormatting sqref="H3480">
    <cfRule type="expression" dxfId="0" priority="2345">
      <formula>(#REF!&lt;&gt;"")*(#REF!&lt;&gt;"")</formula>
    </cfRule>
    <cfRule type="expression" dxfId="0" priority="2199">
      <formula>(#REF!&lt;&gt;"")*(#REF!&lt;&gt;"")</formula>
    </cfRule>
    <cfRule type="expression" dxfId="0" priority="2198">
      <formula>(#REF!&lt;&gt;"")*(#REF!&lt;&gt;"")</formula>
    </cfRule>
    <cfRule type="expression" dxfId="0" priority="2197">
      <formula>(#REF!&lt;&gt;"")*(#REF!&lt;&gt;"")</formula>
    </cfRule>
    <cfRule type="expression" dxfId="0" priority="2196">
      <formula>(#REF!&lt;&gt;"")*(#REF!&lt;&gt;"")</formula>
    </cfRule>
  </conditionalFormatting>
  <conditionalFormatting sqref="J3480">
    <cfRule type="expression" dxfId="0" priority="2343">
      <formula>(#REF!&lt;&gt;"")*(#REF!&lt;&gt;"")</formula>
    </cfRule>
  </conditionalFormatting>
  <conditionalFormatting sqref="P3480">
    <cfRule type="expression" dxfId="1" priority="2336">
      <formula>(#REF!&lt;&gt;"")*(#REF!&lt;&gt;"")</formula>
    </cfRule>
  </conditionalFormatting>
  <conditionalFormatting sqref="A3481">
    <cfRule type="expression" dxfId="0" priority="2308">
      <formula>(#REF!&lt;&gt;"")*(#REF!&lt;&gt;"")</formula>
    </cfRule>
  </conditionalFormatting>
  <conditionalFormatting sqref="H3481">
    <cfRule type="expression" dxfId="0" priority="2309">
      <formula>(#REF!&lt;&gt;"")*(#REF!&lt;&gt;"")</formula>
    </cfRule>
    <cfRule type="expression" dxfId="0" priority="2202">
      <formula>(#REF!&lt;&gt;"")*(#REF!&lt;&gt;"")</formula>
    </cfRule>
    <cfRule type="expression" dxfId="0" priority="2201">
      <formula>(#REF!&lt;&gt;"")*(#REF!&lt;&gt;"")</formula>
    </cfRule>
    <cfRule type="expression" dxfId="0" priority="2200">
      <formula>(#REF!&lt;&gt;"")*(#REF!&lt;&gt;"")</formula>
    </cfRule>
  </conditionalFormatting>
  <conditionalFormatting sqref="J3481">
    <cfRule type="expression" dxfId="0" priority="2307">
      <formula>(#REF!&lt;&gt;"")*(#REF!&lt;&gt;"")</formula>
    </cfRule>
  </conditionalFormatting>
  <conditionalFormatting sqref="L3481">
    <cfRule type="expression" dxfId="0" priority="2314">
      <formula>(#REF!&lt;&gt;"")*(#REF!&lt;&gt;"")</formula>
    </cfRule>
  </conditionalFormatting>
  <conditionalFormatting sqref="M3481">
    <cfRule type="expression" dxfId="0" priority="2313">
      <formula>(#REF!&lt;&gt;"")*(#REF!&lt;&gt;"")</formula>
    </cfRule>
  </conditionalFormatting>
  <conditionalFormatting sqref="N3481">
    <cfRule type="expression" dxfId="0" priority="2310">
      <formula>(#REF!&lt;&gt;"")*(#REF!&lt;&gt;"")</formula>
    </cfRule>
  </conditionalFormatting>
  <conditionalFormatting sqref="O3481">
    <cfRule type="expression" dxfId="0" priority="2315">
      <formula>(#REF!&lt;&gt;"")*(#REF!&lt;&gt;"")</formula>
    </cfRule>
  </conditionalFormatting>
  <conditionalFormatting sqref="P3481">
    <cfRule type="expression" dxfId="1" priority="2306">
      <formula>(#REF!&lt;&gt;"")*(#REF!&lt;&gt;"")</formula>
    </cfRule>
  </conditionalFormatting>
  <conditionalFormatting sqref="Q3481">
    <cfRule type="expression" dxfId="0" priority="2311">
      <formula>(#REF!&lt;&gt;"")*(#REF!&lt;&gt;"")</formula>
    </cfRule>
    <cfRule type="expression" dxfId="1" priority="2312">
      <formula>(#REF!&lt;&gt;"")*(#REF!&lt;&gt;"")</formula>
    </cfRule>
  </conditionalFormatting>
  <conditionalFormatting sqref="A3482">
    <cfRule type="expression" dxfId="0" priority="2333">
      <formula>(#REF!&lt;&gt;"")*(#REF!&lt;&gt;"")</formula>
    </cfRule>
  </conditionalFormatting>
  <conditionalFormatting sqref="H3482">
    <cfRule type="expression" dxfId="0" priority="2334">
      <formula>(#REF!&lt;&gt;"")*(#REF!&lt;&gt;"")</formula>
    </cfRule>
    <cfRule type="expression" dxfId="0" priority="2204">
      <formula>(#REF!&lt;&gt;"")*(#REF!&lt;&gt;"")</formula>
    </cfRule>
    <cfRule type="expression" dxfId="0" priority="2203">
      <formula>(#REF!&lt;&gt;"")*(#REF!&lt;&gt;"")</formula>
    </cfRule>
  </conditionalFormatting>
  <conditionalFormatting sqref="J3482">
    <cfRule type="expression" dxfId="0" priority="2332">
      <formula>(#REF!&lt;&gt;"")*(#REF!&lt;&gt;"")</formula>
    </cfRule>
  </conditionalFormatting>
  <conditionalFormatting sqref="L3482">
    <cfRule type="expression" dxfId="0" priority="2335">
      <formula>(#REF!&lt;&gt;"")*(#REF!&lt;&gt;"")</formula>
    </cfRule>
  </conditionalFormatting>
  <conditionalFormatting sqref="M3482">
    <cfRule type="expression" dxfId="0" priority="2330">
      <formula>(#REF!&lt;&gt;"")*(#REF!&lt;&gt;"")</formula>
    </cfRule>
  </conditionalFormatting>
  <conditionalFormatting sqref="N3482">
    <cfRule type="expression" dxfId="0" priority="2327">
      <formula>(#REF!&lt;&gt;"")*(#REF!&lt;&gt;"")</formula>
    </cfRule>
  </conditionalFormatting>
  <conditionalFormatting sqref="O3482">
    <cfRule type="expression" dxfId="0" priority="2331">
      <formula>(#REF!&lt;&gt;"")*(#REF!&lt;&gt;"")</formula>
    </cfRule>
  </conditionalFormatting>
  <conditionalFormatting sqref="P3482">
    <cfRule type="expression" dxfId="1" priority="2326">
      <formula>(#REF!&lt;&gt;"")*(#REF!&lt;&gt;"")</formula>
    </cfRule>
  </conditionalFormatting>
  <conditionalFormatting sqref="Q3482">
    <cfRule type="expression" dxfId="0" priority="2328">
      <formula>(#REF!&lt;&gt;"")*(#REF!&lt;&gt;"")</formula>
    </cfRule>
    <cfRule type="expression" dxfId="1" priority="2329">
      <formula>(#REF!&lt;&gt;"")*(#REF!&lt;&gt;"")</formula>
    </cfRule>
  </conditionalFormatting>
  <conditionalFormatting sqref="A3483">
    <cfRule type="expression" dxfId="0" priority="2303">
      <formula>(#REF!&lt;&gt;"")*(#REF!&lt;&gt;"")</formula>
    </cfRule>
  </conditionalFormatting>
  <conditionalFormatting sqref="H3483">
    <cfRule type="expression" dxfId="0" priority="2304">
      <formula>(#REF!&lt;&gt;"")*(#REF!&lt;&gt;"")</formula>
    </cfRule>
    <cfRule type="expression" dxfId="0" priority="2205">
      <formula>(#REF!&lt;&gt;"")*(#REF!&lt;&gt;"")</formula>
    </cfRule>
  </conditionalFormatting>
  <conditionalFormatting sqref="J3483">
    <cfRule type="expression" dxfId="0" priority="2302">
      <formula>(#REF!&lt;&gt;"")*(#REF!&lt;&gt;"")</formula>
    </cfRule>
  </conditionalFormatting>
  <conditionalFormatting sqref="L3483">
    <cfRule type="expression" dxfId="0" priority="2305">
      <formula>(#REF!&lt;&gt;"")*(#REF!&lt;&gt;"")</formula>
    </cfRule>
  </conditionalFormatting>
  <conditionalFormatting sqref="M3483">
    <cfRule type="expression" dxfId="0" priority="2300">
      <formula>(#REF!&lt;&gt;"")*(#REF!&lt;&gt;"")</formula>
    </cfRule>
  </conditionalFormatting>
  <conditionalFormatting sqref="N3483">
    <cfRule type="expression" dxfId="0" priority="2297">
      <formula>(#REF!&lt;&gt;"")*(#REF!&lt;&gt;"")</formula>
    </cfRule>
  </conditionalFormatting>
  <conditionalFormatting sqref="O3483">
    <cfRule type="expression" dxfId="0" priority="2301">
      <formula>(#REF!&lt;&gt;"")*(#REF!&lt;&gt;"")</formula>
    </cfRule>
  </conditionalFormatting>
  <conditionalFormatting sqref="P3483">
    <cfRule type="expression" dxfId="1" priority="2296">
      <formula>(#REF!&lt;&gt;"")*(#REF!&lt;&gt;"")</formula>
    </cfRule>
  </conditionalFormatting>
  <conditionalFormatting sqref="Q3483">
    <cfRule type="expression" dxfId="0" priority="2298">
      <formula>(#REF!&lt;&gt;"")*(#REF!&lt;&gt;"")</formula>
    </cfRule>
    <cfRule type="expression" dxfId="1" priority="2299">
      <formula>(#REF!&lt;&gt;"")*(#REF!&lt;&gt;"")</formula>
    </cfRule>
  </conditionalFormatting>
  <conditionalFormatting sqref="A3484">
    <cfRule type="expression" dxfId="0" priority="2323">
      <formula>(#REF!&lt;&gt;"")*(#REF!&lt;&gt;"")</formula>
    </cfRule>
  </conditionalFormatting>
  <conditionalFormatting sqref="H3484">
    <cfRule type="expression" dxfId="0" priority="2324">
      <formula>(#REF!&lt;&gt;"")*(#REF!&lt;&gt;"")</formula>
    </cfRule>
  </conditionalFormatting>
  <conditionalFormatting sqref="J3484">
    <cfRule type="expression" dxfId="0" priority="2322">
      <formula>(#REF!&lt;&gt;"")*(#REF!&lt;&gt;"")</formula>
    </cfRule>
  </conditionalFormatting>
  <conditionalFormatting sqref="L3484">
    <cfRule type="expression" dxfId="0" priority="2325">
      <formula>(#REF!&lt;&gt;"")*(#REF!&lt;&gt;"")</formula>
    </cfRule>
  </conditionalFormatting>
  <conditionalFormatting sqref="M3484">
    <cfRule type="expression" dxfId="0" priority="2320">
      <formula>(#REF!&lt;&gt;"")*(#REF!&lt;&gt;"")</formula>
    </cfRule>
  </conditionalFormatting>
  <conditionalFormatting sqref="N3484">
    <cfRule type="expression" dxfId="0" priority="2317">
      <formula>(#REF!&lt;&gt;"")*(#REF!&lt;&gt;"")</formula>
    </cfRule>
  </conditionalFormatting>
  <conditionalFormatting sqref="O3484">
    <cfRule type="expression" dxfId="0" priority="2321">
      <formula>(#REF!&lt;&gt;"")*(#REF!&lt;&gt;"")</formula>
    </cfRule>
  </conditionalFormatting>
  <conditionalFormatting sqref="P3484">
    <cfRule type="expression" dxfId="1" priority="2316">
      <formula>(#REF!&lt;&gt;"")*(#REF!&lt;&gt;"")</formula>
    </cfRule>
  </conditionalFormatting>
  <conditionalFormatting sqref="Q3484">
    <cfRule type="expression" dxfId="0" priority="2318">
      <formula>(#REF!&lt;&gt;"")*(#REF!&lt;&gt;"")</formula>
    </cfRule>
    <cfRule type="expression" dxfId="1" priority="2319">
      <formula>(#REF!&lt;&gt;"")*(#REF!&lt;&gt;"")</formula>
    </cfRule>
  </conditionalFormatting>
  <conditionalFormatting sqref="A3485">
    <cfRule type="expression" dxfId="0" priority="2292">
      <formula>(#REF!&lt;&gt;"")*(#REF!&lt;&gt;"")</formula>
    </cfRule>
  </conditionalFormatting>
  <conditionalFormatting sqref="M3487">
    <cfRule type="expression" dxfId="0" priority="1553">
      <formula>(#REF!&lt;&gt;"")*(#REF!&lt;&gt;"")</formula>
    </cfRule>
  </conditionalFormatting>
  <conditionalFormatting sqref="P3487:Q3487">
    <cfRule type="expression" dxfId="1" priority="1554">
      <formula>(#REF!&lt;&gt;"")*(#REF!&lt;&gt;"")</formula>
    </cfRule>
  </conditionalFormatting>
  <conditionalFormatting sqref="R3487">
    <cfRule type="expression" dxfId="0" priority="1254">
      <formula>(#REF!&lt;&gt;"")*(#REF!&lt;&gt;"")</formula>
    </cfRule>
  </conditionalFormatting>
  <conditionalFormatting sqref="P3488:Q3488">
    <cfRule type="expression" dxfId="1" priority="1549">
      <formula>(#REF!&lt;&gt;"")*(#REF!&lt;&gt;"")</formula>
    </cfRule>
  </conditionalFormatting>
  <conditionalFormatting sqref="R3488">
    <cfRule type="expression" dxfId="0" priority="1253">
      <formula>(#REF!&lt;&gt;"")*(#REF!&lt;&gt;"")</formula>
    </cfRule>
  </conditionalFormatting>
  <conditionalFormatting sqref="N3489">
    <cfRule type="expression" dxfId="0" priority="644">
      <formula>(#REF!&lt;&gt;"")*(#REF!&lt;&gt;"")</formula>
    </cfRule>
  </conditionalFormatting>
  <conditionalFormatting sqref="O3489">
    <cfRule type="expression" dxfId="0" priority="643">
      <formula>(#REF!&lt;&gt;"")*(#REF!&lt;&gt;"")</formula>
    </cfRule>
  </conditionalFormatting>
  <conditionalFormatting sqref="P3489">
    <cfRule type="expression" dxfId="1" priority="642">
      <formula>(#REF!&lt;&gt;"")*(#REF!&lt;&gt;"")</formula>
    </cfRule>
  </conditionalFormatting>
  <conditionalFormatting sqref="Q3489">
    <cfRule type="expression" dxfId="0" priority="645">
      <formula>(#REF!&lt;&gt;"")*(#REF!&lt;&gt;"")</formula>
    </cfRule>
    <cfRule type="expression" dxfId="1" priority="646">
      <formula>(#REF!&lt;&gt;"")*(#REF!&lt;&gt;"")</formula>
    </cfRule>
  </conditionalFormatting>
  <conditionalFormatting sqref="R3489">
    <cfRule type="expression" dxfId="0" priority="518">
      <formula>(#REF!&lt;&gt;"")*(#REF!&lt;&gt;"")</formula>
    </cfRule>
  </conditionalFormatting>
  <conditionalFormatting sqref="A3490">
    <cfRule type="expression" dxfId="0" priority="2289">
      <formula>(#REF!&lt;&gt;"")*(#REF!&lt;&gt;"")</formula>
    </cfRule>
  </conditionalFormatting>
  <conditionalFormatting sqref="J3490">
    <cfRule type="expression" dxfId="0" priority="2287">
      <formula>(#REF!&lt;&gt;"")*(#REF!&lt;&gt;"")</formula>
    </cfRule>
  </conditionalFormatting>
  <conditionalFormatting sqref="L3490">
    <cfRule type="expression" dxfId="0" priority="2288">
      <formula>(#REF!&lt;&gt;"")*(#REF!&lt;&gt;"")</formula>
    </cfRule>
  </conditionalFormatting>
  <conditionalFormatting sqref="M3490">
    <cfRule type="expression" dxfId="0" priority="2285">
      <formula>(#REF!&lt;&gt;"")*(#REF!&lt;&gt;"")</formula>
    </cfRule>
  </conditionalFormatting>
  <conditionalFormatting sqref="N3490">
    <cfRule type="expression" dxfId="0" priority="2280">
      <formula>(#REF!&lt;&gt;"")*(#REF!&lt;&gt;"")</formula>
    </cfRule>
  </conditionalFormatting>
  <conditionalFormatting sqref="P3490">
    <cfRule type="expression" dxfId="1" priority="2281">
      <formula>(#REF!&lt;&gt;"")*(#REF!&lt;&gt;"")</formula>
    </cfRule>
  </conditionalFormatting>
  <conditionalFormatting sqref="Q3490">
    <cfRule type="expression" dxfId="0" priority="2282">
      <formula>(#REF!&lt;&gt;"")*(#REF!&lt;&gt;"")</formula>
    </cfRule>
    <cfRule type="expression" dxfId="1" priority="2283">
      <formula>(#REF!&lt;&gt;"")*(#REF!&lt;&gt;"")</formula>
    </cfRule>
  </conditionalFormatting>
  <conditionalFormatting sqref="R3490">
    <cfRule type="expression" dxfId="0" priority="2263">
      <formula>(#REF!&lt;&gt;"")*(#REF!&lt;&gt;"")</formula>
    </cfRule>
  </conditionalFormatting>
  <conditionalFormatting sqref="A3491">
    <cfRule type="expression" dxfId="0" priority="2278">
      <formula>(#REF!&lt;&gt;"")*(#REF!&lt;&gt;"")</formula>
    </cfRule>
  </conditionalFormatting>
  <conditionalFormatting sqref="H3491">
    <cfRule type="expression" dxfId="0" priority="2279">
      <formula>(#REF!&lt;&gt;"")*(#REF!&lt;&gt;"")</formula>
    </cfRule>
  </conditionalFormatting>
  <conditionalFormatting sqref="J3491">
    <cfRule type="expression" dxfId="0" priority="2276">
      <formula>(#REF!&lt;&gt;"")*(#REF!&lt;&gt;"")</formula>
    </cfRule>
  </conditionalFormatting>
  <conditionalFormatting sqref="K3491">
    <cfRule type="expression" dxfId="0" priority="2275">
      <formula>(#REF!&lt;&gt;"")*(#REF!&lt;&gt;"")</formula>
    </cfRule>
  </conditionalFormatting>
  <conditionalFormatting sqref="P3491">
    <cfRule type="expression" dxfId="1" priority="2271">
      <formula>(#REF!&lt;&gt;"")*(#REF!&lt;&gt;"")</formula>
    </cfRule>
  </conditionalFormatting>
  <conditionalFormatting sqref="R3491">
    <cfRule type="expression" dxfId="0" priority="2264">
      <formula>(#REF!&lt;&gt;"")*(#REF!&lt;&gt;"")</formula>
    </cfRule>
  </conditionalFormatting>
  <conditionalFormatting sqref="A3492">
    <cfRule type="expression" dxfId="0" priority="2268">
      <formula>(#REF!&lt;&gt;"")*(#REF!&lt;&gt;"")</formula>
    </cfRule>
  </conditionalFormatting>
  <conditionalFormatting sqref="H3492">
    <cfRule type="expression" dxfId="0" priority="2269">
      <formula>(#REF!&lt;&gt;"")*(#REF!&lt;&gt;"")</formula>
    </cfRule>
  </conditionalFormatting>
  <conditionalFormatting sqref="J3492">
    <cfRule type="expression" dxfId="0" priority="2267">
      <formula>(#REF!&lt;&gt;"")*(#REF!&lt;&gt;"")</formula>
    </cfRule>
  </conditionalFormatting>
  <conditionalFormatting sqref="K3492">
    <cfRule type="expression" dxfId="0" priority="2266">
      <formula>(#REF!&lt;&gt;"")*(#REF!&lt;&gt;"")</formula>
    </cfRule>
  </conditionalFormatting>
  <conditionalFormatting sqref="P3492">
    <cfRule type="expression" dxfId="1" priority="2265">
      <formula>(#REF!&lt;&gt;"")*(#REF!&lt;&gt;"")</formula>
    </cfRule>
  </conditionalFormatting>
  <conditionalFormatting sqref="A3493">
    <cfRule type="expression" dxfId="0" priority="2259">
      <formula>(#REF!&lt;&gt;"")*(#REF!&lt;&gt;"")</formula>
    </cfRule>
  </conditionalFormatting>
  <conditionalFormatting sqref="H3493">
    <cfRule type="expression" dxfId="0" priority="2260">
      <formula>(#REF!&lt;&gt;"")*(#REF!&lt;&gt;"")</formula>
    </cfRule>
  </conditionalFormatting>
  <conditionalFormatting sqref="J3493">
    <cfRule type="expression" dxfId="0" priority="2258">
      <formula>(#REF!&lt;&gt;"")*(#REF!&lt;&gt;"")</formula>
    </cfRule>
  </conditionalFormatting>
  <conditionalFormatting sqref="L3493">
    <cfRule type="expression" dxfId="0" priority="2261">
      <formula>(#REF!&lt;&gt;"")*(#REF!&lt;&gt;"")</formula>
    </cfRule>
  </conditionalFormatting>
  <conditionalFormatting sqref="M3493">
    <cfRule type="expression" dxfId="0" priority="2256">
      <formula>(#REF!&lt;&gt;"")*(#REF!&lt;&gt;"")</formula>
    </cfRule>
  </conditionalFormatting>
  <conditionalFormatting sqref="N3493">
    <cfRule type="expression" dxfId="0" priority="2253">
      <formula>(#REF!&lt;&gt;"")*(#REF!&lt;&gt;"")</formula>
    </cfRule>
  </conditionalFormatting>
  <conditionalFormatting sqref="O3493">
    <cfRule type="expression" dxfId="0" priority="2257">
      <formula>(#REF!&lt;&gt;"")*(#REF!&lt;&gt;"")</formula>
    </cfRule>
  </conditionalFormatting>
  <conditionalFormatting sqref="P3493">
    <cfRule type="expression" dxfId="1" priority="2252">
      <formula>(#REF!&lt;&gt;"")*(#REF!&lt;&gt;"")</formula>
    </cfRule>
  </conditionalFormatting>
  <conditionalFormatting sqref="Q3493">
    <cfRule type="expression" dxfId="0" priority="2254">
      <formula>(#REF!&lt;&gt;"")*(#REF!&lt;&gt;"")</formula>
    </cfRule>
    <cfRule type="expression" dxfId="1" priority="2255">
      <formula>(#REF!&lt;&gt;"")*(#REF!&lt;&gt;"")</formula>
    </cfRule>
  </conditionalFormatting>
  <conditionalFormatting sqref="A3494">
    <cfRule type="expression" dxfId="0" priority="2249">
      <formula>(#REF!&lt;&gt;"")*(#REF!&lt;&gt;"")</formula>
    </cfRule>
  </conditionalFormatting>
  <conditionalFormatting sqref="H3494">
    <cfRule type="expression" dxfId="0" priority="2250">
      <formula>(#REF!&lt;&gt;"")*(#REF!&lt;&gt;"")</formula>
    </cfRule>
  </conditionalFormatting>
  <conditionalFormatting sqref="J3494">
    <cfRule type="expression" dxfId="0" priority="2248">
      <formula>(#REF!&lt;&gt;"")*(#REF!&lt;&gt;"")</formula>
    </cfRule>
  </conditionalFormatting>
  <conditionalFormatting sqref="L3494">
    <cfRule type="expression" dxfId="0" priority="2251">
      <formula>(#REF!&lt;&gt;"")*(#REF!&lt;&gt;"")</formula>
    </cfRule>
  </conditionalFormatting>
  <conditionalFormatting sqref="M3494">
    <cfRule type="expression" dxfId="0" priority="2246">
      <formula>(#REF!&lt;&gt;"")*(#REF!&lt;&gt;"")</formula>
    </cfRule>
  </conditionalFormatting>
  <conditionalFormatting sqref="N3494">
    <cfRule type="expression" dxfId="0" priority="2243">
      <formula>(#REF!&lt;&gt;"")*(#REF!&lt;&gt;"")</formula>
    </cfRule>
  </conditionalFormatting>
  <conditionalFormatting sqref="O3494">
    <cfRule type="expression" dxfId="0" priority="2247">
      <formula>(#REF!&lt;&gt;"")*(#REF!&lt;&gt;"")</formula>
    </cfRule>
  </conditionalFormatting>
  <conditionalFormatting sqref="P3494">
    <cfRule type="expression" dxfId="1" priority="2242">
      <formula>(#REF!&lt;&gt;"")*(#REF!&lt;&gt;"")</formula>
    </cfRule>
  </conditionalFormatting>
  <conditionalFormatting sqref="Q3494">
    <cfRule type="expression" dxfId="0" priority="2244">
      <formula>(#REF!&lt;&gt;"")*(#REF!&lt;&gt;"")</formula>
    </cfRule>
    <cfRule type="expression" dxfId="1" priority="2245">
      <formula>(#REF!&lt;&gt;"")*(#REF!&lt;&gt;"")</formula>
    </cfRule>
  </conditionalFormatting>
  <conditionalFormatting sqref="A3496">
    <cfRule type="expression" dxfId="0" priority="2240">
      <formula>(#REF!&lt;&gt;"")*(#REF!&lt;&gt;"")</formula>
    </cfRule>
  </conditionalFormatting>
  <conditionalFormatting sqref="P3496:Q3496">
    <cfRule type="expression" dxfId="1" priority="2241">
      <formula>(#REF!&lt;&gt;"")*(#REF!&lt;&gt;"")</formula>
    </cfRule>
  </conditionalFormatting>
  <conditionalFormatting sqref="A3497">
    <cfRule type="expression" dxfId="0" priority="2238">
      <formula>(#REF!&lt;&gt;"")*(#REF!&lt;&gt;"")</formula>
    </cfRule>
  </conditionalFormatting>
  <conditionalFormatting sqref="P3497:Q3497">
    <cfRule type="expression" dxfId="1" priority="2239">
      <formula>(#REF!&lt;&gt;"")*(#REF!&lt;&gt;"")</formula>
    </cfRule>
  </conditionalFormatting>
  <conditionalFormatting sqref="A3498">
    <cfRule type="expression" dxfId="0" priority="2236">
      <formula>(#REF!&lt;&gt;"")*(#REF!&lt;&gt;"")</formula>
    </cfRule>
  </conditionalFormatting>
  <conditionalFormatting sqref="P3498:Q3498">
    <cfRule type="expression" dxfId="1" priority="2237">
      <formula>(#REF!&lt;&gt;"")*(#REF!&lt;&gt;"")</formula>
    </cfRule>
  </conditionalFormatting>
  <conditionalFormatting sqref="A3500">
    <cfRule type="expression" dxfId="0" priority="2234">
      <formula>(#REF!&lt;&gt;"")*(#REF!&lt;&gt;"")</formula>
    </cfRule>
  </conditionalFormatting>
  <conditionalFormatting sqref="P3500:Q3500">
    <cfRule type="expression" dxfId="1" priority="2235">
      <formula>(#REF!&lt;&gt;"")*(#REF!&lt;&gt;"")</formula>
    </cfRule>
  </conditionalFormatting>
  <conditionalFormatting sqref="K3502">
    <cfRule type="expression" dxfId="0" priority="2228">
      <formula>(#REF!&lt;&gt;"")*(#REF!&lt;&gt;"")</formula>
    </cfRule>
  </conditionalFormatting>
  <conditionalFormatting sqref="A3504">
    <cfRule type="expression" dxfId="0" priority="2098">
      <formula>(#REF!&lt;&gt;"")*(#REF!&lt;&gt;"")</formula>
    </cfRule>
  </conditionalFormatting>
  <conditionalFormatting sqref="K3504">
    <cfRule type="expression" dxfId="0" priority="2096">
      <formula>(#REF!&lt;&gt;"")*(#REF!&lt;&gt;"")</formula>
    </cfRule>
  </conditionalFormatting>
  <conditionalFormatting sqref="N3504">
    <cfRule type="expression" dxfId="0" priority="2099">
      <formula>(#REF!&lt;&gt;"")*(#REF!&lt;&gt;"")</formula>
    </cfRule>
  </conditionalFormatting>
  <conditionalFormatting sqref="O3504">
    <cfRule type="expression" dxfId="0" priority="2095">
      <formula>(#REF!&lt;&gt;"")*(#REF!&lt;&gt;"")</formula>
    </cfRule>
  </conditionalFormatting>
  <conditionalFormatting sqref="P3504">
    <cfRule type="expression" dxfId="1" priority="2094">
      <formula>(#REF!&lt;&gt;"")*(#REF!&lt;&gt;"")</formula>
    </cfRule>
  </conditionalFormatting>
  <conditionalFormatting sqref="Q3504">
    <cfRule type="expression" dxfId="0" priority="2103">
      <formula>(#REF!&lt;&gt;"")*(#REF!&lt;&gt;"")</formula>
    </cfRule>
    <cfRule type="expression" dxfId="0" priority="2100">
      <formula>(#REF!&lt;&gt;"")*(#REF!&lt;&gt;"")</formula>
    </cfRule>
    <cfRule type="expression" dxfId="1" priority="2102">
      <formula>(#REF!&lt;&gt;"")*(#REF!&lt;&gt;"")</formula>
    </cfRule>
    <cfRule type="expression" dxfId="1" priority="2101">
      <formula>(#REF!&lt;&gt;"")*(#REF!&lt;&gt;"")</formula>
    </cfRule>
  </conditionalFormatting>
  <conditionalFormatting sqref="T3504">
    <cfRule type="expression" dxfId="0" priority="2104">
      <formula>(#REF!&lt;&gt;"")*(#REF!&lt;&gt;"")</formula>
    </cfRule>
  </conditionalFormatting>
  <conditionalFormatting sqref="A3505">
    <cfRule type="expression" dxfId="0" priority="2190">
      <formula>(#REF!&lt;&gt;"")*(#REF!&lt;&gt;"")</formula>
    </cfRule>
  </conditionalFormatting>
  <conditionalFormatting sqref="K3505">
    <cfRule type="expression" dxfId="0" priority="2188">
      <formula>(#REF!&lt;&gt;"")*(#REF!&lt;&gt;"")</formula>
    </cfRule>
  </conditionalFormatting>
  <conditionalFormatting sqref="A3506">
    <cfRule type="expression" dxfId="0" priority="2184">
      <formula>(#REF!&lt;&gt;"")*(#REF!&lt;&gt;"")</formula>
    </cfRule>
  </conditionalFormatting>
  <conditionalFormatting sqref="K3506">
    <cfRule type="expression" dxfId="0" priority="2182">
      <formula>(#REF!&lt;&gt;"")*(#REF!&lt;&gt;"")</formula>
    </cfRule>
  </conditionalFormatting>
  <conditionalFormatting sqref="Q3506">
    <cfRule type="expression" dxfId="1" priority="2186">
      <formula>(#REF!&lt;&gt;"")*(#REF!&lt;&gt;"")</formula>
    </cfRule>
  </conditionalFormatting>
  <conditionalFormatting sqref="A3507">
    <cfRule type="expression" dxfId="0" priority="1778">
      <formula>(#REF!&lt;&gt;"")*(#REF!&lt;&gt;"")</formula>
    </cfRule>
  </conditionalFormatting>
  <conditionalFormatting sqref="H3507">
    <cfRule type="expression" dxfId="0" priority="1781">
      <formula>(#REF!&lt;&gt;"")*(#REF!&lt;&gt;"")</formula>
    </cfRule>
  </conditionalFormatting>
  <conditionalFormatting sqref="K3507">
    <cfRule type="expression" dxfId="0" priority="1776">
      <formula>(#REF!&lt;&gt;"")*(#REF!&lt;&gt;"")</formula>
    </cfRule>
  </conditionalFormatting>
  <conditionalFormatting sqref="O3507">
    <cfRule type="expression" dxfId="0" priority="1775">
      <formula>(#REF!&lt;&gt;"")*(#REF!&lt;&gt;"")</formula>
    </cfRule>
  </conditionalFormatting>
  <conditionalFormatting sqref="P3507">
    <cfRule type="expression" dxfId="1" priority="1774">
      <formula>(#REF!&lt;&gt;"")*(#REF!&lt;&gt;"")</formula>
    </cfRule>
  </conditionalFormatting>
  <conditionalFormatting sqref="Q3507">
    <cfRule type="expression" dxfId="1" priority="1779">
      <formula>(#REF!&lt;&gt;"")*(#REF!&lt;&gt;"")</formula>
    </cfRule>
  </conditionalFormatting>
  <conditionalFormatting sqref="A3508">
    <cfRule type="expression" dxfId="0" priority="1688">
      <formula>(#REF!&lt;&gt;"")*(#REF!&lt;&gt;"")</formula>
    </cfRule>
  </conditionalFormatting>
  <conditionalFormatting sqref="H3508">
    <cfRule type="expression" dxfId="0" priority="1691">
      <formula>(#REF!&lt;&gt;"")*(#REF!&lt;&gt;"")</formula>
    </cfRule>
  </conditionalFormatting>
  <conditionalFormatting sqref="K3508">
    <cfRule type="expression" dxfId="0" priority="1686">
      <formula>(#REF!&lt;&gt;"")*(#REF!&lt;&gt;"")</formula>
    </cfRule>
  </conditionalFormatting>
  <conditionalFormatting sqref="O3508">
    <cfRule type="expression" dxfId="0" priority="1685">
      <formula>(#REF!&lt;&gt;"")*(#REF!&lt;&gt;"")</formula>
    </cfRule>
  </conditionalFormatting>
  <conditionalFormatting sqref="P3508">
    <cfRule type="expression" dxfId="1" priority="1684">
      <formula>(#REF!&lt;&gt;"")*(#REF!&lt;&gt;"")</formula>
    </cfRule>
  </conditionalFormatting>
  <conditionalFormatting sqref="Q3508">
    <cfRule type="expression" dxfId="1" priority="1689">
      <formula>(#REF!&lt;&gt;"")*(#REF!&lt;&gt;"")</formula>
    </cfRule>
  </conditionalFormatting>
  <conditionalFormatting sqref="A3509">
    <cfRule type="expression" dxfId="0" priority="1680">
      <formula>(#REF!&lt;&gt;"")*(#REF!&lt;&gt;"")</formula>
    </cfRule>
  </conditionalFormatting>
  <conditionalFormatting sqref="H3509">
    <cfRule type="expression" dxfId="0" priority="1683">
      <formula>(#REF!&lt;&gt;"")*(#REF!&lt;&gt;"")</formula>
    </cfRule>
  </conditionalFormatting>
  <conditionalFormatting sqref="K3509">
    <cfRule type="expression" dxfId="0" priority="1678">
      <formula>(#REF!&lt;&gt;"")*(#REF!&lt;&gt;"")</formula>
    </cfRule>
  </conditionalFormatting>
  <conditionalFormatting sqref="O3509">
    <cfRule type="expression" dxfId="0" priority="1677">
      <formula>(#REF!&lt;&gt;"")*(#REF!&lt;&gt;"")</formula>
    </cfRule>
  </conditionalFormatting>
  <conditionalFormatting sqref="P3509">
    <cfRule type="expression" dxfId="1" priority="1676">
      <formula>(#REF!&lt;&gt;"")*(#REF!&lt;&gt;"")</formula>
    </cfRule>
  </conditionalFormatting>
  <conditionalFormatting sqref="Q3509">
    <cfRule type="expression" dxfId="1" priority="1681">
      <formula>(#REF!&lt;&gt;"")*(#REF!&lt;&gt;"")</formula>
    </cfRule>
  </conditionalFormatting>
  <conditionalFormatting sqref="A3510">
    <cfRule type="expression" dxfId="0" priority="1543">
      <formula>(#REF!&lt;&gt;"")*(#REF!&lt;&gt;"")</formula>
    </cfRule>
  </conditionalFormatting>
  <conditionalFormatting sqref="H3510">
    <cfRule type="expression" dxfId="0" priority="1546">
      <formula>(#REF!&lt;&gt;"")*(#REF!&lt;&gt;"")</formula>
    </cfRule>
  </conditionalFormatting>
  <conditionalFormatting sqref="K3510">
    <cfRule type="expression" dxfId="0" priority="1541">
      <formula>(#REF!&lt;&gt;"")*(#REF!&lt;&gt;"")</formula>
    </cfRule>
  </conditionalFormatting>
  <conditionalFormatting sqref="N3510">
    <cfRule type="expression" dxfId="0" priority="1538">
      <formula>(#REF!&lt;&gt;"")*(#REF!&lt;&gt;"")</formula>
    </cfRule>
  </conditionalFormatting>
  <conditionalFormatting sqref="O3510">
    <cfRule type="expression" dxfId="0" priority="1540">
      <formula>(#REF!&lt;&gt;"")*(#REF!&lt;&gt;"")</formula>
    </cfRule>
  </conditionalFormatting>
  <conditionalFormatting sqref="P3510">
    <cfRule type="expression" dxfId="1" priority="1539">
      <formula>(#REF!&lt;&gt;"")*(#REF!&lt;&gt;"")</formula>
    </cfRule>
  </conditionalFormatting>
  <conditionalFormatting sqref="Q3510">
    <cfRule type="expression" dxfId="0" priority="1545">
      <formula>(#REF!&lt;&gt;"")*(#REF!&lt;&gt;"")</formula>
    </cfRule>
    <cfRule type="expression" dxfId="1" priority="1544">
      <formula>(#REF!&lt;&gt;"")*(#REF!&lt;&gt;"")</formula>
    </cfRule>
  </conditionalFormatting>
  <conditionalFormatting sqref="R3510">
    <cfRule type="expression" dxfId="0" priority="1252">
      <formula>(#REF!&lt;&gt;"")*(#REF!&lt;&gt;"")</formula>
    </cfRule>
  </conditionalFormatting>
  <conditionalFormatting sqref="A3511">
    <cfRule type="expression" dxfId="0" priority="1396">
      <formula>(#REF!&lt;&gt;"")*(#REF!&lt;&gt;"")</formula>
    </cfRule>
  </conditionalFormatting>
  <conditionalFormatting sqref="H3511">
    <cfRule type="expression" dxfId="0" priority="1399">
      <formula>(#REF!&lt;&gt;"")*(#REF!&lt;&gt;"")</formula>
    </cfRule>
  </conditionalFormatting>
  <conditionalFormatting sqref="K3511">
    <cfRule type="expression" dxfId="0" priority="1394">
      <formula>(#REF!&lt;&gt;"")*(#REF!&lt;&gt;"")</formula>
    </cfRule>
  </conditionalFormatting>
  <conditionalFormatting sqref="N3511">
    <cfRule type="expression" dxfId="0" priority="1391">
      <formula>(#REF!&lt;&gt;"")*(#REF!&lt;&gt;"")</formula>
    </cfRule>
  </conditionalFormatting>
  <conditionalFormatting sqref="O3511">
    <cfRule type="expression" dxfId="0" priority="1393">
      <formula>(#REF!&lt;&gt;"")*(#REF!&lt;&gt;"")</formula>
    </cfRule>
  </conditionalFormatting>
  <conditionalFormatting sqref="P3511">
    <cfRule type="expression" dxfId="1" priority="1392">
      <formula>(#REF!&lt;&gt;"")*(#REF!&lt;&gt;"")</formula>
    </cfRule>
  </conditionalFormatting>
  <conditionalFormatting sqref="Q3511">
    <cfRule type="expression" dxfId="0" priority="1398">
      <formula>(#REF!&lt;&gt;"")*(#REF!&lt;&gt;"")</formula>
    </cfRule>
    <cfRule type="expression" dxfId="1" priority="1397">
      <formula>(#REF!&lt;&gt;"")*(#REF!&lt;&gt;"")</formula>
    </cfRule>
  </conditionalFormatting>
  <conditionalFormatting sqref="A3512">
    <cfRule type="expression" dxfId="0" priority="1117">
      <formula>(#REF!&lt;&gt;"")*(#REF!&lt;&gt;"")</formula>
    </cfRule>
  </conditionalFormatting>
  <conditionalFormatting sqref="H3512">
    <cfRule type="expression" dxfId="0" priority="1120">
      <formula>(#REF!&lt;&gt;"")*(#REF!&lt;&gt;"")</formula>
    </cfRule>
  </conditionalFormatting>
  <conditionalFormatting sqref="K3512">
    <cfRule type="expression" dxfId="0" priority="1115">
      <formula>(#REF!&lt;&gt;"")*(#REF!&lt;&gt;"")</formula>
    </cfRule>
  </conditionalFormatting>
  <conditionalFormatting sqref="N3512">
    <cfRule type="expression" dxfId="0" priority="1112">
      <formula>(#REF!&lt;&gt;"")*(#REF!&lt;&gt;"")</formula>
    </cfRule>
  </conditionalFormatting>
  <conditionalFormatting sqref="O3512">
    <cfRule type="expression" dxfId="0" priority="1114">
      <formula>(#REF!&lt;&gt;"")*(#REF!&lt;&gt;"")</formula>
    </cfRule>
  </conditionalFormatting>
  <conditionalFormatting sqref="P3512">
    <cfRule type="expression" dxfId="1" priority="1113">
      <formula>(#REF!&lt;&gt;"")*(#REF!&lt;&gt;"")</formula>
    </cfRule>
  </conditionalFormatting>
  <conditionalFormatting sqref="Q3512">
    <cfRule type="expression" dxfId="0" priority="1119">
      <formula>(#REF!&lt;&gt;"")*(#REF!&lt;&gt;"")</formula>
    </cfRule>
    <cfRule type="expression" dxfId="1" priority="1118">
      <formula>(#REF!&lt;&gt;"")*(#REF!&lt;&gt;"")</formula>
    </cfRule>
  </conditionalFormatting>
  <conditionalFormatting sqref="A3513">
    <cfRule type="expression" dxfId="0" priority="1053">
      <formula>(#REF!&lt;&gt;"")*(#REF!&lt;&gt;"")</formula>
    </cfRule>
  </conditionalFormatting>
  <conditionalFormatting sqref="H3513">
    <cfRule type="expression" dxfId="0" priority="1056">
      <formula>(#REF!&lt;&gt;"")*(#REF!&lt;&gt;"")</formula>
    </cfRule>
  </conditionalFormatting>
  <conditionalFormatting sqref="K3513">
    <cfRule type="expression" dxfId="0" priority="1051">
      <formula>(#REF!&lt;&gt;"")*(#REF!&lt;&gt;"")</formula>
    </cfRule>
  </conditionalFormatting>
  <conditionalFormatting sqref="O3513">
    <cfRule type="expression" dxfId="0" priority="1050">
      <formula>(#REF!&lt;&gt;"")*(#REF!&lt;&gt;"")</formula>
    </cfRule>
  </conditionalFormatting>
  <conditionalFormatting sqref="P3513">
    <cfRule type="expression" dxfId="1" priority="1049">
      <formula>(#REF!&lt;&gt;"")*(#REF!&lt;&gt;"")</formula>
    </cfRule>
  </conditionalFormatting>
  <conditionalFormatting sqref="O3514">
    <cfRule type="expression" dxfId="0" priority="869">
      <formula>(#REF!&lt;&gt;"")*(#REF!&lt;&gt;"")</formula>
    </cfRule>
  </conditionalFormatting>
  <conditionalFormatting sqref="P3514">
    <cfRule type="expression" dxfId="1" priority="868">
      <formula>(#REF!&lt;&gt;"")*(#REF!&lt;&gt;"")</formula>
    </cfRule>
  </conditionalFormatting>
  <conditionalFormatting sqref="N3515">
    <cfRule type="expression" dxfId="0" priority="639">
      <formula>(#REF!&lt;&gt;"")*(#REF!&lt;&gt;"")</formula>
    </cfRule>
  </conditionalFormatting>
  <conditionalFormatting sqref="O3515">
    <cfRule type="expression" dxfId="0" priority="637">
      <formula>(#REF!&lt;&gt;"")*(#REF!&lt;&gt;"")</formula>
    </cfRule>
  </conditionalFormatting>
  <conditionalFormatting sqref="P3515">
    <cfRule type="expression" dxfId="1" priority="636">
      <formula>(#REF!&lt;&gt;"")*(#REF!&lt;&gt;"")</formula>
    </cfRule>
  </conditionalFormatting>
  <conditionalFormatting sqref="Q3515">
    <cfRule type="expression" dxfId="1" priority="641">
      <formula>(#REF!&lt;&gt;"")*(#REF!&lt;&gt;"")</formula>
    </cfRule>
    <cfRule type="expression" dxfId="0" priority="640">
      <formula>(#REF!&lt;&gt;"")*(#REF!&lt;&gt;"")</formula>
    </cfRule>
  </conditionalFormatting>
  <conditionalFormatting sqref="R3515">
    <cfRule type="expression" dxfId="0" priority="638">
      <formula>(#REF!&lt;&gt;"")*(#REF!&lt;&gt;"")</formula>
    </cfRule>
  </conditionalFormatting>
  <conditionalFormatting sqref="A3516">
    <cfRule type="expression" dxfId="0" priority="572">
      <formula>(#REF!&lt;&gt;"")*(#REF!&lt;&gt;"")</formula>
    </cfRule>
  </conditionalFormatting>
  <conditionalFormatting sqref="H3516">
    <cfRule type="expression" dxfId="0" priority="573">
      <formula>(#REF!&lt;&gt;"")*(#REF!&lt;&gt;"")</formula>
    </cfRule>
  </conditionalFormatting>
  <conditionalFormatting sqref="K3516">
    <cfRule type="expression" dxfId="0" priority="570">
      <formula>(#REF!&lt;&gt;"")*(#REF!&lt;&gt;"")</formula>
    </cfRule>
  </conditionalFormatting>
  <conditionalFormatting sqref="L3516:M3516">
    <cfRule type="expression" dxfId="0" priority="574">
      <formula>(#REF!&lt;&gt;"")*(#REF!&lt;&gt;"")</formula>
    </cfRule>
  </conditionalFormatting>
  <conditionalFormatting sqref="N3516">
    <cfRule type="expression" dxfId="0" priority="567">
      <formula>(#REF!&lt;&gt;"")*(#REF!&lt;&gt;"")</formula>
    </cfRule>
  </conditionalFormatting>
  <conditionalFormatting sqref="O3516">
    <cfRule type="expression" dxfId="0" priority="565">
      <formula>(#REF!&lt;&gt;"")*(#REF!&lt;&gt;"")</formula>
    </cfRule>
  </conditionalFormatting>
  <conditionalFormatting sqref="P3516">
    <cfRule type="expression" dxfId="1" priority="564">
      <formula>(#REF!&lt;&gt;"")*(#REF!&lt;&gt;"")</formula>
    </cfRule>
  </conditionalFormatting>
  <conditionalFormatting sqref="Q3516">
    <cfRule type="expression" dxfId="1" priority="569">
      <formula>(#REF!&lt;&gt;"")*(#REF!&lt;&gt;"")</formula>
    </cfRule>
    <cfRule type="expression" dxfId="0" priority="568">
      <formula>(#REF!&lt;&gt;"")*(#REF!&lt;&gt;"")</formula>
    </cfRule>
  </conditionalFormatting>
  <conditionalFormatting sqref="R3516">
    <cfRule type="expression" dxfId="0" priority="566">
      <formula>(#REF!&lt;&gt;"")*(#REF!&lt;&gt;"")</formula>
    </cfRule>
  </conditionalFormatting>
  <conditionalFormatting sqref="A3517">
    <cfRule type="expression" dxfId="0" priority="561">
      <formula>(#REF!&lt;&gt;"")*(#REF!&lt;&gt;"")</formula>
    </cfRule>
  </conditionalFormatting>
  <conditionalFormatting sqref="H3517">
    <cfRule type="expression" dxfId="0" priority="562">
      <formula>(#REF!&lt;&gt;"")*(#REF!&lt;&gt;"")</formula>
    </cfRule>
  </conditionalFormatting>
  <conditionalFormatting sqref="K3517">
    <cfRule type="expression" dxfId="0" priority="559">
      <formula>(#REF!&lt;&gt;"")*(#REF!&lt;&gt;"")</formula>
    </cfRule>
  </conditionalFormatting>
  <conditionalFormatting sqref="L3517:M3517">
    <cfRule type="expression" dxfId="0" priority="563">
      <formula>(#REF!&lt;&gt;"")*(#REF!&lt;&gt;"")</formula>
    </cfRule>
  </conditionalFormatting>
  <conditionalFormatting sqref="N3517">
    <cfRule type="expression" dxfId="0" priority="554">
      <formula>(#REF!&lt;&gt;"")*(#REF!&lt;&gt;"")</formula>
    </cfRule>
  </conditionalFormatting>
  <conditionalFormatting sqref="O3517">
    <cfRule type="expression" dxfId="0" priority="556">
      <formula>(#REF!&lt;&gt;"")*(#REF!&lt;&gt;"")</formula>
    </cfRule>
  </conditionalFormatting>
  <conditionalFormatting sqref="P3517">
    <cfRule type="expression" dxfId="1" priority="555">
      <formula>(#REF!&lt;&gt;"")*(#REF!&lt;&gt;"")</formula>
    </cfRule>
  </conditionalFormatting>
  <conditionalFormatting sqref="Q3517">
    <cfRule type="expression" dxfId="1" priority="558">
      <formula>(#REF!&lt;&gt;"")*(#REF!&lt;&gt;"")</formula>
    </cfRule>
    <cfRule type="expression" dxfId="0" priority="557">
      <formula>(#REF!&lt;&gt;"")*(#REF!&lt;&gt;"")</formula>
    </cfRule>
  </conditionalFormatting>
  <conditionalFormatting sqref="R3517">
    <cfRule type="expression" dxfId="0" priority="553">
      <formula>(#REF!&lt;&gt;"")*(#REF!&lt;&gt;"")</formula>
    </cfRule>
  </conditionalFormatting>
  <conditionalFormatting sqref="E3518:G3518">
    <cfRule type="expression" dxfId="0" priority="2220">
      <formula>(#REF!&lt;&gt;"")*(#REF!&lt;&gt;"")</formula>
    </cfRule>
  </conditionalFormatting>
  <conditionalFormatting sqref="J3518">
    <cfRule type="expression" dxfId="0" priority="2219">
      <formula>(#REF!&lt;&gt;"")*(#REF!&lt;&gt;"")</formula>
    </cfRule>
  </conditionalFormatting>
  <conditionalFormatting sqref="A3519">
    <cfRule type="expression" dxfId="0" priority="2179">
      <formula>(#REF!&lt;&gt;"")*(#REF!&lt;&gt;"")</formula>
    </cfRule>
  </conditionalFormatting>
  <conditionalFormatting sqref="E3519:G3519">
    <cfRule type="expression" dxfId="0" priority="2175">
      <formula>(#REF!&lt;&gt;"")*(#REF!&lt;&gt;"")</formula>
    </cfRule>
  </conditionalFormatting>
  <conditionalFormatting sqref="J3519">
    <cfRule type="expression" dxfId="0" priority="2174">
      <formula>(#REF!&lt;&gt;"")*(#REF!&lt;&gt;"")</formula>
    </cfRule>
  </conditionalFormatting>
  <conditionalFormatting sqref="K3519">
    <cfRule type="expression" dxfId="0" priority="2176">
      <formula>(#REF!&lt;&gt;"")*(#REF!&lt;&gt;"")</formula>
    </cfRule>
  </conditionalFormatting>
  <conditionalFormatting sqref="L3519:M3519">
    <cfRule type="expression" dxfId="0" priority="2177">
      <formula>(#REF!&lt;&gt;"")*(#REF!&lt;&gt;"")</formula>
    </cfRule>
  </conditionalFormatting>
  <conditionalFormatting sqref="N3519">
    <cfRule type="expression" dxfId="0" priority="2178">
      <formula>(#REF!&lt;&gt;"")*(#REF!&lt;&gt;"")</formula>
    </cfRule>
  </conditionalFormatting>
  <conditionalFormatting sqref="O3519">
    <cfRule type="expression" dxfId="0" priority="2173">
      <formula>(#REF!&lt;&gt;"")*(#REF!&lt;&gt;"")</formula>
    </cfRule>
  </conditionalFormatting>
  <conditionalFormatting sqref="P3519">
    <cfRule type="expression" dxfId="1" priority="2172">
      <formula>(#REF!&lt;&gt;"")*(#REF!&lt;&gt;"")</formula>
    </cfRule>
  </conditionalFormatting>
  <conditionalFormatting sqref="A3520">
    <cfRule type="expression" dxfId="0" priority="2169">
      <formula>(#REF!&lt;&gt;"")*(#REF!&lt;&gt;"")</formula>
    </cfRule>
  </conditionalFormatting>
  <conditionalFormatting sqref="E3520:G3520">
    <cfRule type="expression" dxfId="0" priority="2165">
      <formula>(#REF!&lt;&gt;"")*(#REF!&lt;&gt;"")</formula>
    </cfRule>
  </conditionalFormatting>
  <conditionalFormatting sqref="J3520">
    <cfRule type="expression" dxfId="0" priority="2164">
      <formula>(#REF!&lt;&gt;"")*(#REF!&lt;&gt;"")</formula>
    </cfRule>
  </conditionalFormatting>
  <conditionalFormatting sqref="K3520">
    <cfRule type="expression" dxfId="0" priority="2166">
      <formula>(#REF!&lt;&gt;"")*(#REF!&lt;&gt;"")</formula>
    </cfRule>
  </conditionalFormatting>
  <conditionalFormatting sqref="L3520:M3520">
    <cfRule type="expression" dxfId="0" priority="2167">
      <formula>(#REF!&lt;&gt;"")*(#REF!&lt;&gt;"")</formula>
    </cfRule>
  </conditionalFormatting>
  <conditionalFormatting sqref="N3520">
    <cfRule type="expression" dxfId="0" priority="2168">
      <formula>(#REF!&lt;&gt;"")*(#REF!&lt;&gt;"")</formula>
    </cfRule>
  </conditionalFormatting>
  <conditionalFormatting sqref="O3520">
    <cfRule type="expression" dxfId="0" priority="2163">
      <formula>(#REF!&lt;&gt;"")*(#REF!&lt;&gt;"")</formula>
    </cfRule>
  </conditionalFormatting>
  <conditionalFormatting sqref="P3520">
    <cfRule type="expression" dxfId="1" priority="2162">
      <formula>(#REF!&lt;&gt;"")*(#REF!&lt;&gt;"")</formula>
    </cfRule>
  </conditionalFormatting>
  <conditionalFormatting sqref="A3521">
    <cfRule type="expression" dxfId="0" priority="2161">
      <formula>(#REF!&lt;&gt;"")*(#REF!&lt;&gt;"")</formula>
    </cfRule>
  </conditionalFormatting>
  <conditionalFormatting sqref="E3521:G3521">
    <cfRule type="expression" dxfId="0" priority="2157">
      <formula>(#REF!&lt;&gt;"")*(#REF!&lt;&gt;"")</formula>
    </cfRule>
  </conditionalFormatting>
  <conditionalFormatting sqref="J3521">
    <cfRule type="expression" dxfId="0" priority="2156">
      <formula>(#REF!&lt;&gt;"")*(#REF!&lt;&gt;"")</formula>
    </cfRule>
  </conditionalFormatting>
  <conditionalFormatting sqref="K3521">
    <cfRule type="expression" dxfId="0" priority="2158">
      <formula>(#REF!&lt;&gt;"")*(#REF!&lt;&gt;"")</formula>
    </cfRule>
  </conditionalFormatting>
  <conditionalFormatting sqref="L3521:M3521">
    <cfRule type="expression" dxfId="0" priority="2159">
      <formula>(#REF!&lt;&gt;"")*(#REF!&lt;&gt;"")</formula>
    </cfRule>
  </conditionalFormatting>
  <conditionalFormatting sqref="N3521">
    <cfRule type="expression" dxfId="0" priority="2160">
      <formula>(#REF!&lt;&gt;"")*(#REF!&lt;&gt;"")</formula>
    </cfRule>
  </conditionalFormatting>
  <conditionalFormatting sqref="O3521">
    <cfRule type="expression" dxfId="0" priority="2155">
      <formula>(#REF!&lt;&gt;"")*(#REF!&lt;&gt;"")</formula>
    </cfRule>
  </conditionalFormatting>
  <conditionalFormatting sqref="P3521">
    <cfRule type="expression" dxfId="1" priority="2154">
      <formula>(#REF!&lt;&gt;"")*(#REF!&lt;&gt;"")</formula>
    </cfRule>
  </conditionalFormatting>
  <conditionalFormatting sqref="A3522">
    <cfRule type="expression" dxfId="0" priority="2151">
      <formula>(#REF!&lt;&gt;"")*(#REF!&lt;&gt;"")</formula>
    </cfRule>
  </conditionalFormatting>
  <conditionalFormatting sqref="E3522:G3522">
    <cfRule type="expression" dxfId="0" priority="2147">
      <formula>(#REF!&lt;&gt;"")*(#REF!&lt;&gt;"")</formula>
    </cfRule>
  </conditionalFormatting>
  <conditionalFormatting sqref="J3522">
    <cfRule type="expression" dxfId="0" priority="2146">
      <formula>(#REF!&lt;&gt;"")*(#REF!&lt;&gt;"")</formula>
    </cfRule>
  </conditionalFormatting>
  <conditionalFormatting sqref="K3522">
    <cfRule type="expression" dxfId="0" priority="2148">
      <formula>(#REF!&lt;&gt;"")*(#REF!&lt;&gt;"")</formula>
    </cfRule>
  </conditionalFormatting>
  <conditionalFormatting sqref="L3522:M3522">
    <cfRule type="expression" dxfId="0" priority="2149">
      <formula>(#REF!&lt;&gt;"")*(#REF!&lt;&gt;"")</formula>
    </cfRule>
  </conditionalFormatting>
  <conditionalFormatting sqref="N3522">
    <cfRule type="expression" dxfId="0" priority="2150">
      <formula>(#REF!&lt;&gt;"")*(#REF!&lt;&gt;"")</formula>
    </cfRule>
  </conditionalFormatting>
  <conditionalFormatting sqref="O3522">
    <cfRule type="expression" dxfId="0" priority="2145">
      <formula>(#REF!&lt;&gt;"")*(#REF!&lt;&gt;"")</formula>
    </cfRule>
  </conditionalFormatting>
  <conditionalFormatting sqref="P3522">
    <cfRule type="expression" dxfId="1" priority="2144">
      <formula>(#REF!&lt;&gt;"")*(#REF!&lt;&gt;"")</formula>
    </cfRule>
  </conditionalFormatting>
  <conditionalFormatting sqref="A3523">
    <cfRule type="expression" dxfId="0" priority="2143">
      <formula>(#REF!&lt;&gt;"")*(#REF!&lt;&gt;"")</formula>
    </cfRule>
  </conditionalFormatting>
  <conditionalFormatting sqref="E3523:G3523">
    <cfRule type="expression" dxfId="0" priority="2139">
      <formula>(#REF!&lt;&gt;"")*(#REF!&lt;&gt;"")</formula>
    </cfRule>
  </conditionalFormatting>
  <conditionalFormatting sqref="J3523">
    <cfRule type="expression" dxfId="0" priority="2138">
      <formula>(#REF!&lt;&gt;"")*(#REF!&lt;&gt;"")</formula>
    </cfRule>
  </conditionalFormatting>
  <conditionalFormatting sqref="K3523">
    <cfRule type="expression" dxfId="0" priority="2140">
      <formula>(#REF!&lt;&gt;"")*(#REF!&lt;&gt;"")</formula>
    </cfRule>
  </conditionalFormatting>
  <conditionalFormatting sqref="L3523:M3523">
    <cfRule type="expression" dxfId="0" priority="2141">
      <formula>(#REF!&lt;&gt;"")*(#REF!&lt;&gt;"")</formula>
    </cfRule>
  </conditionalFormatting>
  <conditionalFormatting sqref="N3523">
    <cfRule type="expression" dxfId="0" priority="2142">
      <formula>(#REF!&lt;&gt;"")*(#REF!&lt;&gt;"")</formula>
    </cfRule>
  </conditionalFormatting>
  <conditionalFormatting sqref="O3523">
    <cfRule type="expression" dxfId="0" priority="2137">
      <formula>(#REF!&lt;&gt;"")*(#REF!&lt;&gt;"")</formula>
    </cfRule>
  </conditionalFormatting>
  <conditionalFormatting sqref="P3523">
    <cfRule type="expression" dxfId="1" priority="2136">
      <formula>(#REF!&lt;&gt;"")*(#REF!&lt;&gt;"")</formula>
    </cfRule>
  </conditionalFormatting>
  <conditionalFormatting sqref="A3524">
    <cfRule type="expression" dxfId="0" priority="2112">
      <formula>(#REF!&lt;&gt;"")*(#REF!&lt;&gt;"")</formula>
    </cfRule>
  </conditionalFormatting>
  <conditionalFormatting sqref="E3524:G3524">
    <cfRule type="expression" dxfId="0" priority="2108">
      <formula>(#REF!&lt;&gt;"")*(#REF!&lt;&gt;"")</formula>
    </cfRule>
  </conditionalFormatting>
  <conditionalFormatting sqref="J3524">
    <cfRule type="expression" dxfId="0" priority="2107">
      <formula>(#REF!&lt;&gt;"")*(#REF!&lt;&gt;"")</formula>
    </cfRule>
  </conditionalFormatting>
  <conditionalFormatting sqref="K3524">
    <cfRule type="expression" dxfId="0" priority="2109">
      <formula>(#REF!&lt;&gt;"")*(#REF!&lt;&gt;"")</formula>
    </cfRule>
  </conditionalFormatting>
  <conditionalFormatting sqref="L3524:M3524">
    <cfRule type="expression" dxfId="0" priority="2110">
      <formula>(#REF!&lt;&gt;"")*(#REF!&lt;&gt;"")</formula>
    </cfRule>
  </conditionalFormatting>
  <conditionalFormatting sqref="O3524">
    <cfRule type="expression" dxfId="0" priority="2106">
      <formula>(#REF!&lt;&gt;"")*(#REF!&lt;&gt;"")</formula>
    </cfRule>
  </conditionalFormatting>
  <conditionalFormatting sqref="P3524">
    <cfRule type="expression" dxfId="1" priority="2105">
      <formula>(#REF!&lt;&gt;"")*(#REF!&lt;&gt;"")</formula>
    </cfRule>
  </conditionalFormatting>
  <conditionalFormatting sqref="A3525">
    <cfRule type="expression" dxfId="0" priority="2079">
      <formula>(#REF!&lt;&gt;"")*(#REF!&lt;&gt;"")</formula>
    </cfRule>
  </conditionalFormatting>
  <conditionalFormatting sqref="E3525:G3525">
    <cfRule type="expression" dxfId="0" priority="2076">
      <formula>(#REF!&lt;&gt;"")*(#REF!&lt;&gt;"")</formula>
    </cfRule>
  </conditionalFormatting>
  <conditionalFormatting sqref="J3525">
    <cfRule type="expression" dxfId="0" priority="2075">
      <formula>(#REF!&lt;&gt;"")*(#REF!&lt;&gt;"")</formula>
    </cfRule>
  </conditionalFormatting>
  <conditionalFormatting sqref="K3525">
    <cfRule type="expression" dxfId="0" priority="2077">
      <formula>(#REF!&lt;&gt;"")*(#REF!&lt;&gt;"")</formula>
    </cfRule>
  </conditionalFormatting>
  <conditionalFormatting sqref="L3525:M3525">
    <cfRule type="expression" dxfId="0" priority="2078">
      <formula>(#REF!&lt;&gt;"")*(#REF!&lt;&gt;"")</formula>
    </cfRule>
  </conditionalFormatting>
  <conditionalFormatting sqref="O3525">
    <cfRule type="expression" dxfId="0" priority="2069">
      <formula>(#REF!&lt;&gt;"")*(#REF!&lt;&gt;"")</formula>
    </cfRule>
  </conditionalFormatting>
  <conditionalFormatting sqref="P3525">
    <cfRule type="expression" dxfId="1" priority="2068">
      <formula>(#REF!&lt;&gt;"")*(#REF!&lt;&gt;"")</formula>
    </cfRule>
  </conditionalFormatting>
  <conditionalFormatting sqref="A3526">
    <cfRule type="expression" dxfId="0" priority="2074">
      <formula>(#REF!&lt;&gt;"")*(#REF!&lt;&gt;"")</formula>
    </cfRule>
  </conditionalFormatting>
  <conditionalFormatting sqref="E3526:G3526">
    <cfRule type="expression" dxfId="0" priority="2071">
      <formula>(#REF!&lt;&gt;"")*(#REF!&lt;&gt;"")</formula>
    </cfRule>
  </conditionalFormatting>
  <conditionalFormatting sqref="J3526">
    <cfRule type="expression" dxfId="0" priority="2070">
      <formula>(#REF!&lt;&gt;"")*(#REF!&lt;&gt;"")</formula>
    </cfRule>
  </conditionalFormatting>
  <conditionalFormatting sqref="K3526">
    <cfRule type="expression" dxfId="0" priority="2072">
      <formula>(#REF!&lt;&gt;"")*(#REF!&lt;&gt;"")</formula>
    </cfRule>
  </conditionalFormatting>
  <conditionalFormatting sqref="L3526:M3526">
    <cfRule type="expression" dxfId="0" priority="2073">
      <formula>(#REF!&lt;&gt;"")*(#REF!&lt;&gt;"")</formula>
    </cfRule>
  </conditionalFormatting>
  <conditionalFormatting sqref="O3526">
    <cfRule type="expression" dxfId="0" priority="2067">
      <formula>(#REF!&lt;&gt;"")*(#REF!&lt;&gt;"")</formula>
    </cfRule>
  </conditionalFormatting>
  <conditionalFormatting sqref="P3526">
    <cfRule type="expression" dxfId="1" priority="2066">
      <formula>(#REF!&lt;&gt;"")*(#REF!&lt;&gt;"")</formula>
    </cfRule>
  </conditionalFormatting>
  <conditionalFormatting sqref="A3527">
    <cfRule type="expression" dxfId="0" priority="1770">
      <formula>(#REF!&lt;&gt;"")*(#REF!&lt;&gt;"")</formula>
    </cfRule>
  </conditionalFormatting>
  <conditionalFormatting sqref="E3527:G3527">
    <cfRule type="expression" dxfId="0" priority="1767">
      <formula>(#REF!&lt;&gt;"")*(#REF!&lt;&gt;"")</formula>
    </cfRule>
  </conditionalFormatting>
  <conditionalFormatting sqref="J3527">
    <cfRule type="expression" dxfId="0" priority="1766">
      <formula>(#REF!&lt;&gt;"")*(#REF!&lt;&gt;"")</formula>
    </cfRule>
  </conditionalFormatting>
  <conditionalFormatting sqref="K3527">
    <cfRule type="expression" dxfId="0" priority="1768">
      <formula>(#REF!&lt;&gt;"")*(#REF!&lt;&gt;"")</formula>
    </cfRule>
  </conditionalFormatting>
  <conditionalFormatting sqref="L3527:M3527">
    <cfRule type="expression" dxfId="0" priority="1769">
      <formula>(#REF!&lt;&gt;"")*(#REF!&lt;&gt;"")</formula>
    </cfRule>
  </conditionalFormatting>
  <conditionalFormatting sqref="N3527">
    <cfRule type="expression" dxfId="0" priority="1771">
      <formula>(#REF!&lt;&gt;"")*(#REF!&lt;&gt;"")</formula>
    </cfRule>
  </conditionalFormatting>
  <conditionalFormatting sqref="O3527">
    <cfRule type="expression" dxfId="0" priority="1765">
      <formula>(#REF!&lt;&gt;"")*(#REF!&lt;&gt;"")</formula>
    </cfRule>
  </conditionalFormatting>
  <conditionalFormatting sqref="P3527">
    <cfRule type="expression" dxfId="1" priority="1764">
      <formula>(#REF!&lt;&gt;"")*(#REF!&lt;&gt;"")</formula>
    </cfRule>
  </conditionalFormatting>
  <conditionalFormatting sqref="Q3527">
    <cfRule type="expression" dxfId="0" priority="1773">
      <formula>(#REF!&lt;&gt;"")*(#REF!&lt;&gt;"")</formula>
    </cfRule>
    <cfRule type="expression" dxfId="1" priority="1772">
      <formula>(#REF!&lt;&gt;"")*(#REF!&lt;&gt;"")</formula>
    </cfRule>
  </conditionalFormatting>
  <conditionalFormatting sqref="A3528">
    <cfRule type="expression" dxfId="0" priority="1760">
      <formula>(#REF!&lt;&gt;"")*(#REF!&lt;&gt;"")</formula>
    </cfRule>
  </conditionalFormatting>
  <conditionalFormatting sqref="E3528:G3528">
    <cfRule type="expression" dxfId="0" priority="1757">
      <formula>(#REF!&lt;&gt;"")*(#REF!&lt;&gt;"")</formula>
    </cfRule>
  </conditionalFormatting>
  <conditionalFormatting sqref="J3528">
    <cfRule type="expression" dxfId="0" priority="1756">
      <formula>(#REF!&lt;&gt;"")*(#REF!&lt;&gt;"")</formula>
    </cfRule>
  </conditionalFormatting>
  <conditionalFormatting sqref="K3528">
    <cfRule type="expression" dxfId="0" priority="1758">
      <formula>(#REF!&lt;&gt;"")*(#REF!&lt;&gt;"")</formula>
    </cfRule>
  </conditionalFormatting>
  <conditionalFormatting sqref="L3528:M3528">
    <cfRule type="expression" dxfId="0" priority="1759">
      <formula>(#REF!&lt;&gt;"")*(#REF!&lt;&gt;"")</formula>
    </cfRule>
  </conditionalFormatting>
  <conditionalFormatting sqref="N3528">
    <cfRule type="expression" dxfId="0" priority="1761">
      <formula>(#REF!&lt;&gt;"")*(#REF!&lt;&gt;"")</formula>
    </cfRule>
  </conditionalFormatting>
  <conditionalFormatting sqref="O3528">
    <cfRule type="expression" dxfId="0" priority="1755">
      <formula>(#REF!&lt;&gt;"")*(#REF!&lt;&gt;"")</formula>
    </cfRule>
  </conditionalFormatting>
  <conditionalFormatting sqref="P3528">
    <cfRule type="expression" dxfId="1" priority="1754">
      <formula>(#REF!&lt;&gt;"")*(#REF!&lt;&gt;"")</formula>
    </cfRule>
  </conditionalFormatting>
  <conditionalFormatting sqref="Q3528">
    <cfRule type="expression" dxfId="0" priority="1763">
      <formula>(#REF!&lt;&gt;"")*(#REF!&lt;&gt;"")</formula>
    </cfRule>
    <cfRule type="expression" dxfId="1" priority="1762">
      <formula>(#REF!&lt;&gt;"")*(#REF!&lt;&gt;"")</formula>
    </cfRule>
  </conditionalFormatting>
  <conditionalFormatting sqref="A3531">
    <cfRule type="expression" dxfId="0" priority="1672">
      <formula>(#REF!&lt;&gt;"")*(#REF!&lt;&gt;"")</formula>
    </cfRule>
  </conditionalFormatting>
  <conditionalFormatting sqref="E3531:G3531">
    <cfRule type="expression" dxfId="0" priority="1669">
      <formula>(#REF!&lt;&gt;"")*(#REF!&lt;&gt;"")</formula>
    </cfRule>
  </conditionalFormatting>
  <conditionalFormatting sqref="J3531">
    <cfRule type="expression" dxfId="0" priority="1668">
      <formula>(#REF!&lt;&gt;"")*(#REF!&lt;&gt;"")</formula>
    </cfRule>
  </conditionalFormatting>
  <conditionalFormatting sqref="K3531">
    <cfRule type="expression" dxfId="0" priority="1670">
      <formula>(#REF!&lt;&gt;"")*(#REF!&lt;&gt;"")</formula>
    </cfRule>
  </conditionalFormatting>
  <conditionalFormatting sqref="L3531:M3531">
    <cfRule type="expression" dxfId="0" priority="1671">
      <formula>(#REF!&lt;&gt;"")*(#REF!&lt;&gt;"")</formula>
    </cfRule>
  </conditionalFormatting>
  <conditionalFormatting sqref="N3531">
    <cfRule type="expression" dxfId="0" priority="1673">
      <formula>(#REF!&lt;&gt;"")*(#REF!&lt;&gt;"")</formula>
    </cfRule>
  </conditionalFormatting>
  <conditionalFormatting sqref="O3531">
    <cfRule type="expression" dxfId="0" priority="1667">
      <formula>(#REF!&lt;&gt;"")*(#REF!&lt;&gt;"")</formula>
    </cfRule>
  </conditionalFormatting>
  <conditionalFormatting sqref="P3531">
    <cfRule type="expression" dxfId="1" priority="1666">
      <formula>(#REF!&lt;&gt;"")*(#REF!&lt;&gt;"")</formula>
    </cfRule>
  </conditionalFormatting>
  <conditionalFormatting sqref="Q3531">
    <cfRule type="expression" dxfId="0" priority="1675">
      <formula>(#REF!&lt;&gt;"")*(#REF!&lt;&gt;"")</formula>
    </cfRule>
    <cfRule type="expression" dxfId="1" priority="1674">
      <formula>(#REF!&lt;&gt;"")*(#REF!&lt;&gt;"")</formula>
    </cfRule>
  </conditionalFormatting>
  <conditionalFormatting sqref="A3532">
    <cfRule type="expression" dxfId="0" priority="1662">
      <formula>(#REF!&lt;&gt;"")*(#REF!&lt;&gt;"")</formula>
    </cfRule>
  </conditionalFormatting>
  <conditionalFormatting sqref="E3532:G3532">
    <cfRule type="expression" dxfId="0" priority="1659">
      <formula>(#REF!&lt;&gt;"")*(#REF!&lt;&gt;"")</formula>
    </cfRule>
  </conditionalFormatting>
  <conditionalFormatting sqref="J3532">
    <cfRule type="expression" dxfId="0" priority="1658">
      <formula>(#REF!&lt;&gt;"")*(#REF!&lt;&gt;"")</formula>
    </cfRule>
  </conditionalFormatting>
  <conditionalFormatting sqref="K3532">
    <cfRule type="expression" dxfId="0" priority="1660">
      <formula>(#REF!&lt;&gt;"")*(#REF!&lt;&gt;"")</formula>
    </cfRule>
  </conditionalFormatting>
  <conditionalFormatting sqref="L3532:M3532">
    <cfRule type="expression" dxfId="0" priority="1661">
      <formula>(#REF!&lt;&gt;"")*(#REF!&lt;&gt;"")</formula>
    </cfRule>
  </conditionalFormatting>
  <conditionalFormatting sqref="N3532">
    <cfRule type="expression" dxfId="0" priority="1663">
      <formula>(#REF!&lt;&gt;"")*(#REF!&lt;&gt;"")</formula>
    </cfRule>
  </conditionalFormatting>
  <conditionalFormatting sqref="O3532">
    <cfRule type="expression" dxfId="0" priority="1657">
      <formula>(#REF!&lt;&gt;"")*(#REF!&lt;&gt;"")</formula>
    </cfRule>
  </conditionalFormatting>
  <conditionalFormatting sqref="P3532">
    <cfRule type="expression" dxfId="1" priority="1656">
      <formula>(#REF!&lt;&gt;"")*(#REF!&lt;&gt;"")</formula>
    </cfRule>
  </conditionalFormatting>
  <conditionalFormatting sqref="Q3532">
    <cfRule type="expression" dxfId="0" priority="1665">
      <formula>(#REF!&lt;&gt;"")*(#REF!&lt;&gt;"")</formula>
    </cfRule>
    <cfRule type="expression" dxfId="1" priority="1664">
      <formula>(#REF!&lt;&gt;"")*(#REF!&lt;&gt;"")</formula>
    </cfRule>
  </conditionalFormatting>
  <conditionalFormatting sqref="A3533">
    <cfRule type="expression" dxfId="0" priority="1618">
      <formula>(#REF!&lt;&gt;"")*(#REF!&lt;&gt;"")</formula>
    </cfRule>
  </conditionalFormatting>
  <conditionalFormatting sqref="E3533:G3533">
    <cfRule type="expression" dxfId="0" priority="1615">
      <formula>(#REF!&lt;&gt;"")*(#REF!&lt;&gt;"")</formula>
    </cfRule>
  </conditionalFormatting>
  <conditionalFormatting sqref="J3533">
    <cfRule type="expression" dxfId="0" priority="1614">
      <formula>(#REF!&lt;&gt;"")*(#REF!&lt;&gt;"")</formula>
    </cfRule>
  </conditionalFormatting>
  <conditionalFormatting sqref="K3533">
    <cfRule type="expression" dxfId="0" priority="1616">
      <formula>(#REF!&lt;&gt;"")*(#REF!&lt;&gt;"")</formula>
    </cfRule>
  </conditionalFormatting>
  <conditionalFormatting sqref="L3533:M3533">
    <cfRule type="expression" dxfId="0" priority="1617">
      <formula>(#REF!&lt;&gt;"")*(#REF!&lt;&gt;"")</formula>
    </cfRule>
  </conditionalFormatting>
  <conditionalFormatting sqref="N3533">
    <cfRule type="expression" dxfId="0" priority="1619">
      <formula>(#REF!&lt;&gt;"")*(#REF!&lt;&gt;"")</formula>
    </cfRule>
  </conditionalFormatting>
  <conditionalFormatting sqref="O3533">
    <cfRule type="expression" dxfId="0" priority="1613">
      <formula>(#REF!&lt;&gt;"")*(#REF!&lt;&gt;"")</formula>
    </cfRule>
  </conditionalFormatting>
  <conditionalFormatting sqref="P3533">
    <cfRule type="expression" dxfId="1" priority="1612">
      <formula>(#REF!&lt;&gt;"")*(#REF!&lt;&gt;"")</formula>
    </cfRule>
  </conditionalFormatting>
  <conditionalFormatting sqref="Q3533">
    <cfRule type="expression" dxfId="0" priority="1621">
      <formula>(#REF!&lt;&gt;"")*(#REF!&lt;&gt;"")</formula>
    </cfRule>
    <cfRule type="expression" dxfId="1" priority="1620">
      <formula>(#REF!&lt;&gt;"")*(#REF!&lt;&gt;"")</formula>
    </cfRule>
  </conditionalFormatting>
  <conditionalFormatting sqref="T3533">
    <cfRule type="expression" dxfId="0" priority="1622">
      <formula>(#REF!&lt;&gt;"")*(#REF!&lt;&gt;"")</formula>
    </cfRule>
  </conditionalFormatting>
  <conditionalFormatting sqref="A3534">
    <cfRule type="expression" dxfId="0" priority="1607">
      <formula>(#REF!&lt;&gt;"")*(#REF!&lt;&gt;"")</formula>
    </cfRule>
  </conditionalFormatting>
  <conditionalFormatting sqref="E3534:G3534">
    <cfRule type="expression" dxfId="0" priority="1604">
      <formula>(#REF!&lt;&gt;"")*(#REF!&lt;&gt;"")</formula>
    </cfRule>
  </conditionalFormatting>
  <conditionalFormatting sqref="J3534">
    <cfRule type="expression" dxfId="0" priority="1603">
      <formula>(#REF!&lt;&gt;"")*(#REF!&lt;&gt;"")</formula>
    </cfRule>
  </conditionalFormatting>
  <conditionalFormatting sqref="K3534">
    <cfRule type="expression" dxfId="0" priority="1605">
      <formula>(#REF!&lt;&gt;"")*(#REF!&lt;&gt;"")</formula>
    </cfRule>
  </conditionalFormatting>
  <conditionalFormatting sqref="L3534:M3534">
    <cfRule type="expression" dxfId="0" priority="1606">
      <formula>(#REF!&lt;&gt;"")*(#REF!&lt;&gt;"")</formula>
    </cfRule>
  </conditionalFormatting>
  <conditionalFormatting sqref="N3534">
    <cfRule type="expression" dxfId="0" priority="1608">
      <formula>(#REF!&lt;&gt;"")*(#REF!&lt;&gt;"")</formula>
    </cfRule>
  </conditionalFormatting>
  <conditionalFormatting sqref="O3534">
    <cfRule type="expression" dxfId="0" priority="1602">
      <formula>(#REF!&lt;&gt;"")*(#REF!&lt;&gt;"")</formula>
    </cfRule>
  </conditionalFormatting>
  <conditionalFormatting sqref="P3534">
    <cfRule type="expression" dxfId="1" priority="1601">
      <formula>(#REF!&lt;&gt;"")*(#REF!&lt;&gt;"")</formula>
    </cfRule>
  </conditionalFormatting>
  <conditionalFormatting sqref="Q3534">
    <cfRule type="expression" dxfId="0" priority="1610">
      <formula>(#REF!&lt;&gt;"")*(#REF!&lt;&gt;"")</formula>
    </cfRule>
    <cfRule type="expression" dxfId="1" priority="1609">
      <formula>(#REF!&lt;&gt;"")*(#REF!&lt;&gt;"")</formula>
    </cfRule>
  </conditionalFormatting>
  <conditionalFormatting sqref="T3534">
    <cfRule type="expression" dxfId="0" priority="1611">
      <formula>(#REF!&lt;&gt;"")*(#REF!&lt;&gt;"")</formula>
    </cfRule>
  </conditionalFormatting>
  <conditionalFormatting sqref="A3535">
    <cfRule type="expression" dxfId="0" priority="1596">
      <formula>(#REF!&lt;&gt;"")*(#REF!&lt;&gt;"")</formula>
    </cfRule>
  </conditionalFormatting>
  <conditionalFormatting sqref="E3535:G3535">
    <cfRule type="expression" dxfId="0" priority="1593">
      <formula>(#REF!&lt;&gt;"")*(#REF!&lt;&gt;"")</formula>
    </cfRule>
  </conditionalFormatting>
  <conditionalFormatting sqref="J3535">
    <cfRule type="expression" dxfId="0" priority="1592">
      <formula>(#REF!&lt;&gt;"")*(#REF!&lt;&gt;"")</formula>
    </cfRule>
  </conditionalFormatting>
  <conditionalFormatting sqref="K3535">
    <cfRule type="expression" dxfId="0" priority="1594">
      <formula>(#REF!&lt;&gt;"")*(#REF!&lt;&gt;"")</formula>
    </cfRule>
  </conditionalFormatting>
  <conditionalFormatting sqref="O3535">
    <cfRule type="expression" dxfId="0" priority="1591">
      <formula>(#REF!&lt;&gt;"")*(#REF!&lt;&gt;"")</formula>
    </cfRule>
  </conditionalFormatting>
  <conditionalFormatting sqref="P3535">
    <cfRule type="expression" dxfId="1" priority="1590">
      <formula>(#REF!&lt;&gt;"")*(#REF!&lt;&gt;"")</formula>
    </cfRule>
  </conditionalFormatting>
  <conditionalFormatting sqref="A3536">
    <cfRule type="expression" dxfId="0" priority="1537">
      <formula>(#REF!&lt;&gt;"")*(#REF!&lt;&gt;"")</formula>
    </cfRule>
  </conditionalFormatting>
  <conditionalFormatting sqref="E3536:G3536">
    <cfRule type="expression" dxfId="0" priority="1535">
      <formula>(#REF!&lt;&gt;"")*(#REF!&lt;&gt;"")</formula>
    </cfRule>
  </conditionalFormatting>
  <conditionalFormatting sqref="J3536">
    <cfRule type="expression" dxfId="0" priority="1534">
      <formula>(#REF!&lt;&gt;"")*(#REF!&lt;&gt;"")</formula>
    </cfRule>
  </conditionalFormatting>
  <conditionalFormatting sqref="K3536">
    <cfRule type="expression" dxfId="0" priority="1536">
      <formula>(#REF!&lt;&gt;"")*(#REF!&lt;&gt;"")</formula>
    </cfRule>
  </conditionalFormatting>
  <conditionalFormatting sqref="O3536">
    <cfRule type="expression" dxfId="0" priority="1521">
      <formula>(#REF!&lt;&gt;"")*(#REF!&lt;&gt;"")</formula>
    </cfRule>
  </conditionalFormatting>
  <conditionalFormatting sqref="P3536">
    <cfRule type="expression" dxfId="1" priority="1520">
      <formula>(#REF!&lt;&gt;"")*(#REF!&lt;&gt;"")</formula>
    </cfRule>
  </conditionalFormatting>
  <conditionalFormatting sqref="R3536">
    <cfRule type="expression" dxfId="0" priority="1251">
      <formula>(#REF!&lt;&gt;"")*(#REF!&lt;&gt;"")</formula>
    </cfRule>
  </conditionalFormatting>
  <conditionalFormatting sqref="A3537">
    <cfRule type="expression" dxfId="0" priority="1533">
      <formula>(#REF!&lt;&gt;"")*(#REF!&lt;&gt;"")</formula>
    </cfRule>
  </conditionalFormatting>
  <conditionalFormatting sqref="E3537:G3537">
    <cfRule type="expression" dxfId="0" priority="1531">
      <formula>(#REF!&lt;&gt;"")*(#REF!&lt;&gt;"")</formula>
    </cfRule>
  </conditionalFormatting>
  <conditionalFormatting sqref="J3537">
    <cfRule type="expression" dxfId="0" priority="1530">
      <formula>(#REF!&lt;&gt;"")*(#REF!&lt;&gt;"")</formula>
    </cfRule>
  </conditionalFormatting>
  <conditionalFormatting sqref="K3537">
    <cfRule type="expression" dxfId="0" priority="1532">
      <formula>(#REF!&lt;&gt;"")*(#REF!&lt;&gt;"")</formula>
    </cfRule>
  </conditionalFormatting>
  <conditionalFormatting sqref="O3537">
    <cfRule type="expression" dxfId="0" priority="1517">
      <formula>(#REF!&lt;&gt;"")*(#REF!&lt;&gt;"")</formula>
    </cfRule>
  </conditionalFormatting>
  <conditionalFormatting sqref="P3537">
    <cfRule type="expression" dxfId="1" priority="1516">
      <formula>(#REF!&lt;&gt;"")*(#REF!&lt;&gt;"")</formula>
    </cfRule>
  </conditionalFormatting>
  <conditionalFormatting sqref="Q3537">
    <cfRule type="expression" dxfId="0" priority="1519">
      <formula>(#REF!&lt;&gt;"")*(#REF!&lt;&gt;"")</formula>
    </cfRule>
    <cfRule type="expression" dxfId="1" priority="1518">
      <formula>(#REF!&lt;&gt;"")*(#REF!&lt;&gt;"")</formula>
    </cfRule>
  </conditionalFormatting>
  <conditionalFormatting sqref="R3537">
    <cfRule type="expression" dxfId="0" priority="1250">
      <formula>(#REF!&lt;&gt;"")*(#REF!&lt;&gt;"")</formula>
    </cfRule>
  </conditionalFormatting>
  <conditionalFormatting sqref="A3538">
    <cfRule type="expression" dxfId="0" priority="1529">
      <formula>(#REF!&lt;&gt;"")*(#REF!&lt;&gt;"")</formula>
    </cfRule>
  </conditionalFormatting>
  <conditionalFormatting sqref="E3538:G3538">
    <cfRule type="expression" dxfId="0" priority="1527">
      <formula>(#REF!&lt;&gt;"")*(#REF!&lt;&gt;"")</formula>
    </cfRule>
  </conditionalFormatting>
  <conditionalFormatting sqref="J3538">
    <cfRule type="expression" dxfId="0" priority="1526">
      <formula>(#REF!&lt;&gt;"")*(#REF!&lt;&gt;"")</formula>
    </cfRule>
  </conditionalFormatting>
  <conditionalFormatting sqref="K3538">
    <cfRule type="expression" dxfId="0" priority="1528">
      <formula>(#REF!&lt;&gt;"")*(#REF!&lt;&gt;"")</formula>
    </cfRule>
  </conditionalFormatting>
  <conditionalFormatting sqref="N3538">
    <cfRule type="expression" dxfId="0" priority="1515">
      <formula>(#REF!&lt;&gt;"")*(#REF!&lt;&gt;"")</formula>
    </cfRule>
  </conditionalFormatting>
  <conditionalFormatting sqref="O3538">
    <cfRule type="expression" dxfId="0" priority="1512">
      <formula>(#REF!&lt;&gt;"")*(#REF!&lt;&gt;"")</formula>
    </cfRule>
  </conditionalFormatting>
  <conditionalFormatting sqref="P3538">
    <cfRule type="expression" dxfId="1" priority="1511">
      <formula>(#REF!&lt;&gt;"")*(#REF!&lt;&gt;"")</formula>
    </cfRule>
  </conditionalFormatting>
  <conditionalFormatting sqref="Q3538">
    <cfRule type="expression" dxfId="0" priority="1514">
      <formula>(#REF!&lt;&gt;"")*(#REF!&lt;&gt;"")</formula>
    </cfRule>
    <cfRule type="expression" dxfId="1" priority="1513">
      <formula>(#REF!&lt;&gt;"")*(#REF!&lt;&gt;"")</formula>
    </cfRule>
  </conditionalFormatting>
  <conditionalFormatting sqref="R3538">
    <cfRule type="expression" dxfId="0" priority="1249">
      <formula>(#REF!&lt;&gt;"")*(#REF!&lt;&gt;"")</formula>
    </cfRule>
  </conditionalFormatting>
  <conditionalFormatting sqref="A3539">
    <cfRule type="expression" dxfId="0" priority="1525">
      <formula>(#REF!&lt;&gt;"")*(#REF!&lt;&gt;"")</formula>
    </cfRule>
  </conditionalFormatting>
  <conditionalFormatting sqref="E3539:G3539">
    <cfRule type="expression" dxfId="0" priority="1523">
      <formula>(#REF!&lt;&gt;"")*(#REF!&lt;&gt;"")</formula>
    </cfRule>
  </conditionalFormatting>
  <conditionalFormatting sqref="J3539">
    <cfRule type="expression" dxfId="0" priority="1522">
      <formula>(#REF!&lt;&gt;"")*(#REF!&lt;&gt;"")</formula>
    </cfRule>
  </conditionalFormatting>
  <conditionalFormatting sqref="K3539">
    <cfRule type="expression" dxfId="0" priority="1524">
      <formula>(#REF!&lt;&gt;"")*(#REF!&lt;&gt;"")</formula>
    </cfRule>
  </conditionalFormatting>
  <conditionalFormatting sqref="N3539">
    <cfRule type="expression" dxfId="0" priority="1510">
      <formula>(#REF!&lt;&gt;"")*(#REF!&lt;&gt;"")</formula>
    </cfRule>
  </conditionalFormatting>
  <conditionalFormatting sqref="R3539">
    <cfRule type="expression" dxfId="0" priority="1248">
      <formula>(#REF!&lt;&gt;"")*(#REF!&lt;&gt;"")</formula>
    </cfRule>
  </conditionalFormatting>
  <conditionalFormatting sqref="A3540">
    <cfRule type="expression" dxfId="0" priority="1494">
      <formula>(#REF!&lt;&gt;"")*(#REF!&lt;&gt;"")</formula>
    </cfRule>
  </conditionalFormatting>
  <conditionalFormatting sqref="E3540:G3540">
    <cfRule type="expression" dxfId="0" priority="1492">
      <formula>(#REF!&lt;&gt;"")*(#REF!&lt;&gt;"")</formula>
    </cfRule>
  </conditionalFormatting>
  <conditionalFormatting sqref="J3540">
    <cfRule type="expression" dxfId="0" priority="1491">
      <formula>(#REF!&lt;&gt;"")*(#REF!&lt;&gt;"")</formula>
    </cfRule>
  </conditionalFormatting>
  <conditionalFormatting sqref="K3540">
    <cfRule type="expression" dxfId="0" priority="1493">
      <formula>(#REF!&lt;&gt;"")*(#REF!&lt;&gt;"")</formula>
    </cfRule>
  </conditionalFormatting>
  <conditionalFormatting sqref="L3540:M3540">
    <cfRule type="expression" dxfId="0" priority="1495">
      <formula>(#REF!&lt;&gt;"")*(#REF!&lt;&gt;"")</formula>
    </cfRule>
  </conditionalFormatting>
  <conditionalFormatting sqref="N3540">
    <cfRule type="expression" dxfId="0" priority="1490">
      <formula>(#REF!&lt;&gt;"")*(#REF!&lt;&gt;"")</formula>
    </cfRule>
  </conditionalFormatting>
  <conditionalFormatting sqref="A3541">
    <cfRule type="expression" dxfId="0" priority="1504">
      <formula>(#REF!&lt;&gt;"")*(#REF!&lt;&gt;"")</formula>
    </cfRule>
  </conditionalFormatting>
  <conditionalFormatting sqref="E3541:G3541">
    <cfRule type="expression" dxfId="0" priority="1502">
      <formula>(#REF!&lt;&gt;"")*(#REF!&lt;&gt;"")</formula>
    </cfRule>
  </conditionalFormatting>
  <conditionalFormatting sqref="J3541">
    <cfRule type="expression" dxfId="0" priority="1501">
      <formula>(#REF!&lt;&gt;"")*(#REF!&lt;&gt;"")</formula>
    </cfRule>
  </conditionalFormatting>
  <conditionalFormatting sqref="K3541">
    <cfRule type="expression" dxfId="0" priority="1503">
      <formula>(#REF!&lt;&gt;"")*(#REF!&lt;&gt;"")</formula>
    </cfRule>
  </conditionalFormatting>
  <conditionalFormatting sqref="L3541:M3541">
    <cfRule type="expression" dxfId="0" priority="1505">
      <formula>(#REF!&lt;&gt;"")*(#REF!&lt;&gt;"")</formula>
    </cfRule>
  </conditionalFormatting>
  <conditionalFormatting sqref="N3541">
    <cfRule type="expression" dxfId="0" priority="1500">
      <formula>(#REF!&lt;&gt;"")*(#REF!&lt;&gt;"")</formula>
    </cfRule>
  </conditionalFormatting>
  <conditionalFormatting sqref="O3541">
    <cfRule type="expression" dxfId="0" priority="1497">
      <formula>(#REF!&lt;&gt;"")*(#REF!&lt;&gt;"")</formula>
    </cfRule>
  </conditionalFormatting>
  <conditionalFormatting sqref="A3542">
    <cfRule type="expression" dxfId="0" priority="1488">
      <formula>(#REF!&lt;&gt;"")*(#REF!&lt;&gt;"")</formula>
    </cfRule>
  </conditionalFormatting>
  <conditionalFormatting sqref="E3542:G3542">
    <cfRule type="expression" dxfId="0" priority="1486">
      <formula>(#REF!&lt;&gt;"")*(#REF!&lt;&gt;"")</formula>
    </cfRule>
  </conditionalFormatting>
  <conditionalFormatting sqref="J3542">
    <cfRule type="expression" dxfId="0" priority="1485">
      <formula>(#REF!&lt;&gt;"")*(#REF!&lt;&gt;"")</formula>
    </cfRule>
  </conditionalFormatting>
  <conditionalFormatting sqref="K3542">
    <cfRule type="expression" dxfId="0" priority="1487">
      <formula>(#REF!&lt;&gt;"")*(#REF!&lt;&gt;"")</formula>
    </cfRule>
  </conditionalFormatting>
  <conditionalFormatting sqref="L3542:M3542">
    <cfRule type="expression" dxfId="0" priority="1489">
      <formula>(#REF!&lt;&gt;"")*(#REF!&lt;&gt;"")</formula>
    </cfRule>
  </conditionalFormatting>
  <conditionalFormatting sqref="N3542">
    <cfRule type="expression" dxfId="0" priority="1484">
      <formula>(#REF!&lt;&gt;"")*(#REF!&lt;&gt;"")</formula>
    </cfRule>
  </conditionalFormatting>
  <conditionalFormatting sqref="O3542">
    <cfRule type="expression" dxfId="0" priority="1483">
      <formula>(#REF!&lt;&gt;"")*(#REF!&lt;&gt;"")</formula>
    </cfRule>
  </conditionalFormatting>
  <conditionalFormatting sqref="A3543">
    <cfRule type="expression" dxfId="0" priority="1389">
      <formula>(#REF!&lt;&gt;"")*(#REF!&lt;&gt;"")</formula>
    </cfRule>
  </conditionalFormatting>
  <conditionalFormatting sqref="E3543:G3543">
    <cfRule type="expression" dxfId="0" priority="1387">
      <formula>(#REF!&lt;&gt;"")*(#REF!&lt;&gt;"")</formula>
    </cfRule>
  </conditionalFormatting>
  <conditionalFormatting sqref="J3543">
    <cfRule type="expression" dxfId="0" priority="1386">
      <formula>(#REF!&lt;&gt;"")*(#REF!&lt;&gt;"")</formula>
    </cfRule>
  </conditionalFormatting>
  <conditionalFormatting sqref="K3543">
    <cfRule type="expression" dxfId="0" priority="1388">
      <formula>(#REF!&lt;&gt;"")*(#REF!&lt;&gt;"")</formula>
    </cfRule>
  </conditionalFormatting>
  <conditionalFormatting sqref="L3543:M3543">
    <cfRule type="expression" dxfId="0" priority="1390">
      <formula>(#REF!&lt;&gt;"")*(#REF!&lt;&gt;"")</formula>
    </cfRule>
  </conditionalFormatting>
  <conditionalFormatting sqref="N3543">
    <cfRule type="expression" dxfId="0" priority="1385">
      <formula>(#REF!&lt;&gt;"")*(#REF!&lt;&gt;"")</formula>
    </cfRule>
  </conditionalFormatting>
  <conditionalFormatting sqref="O3543">
    <cfRule type="expression" dxfId="0" priority="1382">
      <formula>(#REF!&lt;&gt;"")*(#REF!&lt;&gt;"")</formula>
    </cfRule>
  </conditionalFormatting>
  <conditionalFormatting sqref="P3543">
    <cfRule type="expression" dxfId="1" priority="1381">
      <formula>(#REF!&lt;&gt;"")*(#REF!&lt;&gt;"")</formula>
    </cfRule>
  </conditionalFormatting>
  <conditionalFormatting sqref="Q3543">
    <cfRule type="expression" dxfId="0" priority="1384">
      <formula>(#REF!&lt;&gt;"")*(#REF!&lt;&gt;"")</formula>
    </cfRule>
    <cfRule type="expression" dxfId="1" priority="1383">
      <formula>(#REF!&lt;&gt;"")*(#REF!&lt;&gt;"")</formula>
    </cfRule>
  </conditionalFormatting>
  <conditionalFormatting sqref="A3544">
    <cfRule type="expression" dxfId="0" priority="1379">
      <formula>(#REF!&lt;&gt;"")*(#REF!&lt;&gt;"")</formula>
    </cfRule>
  </conditionalFormatting>
  <conditionalFormatting sqref="E3544:G3544">
    <cfRule type="expression" dxfId="0" priority="1377">
      <formula>(#REF!&lt;&gt;"")*(#REF!&lt;&gt;"")</formula>
    </cfRule>
  </conditionalFormatting>
  <conditionalFormatting sqref="J3544">
    <cfRule type="expression" dxfId="0" priority="1376">
      <formula>(#REF!&lt;&gt;"")*(#REF!&lt;&gt;"")</formula>
    </cfRule>
  </conditionalFormatting>
  <conditionalFormatting sqref="K3544">
    <cfRule type="expression" dxfId="0" priority="1378">
      <formula>(#REF!&lt;&gt;"")*(#REF!&lt;&gt;"")</formula>
    </cfRule>
  </conditionalFormatting>
  <conditionalFormatting sqref="L3544:M3544">
    <cfRule type="expression" dxfId="0" priority="1380">
      <formula>(#REF!&lt;&gt;"")*(#REF!&lt;&gt;"")</formula>
    </cfRule>
  </conditionalFormatting>
  <conditionalFormatting sqref="N3544">
    <cfRule type="expression" dxfId="0" priority="1375">
      <formula>(#REF!&lt;&gt;"")*(#REF!&lt;&gt;"")</formula>
    </cfRule>
  </conditionalFormatting>
  <conditionalFormatting sqref="O3544">
    <cfRule type="expression" dxfId="0" priority="1372">
      <formula>(#REF!&lt;&gt;"")*(#REF!&lt;&gt;"")</formula>
    </cfRule>
  </conditionalFormatting>
  <conditionalFormatting sqref="P3544">
    <cfRule type="expression" dxfId="1" priority="1371">
      <formula>(#REF!&lt;&gt;"")*(#REF!&lt;&gt;"")</formula>
    </cfRule>
  </conditionalFormatting>
  <conditionalFormatting sqref="Q3544">
    <cfRule type="expression" dxfId="0" priority="1374">
      <formula>(#REF!&lt;&gt;"")*(#REF!&lt;&gt;"")</formula>
    </cfRule>
    <cfRule type="expression" dxfId="1" priority="1373">
      <formula>(#REF!&lt;&gt;"")*(#REF!&lt;&gt;"")</formula>
    </cfRule>
  </conditionalFormatting>
  <conditionalFormatting sqref="A3545">
    <cfRule type="expression" dxfId="0" priority="1369">
      <formula>(#REF!&lt;&gt;"")*(#REF!&lt;&gt;"")</formula>
    </cfRule>
  </conditionalFormatting>
  <conditionalFormatting sqref="E3545:G3545">
    <cfRule type="expression" dxfId="0" priority="1367">
      <formula>(#REF!&lt;&gt;"")*(#REF!&lt;&gt;"")</formula>
    </cfRule>
  </conditionalFormatting>
  <conditionalFormatting sqref="J3545">
    <cfRule type="expression" dxfId="0" priority="1366">
      <formula>(#REF!&lt;&gt;"")*(#REF!&lt;&gt;"")</formula>
    </cfRule>
  </conditionalFormatting>
  <conditionalFormatting sqref="K3545">
    <cfRule type="expression" dxfId="0" priority="1368">
      <formula>(#REF!&lt;&gt;"")*(#REF!&lt;&gt;"")</formula>
    </cfRule>
  </conditionalFormatting>
  <conditionalFormatting sqref="L3545:M3545">
    <cfRule type="expression" dxfId="0" priority="1370">
      <formula>(#REF!&lt;&gt;"")*(#REF!&lt;&gt;"")</formula>
    </cfRule>
  </conditionalFormatting>
  <conditionalFormatting sqref="N3545">
    <cfRule type="expression" dxfId="0" priority="1365">
      <formula>(#REF!&lt;&gt;"")*(#REF!&lt;&gt;"")</formula>
    </cfRule>
  </conditionalFormatting>
  <conditionalFormatting sqref="O3545">
    <cfRule type="expression" dxfId="0" priority="1364">
      <formula>(#REF!&lt;&gt;"")*(#REF!&lt;&gt;"")</formula>
    </cfRule>
  </conditionalFormatting>
  <conditionalFormatting sqref="P3545">
    <cfRule type="expression" dxfId="1" priority="1363">
      <formula>(#REF!&lt;&gt;"")*(#REF!&lt;&gt;"")</formula>
    </cfRule>
  </conditionalFormatting>
  <conditionalFormatting sqref="Q3545">
    <cfRule type="expression" dxfId="0" priority="1190">
      <formula>(#REF!&lt;&gt;"")*(#REF!&lt;&gt;"")</formula>
    </cfRule>
    <cfRule type="expression" dxfId="1" priority="1189">
      <formula>(#REF!&lt;&gt;"")*(#REF!&lt;&gt;"")</formula>
    </cfRule>
  </conditionalFormatting>
  <conditionalFormatting sqref="A3546">
    <cfRule type="expression" dxfId="0" priority="1361">
      <formula>(#REF!&lt;&gt;"")*(#REF!&lt;&gt;"")</formula>
    </cfRule>
  </conditionalFormatting>
  <conditionalFormatting sqref="E3546:G3546">
    <cfRule type="expression" dxfId="0" priority="1359">
      <formula>(#REF!&lt;&gt;"")*(#REF!&lt;&gt;"")</formula>
    </cfRule>
  </conditionalFormatting>
  <conditionalFormatting sqref="J3546">
    <cfRule type="expression" dxfId="0" priority="1358">
      <formula>(#REF!&lt;&gt;"")*(#REF!&lt;&gt;"")</formula>
    </cfRule>
  </conditionalFormatting>
  <conditionalFormatting sqref="K3546">
    <cfRule type="expression" dxfId="0" priority="1360">
      <formula>(#REF!&lt;&gt;"")*(#REF!&lt;&gt;"")</formula>
    </cfRule>
  </conditionalFormatting>
  <conditionalFormatting sqref="L3546:M3546">
    <cfRule type="expression" dxfId="0" priority="1362">
      <formula>(#REF!&lt;&gt;"")*(#REF!&lt;&gt;"")</formula>
    </cfRule>
  </conditionalFormatting>
  <conditionalFormatting sqref="N3546">
    <cfRule type="expression" dxfId="0" priority="1357">
      <formula>(#REF!&lt;&gt;"")*(#REF!&lt;&gt;"")</formula>
    </cfRule>
  </conditionalFormatting>
  <conditionalFormatting sqref="O3546">
    <cfRule type="expression" dxfId="0" priority="1356">
      <formula>(#REF!&lt;&gt;"")*(#REF!&lt;&gt;"")</formula>
    </cfRule>
  </conditionalFormatting>
  <conditionalFormatting sqref="P3546">
    <cfRule type="expression" dxfId="1" priority="1355">
      <formula>(#REF!&lt;&gt;"")*(#REF!&lt;&gt;"")</formula>
    </cfRule>
  </conditionalFormatting>
  <conditionalFormatting sqref="Q3546">
    <cfRule type="expression" dxfId="0" priority="1188">
      <formula>(#REF!&lt;&gt;"")*(#REF!&lt;&gt;"")</formula>
    </cfRule>
    <cfRule type="expression" dxfId="1" priority="1187">
      <formula>(#REF!&lt;&gt;"")*(#REF!&lt;&gt;"")</formula>
    </cfRule>
  </conditionalFormatting>
  <conditionalFormatting sqref="A3547">
    <cfRule type="expression" dxfId="0" priority="1353">
      <formula>(#REF!&lt;&gt;"")*(#REF!&lt;&gt;"")</formula>
    </cfRule>
  </conditionalFormatting>
  <conditionalFormatting sqref="E3547:G3547">
    <cfRule type="expression" dxfId="0" priority="1351">
      <formula>(#REF!&lt;&gt;"")*(#REF!&lt;&gt;"")</formula>
    </cfRule>
  </conditionalFormatting>
  <conditionalFormatting sqref="J3547">
    <cfRule type="expression" dxfId="0" priority="1350">
      <formula>(#REF!&lt;&gt;"")*(#REF!&lt;&gt;"")</formula>
    </cfRule>
  </conditionalFormatting>
  <conditionalFormatting sqref="K3547">
    <cfRule type="expression" dxfId="0" priority="1352">
      <formula>(#REF!&lt;&gt;"")*(#REF!&lt;&gt;"")</formula>
    </cfRule>
  </conditionalFormatting>
  <conditionalFormatting sqref="L3547:M3547">
    <cfRule type="expression" dxfId="0" priority="1354">
      <formula>(#REF!&lt;&gt;"")*(#REF!&lt;&gt;"")</formula>
    </cfRule>
  </conditionalFormatting>
  <conditionalFormatting sqref="N3547">
    <cfRule type="expression" dxfId="0" priority="1349">
      <formula>(#REF!&lt;&gt;"")*(#REF!&lt;&gt;"")</formula>
    </cfRule>
  </conditionalFormatting>
  <conditionalFormatting sqref="O3547">
    <cfRule type="expression" dxfId="0" priority="1346">
      <formula>(#REF!&lt;&gt;"")*(#REF!&lt;&gt;"")</formula>
    </cfRule>
  </conditionalFormatting>
  <conditionalFormatting sqref="P3547">
    <cfRule type="expression" dxfId="1" priority="1345">
      <formula>(#REF!&lt;&gt;"")*(#REF!&lt;&gt;"")</formula>
    </cfRule>
  </conditionalFormatting>
  <conditionalFormatting sqref="Q3547">
    <cfRule type="expression" dxfId="0" priority="1348">
      <formula>(#REF!&lt;&gt;"")*(#REF!&lt;&gt;"")</formula>
    </cfRule>
    <cfRule type="expression" dxfId="1" priority="1347">
      <formula>(#REF!&lt;&gt;"")*(#REF!&lt;&gt;"")</formula>
    </cfRule>
  </conditionalFormatting>
  <conditionalFormatting sqref="A3548">
    <cfRule type="expression" dxfId="0" priority="1343">
      <formula>(#REF!&lt;&gt;"")*(#REF!&lt;&gt;"")</formula>
    </cfRule>
  </conditionalFormatting>
  <conditionalFormatting sqref="E3548:G3548">
    <cfRule type="expression" dxfId="0" priority="1341">
      <formula>(#REF!&lt;&gt;"")*(#REF!&lt;&gt;"")</formula>
    </cfRule>
  </conditionalFormatting>
  <conditionalFormatting sqref="J3548">
    <cfRule type="expression" dxfId="0" priority="1340">
      <formula>(#REF!&lt;&gt;"")*(#REF!&lt;&gt;"")</formula>
    </cfRule>
  </conditionalFormatting>
  <conditionalFormatting sqref="K3548">
    <cfRule type="expression" dxfId="0" priority="1342">
      <formula>(#REF!&lt;&gt;"")*(#REF!&lt;&gt;"")</formula>
    </cfRule>
  </conditionalFormatting>
  <conditionalFormatting sqref="L3548:M3548">
    <cfRule type="expression" dxfId="0" priority="1344">
      <formula>(#REF!&lt;&gt;"")*(#REF!&lt;&gt;"")</formula>
    </cfRule>
  </conditionalFormatting>
  <conditionalFormatting sqref="N3548">
    <cfRule type="expression" dxfId="0" priority="1339">
      <formula>(#REF!&lt;&gt;"")*(#REF!&lt;&gt;"")</formula>
    </cfRule>
  </conditionalFormatting>
  <conditionalFormatting sqref="O3548">
    <cfRule type="expression" dxfId="0" priority="1336">
      <formula>(#REF!&lt;&gt;"")*(#REF!&lt;&gt;"")</formula>
    </cfRule>
  </conditionalFormatting>
  <conditionalFormatting sqref="P3548">
    <cfRule type="expression" dxfId="1" priority="1335">
      <formula>(#REF!&lt;&gt;"")*(#REF!&lt;&gt;"")</formula>
    </cfRule>
  </conditionalFormatting>
  <conditionalFormatting sqref="Q3548">
    <cfRule type="expression" dxfId="0" priority="1338">
      <formula>(#REF!&lt;&gt;"")*(#REF!&lt;&gt;"")</formula>
    </cfRule>
    <cfRule type="expression" dxfId="1" priority="1337">
      <formula>(#REF!&lt;&gt;"")*(#REF!&lt;&gt;"")</formula>
    </cfRule>
  </conditionalFormatting>
  <conditionalFormatting sqref="A3549">
    <cfRule type="expression" dxfId="0" priority="1333">
      <formula>(#REF!&lt;&gt;"")*(#REF!&lt;&gt;"")</formula>
    </cfRule>
  </conditionalFormatting>
  <conditionalFormatting sqref="E3549:G3549">
    <cfRule type="expression" dxfId="0" priority="1331">
      <formula>(#REF!&lt;&gt;"")*(#REF!&lt;&gt;"")</formula>
    </cfRule>
  </conditionalFormatting>
  <conditionalFormatting sqref="J3549">
    <cfRule type="expression" dxfId="0" priority="1330">
      <formula>(#REF!&lt;&gt;"")*(#REF!&lt;&gt;"")</formula>
    </cfRule>
  </conditionalFormatting>
  <conditionalFormatting sqref="K3549">
    <cfRule type="expression" dxfId="0" priority="1332">
      <formula>(#REF!&lt;&gt;"")*(#REF!&lt;&gt;"")</formula>
    </cfRule>
  </conditionalFormatting>
  <conditionalFormatting sqref="L3549:M3549">
    <cfRule type="expression" dxfId="0" priority="1334">
      <formula>(#REF!&lt;&gt;"")*(#REF!&lt;&gt;"")</formula>
    </cfRule>
  </conditionalFormatting>
  <conditionalFormatting sqref="N3549">
    <cfRule type="expression" dxfId="0" priority="1329">
      <formula>(#REF!&lt;&gt;"")*(#REF!&lt;&gt;"")</formula>
    </cfRule>
  </conditionalFormatting>
  <conditionalFormatting sqref="O3549">
    <cfRule type="expression" dxfId="0" priority="1326">
      <formula>(#REF!&lt;&gt;"")*(#REF!&lt;&gt;"")</formula>
    </cfRule>
  </conditionalFormatting>
  <conditionalFormatting sqref="P3549">
    <cfRule type="expression" dxfId="1" priority="1325">
      <formula>(#REF!&lt;&gt;"")*(#REF!&lt;&gt;"")</formula>
    </cfRule>
  </conditionalFormatting>
  <conditionalFormatting sqref="Q3549">
    <cfRule type="expression" dxfId="0" priority="1328">
      <formula>(#REF!&lt;&gt;"")*(#REF!&lt;&gt;"")</formula>
    </cfRule>
    <cfRule type="expression" dxfId="1" priority="1327">
      <formula>(#REF!&lt;&gt;"")*(#REF!&lt;&gt;"")</formula>
    </cfRule>
  </conditionalFormatting>
  <conditionalFormatting sqref="A3550">
    <cfRule type="expression" dxfId="0" priority="1323">
      <formula>(#REF!&lt;&gt;"")*(#REF!&lt;&gt;"")</formula>
    </cfRule>
  </conditionalFormatting>
  <conditionalFormatting sqref="E3550:G3550">
    <cfRule type="expression" dxfId="0" priority="1321">
      <formula>(#REF!&lt;&gt;"")*(#REF!&lt;&gt;"")</formula>
    </cfRule>
  </conditionalFormatting>
  <conditionalFormatting sqref="J3550">
    <cfRule type="expression" dxfId="0" priority="1320">
      <formula>(#REF!&lt;&gt;"")*(#REF!&lt;&gt;"")</formula>
    </cfRule>
  </conditionalFormatting>
  <conditionalFormatting sqref="K3550">
    <cfRule type="expression" dxfId="0" priority="1322">
      <formula>(#REF!&lt;&gt;"")*(#REF!&lt;&gt;"")</formula>
    </cfRule>
  </conditionalFormatting>
  <conditionalFormatting sqref="L3550:M3550">
    <cfRule type="expression" dxfId="0" priority="1324">
      <formula>(#REF!&lt;&gt;"")*(#REF!&lt;&gt;"")</formula>
    </cfRule>
  </conditionalFormatting>
  <conditionalFormatting sqref="N3550">
    <cfRule type="expression" dxfId="0" priority="1319">
      <formula>(#REF!&lt;&gt;"")*(#REF!&lt;&gt;"")</formula>
    </cfRule>
  </conditionalFormatting>
  <conditionalFormatting sqref="O3550">
    <cfRule type="expression" dxfId="0" priority="1316">
      <formula>(#REF!&lt;&gt;"")*(#REF!&lt;&gt;"")</formula>
    </cfRule>
  </conditionalFormatting>
  <conditionalFormatting sqref="P3550">
    <cfRule type="expression" dxfId="1" priority="1315">
      <formula>(#REF!&lt;&gt;"")*(#REF!&lt;&gt;"")</formula>
    </cfRule>
  </conditionalFormatting>
  <conditionalFormatting sqref="Q3550">
    <cfRule type="expression" dxfId="0" priority="1318">
      <formula>(#REF!&lt;&gt;"")*(#REF!&lt;&gt;"")</formula>
    </cfRule>
    <cfRule type="expression" dxfId="1" priority="1317">
      <formula>(#REF!&lt;&gt;"")*(#REF!&lt;&gt;"")</formula>
    </cfRule>
  </conditionalFormatting>
  <conditionalFormatting sqref="A3551">
    <cfRule type="expression" dxfId="0" priority="1313">
      <formula>(#REF!&lt;&gt;"")*(#REF!&lt;&gt;"")</formula>
    </cfRule>
  </conditionalFormatting>
  <conditionalFormatting sqref="E3551:G3551">
    <cfRule type="expression" dxfId="0" priority="1311">
      <formula>(#REF!&lt;&gt;"")*(#REF!&lt;&gt;"")</formula>
    </cfRule>
  </conditionalFormatting>
  <conditionalFormatting sqref="J3551">
    <cfRule type="expression" dxfId="0" priority="1310">
      <formula>(#REF!&lt;&gt;"")*(#REF!&lt;&gt;"")</formula>
    </cfRule>
  </conditionalFormatting>
  <conditionalFormatting sqref="K3551">
    <cfRule type="expression" dxfId="0" priority="1312">
      <formula>(#REF!&lt;&gt;"")*(#REF!&lt;&gt;"")</formula>
    </cfRule>
  </conditionalFormatting>
  <conditionalFormatting sqref="L3551:M3551">
    <cfRule type="expression" dxfId="0" priority="1314">
      <formula>(#REF!&lt;&gt;"")*(#REF!&lt;&gt;"")</formula>
    </cfRule>
  </conditionalFormatting>
  <conditionalFormatting sqref="N3551">
    <cfRule type="expression" dxfId="0" priority="1309">
      <formula>(#REF!&lt;&gt;"")*(#REF!&lt;&gt;"")</formula>
    </cfRule>
  </conditionalFormatting>
  <conditionalFormatting sqref="O3551">
    <cfRule type="expression" dxfId="0" priority="1306">
      <formula>(#REF!&lt;&gt;"")*(#REF!&lt;&gt;"")</formula>
    </cfRule>
  </conditionalFormatting>
  <conditionalFormatting sqref="P3551">
    <cfRule type="expression" dxfId="1" priority="1305">
      <formula>(#REF!&lt;&gt;"")*(#REF!&lt;&gt;"")</formula>
    </cfRule>
  </conditionalFormatting>
  <conditionalFormatting sqref="Q3551">
    <cfRule type="expression" dxfId="0" priority="1308">
      <formula>(#REF!&lt;&gt;"")*(#REF!&lt;&gt;"")</formula>
    </cfRule>
    <cfRule type="expression" dxfId="1" priority="1307">
      <formula>(#REF!&lt;&gt;"")*(#REF!&lt;&gt;"")</formula>
    </cfRule>
  </conditionalFormatting>
  <conditionalFormatting sqref="A3552">
    <cfRule type="expression" dxfId="0" priority="1303">
      <formula>(#REF!&lt;&gt;"")*(#REF!&lt;&gt;"")</formula>
    </cfRule>
  </conditionalFormatting>
  <conditionalFormatting sqref="E3552:G3552">
    <cfRule type="expression" dxfId="0" priority="1301">
      <formula>(#REF!&lt;&gt;"")*(#REF!&lt;&gt;"")</formula>
    </cfRule>
  </conditionalFormatting>
  <conditionalFormatting sqref="J3552">
    <cfRule type="expression" dxfId="0" priority="1300">
      <formula>(#REF!&lt;&gt;"")*(#REF!&lt;&gt;"")</formula>
    </cfRule>
  </conditionalFormatting>
  <conditionalFormatting sqref="K3552">
    <cfRule type="expression" dxfId="0" priority="1302">
      <formula>(#REF!&lt;&gt;"")*(#REF!&lt;&gt;"")</formula>
    </cfRule>
  </conditionalFormatting>
  <conditionalFormatting sqref="L3552:M3552">
    <cfRule type="expression" dxfId="0" priority="1304">
      <formula>(#REF!&lt;&gt;"")*(#REF!&lt;&gt;"")</formula>
    </cfRule>
  </conditionalFormatting>
  <conditionalFormatting sqref="A3553">
    <cfRule type="expression" dxfId="0" priority="1184">
      <formula>(#REF!&lt;&gt;"")*(#REF!&lt;&gt;"")</formula>
    </cfRule>
  </conditionalFormatting>
  <conditionalFormatting sqref="E3553:G3553">
    <cfRule type="expression" dxfId="0" priority="1183">
      <formula>(#REF!&lt;&gt;"")*(#REF!&lt;&gt;"")</formula>
    </cfRule>
  </conditionalFormatting>
  <conditionalFormatting sqref="J3553">
    <cfRule type="expression" dxfId="0" priority="1182">
      <formula>(#REF!&lt;&gt;"")*(#REF!&lt;&gt;"")</formula>
    </cfRule>
  </conditionalFormatting>
  <conditionalFormatting sqref="K3553">
    <cfRule type="expression" dxfId="0" priority="1177">
      <formula>(#REF!&lt;&gt;"")*(#REF!&lt;&gt;"")</formula>
    </cfRule>
  </conditionalFormatting>
  <conditionalFormatting sqref="L3553:M3553">
    <cfRule type="expression" dxfId="0" priority="1178">
      <formula>(#REF!&lt;&gt;"")*(#REF!&lt;&gt;"")</formula>
    </cfRule>
  </conditionalFormatting>
  <conditionalFormatting sqref="A3554">
    <cfRule type="expression" dxfId="0" priority="1181">
      <formula>(#REF!&lt;&gt;"")*(#REF!&lt;&gt;"")</formula>
    </cfRule>
  </conditionalFormatting>
  <conditionalFormatting sqref="E3554:G3554">
    <cfRule type="expression" dxfId="0" priority="1180">
      <formula>(#REF!&lt;&gt;"")*(#REF!&lt;&gt;"")</formula>
    </cfRule>
  </conditionalFormatting>
  <conditionalFormatting sqref="H3554">
    <cfRule type="expression" dxfId="0" priority="1174">
      <formula>(#REF!&lt;&gt;"")*(#REF!&lt;&gt;"")</formula>
    </cfRule>
  </conditionalFormatting>
  <conditionalFormatting sqref="J3554">
    <cfRule type="expression" dxfId="0" priority="1179">
      <formula>(#REF!&lt;&gt;"")*(#REF!&lt;&gt;"")</formula>
    </cfRule>
  </conditionalFormatting>
  <conditionalFormatting sqref="K3554">
    <cfRule type="expression" dxfId="0" priority="1175">
      <formula>(#REF!&lt;&gt;"")*(#REF!&lt;&gt;"")</formula>
    </cfRule>
  </conditionalFormatting>
  <conditionalFormatting sqref="L3554:M3554">
    <cfRule type="expression" dxfId="0" priority="1176">
      <formula>(#REF!&lt;&gt;"")*(#REF!&lt;&gt;"")</formula>
    </cfRule>
  </conditionalFormatting>
  <conditionalFormatting sqref="A3555">
    <cfRule type="expression" dxfId="0" priority="1159">
      <formula>(#REF!&lt;&gt;"")*(#REF!&lt;&gt;"")</formula>
    </cfRule>
  </conditionalFormatting>
  <conditionalFormatting sqref="E3555:G3555">
    <cfRule type="expression" dxfId="0" priority="1158">
      <formula>(#REF!&lt;&gt;"")*(#REF!&lt;&gt;"")</formula>
    </cfRule>
  </conditionalFormatting>
  <conditionalFormatting sqref="H3555">
    <cfRule type="expression" dxfId="0" priority="1154">
      <formula>(#REF!&lt;&gt;"")*(#REF!&lt;&gt;"")</formula>
    </cfRule>
  </conditionalFormatting>
  <conditionalFormatting sqref="J3555">
    <cfRule type="expression" dxfId="0" priority="1157">
      <formula>(#REF!&lt;&gt;"")*(#REF!&lt;&gt;"")</formula>
    </cfRule>
  </conditionalFormatting>
  <conditionalFormatting sqref="K3555">
    <cfRule type="expression" dxfId="0" priority="1155">
      <formula>(#REF!&lt;&gt;"")*(#REF!&lt;&gt;"")</formula>
    </cfRule>
  </conditionalFormatting>
  <conditionalFormatting sqref="L3555:M3555">
    <cfRule type="expression" dxfId="0" priority="1156">
      <formula>(#REF!&lt;&gt;"")*(#REF!&lt;&gt;"")</formula>
    </cfRule>
  </conditionalFormatting>
  <conditionalFormatting sqref="N3555">
    <cfRule type="expression" dxfId="0" priority="1164">
      <formula>(#REF!&lt;&gt;"")*(#REF!&lt;&gt;"")</formula>
    </cfRule>
  </conditionalFormatting>
  <conditionalFormatting sqref="O3555">
    <cfRule type="expression" dxfId="0" priority="1161">
      <formula>(#REF!&lt;&gt;"")*(#REF!&lt;&gt;"")</formula>
    </cfRule>
  </conditionalFormatting>
  <conditionalFormatting sqref="P3555">
    <cfRule type="expression" dxfId="1" priority="1160">
      <formula>(#REF!&lt;&gt;"")*(#REF!&lt;&gt;"")</formula>
    </cfRule>
  </conditionalFormatting>
  <conditionalFormatting sqref="Q3555">
    <cfRule type="expression" dxfId="0" priority="1163">
      <formula>(#REF!&lt;&gt;"")*(#REF!&lt;&gt;"")</formula>
    </cfRule>
    <cfRule type="expression" dxfId="1" priority="1162">
      <formula>(#REF!&lt;&gt;"")*(#REF!&lt;&gt;"")</formula>
    </cfRule>
  </conditionalFormatting>
  <conditionalFormatting sqref="A3556">
    <cfRule type="expression" dxfId="0" priority="1148">
      <formula>(#REF!&lt;&gt;"")*(#REF!&lt;&gt;"")</formula>
    </cfRule>
  </conditionalFormatting>
  <conditionalFormatting sqref="E3556:G3556">
    <cfRule type="expression" dxfId="0" priority="1147">
      <formula>(#REF!&lt;&gt;"")*(#REF!&lt;&gt;"")</formula>
    </cfRule>
  </conditionalFormatting>
  <conditionalFormatting sqref="H3556">
    <cfRule type="expression" dxfId="0" priority="1143">
      <formula>(#REF!&lt;&gt;"")*(#REF!&lt;&gt;"")</formula>
    </cfRule>
  </conditionalFormatting>
  <conditionalFormatting sqref="J3556">
    <cfRule type="expression" dxfId="0" priority="1146">
      <formula>(#REF!&lt;&gt;"")*(#REF!&lt;&gt;"")</formula>
    </cfRule>
  </conditionalFormatting>
  <conditionalFormatting sqref="K3556">
    <cfRule type="expression" dxfId="0" priority="1144">
      <formula>(#REF!&lt;&gt;"")*(#REF!&lt;&gt;"")</formula>
    </cfRule>
  </conditionalFormatting>
  <conditionalFormatting sqref="L3556:M3556">
    <cfRule type="expression" dxfId="0" priority="1145">
      <formula>(#REF!&lt;&gt;"")*(#REF!&lt;&gt;"")</formula>
    </cfRule>
  </conditionalFormatting>
  <conditionalFormatting sqref="N3556">
    <cfRule type="expression" dxfId="0" priority="1153">
      <formula>(#REF!&lt;&gt;"")*(#REF!&lt;&gt;"")</formula>
    </cfRule>
  </conditionalFormatting>
  <conditionalFormatting sqref="O3556">
    <cfRule type="expression" dxfId="0" priority="1150">
      <formula>(#REF!&lt;&gt;"")*(#REF!&lt;&gt;"")</formula>
    </cfRule>
  </conditionalFormatting>
  <conditionalFormatting sqref="P3556">
    <cfRule type="expression" dxfId="1" priority="1149">
      <formula>(#REF!&lt;&gt;"")*(#REF!&lt;&gt;"")</formula>
    </cfRule>
  </conditionalFormatting>
  <conditionalFormatting sqref="Q3556">
    <cfRule type="expression" dxfId="0" priority="1152">
      <formula>(#REF!&lt;&gt;"")*(#REF!&lt;&gt;"")</formula>
    </cfRule>
    <cfRule type="expression" dxfId="1" priority="1151">
      <formula>(#REF!&lt;&gt;"")*(#REF!&lt;&gt;"")</formula>
    </cfRule>
  </conditionalFormatting>
  <conditionalFormatting sqref="A3557">
    <cfRule type="expression" dxfId="0" priority="1137">
      <formula>(#REF!&lt;&gt;"")*(#REF!&lt;&gt;"")</formula>
    </cfRule>
  </conditionalFormatting>
  <conditionalFormatting sqref="E3557:G3557">
    <cfRule type="expression" dxfId="0" priority="1136">
      <formula>(#REF!&lt;&gt;"")*(#REF!&lt;&gt;"")</formula>
    </cfRule>
  </conditionalFormatting>
  <conditionalFormatting sqref="H3557">
    <cfRule type="expression" dxfId="0" priority="1132">
      <formula>(#REF!&lt;&gt;"")*(#REF!&lt;&gt;"")</formula>
    </cfRule>
  </conditionalFormatting>
  <conditionalFormatting sqref="J3557">
    <cfRule type="expression" dxfId="0" priority="1135">
      <formula>(#REF!&lt;&gt;"")*(#REF!&lt;&gt;"")</formula>
    </cfRule>
  </conditionalFormatting>
  <conditionalFormatting sqref="K3557">
    <cfRule type="expression" dxfId="0" priority="1133">
      <formula>(#REF!&lt;&gt;"")*(#REF!&lt;&gt;"")</formula>
    </cfRule>
  </conditionalFormatting>
  <conditionalFormatting sqref="L3557:M3557">
    <cfRule type="expression" dxfId="0" priority="1134">
      <formula>(#REF!&lt;&gt;"")*(#REF!&lt;&gt;"")</formula>
    </cfRule>
  </conditionalFormatting>
  <conditionalFormatting sqref="N3557">
    <cfRule type="expression" dxfId="0" priority="1142">
      <formula>(#REF!&lt;&gt;"")*(#REF!&lt;&gt;"")</formula>
    </cfRule>
  </conditionalFormatting>
  <conditionalFormatting sqref="O3557">
    <cfRule type="expression" dxfId="0" priority="1139">
      <formula>(#REF!&lt;&gt;"")*(#REF!&lt;&gt;"")</formula>
    </cfRule>
  </conditionalFormatting>
  <conditionalFormatting sqref="P3557">
    <cfRule type="expression" dxfId="1" priority="1138">
      <formula>(#REF!&lt;&gt;"")*(#REF!&lt;&gt;"")</formula>
    </cfRule>
  </conditionalFormatting>
  <conditionalFormatting sqref="Q3557">
    <cfRule type="expression" dxfId="0" priority="1141">
      <formula>(#REF!&lt;&gt;"")*(#REF!&lt;&gt;"")</formula>
    </cfRule>
    <cfRule type="expression" dxfId="1" priority="1140">
      <formula>(#REF!&lt;&gt;"")*(#REF!&lt;&gt;"")</formula>
    </cfRule>
  </conditionalFormatting>
  <conditionalFormatting sqref="A3558">
    <cfRule type="expression" dxfId="0" priority="1126">
      <formula>(#REF!&lt;&gt;"")*(#REF!&lt;&gt;"")</formula>
    </cfRule>
  </conditionalFormatting>
  <conditionalFormatting sqref="E3558:G3558">
    <cfRule type="expression" dxfId="0" priority="1125">
      <formula>(#REF!&lt;&gt;"")*(#REF!&lt;&gt;"")</formula>
    </cfRule>
  </conditionalFormatting>
  <conditionalFormatting sqref="H3558">
    <cfRule type="expression" dxfId="0" priority="1121">
      <formula>(#REF!&lt;&gt;"")*(#REF!&lt;&gt;"")</formula>
    </cfRule>
  </conditionalFormatting>
  <conditionalFormatting sqref="J3558">
    <cfRule type="expression" dxfId="0" priority="1124">
      <formula>(#REF!&lt;&gt;"")*(#REF!&lt;&gt;"")</formula>
    </cfRule>
  </conditionalFormatting>
  <conditionalFormatting sqref="K3558">
    <cfRule type="expression" dxfId="0" priority="1122">
      <formula>(#REF!&lt;&gt;"")*(#REF!&lt;&gt;"")</formula>
    </cfRule>
  </conditionalFormatting>
  <conditionalFormatting sqref="L3558:M3558">
    <cfRule type="expression" dxfId="0" priority="1123">
      <formula>(#REF!&lt;&gt;"")*(#REF!&lt;&gt;"")</formula>
    </cfRule>
  </conditionalFormatting>
  <conditionalFormatting sqref="N3558">
    <cfRule type="expression" dxfId="0" priority="1131">
      <formula>(#REF!&lt;&gt;"")*(#REF!&lt;&gt;"")</formula>
    </cfRule>
  </conditionalFormatting>
  <conditionalFormatting sqref="O3558">
    <cfRule type="expression" dxfId="0" priority="1128">
      <formula>(#REF!&lt;&gt;"")*(#REF!&lt;&gt;"")</formula>
    </cfRule>
  </conditionalFormatting>
  <conditionalFormatting sqref="P3558">
    <cfRule type="expression" dxfId="1" priority="1127">
      <formula>(#REF!&lt;&gt;"")*(#REF!&lt;&gt;"")</formula>
    </cfRule>
  </conditionalFormatting>
  <conditionalFormatting sqref="Q3558">
    <cfRule type="expression" dxfId="0" priority="1130">
      <formula>(#REF!&lt;&gt;"")*(#REF!&lt;&gt;"")</formula>
    </cfRule>
    <cfRule type="expression" dxfId="1" priority="1129">
      <formula>(#REF!&lt;&gt;"")*(#REF!&lt;&gt;"")</formula>
    </cfRule>
  </conditionalFormatting>
  <conditionalFormatting sqref="A3559">
    <cfRule type="expression" dxfId="0" priority="1084">
      <formula>(#REF!&lt;&gt;"")*(#REF!&lt;&gt;"")</formula>
    </cfRule>
  </conditionalFormatting>
  <conditionalFormatting sqref="E3559:G3559">
    <cfRule type="expression" dxfId="0" priority="1083">
      <formula>(#REF!&lt;&gt;"")*(#REF!&lt;&gt;"")</formula>
    </cfRule>
  </conditionalFormatting>
  <conditionalFormatting sqref="H3559">
    <cfRule type="expression" dxfId="0" priority="1079">
      <formula>(#REF!&lt;&gt;"")*(#REF!&lt;&gt;"")</formula>
    </cfRule>
  </conditionalFormatting>
  <conditionalFormatting sqref="J3559">
    <cfRule type="expression" dxfId="0" priority="1082">
      <formula>(#REF!&lt;&gt;"")*(#REF!&lt;&gt;"")</formula>
    </cfRule>
  </conditionalFormatting>
  <conditionalFormatting sqref="K3559">
    <cfRule type="expression" dxfId="0" priority="1080">
      <formula>(#REF!&lt;&gt;"")*(#REF!&lt;&gt;"")</formula>
    </cfRule>
  </conditionalFormatting>
  <conditionalFormatting sqref="L3559:M3559">
    <cfRule type="expression" dxfId="0" priority="1081">
      <formula>(#REF!&lt;&gt;"")*(#REF!&lt;&gt;"")</formula>
    </cfRule>
  </conditionalFormatting>
  <conditionalFormatting sqref="N3559">
    <cfRule type="expression" dxfId="0" priority="1089">
      <formula>(#REF!&lt;&gt;"")*(#REF!&lt;&gt;"")</formula>
    </cfRule>
  </conditionalFormatting>
  <conditionalFormatting sqref="O3559">
    <cfRule type="expression" dxfId="0" priority="1086">
      <formula>(#REF!&lt;&gt;"")*(#REF!&lt;&gt;"")</formula>
    </cfRule>
  </conditionalFormatting>
  <conditionalFormatting sqref="P3559">
    <cfRule type="expression" dxfId="1" priority="1085">
      <formula>(#REF!&lt;&gt;"")*(#REF!&lt;&gt;"")</formula>
    </cfRule>
  </conditionalFormatting>
  <conditionalFormatting sqref="Q3559">
    <cfRule type="expression" dxfId="0" priority="1088">
      <formula>(#REF!&lt;&gt;"")*(#REF!&lt;&gt;"")</formula>
    </cfRule>
    <cfRule type="expression" dxfId="1" priority="1087">
      <formula>(#REF!&lt;&gt;"")*(#REF!&lt;&gt;"")</formula>
    </cfRule>
  </conditionalFormatting>
  <conditionalFormatting sqref="A3560">
    <cfRule type="expression" dxfId="0" priority="1042">
      <formula>(#REF!&lt;&gt;"")*(#REF!&lt;&gt;"")</formula>
    </cfRule>
  </conditionalFormatting>
  <conditionalFormatting sqref="E3560:G3560">
    <cfRule type="expression" dxfId="0" priority="1041">
      <formula>(#REF!&lt;&gt;"")*(#REF!&lt;&gt;"")</formula>
    </cfRule>
  </conditionalFormatting>
  <conditionalFormatting sqref="H3560">
    <cfRule type="expression" dxfId="0" priority="1037">
      <formula>(#REF!&lt;&gt;"")*(#REF!&lt;&gt;"")</formula>
    </cfRule>
  </conditionalFormatting>
  <conditionalFormatting sqref="J3560">
    <cfRule type="expression" dxfId="0" priority="1040">
      <formula>(#REF!&lt;&gt;"")*(#REF!&lt;&gt;"")</formula>
    </cfRule>
  </conditionalFormatting>
  <conditionalFormatting sqref="K3560">
    <cfRule type="expression" dxfId="0" priority="1038">
      <formula>(#REF!&lt;&gt;"")*(#REF!&lt;&gt;"")</formula>
    </cfRule>
  </conditionalFormatting>
  <conditionalFormatting sqref="L3560:M3560">
    <cfRule type="expression" dxfId="0" priority="1039">
      <formula>(#REF!&lt;&gt;"")*(#REF!&lt;&gt;"")</formula>
    </cfRule>
  </conditionalFormatting>
  <conditionalFormatting sqref="N3560">
    <cfRule type="expression" dxfId="0" priority="1047">
      <formula>(#REF!&lt;&gt;"")*(#REF!&lt;&gt;"")</formula>
    </cfRule>
  </conditionalFormatting>
  <conditionalFormatting sqref="O3560">
    <cfRule type="expression" dxfId="0" priority="1044">
      <formula>(#REF!&lt;&gt;"")*(#REF!&lt;&gt;"")</formula>
    </cfRule>
  </conditionalFormatting>
  <conditionalFormatting sqref="P3560">
    <cfRule type="expression" dxfId="1" priority="1043">
      <formula>(#REF!&lt;&gt;"")*(#REF!&lt;&gt;"")</formula>
    </cfRule>
  </conditionalFormatting>
  <conditionalFormatting sqref="Q3560">
    <cfRule type="expression" dxfId="0" priority="1046">
      <formula>(#REF!&lt;&gt;"")*(#REF!&lt;&gt;"")</formula>
    </cfRule>
    <cfRule type="expression" dxfId="1" priority="1045">
      <formula>(#REF!&lt;&gt;"")*(#REF!&lt;&gt;"")</formula>
    </cfRule>
  </conditionalFormatting>
  <conditionalFormatting sqref="A3561">
    <cfRule type="expression" dxfId="0" priority="1031">
      <formula>(#REF!&lt;&gt;"")*(#REF!&lt;&gt;"")</formula>
    </cfRule>
  </conditionalFormatting>
  <conditionalFormatting sqref="E3561:G3561">
    <cfRule type="expression" dxfId="0" priority="1030">
      <formula>(#REF!&lt;&gt;"")*(#REF!&lt;&gt;"")</formula>
    </cfRule>
  </conditionalFormatting>
  <conditionalFormatting sqref="H3561">
    <cfRule type="expression" dxfId="0" priority="1026">
      <formula>(#REF!&lt;&gt;"")*(#REF!&lt;&gt;"")</formula>
    </cfRule>
  </conditionalFormatting>
  <conditionalFormatting sqref="J3561">
    <cfRule type="expression" dxfId="0" priority="1029">
      <formula>(#REF!&lt;&gt;"")*(#REF!&lt;&gt;"")</formula>
    </cfRule>
  </conditionalFormatting>
  <conditionalFormatting sqref="K3561">
    <cfRule type="expression" dxfId="0" priority="1027">
      <formula>(#REF!&lt;&gt;"")*(#REF!&lt;&gt;"")</formula>
    </cfRule>
  </conditionalFormatting>
  <conditionalFormatting sqref="L3561:M3561">
    <cfRule type="expression" dxfId="0" priority="1028">
      <formula>(#REF!&lt;&gt;"")*(#REF!&lt;&gt;"")</formula>
    </cfRule>
  </conditionalFormatting>
  <conditionalFormatting sqref="N3561">
    <cfRule type="expression" dxfId="0" priority="1036">
      <formula>(#REF!&lt;&gt;"")*(#REF!&lt;&gt;"")</formula>
    </cfRule>
  </conditionalFormatting>
  <conditionalFormatting sqref="O3561">
    <cfRule type="expression" dxfId="0" priority="1033">
      <formula>(#REF!&lt;&gt;"")*(#REF!&lt;&gt;"")</formula>
    </cfRule>
  </conditionalFormatting>
  <conditionalFormatting sqref="P3561">
    <cfRule type="expression" dxfId="1" priority="1032">
      <formula>(#REF!&lt;&gt;"")*(#REF!&lt;&gt;"")</formula>
    </cfRule>
  </conditionalFormatting>
  <conditionalFormatting sqref="Q3561">
    <cfRule type="expression" dxfId="0" priority="1035">
      <formula>(#REF!&lt;&gt;"")*(#REF!&lt;&gt;"")</formula>
    </cfRule>
    <cfRule type="expression" dxfId="1" priority="1034">
      <formula>(#REF!&lt;&gt;"")*(#REF!&lt;&gt;"")</formula>
    </cfRule>
  </conditionalFormatting>
  <conditionalFormatting sqref="A3562">
    <cfRule type="expression" dxfId="0" priority="1020">
      <formula>(#REF!&lt;&gt;"")*(#REF!&lt;&gt;"")</formula>
    </cfRule>
  </conditionalFormatting>
  <conditionalFormatting sqref="E3562:G3562">
    <cfRule type="expression" dxfId="0" priority="1019">
      <formula>(#REF!&lt;&gt;"")*(#REF!&lt;&gt;"")</formula>
    </cfRule>
  </conditionalFormatting>
  <conditionalFormatting sqref="H3562">
    <cfRule type="expression" dxfId="0" priority="1015">
      <formula>(#REF!&lt;&gt;"")*(#REF!&lt;&gt;"")</formula>
    </cfRule>
  </conditionalFormatting>
  <conditionalFormatting sqref="J3562">
    <cfRule type="expression" dxfId="0" priority="1018">
      <formula>(#REF!&lt;&gt;"")*(#REF!&lt;&gt;"")</formula>
    </cfRule>
  </conditionalFormatting>
  <conditionalFormatting sqref="K3562">
    <cfRule type="expression" dxfId="0" priority="1016">
      <formula>(#REF!&lt;&gt;"")*(#REF!&lt;&gt;"")</formula>
    </cfRule>
  </conditionalFormatting>
  <conditionalFormatting sqref="L3562:M3562">
    <cfRule type="expression" dxfId="0" priority="1017">
      <formula>(#REF!&lt;&gt;"")*(#REF!&lt;&gt;"")</formula>
    </cfRule>
  </conditionalFormatting>
  <conditionalFormatting sqref="N3562">
    <cfRule type="expression" dxfId="0" priority="1025">
      <formula>(#REF!&lt;&gt;"")*(#REF!&lt;&gt;"")</formula>
    </cfRule>
  </conditionalFormatting>
  <conditionalFormatting sqref="O3562">
    <cfRule type="expression" dxfId="0" priority="1022">
      <formula>(#REF!&lt;&gt;"")*(#REF!&lt;&gt;"")</formula>
    </cfRule>
  </conditionalFormatting>
  <conditionalFormatting sqref="P3562">
    <cfRule type="expression" dxfId="1" priority="1021">
      <formula>(#REF!&lt;&gt;"")*(#REF!&lt;&gt;"")</formula>
    </cfRule>
  </conditionalFormatting>
  <conditionalFormatting sqref="Q3562">
    <cfRule type="expression" dxfId="0" priority="1024">
      <formula>(#REF!&lt;&gt;"")*(#REF!&lt;&gt;"")</formula>
    </cfRule>
    <cfRule type="expression" dxfId="1" priority="1023">
      <formula>(#REF!&lt;&gt;"")*(#REF!&lt;&gt;"")</formula>
    </cfRule>
  </conditionalFormatting>
  <conditionalFormatting sqref="A3563">
    <cfRule type="expression" dxfId="0" priority="1009">
      <formula>(#REF!&lt;&gt;"")*(#REF!&lt;&gt;"")</formula>
    </cfRule>
  </conditionalFormatting>
  <conditionalFormatting sqref="E3563:G3563">
    <cfRule type="expression" dxfId="0" priority="1008">
      <formula>(#REF!&lt;&gt;"")*(#REF!&lt;&gt;"")</formula>
    </cfRule>
  </conditionalFormatting>
  <conditionalFormatting sqref="H3563">
    <cfRule type="expression" dxfId="0" priority="1004">
      <formula>(#REF!&lt;&gt;"")*(#REF!&lt;&gt;"")</formula>
    </cfRule>
  </conditionalFormatting>
  <conditionalFormatting sqref="J3563">
    <cfRule type="expression" dxfId="0" priority="1007">
      <formula>(#REF!&lt;&gt;"")*(#REF!&lt;&gt;"")</formula>
    </cfRule>
  </conditionalFormatting>
  <conditionalFormatting sqref="K3563">
    <cfRule type="expression" dxfId="0" priority="1005">
      <formula>(#REF!&lt;&gt;"")*(#REF!&lt;&gt;"")</formula>
    </cfRule>
  </conditionalFormatting>
  <conditionalFormatting sqref="L3563:M3563">
    <cfRule type="expression" dxfId="0" priority="1006">
      <formula>(#REF!&lt;&gt;"")*(#REF!&lt;&gt;"")</formula>
    </cfRule>
  </conditionalFormatting>
  <conditionalFormatting sqref="N3563">
    <cfRule type="expression" dxfId="0" priority="1014">
      <formula>(#REF!&lt;&gt;"")*(#REF!&lt;&gt;"")</formula>
    </cfRule>
  </conditionalFormatting>
  <conditionalFormatting sqref="O3563">
    <cfRule type="expression" dxfId="0" priority="1011">
      <formula>(#REF!&lt;&gt;"")*(#REF!&lt;&gt;"")</formula>
    </cfRule>
  </conditionalFormatting>
  <conditionalFormatting sqref="P3563">
    <cfRule type="expression" dxfId="1" priority="1010">
      <formula>(#REF!&lt;&gt;"")*(#REF!&lt;&gt;"")</formula>
    </cfRule>
  </conditionalFormatting>
  <conditionalFormatting sqref="Q3563">
    <cfRule type="expression" dxfId="0" priority="1013">
      <formula>(#REF!&lt;&gt;"")*(#REF!&lt;&gt;"")</formula>
    </cfRule>
    <cfRule type="expression" dxfId="1" priority="1012">
      <formula>(#REF!&lt;&gt;"")*(#REF!&lt;&gt;"")</formula>
    </cfRule>
  </conditionalFormatting>
  <conditionalFormatting sqref="A3564">
    <cfRule type="expression" dxfId="0" priority="998">
      <formula>(#REF!&lt;&gt;"")*(#REF!&lt;&gt;"")</formula>
    </cfRule>
  </conditionalFormatting>
  <conditionalFormatting sqref="E3564:G3564">
    <cfRule type="expression" dxfId="0" priority="997">
      <formula>(#REF!&lt;&gt;"")*(#REF!&lt;&gt;"")</formula>
    </cfRule>
  </conditionalFormatting>
  <conditionalFormatting sqref="H3564">
    <cfRule type="expression" dxfId="0" priority="993">
      <formula>(#REF!&lt;&gt;"")*(#REF!&lt;&gt;"")</formula>
    </cfRule>
  </conditionalFormatting>
  <conditionalFormatting sqref="J3564">
    <cfRule type="expression" dxfId="0" priority="996">
      <formula>(#REF!&lt;&gt;"")*(#REF!&lt;&gt;"")</formula>
    </cfRule>
  </conditionalFormatting>
  <conditionalFormatting sqref="K3564">
    <cfRule type="expression" dxfId="0" priority="994">
      <formula>(#REF!&lt;&gt;"")*(#REF!&lt;&gt;"")</formula>
    </cfRule>
  </conditionalFormatting>
  <conditionalFormatting sqref="L3564:M3564">
    <cfRule type="expression" dxfId="0" priority="995">
      <formula>(#REF!&lt;&gt;"")*(#REF!&lt;&gt;"")</formula>
    </cfRule>
  </conditionalFormatting>
  <conditionalFormatting sqref="N3564">
    <cfRule type="expression" dxfId="0" priority="1003">
      <formula>(#REF!&lt;&gt;"")*(#REF!&lt;&gt;"")</formula>
    </cfRule>
  </conditionalFormatting>
  <conditionalFormatting sqref="O3564">
    <cfRule type="expression" dxfId="0" priority="1000">
      <formula>(#REF!&lt;&gt;"")*(#REF!&lt;&gt;"")</formula>
    </cfRule>
  </conditionalFormatting>
  <conditionalFormatting sqref="P3564">
    <cfRule type="expression" dxfId="1" priority="999">
      <formula>(#REF!&lt;&gt;"")*(#REF!&lt;&gt;"")</formula>
    </cfRule>
  </conditionalFormatting>
  <conditionalFormatting sqref="Q3564">
    <cfRule type="expression" dxfId="0" priority="1002">
      <formula>(#REF!&lt;&gt;"")*(#REF!&lt;&gt;"")</formula>
    </cfRule>
    <cfRule type="expression" dxfId="1" priority="1001">
      <formula>(#REF!&lt;&gt;"")*(#REF!&lt;&gt;"")</formula>
    </cfRule>
  </conditionalFormatting>
  <conditionalFormatting sqref="A3565">
    <cfRule type="expression" dxfId="0" priority="987">
      <formula>(#REF!&lt;&gt;"")*(#REF!&lt;&gt;"")</formula>
    </cfRule>
  </conditionalFormatting>
  <conditionalFormatting sqref="E3565:G3565">
    <cfRule type="expression" dxfId="0" priority="986">
      <formula>(#REF!&lt;&gt;"")*(#REF!&lt;&gt;"")</formula>
    </cfRule>
  </conditionalFormatting>
  <conditionalFormatting sqref="H3565">
    <cfRule type="expression" dxfId="0" priority="982">
      <formula>(#REF!&lt;&gt;"")*(#REF!&lt;&gt;"")</formula>
    </cfRule>
  </conditionalFormatting>
  <conditionalFormatting sqref="J3565">
    <cfRule type="expression" dxfId="0" priority="985">
      <formula>(#REF!&lt;&gt;"")*(#REF!&lt;&gt;"")</formula>
    </cfRule>
  </conditionalFormatting>
  <conditionalFormatting sqref="K3565">
    <cfRule type="expression" dxfId="0" priority="983">
      <formula>(#REF!&lt;&gt;"")*(#REF!&lt;&gt;"")</formula>
    </cfRule>
  </conditionalFormatting>
  <conditionalFormatting sqref="L3565:M3565">
    <cfRule type="expression" dxfId="0" priority="984">
      <formula>(#REF!&lt;&gt;"")*(#REF!&lt;&gt;"")</formula>
    </cfRule>
  </conditionalFormatting>
  <conditionalFormatting sqref="N3565">
    <cfRule type="expression" dxfId="0" priority="992">
      <formula>(#REF!&lt;&gt;"")*(#REF!&lt;&gt;"")</formula>
    </cfRule>
  </conditionalFormatting>
  <conditionalFormatting sqref="O3565">
    <cfRule type="expression" dxfId="0" priority="989">
      <formula>(#REF!&lt;&gt;"")*(#REF!&lt;&gt;"")</formula>
    </cfRule>
  </conditionalFormatting>
  <conditionalFormatting sqref="P3565">
    <cfRule type="expression" dxfId="1" priority="988">
      <formula>(#REF!&lt;&gt;"")*(#REF!&lt;&gt;"")</formula>
    </cfRule>
  </conditionalFormatting>
  <conditionalFormatting sqref="Q3565">
    <cfRule type="expression" dxfId="0" priority="991">
      <formula>(#REF!&lt;&gt;"")*(#REF!&lt;&gt;"")</formula>
    </cfRule>
    <cfRule type="expression" dxfId="1" priority="990">
      <formula>(#REF!&lt;&gt;"")*(#REF!&lt;&gt;"")</formula>
    </cfRule>
  </conditionalFormatting>
  <conditionalFormatting sqref="A3566">
    <cfRule type="expression" dxfId="0" priority="976">
      <formula>(#REF!&lt;&gt;"")*(#REF!&lt;&gt;"")</formula>
    </cfRule>
  </conditionalFormatting>
  <conditionalFormatting sqref="E3566:G3566">
    <cfRule type="expression" dxfId="0" priority="975">
      <formula>(#REF!&lt;&gt;"")*(#REF!&lt;&gt;"")</formula>
    </cfRule>
  </conditionalFormatting>
  <conditionalFormatting sqref="H3566">
    <cfRule type="expression" dxfId="0" priority="971">
      <formula>(#REF!&lt;&gt;"")*(#REF!&lt;&gt;"")</formula>
    </cfRule>
  </conditionalFormatting>
  <conditionalFormatting sqref="J3566">
    <cfRule type="expression" dxfId="0" priority="974">
      <formula>(#REF!&lt;&gt;"")*(#REF!&lt;&gt;"")</formula>
    </cfRule>
  </conditionalFormatting>
  <conditionalFormatting sqref="K3566">
    <cfRule type="expression" dxfId="0" priority="972">
      <formula>(#REF!&lt;&gt;"")*(#REF!&lt;&gt;"")</formula>
    </cfRule>
  </conditionalFormatting>
  <conditionalFormatting sqref="L3566:M3566">
    <cfRule type="expression" dxfId="0" priority="973">
      <formula>(#REF!&lt;&gt;"")*(#REF!&lt;&gt;"")</formula>
    </cfRule>
  </conditionalFormatting>
  <conditionalFormatting sqref="N3566">
    <cfRule type="expression" dxfId="0" priority="981">
      <formula>(#REF!&lt;&gt;"")*(#REF!&lt;&gt;"")</formula>
    </cfRule>
  </conditionalFormatting>
  <conditionalFormatting sqref="O3566">
    <cfRule type="expression" dxfId="0" priority="978">
      <formula>(#REF!&lt;&gt;"")*(#REF!&lt;&gt;"")</formula>
    </cfRule>
  </conditionalFormatting>
  <conditionalFormatting sqref="P3566">
    <cfRule type="expression" dxfId="1" priority="977">
      <formula>(#REF!&lt;&gt;"")*(#REF!&lt;&gt;"")</formula>
    </cfRule>
  </conditionalFormatting>
  <conditionalFormatting sqref="Q3566">
    <cfRule type="expression" dxfId="0" priority="980">
      <formula>(#REF!&lt;&gt;"")*(#REF!&lt;&gt;"")</formula>
    </cfRule>
    <cfRule type="expression" dxfId="1" priority="979">
      <formula>(#REF!&lt;&gt;"")*(#REF!&lt;&gt;"")</formula>
    </cfRule>
  </conditionalFormatting>
  <conditionalFormatting sqref="A3567">
    <cfRule type="expression" dxfId="0" priority="965">
      <formula>(#REF!&lt;&gt;"")*(#REF!&lt;&gt;"")</formula>
    </cfRule>
  </conditionalFormatting>
  <conditionalFormatting sqref="E3567:G3567">
    <cfRule type="expression" dxfId="0" priority="964">
      <formula>(#REF!&lt;&gt;"")*(#REF!&lt;&gt;"")</formula>
    </cfRule>
  </conditionalFormatting>
  <conditionalFormatting sqref="H3567">
    <cfRule type="expression" dxfId="0" priority="960">
      <formula>(#REF!&lt;&gt;"")*(#REF!&lt;&gt;"")</formula>
    </cfRule>
  </conditionalFormatting>
  <conditionalFormatting sqref="J3567">
    <cfRule type="expression" dxfId="0" priority="963">
      <formula>(#REF!&lt;&gt;"")*(#REF!&lt;&gt;"")</formula>
    </cfRule>
  </conditionalFormatting>
  <conditionalFormatting sqref="K3567">
    <cfRule type="expression" dxfId="0" priority="961">
      <formula>(#REF!&lt;&gt;"")*(#REF!&lt;&gt;"")</formula>
    </cfRule>
  </conditionalFormatting>
  <conditionalFormatting sqref="L3567:M3567">
    <cfRule type="expression" dxfId="0" priority="962">
      <formula>(#REF!&lt;&gt;"")*(#REF!&lt;&gt;"")</formula>
    </cfRule>
  </conditionalFormatting>
  <conditionalFormatting sqref="N3567">
    <cfRule type="expression" dxfId="0" priority="970">
      <formula>(#REF!&lt;&gt;"")*(#REF!&lt;&gt;"")</formula>
    </cfRule>
  </conditionalFormatting>
  <conditionalFormatting sqref="O3567">
    <cfRule type="expression" dxfId="0" priority="967">
      <formula>(#REF!&lt;&gt;"")*(#REF!&lt;&gt;"")</formula>
    </cfRule>
  </conditionalFormatting>
  <conditionalFormatting sqref="P3567">
    <cfRule type="expression" dxfId="1" priority="966">
      <formula>(#REF!&lt;&gt;"")*(#REF!&lt;&gt;"")</formula>
    </cfRule>
  </conditionalFormatting>
  <conditionalFormatting sqref="Q3567">
    <cfRule type="expression" dxfId="0" priority="969">
      <formula>(#REF!&lt;&gt;"")*(#REF!&lt;&gt;"")</formula>
    </cfRule>
    <cfRule type="expression" dxfId="1" priority="968">
      <formula>(#REF!&lt;&gt;"")*(#REF!&lt;&gt;"")</formula>
    </cfRule>
  </conditionalFormatting>
  <conditionalFormatting sqref="A3568">
    <cfRule type="expression" dxfId="0" priority="954">
      <formula>(#REF!&lt;&gt;"")*(#REF!&lt;&gt;"")</formula>
    </cfRule>
  </conditionalFormatting>
  <conditionalFormatting sqref="E3568:G3568">
    <cfRule type="expression" dxfId="0" priority="953">
      <formula>(#REF!&lt;&gt;"")*(#REF!&lt;&gt;"")</formula>
    </cfRule>
  </conditionalFormatting>
  <conditionalFormatting sqref="H3568">
    <cfRule type="expression" dxfId="0" priority="949">
      <formula>(#REF!&lt;&gt;"")*(#REF!&lt;&gt;"")</formula>
    </cfRule>
  </conditionalFormatting>
  <conditionalFormatting sqref="J3568">
    <cfRule type="expression" dxfId="0" priority="952">
      <formula>(#REF!&lt;&gt;"")*(#REF!&lt;&gt;"")</formula>
    </cfRule>
  </conditionalFormatting>
  <conditionalFormatting sqref="K3568">
    <cfRule type="expression" dxfId="0" priority="950">
      <formula>(#REF!&lt;&gt;"")*(#REF!&lt;&gt;"")</formula>
    </cfRule>
  </conditionalFormatting>
  <conditionalFormatting sqref="L3568:M3568">
    <cfRule type="expression" dxfId="0" priority="951">
      <formula>(#REF!&lt;&gt;"")*(#REF!&lt;&gt;"")</formula>
    </cfRule>
  </conditionalFormatting>
  <conditionalFormatting sqref="N3568">
    <cfRule type="expression" dxfId="0" priority="959">
      <formula>(#REF!&lt;&gt;"")*(#REF!&lt;&gt;"")</formula>
    </cfRule>
  </conditionalFormatting>
  <conditionalFormatting sqref="O3568">
    <cfRule type="expression" dxfId="0" priority="956">
      <formula>(#REF!&lt;&gt;"")*(#REF!&lt;&gt;"")</formula>
    </cfRule>
  </conditionalFormatting>
  <conditionalFormatting sqref="P3568">
    <cfRule type="expression" dxfId="1" priority="955">
      <formula>(#REF!&lt;&gt;"")*(#REF!&lt;&gt;"")</formula>
    </cfRule>
  </conditionalFormatting>
  <conditionalFormatting sqref="Q3568">
    <cfRule type="expression" dxfId="0" priority="958">
      <formula>(#REF!&lt;&gt;"")*(#REF!&lt;&gt;"")</formula>
    </cfRule>
    <cfRule type="expression" dxfId="1" priority="957">
      <formula>(#REF!&lt;&gt;"")*(#REF!&lt;&gt;"")</formula>
    </cfRule>
  </conditionalFormatting>
  <conditionalFormatting sqref="A3569">
    <cfRule type="expression" dxfId="0" priority="810">
      <formula>(#REF!&lt;&gt;"")*(#REF!&lt;&gt;"")</formula>
    </cfRule>
  </conditionalFormatting>
  <conditionalFormatting sqref="E3569:G3569">
    <cfRule type="expression" dxfId="0" priority="809">
      <formula>(#REF!&lt;&gt;"")*(#REF!&lt;&gt;"")</formula>
    </cfRule>
  </conditionalFormatting>
  <conditionalFormatting sqref="H3569">
    <cfRule type="expression" dxfId="0" priority="805">
      <formula>(#REF!&lt;&gt;"")*(#REF!&lt;&gt;"")</formula>
    </cfRule>
  </conditionalFormatting>
  <conditionalFormatting sqref="J3569">
    <cfRule type="expression" dxfId="0" priority="808">
      <formula>(#REF!&lt;&gt;"")*(#REF!&lt;&gt;"")</formula>
    </cfRule>
  </conditionalFormatting>
  <conditionalFormatting sqref="K3569">
    <cfRule type="expression" dxfId="0" priority="806">
      <formula>(#REF!&lt;&gt;"")*(#REF!&lt;&gt;"")</formula>
    </cfRule>
  </conditionalFormatting>
  <conditionalFormatting sqref="L3569:M3569">
    <cfRule type="expression" dxfId="0" priority="807">
      <formula>(#REF!&lt;&gt;"")*(#REF!&lt;&gt;"")</formula>
    </cfRule>
  </conditionalFormatting>
  <conditionalFormatting sqref="N3569">
    <cfRule type="expression" dxfId="0" priority="804">
      <formula>(#REF!&lt;&gt;"")*(#REF!&lt;&gt;"")</formula>
    </cfRule>
  </conditionalFormatting>
  <conditionalFormatting sqref="O3569">
    <cfRule type="expression" dxfId="0" priority="830">
      <formula>(#REF!&lt;&gt;"")*(#REF!&lt;&gt;"")</formula>
    </cfRule>
  </conditionalFormatting>
  <conditionalFormatting sqref="P3569">
    <cfRule type="expression" dxfId="1" priority="829">
      <formula>(#REF!&lt;&gt;"")*(#REF!&lt;&gt;"")</formula>
    </cfRule>
  </conditionalFormatting>
  <conditionalFormatting sqref="A3570">
    <cfRule type="expression" dxfId="0" priority="816">
      <formula>(#REF!&lt;&gt;"")*(#REF!&lt;&gt;"")</formula>
    </cfRule>
  </conditionalFormatting>
  <conditionalFormatting sqref="E3570:G3570">
    <cfRule type="expression" dxfId="0" priority="815">
      <formula>(#REF!&lt;&gt;"")*(#REF!&lt;&gt;"")</formula>
    </cfRule>
  </conditionalFormatting>
  <conditionalFormatting sqref="H3570">
    <cfRule type="expression" dxfId="0" priority="811">
      <formula>(#REF!&lt;&gt;"")*(#REF!&lt;&gt;"")</formula>
    </cfRule>
  </conditionalFormatting>
  <conditionalFormatting sqref="J3570">
    <cfRule type="expression" dxfId="0" priority="814">
      <formula>(#REF!&lt;&gt;"")*(#REF!&lt;&gt;"")</formula>
    </cfRule>
  </conditionalFormatting>
  <conditionalFormatting sqref="K3570">
    <cfRule type="expression" dxfId="0" priority="812">
      <formula>(#REF!&lt;&gt;"")*(#REF!&lt;&gt;"")</formula>
    </cfRule>
  </conditionalFormatting>
  <conditionalFormatting sqref="L3570:M3570">
    <cfRule type="expression" dxfId="0" priority="813">
      <formula>(#REF!&lt;&gt;"")*(#REF!&lt;&gt;"")</formula>
    </cfRule>
  </conditionalFormatting>
  <conditionalFormatting sqref="N3570">
    <cfRule type="expression" dxfId="0" priority="799">
      <formula>(#REF!&lt;&gt;"")*(#REF!&lt;&gt;"")</formula>
    </cfRule>
  </conditionalFormatting>
  <conditionalFormatting sqref="O3570">
    <cfRule type="expression" dxfId="0" priority="801">
      <formula>(#REF!&lt;&gt;"")*(#REF!&lt;&gt;"")</formula>
    </cfRule>
  </conditionalFormatting>
  <conditionalFormatting sqref="P3570">
    <cfRule type="expression" dxfId="1" priority="800">
      <formula>(#REF!&lt;&gt;"")*(#REF!&lt;&gt;"")</formula>
    </cfRule>
  </conditionalFormatting>
  <conditionalFormatting sqref="Q3570">
    <cfRule type="expression" dxfId="0" priority="803">
      <formula>(#REF!&lt;&gt;"")*(#REF!&lt;&gt;"")</formula>
    </cfRule>
    <cfRule type="expression" dxfId="1" priority="802">
      <formula>(#REF!&lt;&gt;"")*(#REF!&lt;&gt;"")</formula>
    </cfRule>
  </conditionalFormatting>
  <conditionalFormatting sqref="A3571">
    <cfRule type="expression" dxfId="0" priority="822">
      <formula>(#REF!&lt;&gt;"")*(#REF!&lt;&gt;"")</formula>
    </cfRule>
  </conditionalFormatting>
  <conditionalFormatting sqref="E3571:G3571">
    <cfRule type="expression" dxfId="0" priority="821">
      <formula>(#REF!&lt;&gt;"")*(#REF!&lt;&gt;"")</formula>
    </cfRule>
  </conditionalFormatting>
  <conditionalFormatting sqref="H3571">
    <cfRule type="expression" dxfId="0" priority="817">
      <formula>(#REF!&lt;&gt;"")*(#REF!&lt;&gt;"")</formula>
    </cfRule>
  </conditionalFormatting>
  <conditionalFormatting sqref="J3571">
    <cfRule type="expression" dxfId="0" priority="820">
      <formula>(#REF!&lt;&gt;"")*(#REF!&lt;&gt;"")</formula>
    </cfRule>
  </conditionalFormatting>
  <conditionalFormatting sqref="K3571">
    <cfRule type="expression" dxfId="0" priority="818">
      <formula>(#REF!&lt;&gt;"")*(#REF!&lt;&gt;"")</formula>
    </cfRule>
  </conditionalFormatting>
  <conditionalFormatting sqref="L3571:M3571">
    <cfRule type="expression" dxfId="0" priority="819">
      <formula>(#REF!&lt;&gt;"")*(#REF!&lt;&gt;"")</formula>
    </cfRule>
  </conditionalFormatting>
  <conditionalFormatting sqref="N3571">
    <cfRule type="expression" dxfId="0" priority="796">
      <formula>(#REF!&lt;&gt;"")*(#REF!&lt;&gt;"")</formula>
    </cfRule>
  </conditionalFormatting>
  <conditionalFormatting sqref="O3571">
    <cfRule type="expression" dxfId="0" priority="798">
      <formula>(#REF!&lt;&gt;"")*(#REF!&lt;&gt;"")</formula>
    </cfRule>
  </conditionalFormatting>
  <conditionalFormatting sqref="P3571">
    <cfRule type="expression" dxfId="1" priority="797">
      <formula>(#REF!&lt;&gt;"")*(#REF!&lt;&gt;"")</formula>
    </cfRule>
  </conditionalFormatting>
  <conditionalFormatting sqref="A3572">
    <cfRule type="expression" dxfId="0" priority="775">
      <formula>(#REF!&lt;&gt;"")*(#REF!&lt;&gt;"")</formula>
    </cfRule>
  </conditionalFormatting>
  <conditionalFormatting sqref="E3572:G3572">
    <cfRule type="expression" dxfId="0" priority="774">
      <formula>(#REF!&lt;&gt;"")*(#REF!&lt;&gt;"")</formula>
    </cfRule>
  </conditionalFormatting>
  <conditionalFormatting sqref="H3572">
    <cfRule type="expression" dxfId="0" priority="770">
      <formula>(#REF!&lt;&gt;"")*(#REF!&lt;&gt;"")</formula>
    </cfRule>
  </conditionalFormatting>
  <conditionalFormatting sqref="J3572">
    <cfRule type="expression" dxfId="0" priority="773">
      <formula>(#REF!&lt;&gt;"")*(#REF!&lt;&gt;"")</formula>
    </cfRule>
  </conditionalFormatting>
  <conditionalFormatting sqref="K3572">
    <cfRule type="expression" dxfId="0" priority="771">
      <formula>(#REF!&lt;&gt;"")*(#REF!&lt;&gt;"")</formula>
    </cfRule>
  </conditionalFormatting>
  <conditionalFormatting sqref="L3572:M3572">
    <cfRule type="expression" dxfId="0" priority="772">
      <formula>(#REF!&lt;&gt;"")*(#REF!&lt;&gt;"")</formula>
    </cfRule>
  </conditionalFormatting>
  <conditionalFormatting sqref="N3572">
    <cfRule type="expression" dxfId="0" priority="767">
      <formula>(#REF!&lt;&gt;"")*(#REF!&lt;&gt;"")</formula>
    </cfRule>
  </conditionalFormatting>
  <conditionalFormatting sqref="O3572">
    <cfRule type="expression" dxfId="0" priority="769">
      <formula>(#REF!&lt;&gt;"")*(#REF!&lt;&gt;"")</formula>
    </cfRule>
  </conditionalFormatting>
  <conditionalFormatting sqref="P3572">
    <cfRule type="expression" dxfId="1" priority="768">
      <formula>(#REF!&lt;&gt;"")*(#REF!&lt;&gt;"")</formula>
    </cfRule>
  </conditionalFormatting>
  <conditionalFormatting sqref="Q3572">
    <cfRule type="expression" dxfId="0" priority="777">
      <formula>(#REF!&lt;&gt;"")*(#REF!&lt;&gt;"")</formula>
    </cfRule>
    <cfRule type="expression" dxfId="1" priority="776">
      <formula>(#REF!&lt;&gt;"")*(#REF!&lt;&gt;"")</formula>
    </cfRule>
  </conditionalFormatting>
  <conditionalFormatting sqref="A3573">
    <cfRule type="expression" dxfId="0" priority="828">
      <formula>(#REF!&lt;&gt;"")*(#REF!&lt;&gt;"")</formula>
    </cfRule>
  </conditionalFormatting>
  <conditionalFormatting sqref="E3573:G3573">
    <cfRule type="expression" dxfId="0" priority="827">
      <formula>(#REF!&lt;&gt;"")*(#REF!&lt;&gt;"")</formula>
    </cfRule>
  </conditionalFormatting>
  <conditionalFormatting sqref="H3573">
    <cfRule type="expression" dxfId="0" priority="823">
      <formula>(#REF!&lt;&gt;"")*(#REF!&lt;&gt;"")</formula>
    </cfRule>
  </conditionalFormatting>
  <conditionalFormatting sqref="J3573">
    <cfRule type="expression" dxfId="0" priority="826">
      <formula>(#REF!&lt;&gt;"")*(#REF!&lt;&gt;"")</formula>
    </cfRule>
  </conditionalFormatting>
  <conditionalFormatting sqref="K3573">
    <cfRule type="expression" dxfId="0" priority="824">
      <formula>(#REF!&lt;&gt;"")*(#REF!&lt;&gt;"")</formula>
    </cfRule>
  </conditionalFormatting>
  <conditionalFormatting sqref="L3573:M3573">
    <cfRule type="expression" dxfId="0" priority="825">
      <formula>(#REF!&lt;&gt;"")*(#REF!&lt;&gt;"")</formula>
    </cfRule>
  </conditionalFormatting>
  <conditionalFormatting sqref="N3573">
    <cfRule type="expression" dxfId="0" priority="795">
      <formula>(#REF!&lt;&gt;"")*(#REF!&lt;&gt;"")</formula>
    </cfRule>
  </conditionalFormatting>
  <conditionalFormatting sqref="O3573">
    <cfRule type="expression" dxfId="0" priority="794">
      <formula>(#REF!&lt;&gt;"")*(#REF!&lt;&gt;"")</formula>
    </cfRule>
  </conditionalFormatting>
  <conditionalFormatting sqref="P3573">
    <cfRule type="expression" dxfId="1" priority="793">
      <formula>(#REF!&lt;&gt;"")*(#REF!&lt;&gt;"")</formula>
    </cfRule>
  </conditionalFormatting>
  <conditionalFormatting sqref="A3574">
    <cfRule type="expression" dxfId="0" priority="839">
      <formula>(#REF!&lt;&gt;"")*(#REF!&lt;&gt;"")</formula>
    </cfRule>
  </conditionalFormatting>
  <conditionalFormatting sqref="E3574:G3574">
    <cfRule type="expression" dxfId="0" priority="838">
      <formula>(#REF!&lt;&gt;"")*(#REF!&lt;&gt;"")</formula>
    </cfRule>
  </conditionalFormatting>
  <conditionalFormatting sqref="H3574">
    <cfRule type="expression" dxfId="0" priority="834">
      <formula>(#REF!&lt;&gt;"")*(#REF!&lt;&gt;"")</formula>
    </cfRule>
  </conditionalFormatting>
  <conditionalFormatting sqref="J3574">
    <cfRule type="expression" dxfId="0" priority="837">
      <formula>(#REF!&lt;&gt;"")*(#REF!&lt;&gt;"")</formula>
    </cfRule>
  </conditionalFormatting>
  <conditionalFormatting sqref="K3574">
    <cfRule type="expression" dxfId="0" priority="835">
      <formula>(#REF!&lt;&gt;"")*(#REF!&lt;&gt;"")</formula>
    </cfRule>
  </conditionalFormatting>
  <conditionalFormatting sqref="L3574:M3574">
    <cfRule type="expression" dxfId="0" priority="836">
      <formula>(#REF!&lt;&gt;"")*(#REF!&lt;&gt;"")</formula>
    </cfRule>
  </conditionalFormatting>
  <conditionalFormatting sqref="N3574">
    <cfRule type="expression" dxfId="0" priority="790">
      <formula>(#REF!&lt;&gt;"")*(#REF!&lt;&gt;"")</formula>
    </cfRule>
  </conditionalFormatting>
  <conditionalFormatting sqref="O3574">
    <cfRule type="expression" dxfId="0" priority="789">
      <formula>(#REF!&lt;&gt;"")*(#REF!&lt;&gt;"")</formula>
    </cfRule>
  </conditionalFormatting>
  <conditionalFormatting sqref="P3574">
    <cfRule type="expression" dxfId="1" priority="788">
      <formula>(#REF!&lt;&gt;"")*(#REF!&lt;&gt;"")</formula>
    </cfRule>
  </conditionalFormatting>
  <conditionalFormatting sqref="Q3574">
    <cfRule type="expression" dxfId="0" priority="792">
      <formula>(#REF!&lt;&gt;"")*(#REF!&lt;&gt;"")</formula>
    </cfRule>
    <cfRule type="expression" dxfId="1" priority="791">
      <formula>(#REF!&lt;&gt;"")*(#REF!&lt;&gt;"")</formula>
    </cfRule>
  </conditionalFormatting>
  <conditionalFormatting sqref="A3575">
    <cfRule type="expression" dxfId="0" priority="845">
      <formula>(#REF!&lt;&gt;"")*(#REF!&lt;&gt;"")</formula>
    </cfRule>
  </conditionalFormatting>
  <conditionalFormatting sqref="E3575:G3575">
    <cfRule type="expression" dxfId="0" priority="844">
      <formula>(#REF!&lt;&gt;"")*(#REF!&lt;&gt;"")</formula>
    </cfRule>
  </conditionalFormatting>
  <conditionalFormatting sqref="H3575">
    <cfRule type="expression" dxfId="0" priority="840">
      <formula>(#REF!&lt;&gt;"")*(#REF!&lt;&gt;"")</formula>
    </cfRule>
  </conditionalFormatting>
  <conditionalFormatting sqref="J3575">
    <cfRule type="expression" dxfId="0" priority="843">
      <formula>(#REF!&lt;&gt;"")*(#REF!&lt;&gt;"")</formula>
    </cfRule>
  </conditionalFormatting>
  <conditionalFormatting sqref="K3575">
    <cfRule type="expression" dxfId="0" priority="841">
      <formula>(#REF!&lt;&gt;"")*(#REF!&lt;&gt;"")</formula>
    </cfRule>
  </conditionalFormatting>
  <conditionalFormatting sqref="L3575:M3575">
    <cfRule type="expression" dxfId="0" priority="842">
      <formula>(#REF!&lt;&gt;"")*(#REF!&lt;&gt;"")</formula>
    </cfRule>
  </conditionalFormatting>
  <conditionalFormatting sqref="N3575">
    <cfRule type="expression" dxfId="0" priority="787">
      <formula>(#REF!&lt;&gt;"")*(#REF!&lt;&gt;"")</formula>
    </cfRule>
  </conditionalFormatting>
  <conditionalFormatting sqref="O3575">
    <cfRule type="expression" dxfId="0" priority="784">
      <formula>(#REF!&lt;&gt;"")*(#REF!&lt;&gt;"")</formula>
    </cfRule>
  </conditionalFormatting>
  <conditionalFormatting sqref="P3575">
    <cfRule type="expression" dxfId="1" priority="783">
      <formula>(#REF!&lt;&gt;"")*(#REF!&lt;&gt;"")</formula>
    </cfRule>
  </conditionalFormatting>
  <conditionalFormatting sqref="Q3575">
    <cfRule type="expression" dxfId="0" priority="786">
      <formula>(#REF!&lt;&gt;"")*(#REF!&lt;&gt;"")</formula>
    </cfRule>
    <cfRule type="expression" dxfId="1" priority="785">
      <formula>(#REF!&lt;&gt;"")*(#REF!&lt;&gt;"")</formula>
    </cfRule>
  </conditionalFormatting>
  <conditionalFormatting sqref="A3576">
    <cfRule type="expression" dxfId="0" priority="851">
      <formula>(#REF!&lt;&gt;"")*(#REF!&lt;&gt;"")</formula>
    </cfRule>
  </conditionalFormatting>
  <conditionalFormatting sqref="E3576:G3576">
    <cfRule type="expression" dxfId="0" priority="850">
      <formula>(#REF!&lt;&gt;"")*(#REF!&lt;&gt;"")</formula>
    </cfRule>
  </conditionalFormatting>
  <conditionalFormatting sqref="H3576">
    <cfRule type="expression" dxfId="0" priority="846">
      <formula>(#REF!&lt;&gt;"")*(#REF!&lt;&gt;"")</formula>
    </cfRule>
  </conditionalFormatting>
  <conditionalFormatting sqref="J3576">
    <cfRule type="expression" dxfId="0" priority="849">
      <formula>(#REF!&lt;&gt;"")*(#REF!&lt;&gt;"")</formula>
    </cfRule>
  </conditionalFormatting>
  <conditionalFormatting sqref="K3576">
    <cfRule type="expression" dxfId="0" priority="847">
      <formula>(#REF!&lt;&gt;"")*(#REF!&lt;&gt;"")</formula>
    </cfRule>
  </conditionalFormatting>
  <conditionalFormatting sqref="L3576:M3576">
    <cfRule type="expression" dxfId="0" priority="848">
      <formula>(#REF!&lt;&gt;"")*(#REF!&lt;&gt;"")</formula>
    </cfRule>
  </conditionalFormatting>
  <conditionalFormatting sqref="A3577">
    <cfRule type="expression" dxfId="0" priority="635">
      <formula>(#REF!&lt;&gt;"")*(#REF!&lt;&gt;"")</formula>
    </cfRule>
  </conditionalFormatting>
  <conditionalFormatting sqref="E3577:G3577">
    <cfRule type="expression" dxfId="0" priority="634">
      <formula>(#REF!&lt;&gt;"")*(#REF!&lt;&gt;"")</formula>
    </cfRule>
  </conditionalFormatting>
  <conditionalFormatting sqref="H3577">
    <cfRule type="expression" dxfId="0" priority="631">
      <formula>(#REF!&lt;&gt;"")*(#REF!&lt;&gt;"")</formula>
    </cfRule>
  </conditionalFormatting>
  <conditionalFormatting sqref="J3577">
    <cfRule type="expression" dxfId="0" priority="633">
      <formula>(#REF!&lt;&gt;"")*(#REF!&lt;&gt;"")</formula>
    </cfRule>
  </conditionalFormatting>
  <conditionalFormatting sqref="K3577">
    <cfRule type="expression" dxfId="0" priority="632">
      <formula>(#REF!&lt;&gt;"")*(#REF!&lt;&gt;"")</formula>
    </cfRule>
  </conditionalFormatting>
  <conditionalFormatting sqref="M3577">
    <cfRule type="expression" dxfId="0" priority="630">
      <formula>(#REF!&lt;&gt;"")*(#REF!&lt;&gt;"")</formula>
    </cfRule>
  </conditionalFormatting>
  <conditionalFormatting sqref="R3577">
    <cfRule type="expression" dxfId="0" priority="517">
      <formula>(#REF!&lt;&gt;"")*(#REF!&lt;&gt;"")</formula>
    </cfRule>
  </conditionalFormatting>
  <conditionalFormatting sqref="R3578">
    <cfRule type="expression" dxfId="0" priority="516">
      <formula>(#REF!&lt;&gt;"")*(#REF!&lt;&gt;"")</formula>
    </cfRule>
  </conditionalFormatting>
  <conditionalFormatting sqref="O3579">
    <cfRule type="expression" dxfId="0" priority="552">
      <formula>(#REF!&lt;&gt;"")*(#REF!&lt;&gt;"")</formula>
    </cfRule>
  </conditionalFormatting>
  <conditionalFormatting sqref="P3579">
    <cfRule type="expression" dxfId="1" priority="551">
      <formula>(#REF!&lt;&gt;"")*(#REF!&lt;&gt;"")</formula>
    </cfRule>
  </conditionalFormatting>
  <conditionalFormatting sqref="O3580">
    <cfRule type="expression" dxfId="0" priority="550">
      <formula>(#REF!&lt;&gt;"")*(#REF!&lt;&gt;"")</formula>
    </cfRule>
  </conditionalFormatting>
  <conditionalFormatting sqref="P3580">
    <cfRule type="expression" dxfId="1" priority="549">
      <formula>(#REF!&lt;&gt;"")*(#REF!&lt;&gt;"")</formula>
    </cfRule>
  </conditionalFormatting>
  <conditionalFormatting sqref="O3581">
    <cfRule type="expression" dxfId="0" priority="546">
      <formula>(#REF!&lt;&gt;"")*(#REF!&lt;&gt;"")</formula>
    </cfRule>
  </conditionalFormatting>
  <conditionalFormatting sqref="P3581">
    <cfRule type="expression" dxfId="1" priority="545">
      <formula>(#REF!&lt;&gt;"")*(#REF!&lt;&gt;"")</formula>
    </cfRule>
  </conditionalFormatting>
  <conditionalFormatting sqref="Q3581">
    <cfRule type="expression" dxfId="0" priority="548">
      <formula>(#REF!&lt;&gt;"")*(#REF!&lt;&gt;"")</formula>
    </cfRule>
    <cfRule type="expression" dxfId="1" priority="547">
      <formula>(#REF!&lt;&gt;"")*(#REF!&lt;&gt;"")</formula>
    </cfRule>
  </conditionalFormatting>
  <conditionalFormatting sqref="O3582">
    <cfRule type="expression" dxfId="0" priority="542">
      <formula>(#REF!&lt;&gt;"")*(#REF!&lt;&gt;"")</formula>
    </cfRule>
  </conditionalFormatting>
  <conditionalFormatting sqref="P3582">
    <cfRule type="expression" dxfId="1" priority="541">
      <formula>(#REF!&lt;&gt;"")*(#REF!&lt;&gt;"")</formula>
    </cfRule>
  </conditionalFormatting>
  <conditionalFormatting sqref="Q3582">
    <cfRule type="expression" dxfId="0" priority="544">
      <formula>(#REF!&lt;&gt;"")*(#REF!&lt;&gt;"")</formula>
    </cfRule>
    <cfRule type="expression" dxfId="1" priority="543">
      <formula>(#REF!&lt;&gt;"")*(#REF!&lt;&gt;"")</formula>
    </cfRule>
  </conditionalFormatting>
  <conditionalFormatting sqref="O3583">
    <cfRule type="expression" dxfId="0" priority="538">
      <formula>(#REF!&lt;&gt;"")*(#REF!&lt;&gt;"")</formula>
    </cfRule>
  </conditionalFormatting>
  <conditionalFormatting sqref="P3583">
    <cfRule type="expression" dxfId="1" priority="537">
      <formula>(#REF!&lt;&gt;"")*(#REF!&lt;&gt;"")</formula>
    </cfRule>
  </conditionalFormatting>
  <conditionalFormatting sqref="Q3583">
    <cfRule type="expression" dxfId="0" priority="540">
      <formula>(#REF!&lt;&gt;"")*(#REF!&lt;&gt;"")</formula>
    </cfRule>
    <cfRule type="expression" dxfId="1" priority="539">
      <formula>(#REF!&lt;&gt;"")*(#REF!&lt;&gt;"")</formula>
    </cfRule>
  </conditionalFormatting>
  <conditionalFormatting sqref="O3584">
    <cfRule type="expression" dxfId="0" priority="536">
      <formula>(#REF!&lt;&gt;"")*(#REF!&lt;&gt;"")</formula>
    </cfRule>
  </conditionalFormatting>
  <conditionalFormatting sqref="P3584">
    <cfRule type="expression" dxfId="1" priority="535">
      <formula>(#REF!&lt;&gt;"")*(#REF!&lt;&gt;"")</formula>
    </cfRule>
  </conditionalFormatting>
  <conditionalFormatting sqref="O3585">
    <cfRule type="expression" dxfId="0" priority="534">
      <formula>(#REF!&lt;&gt;"")*(#REF!&lt;&gt;"")</formula>
    </cfRule>
  </conditionalFormatting>
  <conditionalFormatting sqref="P3585">
    <cfRule type="expression" dxfId="1" priority="531">
      <formula>(#REF!&lt;&gt;"")*(#REF!&lt;&gt;"")</formula>
    </cfRule>
  </conditionalFormatting>
  <conditionalFormatting sqref="Q3585">
    <cfRule type="expression" dxfId="1" priority="1">
      <formula>(#REF!&lt;&gt;"")*(#REF!&lt;&gt;"")</formula>
    </cfRule>
    <cfRule type="expression" dxfId="0" priority="2">
      <formula>(#REF!&lt;&gt;"")*(#REF!&lt;&gt;"")</formula>
    </cfRule>
  </conditionalFormatting>
  <conditionalFormatting sqref="K3588">
    <cfRule type="expression" dxfId="0" priority="501">
      <formula>(#REF!&lt;&gt;"")*(#REF!&lt;&gt;"")</formula>
    </cfRule>
  </conditionalFormatting>
  <conditionalFormatting sqref="O3588">
    <cfRule type="expression" dxfId="0" priority="503">
      <formula>(#REF!&lt;&gt;"")*(#REF!&lt;&gt;"")</formula>
    </cfRule>
  </conditionalFormatting>
  <conditionalFormatting sqref="P3588">
    <cfRule type="expression" dxfId="1" priority="502">
      <formula>(#REF!&lt;&gt;"")*(#REF!&lt;&gt;"")</formula>
    </cfRule>
  </conditionalFormatting>
  <conditionalFormatting sqref="Q3588">
    <cfRule type="expression" dxfId="0" priority="505">
      <formula>(#REF!&lt;&gt;"")*(#REF!&lt;&gt;"")</formula>
    </cfRule>
    <cfRule type="expression" dxfId="1" priority="504">
      <formula>(#REF!&lt;&gt;"")*(#REF!&lt;&gt;"")</formula>
    </cfRule>
  </conditionalFormatting>
  <conditionalFormatting sqref="H3589">
    <cfRule type="expression" dxfId="0" priority="498">
      <formula>(#REF!&lt;&gt;"")*(#REF!&lt;&gt;"")</formula>
    </cfRule>
  </conditionalFormatting>
  <conditionalFormatting sqref="O3589">
    <cfRule type="expression" dxfId="0" priority="500">
      <formula>(#REF!&lt;&gt;"")*(#REF!&lt;&gt;"")</formula>
    </cfRule>
  </conditionalFormatting>
  <conditionalFormatting sqref="P3589">
    <cfRule type="expression" dxfId="1" priority="499">
      <formula>(#REF!&lt;&gt;"")*(#REF!&lt;&gt;"")</formula>
    </cfRule>
  </conditionalFormatting>
  <conditionalFormatting sqref="A3593">
    <cfRule type="expression" dxfId="0" priority="3073">
      <formula>(#REF!&lt;&gt;"")*(#REF!&lt;&gt;"")</formula>
    </cfRule>
  </conditionalFormatting>
  <conditionalFormatting sqref="A3595">
    <cfRule type="expression" dxfId="0" priority="3072">
      <formula>(#REF!&lt;&gt;"")*(#REF!&lt;&gt;"")</formula>
    </cfRule>
  </conditionalFormatting>
  <conditionalFormatting sqref="M3602">
    <cfRule type="expression" dxfId="0" priority="2820">
      <formula>(#REF!&lt;&gt;"")*(#REF!&lt;&gt;"")</formula>
    </cfRule>
  </conditionalFormatting>
  <conditionalFormatting sqref="P3602:Q3602">
    <cfRule type="expression" dxfId="1" priority="2818">
      <formula>(#REF!&lt;&gt;"")*(#REF!&lt;&gt;"")</formula>
    </cfRule>
  </conditionalFormatting>
  <conditionalFormatting sqref="Q3602">
    <cfRule type="expression" dxfId="0" priority="2819">
      <formula>(#REF!&lt;&gt;"")*(#REF!&lt;&gt;"")</formula>
    </cfRule>
  </conditionalFormatting>
  <conditionalFormatting sqref="R3602">
    <cfRule type="expression" dxfId="0" priority="2722">
      <formula>(#REF!&lt;&gt;"")*(#REF!&lt;&gt;"")</formula>
    </cfRule>
  </conditionalFormatting>
  <conditionalFormatting sqref="N3604">
    <cfRule type="expression" dxfId="0" priority="2817">
      <formula>(#REF!&lt;&gt;"")*(#REF!&lt;&gt;"")</formula>
    </cfRule>
  </conditionalFormatting>
  <conditionalFormatting sqref="R3604">
    <cfRule type="expression" dxfId="0" priority="2721">
      <formula>(#REF!&lt;&gt;"")*(#REF!&lt;&gt;"")</formula>
    </cfRule>
  </conditionalFormatting>
  <conditionalFormatting sqref="A3606">
    <cfRule type="expression" dxfId="0" priority="2815">
      <formula>(#REF!&lt;&gt;"")*(#REF!&lt;&gt;"")</formula>
    </cfRule>
  </conditionalFormatting>
  <conditionalFormatting sqref="M3606">
    <cfRule type="expression" dxfId="0" priority="2816">
      <formula>(#REF!&lt;&gt;"")*(#REF!&lt;&gt;"")</formula>
    </cfRule>
  </conditionalFormatting>
  <conditionalFormatting sqref="N3606">
    <cfRule type="expression" dxfId="0" priority="2813">
      <formula>(#REF!&lt;&gt;"")*(#REF!&lt;&gt;"")</formula>
    </cfRule>
  </conditionalFormatting>
  <conditionalFormatting sqref="P3606:Q3606">
    <cfRule type="expression" dxfId="1" priority="2814">
      <formula>(#REF!&lt;&gt;"")*(#REF!&lt;&gt;"")</formula>
    </cfRule>
  </conditionalFormatting>
  <conditionalFormatting sqref="R3606">
    <cfRule type="expression" dxfId="0" priority="2720">
      <formula>(#REF!&lt;&gt;"")*(#REF!&lt;&gt;"")</formula>
    </cfRule>
  </conditionalFormatting>
  <conditionalFormatting sqref="E3608:G3608">
    <cfRule type="expression" dxfId="0" priority="2811">
      <formula>(#REF!&lt;&gt;"")*(#REF!&lt;&gt;"")</formula>
    </cfRule>
  </conditionalFormatting>
  <conditionalFormatting sqref="M3608">
    <cfRule type="expression" dxfId="0" priority="2812">
      <formula>(#REF!&lt;&gt;"")*(#REF!&lt;&gt;"")</formula>
    </cfRule>
  </conditionalFormatting>
  <conditionalFormatting sqref="N3608">
    <cfRule type="expression" dxfId="0" priority="2809">
      <formula>(#REF!&lt;&gt;"")*(#REF!&lt;&gt;"")</formula>
    </cfRule>
  </conditionalFormatting>
  <conditionalFormatting sqref="P3608:Q3608">
    <cfRule type="expression" dxfId="1" priority="2810">
      <formula>(#REF!&lt;&gt;"")*(#REF!&lt;&gt;"")</formula>
    </cfRule>
  </conditionalFormatting>
  <conditionalFormatting sqref="R3608">
    <cfRule type="expression" dxfId="0" priority="2719">
      <formula>(#REF!&lt;&gt;"")*(#REF!&lt;&gt;"")</formula>
    </cfRule>
  </conditionalFormatting>
  <conditionalFormatting sqref="E3609:G3609">
    <cfRule type="expression" dxfId="0" priority="3191">
      <formula>(#REF!&lt;&gt;"")*(#REF!&lt;&gt;"")</formula>
    </cfRule>
  </conditionalFormatting>
  <conditionalFormatting sqref="A3616">
    <cfRule type="expression" dxfId="0" priority="2806">
      <formula>(#REF!&lt;&gt;"")*(#REF!&lt;&gt;"")</formula>
    </cfRule>
  </conditionalFormatting>
  <conditionalFormatting sqref="M3616">
    <cfRule type="expression" dxfId="0" priority="2808">
      <formula>(#REF!&lt;&gt;"")*(#REF!&lt;&gt;"")</formula>
    </cfRule>
  </conditionalFormatting>
  <conditionalFormatting sqref="N3616">
    <cfRule type="expression" dxfId="0" priority="2802">
      <formula>(#REF!&lt;&gt;"")*(#REF!&lt;&gt;"")</formula>
    </cfRule>
  </conditionalFormatting>
  <conditionalFormatting sqref="P3616:Q3616">
    <cfRule type="expression" dxfId="1" priority="2807">
      <formula>(#REF!&lt;&gt;"")*(#REF!&lt;&gt;"")</formula>
    </cfRule>
  </conditionalFormatting>
  <conditionalFormatting sqref="R3616">
    <cfRule type="expression" dxfId="0" priority="2718">
      <formula>(#REF!&lt;&gt;"")*(#REF!&lt;&gt;"")</formula>
    </cfRule>
  </conditionalFormatting>
  <conditionalFormatting sqref="T3616">
    <cfRule type="expression" dxfId="0" priority="2801">
      <formula>(#REF!&lt;&gt;"")*(#REF!&lt;&gt;"")</formula>
    </cfRule>
  </conditionalFormatting>
  <conditionalFormatting sqref="M3618">
    <cfRule type="expression" dxfId="0" priority="2805">
      <formula>(#REF!&lt;&gt;"")*(#REF!&lt;&gt;"")</formula>
    </cfRule>
  </conditionalFormatting>
  <conditionalFormatting sqref="N3618">
    <cfRule type="expression" dxfId="0" priority="2799">
      <formula>(#REF!&lt;&gt;"")*(#REF!&lt;&gt;"")</formula>
    </cfRule>
  </conditionalFormatting>
  <conditionalFormatting sqref="P3618:Q3618">
    <cfRule type="expression" dxfId="1" priority="2804">
      <formula>(#REF!&lt;&gt;"")*(#REF!&lt;&gt;"")</formula>
    </cfRule>
  </conditionalFormatting>
  <conditionalFormatting sqref="R3618">
    <cfRule type="expression" dxfId="0" priority="2717">
      <formula>(#REF!&lt;&gt;"")*(#REF!&lt;&gt;"")</formula>
    </cfRule>
  </conditionalFormatting>
  <conditionalFormatting sqref="T3618">
    <cfRule type="expression" dxfId="0" priority="2800">
      <formula>(#REF!&lt;&gt;"")*(#REF!&lt;&gt;"")</formula>
    </cfRule>
  </conditionalFormatting>
  <conditionalFormatting sqref="P3620:Q3620">
    <cfRule type="expression" dxfId="1" priority="1061">
      <formula>(#REF!&lt;&gt;"")*(#REF!&lt;&gt;"")</formula>
    </cfRule>
  </conditionalFormatting>
  <conditionalFormatting sqref="N3622:O3622">
    <cfRule type="expression" dxfId="0" priority="1057">
      <formula>(#REF!&lt;&gt;"")*(#REF!&lt;&gt;"")</formula>
    </cfRule>
  </conditionalFormatting>
  <conditionalFormatting sqref="P3622:Q3622">
    <cfRule type="expression" dxfId="1" priority="1059">
      <formula>(#REF!&lt;&gt;"")*(#REF!&lt;&gt;"")</formula>
    </cfRule>
  </conditionalFormatting>
  <conditionalFormatting sqref="A3625">
    <cfRule type="expression" dxfId="0" priority="2796">
      <formula>(#REF!&lt;&gt;"")*(#REF!&lt;&gt;"")</formula>
    </cfRule>
  </conditionalFormatting>
  <conditionalFormatting sqref="M3625">
    <cfRule type="expression" dxfId="0" priority="2798">
      <formula>(#REF!&lt;&gt;"")*(#REF!&lt;&gt;"")</formula>
    </cfRule>
  </conditionalFormatting>
  <conditionalFormatting sqref="N3625">
    <cfRule type="expression" dxfId="0" priority="2795">
      <formula>(#REF!&lt;&gt;"")*(#REF!&lt;&gt;"")</formula>
    </cfRule>
  </conditionalFormatting>
  <conditionalFormatting sqref="P3625:Q3625">
    <cfRule type="expression" dxfId="1" priority="2797">
      <formula>(#REF!&lt;&gt;"")*(#REF!&lt;&gt;"")</formula>
    </cfRule>
  </conditionalFormatting>
  <conditionalFormatting sqref="R3625">
    <cfRule type="expression" dxfId="0" priority="2716">
      <formula>(#REF!&lt;&gt;"")*(#REF!&lt;&gt;"")</formula>
    </cfRule>
  </conditionalFormatting>
  <conditionalFormatting sqref="T3625">
    <cfRule type="expression" dxfId="0" priority="2794">
      <formula>(#REF!&lt;&gt;"")*(#REF!&lt;&gt;"")</formula>
    </cfRule>
  </conditionalFormatting>
  <conditionalFormatting sqref="A3627">
    <cfRule type="expression" dxfId="0" priority="2791">
      <formula>(#REF!&lt;&gt;"")*(#REF!&lt;&gt;"")</formula>
    </cfRule>
  </conditionalFormatting>
  <conditionalFormatting sqref="M3627">
    <cfRule type="expression" dxfId="0" priority="2793">
      <formula>(#REF!&lt;&gt;"")*(#REF!&lt;&gt;"")</formula>
    </cfRule>
  </conditionalFormatting>
  <conditionalFormatting sqref="N3627">
    <cfRule type="expression" dxfId="0" priority="2790">
      <formula>(#REF!&lt;&gt;"")*(#REF!&lt;&gt;"")</formula>
    </cfRule>
  </conditionalFormatting>
  <conditionalFormatting sqref="P3627:Q3627">
    <cfRule type="expression" dxfId="1" priority="2792">
      <formula>(#REF!&lt;&gt;"")*(#REF!&lt;&gt;"")</formula>
    </cfRule>
  </conditionalFormatting>
  <conditionalFormatting sqref="R3627">
    <cfRule type="expression" dxfId="0" priority="2715">
      <formula>(#REF!&lt;&gt;"")*(#REF!&lt;&gt;"")</formula>
    </cfRule>
  </conditionalFormatting>
  <conditionalFormatting sqref="T3627">
    <cfRule type="expression" dxfId="0" priority="2779">
      <formula>(#REF!&lt;&gt;"")*(#REF!&lt;&gt;"")</formula>
    </cfRule>
  </conditionalFormatting>
  <conditionalFormatting sqref="A3629">
    <cfRule type="expression" dxfId="0" priority="2787">
      <formula>(#REF!&lt;&gt;"")*(#REF!&lt;&gt;"")</formula>
    </cfRule>
  </conditionalFormatting>
  <conditionalFormatting sqref="M3629">
    <cfRule type="expression" dxfId="0" priority="2789">
      <formula>(#REF!&lt;&gt;"")*(#REF!&lt;&gt;"")</formula>
    </cfRule>
  </conditionalFormatting>
  <conditionalFormatting sqref="N3629">
    <cfRule type="expression" dxfId="0" priority="2786">
      <formula>(#REF!&lt;&gt;"")*(#REF!&lt;&gt;"")</formula>
    </cfRule>
  </conditionalFormatting>
  <conditionalFormatting sqref="P3629">
    <cfRule type="expression" dxfId="1" priority="2788">
      <formula>(#REF!&lt;&gt;"")*(#REF!&lt;&gt;"")</formula>
    </cfRule>
  </conditionalFormatting>
  <conditionalFormatting sqref="Q3629">
    <cfRule type="expression" dxfId="0" priority="2780">
      <formula>(#REF!&lt;&gt;"")*(#REF!&lt;&gt;"")</formula>
    </cfRule>
    <cfRule type="expression" dxfId="1" priority="2781">
      <formula>(#REF!&lt;&gt;"")*(#REF!&lt;&gt;"")</formula>
    </cfRule>
  </conditionalFormatting>
  <conditionalFormatting sqref="R3629">
    <cfRule type="expression" dxfId="0" priority="2714">
      <formula>(#REF!&lt;&gt;"")*(#REF!&lt;&gt;"")</formula>
    </cfRule>
  </conditionalFormatting>
  <conditionalFormatting sqref="T3629">
    <cfRule type="expression" dxfId="0" priority="2778">
      <formula>(#REF!&lt;&gt;"")*(#REF!&lt;&gt;"")</formula>
    </cfRule>
  </conditionalFormatting>
  <conditionalFormatting sqref="A3631">
    <cfRule type="expression" dxfId="0" priority="2783">
      <formula>(#REF!&lt;&gt;"")*(#REF!&lt;&gt;"")</formula>
    </cfRule>
  </conditionalFormatting>
  <conditionalFormatting sqref="M3631">
    <cfRule type="expression" dxfId="0" priority="2785">
      <formula>(#REF!&lt;&gt;"")*(#REF!&lt;&gt;"")</formula>
    </cfRule>
  </conditionalFormatting>
  <conditionalFormatting sqref="N3631">
    <cfRule type="expression" dxfId="0" priority="2782">
      <formula>(#REF!&lt;&gt;"")*(#REF!&lt;&gt;"")</formula>
    </cfRule>
  </conditionalFormatting>
  <conditionalFormatting sqref="P3631:Q3631">
    <cfRule type="expression" dxfId="1" priority="2784">
      <formula>(#REF!&lt;&gt;"")*(#REF!&lt;&gt;"")</formula>
    </cfRule>
  </conditionalFormatting>
  <conditionalFormatting sqref="R3631">
    <cfRule type="expression" dxfId="0" priority="2713">
      <formula>(#REF!&lt;&gt;"")*(#REF!&lt;&gt;"")</formula>
    </cfRule>
  </conditionalFormatting>
  <conditionalFormatting sqref="T3631">
    <cfRule type="expression" dxfId="0" priority="2777">
      <formula>(#REF!&lt;&gt;"")*(#REF!&lt;&gt;"")</formula>
    </cfRule>
  </conditionalFormatting>
  <conditionalFormatting sqref="M3638">
    <cfRule type="expression" dxfId="0" priority="2858">
      <formula>(#REF!&lt;&gt;"")*(#REF!&lt;&gt;"")</formula>
    </cfRule>
  </conditionalFormatting>
  <conditionalFormatting sqref="P3638:Q3638">
    <cfRule type="expression" dxfId="1" priority="2860">
      <formula>(#REF!&lt;&gt;"")*(#REF!&lt;&gt;"")</formula>
    </cfRule>
  </conditionalFormatting>
  <conditionalFormatting sqref="Q3638">
    <cfRule type="expression" dxfId="0" priority="2859">
      <formula>(#REF!&lt;&gt;"")*(#REF!&lt;&gt;"")</formula>
    </cfRule>
  </conditionalFormatting>
  <conditionalFormatting sqref="A3640">
    <cfRule type="expression" dxfId="0" priority="2653">
      <formula>(#REF!&lt;&gt;"")*(#REF!&lt;&gt;"")</formula>
    </cfRule>
  </conditionalFormatting>
  <conditionalFormatting sqref="A3641">
    <cfRule type="expression" dxfId="0" priority="2643">
      <formula>(#REF!&lt;&gt;"")*(#REF!&lt;&gt;"")</formula>
    </cfRule>
  </conditionalFormatting>
  <conditionalFormatting sqref="E3641:H3641">
    <cfRule type="expression" dxfId="0" priority="2642">
      <formula>(#REF!&lt;&gt;"")*(#REF!&lt;&gt;"")</formula>
    </cfRule>
  </conditionalFormatting>
  <conditionalFormatting sqref="A3642">
    <cfRule type="expression" dxfId="0" priority="2640">
      <formula>(#REF!&lt;&gt;"")*(#REF!&lt;&gt;"")</formula>
    </cfRule>
  </conditionalFormatting>
  <conditionalFormatting sqref="E3642:H3642">
    <cfRule type="expression" dxfId="0" priority="2639">
      <formula>(#REF!&lt;&gt;"")*(#REF!&lt;&gt;"")</formula>
    </cfRule>
  </conditionalFormatting>
  <conditionalFormatting sqref="J3642:O3642">
    <cfRule type="expression" dxfId="0" priority="2641">
      <formula>(#REF!&lt;&gt;"")*(#REF!&lt;&gt;"")</formula>
    </cfRule>
  </conditionalFormatting>
  <conditionalFormatting sqref="A3643">
    <cfRule type="expression" dxfId="0" priority="2637">
      <formula>(#REF!&lt;&gt;"")*(#REF!&lt;&gt;"")</formula>
    </cfRule>
  </conditionalFormatting>
  <conditionalFormatting sqref="E3643:H3643">
    <cfRule type="expression" dxfId="0" priority="2636">
      <formula>(#REF!&lt;&gt;"")*(#REF!&lt;&gt;"")</formula>
    </cfRule>
  </conditionalFormatting>
  <conditionalFormatting sqref="J3643:O3643">
    <cfRule type="expression" dxfId="0" priority="2638">
      <formula>(#REF!&lt;&gt;"")*(#REF!&lt;&gt;"")</formula>
    </cfRule>
  </conditionalFormatting>
  <conditionalFormatting sqref="A3644">
    <cfRule type="expression" dxfId="0" priority="2634">
      <formula>(#REF!&lt;&gt;"")*(#REF!&lt;&gt;"")</formula>
    </cfRule>
  </conditionalFormatting>
  <conditionalFormatting sqref="E3644:H3644">
    <cfRule type="expression" dxfId="0" priority="2633">
      <formula>(#REF!&lt;&gt;"")*(#REF!&lt;&gt;"")</formula>
    </cfRule>
  </conditionalFormatting>
  <conditionalFormatting sqref="N3644">
    <cfRule type="expression" dxfId="0" priority="2632">
      <formula>(#REF!&lt;&gt;"")*(#REF!&lt;&gt;"")</formula>
    </cfRule>
  </conditionalFormatting>
  <conditionalFormatting sqref="E3645:G3645">
    <cfRule type="expression" dxfId="0" priority="2853">
      <formula>(#REF!&lt;&gt;"")*(#REF!&lt;&gt;"")</formula>
    </cfRule>
  </conditionalFormatting>
  <conditionalFormatting sqref="P3645:Q3645">
    <cfRule type="expression" dxfId="1" priority="2854">
      <formula>(#REF!&lt;&gt;"")*(#REF!&lt;&gt;"")</formula>
    </cfRule>
  </conditionalFormatting>
  <conditionalFormatting sqref="E3646:G3646">
    <cfRule type="expression" dxfId="0" priority="2852">
      <formula>(#REF!&lt;&gt;"")*(#REF!&lt;&gt;"")</formula>
    </cfRule>
  </conditionalFormatting>
  <conditionalFormatting sqref="K3646:O3646">
    <cfRule type="expression" dxfId="0" priority="2856">
      <formula>(#REF!&lt;&gt;"")*(#REF!&lt;&gt;"")</formula>
    </cfRule>
  </conditionalFormatting>
  <conditionalFormatting sqref="P3646:Q3646">
    <cfRule type="expression" dxfId="1" priority="2851">
      <formula>(#REF!&lt;&gt;"")*(#REF!&lt;&gt;"")</formula>
    </cfRule>
  </conditionalFormatting>
  <conditionalFormatting sqref="Q3646">
    <cfRule type="expression" dxfId="0" priority="2850">
      <formula>(#REF!&lt;&gt;"")*(#REF!&lt;&gt;"")</formula>
    </cfRule>
  </conditionalFormatting>
  <conditionalFormatting sqref="H3647">
    <cfRule type="expression" dxfId="0" priority="2849">
      <formula>(#REF!&lt;&gt;"")*(#REF!&lt;&gt;"")</formula>
    </cfRule>
  </conditionalFormatting>
  <conditionalFormatting sqref="P3651">
    <cfRule type="expression" dxfId="1" priority="3201">
      <formula>(#REF!&lt;&gt;"")*(#REF!&lt;&gt;"")</formula>
    </cfRule>
  </conditionalFormatting>
  <conditionalFormatting sqref="Q3651">
    <cfRule type="expression" dxfId="1" priority="3221">
      <formula>(#REF!&lt;&gt;"")*(#REF!&lt;&gt;"")</formula>
    </cfRule>
  </conditionalFormatting>
  <conditionalFormatting sqref="P3652:Q3652">
    <cfRule type="expression" dxfId="1" priority="3219">
      <formula>(#REF!&lt;&gt;"")*(#REF!&lt;&gt;"")</formula>
    </cfRule>
  </conditionalFormatting>
  <conditionalFormatting sqref="P3653:Q3653">
    <cfRule type="expression" dxfId="1" priority="2114">
      <formula>(#REF!&lt;&gt;"")*(#REF!&lt;&gt;"")</formula>
    </cfRule>
  </conditionalFormatting>
  <conditionalFormatting sqref="Q3653">
    <cfRule type="expression" dxfId="0" priority="2116">
      <formula>(#REF!&lt;&gt;"")*(#REF!&lt;&gt;"")</formula>
    </cfRule>
    <cfRule type="expression" dxfId="1" priority="2115">
      <formula>(#REF!&lt;&gt;"")*(#REF!&lt;&gt;"")</formula>
    </cfRule>
  </conditionalFormatting>
  <conditionalFormatting sqref="P3654">
    <cfRule type="expression" dxfId="1" priority="3011">
      <formula>(#REF!&lt;&gt;"")*(#REF!&lt;&gt;"")</formula>
    </cfRule>
  </conditionalFormatting>
  <conditionalFormatting sqref="Q3654">
    <cfRule type="expression" dxfId="1" priority="3217">
      <formula>(#REF!&lt;&gt;"")*(#REF!&lt;&gt;"")</formula>
    </cfRule>
  </conditionalFormatting>
  <conditionalFormatting sqref="P3655">
    <cfRule type="expression" dxfId="1" priority="3202">
      <formula>(#REF!&lt;&gt;"")*(#REF!&lt;&gt;"")</formula>
    </cfRule>
  </conditionalFormatting>
  <conditionalFormatting sqref="Q3655">
    <cfRule type="expression" dxfId="1" priority="3215">
      <formula>(#REF!&lt;&gt;"")*(#REF!&lt;&gt;"")</formula>
    </cfRule>
  </conditionalFormatting>
  <conditionalFormatting sqref="O3656">
    <cfRule type="expression" dxfId="0" priority="3071">
      <formula>(#REF!&lt;&gt;"")*(#REF!&lt;&gt;"")</formula>
    </cfRule>
  </conditionalFormatting>
  <conditionalFormatting sqref="T3656">
    <cfRule type="expression" dxfId="0" priority="3213">
      <formula>(#REF!&lt;&gt;"")*(#REF!&lt;&gt;"")</formula>
    </cfRule>
  </conditionalFormatting>
  <conditionalFormatting sqref="O3657">
    <cfRule type="expression" dxfId="0" priority="3057">
      <formula>(#REF!&lt;&gt;"")*(#REF!&lt;&gt;"")</formula>
    </cfRule>
  </conditionalFormatting>
  <conditionalFormatting sqref="T3657">
    <cfRule type="expression" dxfId="0" priority="3212">
      <formula>(#REF!&lt;&gt;"")*(#REF!&lt;&gt;"")</formula>
    </cfRule>
  </conditionalFormatting>
  <conditionalFormatting sqref="O3659">
    <cfRule type="expression" dxfId="0" priority="2083">
      <formula>(#REF!&lt;&gt;"")*(#REF!&lt;&gt;"")</formula>
    </cfRule>
  </conditionalFormatting>
  <conditionalFormatting sqref="P3659">
    <cfRule type="expression" dxfId="1" priority="2084">
      <formula>(#REF!&lt;&gt;"")*(#REF!&lt;&gt;"")</formula>
    </cfRule>
  </conditionalFormatting>
  <conditionalFormatting sqref="P3660:Q3660">
    <cfRule type="expression" dxfId="1" priority="3209">
      <formula>(#REF!&lt;&gt;"")*(#REF!&lt;&gt;"")</formula>
    </cfRule>
  </conditionalFormatting>
  <conditionalFormatting sqref="P3661:Q3661">
    <cfRule type="expression" dxfId="1" priority="2119">
      <formula>(#REF!&lt;&gt;"")*(#REF!&lt;&gt;"")</formula>
    </cfRule>
  </conditionalFormatting>
  <conditionalFormatting sqref="Q3661">
    <cfRule type="expression" dxfId="0" priority="2121">
      <formula>(#REF!&lt;&gt;"")*(#REF!&lt;&gt;"")</formula>
    </cfRule>
    <cfRule type="expression" dxfId="1" priority="2120">
      <formula>(#REF!&lt;&gt;"")*(#REF!&lt;&gt;"")</formula>
    </cfRule>
  </conditionalFormatting>
  <conditionalFormatting sqref="O3663">
    <cfRule type="expression" dxfId="0" priority="3070">
      <formula>(#REF!&lt;&gt;"")*(#REF!&lt;&gt;"")</formula>
    </cfRule>
  </conditionalFormatting>
  <conditionalFormatting sqref="P3663:Q3663">
    <cfRule type="expression" dxfId="1" priority="3207">
      <formula>(#REF!&lt;&gt;"")*(#REF!&lt;&gt;"")</formula>
    </cfRule>
  </conditionalFormatting>
  <conditionalFormatting sqref="P3666">
    <cfRule type="expression" dxfId="1" priority="3200">
      <formula>(#REF!&lt;&gt;"")*(#REF!&lt;&gt;"")</formula>
    </cfRule>
  </conditionalFormatting>
  <conditionalFormatting sqref="A3667">
    <cfRule type="expression" dxfId="0" priority="3197">
      <formula>(#REF!&lt;&gt;"")*(#REF!&lt;&gt;"")</formula>
    </cfRule>
  </conditionalFormatting>
  <conditionalFormatting sqref="E3667">
    <cfRule type="expression" dxfId="0" priority="3199">
      <formula>(#REF!&lt;&gt;"")*(#REF!&lt;&gt;"")</formula>
    </cfRule>
  </conditionalFormatting>
  <conditionalFormatting sqref="F3667">
    <cfRule type="expression" dxfId="0" priority="3198">
      <formula>(#REF!&lt;&gt;"")*(#REF!&lt;&gt;"")</formula>
    </cfRule>
  </conditionalFormatting>
  <conditionalFormatting sqref="G3667">
    <cfRule type="expression" dxfId="0" priority="3196">
      <formula>(#REF!&lt;&gt;"")*(#REF!&lt;&gt;"")</formula>
    </cfRule>
  </conditionalFormatting>
  <conditionalFormatting sqref="A3670">
    <cfRule type="expression" dxfId="0" priority="2087">
      <formula>(#REF!&lt;&gt;"")*(#REF!&lt;&gt;"")</formula>
    </cfRule>
  </conditionalFormatting>
  <conditionalFormatting sqref="F3670">
    <cfRule type="expression" dxfId="0" priority="2089">
      <formula>(#REF!&lt;&gt;"")*(#REF!&lt;&gt;"")</formula>
    </cfRule>
  </conditionalFormatting>
  <conditionalFormatting sqref="M3670">
    <cfRule type="expression" dxfId="0" priority="2093">
      <formula>(#REF!&lt;&gt;"")*(#REF!&lt;&gt;"")</formula>
    </cfRule>
  </conditionalFormatting>
  <conditionalFormatting sqref="P3670:Q3670">
    <cfRule type="expression" dxfId="1" priority="2091">
      <formula>(#REF!&lt;&gt;"")*(#REF!&lt;&gt;"")</formula>
    </cfRule>
  </conditionalFormatting>
  <conditionalFormatting sqref="T3670">
    <cfRule type="expression" dxfId="0" priority="2090">
      <formula>(#REF!&lt;&gt;"")*(#REF!&lt;&gt;"")</formula>
    </cfRule>
  </conditionalFormatting>
  <conditionalFormatting sqref="P3725:Q3725">
    <cfRule type="expression" dxfId="1" priority="2842">
      <formula>(#REF!&lt;&gt;"")*(#REF!&lt;&gt;"")</formula>
    </cfRule>
  </conditionalFormatting>
  <conditionalFormatting sqref="Q3725">
    <cfRule type="expression" dxfId="0" priority="2841">
      <formula>(#REF!&lt;&gt;"")*(#REF!&lt;&gt;"")</formula>
    </cfRule>
  </conditionalFormatting>
  <conditionalFormatting sqref="A3726">
    <cfRule type="expression" dxfId="0" priority="2839">
      <formula>(#REF!&lt;&gt;"")*(#REF!&lt;&gt;"")</formula>
    </cfRule>
  </conditionalFormatting>
  <conditionalFormatting sqref="M3726">
    <cfRule type="expression" dxfId="0" priority="2838">
      <formula>(#REF!&lt;&gt;"")*(#REF!&lt;&gt;"")</formula>
    </cfRule>
  </conditionalFormatting>
  <conditionalFormatting sqref="N3726">
    <cfRule type="expression" dxfId="0" priority="2837">
      <formula>(#REF!&lt;&gt;"")*(#REF!&lt;&gt;"")</formula>
    </cfRule>
  </conditionalFormatting>
  <conditionalFormatting sqref="P3726:Q3726">
    <cfRule type="expression" dxfId="1" priority="2840">
      <formula>(#REF!&lt;&gt;"")*(#REF!&lt;&gt;"")</formula>
    </cfRule>
  </conditionalFormatting>
  <conditionalFormatting sqref="A3727">
    <cfRule type="expression" dxfId="0" priority="2725">
      <formula>(#REF!&lt;&gt;"")*(#REF!&lt;&gt;"")</formula>
    </cfRule>
  </conditionalFormatting>
  <conditionalFormatting sqref="M3727">
    <cfRule type="expression" dxfId="0" priority="2724">
      <formula>(#REF!&lt;&gt;"")*(#REF!&lt;&gt;"")</formula>
    </cfRule>
  </conditionalFormatting>
  <conditionalFormatting sqref="N3727">
    <cfRule type="expression" dxfId="0" priority="2723">
      <formula>(#REF!&lt;&gt;"")*(#REF!&lt;&gt;"")</formula>
    </cfRule>
  </conditionalFormatting>
  <conditionalFormatting sqref="P3727:Q3727">
    <cfRule type="expression" dxfId="1" priority="2726">
      <formula>(#REF!&lt;&gt;"")*(#REF!&lt;&gt;"")</formula>
    </cfRule>
  </conditionalFormatting>
  <conditionalFormatting sqref="A3728">
    <cfRule type="expression" dxfId="0" priority="2686">
      <formula>(#REF!&lt;&gt;"")*(#REF!&lt;&gt;"")</formula>
    </cfRule>
  </conditionalFormatting>
  <conditionalFormatting sqref="M3728">
    <cfRule type="expression" dxfId="0" priority="2685">
      <formula>(#REF!&lt;&gt;"")*(#REF!&lt;&gt;"")</formula>
    </cfRule>
  </conditionalFormatting>
  <conditionalFormatting sqref="N3728">
    <cfRule type="expression" dxfId="0" priority="2684">
      <formula>(#REF!&lt;&gt;"")*(#REF!&lt;&gt;"")</formula>
    </cfRule>
  </conditionalFormatting>
  <conditionalFormatting sqref="P3728:Q3728">
    <cfRule type="expression" dxfId="1" priority="2687">
      <formula>(#REF!&lt;&gt;"")*(#REF!&lt;&gt;"")</formula>
    </cfRule>
  </conditionalFormatting>
  <conditionalFormatting sqref="T3728">
    <cfRule type="expression" dxfId="0" priority="2688">
      <formula>(#REF!&lt;&gt;"")*(#REF!&lt;&gt;"")</formula>
    </cfRule>
  </conditionalFormatting>
  <conditionalFormatting sqref="A3730">
    <cfRule type="expression" dxfId="0" priority="2729">
      <formula>(#REF!&lt;&gt;"")*(#REF!&lt;&gt;"")</formula>
    </cfRule>
  </conditionalFormatting>
  <conditionalFormatting sqref="M3730">
    <cfRule type="expression" dxfId="0" priority="2728">
      <formula>(#REF!&lt;&gt;"")*(#REF!&lt;&gt;"")</formula>
    </cfRule>
  </conditionalFormatting>
  <conditionalFormatting sqref="N3730">
    <cfRule type="expression" dxfId="0" priority="2727">
      <formula>(#REF!&lt;&gt;"")*(#REF!&lt;&gt;"")</formula>
    </cfRule>
  </conditionalFormatting>
  <conditionalFormatting sqref="P3730:Q3730">
    <cfRule type="expression" dxfId="1" priority="2730">
      <formula>(#REF!&lt;&gt;"")*(#REF!&lt;&gt;"")</formula>
    </cfRule>
  </conditionalFormatting>
  <conditionalFormatting sqref="A3731">
    <cfRule type="expression" dxfId="0" priority="2682">
      <formula>(#REF!&lt;&gt;"")*(#REF!&lt;&gt;"")</formula>
    </cfRule>
  </conditionalFormatting>
  <conditionalFormatting sqref="M3731">
    <cfRule type="expression" dxfId="0" priority="2681">
      <formula>(#REF!&lt;&gt;"")*(#REF!&lt;&gt;"")</formula>
    </cfRule>
  </conditionalFormatting>
  <conditionalFormatting sqref="N3731">
    <cfRule type="expression" dxfId="0" priority="2680">
      <formula>(#REF!&lt;&gt;"")*(#REF!&lt;&gt;"")</formula>
    </cfRule>
  </conditionalFormatting>
  <conditionalFormatting sqref="P3731:Q3731">
    <cfRule type="expression" dxfId="1" priority="2683">
      <formula>(#REF!&lt;&gt;"")*(#REF!&lt;&gt;"")</formula>
    </cfRule>
  </conditionalFormatting>
  <conditionalFormatting sqref="A3732">
    <cfRule type="expression" dxfId="0" priority="2678">
      <formula>(#REF!&lt;&gt;"")*(#REF!&lt;&gt;"")</formula>
    </cfRule>
  </conditionalFormatting>
  <conditionalFormatting sqref="A3733">
    <cfRule type="expression" dxfId="0" priority="2675">
      <formula>(#REF!&lt;&gt;"")*(#REF!&lt;&gt;"")</formula>
    </cfRule>
  </conditionalFormatting>
  <conditionalFormatting sqref="H3733">
    <cfRule type="expression" dxfId="0" priority="2668">
      <formula>(#REF!&lt;&gt;"")*(#REF!&lt;&gt;"")</formula>
    </cfRule>
  </conditionalFormatting>
  <conditionalFormatting sqref="A3734">
    <cfRule type="expression" dxfId="0" priority="2674">
      <formula>(#REF!&lt;&gt;"")*(#REF!&lt;&gt;"")</formula>
    </cfRule>
  </conditionalFormatting>
  <conditionalFormatting sqref="H3734">
    <cfRule type="expression" dxfId="0" priority="2667">
      <formula>(#REF!&lt;&gt;"")*(#REF!&lt;&gt;"")</formula>
    </cfRule>
  </conditionalFormatting>
  <conditionalFormatting sqref="A3735">
    <cfRule type="expression" dxfId="0" priority="2670">
      <formula>(#REF!&lt;&gt;"")*(#REF!&lt;&gt;"")</formula>
    </cfRule>
  </conditionalFormatting>
  <conditionalFormatting sqref="H3735">
    <cfRule type="expression" dxfId="0" priority="2669">
      <formula>(#REF!&lt;&gt;"")*(#REF!&lt;&gt;"")</formula>
    </cfRule>
  </conditionalFormatting>
  <conditionalFormatting sqref="J3735:K3735">
    <cfRule type="expression" dxfId="0" priority="2671">
      <formula>(#REF!&lt;&gt;"")*(#REF!&lt;&gt;"")</formula>
    </cfRule>
  </conditionalFormatting>
  <conditionalFormatting sqref="A3736">
    <cfRule type="expression" dxfId="0" priority="2658">
      <formula>(#REF!&lt;&gt;"")*(#REF!&lt;&gt;"")</formula>
    </cfRule>
  </conditionalFormatting>
  <conditionalFormatting sqref="H3736">
    <cfRule type="expression" dxfId="0" priority="2657">
      <formula>(#REF!&lt;&gt;"")*(#REF!&lt;&gt;"")</formula>
    </cfRule>
  </conditionalFormatting>
  <conditionalFormatting sqref="J3736:K3736">
    <cfRule type="expression" dxfId="0" priority="2659">
      <formula>(#REF!&lt;&gt;"")*(#REF!&lt;&gt;"")</formula>
    </cfRule>
  </conditionalFormatting>
  <conditionalFormatting sqref="L3736:M3736">
    <cfRule type="expression" dxfId="0" priority="2664">
      <formula>(#REF!&lt;&gt;"")*(#REF!&lt;&gt;"")</formula>
    </cfRule>
  </conditionalFormatting>
  <conditionalFormatting sqref="M3736">
    <cfRule type="expression" dxfId="0" priority="2663">
      <formula>(#REF!&lt;&gt;"")*(#REF!&lt;&gt;"")</formula>
    </cfRule>
  </conditionalFormatting>
  <conditionalFormatting sqref="A3737">
    <cfRule type="expression" dxfId="0" priority="2618">
      <formula>(#REF!&lt;&gt;"")*(#REF!&lt;&gt;"")</formula>
    </cfRule>
  </conditionalFormatting>
  <conditionalFormatting sqref="E3737:G3737">
    <cfRule type="expression" dxfId="0" priority="2622">
      <formula>(#REF!&lt;&gt;"")*(#REF!&lt;&gt;"")</formula>
    </cfRule>
  </conditionalFormatting>
  <conditionalFormatting sqref="H3737">
    <cfRule type="expression" dxfId="0" priority="2617">
      <formula>(#REF!&lt;&gt;"")*(#REF!&lt;&gt;"")</formula>
    </cfRule>
  </conditionalFormatting>
  <conditionalFormatting sqref="J3737:K3737">
    <cfRule type="expression" dxfId="0" priority="2619">
      <formula>(#REF!&lt;&gt;"")*(#REF!&lt;&gt;"")</formula>
    </cfRule>
  </conditionalFormatting>
  <conditionalFormatting sqref="L3737:M3737">
    <cfRule type="expression" dxfId="0" priority="2621">
      <formula>(#REF!&lt;&gt;"")*(#REF!&lt;&gt;"")</formula>
    </cfRule>
  </conditionalFormatting>
  <conditionalFormatting sqref="M3737">
    <cfRule type="expression" dxfId="0" priority="2620">
      <formula>(#REF!&lt;&gt;"")*(#REF!&lt;&gt;"")</formula>
    </cfRule>
  </conditionalFormatting>
  <conditionalFormatting sqref="A3738">
    <cfRule type="expression" dxfId="0" priority="1745">
      <formula>(#REF!&lt;&gt;"")*(#REF!&lt;&gt;"")</formula>
    </cfRule>
  </conditionalFormatting>
  <conditionalFormatting sqref="E3738:G3738">
    <cfRule type="expression" dxfId="0" priority="1749">
      <formula>(#REF!&lt;&gt;"")*(#REF!&lt;&gt;"")</formula>
    </cfRule>
  </conditionalFormatting>
  <conditionalFormatting sqref="H3738">
    <cfRule type="expression" dxfId="0" priority="1744">
      <formula>(#REF!&lt;&gt;"")*(#REF!&lt;&gt;"")</formula>
    </cfRule>
  </conditionalFormatting>
  <conditionalFormatting sqref="J3738:K3738">
    <cfRule type="expression" dxfId="0" priority="1746">
      <formula>(#REF!&lt;&gt;"")*(#REF!&lt;&gt;"")</formula>
    </cfRule>
  </conditionalFormatting>
  <conditionalFormatting sqref="L3738:M3738">
    <cfRule type="expression" dxfId="0" priority="1748">
      <formula>(#REF!&lt;&gt;"")*(#REF!&lt;&gt;"")</formula>
    </cfRule>
  </conditionalFormatting>
  <conditionalFormatting sqref="M3738">
    <cfRule type="expression" dxfId="0" priority="1747">
      <formula>(#REF!&lt;&gt;"")*(#REF!&lt;&gt;"")</formula>
    </cfRule>
  </conditionalFormatting>
  <conditionalFormatting sqref="N3738">
    <cfRule type="expression" dxfId="0" priority="1752">
      <formula>(#REF!&lt;&gt;"")*(#REF!&lt;&gt;"")</formula>
    </cfRule>
  </conditionalFormatting>
  <conditionalFormatting sqref="O3738">
    <cfRule type="expression" dxfId="0" priority="1753">
      <formula>(#REF!&lt;&gt;"")*(#REF!&lt;&gt;"")</formula>
    </cfRule>
  </conditionalFormatting>
  <conditionalFormatting sqref="P3738:Q3738">
    <cfRule type="expression" dxfId="1" priority="1751">
      <formula>(#REF!&lt;&gt;"")*(#REF!&lt;&gt;"")</formula>
    </cfRule>
  </conditionalFormatting>
  <conditionalFormatting sqref="Q3738">
    <cfRule type="expression" dxfId="0" priority="1750">
      <formula>(#REF!&lt;&gt;"")*(#REF!&lt;&gt;"")</formula>
    </cfRule>
  </conditionalFormatting>
  <conditionalFormatting sqref="A3739">
    <cfRule type="expression" dxfId="0" priority="1719">
      <formula>(#REF!&lt;&gt;"")*(#REF!&lt;&gt;"")</formula>
    </cfRule>
  </conditionalFormatting>
  <conditionalFormatting sqref="E3739:G3739">
    <cfRule type="expression" dxfId="0" priority="1723">
      <formula>(#REF!&lt;&gt;"")*(#REF!&lt;&gt;"")</formula>
    </cfRule>
  </conditionalFormatting>
  <conditionalFormatting sqref="H3739">
    <cfRule type="expression" dxfId="0" priority="1718">
      <formula>(#REF!&lt;&gt;"")*(#REF!&lt;&gt;"")</formula>
    </cfRule>
  </conditionalFormatting>
  <conditionalFormatting sqref="J3739:K3739">
    <cfRule type="expression" dxfId="0" priority="1720">
      <formula>(#REF!&lt;&gt;"")*(#REF!&lt;&gt;"")</formula>
    </cfRule>
  </conditionalFormatting>
  <conditionalFormatting sqref="L3739:M3739">
    <cfRule type="expression" dxfId="0" priority="1722">
      <formula>(#REF!&lt;&gt;"")*(#REF!&lt;&gt;"")</formula>
    </cfRule>
  </conditionalFormatting>
  <conditionalFormatting sqref="M3739">
    <cfRule type="expression" dxfId="0" priority="1721">
      <formula>(#REF!&lt;&gt;"")*(#REF!&lt;&gt;"")</formula>
    </cfRule>
  </conditionalFormatting>
  <conditionalFormatting sqref="N3739">
    <cfRule type="expression" dxfId="0" priority="1726">
      <formula>(#REF!&lt;&gt;"")*(#REF!&lt;&gt;"")</formula>
    </cfRule>
  </conditionalFormatting>
  <conditionalFormatting sqref="O3739">
    <cfRule type="expression" dxfId="0" priority="1727">
      <formula>(#REF!&lt;&gt;"")*(#REF!&lt;&gt;"")</formula>
    </cfRule>
  </conditionalFormatting>
  <conditionalFormatting sqref="P3739:Q3739">
    <cfRule type="expression" dxfId="1" priority="1725">
      <formula>(#REF!&lt;&gt;"")*(#REF!&lt;&gt;"")</formula>
    </cfRule>
  </conditionalFormatting>
  <conditionalFormatting sqref="Q3739">
    <cfRule type="expression" dxfId="0" priority="1724">
      <formula>(#REF!&lt;&gt;"")*(#REF!&lt;&gt;"")</formula>
    </cfRule>
  </conditionalFormatting>
  <conditionalFormatting sqref="A3740">
    <cfRule type="expression" dxfId="0" priority="1703">
      <formula>(#REF!&lt;&gt;"")*(#REF!&lt;&gt;"")</formula>
    </cfRule>
  </conditionalFormatting>
  <conditionalFormatting sqref="E3740:G3740">
    <cfRule type="expression" dxfId="0" priority="1707">
      <formula>(#REF!&lt;&gt;"")*(#REF!&lt;&gt;"")</formula>
    </cfRule>
  </conditionalFormatting>
  <conditionalFormatting sqref="H3740">
    <cfRule type="expression" dxfId="0" priority="1702">
      <formula>(#REF!&lt;&gt;"")*(#REF!&lt;&gt;"")</formula>
    </cfRule>
  </conditionalFormatting>
  <conditionalFormatting sqref="J3740:K3740">
    <cfRule type="expression" dxfId="0" priority="1704">
      <formula>(#REF!&lt;&gt;"")*(#REF!&lt;&gt;"")</formula>
    </cfRule>
  </conditionalFormatting>
  <conditionalFormatting sqref="L3740:M3740">
    <cfRule type="expression" dxfId="0" priority="1706">
      <formula>(#REF!&lt;&gt;"")*(#REF!&lt;&gt;"")</formula>
    </cfRule>
  </conditionalFormatting>
  <conditionalFormatting sqref="M3740">
    <cfRule type="expression" dxfId="0" priority="1705">
      <formula>(#REF!&lt;&gt;"")*(#REF!&lt;&gt;"")</formula>
    </cfRule>
  </conditionalFormatting>
  <conditionalFormatting sqref="N3740">
    <cfRule type="expression" dxfId="0" priority="1710">
      <formula>(#REF!&lt;&gt;"")*(#REF!&lt;&gt;"")</formula>
    </cfRule>
  </conditionalFormatting>
  <conditionalFormatting sqref="O3740">
    <cfRule type="expression" dxfId="0" priority="1711">
      <formula>(#REF!&lt;&gt;"")*(#REF!&lt;&gt;"")</formula>
    </cfRule>
  </conditionalFormatting>
  <conditionalFormatting sqref="P3740:Q3740">
    <cfRule type="expression" dxfId="1" priority="1709">
      <formula>(#REF!&lt;&gt;"")*(#REF!&lt;&gt;"")</formula>
    </cfRule>
  </conditionalFormatting>
  <conditionalFormatting sqref="Q3740">
    <cfRule type="expression" dxfId="0" priority="1708">
      <formula>(#REF!&lt;&gt;"")*(#REF!&lt;&gt;"")</formula>
    </cfRule>
  </conditionalFormatting>
  <conditionalFormatting sqref="A3741">
    <cfRule type="expression" dxfId="0" priority="1693">
      <formula>(#REF!&lt;&gt;"")*(#REF!&lt;&gt;"")</formula>
    </cfRule>
  </conditionalFormatting>
  <conditionalFormatting sqref="E3741:G3741">
    <cfRule type="expression" dxfId="0" priority="1697">
      <formula>(#REF!&lt;&gt;"")*(#REF!&lt;&gt;"")</formula>
    </cfRule>
  </conditionalFormatting>
  <conditionalFormatting sqref="H3741">
    <cfRule type="expression" dxfId="0" priority="1692">
      <formula>(#REF!&lt;&gt;"")*(#REF!&lt;&gt;"")</formula>
    </cfRule>
  </conditionalFormatting>
  <conditionalFormatting sqref="J3741:K3741">
    <cfRule type="expression" dxfId="0" priority="1694">
      <formula>(#REF!&lt;&gt;"")*(#REF!&lt;&gt;"")</formula>
    </cfRule>
  </conditionalFormatting>
  <conditionalFormatting sqref="A3742">
    <cfRule type="expression" dxfId="0" priority="1480">
      <formula>(#REF!&lt;&gt;"")*(#REF!&lt;&gt;"")</formula>
    </cfRule>
  </conditionalFormatting>
  <conditionalFormatting sqref="E3742:G3742">
    <cfRule type="expression" dxfId="0" priority="1482">
      <formula>(#REF!&lt;&gt;"")*(#REF!&lt;&gt;"")</formula>
    </cfRule>
  </conditionalFormatting>
  <conditionalFormatting sqref="H3742">
    <cfRule type="expression" dxfId="0" priority="1479">
      <formula>(#REF!&lt;&gt;"")*(#REF!&lt;&gt;"")</formula>
    </cfRule>
  </conditionalFormatting>
  <conditionalFormatting sqref="J3742:K3742">
    <cfRule type="expression" dxfId="0" priority="1481">
      <formula>(#REF!&lt;&gt;"")*(#REF!&lt;&gt;"")</formula>
    </cfRule>
  </conditionalFormatting>
  <conditionalFormatting sqref="A3743">
    <cfRule type="expression" dxfId="0" priority="1470">
      <formula>(#REF!&lt;&gt;"")*(#REF!&lt;&gt;"")</formula>
    </cfRule>
  </conditionalFormatting>
  <conditionalFormatting sqref="E3743:G3743">
    <cfRule type="expression" dxfId="0" priority="1472">
      <formula>(#REF!&lt;&gt;"")*(#REF!&lt;&gt;"")</formula>
    </cfRule>
  </conditionalFormatting>
  <conditionalFormatting sqref="H3743">
    <cfRule type="expression" dxfId="0" priority="1469">
      <formula>(#REF!&lt;&gt;"")*(#REF!&lt;&gt;"")</formula>
    </cfRule>
  </conditionalFormatting>
  <conditionalFormatting sqref="J3743:K3743">
    <cfRule type="expression" dxfId="0" priority="1471">
      <formula>(#REF!&lt;&gt;"")*(#REF!&lt;&gt;"")</formula>
    </cfRule>
  </conditionalFormatting>
  <conditionalFormatting sqref="L3743:M3743">
    <cfRule type="expression" dxfId="0" priority="1474">
      <formula>(#REF!&lt;&gt;"")*(#REF!&lt;&gt;"")</formula>
    </cfRule>
  </conditionalFormatting>
  <conditionalFormatting sqref="M3743">
    <cfRule type="expression" dxfId="0" priority="1473">
      <formula>(#REF!&lt;&gt;"")*(#REF!&lt;&gt;"")</formula>
    </cfRule>
  </conditionalFormatting>
  <conditionalFormatting sqref="N3743">
    <cfRule type="expression" dxfId="0" priority="1477">
      <formula>(#REF!&lt;&gt;"")*(#REF!&lt;&gt;"")</formula>
    </cfRule>
  </conditionalFormatting>
  <conditionalFormatting sqref="O3743">
    <cfRule type="expression" dxfId="0" priority="1478">
      <formula>(#REF!&lt;&gt;"")*(#REF!&lt;&gt;"")</formula>
    </cfRule>
  </conditionalFormatting>
  <conditionalFormatting sqref="P3743:Q3743">
    <cfRule type="expression" dxfId="1" priority="1476">
      <formula>(#REF!&lt;&gt;"")*(#REF!&lt;&gt;"")</formula>
    </cfRule>
  </conditionalFormatting>
  <conditionalFormatting sqref="Q3743">
    <cfRule type="expression" dxfId="0" priority="1475">
      <formula>(#REF!&lt;&gt;"")*(#REF!&lt;&gt;"")</formula>
    </cfRule>
  </conditionalFormatting>
  <conditionalFormatting sqref="E3744:G3744">
    <cfRule type="expression" dxfId="0" priority="1462">
      <formula>(#REF!&lt;&gt;"")*(#REF!&lt;&gt;"")</formula>
    </cfRule>
  </conditionalFormatting>
  <conditionalFormatting sqref="H3744">
    <cfRule type="expression" dxfId="0" priority="1459">
      <formula>(#REF!&lt;&gt;"")*(#REF!&lt;&gt;"")</formula>
    </cfRule>
  </conditionalFormatting>
  <conditionalFormatting sqref="J3744:K3744">
    <cfRule type="expression" dxfId="0" priority="1461">
      <formula>(#REF!&lt;&gt;"")*(#REF!&lt;&gt;"")</formula>
    </cfRule>
  </conditionalFormatting>
  <conditionalFormatting sqref="L3744:M3744">
    <cfRule type="expression" dxfId="0" priority="1464">
      <formula>(#REF!&lt;&gt;"")*(#REF!&lt;&gt;"")</formula>
    </cfRule>
  </conditionalFormatting>
  <conditionalFormatting sqref="M3744">
    <cfRule type="expression" dxfId="0" priority="1463">
      <formula>(#REF!&lt;&gt;"")*(#REF!&lt;&gt;"")</formula>
    </cfRule>
  </conditionalFormatting>
  <conditionalFormatting sqref="N3744">
    <cfRule type="expression" dxfId="0" priority="1467">
      <formula>(#REF!&lt;&gt;"")*(#REF!&lt;&gt;"")</formula>
    </cfRule>
  </conditionalFormatting>
  <conditionalFormatting sqref="O3744">
    <cfRule type="expression" dxfId="0" priority="1468">
      <formula>(#REF!&lt;&gt;"")*(#REF!&lt;&gt;"")</formula>
    </cfRule>
  </conditionalFormatting>
  <conditionalFormatting sqref="P3744:Q3744">
    <cfRule type="expression" dxfId="1" priority="1466">
      <formula>(#REF!&lt;&gt;"")*(#REF!&lt;&gt;"")</formula>
    </cfRule>
  </conditionalFormatting>
  <conditionalFormatting sqref="Q3744">
    <cfRule type="expression" dxfId="0" priority="1465">
      <formula>(#REF!&lt;&gt;"")*(#REF!&lt;&gt;"")</formula>
    </cfRule>
  </conditionalFormatting>
  <conditionalFormatting sqref="A3745">
    <cfRule type="expression" dxfId="0" priority="1285">
      <formula>(#REF!&lt;&gt;"")*(#REF!&lt;&gt;"")</formula>
    </cfRule>
  </conditionalFormatting>
  <conditionalFormatting sqref="E3745:G3745">
    <cfRule type="expression" dxfId="0" priority="1278">
      <formula>(#REF!&lt;&gt;"")*(#REF!&lt;&gt;"")</formula>
    </cfRule>
  </conditionalFormatting>
  <conditionalFormatting sqref="H3745">
    <cfRule type="expression" dxfId="0" priority="1276">
      <formula>(#REF!&lt;&gt;"")*(#REF!&lt;&gt;"")</formula>
    </cfRule>
  </conditionalFormatting>
  <conditionalFormatting sqref="J3745:K3745">
    <cfRule type="expression" dxfId="0" priority="1277">
      <formula>(#REF!&lt;&gt;"")*(#REF!&lt;&gt;"")</formula>
    </cfRule>
  </conditionalFormatting>
  <conditionalFormatting sqref="L3745:M3745">
    <cfRule type="expression" dxfId="0" priority="1280">
      <formula>(#REF!&lt;&gt;"")*(#REF!&lt;&gt;"")</formula>
    </cfRule>
  </conditionalFormatting>
  <conditionalFormatting sqref="M3745">
    <cfRule type="expression" dxfId="0" priority="1279">
      <formula>(#REF!&lt;&gt;"")*(#REF!&lt;&gt;"")</formula>
    </cfRule>
  </conditionalFormatting>
  <conditionalFormatting sqref="N3745">
    <cfRule type="expression" dxfId="0" priority="1283">
      <formula>(#REF!&lt;&gt;"")*(#REF!&lt;&gt;"")</formula>
    </cfRule>
  </conditionalFormatting>
  <conditionalFormatting sqref="O3745">
    <cfRule type="expression" dxfId="0" priority="1284">
      <formula>(#REF!&lt;&gt;"")*(#REF!&lt;&gt;"")</formula>
    </cfRule>
  </conditionalFormatting>
  <conditionalFormatting sqref="P3745:Q3745">
    <cfRule type="expression" dxfId="1" priority="1282">
      <formula>(#REF!&lt;&gt;"")*(#REF!&lt;&gt;"")</formula>
    </cfRule>
  </conditionalFormatting>
  <conditionalFormatting sqref="Q3745">
    <cfRule type="expression" dxfId="0" priority="1281">
      <formula>(#REF!&lt;&gt;"")*(#REF!&lt;&gt;"")</formula>
    </cfRule>
  </conditionalFormatting>
  <conditionalFormatting sqref="E3746:G3746">
    <cfRule type="expression" dxfId="0" priority="1288">
      <formula>(#REF!&lt;&gt;"")*(#REF!&lt;&gt;"")</formula>
    </cfRule>
  </conditionalFormatting>
  <conditionalFormatting sqref="H3746">
    <cfRule type="expression" dxfId="0" priority="1286">
      <formula>(#REF!&lt;&gt;"")*(#REF!&lt;&gt;"")</formula>
    </cfRule>
  </conditionalFormatting>
  <conditionalFormatting sqref="J3746:K3746">
    <cfRule type="expression" dxfId="0" priority="1287">
      <formula>(#REF!&lt;&gt;"")*(#REF!&lt;&gt;"")</formula>
    </cfRule>
  </conditionalFormatting>
  <conditionalFormatting sqref="L3746:M3746">
    <cfRule type="expression" dxfId="0" priority="1290">
      <formula>(#REF!&lt;&gt;"")*(#REF!&lt;&gt;"")</formula>
    </cfRule>
  </conditionalFormatting>
  <conditionalFormatting sqref="M3746">
    <cfRule type="expression" dxfId="0" priority="1289">
      <formula>(#REF!&lt;&gt;"")*(#REF!&lt;&gt;"")</formula>
    </cfRule>
  </conditionalFormatting>
  <conditionalFormatting sqref="N3746">
    <cfRule type="expression" dxfId="0" priority="1293">
      <formula>(#REF!&lt;&gt;"")*(#REF!&lt;&gt;"")</formula>
    </cfRule>
  </conditionalFormatting>
  <conditionalFormatting sqref="O3746">
    <cfRule type="expression" dxfId="0" priority="1294">
      <formula>(#REF!&lt;&gt;"")*(#REF!&lt;&gt;"")</formula>
    </cfRule>
  </conditionalFormatting>
  <conditionalFormatting sqref="P3746:Q3746">
    <cfRule type="expression" dxfId="1" priority="1292">
      <formula>(#REF!&lt;&gt;"")*(#REF!&lt;&gt;"")</formula>
    </cfRule>
  </conditionalFormatting>
  <conditionalFormatting sqref="Q3746">
    <cfRule type="expression" dxfId="0" priority="1291">
      <formula>(#REF!&lt;&gt;"")*(#REF!&lt;&gt;"")</formula>
    </cfRule>
  </conditionalFormatting>
  <conditionalFormatting sqref="A3747">
    <cfRule type="expression" dxfId="0" priority="3161">
      <formula>(#REF!&lt;&gt;"")*(#REF!&lt;&gt;"")</formula>
    </cfRule>
  </conditionalFormatting>
  <conditionalFormatting sqref="A3748">
    <cfRule type="expression" dxfId="0" priority="3113">
      <formula>(#REF!&lt;&gt;"")*(#REF!&lt;&gt;"")</formula>
    </cfRule>
  </conditionalFormatting>
  <conditionalFormatting sqref="G3748">
    <cfRule type="expression" dxfId="0" priority="3112">
      <formula>(#REF!&lt;&gt;"")*(#REF!&lt;&gt;"")</formula>
    </cfRule>
  </conditionalFormatting>
  <conditionalFormatting sqref="M3748">
    <cfRule type="expression" dxfId="0" priority="3114">
      <formula>(#REF!&lt;&gt;"")*(#REF!&lt;&gt;"")</formula>
    </cfRule>
  </conditionalFormatting>
  <conditionalFormatting sqref="P3748:Q3748">
    <cfRule type="expression" dxfId="1" priority="3116">
      <formula>(#REF!&lt;&gt;"")*(#REF!&lt;&gt;"")</formula>
    </cfRule>
  </conditionalFormatting>
  <conditionalFormatting sqref="Q3748">
    <cfRule type="expression" dxfId="0" priority="3115">
      <formula>(#REF!&lt;&gt;"")*(#REF!&lt;&gt;"")</formula>
    </cfRule>
  </conditionalFormatting>
  <conditionalFormatting sqref="E3749:F3749">
    <cfRule type="expression" dxfId="0" priority="3160">
      <formula>(#REF!&lt;&gt;"")*(#REF!&lt;&gt;"")</formula>
    </cfRule>
  </conditionalFormatting>
  <conditionalFormatting sqref="P3751:Q3751">
    <cfRule type="expression" dxfId="1" priority="1064">
      <formula>(#REF!&lt;&gt;"")*(#REF!&lt;&gt;"")</formula>
    </cfRule>
  </conditionalFormatting>
  <conditionalFormatting sqref="A3759">
    <cfRule type="expression" dxfId="0" priority="3146">
      <formula>(#REF!&lt;&gt;"")*(#REF!&lt;&gt;"")</formula>
    </cfRule>
  </conditionalFormatting>
  <conditionalFormatting sqref="M3759">
    <cfRule type="expression" dxfId="0" priority="3145">
      <formula>(#REF!&lt;&gt;"")*(#REF!&lt;&gt;"")</formula>
    </cfRule>
  </conditionalFormatting>
  <conditionalFormatting sqref="P3759:Q3759">
    <cfRule type="expression" dxfId="1" priority="3147">
      <formula>(#REF!&lt;&gt;"")*(#REF!&lt;&gt;"")</formula>
    </cfRule>
  </conditionalFormatting>
  <conditionalFormatting sqref="A3784">
    <cfRule type="expression" dxfId="0" priority="3158">
      <formula>(#REF!&lt;&gt;"")*(#REF!&lt;&gt;"")</formula>
    </cfRule>
  </conditionalFormatting>
  <conditionalFormatting sqref="A3785">
    <cfRule type="expression" dxfId="0" priority="3157">
      <formula>(#REF!&lt;&gt;"")*(#REF!&lt;&gt;"")</formula>
    </cfRule>
  </conditionalFormatting>
  <conditionalFormatting sqref="A3792">
    <cfRule type="expression" dxfId="0" priority="3076">
      <formula>(#REF!&lt;&gt;"")*(#REF!&lt;&gt;"")</formula>
    </cfRule>
  </conditionalFormatting>
  <conditionalFormatting sqref="L3792:N3792">
    <cfRule type="expression" dxfId="0" priority="3077">
      <formula>(#REF!&lt;&gt;"")*(#REF!&lt;&gt;"")</formula>
    </cfRule>
  </conditionalFormatting>
  <conditionalFormatting sqref="A3793">
    <cfRule type="expression" dxfId="0" priority="2655">
      <formula>(#REF!&lt;&gt;"")*(#REF!&lt;&gt;"")</formula>
    </cfRule>
  </conditionalFormatting>
  <conditionalFormatting sqref="A3794">
    <cfRule type="expression" dxfId="0" priority="852">
      <formula>(#REF!&lt;&gt;"")*(#REF!&lt;&gt;"")</formula>
    </cfRule>
  </conditionalFormatting>
  <conditionalFormatting sqref="L3794:M3794">
    <cfRule type="expression" dxfId="0" priority="854">
      <formula>(#REF!&lt;&gt;"")*(#REF!&lt;&gt;"")</formula>
    </cfRule>
  </conditionalFormatting>
  <conditionalFormatting sqref="R3794">
    <cfRule type="expression" dxfId="0" priority="64">
      <formula>(#REF!&lt;&gt;"")*(#REF!&lt;&gt;"")</formula>
    </cfRule>
  </conditionalFormatting>
  <conditionalFormatting sqref="A3795">
    <cfRule type="expression" dxfId="0" priority="855">
      <formula>(#REF!&lt;&gt;"")*(#REF!&lt;&gt;"")</formula>
    </cfRule>
  </conditionalFormatting>
  <conditionalFormatting sqref="H3795">
    <cfRule type="expression" dxfId="0" priority="664">
      <formula>(#REF!&lt;&gt;"")*(#REF!&lt;&gt;"")</formula>
    </cfRule>
  </conditionalFormatting>
  <conditionalFormatting sqref="R3795">
    <cfRule type="expression" dxfId="0" priority="63">
      <formula>(#REF!&lt;&gt;"")*(#REF!&lt;&gt;"")</formula>
    </cfRule>
  </conditionalFormatting>
  <conditionalFormatting sqref="A3796">
    <cfRule type="expression" dxfId="0" priority="3159">
      <formula>(#REF!&lt;&gt;"")*(#REF!&lt;&gt;"")</formula>
    </cfRule>
  </conditionalFormatting>
  <conditionalFormatting sqref="G3796">
    <cfRule type="expression" dxfId="0" priority="3148">
      <formula>(#REF!&lt;&gt;"")*(#REF!&lt;&gt;"")</formula>
    </cfRule>
  </conditionalFormatting>
  <conditionalFormatting sqref="P3838">
    <cfRule type="expression" dxfId="1" priority="62">
      <formula>(#REF!&lt;&gt;"")*(#REF!&lt;&gt;"")</formula>
    </cfRule>
  </conditionalFormatting>
  <conditionalFormatting sqref="M3842">
    <cfRule type="expression" dxfId="0" priority="1587">
      <formula>(#REF!&lt;&gt;"")*(#REF!&lt;&gt;"")</formula>
    </cfRule>
  </conditionalFormatting>
  <conditionalFormatting sqref="O3842">
    <cfRule type="expression" dxfId="0" priority="1584">
      <formula>(#REF!&lt;&gt;"")*(#REF!&lt;&gt;"")</formula>
    </cfRule>
  </conditionalFormatting>
  <conditionalFormatting sqref="P3842">
    <cfRule type="expression" dxfId="1" priority="1589">
      <formula>(#REF!&lt;&gt;"")*(#REF!&lt;&gt;"")</formula>
    </cfRule>
  </conditionalFormatting>
  <conditionalFormatting sqref="Q3842">
    <cfRule type="expression" dxfId="0" priority="1585">
      <formula>(#REF!&lt;&gt;"")*(#REF!&lt;&gt;"")</formula>
    </cfRule>
    <cfRule type="expression" dxfId="1" priority="1586">
      <formula>(#REF!&lt;&gt;"")*(#REF!&lt;&gt;"")</formula>
    </cfRule>
  </conditionalFormatting>
  <conditionalFormatting sqref="H3849">
    <cfRule type="expression" dxfId="0" priority="1105">
      <formula>(#REF!&lt;&gt;"")*(#REF!&lt;&gt;"")</formula>
    </cfRule>
  </conditionalFormatting>
  <conditionalFormatting sqref="M3849">
    <cfRule type="expression" dxfId="0" priority="1108">
      <formula>(#REF!&lt;&gt;"")*(#REF!&lt;&gt;"")</formula>
    </cfRule>
  </conditionalFormatting>
  <conditionalFormatting sqref="M3850">
    <cfRule type="expression" dxfId="0" priority="1106">
      <formula>(#REF!&lt;&gt;"")*(#REF!&lt;&gt;"")</formula>
    </cfRule>
  </conditionalFormatting>
  <conditionalFormatting sqref="O3850">
    <cfRule type="expression" dxfId="0" priority="1102">
      <formula>(#REF!&lt;&gt;"")*(#REF!&lt;&gt;"")</formula>
    </cfRule>
  </conditionalFormatting>
  <conditionalFormatting sqref="P3850">
    <cfRule type="expression" dxfId="1" priority="1101">
      <formula>(#REF!&lt;&gt;"")*(#REF!&lt;&gt;"")</formula>
    </cfRule>
  </conditionalFormatting>
  <conditionalFormatting sqref="Q3850">
    <cfRule type="expression" dxfId="1" priority="1104">
      <formula>(#REF!&lt;&gt;"")*(#REF!&lt;&gt;"")</formula>
    </cfRule>
  </conditionalFormatting>
  <conditionalFormatting sqref="M3851">
    <cfRule type="expression" dxfId="0" priority="1099">
      <formula>(#REF!&lt;&gt;"")*(#REF!&lt;&gt;"")</formula>
    </cfRule>
  </conditionalFormatting>
  <conditionalFormatting sqref="O3851">
    <cfRule type="expression" dxfId="0" priority="1095">
      <formula>(#REF!&lt;&gt;"")*(#REF!&lt;&gt;"")</formula>
    </cfRule>
  </conditionalFormatting>
  <conditionalFormatting sqref="P3851">
    <cfRule type="expression" dxfId="1" priority="1094">
      <formula>(#REF!&lt;&gt;"")*(#REF!&lt;&gt;"")</formula>
    </cfRule>
  </conditionalFormatting>
  <conditionalFormatting sqref="Q3851">
    <cfRule type="expression" dxfId="0" priority="1096">
      <formula>(#REF!&lt;&gt;"")*(#REF!&lt;&gt;"")</formula>
    </cfRule>
    <cfRule type="expression" dxfId="1" priority="1097">
      <formula>(#REF!&lt;&gt;"")*(#REF!&lt;&gt;"")</formula>
    </cfRule>
  </conditionalFormatting>
  <conditionalFormatting sqref="M3852">
    <cfRule type="expression" dxfId="0" priority="1110">
      <formula>(#REF!&lt;&gt;"")*(#REF!&lt;&gt;"")</formula>
    </cfRule>
  </conditionalFormatting>
  <conditionalFormatting sqref="N3852">
    <cfRule type="expression" dxfId="0" priority="1098">
      <formula>(#REF!&lt;&gt;"")*(#REF!&lt;&gt;"")</formula>
    </cfRule>
  </conditionalFormatting>
  <conditionalFormatting sqref="M3854">
    <cfRule type="expression" dxfId="0" priority="3142">
      <formula>(#REF!&lt;&gt;"")*(#REF!&lt;&gt;"")</formula>
    </cfRule>
  </conditionalFormatting>
  <conditionalFormatting sqref="P3854:Q3854">
    <cfRule type="expression" dxfId="1" priority="3144">
      <formula>(#REF!&lt;&gt;"")*(#REF!&lt;&gt;"")</formula>
    </cfRule>
  </conditionalFormatting>
  <conditionalFormatting sqref="Q3854">
    <cfRule type="expression" dxfId="0" priority="3143">
      <formula>(#REF!&lt;&gt;"")*(#REF!&lt;&gt;"")</formula>
    </cfRule>
  </conditionalFormatting>
  <conditionalFormatting sqref="M3859">
    <cfRule type="expression" dxfId="0" priority="3012">
      <formula>(#REF!&lt;&gt;"")*(#REF!&lt;&gt;"")</formula>
    </cfRule>
  </conditionalFormatting>
  <conditionalFormatting sqref="P3859:Q3859">
    <cfRule type="expression" dxfId="1" priority="3014">
      <formula>(#REF!&lt;&gt;"")*(#REF!&lt;&gt;"")</formula>
    </cfRule>
  </conditionalFormatting>
  <conditionalFormatting sqref="T3859">
    <cfRule type="expression" dxfId="0" priority="3013">
      <formula>(#REF!&lt;&gt;"")*(#REF!&lt;&gt;"")</formula>
    </cfRule>
  </conditionalFormatting>
  <conditionalFormatting sqref="M3862">
    <cfRule type="expression" dxfId="0" priority="3246">
      <formula>(#REF!&lt;&gt;"")*(#REF!&lt;&gt;"")</formula>
    </cfRule>
  </conditionalFormatting>
  <conditionalFormatting sqref="A3863">
    <cfRule type="expression" dxfId="0" priority="3245">
      <formula>(#REF!&lt;&gt;"")*(#REF!&lt;&gt;"")</formula>
    </cfRule>
  </conditionalFormatting>
  <conditionalFormatting sqref="A3864">
    <cfRule type="expression" dxfId="0" priority="3244">
      <formula>(#REF!&lt;&gt;"")*(#REF!&lt;&gt;"")</formula>
    </cfRule>
  </conditionalFormatting>
  <conditionalFormatting sqref="L3864">
    <cfRule type="expression" dxfId="0" priority="3234">
      <formula>(#REF!&lt;&gt;"")*(#REF!&lt;&gt;"")</formula>
    </cfRule>
  </conditionalFormatting>
  <conditionalFormatting sqref="A3866">
    <cfRule type="expression" dxfId="0" priority="3243">
      <formula>(#REF!&lt;&gt;"")*(#REF!&lt;&gt;"")</formula>
    </cfRule>
  </conditionalFormatting>
  <conditionalFormatting sqref="H3866">
    <cfRule type="expression" dxfId="0" priority="3235">
      <formula>(#REF!&lt;&gt;"")*(#REF!&lt;&gt;"")</formula>
    </cfRule>
  </conditionalFormatting>
  <conditionalFormatting sqref="K3866">
    <cfRule type="expression" dxfId="0" priority="3242">
      <formula>(#REF!&lt;&gt;"")*(#REF!&lt;&gt;"")</formula>
    </cfRule>
  </conditionalFormatting>
  <conditionalFormatting sqref="L3866">
    <cfRule type="expression" dxfId="0" priority="3240">
      <formula>(#REF!&lt;&gt;"")*(#REF!&lt;&gt;"")</formula>
    </cfRule>
  </conditionalFormatting>
  <conditionalFormatting sqref="A3867">
    <cfRule type="expression" dxfId="0" priority="3153">
      <formula>(#REF!&lt;&gt;"")*(#REF!&lt;&gt;"")</formula>
    </cfRule>
  </conditionalFormatting>
  <conditionalFormatting sqref="H3867">
    <cfRule type="expression" dxfId="0" priority="3150">
      <formula>(#REF!&lt;&gt;"")*(#REF!&lt;&gt;"")</formula>
    </cfRule>
  </conditionalFormatting>
  <conditionalFormatting sqref="K3867">
    <cfRule type="expression" dxfId="0" priority="3152">
      <formula>(#REF!&lt;&gt;"")*(#REF!&lt;&gt;"")</formula>
    </cfRule>
  </conditionalFormatting>
  <conditionalFormatting sqref="L3867">
    <cfRule type="expression" dxfId="0" priority="3151">
      <formula>(#REF!&lt;&gt;"")*(#REF!&lt;&gt;"")</formula>
    </cfRule>
  </conditionalFormatting>
  <conditionalFormatting sqref="M3867">
    <cfRule type="expression" dxfId="0" priority="3154">
      <formula>(#REF!&lt;&gt;"")*(#REF!&lt;&gt;"")</formula>
    </cfRule>
  </conditionalFormatting>
  <conditionalFormatting sqref="H3868">
    <cfRule type="expression" dxfId="0" priority="3108">
      <formula>(#REF!&lt;&gt;"")*(#REF!&lt;&gt;"")</formula>
    </cfRule>
  </conditionalFormatting>
  <conditionalFormatting sqref="L3868">
    <cfRule type="expression" dxfId="0" priority="3109">
      <formula>(#REF!&lt;&gt;"")*(#REF!&lt;&gt;"")</formula>
    </cfRule>
  </conditionalFormatting>
  <conditionalFormatting sqref="M3868">
    <cfRule type="expression" dxfId="0" priority="3111">
      <formula>(#REF!&lt;&gt;"")*(#REF!&lt;&gt;"")</formula>
    </cfRule>
  </conditionalFormatting>
  <conditionalFormatting sqref="G3874">
    <cfRule type="expression" dxfId="0" priority="3087">
      <formula>(#REF!&lt;&gt;"")*(#REF!&lt;&gt;"")</formula>
    </cfRule>
  </conditionalFormatting>
  <conditionalFormatting sqref="K3874">
    <cfRule type="expression" dxfId="0" priority="3088">
      <formula>(#REF!&lt;&gt;"")*(#REF!&lt;&gt;"")</formula>
    </cfRule>
  </conditionalFormatting>
  <conditionalFormatting sqref="G3875">
    <cfRule type="expression" dxfId="0" priority="3085">
      <formula>(#REF!&lt;&gt;"")*(#REF!&lt;&gt;"")</formula>
    </cfRule>
  </conditionalFormatting>
  <conditionalFormatting sqref="K3875">
    <cfRule type="expression" dxfId="0" priority="3086">
      <formula>(#REF!&lt;&gt;"")*(#REF!&lt;&gt;"")</formula>
    </cfRule>
  </conditionalFormatting>
  <conditionalFormatting sqref="G3878">
    <cfRule type="expression" dxfId="0" priority="3083">
      <formula>(#REF!&lt;&gt;"")*(#REF!&lt;&gt;"")</formula>
    </cfRule>
  </conditionalFormatting>
  <conditionalFormatting sqref="H3878">
    <cfRule type="expression" dxfId="0" priority="3084">
      <formula>(#REF!&lt;&gt;"")*(#REF!&lt;&gt;"")</formula>
    </cfRule>
  </conditionalFormatting>
  <conditionalFormatting sqref="L3883">
    <cfRule type="expression" dxfId="0" priority="2615">
      <formula>(#REF!&lt;&gt;"")*(#REF!&lt;&gt;"")</formula>
    </cfRule>
  </conditionalFormatting>
  <conditionalFormatting sqref="L3884">
    <cfRule type="expression" dxfId="0" priority="2612">
      <formula>(#REF!&lt;&gt;"")*(#REF!&lt;&gt;"")</formula>
    </cfRule>
  </conditionalFormatting>
  <conditionalFormatting sqref="L3885">
    <cfRule type="expression" dxfId="0" priority="2209">
      <formula>(#REF!&lt;&gt;"")*(#REF!&lt;&gt;"")</formula>
    </cfRule>
  </conditionalFormatting>
  <conditionalFormatting sqref="N3885">
    <cfRule type="expression" dxfId="0" priority="2211">
      <formula>(#REF!&lt;&gt;"")*(#REF!&lt;&gt;"")</formula>
    </cfRule>
    <cfRule type="expression" dxfId="0" priority="2212">
      <formula>(#REF!&lt;&gt;"")*(N$1&lt;&gt;"")</formula>
    </cfRule>
  </conditionalFormatting>
  <conditionalFormatting sqref="E3889">
    <cfRule type="expression" dxfId="0" priority="937">
      <formula>(#REF!&lt;&gt;"")*(#REF!&lt;&gt;"")</formula>
    </cfRule>
    <cfRule type="expression" dxfId="0" priority="938">
      <formula>(#REF!&lt;&gt;"")*(E$1&lt;&gt;"")</formula>
    </cfRule>
  </conditionalFormatting>
  <conditionalFormatting sqref="H3889">
    <cfRule type="expression" dxfId="0" priority="935">
      <formula>(#REF!&lt;&gt;"")*(#REF!&lt;&gt;"")</formula>
    </cfRule>
    <cfRule type="expression" dxfId="0" priority="936">
      <formula>(#REF!&lt;&gt;"")*(H$1&lt;&gt;"")</formula>
    </cfRule>
    <cfRule type="expression" dxfId="0" priority="933">
      <formula>(#REF!&lt;&gt;"")*(#REF!&lt;&gt;"")</formula>
    </cfRule>
    <cfRule type="expression" dxfId="0" priority="934">
      <formula>(#REF!&lt;&gt;"")*(H$1&lt;&gt;"")</formula>
    </cfRule>
  </conditionalFormatting>
  <conditionalFormatting sqref="L3889">
    <cfRule type="expression" dxfId="0" priority="940">
      <formula>(#REF!&lt;&gt;"")*(#REF!&lt;&gt;"")</formula>
    </cfRule>
  </conditionalFormatting>
  <conditionalFormatting sqref="N3889">
    <cfRule type="expression" dxfId="0" priority="942">
      <formula>(#REF!&lt;&gt;"")*(#REF!&lt;&gt;"")</formula>
    </cfRule>
    <cfRule type="expression" dxfId="0" priority="943">
      <formula>(#REF!&lt;&gt;"")*(N$1&lt;&gt;"")</formula>
    </cfRule>
  </conditionalFormatting>
  <conditionalFormatting sqref="P3889:Q3889">
    <cfRule type="expression" dxfId="0" priority="946">
      <formula>(#REF!&lt;&gt;"")*(#REF!&lt;&gt;"")</formula>
    </cfRule>
    <cfRule type="expression" dxfId="0" priority="947">
      <formula>(#REF!&lt;&gt;"")*(P$1&lt;&gt;"")</formula>
    </cfRule>
    <cfRule type="expression" dxfId="1" priority="948">
      <formula>(#REF!&lt;&gt;"")*(P$1&lt;&gt;"")</formula>
    </cfRule>
  </conditionalFormatting>
  <conditionalFormatting sqref="A3890">
    <cfRule type="expression" dxfId="0" priority="3231">
      <formula>(#REF!&lt;&gt;"")*(#REF!&lt;&gt;"")</formula>
    </cfRule>
  </conditionalFormatting>
  <conditionalFormatting sqref="K3890:L3890">
    <cfRule type="expression" dxfId="0" priority="3237">
      <formula>(#REF!&lt;&gt;"")*(#REF!&lt;&gt;"")</formula>
    </cfRule>
  </conditionalFormatting>
  <conditionalFormatting sqref="N3890">
    <cfRule type="expression" dxfId="0" priority="3239">
      <formula>(#REF!&lt;&gt;"")*(#REF!&lt;&gt;"")</formula>
    </cfRule>
  </conditionalFormatting>
  <conditionalFormatting sqref="O3890">
    <cfRule type="expression" dxfId="0" priority="3236">
      <formula>(#REF!&lt;&gt;"")*(#REF!&lt;&gt;"")</formula>
    </cfRule>
  </conditionalFormatting>
  <conditionalFormatting sqref="P3890">
    <cfRule type="expression" dxfId="0" priority="3238">
      <formula>(#REF!&lt;&gt;"")*(#REF!&lt;&gt;"")</formula>
    </cfRule>
  </conditionalFormatting>
  <conditionalFormatting sqref="Q3890">
    <cfRule type="expression" dxfId="0" priority="3249">
      <formula>(#REF!&lt;&gt;"")*(#REF!&lt;&gt;"")</formula>
    </cfRule>
  </conditionalFormatting>
  <conditionalFormatting sqref="N3891:O3891">
    <cfRule type="expression" dxfId="0" priority="3232">
      <formula>(#REF!&lt;&gt;"")*(#REF!&lt;&gt;"")</formula>
    </cfRule>
  </conditionalFormatting>
  <conditionalFormatting sqref="P3891">
    <cfRule type="expression" dxfId="0" priority="3233">
      <formula>(#REF!&lt;&gt;"")*(#REF!&lt;&gt;"")</formula>
    </cfRule>
  </conditionalFormatting>
  <conditionalFormatting sqref="M3892">
    <cfRule type="expression" dxfId="0" priority="2215">
      <formula>(#REF!&lt;&gt;"")*(#REF!&lt;&gt;"")</formula>
    </cfRule>
  </conditionalFormatting>
  <conditionalFormatting sqref="N3892:O3892">
    <cfRule type="expression" dxfId="0" priority="2213">
      <formula>(#REF!&lt;&gt;"")*(#REF!&lt;&gt;"")</formula>
    </cfRule>
  </conditionalFormatting>
  <conditionalFormatting sqref="P3892">
    <cfRule type="expression" dxfId="0" priority="2214">
      <formula>(#REF!&lt;&gt;"")*(#REF!&lt;&gt;"")</formula>
    </cfRule>
    <cfRule type="expression" dxfId="1" priority="2218">
      <formula>(#REF!&lt;&gt;"")*(P$1&lt;&gt;"")</formula>
    </cfRule>
  </conditionalFormatting>
  <conditionalFormatting sqref="H3894">
    <cfRule type="expression" dxfId="0" priority="669">
      <formula>(#REF!&lt;&gt;"")*(#REF!&lt;&gt;"")</formula>
    </cfRule>
  </conditionalFormatting>
  <conditionalFormatting sqref="H3895">
    <cfRule type="expression" dxfId="0" priority="507">
      <formula>(#REF!&lt;&gt;"")*(#REF!&lt;&gt;"")</formula>
    </cfRule>
  </conditionalFormatting>
  <conditionalFormatting sqref="L3895:O3895">
    <cfRule type="expression" dxfId="0" priority="510">
      <formula>(#REF!&lt;&gt;"")*(#REF!&lt;&gt;"")</formula>
    </cfRule>
  </conditionalFormatting>
  <conditionalFormatting sqref="M3895">
    <cfRule type="expression" dxfId="0" priority="509">
      <formula>(#REF!&lt;&gt;"")*(#REF!&lt;&gt;"")</formula>
    </cfRule>
  </conditionalFormatting>
  <conditionalFormatting sqref="P3895:Q3895">
    <cfRule type="expression" dxfId="1" priority="511">
      <formula>(#REF!&lt;&gt;"")*(#REF!&lt;&gt;"")</formula>
    </cfRule>
  </conditionalFormatting>
  <conditionalFormatting sqref="Q3895">
    <cfRule type="expression" dxfId="0" priority="512">
      <formula>(#REF!&lt;&gt;"")*(#REF!&lt;&gt;"")</formula>
    </cfRule>
  </conditionalFormatting>
  <conditionalFormatting sqref="A3896">
    <cfRule type="expression" dxfId="0" priority="2625">
      <formula>(#REF!&lt;&gt;"")*(#REF!&lt;&gt;"")</formula>
    </cfRule>
  </conditionalFormatting>
  <conditionalFormatting sqref="E3896">
    <cfRule type="expression" dxfId="0" priority="2626">
      <formula>(#REF!&lt;&gt;"")*(#REF!&lt;&gt;"")</formula>
    </cfRule>
  </conditionalFormatting>
  <conditionalFormatting sqref="G3896">
    <cfRule type="expression" dxfId="0" priority="2624">
      <formula>(#REF!&lt;&gt;"")*(#REF!&lt;&gt;"")</formula>
    </cfRule>
  </conditionalFormatting>
  <conditionalFormatting sqref="G3897">
    <cfRule type="expression" dxfId="0" priority="2627">
      <formula>(#REF!&lt;&gt;"")*(#REF!&lt;&gt;"")</formula>
    </cfRule>
  </conditionalFormatting>
  <conditionalFormatting sqref="H3897">
    <cfRule type="expression" dxfId="0" priority="2086">
      <formula>(#REF!&lt;&gt;"")*(#REF!&lt;&gt;"")</formula>
    </cfRule>
  </conditionalFormatting>
  <conditionalFormatting sqref="J3936">
    <cfRule type="expression" dxfId="1" priority="1239">
      <formula>(#REF!&lt;&gt;"")*(J$1&lt;&gt;"")</formula>
    </cfRule>
  </conditionalFormatting>
  <conditionalFormatting sqref="K3975">
    <cfRule type="expression" dxfId="1" priority="1240">
      <formula>(#REF!&lt;&gt;"")*(K$1&lt;&gt;"")</formula>
    </cfRule>
  </conditionalFormatting>
  <conditionalFormatting sqref="O3982">
    <cfRule type="expression" dxfId="1" priority="2026">
      <formula>(#REF!&lt;&gt;"")*(O$1&lt;&gt;"")</formula>
    </cfRule>
  </conditionalFormatting>
  <conditionalFormatting sqref="O3983">
    <cfRule type="expression" dxfId="1" priority="2027">
      <formula>(#REF!&lt;&gt;"")*(O$1&lt;&gt;"")</formula>
    </cfRule>
  </conditionalFormatting>
  <conditionalFormatting sqref="M4013">
    <cfRule type="expression" dxfId="0" priority="2019">
      <formula>(#REF!&lt;&gt;"")*(#REF!&lt;&gt;"")</formula>
    </cfRule>
  </conditionalFormatting>
  <conditionalFormatting sqref="A4014">
    <cfRule type="expression" dxfId="0" priority="2062">
      <formula>(#REF!&lt;&gt;"")*(A$1&lt;&gt;"")</formula>
    </cfRule>
  </conditionalFormatting>
  <conditionalFormatting sqref="K4014">
    <cfRule type="expression" dxfId="0" priority="2017">
      <formula>(#REF!&lt;&gt;"")*(#REF!&lt;&gt;"")</formula>
    </cfRule>
  </conditionalFormatting>
  <conditionalFormatting sqref="M4014">
    <cfRule type="expression" dxfId="0" priority="2018">
      <formula>(#REF!&lt;&gt;"")*(#REF!&lt;&gt;"")</formula>
    </cfRule>
  </conditionalFormatting>
  <conditionalFormatting sqref="O4014">
    <cfRule type="expression" dxfId="1" priority="2021">
      <formula>(#REF!&lt;&gt;"")*(O$1&lt;&gt;"")</formula>
    </cfRule>
  </conditionalFormatting>
  <conditionalFormatting sqref="A4015">
    <cfRule type="expression" dxfId="0" priority="2061">
      <formula>(#REF!&lt;&gt;"")*(A$1&lt;&gt;"")</formula>
    </cfRule>
  </conditionalFormatting>
  <conditionalFormatting sqref="K4015">
    <cfRule type="expression" dxfId="0" priority="2005">
      <formula>(#REF!&lt;&gt;"")*(#REF!&lt;&gt;"")</formula>
    </cfRule>
  </conditionalFormatting>
  <conditionalFormatting sqref="M4015">
    <cfRule type="expression" dxfId="0" priority="2006">
      <formula>(#REF!&lt;&gt;"")*(#REF!&lt;&gt;"")</formula>
    </cfRule>
  </conditionalFormatting>
  <conditionalFormatting sqref="O4015">
    <cfRule type="expression" dxfId="1" priority="2008">
      <formula>(#REF!&lt;&gt;"")*(O$1&lt;&gt;"")</formula>
    </cfRule>
  </conditionalFormatting>
  <conditionalFormatting sqref="A4016">
    <cfRule type="expression" dxfId="0" priority="2060">
      <formula>(#REF!&lt;&gt;"")*(A$1&lt;&gt;"")</formula>
    </cfRule>
  </conditionalFormatting>
  <conditionalFormatting sqref="K4016">
    <cfRule type="expression" dxfId="0" priority="2001">
      <formula>(#REF!&lt;&gt;"")*(#REF!&lt;&gt;"")</formula>
    </cfRule>
  </conditionalFormatting>
  <conditionalFormatting sqref="M4016">
    <cfRule type="expression" dxfId="0" priority="2002">
      <formula>(#REF!&lt;&gt;"")*(#REF!&lt;&gt;"")</formula>
    </cfRule>
  </conditionalFormatting>
  <conditionalFormatting sqref="O4016">
    <cfRule type="expression" dxfId="1" priority="2004">
      <formula>(#REF!&lt;&gt;"")*(O$1&lt;&gt;"")</formula>
    </cfRule>
  </conditionalFormatting>
  <conditionalFormatting sqref="Q4018">
    <cfRule type="expression" dxfId="1" priority="2024">
      <formula>(#REF!&lt;&gt;"")*(#REF!&lt;&gt;"")</formula>
    </cfRule>
  </conditionalFormatting>
  <conditionalFormatting sqref="U4018">
    <cfRule type="expression" dxfId="0" priority="1802">
      <formula>(#REF!&lt;&gt;"")*(#REF!&lt;&gt;"")</formula>
    </cfRule>
  </conditionalFormatting>
  <conditionalFormatting sqref="M4025">
    <cfRule type="expression" dxfId="0" priority="2012">
      <formula>(#REF!&lt;&gt;"")*(#REF!&lt;&gt;"")</formula>
    </cfRule>
  </conditionalFormatting>
  <conditionalFormatting sqref="M4026">
    <cfRule type="expression" dxfId="0" priority="2011">
      <formula>(#REF!&lt;&gt;"")*(#REF!&lt;&gt;"")</formula>
    </cfRule>
  </conditionalFormatting>
  <conditionalFormatting sqref="M4027">
    <cfRule type="expression" dxfId="0" priority="2010">
      <formula>(#REF!&lt;&gt;"")*(#REF!&lt;&gt;"")</formula>
    </cfRule>
  </conditionalFormatting>
  <conditionalFormatting sqref="M4028">
    <cfRule type="expression" dxfId="0" priority="2009">
      <formula>(#REF!&lt;&gt;"")*(#REF!&lt;&gt;"")</formula>
    </cfRule>
  </conditionalFormatting>
  <conditionalFormatting sqref="M4031">
    <cfRule type="expression" dxfId="0" priority="2015">
      <formula>(#REF!&lt;&gt;"")*(#REF!&lt;&gt;"")</formula>
    </cfRule>
  </conditionalFormatting>
  <conditionalFormatting sqref="M4032">
    <cfRule type="expression" dxfId="0" priority="2013">
      <formula>(#REF!&lt;&gt;"")*(#REF!&lt;&gt;"")</formula>
    </cfRule>
  </conditionalFormatting>
  <conditionalFormatting sqref="M4035">
    <cfRule type="expression" dxfId="0" priority="2014">
      <formula>(#REF!&lt;&gt;"")*(#REF!&lt;&gt;"")</formula>
    </cfRule>
  </conditionalFormatting>
  <conditionalFormatting sqref="M4046">
    <cfRule type="expression" dxfId="0" priority="2000">
      <formula>(#REF!&lt;&gt;"")*(#REF!&lt;&gt;"")</formula>
    </cfRule>
  </conditionalFormatting>
  <conditionalFormatting sqref="M4056">
    <cfRule type="expression" dxfId="0" priority="1404">
      <formula>(#REF!&lt;&gt;"")*(#REF!&lt;&gt;"")</formula>
    </cfRule>
  </conditionalFormatting>
  <conditionalFormatting sqref="M4057">
    <cfRule type="expression" dxfId="0" priority="1405">
      <formula>(#REF!&lt;&gt;"")*(#REF!&lt;&gt;"")</formula>
    </cfRule>
  </conditionalFormatting>
  <conditionalFormatting sqref="A4060">
    <cfRule type="expression" dxfId="0" priority="2052">
      <formula>(#REF!&lt;&gt;"")*(#REF!&lt;&gt;"")</formula>
    </cfRule>
  </conditionalFormatting>
  <conditionalFormatting sqref="P4060">
    <cfRule type="expression" dxfId="0" priority="1979">
      <formula>(#REF!&lt;&gt;"")*(#REF!&lt;&gt;"")</formula>
    </cfRule>
    <cfRule type="expression" dxfId="1" priority="1978">
      <formula>(#REF!&lt;&gt;"")*(#REF!&lt;&gt;"")</formula>
    </cfRule>
  </conditionalFormatting>
  <conditionalFormatting sqref="Q4060">
    <cfRule type="expression" dxfId="1" priority="1981">
      <formula>(#REF!&lt;&gt;"")*(#REF!&lt;&gt;"")</formula>
    </cfRule>
  </conditionalFormatting>
  <conditionalFormatting sqref="T4061">
    <cfRule type="expression" dxfId="0" priority="1995">
      <formula>(#REF!&lt;&gt;"")*(#REF!&lt;&gt;"")</formula>
    </cfRule>
  </conditionalFormatting>
  <conditionalFormatting sqref="H4062">
    <cfRule type="expression" dxfId="0" priority="1986">
      <formula>(#REF!&lt;&gt;"")*(#REF!&lt;&gt;"")</formula>
    </cfRule>
  </conditionalFormatting>
  <conditionalFormatting sqref="L4062">
    <cfRule type="expression" dxfId="0" priority="1984">
      <formula>(#REF!&lt;&gt;"")*(#REF!&lt;&gt;"")</formula>
    </cfRule>
  </conditionalFormatting>
  <conditionalFormatting sqref="L4063">
    <cfRule type="expression" dxfId="0" priority="1989">
      <formula>(#REF!&lt;&gt;"")*(#REF!&lt;&gt;"")</formula>
    </cfRule>
  </conditionalFormatting>
  <conditionalFormatting sqref="M4063">
    <cfRule type="expression" dxfId="0" priority="1990">
      <formula>(#REF!&lt;&gt;"")*(#REF!&lt;&gt;"")</formula>
    </cfRule>
  </conditionalFormatting>
  <conditionalFormatting sqref="N4063">
    <cfRule type="expression" dxfId="0" priority="1988">
      <formula>(#REF!&lt;&gt;"")*(#REF!&lt;&gt;"")</formula>
    </cfRule>
  </conditionalFormatting>
  <conditionalFormatting sqref="A4064">
    <cfRule type="expression" dxfId="0" priority="2056">
      <formula>(#REF!&lt;&gt;"")*(#REF!&lt;&gt;"")</formula>
    </cfRule>
  </conditionalFormatting>
  <conditionalFormatting sqref="C4064">
    <cfRule type="expression" dxfId="0" priority="2057">
      <formula>(#REF!&lt;&gt;"")*(#REF!&lt;&gt;"")</formula>
    </cfRule>
  </conditionalFormatting>
  <conditionalFormatting sqref="M4064">
    <cfRule type="expression" dxfId="0" priority="1993">
      <formula>(#REF!&lt;&gt;"")*(#REF!&lt;&gt;"")</formula>
    </cfRule>
  </conditionalFormatting>
  <conditionalFormatting sqref="N4064:R4064">
    <cfRule type="expression" dxfId="0" priority="1994">
      <formula>(#REF!&lt;&gt;"")*(#REF!&lt;&gt;"")</formula>
    </cfRule>
  </conditionalFormatting>
  <conditionalFormatting sqref="T4064">
    <cfRule type="expression" dxfId="0" priority="1992">
      <formula>(#REF!&lt;&gt;"")*(#REF!&lt;&gt;"")</formula>
    </cfRule>
  </conditionalFormatting>
  <conditionalFormatting sqref="L4066">
    <cfRule type="expression" dxfId="0" priority="1987">
      <formula>(#REF!&lt;&gt;"")*(#REF!&lt;&gt;"")</formula>
    </cfRule>
  </conditionalFormatting>
  <conditionalFormatting sqref="A4067">
    <cfRule type="expression" dxfId="0" priority="2051">
      <formula>(#REF!&lt;&gt;"")*(#REF!&lt;&gt;"")</formula>
    </cfRule>
  </conditionalFormatting>
  <conditionalFormatting sqref="K4067">
    <cfRule type="expression" dxfId="0" priority="1973">
      <formula>(#REF!&lt;&gt;"")*(#REF!&lt;&gt;"")</formula>
    </cfRule>
  </conditionalFormatting>
  <conditionalFormatting sqref="M4067">
    <cfRule type="expression" dxfId="0" priority="1974">
      <formula>(#REF!&lt;&gt;"")*(#REF!&lt;&gt;"")</formula>
    </cfRule>
  </conditionalFormatting>
  <conditionalFormatting sqref="T4067">
    <cfRule type="expression" dxfId="0" priority="1975">
      <formula>(#REF!&lt;&gt;"")*(#REF!&lt;&gt;"")</formula>
    </cfRule>
  </conditionalFormatting>
  <conditionalFormatting sqref="A4068">
    <cfRule type="expression" dxfId="0" priority="2059">
      <formula>(#REF!&lt;&gt;"")*(#REF!&lt;&gt;"")</formula>
    </cfRule>
  </conditionalFormatting>
  <conditionalFormatting sqref="A4069">
    <cfRule type="expression" dxfId="0" priority="1077">
      <formula>(#REF!&lt;&gt;"")*(#REF!&lt;&gt;"")</formula>
    </cfRule>
  </conditionalFormatting>
  <conditionalFormatting sqref="H4069">
    <cfRule type="expression" dxfId="0" priority="1074">
      <formula>(#REF!&lt;&gt;"")*(#REF!&lt;&gt;"")</formula>
    </cfRule>
  </conditionalFormatting>
  <conditionalFormatting sqref="J4069:N4069">
    <cfRule type="expression" dxfId="0" priority="1075">
      <formula>(#REF!&lt;&gt;"")*(#REF!&lt;&gt;"")</formula>
    </cfRule>
  </conditionalFormatting>
  <conditionalFormatting sqref="Q4073">
    <cfRule type="expression" dxfId="0" priority="1949">
      <formula>(#REF!&lt;&gt;"")*(#REF!&lt;&gt;"")</formula>
    </cfRule>
    <cfRule type="expression" dxfId="0" priority="1941">
      <formula>(#REF!&lt;&gt;"")*(#REF!&lt;&gt;"")</formula>
    </cfRule>
  </conditionalFormatting>
  <conditionalFormatting sqref="Q4076">
    <cfRule type="expression" dxfId="0" priority="1946">
      <formula>(#REF!&lt;&gt;"")*(#REF!&lt;&gt;"")</formula>
    </cfRule>
  </conditionalFormatting>
  <conditionalFormatting sqref="M4083">
    <cfRule type="expression" dxfId="0" priority="1886">
      <formula>(#REF!&lt;&gt;"")*(#REF!&lt;&gt;"")</formula>
    </cfRule>
  </conditionalFormatting>
  <conditionalFormatting sqref="O4083">
    <cfRule type="expression" dxfId="0" priority="1885">
      <formula>(#REF!&lt;&gt;"")*(#REF!&lt;&gt;"")</formula>
    </cfRule>
  </conditionalFormatting>
  <conditionalFormatting sqref="M4084">
    <cfRule type="expression" dxfId="0" priority="1884">
      <formula>(#REF!&lt;&gt;"")*(#REF!&lt;&gt;"")</formula>
    </cfRule>
  </conditionalFormatting>
  <conditionalFormatting sqref="O4084">
    <cfRule type="expression" dxfId="0" priority="1883">
      <formula>(#REF!&lt;&gt;"")*(#REF!&lt;&gt;"")</formula>
    </cfRule>
  </conditionalFormatting>
  <conditionalFormatting sqref="M4086">
    <cfRule type="expression" dxfId="0" priority="1887">
      <formula>(#REF!&lt;&gt;"")*(#REF!&lt;&gt;"")</formula>
    </cfRule>
  </conditionalFormatting>
  <conditionalFormatting sqref="M4092">
    <cfRule type="expression" dxfId="0" priority="1960">
      <formula>(#REF!&lt;&gt;"")*(#REF!&lt;&gt;"")</formula>
    </cfRule>
  </conditionalFormatting>
  <conditionalFormatting sqref="T4092">
    <cfRule type="expression" dxfId="0" priority="1959">
      <formula>(#REF!&lt;&gt;"")*(#REF!&lt;&gt;"")</formula>
    </cfRule>
  </conditionalFormatting>
  <conditionalFormatting sqref="M4093">
    <cfRule type="expression" dxfId="0" priority="1958">
      <formula>(#REF!&lt;&gt;"")*(#REF!&lt;&gt;"")</formula>
    </cfRule>
  </conditionalFormatting>
  <conditionalFormatting sqref="Q4093">
    <cfRule type="expression" dxfId="0" priority="1965">
      <formula>(#REF!&lt;&gt;"")*(#REF!&lt;&gt;"")</formula>
    </cfRule>
  </conditionalFormatting>
  <conditionalFormatting sqref="T4093">
    <cfRule type="expression" dxfId="0" priority="1957">
      <formula>(#REF!&lt;&gt;"")*(#REF!&lt;&gt;"")</formula>
    </cfRule>
  </conditionalFormatting>
  <conditionalFormatting sqref="M4096">
    <cfRule type="expression" dxfId="0" priority="1647">
      <formula>(#REF!&lt;&gt;"")*(#REF!&lt;&gt;"")</formula>
    </cfRule>
  </conditionalFormatting>
  <conditionalFormatting sqref="M4097">
    <cfRule type="expression" dxfId="0" priority="1185">
      <formula>(#REF!&lt;&gt;"")*(#REF!&lt;&gt;"")</formula>
    </cfRule>
  </conditionalFormatting>
  <conditionalFormatting sqref="P4097">
    <cfRule type="expression" dxfId="1" priority="1173">
      <formula>(#REF!&lt;&gt;"")*(#REF!&lt;&gt;"")</formula>
    </cfRule>
  </conditionalFormatting>
  <conditionalFormatting sqref="Q4098">
    <cfRule type="expression" dxfId="0" priority="1403">
      <formula>(#REF!&lt;&gt;"")*(#REF!&lt;&gt;"")</formula>
    </cfRule>
  </conditionalFormatting>
  <conditionalFormatting sqref="R4098">
    <cfRule type="expression" dxfId="0" priority="1243">
      <formula>(#REF!&lt;&gt;"")*(#REF!&lt;&gt;"")</formula>
    </cfRule>
  </conditionalFormatting>
  <conditionalFormatting sqref="M4099">
    <cfRule type="expression" dxfId="0" priority="1427">
      <formula>(#REF!&lt;&gt;"")*(#REF!&lt;&gt;"")</formula>
    </cfRule>
  </conditionalFormatting>
  <conditionalFormatting sqref="Q4099">
    <cfRule type="expression" dxfId="0" priority="1402">
      <formula>(#REF!&lt;&gt;"")*(#REF!&lt;&gt;"")</formula>
    </cfRule>
  </conditionalFormatting>
  <conditionalFormatting sqref="M4100">
    <cfRule type="expression" dxfId="0" priority="1422">
      <formula>(#REF!&lt;&gt;"")*(#REF!&lt;&gt;"")</formula>
    </cfRule>
  </conditionalFormatting>
  <conditionalFormatting sqref="Q4100">
    <cfRule type="expression" dxfId="0" priority="1401">
      <formula>(#REF!&lt;&gt;"")*(#REF!&lt;&gt;"")</formula>
    </cfRule>
  </conditionalFormatting>
  <conditionalFormatting sqref="M4101">
    <cfRule type="expression" dxfId="0" priority="1426">
      <formula>(#REF!&lt;&gt;"")*(#REF!&lt;&gt;"")</formula>
    </cfRule>
  </conditionalFormatting>
  <conditionalFormatting sqref="Q4101">
    <cfRule type="expression" dxfId="0" priority="1424">
      <formula>(#REF!&lt;&gt;"")*(#REF!&lt;&gt;"")</formula>
    </cfRule>
  </conditionalFormatting>
  <conditionalFormatting sqref="R4101">
    <cfRule type="expression" dxfId="0" priority="1242">
      <formula>(#REF!&lt;&gt;"")*(#REF!&lt;&gt;"")</formula>
    </cfRule>
  </conditionalFormatting>
  <conditionalFormatting sqref="M4102">
    <cfRule type="expression" dxfId="0" priority="1425">
      <formula>(#REF!&lt;&gt;"")*(#REF!&lt;&gt;"")</formula>
    </cfRule>
  </conditionalFormatting>
  <conditionalFormatting sqref="Q4102">
    <cfRule type="expression" dxfId="0" priority="1400">
      <formula>(#REF!&lt;&gt;"")*(#REF!&lt;&gt;"")</formula>
    </cfRule>
  </conditionalFormatting>
  <conditionalFormatting sqref="M4103">
    <cfRule type="expression" dxfId="0" priority="1423">
      <formula>(#REF!&lt;&gt;"")*(#REF!&lt;&gt;"")</formula>
    </cfRule>
  </conditionalFormatting>
  <conditionalFormatting sqref="Q4103">
    <cfRule type="expression" dxfId="0" priority="1956">
      <formula>(#REF!&lt;&gt;"")*(#REF!&lt;&gt;"")</formula>
    </cfRule>
  </conditionalFormatting>
  <conditionalFormatting sqref="M4104">
    <cfRule type="expression" dxfId="0" priority="1899">
      <formula>(#REF!&lt;&gt;"")*(#REF!&lt;&gt;"")</formula>
    </cfRule>
  </conditionalFormatting>
  <conditionalFormatting sqref="O4104">
    <cfRule type="expression" dxfId="0" priority="1900">
      <formula>(#REF!&lt;&gt;"")*(#REF!&lt;&gt;"")</formula>
    </cfRule>
  </conditionalFormatting>
  <conditionalFormatting sqref="Q4104">
    <cfRule type="expression" dxfId="0" priority="1898">
      <formula>(#REF!&lt;&gt;"")*(#REF!&lt;&gt;"")</formula>
    </cfRule>
  </conditionalFormatting>
  <conditionalFormatting sqref="Q4105">
    <cfRule type="expression" dxfId="0" priority="1955">
      <formula>(#REF!&lt;&gt;"")*(#REF!&lt;&gt;"")</formula>
    </cfRule>
  </conditionalFormatting>
  <conditionalFormatting sqref="Q4106">
    <cfRule type="expression" dxfId="0" priority="1926">
      <formula>(#REF!&lt;&gt;"")*(#REF!&lt;&gt;"")</formula>
    </cfRule>
  </conditionalFormatting>
  <conditionalFormatting sqref="J4108">
    <cfRule type="expression" dxfId="1" priority="1897">
      <formula>(#REF!&lt;&gt;"")*(#REF!&lt;&gt;"")</formula>
    </cfRule>
  </conditionalFormatting>
  <conditionalFormatting sqref="O4108">
    <cfRule type="expression" dxfId="0" priority="1896">
      <formula>(#REF!&lt;&gt;"")*(#REF!&lt;&gt;"")</formula>
    </cfRule>
  </conditionalFormatting>
  <conditionalFormatting sqref="Q4108">
    <cfRule type="expression" dxfId="0" priority="1894">
      <formula>(#REF!&lt;&gt;"")*(#REF!&lt;&gt;"")</formula>
    </cfRule>
  </conditionalFormatting>
  <conditionalFormatting sqref="J4110">
    <cfRule type="expression" dxfId="1" priority="1218">
      <formula>(#REF!&lt;&gt;"")*(#REF!&lt;&gt;"")</formula>
    </cfRule>
  </conditionalFormatting>
  <conditionalFormatting sqref="O4110">
    <cfRule type="expression" dxfId="0" priority="1219">
      <formula>(#REF!&lt;&gt;"")*(#REF!&lt;&gt;"")</formula>
    </cfRule>
  </conditionalFormatting>
  <conditionalFormatting sqref="Q4110">
    <cfRule type="expression" dxfId="0" priority="1220">
      <formula>(#REF!&lt;&gt;"")*(#REF!&lt;&gt;"")</formula>
    </cfRule>
  </conditionalFormatting>
  <conditionalFormatting sqref="J4111">
    <cfRule type="expression" dxfId="1" priority="1091">
      <formula>(#REF!&lt;&gt;"")*(#REF!&lt;&gt;"")</formula>
    </cfRule>
  </conditionalFormatting>
  <conditionalFormatting sqref="O4111">
    <cfRule type="expression" dxfId="0" priority="1092">
      <formula>(#REF!&lt;&gt;"")*(#REF!&lt;&gt;"")</formula>
    </cfRule>
  </conditionalFormatting>
  <conditionalFormatting sqref="Q4111">
    <cfRule type="expression" dxfId="0" priority="1093">
      <formula>(#REF!&lt;&gt;"")*(#REF!&lt;&gt;"")</formula>
    </cfRule>
  </conditionalFormatting>
  <conditionalFormatting sqref="M4113">
    <cfRule type="expression" dxfId="0" priority="1952">
      <formula>(#REF!&lt;&gt;"")*(#REF!&lt;&gt;"")</formula>
    </cfRule>
  </conditionalFormatting>
  <conditionalFormatting sqref="O4115">
    <cfRule type="expression" dxfId="0" priority="1213">
      <formula>(#REF!&lt;&gt;"")*(#REF!&lt;&gt;"")</formula>
    </cfRule>
  </conditionalFormatting>
  <conditionalFormatting sqref="O4116">
    <cfRule type="expression" dxfId="0" priority="1215">
      <formula>(#REF!&lt;&gt;"")*(#REF!&lt;&gt;"")</formula>
    </cfRule>
  </conditionalFormatting>
  <conditionalFormatting sqref="Q4118">
    <cfRule type="expression" dxfId="0" priority="1951">
      <formula>(#REF!&lt;&gt;"")*(#REF!&lt;&gt;"")</formula>
    </cfRule>
  </conditionalFormatting>
  <conditionalFormatting sqref="M4119">
    <cfRule type="expression" dxfId="0" priority="1947">
      <formula>(#REF!&lt;&gt;"")*(#REF!&lt;&gt;"")</formula>
    </cfRule>
  </conditionalFormatting>
  <conditionalFormatting sqref="Q4119">
    <cfRule type="expression" dxfId="0" priority="1925">
      <formula>(#REF!&lt;&gt;"")*(#REF!&lt;&gt;"")</formula>
    </cfRule>
    <cfRule type="expression" dxfId="0" priority="1924">
      <formula>(#REF!&lt;&gt;"")*(#REF!&lt;&gt;"")</formula>
    </cfRule>
  </conditionalFormatting>
  <conditionalFormatting sqref="M4120">
    <cfRule type="expression" dxfId="0" priority="1954">
      <formula>(#REF!&lt;&gt;"")*(#REF!&lt;&gt;"")</formula>
    </cfRule>
  </conditionalFormatting>
  <conditionalFormatting sqref="M4125">
    <cfRule type="expression" dxfId="0" priority="1953">
      <formula>(#REF!&lt;&gt;"")*(#REF!&lt;&gt;"")</formula>
    </cfRule>
  </conditionalFormatting>
  <conditionalFormatting sqref="Q4128">
    <cfRule type="expression" dxfId="0" priority="1967">
      <formula>(#REF!&lt;&gt;"")*(#REF!&lt;&gt;"")</formula>
    </cfRule>
    <cfRule type="expression" dxfId="1" priority="1943">
      <formula>(#REF!&lt;&gt;"")*(#REF!&lt;&gt;"")</formula>
    </cfRule>
  </conditionalFormatting>
  <conditionalFormatting sqref="M4132">
    <cfRule type="expression" dxfId="0" priority="1939">
      <formula>(#REF!&lt;&gt;"")*(#REF!&lt;&gt;"")</formula>
    </cfRule>
  </conditionalFormatting>
  <conditionalFormatting sqref="Q4132">
    <cfRule type="expression" dxfId="1" priority="1971">
      <formula>(#REF!&lt;&gt;"")*(#REF!&lt;&gt;"")</formula>
    </cfRule>
    <cfRule type="expression" dxfId="0" priority="1937">
      <formula>(#REF!&lt;&gt;"")*(#REF!&lt;&gt;"")</formula>
    </cfRule>
    <cfRule type="expression" dxfId="1" priority="1938">
      <formula>(#REF!&lt;&gt;"")*(#REF!&lt;&gt;"")</formula>
    </cfRule>
  </conditionalFormatting>
  <conditionalFormatting sqref="R4132">
    <cfRule type="expression" dxfId="0" priority="1936">
      <formula>(#REF!&lt;&gt;"")*(#REF!&lt;&gt;"")</formula>
    </cfRule>
  </conditionalFormatting>
  <conditionalFormatting sqref="M4133">
    <cfRule type="expression" dxfId="0" priority="1891">
      <formula>(#REF!&lt;&gt;"")*(#REF!&lt;&gt;"")</formula>
    </cfRule>
  </conditionalFormatting>
  <conditionalFormatting sqref="Q4133">
    <cfRule type="expression" dxfId="0" priority="1892">
      <formula>(#REF!&lt;&gt;"")*(#REF!&lt;&gt;"")</formula>
    </cfRule>
    <cfRule type="expression" dxfId="1" priority="1893">
      <formula>(#REF!&lt;&gt;"")*(#REF!&lt;&gt;"")</formula>
    </cfRule>
    <cfRule type="expression" dxfId="0" priority="1889">
      <formula>(#REF!&lt;&gt;"")*(#REF!&lt;&gt;"")</formula>
    </cfRule>
    <cfRule type="expression" dxfId="1" priority="1890">
      <formula>(#REF!&lt;&gt;"")*(#REF!&lt;&gt;"")</formula>
    </cfRule>
  </conditionalFormatting>
  <conditionalFormatting sqref="R4133">
    <cfRule type="expression" dxfId="0" priority="1888">
      <formula>(#REF!&lt;&gt;"")*(#REF!&lt;&gt;"")</formula>
    </cfRule>
  </conditionalFormatting>
  <conditionalFormatting sqref="M4134">
    <cfRule type="expression" dxfId="0" priority="1934">
      <formula>(#REF!&lt;&gt;"")*(#REF!&lt;&gt;"")</formula>
    </cfRule>
  </conditionalFormatting>
  <conditionalFormatting sqref="Q4134">
    <cfRule type="expression" dxfId="0" priority="1932">
      <formula>(#REF!&lt;&gt;"")*(#REF!&lt;&gt;"")</formula>
    </cfRule>
    <cfRule type="expression" dxfId="1" priority="1933">
      <formula>(#REF!&lt;&gt;"")*(#REF!&lt;&gt;"")</formula>
    </cfRule>
  </conditionalFormatting>
  <conditionalFormatting sqref="R4134">
    <cfRule type="expression" dxfId="0" priority="1931">
      <formula>(#REF!&lt;&gt;"")*(#REF!&lt;&gt;"")</formula>
    </cfRule>
  </conditionalFormatting>
  <conditionalFormatting sqref="M4135">
    <cfRule type="expression" dxfId="0" priority="1880">
      <formula>(#REF!&lt;&gt;"")*(#REF!&lt;&gt;"")</formula>
    </cfRule>
  </conditionalFormatting>
  <conditionalFormatting sqref="Q4135">
    <cfRule type="expression" dxfId="1" priority="1882">
      <formula>(#REF!&lt;&gt;"")*(#REF!&lt;&gt;"")</formula>
    </cfRule>
    <cfRule type="expression" dxfId="0" priority="1881">
      <formula>(#REF!&lt;&gt;"")*(#REF!&lt;&gt;"")</formula>
    </cfRule>
    <cfRule type="expression" dxfId="0" priority="1878">
      <formula>(#REF!&lt;&gt;"")*(#REF!&lt;&gt;"")</formula>
    </cfRule>
    <cfRule type="expression" dxfId="1" priority="1879">
      <formula>(#REF!&lt;&gt;"")*(#REF!&lt;&gt;"")</formula>
    </cfRule>
  </conditionalFormatting>
  <conditionalFormatting sqref="R4135">
    <cfRule type="expression" dxfId="0" priority="1877">
      <formula>(#REF!&lt;&gt;"")*(#REF!&lt;&gt;"")</formula>
    </cfRule>
  </conditionalFormatting>
  <conditionalFormatting sqref="R4137">
    <cfRule type="expression" dxfId="0" priority="1935">
      <formula>(#REF!&lt;&gt;"")*(#REF!&lt;&gt;"")</formula>
    </cfRule>
  </conditionalFormatting>
  <conditionalFormatting sqref="Q4138">
    <cfRule type="expression" dxfId="0" priority="1929">
      <formula>(#REF!&lt;&gt;"")*(#REF!&lt;&gt;"")</formula>
    </cfRule>
    <cfRule type="expression" dxfId="1" priority="1930">
      <formula>(#REF!&lt;&gt;"")*(#REF!&lt;&gt;"")</formula>
    </cfRule>
  </conditionalFormatting>
  <conditionalFormatting sqref="M4139">
    <cfRule type="expression" dxfId="0" priority="1876">
      <formula>(#REF!&lt;&gt;"")*(#REF!&lt;&gt;"")</formula>
    </cfRule>
  </conditionalFormatting>
  <conditionalFormatting sqref="Q4139">
    <cfRule type="expression" dxfId="1" priority="1875">
      <formula>(#REF!&lt;&gt;"")*(#REF!&lt;&gt;"")</formula>
    </cfRule>
    <cfRule type="expression" dxfId="0" priority="1874">
      <formula>(#REF!&lt;&gt;"")*(#REF!&lt;&gt;"")</formula>
    </cfRule>
    <cfRule type="expression" dxfId="0" priority="1871">
      <formula>(#REF!&lt;&gt;"")*(#REF!&lt;&gt;"")</formula>
    </cfRule>
    <cfRule type="expression" dxfId="1" priority="1872">
      <formula>(#REF!&lt;&gt;"")*(#REF!&lt;&gt;"")</formula>
    </cfRule>
  </conditionalFormatting>
  <conditionalFormatting sqref="R4139">
    <cfRule type="expression" dxfId="0" priority="1873">
      <formula>(#REF!&lt;&gt;"")*(#REF!&lt;&gt;"")</formula>
    </cfRule>
  </conditionalFormatting>
  <conditionalFormatting sqref="Q4140">
    <cfRule type="expression" dxfId="0" priority="1927">
      <formula>(#REF!&lt;&gt;"")*(#REF!&lt;&gt;"")</formula>
    </cfRule>
    <cfRule type="expression" dxfId="1" priority="1928">
      <formula>(#REF!&lt;&gt;"")*(#REF!&lt;&gt;"")</formula>
    </cfRule>
  </conditionalFormatting>
  <conditionalFormatting sqref="M4141">
    <cfRule type="expression" dxfId="0" priority="1922">
      <formula>(#REF!&lt;&gt;"")*(#REF!&lt;&gt;"")</formula>
    </cfRule>
  </conditionalFormatting>
  <conditionalFormatting sqref="P4141">
    <cfRule type="expression" dxfId="0" priority="1923">
      <formula>(#REF!&lt;&gt;"")*(#REF!&lt;&gt;"")</formula>
    </cfRule>
  </conditionalFormatting>
  <conditionalFormatting sqref="Q4141">
    <cfRule type="expression" dxfId="0" priority="1920">
      <formula>(#REF!&lt;&gt;"")*(#REF!&lt;&gt;"")</formula>
    </cfRule>
    <cfRule type="expression" dxfId="1" priority="1921">
      <formula>(#REF!&lt;&gt;"")*(#REF!&lt;&gt;"")</formula>
    </cfRule>
  </conditionalFormatting>
  <conditionalFormatting sqref="F4143">
    <cfRule type="expression" dxfId="0" priority="1917">
      <formula>(#REF!&lt;&gt;"")*(#REF!&lt;&gt;"")</formula>
    </cfRule>
  </conditionalFormatting>
  <conditionalFormatting sqref="G4143">
    <cfRule type="expression" dxfId="0" priority="1916">
      <formula>(#REF!&lt;&gt;"")*(#REF!&lt;&gt;"")</formula>
    </cfRule>
  </conditionalFormatting>
  <conditionalFormatting sqref="A4147">
    <cfRule type="expression" dxfId="0" priority="2048">
      <formula>(#REF!&lt;&gt;"")*(#REF!&lt;&gt;"")</formula>
    </cfRule>
  </conditionalFormatting>
  <conditionalFormatting sqref="Q4147">
    <cfRule type="expression" dxfId="0" priority="1912">
      <formula>(#REF!&lt;&gt;"")*(#REF!&lt;&gt;"")</formula>
    </cfRule>
  </conditionalFormatting>
  <conditionalFormatting sqref="T4147">
    <cfRule type="expression" dxfId="0" priority="1913">
      <formula>(#REF!&lt;&gt;"")*(#REF!&lt;&gt;"")</formula>
    </cfRule>
  </conditionalFormatting>
  <conditionalFormatting sqref="A4148">
    <cfRule type="expression" dxfId="0" priority="2046">
      <formula>(#REF!&lt;&gt;"")*(#REF!&lt;&gt;"")</formula>
    </cfRule>
  </conditionalFormatting>
  <conditionalFormatting sqref="M4148">
    <cfRule type="expression" dxfId="0" priority="1903">
      <formula>(#REF!&lt;&gt;"")*(#REF!&lt;&gt;"")</formula>
    </cfRule>
  </conditionalFormatting>
  <conditionalFormatting sqref="P4148:Q4148">
    <cfRule type="expression" dxfId="1" priority="1905">
      <formula>(#REF!&lt;&gt;"")*(#REF!&lt;&gt;"")</formula>
    </cfRule>
  </conditionalFormatting>
  <conditionalFormatting sqref="T4148">
    <cfRule type="expression" dxfId="0" priority="1901">
      <formula>(#REF!&lt;&gt;"")*(#REF!&lt;&gt;"")</formula>
    </cfRule>
  </conditionalFormatting>
  <conditionalFormatting sqref="A4149">
    <cfRule type="expression" dxfId="0" priority="2049">
      <formula>(#REF!&lt;&gt;"")*(#REF!&lt;&gt;"")</formula>
    </cfRule>
  </conditionalFormatting>
  <conditionalFormatting sqref="A4150">
    <cfRule type="expression" dxfId="0" priority="2047">
      <formula>(#REF!&lt;&gt;"")*(#REF!&lt;&gt;"")</formula>
    </cfRule>
  </conditionalFormatting>
  <conditionalFormatting sqref="Q4150">
    <cfRule type="expression" dxfId="0" priority="1910">
      <formula>(#REF!&lt;&gt;"")*(#REF!&lt;&gt;"")</formula>
    </cfRule>
  </conditionalFormatting>
  <conditionalFormatting sqref="A4151">
    <cfRule type="expression" dxfId="0" priority="2043">
      <formula>(#REF!&lt;&gt;"")*(#REF!&lt;&gt;"")</formula>
    </cfRule>
  </conditionalFormatting>
  <conditionalFormatting sqref="C4151">
    <cfRule type="expression" dxfId="0" priority="2044">
      <formula>(#REF!&lt;&gt;"")*(#REF!&lt;&gt;"")</formula>
    </cfRule>
  </conditionalFormatting>
  <conditionalFormatting sqref="E4151:G4151">
    <cfRule type="expression" dxfId="0" priority="1869">
      <formula>(#REF!&lt;&gt;"")*(#REF!&lt;&gt;"")</formula>
    </cfRule>
    <cfRule type="expression" dxfId="0" priority="1868">
      <formula>(#REF!&lt;&gt;"")*(#REF!&lt;&gt;"")</formula>
    </cfRule>
  </conditionalFormatting>
  <conditionalFormatting sqref="N4151">
    <cfRule type="expression" dxfId="0" priority="1866">
      <formula>(#REF!&lt;&gt;"")*(#REF!&lt;&gt;"")</formula>
    </cfRule>
    <cfRule type="expression" dxfId="0" priority="1865">
      <formula>(#REF!&lt;&gt;"")*(#REF!&lt;&gt;"")</formula>
    </cfRule>
  </conditionalFormatting>
  <conditionalFormatting sqref="P4151:Q4151">
    <cfRule type="expression" dxfId="1" priority="1870">
      <formula>(#REF!&lt;&gt;"")*(#REF!&lt;&gt;"")</formula>
    </cfRule>
  </conditionalFormatting>
  <conditionalFormatting sqref="Q4151">
    <cfRule type="expression" dxfId="0" priority="1867">
      <formula>(#REF!&lt;&gt;"")*(#REF!&lt;&gt;"")</formula>
    </cfRule>
  </conditionalFormatting>
  <conditionalFormatting sqref="Q4155">
    <cfRule type="expression" dxfId="0" priority="1908">
      <formula>(#REF!&lt;&gt;"")*(#REF!&lt;&gt;"")</formula>
    </cfRule>
  </conditionalFormatting>
  <conditionalFormatting sqref="Q4156">
    <cfRule type="expression" dxfId="0" priority="1906">
      <formula>(#REF!&lt;&gt;"")*(#REF!&lt;&gt;"")</formula>
    </cfRule>
  </conditionalFormatting>
  <conditionalFormatting sqref="L4159">
    <cfRule type="expression" dxfId="0" priority="1209">
      <formula>(#REF!&lt;&gt;"")*(#REF!&lt;&gt;"")</formula>
    </cfRule>
  </conditionalFormatting>
  <conditionalFormatting sqref="P4159:Q4159">
    <cfRule type="expression" dxfId="1" priority="1211">
      <formula>(#REF!&lt;&gt;"")*(#REF!&lt;&gt;"")</formula>
    </cfRule>
  </conditionalFormatting>
  <conditionalFormatting sqref="A4160">
    <cfRule type="expression" dxfId="0" priority="2040">
      <formula>(#REF!&lt;&gt;"")*(#REF!&lt;&gt;"")</formula>
    </cfRule>
  </conditionalFormatting>
  <conditionalFormatting sqref="K4160:L4160">
    <cfRule type="expression" dxfId="0" priority="1858">
      <formula>(#REF!&lt;&gt;"")*(#REF!&lt;&gt;"")</formula>
    </cfRule>
    <cfRule type="expression" dxfId="0" priority="1857">
      <formula>(#REF!&lt;&gt;"")*(#REF!&lt;&gt;"")</formula>
    </cfRule>
  </conditionalFormatting>
  <conditionalFormatting sqref="P4160:Q4160">
    <cfRule type="expression" dxfId="1" priority="1860">
      <formula>(#REF!&lt;&gt;"")*(#REF!&lt;&gt;"")</formula>
    </cfRule>
  </conditionalFormatting>
  <conditionalFormatting sqref="Q4164">
    <cfRule type="expression" dxfId="0" priority="1864">
      <formula>(#REF!&lt;&gt;"")*(#REF!&lt;&gt;"")</formula>
    </cfRule>
  </conditionalFormatting>
  <conditionalFormatting sqref="Q4164:R4164">
    <cfRule type="expression" dxfId="0" priority="1862">
      <formula>(#REF!&lt;&gt;"")*(#REF!&lt;&gt;"")</formula>
    </cfRule>
  </conditionalFormatting>
  <conditionalFormatting sqref="M4166">
    <cfRule type="expression" dxfId="0" priority="1851">
      <formula>(#REF!&lt;&gt;"")*(#REF!&lt;&gt;"")</formula>
    </cfRule>
  </conditionalFormatting>
  <conditionalFormatting sqref="N4166">
    <cfRule type="expression" dxfId="0" priority="1849">
      <formula>(#REF!&lt;&gt;"")*(#REF!&lt;&gt;"")</formula>
    </cfRule>
    <cfRule type="expression" dxfId="0" priority="1848">
      <formula>(#REF!&lt;&gt;"")*(#REF!&lt;&gt;"")</formula>
    </cfRule>
  </conditionalFormatting>
  <conditionalFormatting sqref="P4166:Q4166">
    <cfRule type="expression" dxfId="1" priority="1853">
      <formula>(#REF!&lt;&gt;"")*(#REF!&lt;&gt;"")</formula>
    </cfRule>
  </conditionalFormatting>
  <conditionalFormatting sqref="Q4166">
    <cfRule type="expression" dxfId="0" priority="1852">
      <formula>(#REF!&lt;&gt;"")*(#REF!&lt;&gt;"")</formula>
    </cfRule>
  </conditionalFormatting>
  <conditionalFormatting sqref="Q4166:R4166">
    <cfRule type="expression" dxfId="0" priority="1850">
      <formula>(#REF!&lt;&gt;"")*(#REF!&lt;&gt;"")</formula>
    </cfRule>
  </conditionalFormatting>
  <conditionalFormatting sqref="M4167">
    <cfRule type="expression" dxfId="0" priority="1845">
      <formula>(#REF!&lt;&gt;"")*(#REF!&lt;&gt;"")</formula>
    </cfRule>
  </conditionalFormatting>
  <conditionalFormatting sqref="N4167">
    <cfRule type="expression" dxfId="0" priority="1843">
      <formula>(#REF!&lt;&gt;"")*(#REF!&lt;&gt;"")</formula>
    </cfRule>
    <cfRule type="expression" dxfId="0" priority="1842">
      <formula>(#REF!&lt;&gt;"")*(#REF!&lt;&gt;"")</formula>
    </cfRule>
  </conditionalFormatting>
  <conditionalFormatting sqref="P4167:Q4167">
    <cfRule type="expression" dxfId="1" priority="1847">
      <formula>(#REF!&lt;&gt;"")*(#REF!&lt;&gt;"")</formula>
    </cfRule>
  </conditionalFormatting>
  <conditionalFormatting sqref="Q4167">
    <cfRule type="expression" dxfId="0" priority="1846">
      <formula>(#REF!&lt;&gt;"")*(#REF!&lt;&gt;"")</formula>
    </cfRule>
  </conditionalFormatting>
  <conditionalFormatting sqref="Q4167:R4167">
    <cfRule type="expression" dxfId="0" priority="1844">
      <formula>(#REF!&lt;&gt;"")*(#REF!&lt;&gt;"")</formula>
    </cfRule>
  </conditionalFormatting>
  <conditionalFormatting sqref="M4168">
    <cfRule type="expression" dxfId="0" priority="1839">
      <formula>(#REF!&lt;&gt;"")*(#REF!&lt;&gt;"")</formula>
    </cfRule>
  </conditionalFormatting>
  <conditionalFormatting sqref="N4168">
    <cfRule type="expression" dxfId="0" priority="1837">
      <formula>(#REF!&lt;&gt;"")*(#REF!&lt;&gt;"")</formula>
    </cfRule>
    <cfRule type="expression" dxfId="0" priority="1836">
      <formula>(#REF!&lt;&gt;"")*(#REF!&lt;&gt;"")</formula>
    </cfRule>
  </conditionalFormatting>
  <conditionalFormatting sqref="P4168:Q4168">
    <cfRule type="expression" dxfId="1" priority="1841">
      <formula>(#REF!&lt;&gt;"")*(#REF!&lt;&gt;"")</formula>
    </cfRule>
  </conditionalFormatting>
  <conditionalFormatting sqref="Q4168">
    <cfRule type="expression" dxfId="0" priority="1840">
      <formula>(#REF!&lt;&gt;"")*(#REF!&lt;&gt;"")</formula>
    </cfRule>
  </conditionalFormatting>
  <conditionalFormatting sqref="Q4168:R4168">
    <cfRule type="expression" dxfId="0" priority="1838">
      <formula>(#REF!&lt;&gt;"")*(#REF!&lt;&gt;"")</formula>
    </cfRule>
  </conditionalFormatting>
  <conditionalFormatting sqref="P4170:Q4170">
    <cfRule type="expression" dxfId="1" priority="1222">
      <formula>(#REF!&lt;&gt;"")*(#REF!&lt;&gt;"")</formula>
    </cfRule>
  </conditionalFormatting>
  <conditionalFormatting sqref="P4171:Q4171">
    <cfRule type="expression" dxfId="1" priority="1208">
      <formula>(#REF!&lt;&gt;"")*(#REF!&lt;&gt;"")</formula>
    </cfRule>
  </conditionalFormatting>
  <conditionalFormatting sqref="R4171">
    <cfRule type="expression" dxfId="0" priority="1170">
      <formula>(#REF!&lt;&gt;"")*(#REF!&lt;&gt;"")</formula>
    </cfRule>
  </conditionalFormatting>
  <conditionalFormatting sqref="J4172">
    <cfRule type="expression" dxfId="0" priority="1829">
      <formula>(#REF!&lt;&gt;"")*(#REF!&lt;&gt;"")</formula>
    </cfRule>
  </conditionalFormatting>
  <conditionalFormatting sqref="M4172">
    <cfRule type="expression" dxfId="0" priority="1833">
      <formula>(#REF!&lt;&gt;"")*(#REF!&lt;&gt;"")</formula>
    </cfRule>
  </conditionalFormatting>
  <conditionalFormatting sqref="N4172">
    <cfRule type="expression" dxfId="0" priority="1831">
      <formula>(#REF!&lt;&gt;"")*(#REF!&lt;&gt;"")</formula>
    </cfRule>
    <cfRule type="expression" dxfId="0" priority="1830">
      <formula>(#REF!&lt;&gt;"")*(#REF!&lt;&gt;"")</formula>
    </cfRule>
  </conditionalFormatting>
  <conditionalFormatting sqref="O4172">
    <cfRule type="expression" dxfId="0" priority="1828">
      <formula>(#REF!&lt;&gt;"")*(#REF!&lt;&gt;"")</formula>
    </cfRule>
    <cfRule type="expression" dxfId="0" priority="1827">
      <formula>(#REF!&lt;&gt;"")*(#REF!&lt;&gt;"")</formula>
    </cfRule>
  </conditionalFormatting>
  <conditionalFormatting sqref="P4172:Q4172">
    <cfRule type="expression" dxfId="1" priority="1835">
      <formula>(#REF!&lt;&gt;"")*(#REF!&lt;&gt;"")</formula>
    </cfRule>
  </conditionalFormatting>
  <conditionalFormatting sqref="Q4172">
    <cfRule type="expression" dxfId="0" priority="1834">
      <formula>(#REF!&lt;&gt;"")*(#REF!&lt;&gt;"")</formula>
    </cfRule>
    <cfRule type="expression" dxfId="0" priority="1832">
      <formula>(#REF!&lt;&gt;"")*(#REF!&lt;&gt;"")</formula>
    </cfRule>
  </conditionalFormatting>
  <conditionalFormatting sqref="M4173">
    <cfRule type="expression" dxfId="0" priority="1230">
      <formula>(#REF!&lt;&gt;"")*(#REF!&lt;&gt;"")</formula>
    </cfRule>
  </conditionalFormatting>
  <conditionalFormatting sqref="N4173">
    <cfRule type="expression" dxfId="0" priority="1228">
      <formula>(#REF!&lt;&gt;"")*(#REF!&lt;&gt;"")</formula>
    </cfRule>
    <cfRule type="expression" dxfId="0" priority="1227">
      <formula>(#REF!&lt;&gt;"")*(#REF!&lt;&gt;"")</formula>
    </cfRule>
  </conditionalFormatting>
  <conditionalFormatting sqref="P4173">
    <cfRule type="expression" dxfId="0" priority="1233">
      <formula>(#REF!&lt;&gt;"")*(#REF!&lt;&gt;"")</formula>
    </cfRule>
  </conditionalFormatting>
  <conditionalFormatting sqref="P4173:Q4173">
    <cfRule type="expression" dxfId="1" priority="1232">
      <formula>(#REF!&lt;&gt;"")*(#REF!&lt;&gt;"")</formula>
    </cfRule>
  </conditionalFormatting>
  <conditionalFormatting sqref="Q4173">
    <cfRule type="expression" dxfId="0" priority="1231">
      <formula>(#REF!&lt;&gt;"")*(#REF!&lt;&gt;"")</formula>
    </cfRule>
  </conditionalFormatting>
  <conditionalFormatting sqref="Q4173:R4173">
    <cfRule type="expression" dxfId="0" priority="1229">
      <formula>(#REF!&lt;&gt;"")*(#REF!&lt;&gt;"")</formula>
    </cfRule>
  </conditionalFormatting>
  <conditionalFormatting sqref="M4176">
    <cfRule type="expression" dxfId="0" priority="1201">
      <formula>(#REF!&lt;&gt;"")*(#REF!&lt;&gt;"")</formula>
    </cfRule>
  </conditionalFormatting>
  <conditionalFormatting sqref="N4176">
    <cfRule type="expression" dxfId="0" priority="1200">
      <formula>(#REF!&lt;&gt;"")*(#REF!&lt;&gt;"")</formula>
    </cfRule>
  </conditionalFormatting>
  <conditionalFormatting sqref="P4176">
    <cfRule type="expression" dxfId="0" priority="1206">
      <formula>(#REF!&lt;&gt;"")*(#REF!&lt;&gt;"")</formula>
    </cfRule>
    <cfRule type="expression" dxfId="1" priority="1205">
      <formula>(#REF!&lt;&gt;"")*(#REF!&lt;&gt;"")</formula>
    </cfRule>
  </conditionalFormatting>
  <conditionalFormatting sqref="Q4176">
    <cfRule type="expression" dxfId="0" priority="1203">
      <formula>(#REF!&lt;&gt;"")*(#REF!&lt;&gt;"")</formula>
    </cfRule>
    <cfRule type="expression" dxfId="1" priority="1204">
      <formula>(#REF!&lt;&gt;"")*(#REF!&lt;&gt;"")</formula>
    </cfRule>
    <cfRule type="expression" dxfId="0" priority="1202">
      <formula>(#REF!&lt;&gt;"")*(#REF!&lt;&gt;"")</formula>
    </cfRule>
  </conditionalFormatting>
  <conditionalFormatting sqref="R4176">
    <cfRule type="expression" dxfId="0" priority="1169">
      <formula>(#REF!&lt;&gt;"")*(#REF!&lt;&gt;"")</formula>
    </cfRule>
  </conditionalFormatting>
  <conditionalFormatting sqref="R4179">
    <cfRule type="expression" dxfId="0" priority="513">
      <formula>(#REF!&lt;&gt;"")*(#REF!&lt;&gt;"")</formula>
    </cfRule>
  </conditionalFormatting>
  <conditionalFormatting sqref="P4180">
    <cfRule type="expression" dxfId="0" priority="1918">
      <formula>(#REF!&lt;&gt;"")*(#REF!&lt;&gt;"")</formula>
    </cfRule>
  </conditionalFormatting>
  <conditionalFormatting sqref="Q4180">
    <cfRule type="expression" dxfId="1" priority="667">
      <formula>(#REF!&lt;&gt;"")*(#REF!&lt;&gt;"")</formula>
    </cfRule>
    <cfRule type="expression" dxfId="0" priority="666">
      <formula>(#REF!&lt;&gt;"")*(#REF!&lt;&gt;"")</formula>
    </cfRule>
    <cfRule type="expression" dxfId="1" priority="665">
      <formula>(#REF!&lt;&gt;"")*(#REF!&lt;&gt;"")</formula>
    </cfRule>
  </conditionalFormatting>
  <conditionalFormatting sqref="R4180">
    <cfRule type="expression" dxfId="0" priority="668">
      <formula>(#REF!&lt;&gt;"")*(#REF!&lt;&gt;"")</formula>
    </cfRule>
  </conditionalFormatting>
  <conditionalFormatting sqref="Q4187">
    <cfRule type="expression" dxfId="1" priority="1821">
      <formula>(#REF!&lt;&gt;"")*(#REF!&lt;&gt;"")</formula>
    </cfRule>
  </conditionalFormatting>
  <conditionalFormatting sqref="P4188">
    <cfRule type="expression" dxfId="1" priority="1823">
      <formula>(#REF!&lt;&gt;"")*(P$1&lt;&gt;"")</formula>
    </cfRule>
  </conditionalFormatting>
  <conditionalFormatting sqref="Q4188">
    <cfRule type="expression" dxfId="1" priority="1822">
      <formula>(#REF!&lt;&gt;"")*(#REF!&lt;&gt;"")</formula>
    </cfRule>
  </conditionalFormatting>
  <conditionalFormatting sqref="J4189">
    <cfRule type="expression" dxfId="1" priority="1824">
      <formula>(#REF!&lt;&gt;"")*(J$1&lt;&gt;"")</formula>
    </cfRule>
  </conditionalFormatting>
  <conditionalFormatting sqref="M4214">
    <cfRule type="expression" dxfId="0" priority="1812">
      <formula>(#REF!&lt;&gt;"")*(#REF!&lt;&gt;"")</formula>
    </cfRule>
  </conditionalFormatting>
  <conditionalFormatting sqref="N4214:R4214">
    <cfRule type="expression" dxfId="0" priority="1813">
      <formula>(#REF!&lt;&gt;"")*(#REF!&lt;&gt;"")</formula>
    </cfRule>
  </conditionalFormatting>
  <conditionalFormatting sqref="M4215">
    <cfRule type="expression" dxfId="0" priority="1816">
      <formula>(#REF!&lt;&gt;"")*(#REF!&lt;&gt;"")</formula>
    </cfRule>
  </conditionalFormatting>
  <conditionalFormatting sqref="M4216">
    <cfRule type="expression" dxfId="0" priority="1810">
      <formula>(#REF!&lt;&gt;"")*(#REF!&lt;&gt;"")</formula>
    </cfRule>
  </conditionalFormatting>
  <conditionalFormatting sqref="N4216">
    <cfRule type="expression" dxfId="0" priority="1809">
      <formula>(#REF!&lt;&gt;"")*(#REF!&lt;&gt;"")</formula>
    </cfRule>
  </conditionalFormatting>
  <conditionalFormatting sqref="O4216:R4216">
    <cfRule type="expression" dxfId="0" priority="1811">
      <formula>(#REF!&lt;&gt;"")*(#REF!&lt;&gt;"")</formula>
    </cfRule>
  </conditionalFormatting>
  <conditionalFormatting sqref="T4216">
    <cfRule type="expression" dxfId="0" priority="1820">
      <formula>(#REF!&lt;&gt;"")*(#REF!&lt;&gt;"")</formula>
    </cfRule>
  </conditionalFormatting>
  <conditionalFormatting sqref="C4295">
    <cfRule type="expression" dxfId="0" priority="1642">
      <formula>(#REF!&lt;&gt;"")*(#REF!&lt;&gt;"")</formula>
    </cfRule>
  </conditionalFormatting>
  <conditionalFormatting sqref="P4295:Q4295">
    <cfRule type="expression" dxfId="0" priority="1639">
      <formula>(#REF!&lt;&gt;"")*(#REF!&lt;&gt;"")</formula>
    </cfRule>
    <cfRule type="expression" dxfId="1" priority="1641">
      <formula>(#REF!&lt;&gt;"")*(#REF!&lt;&gt;"")</formula>
    </cfRule>
  </conditionalFormatting>
  <conditionalFormatting sqref="R4295">
    <cfRule type="expression" dxfId="0" priority="1638">
      <formula>(#REF!&lt;&gt;"")*(#REF!&lt;&gt;"")</formula>
    </cfRule>
  </conditionalFormatting>
  <conditionalFormatting sqref="H4351">
    <cfRule type="expression" dxfId="0" priority="879">
      <formula>(#REF!&lt;&gt;"")*(#REF!&lt;&gt;"")</formula>
    </cfRule>
  </conditionalFormatting>
  <conditionalFormatting sqref="H4352">
    <cfRule type="expression" dxfId="0" priority="1581">
      <formula>(#REF!&lt;&gt;"")*(#REF!&lt;&gt;"")</formula>
    </cfRule>
  </conditionalFormatting>
  <conditionalFormatting sqref="H4353">
    <cfRule type="expression" dxfId="0" priority="882">
      <formula>(#REF!&lt;&gt;"")*(#REF!&lt;&gt;"")</formula>
    </cfRule>
  </conditionalFormatting>
  <conditionalFormatting sqref="P4353:Q4353">
    <cfRule type="expression" dxfId="0" priority="884">
      <formula>(#REF!&lt;&gt;"")*(#REF!&lt;&gt;"")</formula>
    </cfRule>
    <cfRule type="expression" dxfId="1" priority="886">
      <formula>(#REF!&lt;&gt;"")*(#REF!&lt;&gt;"")</formula>
    </cfRule>
  </conditionalFormatting>
  <conditionalFormatting sqref="R4353">
    <cfRule type="expression" dxfId="0" priority="883">
      <formula>(#REF!&lt;&gt;"")*(#REF!&lt;&gt;"")</formula>
    </cfRule>
  </conditionalFormatting>
  <conditionalFormatting sqref="P4355:Q4355">
    <cfRule type="expression" dxfId="0" priority="875">
      <formula>(#REF!&lt;&gt;"")*(#REF!&lt;&gt;"")</formula>
    </cfRule>
    <cfRule type="expression" dxfId="1" priority="877">
      <formula>(#REF!&lt;&gt;"")*(#REF!&lt;&gt;"")</formula>
    </cfRule>
  </conditionalFormatting>
  <conditionalFormatting sqref="R4355">
    <cfRule type="expression" dxfId="0" priority="874">
      <formula>(#REF!&lt;&gt;"")*(#REF!&lt;&gt;"")</formula>
    </cfRule>
  </conditionalFormatting>
  <conditionalFormatting sqref="O4444">
    <cfRule type="expression" dxfId="0" priority="1439">
      <formula>(#REF!&lt;&gt;"")*(#REF!&lt;&gt;"")</formula>
    </cfRule>
  </conditionalFormatting>
  <conditionalFormatting sqref="P4444">
    <cfRule type="expression" dxfId="0" priority="1438">
      <formula>(#REF!&lt;&gt;"")*(#REF!&lt;&gt;"")</formula>
    </cfRule>
    <cfRule type="expression" dxfId="1" priority="1440">
      <formula>(#REF!&lt;&gt;"")*(#REF!&lt;&gt;"")</formula>
    </cfRule>
  </conditionalFormatting>
  <conditionalFormatting sqref="Q4444">
    <cfRule type="expression" dxfId="0" priority="1428">
      <formula>(#REF!&lt;&gt;"")*(#REF!&lt;&gt;"")</formula>
    </cfRule>
    <cfRule type="expression" dxfId="1" priority="1429">
      <formula>(#REF!&lt;&gt;"")*(#REF!&lt;&gt;"")</formula>
    </cfRule>
  </conditionalFormatting>
  <conditionalFormatting sqref="R4444">
    <cfRule type="expression" dxfId="0" priority="1247">
      <formula>(#REF!&lt;&gt;"")*(#REF!&lt;&gt;"")</formula>
    </cfRule>
  </conditionalFormatting>
  <conditionalFormatting sqref="K4445">
    <cfRule type="expression" dxfId="0" priority="1436">
      <formula>(#REF!&lt;&gt;"")*(#REF!&lt;&gt;"")</formula>
    </cfRule>
  </conditionalFormatting>
  <conditionalFormatting sqref="L4445:N4445">
    <cfRule type="expression" dxfId="0" priority="1437">
      <formula>(#REF!&lt;&gt;"")*(#REF!&lt;&gt;"")</formula>
    </cfRule>
  </conditionalFormatting>
  <conditionalFormatting sqref="O4445">
    <cfRule type="expression" dxfId="0" priority="1432">
      <formula>(#REF!&lt;&gt;"")*(#REF!&lt;&gt;"")</formula>
    </cfRule>
  </conditionalFormatting>
  <conditionalFormatting sqref="P4445">
    <cfRule type="expression" dxfId="0" priority="1431">
      <formula>(#REF!&lt;&gt;"")*(#REF!&lt;&gt;"")</formula>
    </cfRule>
    <cfRule type="expression" dxfId="1" priority="1433">
      <formula>(#REF!&lt;&gt;"")*(#REF!&lt;&gt;"")</formula>
    </cfRule>
  </conditionalFormatting>
  <conditionalFormatting sqref="R4445">
    <cfRule type="expression" dxfId="0" priority="1246">
      <formula>(#REF!&lt;&gt;"")*(#REF!&lt;&gt;"")</formula>
    </cfRule>
  </conditionalFormatting>
  <conditionalFormatting sqref="O4446">
    <cfRule type="expression" dxfId="0" priority="1259">
      <formula>(#REF!&lt;&gt;"")*(#REF!&lt;&gt;"")</formula>
    </cfRule>
  </conditionalFormatting>
  <conditionalFormatting sqref="P4446">
    <cfRule type="expression" dxfId="0" priority="1258">
      <formula>(#REF!&lt;&gt;"")*(#REF!&lt;&gt;"")</formula>
    </cfRule>
    <cfRule type="expression" dxfId="1" priority="1260">
      <formula>(#REF!&lt;&gt;"")*(#REF!&lt;&gt;"")</formula>
    </cfRule>
  </conditionalFormatting>
  <conditionalFormatting sqref="O4447">
    <cfRule type="expression" dxfId="0" priority="861">
      <formula>(#REF!&lt;&gt;"")*(#REF!&lt;&gt;"")</formula>
    </cfRule>
  </conditionalFormatting>
  <conditionalFormatting sqref="P4447">
    <cfRule type="expression" dxfId="0" priority="860">
      <formula>(#REF!&lt;&gt;"")*(#REF!&lt;&gt;"")</formula>
    </cfRule>
    <cfRule type="expression" dxfId="1" priority="862">
      <formula>(#REF!&lt;&gt;"")*(#REF!&lt;&gt;"")</formula>
    </cfRule>
  </conditionalFormatting>
  <conditionalFormatting sqref="K4449">
    <cfRule type="expression" dxfId="0" priority="626">
      <formula>(#REF!&lt;&gt;"")*(#REF!&lt;&gt;"")</formula>
    </cfRule>
  </conditionalFormatting>
  <conditionalFormatting sqref="R4450">
    <cfRule type="expression" dxfId="0" priority="65">
      <formula>(#REF!&lt;&gt;"")*(#REF!&lt;&gt;"")</formula>
    </cfRule>
  </conditionalFormatting>
  <conditionalFormatting sqref="N4582">
    <cfRule type="expression" dxfId="0" priority="1739">
      <formula>(#REF!&lt;&gt;"")*(#REF!&lt;&gt;"")</formula>
    </cfRule>
  </conditionalFormatting>
  <conditionalFormatting sqref="P4582:Q4582">
    <cfRule type="expression" dxfId="0" priority="1740">
      <formula>(#REF!&lt;&gt;"")*(#REF!&lt;&gt;"")</formula>
    </cfRule>
    <cfRule type="expression" dxfId="1" priority="1742">
      <formula>(#REF!&lt;&gt;"")*(#REF!&lt;&gt;"")</formula>
    </cfRule>
  </conditionalFormatting>
  <conditionalFormatting sqref="R4582">
    <cfRule type="expression" dxfId="0" priority="1738">
      <formula>(#REF!&lt;&gt;"")*(#REF!&lt;&gt;"")</formula>
    </cfRule>
  </conditionalFormatting>
  <conditionalFormatting sqref="N4583">
    <cfRule type="expression" dxfId="0" priority="1713">
      <formula>(#REF!&lt;&gt;"")*(#REF!&lt;&gt;"")</formula>
    </cfRule>
  </conditionalFormatting>
  <conditionalFormatting sqref="P4583">
    <cfRule type="expression" dxfId="0" priority="1714">
      <formula>(#REF!&lt;&gt;"")*(#REF!&lt;&gt;"")</formula>
    </cfRule>
    <cfRule type="expression" dxfId="1" priority="1716">
      <formula>(#REF!&lt;&gt;"")*(#REF!&lt;&gt;"")</formula>
    </cfRule>
  </conditionalFormatting>
  <conditionalFormatting sqref="Q4583">
    <cfRule type="expression" dxfId="0" priority="1579">
      <formula>(#REF!&lt;&gt;"")*(#REF!&lt;&gt;"")</formula>
    </cfRule>
    <cfRule type="expression" dxfId="0" priority="1578">
      <formula>(#REF!&lt;&gt;"")*(#REF!&lt;&gt;"")</formula>
    </cfRule>
    <cfRule type="expression" dxfId="1" priority="1580">
      <formula>(#REF!&lt;&gt;"")*(#REF!&lt;&gt;"")</formula>
    </cfRule>
  </conditionalFormatting>
  <conditionalFormatting sqref="R4583">
    <cfRule type="expression" dxfId="0" priority="1712">
      <formula>(#REF!&lt;&gt;"")*(#REF!&lt;&gt;"")</formula>
    </cfRule>
  </conditionalFormatting>
  <conditionalFormatting sqref="N4584">
    <cfRule type="expression" dxfId="0" priority="1454">
      <formula>(#REF!&lt;&gt;"")*(#REF!&lt;&gt;"")</formula>
    </cfRule>
  </conditionalFormatting>
  <conditionalFormatting sqref="P4584">
    <cfRule type="expression" dxfId="0" priority="1455">
      <formula>(#REF!&lt;&gt;"")*(#REF!&lt;&gt;"")</formula>
    </cfRule>
    <cfRule type="expression" dxfId="1" priority="1457">
      <formula>(#REF!&lt;&gt;"")*(#REF!&lt;&gt;"")</formula>
    </cfRule>
  </conditionalFormatting>
  <conditionalFormatting sqref="Q4584">
    <cfRule type="expression" dxfId="0" priority="1452">
      <formula>(#REF!&lt;&gt;"")*(#REF!&lt;&gt;"")</formula>
    </cfRule>
    <cfRule type="expression" dxfId="0" priority="1451">
      <formula>(#REF!&lt;&gt;"")*(#REF!&lt;&gt;"")</formula>
    </cfRule>
    <cfRule type="expression" dxfId="1" priority="1453">
      <formula>(#REF!&lt;&gt;"")*(#REF!&lt;&gt;"")</formula>
    </cfRule>
  </conditionalFormatting>
  <conditionalFormatting sqref="R4584">
    <cfRule type="expression" dxfId="0" priority="1245">
      <formula>(#REF!&lt;&gt;"")*(#REF!&lt;&gt;"")</formula>
    </cfRule>
  </conditionalFormatting>
  <conditionalFormatting sqref="N4585">
    <cfRule type="expression" dxfId="0" priority="1446">
      <formula>(#REF!&lt;&gt;"")*(#REF!&lt;&gt;"")</formula>
    </cfRule>
  </conditionalFormatting>
  <conditionalFormatting sqref="P4585">
    <cfRule type="expression" dxfId="0" priority="1447">
      <formula>(#REF!&lt;&gt;"")*(#REF!&lt;&gt;"")</formula>
    </cfRule>
    <cfRule type="expression" dxfId="1" priority="1449">
      <formula>(#REF!&lt;&gt;"")*(#REF!&lt;&gt;"")</formula>
    </cfRule>
  </conditionalFormatting>
  <conditionalFormatting sqref="Q4585">
    <cfRule type="expression" dxfId="0" priority="1444">
      <formula>(#REF!&lt;&gt;"")*(#REF!&lt;&gt;"")</formula>
    </cfRule>
    <cfRule type="expression" dxfId="0" priority="1443">
      <formula>(#REF!&lt;&gt;"")*(#REF!&lt;&gt;"")</formula>
    </cfRule>
    <cfRule type="expression" dxfId="1" priority="1445">
      <formula>(#REF!&lt;&gt;"")*(#REF!&lt;&gt;"")</formula>
    </cfRule>
  </conditionalFormatting>
  <conditionalFormatting sqref="R4585">
    <cfRule type="expression" dxfId="0" priority="1244">
      <formula>(#REF!&lt;&gt;"")*(#REF!&lt;&gt;"")</formula>
    </cfRule>
  </conditionalFormatting>
  <conditionalFormatting sqref="N4586">
    <cfRule type="expression" dxfId="0" priority="1271">
      <formula>(#REF!&lt;&gt;"")*(#REF!&lt;&gt;"")</formula>
    </cfRule>
  </conditionalFormatting>
  <conditionalFormatting sqref="P4586">
    <cfRule type="expression" dxfId="0" priority="1272">
      <formula>(#REF!&lt;&gt;"")*(#REF!&lt;&gt;"")</formula>
    </cfRule>
    <cfRule type="expression" dxfId="1" priority="1274">
      <formula>(#REF!&lt;&gt;"")*(#REF!&lt;&gt;"")</formula>
    </cfRule>
  </conditionalFormatting>
  <conditionalFormatting sqref="Q4586">
    <cfRule type="expression" dxfId="0" priority="1269">
      <formula>(#REF!&lt;&gt;"")*(#REF!&lt;&gt;"")</formula>
    </cfRule>
    <cfRule type="expression" dxfId="0" priority="1268">
      <formula>(#REF!&lt;&gt;"")*(#REF!&lt;&gt;"")</formula>
    </cfRule>
    <cfRule type="expression" dxfId="1" priority="1270">
      <formula>(#REF!&lt;&gt;"")*(#REF!&lt;&gt;"")</formula>
    </cfRule>
  </conditionalFormatting>
  <conditionalFormatting sqref="R4586">
    <cfRule type="expression" dxfId="0" priority="1165">
      <formula>(#REF!&lt;&gt;"")*(#REF!&lt;&gt;"")</formula>
    </cfRule>
  </conditionalFormatting>
  <conditionalFormatting sqref="N4587">
    <cfRule type="expression" dxfId="0" priority="930">
      <formula>(#REF!&lt;&gt;"")*(#REF!&lt;&gt;"")</formula>
    </cfRule>
  </conditionalFormatting>
  <conditionalFormatting sqref="O4587">
    <cfRule type="expression" dxfId="0" priority="926">
      <formula>(#REF!&lt;&gt;"")*(#REF!&lt;&gt;"")</formula>
    </cfRule>
  </conditionalFormatting>
  <conditionalFormatting sqref="P4587">
    <cfRule type="expression" dxfId="0" priority="924">
      <formula>(#REF!&lt;&gt;"")*(#REF!&lt;&gt;"")</formula>
    </cfRule>
    <cfRule type="expression" dxfId="1" priority="925">
      <formula>(#REF!&lt;&gt;"")*(#REF!&lt;&gt;"")</formula>
    </cfRule>
  </conditionalFormatting>
  <conditionalFormatting sqref="Q4587">
    <cfRule type="expression" dxfId="0" priority="928">
      <formula>(#REF!&lt;&gt;"")*(#REF!&lt;&gt;"")</formula>
    </cfRule>
    <cfRule type="expression" dxfId="0" priority="927">
      <formula>(#REF!&lt;&gt;"")*(#REF!&lt;&gt;"")</formula>
    </cfRule>
    <cfRule type="expression" dxfId="1" priority="929">
      <formula>(#REF!&lt;&gt;"")*(#REF!&lt;&gt;"")</formula>
    </cfRule>
  </conditionalFormatting>
  <conditionalFormatting sqref="N4588">
    <cfRule type="expression" dxfId="0" priority="764">
      <formula>(#REF!&lt;&gt;"")*(#REF!&lt;&gt;"")</formula>
    </cfRule>
  </conditionalFormatting>
  <conditionalFormatting sqref="O4588">
    <cfRule type="expression" dxfId="0" priority="757">
      <formula>(#REF!&lt;&gt;"")*(#REF!&lt;&gt;"")</formula>
    </cfRule>
  </conditionalFormatting>
  <conditionalFormatting sqref="P4588">
    <cfRule type="expression" dxfId="0" priority="755">
      <formula>(#REF!&lt;&gt;"")*(#REF!&lt;&gt;"")</formula>
    </cfRule>
    <cfRule type="expression" dxfId="1" priority="756">
      <formula>(#REF!&lt;&gt;"")*(#REF!&lt;&gt;"")</formula>
    </cfRule>
  </conditionalFormatting>
  <conditionalFormatting sqref="Q4588">
    <cfRule type="expression" dxfId="0" priority="759">
      <formula>(#REF!&lt;&gt;"")*(#REF!&lt;&gt;"")</formula>
    </cfRule>
    <cfRule type="expression" dxfId="0" priority="758">
      <formula>(#REF!&lt;&gt;"")*(#REF!&lt;&gt;"")</formula>
    </cfRule>
    <cfRule type="expression" dxfId="1" priority="760">
      <formula>(#REF!&lt;&gt;"")*(#REF!&lt;&gt;"")</formula>
    </cfRule>
  </conditionalFormatting>
  <conditionalFormatting sqref="O4589">
    <cfRule type="expression" dxfId="0" priority="920">
      <formula>(#REF!&lt;&gt;"")*(#REF!&lt;&gt;"")</formula>
    </cfRule>
  </conditionalFormatting>
  <conditionalFormatting sqref="P4589">
    <cfRule type="expression" dxfId="0" priority="918">
      <formula>(#REF!&lt;&gt;"")*(#REF!&lt;&gt;"")</formula>
    </cfRule>
    <cfRule type="expression" dxfId="1" priority="919">
      <formula>(#REF!&lt;&gt;"")*(#REF!&lt;&gt;"")</formula>
    </cfRule>
  </conditionalFormatting>
  <conditionalFormatting sqref="Q4589">
    <cfRule type="expression" dxfId="0" priority="922">
      <formula>(#REF!&lt;&gt;"")*(#REF!&lt;&gt;"")</formula>
    </cfRule>
    <cfRule type="expression" dxfId="0" priority="921">
      <formula>(#REF!&lt;&gt;"")*(#REF!&lt;&gt;"")</formula>
    </cfRule>
    <cfRule type="expression" dxfId="1" priority="923">
      <formula>(#REF!&lt;&gt;"")*(#REF!&lt;&gt;"")</formula>
    </cfRule>
  </conditionalFormatting>
  <conditionalFormatting sqref="L4592:M4592">
    <cfRule type="expression" dxfId="0" priority="620">
      <formula>(#REF!&lt;&gt;"")*(#REF!&lt;&gt;"")</formula>
    </cfRule>
  </conditionalFormatting>
  <conditionalFormatting sqref="N4592">
    <cfRule type="expression" dxfId="0" priority="621">
      <formula>(#REF!&lt;&gt;"")*(#REF!&lt;&gt;"")</formula>
    </cfRule>
  </conditionalFormatting>
  <conditionalFormatting sqref="O4592">
    <cfRule type="expression" dxfId="0" priority="619">
      <formula>(#REF!&lt;&gt;"")*(#REF!&lt;&gt;"")</formula>
    </cfRule>
  </conditionalFormatting>
  <conditionalFormatting sqref="P4592">
    <cfRule type="expression" dxfId="0" priority="617">
      <formula>(#REF!&lt;&gt;"")*(#REF!&lt;&gt;"")</formula>
    </cfRule>
    <cfRule type="expression" dxfId="1" priority="618">
      <formula>(#REF!&lt;&gt;"")*(#REF!&lt;&gt;"")</formula>
    </cfRule>
  </conditionalFormatting>
  <conditionalFormatting sqref="Q4592">
    <cfRule type="expression" dxfId="0" priority="615">
      <formula>(#REF!&lt;&gt;"")*(#REF!&lt;&gt;"")</formula>
    </cfRule>
    <cfRule type="expression" dxfId="0" priority="614">
      <formula>(#REF!&lt;&gt;"")*(#REF!&lt;&gt;"")</formula>
    </cfRule>
    <cfRule type="expression" dxfId="1" priority="616">
      <formula>(#REF!&lt;&gt;"")*(#REF!&lt;&gt;"")</formula>
    </cfRule>
  </conditionalFormatting>
  <conditionalFormatting sqref="L4593:M4593">
    <cfRule type="expression" dxfId="0" priority="610">
      <formula>(#REF!&lt;&gt;"")*(#REF!&lt;&gt;"")</formula>
    </cfRule>
  </conditionalFormatting>
  <conditionalFormatting sqref="N4593">
    <cfRule type="expression" dxfId="0" priority="611">
      <formula>(#REF!&lt;&gt;"")*(#REF!&lt;&gt;"")</formula>
    </cfRule>
  </conditionalFormatting>
  <conditionalFormatting sqref="O4593">
    <cfRule type="expression" dxfId="0" priority="609">
      <formula>(#REF!&lt;&gt;"")*(#REF!&lt;&gt;"")</formula>
    </cfRule>
  </conditionalFormatting>
  <conditionalFormatting sqref="P4593">
    <cfRule type="expression" dxfId="0" priority="607">
      <formula>(#REF!&lt;&gt;"")*(#REF!&lt;&gt;"")</formula>
    </cfRule>
    <cfRule type="expression" dxfId="1" priority="608">
      <formula>(#REF!&lt;&gt;"")*(#REF!&lt;&gt;"")</formula>
    </cfRule>
  </conditionalFormatting>
  <conditionalFormatting sqref="Q4593">
    <cfRule type="expression" dxfId="0" priority="605">
      <formula>(#REF!&lt;&gt;"")*(#REF!&lt;&gt;"")</formula>
    </cfRule>
    <cfRule type="expression" dxfId="0" priority="604">
      <formula>(#REF!&lt;&gt;"")*(#REF!&lt;&gt;"")</formula>
    </cfRule>
    <cfRule type="expression" dxfId="1" priority="606">
      <formula>(#REF!&lt;&gt;"")*(#REF!&lt;&gt;"")</formula>
    </cfRule>
  </conditionalFormatting>
  <conditionalFormatting sqref="L4594:M4594">
    <cfRule type="expression" dxfId="0" priority="600">
      <formula>(#REF!&lt;&gt;"")*(#REF!&lt;&gt;"")</formula>
    </cfRule>
  </conditionalFormatting>
  <conditionalFormatting sqref="N4594">
    <cfRule type="expression" dxfId="0" priority="601">
      <formula>(#REF!&lt;&gt;"")*(#REF!&lt;&gt;"")</formula>
    </cfRule>
  </conditionalFormatting>
  <conditionalFormatting sqref="O4594">
    <cfRule type="expression" dxfId="0" priority="599">
      <formula>(#REF!&lt;&gt;"")*(#REF!&lt;&gt;"")</formula>
    </cfRule>
  </conditionalFormatting>
  <conditionalFormatting sqref="P4594">
    <cfRule type="expression" dxfId="0" priority="597">
      <formula>(#REF!&lt;&gt;"")*(#REF!&lt;&gt;"")</formula>
    </cfRule>
    <cfRule type="expression" dxfId="1" priority="598">
      <formula>(#REF!&lt;&gt;"")*(#REF!&lt;&gt;"")</formula>
    </cfRule>
  </conditionalFormatting>
  <conditionalFormatting sqref="Q4594">
    <cfRule type="expression" dxfId="0" priority="595">
      <formula>(#REF!&lt;&gt;"")*(#REF!&lt;&gt;"")</formula>
    </cfRule>
    <cfRule type="expression" dxfId="0" priority="594">
      <formula>(#REF!&lt;&gt;"")*(#REF!&lt;&gt;"")</formula>
    </cfRule>
    <cfRule type="expression" dxfId="1" priority="596">
      <formula>(#REF!&lt;&gt;"")*(#REF!&lt;&gt;"")</formula>
    </cfRule>
  </conditionalFormatting>
  <conditionalFormatting sqref="N4595">
    <cfRule type="expression" dxfId="0" priority="751">
      <formula>(#REF!&lt;&gt;"")*(#REF!&lt;&gt;"")</formula>
    </cfRule>
  </conditionalFormatting>
  <conditionalFormatting sqref="O4595">
    <cfRule type="expression" dxfId="0" priority="747">
      <formula>(#REF!&lt;&gt;"")*(#REF!&lt;&gt;"")</formula>
    </cfRule>
  </conditionalFormatting>
  <conditionalFormatting sqref="Q4595">
    <cfRule type="expression" dxfId="1" priority="750">
      <formula>(#REF!&lt;&gt;"")*(#REF!&lt;&gt;"")</formula>
    </cfRule>
    <cfRule type="expression" dxfId="0" priority="749">
      <formula>(#REF!&lt;&gt;"")*(#REF!&lt;&gt;"")</formula>
    </cfRule>
    <cfRule type="expression" dxfId="0" priority="748">
      <formula>(#REF!&lt;&gt;"")*(#REF!&lt;&gt;"")</formula>
    </cfRule>
  </conditionalFormatting>
  <conditionalFormatting sqref="N4596">
    <cfRule type="expression" dxfId="0" priority="742">
      <formula>(#REF!&lt;&gt;"")*(#REF!&lt;&gt;"")</formula>
    </cfRule>
  </conditionalFormatting>
  <conditionalFormatting sqref="O4596">
    <cfRule type="expression" dxfId="0" priority="738">
      <formula>(#REF!&lt;&gt;"")*(#REF!&lt;&gt;"")</formula>
    </cfRule>
  </conditionalFormatting>
  <conditionalFormatting sqref="Q4596">
    <cfRule type="expression" dxfId="0" priority="740">
      <formula>(#REF!&lt;&gt;"")*(#REF!&lt;&gt;"")</formula>
    </cfRule>
    <cfRule type="expression" dxfId="0" priority="739">
      <formula>(#REF!&lt;&gt;"")*(#REF!&lt;&gt;"")</formula>
    </cfRule>
    <cfRule type="expression" dxfId="1" priority="741">
      <formula>(#REF!&lt;&gt;"")*(#REF!&lt;&gt;"")</formula>
    </cfRule>
  </conditionalFormatting>
  <conditionalFormatting sqref="N4597">
    <cfRule type="expression" dxfId="0" priority="735">
      <formula>(#REF!&lt;&gt;"")*(#REF!&lt;&gt;"")</formula>
    </cfRule>
  </conditionalFormatting>
  <conditionalFormatting sqref="O4597">
    <cfRule type="expression" dxfId="0" priority="731">
      <formula>(#REF!&lt;&gt;"")*(#REF!&lt;&gt;"")</formula>
    </cfRule>
  </conditionalFormatting>
  <conditionalFormatting sqref="Q4597">
    <cfRule type="expression" dxfId="0" priority="733">
      <formula>(#REF!&lt;&gt;"")*(#REF!&lt;&gt;"")</formula>
    </cfRule>
    <cfRule type="expression" dxfId="0" priority="732">
      <formula>(#REF!&lt;&gt;"")*(#REF!&lt;&gt;"")</formula>
    </cfRule>
    <cfRule type="expression" dxfId="1" priority="734">
      <formula>(#REF!&lt;&gt;"")*(#REF!&lt;&gt;"")</formula>
    </cfRule>
  </conditionalFormatting>
  <conditionalFormatting sqref="N4598">
    <cfRule type="expression" dxfId="0" priority="727">
      <formula>(#REF!&lt;&gt;"")*(#REF!&lt;&gt;"")</formula>
    </cfRule>
  </conditionalFormatting>
  <conditionalFormatting sqref="O4598">
    <cfRule type="expression" dxfId="0" priority="723">
      <formula>(#REF!&lt;&gt;"")*(#REF!&lt;&gt;"")</formula>
    </cfRule>
  </conditionalFormatting>
  <conditionalFormatting sqref="Q4598">
    <cfRule type="expression" dxfId="0" priority="725">
      <formula>(#REF!&lt;&gt;"")*(#REF!&lt;&gt;"")</formula>
    </cfRule>
    <cfRule type="expression" dxfId="0" priority="724">
      <formula>(#REF!&lt;&gt;"")*(#REF!&lt;&gt;"")</formula>
    </cfRule>
    <cfRule type="expression" dxfId="1" priority="726">
      <formula>(#REF!&lt;&gt;"")*(#REF!&lt;&gt;"")</formula>
    </cfRule>
  </conditionalFormatting>
  <conditionalFormatting sqref="N4599">
    <cfRule type="expression" dxfId="0" priority="711">
      <formula>(#REF!&lt;&gt;"")*(#REF!&lt;&gt;"")</formula>
    </cfRule>
  </conditionalFormatting>
  <conditionalFormatting sqref="O4599">
    <cfRule type="expression" dxfId="0" priority="707">
      <formula>(#REF!&lt;&gt;"")*(#REF!&lt;&gt;"")</formula>
    </cfRule>
  </conditionalFormatting>
  <conditionalFormatting sqref="Q4599">
    <cfRule type="expression" dxfId="0" priority="709">
      <formula>(#REF!&lt;&gt;"")*(#REF!&lt;&gt;"")</formula>
    </cfRule>
    <cfRule type="expression" dxfId="0" priority="708">
      <formula>(#REF!&lt;&gt;"")*(#REF!&lt;&gt;"")</formula>
    </cfRule>
    <cfRule type="expression" dxfId="1" priority="710">
      <formula>(#REF!&lt;&gt;"")*(#REF!&lt;&gt;"")</formula>
    </cfRule>
  </conditionalFormatting>
  <conditionalFormatting sqref="N4600">
    <cfRule type="expression" dxfId="0" priority="720">
      <formula>(#REF!&lt;&gt;"")*(#REF!&lt;&gt;"")</formula>
    </cfRule>
  </conditionalFormatting>
  <conditionalFormatting sqref="O4600">
    <cfRule type="expression" dxfId="0" priority="716">
      <formula>(#REF!&lt;&gt;"")*(#REF!&lt;&gt;"")</formula>
    </cfRule>
  </conditionalFormatting>
  <conditionalFormatting sqref="P4600">
    <cfRule type="expression" dxfId="0" priority="714">
      <formula>(#REF!&lt;&gt;"")*(#REF!&lt;&gt;"")</formula>
    </cfRule>
    <cfRule type="expression" dxfId="1" priority="715">
      <formula>(#REF!&lt;&gt;"")*(#REF!&lt;&gt;"")</formula>
    </cfRule>
  </conditionalFormatting>
  <conditionalFormatting sqref="Q4600">
    <cfRule type="expression" dxfId="0" priority="718">
      <formula>(#REF!&lt;&gt;"")*(#REF!&lt;&gt;"")</formula>
    </cfRule>
    <cfRule type="expression" dxfId="0" priority="717">
      <formula>(#REF!&lt;&gt;"")*(#REF!&lt;&gt;"")</formula>
    </cfRule>
    <cfRule type="expression" dxfId="1" priority="719">
      <formula>(#REF!&lt;&gt;"")*(#REF!&lt;&gt;"")</formula>
    </cfRule>
  </conditionalFormatting>
  <conditionalFormatting sqref="N4601">
    <cfRule type="expression" dxfId="0" priority="703">
      <formula>(#REF!&lt;&gt;"")*(#REF!&lt;&gt;"")</formula>
    </cfRule>
  </conditionalFormatting>
  <conditionalFormatting sqref="O4601">
    <cfRule type="expression" dxfId="0" priority="699">
      <formula>(#REF!&lt;&gt;"")*(#REF!&lt;&gt;"")</formula>
    </cfRule>
  </conditionalFormatting>
  <conditionalFormatting sqref="P4601">
    <cfRule type="expression" dxfId="0" priority="697">
      <formula>(#REF!&lt;&gt;"")*(#REF!&lt;&gt;"")</formula>
    </cfRule>
    <cfRule type="expression" dxfId="1" priority="698">
      <formula>(#REF!&lt;&gt;"")*(#REF!&lt;&gt;"")</formula>
    </cfRule>
  </conditionalFormatting>
  <conditionalFormatting sqref="Q4601">
    <cfRule type="expression" dxfId="0" priority="701">
      <formula>(#REF!&lt;&gt;"")*(#REF!&lt;&gt;"")</formula>
    </cfRule>
    <cfRule type="expression" dxfId="0" priority="700">
      <formula>(#REF!&lt;&gt;"")*(#REF!&lt;&gt;"")</formula>
    </cfRule>
    <cfRule type="expression" dxfId="1" priority="702">
      <formula>(#REF!&lt;&gt;"")*(#REF!&lt;&gt;"")</formula>
    </cfRule>
  </conditionalFormatting>
  <conditionalFormatting sqref="N4602">
    <cfRule type="expression" dxfId="0" priority="694">
      <formula>(#REF!&lt;&gt;"")*(#REF!&lt;&gt;"")</formula>
    </cfRule>
  </conditionalFormatting>
  <conditionalFormatting sqref="O4602">
    <cfRule type="expression" dxfId="0" priority="690">
      <formula>(#REF!&lt;&gt;"")*(#REF!&lt;&gt;"")</formula>
    </cfRule>
  </conditionalFormatting>
  <conditionalFormatting sqref="P4602">
    <cfRule type="expression" dxfId="0" priority="688">
      <formula>(#REF!&lt;&gt;"")*(#REF!&lt;&gt;"")</formula>
    </cfRule>
    <cfRule type="expression" dxfId="1" priority="689">
      <formula>(#REF!&lt;&gt;"")*(#REF!&lt;&gt;"")</formula>
    </cfRule>
  </conditionalFormatting>
  <conditionalFormatting sqref="Q4602">
    <cfRule type="expression" dxfId="0" priority="692">
      <formula>(#REF!&lt;&gt;"")*(#REF!&lt;&gt;"")</formula>
    </cfRule>
    <cfRule type="expression" dxfId="0" priority="691">
      <formula>(#REF!&lt;&gt;"")*(#REF!&lt;&gt;"")</formula>
    </cfRule>
    <cfRule type="expression" dxfId="1" priority="693">
      <formula>(#REF!&lt;&gt;"")*(#REF!&lt;&gt;"")</formula>
    </cfRule>
  </conditionalFormatting>
  <conditionalFormatting sqref="N4603">
    <cfRule type="expression" dxfId="0" priority="685">
      <formula>(#REF!&lt;&gt;"")*(#REF!&lt;&gt;"")</formula>
    </cfRule>
  </conditionalFormatting>
  <conditionalFormatting sqref="O4603">
    <cfRule type="expression" dxfId="0" priority="681">
      <formula>(#REF!&lt;&gt;"")*(#REF!&lt;&gt;"")</formula>
    </cfRule>
  </conditionalFormatting>
  <conditionalFormatting sqref="P4603">
    <cfRule type="expression" dxfId="0" priority="679">
      <formula>(#REF!&lt;&gt;"")*(#REF!&lt;&gt;"")</formula>
    </cfRule>
    <cfRule type="expression" dxfId="1" priority="680">
      <formula>(#REF!&lt;&gt;"")*(#REF!&lt;&gt;"")</formula>
    </cfRule>
  </conditionalFormatting>
  <conditionalFormatting sqref="Q4603">
    <cfRule type="expression" dxfId="0" priority="683">
      <formula>(#REF!&lt;&gt;"")*(#REF!&lt;&gt;"")</formula>
    </cfRule>
    <cfRule type="expression" dxfId="0" priority="682">
      <formula>(#REF!&lt;&gt;"")*(#REF!&lt;&gt;"")</formula>
    </cfRule>
    <cfRule type="expression" dxfId="1" priority="684">
      <formula>(#REF!&lt;&gt;"")*(#REF!&lt;&gt;"")</formula>
    </cfRule>
  </conditionalFormatting>
  <conditionalFormatting sqref="E4616">
    <cfRule type="expression" dxfId="1" priority="1643">
      <formula>(#REF!&lt;&gt;"")*(E$1&lt;&gt;"")</formula>
    </cfRule>
  </conditionalFormatting>
  <conditionalFormatting sqref="F4616">
    <cfRule type="expression" dxfId="1" priority="1645">
      <formula>(#REF!&lt;&gt;"")*(F$1&lt;&gt;"")</formula>
    </cfRule>
  </conditionalFormatting>
  <conditionalFormatting sqref="G4616">
    <cfRule type="expression" dxfId="1" priority="1644">
      <formula>(#REF!&lt;&gt;"")*(G$1&lt;&gt;"")</formula>
    </cfRule>
  </conditionalFormatting>
  <conditionalFormatting sqref="H4617">
    <cfRule type="expression" dxfId="1" priority="1407">
      <formula>(#REF!&lt;&gt;"")*(H$1&lt;&gt;"")</formula>
    </cfRule>
  </conditionalFormatting>
  <conditionalFormatting sqref="J4617">
    <cfRule type="expression" dxfId="0" priority="1417">
      <formula>(#REF!&lt;&gt;"")*(#REF!&lt;&gt;"")</formula>
    </cfRule>
  </conditionalFormatting>
  <conditionalFormatting sqref="K4617">
    <cfRule type="expression" dxfId="0" priority="1415">
      <formula>(#REF!&lt;&gt;"")*(#REF!&lt;&gt;"")</formula>
    </cfRule>
    <cfRule type="expression" dxfId="1" priority="1416">
      <formula>(#REF!&lt;&gt;"")*(K$1&lt;&gt;"")</formula>
    </cfRule>
  </conditionalFormatting>
  <conditionalFormatting sqref="E4618:G4618">
    <cfRule type="expression" dxfId="1" priority="1411">
      <formula>(#REF!&lt;&gt;"")*(E$1&lt;&gt;"")</formula>
    </cfRule>
  </conditionalFormatting>
  <conditionalFormatting sqref="H4618">
    <cfRule type="expression" dxfId="1" priority="1406">
      <formula>(#REF!&lt;&gt;"")*(H$1&lt;&gt;"")</formula>
    </cfRule>
  </conditionalFormatting>
  <conditionalFormatting sqref="J4618">
    <cfRule type="expression" dxfId="0" priority="1410">
      <formula>(#REF!&lt;&gt;"")*(#REF!&lt;&gt;"")</formula>
    </cfRule>
  </conditionalFormatting>
  <conditionalFormatting sqref="K4618">
    <cfRule type="expression" dxfId="0" priority="1408">
      <formula>(#REF!&lt;&gt;"")*(#REF!&lt;&gt;"")</formula>
    </cfRule>
    <cfRule type="expression" dxfId="1" priority="1409">
      <formula>(#REF!&lt;&gt;"")*(K$1&lt;&gt;"")</formula>
    </cfRule>
  </conditionalFormatting>
  <conditionalFormatting sqref="P4637:Q4637">
    <cfRule type="expression" dxfId="1" priority="1420">
      <formula>(#REF!&lt;&gt;"")*(#REF!&lt;&gt;"")</formula>
    </cfRule>
  </conditionalFormatting>
  <conditionalFormatting sqref="R4637">
    <cfRule type="expression" dxfId="0" priority="1418">
      <formula>(#REF!&lt;&gt;"")*(#REF!&lt;&gt;"")</formula>
    </cfRule>
  </conditionalFormatting>
  <conditionalFormatting sqref="J4660">
    <cfRule type="expression" dxfId="0" priority="1653">
      <formula>(#REF!&lt;&gt;"")*(#REF!&lt;&gt;"")</formula>
    </cfRule>
  </conditionalFormatting>
  <conditionalFormatting sqref="R4684">
    <cfRule type="expression" dxfId="0" priority="1241">
      <formula>(#REF!&lt;&gt;"")*(#REF!&lt;&gt;"")</formula>
    </cfRule>
  </conditionalFormatting>
  <conditionalFormatting sqref="P4745:Q4745">
    <cfRule type="expression" dxfId="1" priority="1073">
      <formula>(#REF!&lt;&gt;"")*(#REF!&lt;&gt;"")</formula>
    </cfRule>
  </conditionalFormatting>
  <conditionalFormatting sqref="N4747">
    <cfRule type="expression" dxfId="0" priority="1069">
      <formula>(#REF!&lt;&gt;"")*(#REF!&lt;&gt;"")</formula>
    </cfRule>
  </conditionalFormatting>
  <conditionalFormatting sqref="P4747:Q4747">
    <cfRule type="expression" dxfId="1" priority="1071">
      <formula>(#REF!&lt;&gt;"")*(#REF!&lt;&gt;"")</formula>
    </cfRule>
  </conditionalFormatting>
  <conditionalFormatting sqref="N4749">
    <cfRule type="expression" dxfId="0" priority="1066">
      <formula>(#REF!&lt;&gt;"")*(#REF!&lt;&gt;"")</formula>
    </cfRule>
  </conditionalFormatting>
  <conditionalFormatting sqref="P4749:Q4749">
    <cfRule type="expression" dxfId="1" priority="1068">
      <formula>(#REF!&lt;&gt;"")*(#REF!&lt;&gt;"")</formula>
    </cfRule>
  </conditionalFormatting>
  <conditionalFormatting sqref="G4750">
    <cfRule type="expression" dxfId="0" priority="523">
      <formula>(#REF!&lt;&gt;"")*(#REF!&lt;&gt;"")</formula>
    </cfRule>
  </conditionalFormatting>
  <conditionalFormatting sqref="J4750">
    <cfRule type="expression" dxfId="0" priority="525">
      <formula>(#REF!&lt;&gt;"")*(#REF!&lt;&gt;"")</formula>
    </cfRule>
  </conditionalFormatting>
  <conditionalFormatting sqref="P4750">
    <cfRule type="expression" dxfId="0" priority="521">
      <formula>(#REF!&lt;&gt;"")*(#REF!&lt;&gt;"")</formula>
    </cfRule>
    <cfRule type="expression" dxfId="1" priority="522">
      <formula>(#REF!&lt;&gt;"")*(#REF!&lt;&gt;"")</formula>
    </cfRule>
  </conditionalFormatting>
  <conditionalFormatting sqref="Q4750">
    <cfRule type="expression" dxfId="0" priority="519">
      <formula>(#REF!&lt;&gt;"")*(#REF!&lt;&gt;"")</formula>
    </cfRule>
    <cfRule type="expression" dxfId="1" priority="520">
      <formula>(#REF!&lt;&gt;"")*(#REF!&lt;&gt;"")</formula>
    </cfRule>
  </conditionalFormatting>
  <conditionalFormatting sqref="F4785">
    <cfRule type="expression" dxfId="1" priority="1198">
      <formula>(#REF!&lt;&gt;"")*(G$1&lt;&gt;"")</formula>
    </cfRule>
  </conditionalFormatting>
  <conditionalFormatting sqref="P4785">
    <cfRule type="expression" dxfId="0" priority="1171">
      <formula>(#REF!&lt;&gt;"")*(#REF!&lt;&gt;"")</formula>
    </cfRule>
    <cfRule type="expression" dxfId="1" priority="1172">
      <formula>(#REF!&lt;&gt;"")*(#REF!&lt;&gt;"")</formula>
    </cfRule>
  </conditionalFormatting>
  <conditionalFormatting sqref="Q4785">
    <cfRule type="expression" dxfId="0" priority="1788">
      <formula>(#REF!&lt;&gt;"")*(R$1&lt;&gt;"")</formula>
    </cfRule>
  </conditionalFormatting>
  <conditionalFormatting sqref="R4785">
    <cfRule type="expression" dxfId="0" priority="1166">
      <formula>(#REF!&lt;&gt;"")*(#REF!&lt;&gt;"")</formula>
    </cfRule>
  </conditionalFormatting>
  <conditionalFormatting sqref="F4786">
    <cfRule type="expression" dxfId="1" priority="1191">
      <formula>(#REF!&lt;&gt;"")*(G$1&lt;&gt;"")</formula>
    </cfRule>
  </conditionalFormatting>
  <conditionalFormatting sqref="N4786">
    <cfRule type="expression" dxfId="1" priority="1078">
      <formula>(#REF!&lt;&gt;"")*(O$1&lt;&gt;"")</formula>
    </cfRule>
  </conditionalFormatting>
  <conditionalFormatting sqref="Q4786">
    <cfRule type="expression" dxfId="0" priority="1193">
      <formula>(#REF!&lt;&gt;"")*(R$1&lt;&gt;"")</formula>
    </cfRule>
  </conditionalFormatting>
  <conditionalFormatting sqref="R4786">
    <cfRule type="expression" dxfId="0" priority="1195">
      <formula>(#REF!&lt;&gt;"")*(#REF!&lt;&gt;"")</formula>
    </cfRule>
  </conditionalFormatting>
  <conditionalFormatting sqref="F4787">
    <cfRule type="expression" dxfId="1" priority="1196">
      <formula>(#REF!&lt;&gt;"")*(G$1&lt;&gt;"")</formula>
    </cfRule>
  </conditionalFormatting>
  <conditionalFormatting sqref="Q4787">
    <cfRule type="expression" dxfId="0" priority="1783">
      <formula>(#REF!&lt;&gt;"")*(R$1&lt;&gt;"")</formula>
    </cfRule>
  </conditionalFormatting>
  <conditionalFormatting sqref="R4787">
    <cfRule type="expression" dxfId="0" priority="1785">
      <formula>(#REF!&lt;&gt;"")*(#REF!&lt;&gt;"")</formula>
    </cfRule>
  </conditionalFormatting>
  <conditionalFormatting sqref="P4798:Q4798">
    <cfRule type="expression" dxfId="1" priority="895">
      <formula>(#REF!&lt;&gt;"")*(#REF!&lt;&gt;"")</formula>
    </cfRule>
  </conditionalFormatting>
  <conditionalFormatting sqref="R4798">
    <cfRule type="expression" dxfId="0" priority="891">
      <formula>(#REF!&lt;&gt;"")*(#REF!&lt;&gt;"")</formula>
    </cfRule>
  </conditionalFormatting>
  <conditionalFormatting sqref="N4802">
    <cfRule type="expression" dxfId="0" priority="893">
      <formula>(#REF!&lt;&gt;"")*(#REF!&lt;&gt;"")</formula>
    </cfRule>
  </conditionalFormatting>
  <conditionalFormatting sqref="N4804">
    <cfRule type="expression" dxfId="0" priority="892">
      <formula>(#REF!&lt;&gt;"")*(#REF!&lt;&gt;"")</formula>
    </cfRule>
  </conditionalFormatting>
  <conditionalFormatting sqref="P4826:Q4826">
    <cfRule type="expression" dxfId="1" priority="916">
      <formula>(#REF!&lt;&gt;"")*(#REF!&lt;&gt;"")</formula>
    </cfRule>
  </conditionalFormatting>
  <conditionalFormatting sqref="N4828">
    <cfRule type="expression" dxfId="0" priority="890">
      <formula>(#REF!&lt;&gt;"")*(#REF!&lt;&gt;"")</formula>
    </cfRule>
  </conditionalFormatting>
  <conditionalFormatting sqref="P4828">
    <cfRule type="expression" dxfId="1" priority="913">
      <formula>(#REF!&lt;&gt;"")*(#REF!&lt;&gt;"")</formula>
    </cfRule>
  </conditionalFormatting>
  <conditionalFormatting sqref="Q4828">
    <cfRule type="expression" dxfId="0" priority="904">
      <formula>(#REF!&lt;&gt;"")*(#REF!&lt;&gt;"")</formula>
    </cfRule>
    <cfRule type="expression" dxfId="1" priority="905">
      <formula>(#REF!&lt;&gt;"")*(#REF!&lt;&gt;"")</formula>
    </cfRule>
  </conditionalFormatting>
  <conditionalFormatting sqref="N4830">
    <cfRule type="expression" dxfId="0" priority="889">
      <formula>(#REF!&lt;&gt;"")*(#REF!&lt;&gt;"")</formula>
    </cfRule>
  </conditionalFormatting>
  <conditionalFormatting sqref="P4830">
    <cfRule type="expression" dxfId="1" priority="910">
      <formula>(#REF!&lt;&gt;"")*(#REF!&lt;&gt;"")</formula>
    </cfRule>
  </conditionalFormatting>
  <conditionalFormatting sqref="Q4830">
    <cfRule type="expression" dxfId="0" priority="902">
      <formula>(#REF!&lt;&gt;"")*(#REF!&lt;&gt;"")</formula>
    </cfRule>
    <cfRule type="expression" dxfId="1" priority="903">
      <formula>(#REF!&lt;&gt;"")*(#REF!&lt;&gt;"")</formula>
    </cfRule>
  </conditionalFormatting>
  <conditionalFormatting sqref="N4832">
    <cfRule type="expression" dxfId="0" priority="888">
      <formula>(#REF!&lt;&gt;"")*(#REF!&lt;&gt;"")</formula>
    </cfRule>
  </conditionalFormatting>
  <conditionalFormatting sqref="P4832">
    <cfRule type="expression" dxfId="1" priority="907">
      <formula>(#REF!&lt;&gt;"")*(#REF!&lt;&gt;"")</formula>
    </cfRule>
  </conditionalFormatting>
  <conditionalFormatting sqref="Q4832">
    <cfRule type="expression" dxfId="0" priority="900">
      <formula>(#REF!&lt;&gt;"")*(#REF!&lt;&gt;"")</formula>
    </cfRule>
    <cfRule type="expression" dxfId="1" priority="901">
      <formula>(#REF!&lt;&gt;"")*(#REF!&lt;&gt;"")</formula>
    </cfRule>
  </conditionalFormatting>
  <conditionalFormatting sqref="J5576">
    <cfRule type="expression" dxfId="1" priority="416">
      <formula>(#REF!&lt;&gt;"")*(J$1&lt;&gt;"")</formula>
    </cfRule>
  </conditionalFormatting>
  <conditionalFormatting sqref="H5579">
    <cfRule type="expression" dxfId="1" priority="414">
      <formula>(#REF!&lt;&gt;"")*(H$1&lt;&gt;"")</formula>
    </cfRule>
  </conditionalFormatting>
  <conditionalFormatting sqref="J5579">
    <cfRule type="expression" dxfId="1" priority="413">
      <formula>(#REF!&lt;&gt;"")*(J$1&lt;&gt;"")</formula>
    </cfRule>
  </conditionalFormatting>
  <conditionalFormatting sqref="H5581">
    <cfRule type="expression" dxfId="1" priority="196">
      <formula>(#REF!&lt;&gt;"")*(H$1&lt;&gt;"")</formula>
    </cfRule>
  </conditionalFormatting>
  <conditionalFormatting sqref="J5581">
    <cfRule type="expression" dxfId="1" priority="195">
      <formula>(#REF!&lt;&gt;"")*(J$1&lt;&gt;"")</formula>
    </cfRule>
  </conditionalFormatting>
  <conditionalFormatting sqref="H5582">
    <cfRule type="expression" dxfId="1" priority="194">
      <formula>(#REF!&lt;&gt;"")*(H$1&lt;&gt;"")</formula>
    </cfRule>
  </conditionalFormatting>
  <conditionalFormatting sqref="J5582">
    <cfRule type="expression" dxfId="1" priority="193">
      <formula>(#REF!&lt;&gt;"")*(J$1&lt;&gt;"")</formula>
    </cfRule>
  </conditionalFormatting>
  <conditionalFormatting sqref="J5585">
    <cfRule type="expression" dxfId="1" priority="407">
      <formula>(#REF!&lt;&gt;"")*(J$1&lt;&gt;"")</formula>
    </cfRule>
  </conditionalFormatting>
  <conditionalFormatting sqref="J5586">
    <cfRule type="expression" dxfId="1" priority="408">
      <formula>(#REF!&lt;&gt;"")*(J$1&lt;&gt;"")</formula>
    </cfRule>
  </conditionalFormatting>
  <conditionalFormatting sqref="J5587">
    <cfRule type="expression" dxfId="1" priority="405">
      <formula>(#REF!&lt;&gt;"")*(J$1&lt;&gt;"")</formula>
    </cfRule>
  </conditionalFormatting>
  <conditionalFormatting sqref="Q5651">
    <cfRule type="expression" dxfId="4" priority="488">
      <formula>(#REF!&lt;&gt;"")*(#REF!&lt;&gt;"")</formula>
    </cfRule>
  </conditionalFormatting>
  <conditionalFormatting sqref="M5653">
    <cfRule type="expression" dxfId="4" priority="419">
      <formula>(#REF!&lt;&gt;"")*(#REF!&lt;&gt;"")</formula>
    </cfRule>
  </conditionalFormatting>
  <conditionalFormatting sqref="H5654">
    <cfRule type="expression" dxfId="4" priority="436">
      <formula>(#REF!&lt;&gt;"")*(#REF!&lt;&gt;"")</formula>
    </cfRule>
  </conditionalFormatting>
  <conditionalFormatting sqref="M5654">
    <cfRule type="expression" dxfId="4" priority="434">
      <formula>(#REF!&lt;&gt;"")*(#REF!&lt;&gt;"")</formula>
    </cfRule>
  </conditionalFormatting>
  <conditionalFormatting sqref="Q5654">
    <cfRule type="expression" dxfId="4" priority="435">
      <formula>(#REF!&lt;&gt;"")*(#REF!&lt;&gt;"")</formula>
    </cfRule>
  </conditionalFormatting>
  <conditionalFormatting sqref="H5655">
    <cfRule type="expression" dxfId="4" priority="433">
      <formula>(#REF!&lt;&gt;"")*(#REF!&lt;&gt;"")</formula>
    </cfRule>
  </conditionalFormatting>
  <conditionalFormatting sqref="M5655">
    <cfRule type="expression" dxfId="4" priority="431">
      <formula>(#REF!&lt;&gt;"")*(#REF!&lt;&gt;"")</formula>
    </cfRule>
  </conditionalFormatting>
  <conditionalFormatting sqref="Q5655">
    <cfRule type="expression" dxfId="4" priority="432">
      <formula>(#REF!&lt;&gt;"")*(#REF!&lt;&gt;"")</formula>
    </cfRule>
  </conditionalFormatting>
  <conditionalFormatting sqref="M5656">
    <cfRule type="expression" dxfId="4" priority="489">
      <formula>(#REF!&lt;&gt;"")*(#REF!&lt;&gt;"")</formula>
    </cfRule>
  </conditionalFormatting>
  <conditionalFormatting sqref="Q5656">
    <cfRule type="expression" dxfId="4" priority="490">
      <formula>(#REF!&lt;&gt;"")*(#REF!&lt;&gt;"")</formula>
    </cfRule>
  </conditionalFormatting>
  <conditionalFormatting sqref="H5657">
    <cfRule type="expression" dxfId="4" priority="430">
      <formula>(#REF!&lt;&gt;"")*(#REF!&lt;&gt;"")</formula>
    </cfRule>
  </conditionalFormatting>
  <conditionalFormatting sqref="M5657">
    <cfRule type="expression" dxfId="4" priority="428">
      <formula>(#REF!&lt;&gt;"")*(#REF!&lt;&gt;"")</formula>
    </cfRule>
  </conditionalFormatting>
  <conditionalFormatting sqref="Q5657">
    <cfRule type="expression" dxfId="4" priority="429">
      <formula>(#REF!&lt;&gt;"")*(#REF!&lt;&gt;"")</formula>
    </cfRule>
  </conditionalFormatting>
  <conditionalFormatting sqref="H5659">
    <cfRule type="expression" dxfId="4" priority="427">
      <formula>(#REF!&lt;&gt;"")*(#REF!&lt;&gt;"")</formula>
    </cfRule>
  </conditionalFormatting>
  <conditionalFormatting sqref="T5660">
    <cfRule type="expression" dxfId="4" priority="487">
      <formula>(#REF!&lt;&gt;"")*(#REF!&lt;&gt;"")</formula>
    </cfRule>
  </conditionalFormatting>
  <conditionalFormatting sqref="M5662">
    <cfRule type="expression" dxfId="4" priority="485">
      <formula>(#REF!&lt;&gt;"")*(#REF!&lt;&gt;"")</formula>
    </cfRule>
  </conditionalFormatting>
  <conditionalFormatting sqref="M5666">
    <cfRule type="expression" dxfId="4" priority="425">
      <formula>(#REF!&lt;&gt;"")*(#REF!&lt;&gt;"")</formula>
    </cfRule>
  </conditionalFormatting>
  <conditionalFormatting sqref="M5670">
    <cfRule type="expression" dxfId="4" priority="484">
      <formula>(#REF!&lt;&gt;"")*(#REF!&lt;&gt;"")</formula>
    </cfRule>
  </conditionalFormatting>
  <conditionalFormatting sqref="M5673">
    <cfRule type="expression" dxfId="4" priority="411">
      <formula>(#REF!&lt;&gt;"")*(#REF!&lt;&gt;"")</formula>
    </cfRule>
  </conditionalFormatting>
  <conditionalFormatting sqref="H5674">
    <cfRule type="expression" dxfId="4" priority="483">
      <formula>(#REF!&lt;&gt;"")*(#REF!&lt;&gt;"")</formula>
    </cfRule>
  </conditionalFormatting>
  <conditionalFormatting sqref="K5674">
    <cfRule type="expression" dxfId="4" priority="479">
      <formula>(#REF!&lt;&gt;"")*(#REF!&lt;&gt;"")</formula>
    </cfRule>
  </conditionalFormatting>
  <conditionalFormatting sqref="M5674">
    <cfRule type="expression" dxfId="4" priority="480">
      <formula>(#REF!&lt;&gt;"")*(#REF!&lt;&gt;"")</formula>
    </cfRule>
  </conditionalFormatting>
  <conditionalFormatting sqref="T5674">
    <cfRule type="expression" dxfId="4" priority="478">
      <formula>(#REF!&lt;&gt;"")*(#REF!&lt;&gt;"")</formula>
    </cfRule>
  </conditionalFormatting>
  <conditionalFormatting sqref="U5674">
    <cfRule type="expression" dxfId="4" priority="481">
      <formula>(#REF!&lt;&gt;"")*(#REF!&lt;&gt;"")</formula>
    </cfRule>
  </conditionalFormatting>
  <conditionalFormatting sqref="E5675:G5675">
    <cfRule type="expression" dxfId="4" priority="467">
      <formula>(#REF!&lt;&gt;"")*(#REF!&lt;&gt;"")</formula>
    </cfRule>
  </conditionalFormatting>
  <conditionalFormatting sqref="T5675">
    <cfRule type="expression" dxfId="4" priority="466">
      <formula>(#REF!&lt;&gt;"")*(#REF!&lt;&gt;"")</formula>
    </cfRule>
  </conditionalFormatting>
  <conditionalFormatting sqref="U5675">
    <cfRule type="expression" dxfId="4" priority="474">
      <formula>(#REF!&lt;&gt;"")*(#REF!&lt;&gt;"")</formula>
    </cfRule>
  </conditionalFormatting>
  <conditionalFormatting sqref="A5678">
    <cfRule type="expression" dxfId="4" priority="460">
      <formula>(#REF!&lt;&gt;"")*(#REF!&lt;&gt;"")</formula>
    </cfRule>
  </conditionalFormatting>
  <conditionalFormatting sqref="A5679">
    <cfRule type="expression" dxfId="4" priority="458">
      <formula>(#REF!&lt;&gt;"")*(#REF!&lt;&gt;"")</formula>
    </cfRule>
  </conditionalFormatting>
  <conditionalFormatting sqref="H5681">
    <cfRule type="expression" dxfId="0" priority="446">
      <formula>(#REF!&lt;&gt;"")*(#REF!&lt;&gt;"")</formula>
    </cfRule>
  </conditionalFormatting>
  <conditionalFormatting sqref="M5681">
    <cfRule type="expression" dxfId="0" priority="447">
      <formula>(#REF!&lt;&gt;"")*(#REF!&lt;&gt;"")</formula>
    </cfRule>
  </conditionalFormatting>
  <conditionalFormatting sqref="P5681:Q5681">
    <cfRule type="expression" dxfId="1" priority="449">
      <formula>(#REF!&lt;&gt;"")*(#REF!&lt;&gt;"")</formula>
    </cfRule>
  </conditionalFormatting>
  <conditionalFormatting sqref="T5681:U5681">
    <cfRule type="expression" dxfId="0" priority="448">
      <formula>(#REF!&lt;&gt;"")*(#REF!&lt;&gt;"")</formula>
    </cfRule>
  </conditionalFormatting>
  <conditionalFormatting sqref="M5682">
    <cfRule type="expression" dxfId="4" priority="475">
      <formula>(#REF!&lt;&gt;"")*(#REF!&lt;&gt;"")</formula>
    </cfRule>
  </conditionalFormatting>
  <conditionalFormatting sqref="M5683">
    <cfRule type="expression" dxfId="4" priority="465">
      <formula>(#REF!&lt;&gt;"")*(#REF!&lt;&gt;"")</formula>
    </cfRule>
  </conditionalFormatting>
  <conditionalFormatting sqref="M5684">
    <cfRule type="expression" dxfId="4" priority="473">
      <formula>(#REF!&lt;&gt;"")*(#REF!&lt;&gt;"")</formula>
    </cfRule>
  </conditionalFormatting>
  <conditionalFormatting sqref="M5685">
    <cfRule type="expression" dxfId="4" priority="472">
      <formula>(#REF!&lt;&gt;"")*(#REF!&lt;&gt;"")</formula>
    </cfRule>
  </conditionalFormatting>
  <conditionalFormatting sqref="M5686">
    <cfRule type="expression" dxfId="4" priority="464">
      <formula>(#REF!&lt;&gt;"")*(#REF!&lt;&gt;"")</formula>
    </cfRule>
  </conditionalFormatting>
  <conditionalFormatting sqref="M5687">
    <cfRule type="expression" dxfId="4" priority="463">
      <formula>(#REF!&lt;&gt;"")*(#REF!&lt;&gt;"")</formula>
    </cfRule>
  </conditionalFormatting>
  <conditionalFormatting sqref="M5688">
    <cfRule type="expression" dxfId="4" priority="471">
      <formula>(#REF!&lt;&gt;"")*(#REF!&lt;&gt;"")</formula>
    </cfRule>
  </conditionalFormatting>
  <conditionalFormatting sqref="M5689">
    <cfRule type="expression" dxfId="4" priority="470">
      <formula>(#REF!&lt;&gt;"")*(#REF!&lt;&gt;"")</formula>
    </cfRule>
  </conditionalFormatting>
  <conditionalFormatting sqref="M5690">
    <cfRule type="expression" dxfId="4" priority="469">
      <formula>(#REF!&lt;&gt;"")*(#REF!&lt;&gt;"")</formula>
    </cfRule>
  </conditionalFormatting>
  <conditionalFormatting sqref="G5692">
    <cfRule type="expression" dxfId="4" priority="444">
      <formula>(#REF!&lt;&gt;"")*(#REF!&lt;&gt;"")</formula>
    </cfRule>
  </conditionalFormatting>
  <conditionalFormatting sqref="J5692">
    <cfRule type="expression" dxfId="4" priority="443">
      <formula>(#REF!&lt;&gt;"")*(#REF!&lt;&gt;"")</formula>
    </cfRule>
  </conditionalFormatting>
  <conditionalFormatting sqref="M5693">
    <cfRule type="expression" dxfId="4" priority="441">
      <formula>(#REF!&lt;&gt;"")*(#REF!&lt;&gt;"")</formula>
    </cfRule>
  </conditionalFormatting>
  <conditionalFormatting sqref="H5694">
    <cfRule type="expression" dxfId="4" priority="410">
      <formula>(#REF!&lt;&gt;"")*(#REF!&lt;&gt;"")</formula>
    </cfRule>
  </conditionalFormatting>
  <conditionalFormatting sqref="M5694">
    <cfRule type="expression" dxfId="4" priority="409">
      <formula>(#REF!&lt;&gt;"")*(#REF!&lt;&gt;"")</formula>
    </cfRule>
  </conditionalFormatting>
  <conditionalFormatting sqref="M5697">
    <cfRule type="expression" dxfId="4" priority="423">
      <formula>(#REF!&lt;&gt;"")*(#REF!&lt;&gt;"")</formula>
    </cfRule>
    <cfRule type="expression" dxfId="4" priority="424">
      <formula>(#REF!&lt;&gt;"")*(#REF!&lt;&gt;"")</formula>
    </cfRule>
  </conditionalFormatting>
  <conditionalFormatting sqref="M5698">
    <cfRule type="expression" dxfId="4" priority="421">
      <formula>(#REF!&lt;&gt;"")*(#REF!&lt;&gt;"")</formula>
    </cfRule>
    <cfRule type="expression" dxfId="4" priority="422">
      <formula>(#REF!&lt;&gt;"")*(#REF!&lt;&gt;"")</formula>
    </cfRule>
  </conditionalFormatting>
  <conditionalFormatting sqref="K5699">
    <cfRule type="expression" dxfId="4" priority="439">
      <formula>(#REF!&lt;&gt;"")*(#REF!&lt;&gt;"")</formula>
    </cfRule>
    <cfRule type="expression" dxfId="4" priority="440">
      <formula>(#REF!&lt;&gt;"")*(#REF!&lt;&gt;"")</formula>
    </cfRule>
  </conditionalFormatting>
  <conditionalFormatting sqref="L5699">
    <cfRule type="expression" dxfId="4" priority="451">
      <formula>(#REF!&lt;&gt;"")*(#REF!&lt;&gt;"")</formula>
    </cfRule>
  </conditionalFormatting>
  <conditionalFormatting sqref="M5699">
    <cfRule type="expression" dxfId="4" priority="455">
      <formula>(#REF!&lt;&gt;"")*(#REF!&lt;&gt;"")</formula>
    </cfRule>
  </conditionalFormatting>
  <conditionalFormatting sqref="K5700">
    <cfRule type="expression" dxfId="4" priority="437">
      <formula>(#REF!&lt;&gt;"")*(#REF!&lt;&gt;"")</formula>
    </cfRule>
    <cfRule type="expression" dxfId="4" priority="438">
      <formula>(#REF!&lt;&gt;"")*(#REF!&lt;&gt;"")</formula>
    </cfRule>
  </conditionalFormatting>
  <conditionalFormatting sqref="L5700">
    <cfRule type="expression" dxfId="4" priority="454">
      <formula>(#REF!&lt;&gt;"")*(#REF!&lt;&gt;"")</formula>
    </cfRule>
  </conditionalFormatting>
  <conditionalFormatting sqref="A5703">
    <cfRule type="expression" dxfId="4" priority="382">
      <formula>(#REF!&lt;&gt;"")*(#REF!&lt;&gt;"")</formula>
    </cfRule>
    <cfRule type="expression" dxfId="4" priority="389">
      <formula>(#REF!&lt;&gt;"")*(#REF!&lt;&gt;"")</formula>
    </cfRule>
  </conditionalFormatting>
  <conditionalFormatting sqref="F5703:G5703">
    <cfRule type="expression" dxfId="4" priority="383">
      <formula>(#REF!&lt;&gt;"")*(#REF!&lt;&gt;"")</formula>
    </cfRule>
  </conditionalFormatting>
  <conditionalFormatting sqref="N5703">
    <cfRule type="expression" dxfId="4" priority="379">
      <formula>(#REF!&lt;&gt;"")*(#REF!&lt;&gt;"")</formula>
    </cfRule>
    <cfRule type="expression" dxfId="4" priority="380">
      <formula>(#REF!&lt;&gt;"")*(#REF!&lt;&gt;"")</formula>
    </cfRule>
  </conditionalFormatting>
  <conditionalFormatting sqref="P5703:Q5703">
    <cfRule type="expression" dxfId="4" priority="388">
      <formula>(#REF!&lt;&gt;"")*(#REF!&lt;&gt;"")</formula>
    </cfRule>
  </conditionalFormatting>
  <conditionalFormatting sqref="Q5703">
    <cfRule type="expression" dxfId="4" priority="384">
      <formula>(#REF!&lt;&gt;"")*(#REF!&lt;&gt;"")</formula>
    </cfRule>
  </conditionalFormatting>
  <conditionalFormatting sqref="A5704">
    <cfRule type="expression" dxfId="4" priority="404">
      <formula>(#REF!&lt;&gt;"")*(#REF!&lt;&gt;"")</formula>
    </cfRule>
  </conditionalFormatting>
  <conditionalFormatting sqref="P5704:Q5704">
    <cfRule type="expression" dxfId="4" priority="403">
      <formula>(#REF!&lt;&gt;"")*(#REF!&lt;&gt;"")</formula>
    </cfRule>
  </conditionalFormatting>
  <conditionalFormatting sqref="T5704">
    <cfRule type="expression" dxfId="4" priority="399">
      <formula>(#REF!&lt;&gt;"")*(#REF!&lt;&gt;"")</formula>
    </cfRule>
  </conditionalFormatting>
  <conditionalFormatting sqref="P5705:Q5705">
    <cfRule type="expression" dxfId="4" priority="393">
      <formula>(#REF!&lt;&gt;"")*(#REF!&lt;&gt;"")</formula>
    </cfRule>
  </conditionalFormatting>
  <conditionalFormatting sqref="T5705">
    <cfRule type="expression" dxfId="4" priority="391">
      <formula>(#REF!&lt;&gt;"")*(#REF!&lt;&gt;"")</formula>
    </cfRule>
    <cfRule type="expression" dxfId="4" priority="392">
      <formula>(#REF!&lt;&gt;"")*(#REF!&lt;&gt;"")</formula>
    </cfRule>
  </conditionalFormatting>
  <conditionalFormatting sqref="A5709">
    <cfRule type="expression" dxfId="4" priority="338">
      <formula>(#REF!&lt;&gt;"")*(#REF!&lt;&gt;"")</formula>
    </cfRule>
    <cfRule type="expression" dxfId="4" priority="343">
      <formula>(#REF!&lt;&gt;"")*(#REF!&lt;&gt;"")</formula>
    </cfRule>
  </conditionalFormatting>
  <conditionalFormatting sqref="F5709:G5709">
    <cfRule type="expression" dxfId="4" priority="339">
      <formula>(#REF!&lt;&gt;"")*(#REF!&lt;&gt;"")</formula>
    </cfRule>
  </conditionalFormatting>
  <conditionalFormatting sqref="M5713">
    <cfRule type="expression" dxfId="4" priority="348">
      <formula>(#REF!&lt;&gt;"")*(#REF!&lt;&gt;"")</formula>
    </cfRule>
  </conditionalFormatting>
  <conditionalFormatting sqref="M5714">
    <cfRule type="expression" dxfId="4" priority="349">
      <formula>(#REF!&lt;&gt;"")*(#REF!&lt;&gt;"")</formula>
    </cfRule>
  </conditionalFormatting>
  <conditionalFormatting sqref="P5718:Q5718">
    <cfRule type="expression" dxfId="4" priority="377">
      <formula>(#REF!&lt;&gt;"")*(#REF!&lt;&gt;"")</formula>
    </cfRule>
  </conditionalFormatting>
  <conditionalFormatting sqref="M5719">
    <cfRule type="expression" dxfId="4" priority="371">
      <formula>(#REF!&lt;&gt;"")*(#REF!&lt;&gt;"")</formula>
    </cfRule>
  </conditionalFormatting>
  <conditionalFormatting sqref="Q5719">
    <cfRule type="expression" dxfId="4" priority="372">
      <formula>(#REF!&lt;&gt;"")*(#REF!&lt;&gt;"")</formula>
    </cfRule>
  </conditionalFormatting>
  <conditionalFormatting sqref="T5719">
    <cfRule type="expression" dxfId="4" priority="370">
      <formula>(#REF!&lt;&gt;"")*(#REF!&lt;&gt;"")</formula>
    </cfRule>
  </conditionalFormatting>
  <conditionalFormatting sqref="M5720">
    <cfRule type="expression" dxfId="4" priority="365">
      <formula>(#REF!&lt;&gt;"")*(#REF!&lt;&gt;"")</formula>
    </cfRule>
  </conditionalFormatting>
  <conditionalFormatting sqref="P5720:Q5720">
    <cfRule type="expression" dxfId="4" priority="364">
      <formula>(#REF!&lt;&gt;"")*(#REF!&lt;&gt;"")</formula>
    </cfRule>
    <cfRule type="expression" dxfId="4" priority="374">
      <formula>(#REF!&lt;&gt;"")*(#REF!&lt;&gt;"")</formula>
    </cfRule>
  </conditionalFormatting>
  <conditionalFormatting sqref="M5721">
    <cfRule type="expression" dxfId="4" priority="366">
      <formula>(#REF!&lt;&gt;"")*(#REF!&lt;&gt;"")</formula>
    </cfRule>
  </conditionalFormatting>
  <conditionalFormatting sqref="Q5721">
    <cfRule type="expression" dxfId="4" priority="369">
      <formula>(#REF!&lt;&gt;"")*(#REF!&lt;&gt;"")</formula>
    </cfRule>
  </conditionalFormatting>
  <conditionalFormatting sqref="T5721">
    <cfRule type="expression" dxfId="4" priority="368">
      <formula>(#REF!&lt;&gt;"")*(#REF!&lt;&gt;"")</formula>
    </cfRule>
  </conditionalFormatting>
  <conditionalFormatting sqref="Q5722">
    <cfRule type="expression" dxfId="4" priority="367">
      <formula>(#REF!&lt;&gt;"")*(#REF!&lt;&gt;"")</formula>
    </cfRule>
  </conditionalFormatting>
  <conditionalFormatting sqref="Q5723">
    <cfRule type="expression" dxfId="4" priority="376">
      <formula>(#REF!&lt;&gt;"")*(#REF!&lt;&gt;"")</formula>
    </cfRule>
  </conditionalFormatting>
  <conditionalFormatting sqref="J5724">
    <cfRule type="expression" dxfId="4" priority="375">
      <formula>(#REF!&lt;&gt;"")*(#REF!&lt;&gt;"")</formula>
    </cfRule>
  </conditionalFormatting>
  <conditionalFormatting sqref="M5727">
    <cfRule type="expression" dxfId="4" priority="347">
      <formula>(#REF!&lt;&gt;"")*(#REF!&lt;&gt;"")</formula>
    </cfRule>
  </conditionalFormatting>
  <conditionalFormatting sqref="M5728">
    <cfRule type="expression" dxfId="4" priority="361">
      <formula>(#REF!&lt;&gt;"")*(#REF!&lt;&gt;"")</formula>
    </cfRule>
  </conditionalFormatting>
  <conditionalFormatting sqref="J5729">
    <cfRule type="expression" dxfId="4" priority="354">
      <formula>(#REF!&lt;&gt;"")*(#REF!&lt;&gt;"")</formula>
    </cfRule>
  </conditionalFormatting>
  <conditionalFormatting sqref="M5729">
    <cfRule type="expression" dxfId="4" priority="355">
      <formula>(#REF!&lt;&gt;"")*(#REF!&lt;&gt;"")</formula>
    </cfRule>
  </conditionalFormatting>
  <conditionalFormatting sqref="Q5729">
    <cfRule type="expression" dxfId="4" priority="351">
      <formula>(#REF!&lt;&gt;"")*(#REF!&lt;&gt;"")</formula>
    </cfRule>
    <cfRule type="expression" dxfId="4" priority="352">
      <formula>(#REF!&lt;&gt;"")*(#REF!&lt;&gt;"")</formula>
    </cfRule>
    <cfRule type="expression" dxfId="4" priority="353">
      <formula>(#REF!&lt;&gt;"")*(#REF!&lt;&gt;"")</formula>
    </cfRule>
  </conditionalFormatting>
  <conditionalFormatting sqref="M5730">
    <cfRule type="expression" dxfId="4" priority="358">
      <formula>(#REF!&lt;&gt;"")*(#REF!&lt;&gt;"")</formula>
    </cfRule>
  </conditionalFormatting>
  <conditionalFormatting sqref="Q5730">
    <cfRule type="expression" dxfId="4" priority="356">
      <formula>(#REF!&lt;&gt;"")*(#REF!&lt;&gt;"")</formula>
    </cfRule>
    <cfRule type="expression" dxfId="4" priority="357">
      <formula>(#REF!&lt;&gt;"")*(#REF!&lt;&gt;"")</formula>
    </cfRule>
    <cfRule type="expression" dxfId="4" priority="359">
      <formula>(#REF!&lt;&gt;"")*(#REF!&lt;&gt;"")</formula>
    </cfRule>
    <cfRule type="expression" dxfId="4" priority="360">
      <formula>(#REF!&lt;&gt;"")*(#REF!&lt;&gt;"")</formula>
    </cfRule>
  </conditionalFormatting>
  <conditionalFormatting sqref="J5732">
    <cfRule type="expression" dxfId="4" priority="331">
      <formula>(#REF!&lt;&gt;"")*(#REF!&lt;&gt;"")</formula>
    </cfRule>
  </conditionalFormatting>
  <conditionalFormatting sqref="Q5732">
    <cfRule type="expression" dxfId="4" priority="330">
      <formula>(#REF!&lt;&gt;"")*(#REF!&lt;&gt;"")</formula>
    </cfRule>
    <cfRule type="expression" dxfId="4" priority="332">
      <formula>(#REF!&lt;&gt;"")*(#REF!&lt;&gt;"")</formula>
    </cfRule>
  </conditionalFormatting>
  <conditionalFormatting sqref="Q5733">
    <cfRule type="expression" dxfId="4" priority="327">
      <formula>(#REF!&lt;&gt;"")*(#REF!&lt;&gt;"")</formula>
    </cfRule>
    <cfRule type="expression" dxfId="4" priority="328">
      <formula>(#REF!&lt;&gt;"")*(#REF!&lt;&gt;"")</formula>
    </cfRule>
    <cfRule type="expression" dxfId="4" priority="329">
      <formula>(#REF!&lt;&gt;"")*(#REF!&lt;&gt;"")</formula>
    </cfRule>
  </conditionalFormatting>
  <conditionalFormatting sqref="M5737">
    <cfRule type="expression" dxfId="4" priority="334">
      <formula>(#REF!&lt;&gt;"")*(#REF!&lt;&gt;"")</formula>
    </cfRule>
  </conditionalFormatting>
  <conditionalFormatting sqref="M5745">
    <cfRule type="expression" dxfId="4" priority="326">
      <formula>(#REF!&lt;&gt;"")*(#REF!&lt;&gt;"")</formula>
    </cfRule>
  </conditionalFormatting>
  <conditionalFormatting sqref="J5756">
    <cfRule type="expression" dxfId="4" priority="324">
      <formula>(#REF!&lt;&gt;"")*(#REF!&lt;&gt;"")</formula>
    </cfRule>
  </conditionalFormatting>
  <conditionalFormatting sqref="L5782">
    <cfRule type="expression" dxfId="4" priority="302">
      <formula>(#REF!&lt;&gt;"")*(#REF!&lt;&gt;"")</formula>
    </cfRule>
    <cfRule type="expression" dxfId="4" priority="303">
      <formula>(#REF!&lt;&gt;"")*(#REF!&lt;&gt;"")</formula>
    </cfRule>
  </conditionalFormatting>
  <conditionalFormatting sqref="L5784">
    <cfRule type="expression" dxfId="4" priority="304">
      <formula>(#REF!&lt;&gt;"")*(#REF!&lt;&gt;"")</formula>
    </cfRule>
    <cfRule type="expression" dxfId="4" priority="305">
      <formula>(#REF!&lt;&gt;"")*(#REF!&lt;&gt;"")</formula>
    </cfRule>
  </conditionalFormatting>
  <conditionalFormatting sqref="Q5784">
    <cfRule type="expression" dxfId="4" priority="317">
      <formula>(#REF!&lt;&gt;"")*(#REF!&lt;&gt;"")</formula>
    </cfRule>
  </conditionalFormatting>
  <conditionalFormatting sqref="A5785">
    <cfRule type="expression" dxfId="4" priority="314">
      <formula>(#REF!&lt;&gt;"")*(#REF!&lt;&gt;"")</formula>
    </cfRule>
  </conditionalFormatting>
  <conditionalFormatting sqref="P5785:Q5785">
    <cfRule type="expression" dxfId="4" priority="315">
      <formula>(#REF!&lt;&gt;"")*(#REF!&lt;&gt;"")</formula>
    </cfRule>
  </conditionalFormatting>
  <conditionalFormatting sqref="Q5785">
    <cfRule type="expression" dxfId="4" priority="313">
      <formula>(#REF!&lt;&gt;"")*(#REF!&lt;&gt;"")</formula>
    </cfRule>
  </conditionalFormatting>
  <conditionalFormatting sqref="Q5786">
    <cfRule type="expression" dxfId="4" priority="318">
      <formula>(#REF!&lt;&gt;"")*(#REF!&lt;&gt;"")</formula>
    </cfRule>
  </conditionalFormatting>
  <conditionalFormatting sqref="M5787">
    <cfRule type="expression" dxfId="4" priority="309">
      <formula>(#REF!&lt;&gt;"")*(#REF!&lt;&gt;"")</formula>
    </cfRule>
  </conditionalFormatting>
  <conditionalFormatting sqref="N5787">
    <cfRule type="expression" dxfId="4" priority="307">
      <formula>(#REF!&lt;&gt;"")*(#REF!&lt;&gt;"")</formula>
    </cfRule>
    <cfRule type="expression" dxfId="4" priority="308">
      <formula>(#REF!&lt;&gt;"")*(#REF!&lt;&gt;"")</formula>
    </cfRule>
  </conditionalFormatting>
  <conditionalFormatting sqref="P5787:Q5787">
    <cfRule type="expression" dxfId="4" priority="311">
      <formula>(#REF!&lt;&gt;"")*(#REF!&lt;&gt;"")</formula>
    </cfRule>
  </conditionalFormatting>
  <conditionalFormatting sqref="L5793">
    <cfRule type="expression" dxfId="4" priority="292">
      <formula>(#REF!&lt;&gt;"")*(#REF!&lt;&gt;"")</formula>
    </cfRule>
  </conditionalFormatting>
  <conditionalFormatting sqref="M5793">
    <cfRule type="expression" dxfId="4" priority="299">
      <formula>(#REF!&lt;&gt;"")*(#REF!&lt;&gt;"")</formula>
    </cfRule>
  </conditionalFormatting>
  <conditionalFormatting sqref="L5794">
    <cfRule type="expression" dxfId="4" priority="295">
      <formula>(#REF!&lt;&gt;"")*(#REF!&lt;&gt;"")</formula>
    </cfRule>
    <cfRule type="expression" dxfId="4" priority="296">
      <formula>(#REF!&lt;&gt;"")*(#REF!&lt;&gt;"")</formula>
    </cfRule>
  </conditionalFormatting>
  <conditionalFormatting sqref="M5794">
    <cfRule type="expression" dxfId="4" priority="300">
      <formula>(#REF!&lt;&gt;"")*(#REF!&lt;&gt;"")</formula>
    </cfRule>
  </conditionalFormatting>
  <conditionalFormatting sqref="L5795">
    <cfRule type="expression" dxfId="4" priority="297">
      <formula>(#REF!&lt;&gt;"")*(#REF!&lt;&gt;"")</formula>
    </cfRule>
    <cfRule type="expression" dxfId="4" priority="298">
      <formula>(#REF!&lt;&gt;"")*(#REF!&lt;&gt;"")</formula>
    </cfRule>
  </conditionalFormatting>
  <conditionalFormatting sqref="L5796">
    <cfRule type="expression" dxfId="4" priority="293">
      <formula>(#REF!&lt;&gt;"")*(#REF!&lt;&gt;"")</formula>
    </cfRule>
    <cfRule type="expression" dxfId="4" priority="294">
      <formula>(#REF!&lt;&gt;"")*(#REF!&lt;&gt;"")</formula>
    </cfRule>
  </conditionalFormatting>
  <conditionalFormatting sqref="T5923">
    <cfRule type="duplicateValues" dxfId="2" priority="191"/>
    <cfRule type="duplicateValues" dxfId="2" priority="192"/>
  </conditionalFormatting>
  <conditionalFormatting sqref="T5928">
    <cfRule type="duplicateValues" dxfId="2" priority="189"/>
    <cfRule type="duplicateValues" dxfId="2" priority="190"/>
  </conditionalFormatting>
  <conditionalFormatting sqref="J7191">
    <cfRule type="expression" dxfId="4" priority="280">
      <formula>(#REF!&lt;&gt;"")*(#REF!&lt;&gt;"")</formula>
    </cfRule>
  </conditionalFormatting>
  <conditionalFormatting sqref="J7193">
    <cfRule type="expression" dxfId="4" priority="279">
      <formula>(#REF!&lt;&gt;"")*(#REF!&lt;&gt;"")</formula>
    </cfRule>
  </conditionalFormatting>
  <conditionalFormatting sqref="J7194">
    <cfRule type="expression" dxfId="4" priority="278">
      <formula>(#REF!&lt;&gt;"")*(#REF!&lt;&gt;"")</formula>
    </cfRule>
  </conditionalFormatting>
  <conditionalFormatting sqref="M7194">
    <cfRule type="expression" dxfId="4" priority="277">
      <formula>(#REF!&lt;&gt;"")*(#REF!&lt;&gt;"")</formula>
    </cfRule>
  </conditionalFormatting>
  <conditionalFormatting sqref="J7200">
    <cfRule type="expression" dxfId="4" priority="285">
      <formula>(#REF!&lt;&gt;"")*(#REF!&lt;&gt;"")</formula>
    </cfRule>
  </conditionalFormatting>
  <conditionalFormatting sqref="J7201">
    <cfRule type="expression" dxfId="4" priority="282">
      <formula>(#REF!&lt;&gt;"")*(#REF!&lt;&gt;"")</formula>
    </cfRule>
  </conditionalFormatting>
  <conditionalFormatting sqref="J7203">
    <cfRule type="expression" dxfId="4" priority="281">
      <formula>(#REF!&lt;&gt;"")*(#REF!&lt;&gt;"")</formula>
    </cfRule>
  </conditionalFormatting>
  <conditionalFormatting sqref="M7220">
    <cfRule type="expression" dxfId="4" priority="197">
      <formula>(#REF!&lt;&gt;"")*(#REF!&lt;&gt;"")</formula>
    </cfRule>
  </conditionalFormatting>
  <conditionalFormatting sqref="P7241:Q7241">
    <cfRule type="expression" dxfId="4" priority="269">
      <formula>(#REF!&lt;&gt;"")*(#REF!&lt;&gt;"")</formula>
    </cfRule>
  </conditionalFormatting>
  <conditionalFormatting sqref="P7243">
    <cfRule type="expression" dxfId="4" priority="268">
      <formula>(#REF!&lt;&gt;"")*(#REF!&lt;&gt;"")</formula>
    </cfRule>
  </conditionalFormatting>
  <conditionalFormatting sqref="Q7243">
    <cfRule type="expression" dxfId="4" priority="267">
      <formula>(#REF!&lt;&gt;"")*(#REF!&lt;&gt;"")</formula>
    </cfRule>
  </conditionalFormatting>
  <conditionalFormatting sqref="M7244">
    <cfRule type="expression" dxfId="4" priority="199">
      <formula>(#REF!&lt;&gt;"")*(#REF!&lt;&gt;"")</formula>
    </cfRule>
  </conditionalFormatting>
  <conditionalFormatting sqref="M7245">
    <cfRule type="expression" dxfId="4" priority="198">
      <formula>(#REF!&lt;&gt;"")*(#REF!&lt;&gt;"")</formula>
    </cfRule>
  </conditionalFormatting>
  <conditionalFormatting sqref="Q7246">
    <cfRule type="expression" dxfId="4" priority="266">
      <formula>(#REF!&lt;&gt;"")*(#REF!&lt;&gt;"")</formula>
    </cfRule>
  </conditionalFormatting>
  <conditionalFormatting sqref="Q7247">
    <cfRule type="expression" dxfId="4" priority="271">
      <formula>(#REF!&lt;&gt;"")*(#REF!&lt;&gt;"")</formula>
    </cfRule>
  </conditionalFormatting>
  <conditionalFormatting sqref="Q7249">
    <cfRule type="expression" dxfId="4" priority="270">
      <formula>(#REF!&lt;&gt;"")*(#REF!&lt;&gt;"")</formula>
    </cfRule>
  </conditionalFormatting>
  <conditionalFormatting sqref="M7257">
    <cfRule type="expression" dxfId="4" priority="202">
      <formula>(#REF!&lt;&gt;"")*(#REF!&lt;&gt;"")</formula>
    </cfRule>
  </conditionalFormatting>
  <conditionalFormatting sqref="M7259">
    <cfRule type="expression" dxfId="4" priority="203">
      <formula>(#REF!&lt;&gt;"")*(#REF!&lt;&gt;"")</formula>
    </cfRule>
  </conditionalFormatting>
  <conditionalFormatting sqref="P7264">
    <cfRule type="expression" dxfId="4" priority="260">
      <formula>(#REF!&lt;&gt;"")*(#REF!&lt;&gt;"")</formula>
    </cfRule>
  </conditionalFormatting>
  <conditionalFormatting sqref="Q7264">
    <cfRule type="expression" dxfId="4" priority="259">
      <formula>(#REF!&lt;&gt;"")*(#REF!&lt;&gt;"")</formula>
    </cfRule>
  </conditionalFormatting>
  <conditionalFormatting sqref="P7265">
    <cfRule type="expression" dxfId="4" priority="258">
      <formula>(#REF!&lt;&gt;"")*(#REF!&lt;&gt;"")</formula>
    </cfRule>
  </conditionalFormatting>
  <conditionalFormatting sqref="Q7265">
    <cfRule type="expression" dxfId="4" priority="257">
      <formula>(#REF!&lt;&gt;"")*(#REF!&lt;&gt;"")</formula>
    </cfRule>
  </conditionalFormatting>
  <conditionalFormatting sqref="P7266">
    <cfRule type="expression" dxfId="4" priority="256">
      <formula>(#REF!&lt;&gt;"")*(#REF!&lt;&gt;"")</formula>
    </cfRule>
  </conditionalFormatting>
  <conditionalFormatting sqref="Q7266">
    <cfRule type="expression" dxfId="4" priority="255">
      <formula>(#REF!&lt;&gt;"")*(#REF!&lt;&gt;"")</formula>
    </cfRule>
  </conditionalFormatting>
  <conditionalFormatting sqref="M7267">
    <cfRule type="expression" dxfId="4" priority="205">
      <formula>(#REF!&lt;&gt;"")*(#REF!&lt;&gt;"")</formula>
    </cfRule>
  </conditionalFormatting>
  <conditionalFormatting sqref="E7276:G7276">
    <cfRule type="expression" dxfId="4" priority="250">
      <formula>(#REF!&lt;&gt;"")*(#REF!&lt;&gt;"")</formula>
    </cfRule>
  </conditionalFormatting>
  <conditionalFormatting sqref="K7276">
    <cfRule type="expression" dxfId="4" priority="242">
      <formula>(#REF!&lt;&gt;"")*(#REF!&lt;&gt;"")</formula>
    </cfRule>
  </conditionalFormatting>
  <conditionalFormatting sqref="N7276:O7276">
    <cfRule type="expression" dxfId="4" priority="245">
      <formula>(#REF!&lt;&gt;"")*(#REF!&lt;&gt;"")</formula>
    </cfRule>
  </conditionalFormatting>
  <conditionalFormatting sqref="P7276:Q7276">
    <cfRule type="expression" dxfId="4" priority="243">
      <formula>(#REF!&lt;&gt;"")*(#REF!&lt;&gt;"")</formula>
    </cfRule>
    <cfRule type="expression" dxfId="4" priority="247">
      <formula>(#REF!&lt;&gt;"")*(#REF!&lt;&gt;"")</formula>
    </cfRule>
  </conditionalFormatting>
  <conditionalFormatting sqref="E7277:G7277">
    <cfRule type="expression" dxfId="4" priority="218">
      <formula>(#REF!&lt;&gt;"")*(#REF!&lt;&gt;"")</formula>
    </cfRule>
  </conditionalFormatting>
  <conditionalFormatting sqref="K7277">
    <cfRule type="expression" dxfId="4" priority="211">
      <formula>(#REF!&lt;&gt;"")*(#REF!&lt;&gt;"")</formula>
    </cfRule>
  </conditionalFormatting>
  <conditionalFormatting sqref="L7277">
    <cfRule type="expression" dxfId="4" priority="215">
      <formula>(#REF!&lt;&gt;"")*(#REF!&lt;&gt;"")</formula>
    </cfRule>
  </conditionalFormatting>
  <conditionalFormatting sqref="M7277">
    <cfRule type="expression" dxfId="4" priority="213">
      <formula>(#REF!&lt;&gt;"")*(#REF!&lt;&gt;"")</formula>
    </cfRule>
  </conditionalFormatting>
  <conditionalFormatting sqref="N7277">
    <cfRule type="expression" dxfId="4" priority="209">
      <formula>(#REF!&lt;&gt;"")*(#REF!&lt;&gt;"")</formula>
    </cfRule>
    <cfRule type="expression" dxfId="4" priority="210">
      <formula>(#REF!&lt;&gt;"")*(#REF!&lt;&gt;"")</formula>
    </cfRule>
  </conditionalFormatting>
  <conditionalFormatting sqref="O7277">
    <cfRule type="expression" dxfId="4" priority="214">
      <formula>(#REF!&lt;&gt;"")*(#REF!&lt;&gt;"")</formula>
    </cfRule>
  </conditionalFormatting>
  <conditionalFormatting sqref="P7277">
    <cfRule type="expression" dxfId="4" priority="212">
      <formula>(#REF!&lt;&gt;"")*(#REF!&lt;&gt;"")</formula>
    </cfRule>
    <cfRule type="expression" dxfId="4" priority="217">
      <formula>(#REF!&lt;&gt;"")*(#REF!&lt;&gt;"")</formula>
    </cfRule>
  </conditionalFormatting>
  <conditionalFormatting sqref="T7277">
    <cfRule type="expression" dxfId="4" priority="220">
      <formula>(#REF!&lt;&gt;"")*(#REF!&lt;&gt;"")</formula>
    </cfRule>
  </conditionalFormatting>
  <conditionalFormatting sqref="L7278">
    <cfRule type="expression" dxfId="4" priority="207">
      <formula>(#REF!&lt;&gt;"")*(#REF!&lt;&gt;"")</formula>
    </cfRule>
    <cfRule type="expression" dxfId="4" priority="208">
      <formula>(#REF!&lt;&gt;"")*(#REF!&lt;&gt;"")</formula>
    </cfRule>
  </conditionalFormatting>
  <conditionalFormatting sqref="N7278">
    <cfRule type="expression" dxfId="4" priority="235">
      <formula>(#REF!&lt;&gt;"")*(#REF!&lt;&gt;"")</formula>
    </cfRule>
    <cfRule type="expression" dxfId="4" priority="236">
      <formula>(#REF!&lt;&gt;"")*(#REF!&lt;&gt;"")</formula>
    </cfRule>
  </conditionalFormatting>
  <conditionalFormatting sqref="P7278:Q7278">
    <cfRule type="expression" dxfId="4" priority="240">
      <formula>(#REF!&lt;&gt;"")*(#REF!&lt;&gt;"")</formula>
    </cfRule>
  </conditionalFormatting>
  <conditionalFormatting sqref="Q7278">
    <cfRule type="expression" dxfId="4" priority="238">
      <formula>(#REF!&lt;&gt;"")*(#REF!&lt;&gt;"")</formula>
    </cfRule>
  </conditionalFormatting>
  <conditionalFormatting sqref="E7279:G7279">
    <cfRule type="expression" dxfId="4" priority="226">
      <formula>(#REF!&lt;&gt;"")*(#REF!&lt;&gt;"")</formula>
    </cfRule>
  </conditionalFormatting>
  <conditionalFormatting sqref="J7279">
    <cfRule type="expression" dxfId="4" priority="222">
      <formula>(#REF!&lt;&gt;"")*(#REF!&lt;&gt;"")</formula>
    </cfRule>
  </conditionalFormatting>
  <conditionalFormatting sqref="K7279">
    <cfRule type="expression" dxfId="4" priority="223">
      <formula>(#REF!&lt;&gt;"")*(#REF!&lt;&gt;"")</formula>
    </cfRule>
  </conditionalFormatting>
  <conditionalFormatting sqref="L7279">
    <cfRule type="expression" dxfId="4" priority="224">
      <formula>(#REF!&lt;&gt;"")*(#REF!&lt;&gt;"")</formula>
    </cfRule>
    <cfRule type="expression" dxfId="4" priority="225">
      <formula>(#REF!&lt;&gt;"")*(#REF!&lt;&gt;"")</formula>
    </cfRule>
  </conditionalFormatting>
  <conditionalFormatting sqref="M7279">
    <cfRule type="expression" dxfId="4" priority="237">
      <formula>(#REF!&lt;&gt;"")*(#REF!&lt;&gt;"")</formula>
    </cfRule>
  </conditionalFormatting>
  <conditionalFormatting sqref="P7279:Q7279">
    <cfRule type="expression" dxfId="4" priority="275">
      <formula>(#REF!&lt;&gt;"")*(#REF!&lt;&gt;"")</formula>
    </cfRule>
  </conditionalFormatting>
  <conditionalFormatting sqref="C7280">
    <cfRule type="expression" dxfId="4" priority="248">
      <formula>(#REF!&lt;&gt;"")*(#REF!&lt;&gt;"")</formula>
    </cfRule>
  </conditionalFormatting>
  <conditionalFormatting sqref="P7280:Q7280">
    <cfRule type="expression" dxfId="4" priority="272">
      <formula>(#REF!&lt;&gt;"")*(#REF!&lt;&gt;"")</formula>
    </cfRule>
  </conditionalFormatting>
  <conditionalFormatting sqref="P7281:Q7281">
    <cfRule type="expression" dxfId="4" priority="233">
      <formula>(#REF!&lt;&gt;"")*(#REF!&lt;&gt;"")</formula>
    </cfRule>
  </conditionalFormatting>
  <conditionalFormatting sqref="T7281">
    <cfRule type="expression" dxfId="4" priority="231">
      <formula>(#REF!&lt;&gt;"")*(#REF!&lt;&gt;"")</formula>
    </cfRule>
    <cfRule type="expression" dxfId="4" priority="232">
      <formula>(#REF!&lt;&gt;"")*(#REF!&lt;&gt;"")</formula>
    </cfRule>
  </conditionalFormatting>
  <conditionalFormatting sqref="P7282:Q7282">
    <cfRule type="expression" dxfId="4" priority="261">
      <formula>(#REF!&lt;&gt;"")*(#REF!&lt;&gt;"")</formula>
    </cfRule>
  </conditionalFormatting>
  <conditionalFormatting sqref="W7282">
    <cfRule type="expression" dxfId="4" priority="228">
      <formula>(#REF!&lt;&gt;"")*(#REF!&lt;&gt;"")</formula>
    </cfRule>
    <cfRule type="expression" dxfId="4" priority="229">
      <formula>(#REF!&lt;&gt;"")*(#REF!&lt;&gt;"")</formula>
    </cfRule>
    <cfRule type="expression" dxfId="4" priority="230">
      <formula>(#REF!&lt;&gt;"")*(#REF!&lt;&gt;"")</formula>
    </cfRule>
  </conditionalFormatting>
  <conditionalFormatting sqref="A7285">
    <cfRule type="expression" dxfId="0" priority="161">
      <formula>(#REF!&lt;&gt;"")*(#REF!&lt;&gt;"")</formula>
    </cfRule>
  </conditionalFormatting>
  <conditionalFormatting sqref="N7285">
    <cfRule type="expression" dxfId="0" priority="183">
      <formula>(#REF!&lt;&gt;"")*(#REF!&lt;&gt;"")</formula>
    </cfRule>
    <cfRule type="expression" dxfId="0" priority="182">
      <formula>(#REF!&lt;&gt;"")*(#REF!&lt;&gt;"")</formula>
    </cfRule>
  </conditionalFormatting>
  <conditionalFormatting sqref="P7285:Q7285">
    <cfRule type="expression" dxfId="1" priority="186">
      <formula>(#REF!&lt;&gt;"")*(#REF!&lt;&gt;"")</formula>
    </cfRule>
  </conditionalFormatting>
  <conditionalFormatting sqref="Q7285">
    <cfRule type="expression" dxfId="0" priority="184">
      <formula>(#REF!&lt;&gt;"")*(#REF!&lt;&gt;"")</formula>
    </cfRule>
  </conditionalFormatting>
  <conditionalFormatting sqref="T7285">
    <cfRule type="expression" dxfId="5" priority="188">
      <formula>(#REF!&lt;&gt;"")*(#REF!&lt;&gt;"")</formula>
    </cfRule>
  </conditionalFormatting>
  <conditionalFormatting sqref="A7286">
    <cfRule type="expression" dxfId="0" priority="160">
      <formula>(#REF!&lt;&gt;"")*(#REF!&lt;&gt;"")</formula>
    </cfRule>
  </conditionalFormatting>
  <conditionalFormatting sqref="N7286">
    <cfRule type="expression" dxfId="0" priority="176">
      <formula>(#REF!&lt;&gt;"")*(#REF!&lt;&gt;"")</formula>
    </cfRule>
    <cfRule type="expression" dxfId="0" priority="175">
      <formula>(#REF!&lt;&gt;"")*(#REF!&lt;&gt;"")</formula>
    </cfRule>
  </conditionalFormatting>
  <conditionalFormatting sqref="P7286:Q7286">
    <cfRule type="expression" dxfId="1" priority="179">
      <formula>(#REF!&lt;&gt;"")*(#REF!&lt;&gt;"")</formula>
    </cfRule>
  </conditionalFormatting>
  <conditionalFormatting sqref="Q7286">
    <cfRule type="expression" dxfId="0" priority="177">
      <formula>(#REF!&lt;&gt;"")*(#REF!&lt;&gt;"")</formula>
    </cfRule>
  </conditionalFormatting>
  <conditionalFormatting sqref="T7286">
    <cfRule type="expression" dxfId="5" priority="181">
      <formula>(#REF!&lt;&gt;"")*(#REF!&lt;&gt;"")</formula>
    </cfRule>
  </conditionalFormatting>
  <conditionalFormatting sqref="A7287">
    <cfRule type="expression" dxfId="0" priority="159">
      <formula>(#REF!&lt;&gt;"")*(#REF!&lt;&gt;"")</formula>
    </cfRule>
  </conditionalFormatting>
  <conditionalFormatting sqref="B7287">
    <cfRule type="expression" dxfId="0" priority="174">
      <formula>(#REF!&lt;&gt;"")*(#REF!&lt;&gt;"")</formula>
    </cfRule>
  </conditionalFormatting>
  <conditionalFormatting sqref="M7287">
    <cfRule type="expression" dxfId="0" priority="171">
      <formula>(#REF!&lt;&gt;"")*(#REF!&lt;&gt;"")</formula>
    </cfRule>
  </conditionalFormatting>
  <conditionalFormatting sqref="N7287">
    <cfRule type="expression" dxfId="0" priority="164">
      <formula>(#REF!&lt;&gt;"")*(#REF!&lt;&gt;"")</formula>
    </cfRule>
    <cfRule type="expression" dxfId="0" priority="163">
      <formula>(#REF!&lt;&gt;"")*(#REF!&lt;&gt;"")</formula>
    </cfRule>
  </conditionalFormatting>
  <conditionalFormatting sqref="O7287">
    <cfRule type="expression" dxfId="0" priority="167">
      <formula>(#REF!&lt;&gt;"")*(#REF!&lt;&gt;"")</formula>
    </cfRule>
  </conditionalFormatting>
  <conditionalFormatting sqref="O7287:P7287">
    <cfRule type="expression" dxfId="0" priority="165">
      <formula>(#REF!&lt;&gt;"")*(#REF!&lt;&gt;"")</formula>
    </cfRule>
  </conditionalFormatting>
  <conditionalFormatting sqref="P7287">
    <cfRule type="expression" dxfId="1" priority="166">
      <formula>(#REF!&lt;&gt;"")*(#REF!&lt;&gt;"")</formula>
    </cfRule>
  </conditionalFormatting>
  <conditionalFormatting sqref="Q7287">
    <cfRule type="expression" dxfId="1" priority="172">
      <formula>(#REF!&lt;&gt;"")*(#REF!&lt;&gt;"")</formula>
    </cfRule>
  </conditionalFormatting>
  <conditionalFormatting sqref="R7287">
    <cfRule type="expression" dxfId="0" priority="61">
      <formula>(#REF!&lt;&gt;"")*(#REF!&lt;&gt;"")</formula>
    </cfRule>
  </conditionalFormatting>
  <conditionalFormatting sqref="T7287">
    <cfRule type="expression" dxfId="0" priority="168">
      <formula>(#REF!&lt;&gt;"")*(#REF!&lt;&gt;"")</formula>
    </cfRule>
  </conditionalFormatting>
  <conditionalFormatting sqref="U7287">
    <cfRule type="expression" dxfId="0" priority="169">
      <formula>(#REF!&lt;&gt;"")*(#REF!&lt;&gt;"")</formula>
    </cfRule>
  </conditionalFormatting>
  <conditionalFormatting sqref="A7305">
    <cfRule type="expression" dxfId="0" priority="29">
      <formula>(#REF!&lt;&gt;"")*(#REF!&lt;&gt;"")</formula>
    </cfRule>
    <cfRule type="expression" dxfId="0" priority="28">
      <formula>(#REF!&lt;&gt;"")*(#REF!&lt;&gt;"")</formula>
    </cfRule>
  </conditionalFormatting>
  <conditionalFormatting sqref="N7305">
    <cfRule type="expression" dxfId="0" priority="31">
      <formula>(#REF!&lt;&gt;"")*(#REF!&lt;&gt;"")</formula>
    </cfRule>
    <cfRule type="expression" dxfId="0" priority="30">
      <formula>(#REF!&lt;&gt;"")*(#REF!&lt;&gt;"")</formula>
    </cfRule>
  </conditionalFormatting>
  <conditionalFormatting sqref="P7305:Q7305">
    <cfRule type="expression" dxfId="1" priority="34">
      <formula>(#REF!&lt;&gt;"")*(#REF!&lt;&gt;"")</formula>
    </cfRule>
  </conditionalFormatting>
  <conditionalFormatting sqref="Q7305">
    <cfRule type="expression" dxfId="0" priority="32">
      <formula>(#REF!&lt;&gt;"")*(#REF!&lt;&gt;"")</formula>
    </cfRule>
  </conditionalFormatting>
  <conditionalFormatting sqref="T7305">
    <cfRule type="expression" dxfId="5" priority="36">
      <formula>(#REF!&lt;&gt;"")*(#REF!&lt;&gt;"")</formula>
    </cfRule>
  </conditionalFormatting>
  <conditionalFormatting sqref="A7306">
    <cfRule type="expression" dxfId="0" priority="20">
      <formula>(#REF!&lt;&gt;"")*(#REF!&lt;&gt;"")</formula>
    </cfRule>
    <cfRule type="expression" dxfId="0" priority="19">
      <formula>(#REF!&lt;&gt;"")*(#REF!&lt;&gt;"")</formula>
    </cfRule>
  </conditionalFormatting>
  <conditionalFormatting sqref="N7306">
    <cfRule type="expression" dxfId="0" priority="22">
      <formula>(#REF!&lt;&gt;"")*(#REF!&lt;&gt;"")</formula>
    </cfRule>
    <cfRule type="expression" dxfId="0" priority="21">
      <formula>(#REF!&lt;&gt;"")*(#REF!&lt;&gt;"")</formula>
    </cfRule>
  </conditionalFormatting>
  <conditionalFormatting sqref="P7306:Q7306">
    <cfRule type="expression" dxfId="1" priority="25">
      <formula>(#REF!&lt;&gt;"")*(#REF!&lt;&gt;"")</formula>
    </cfRule>
  </conditionalFormatting>
  <conditionalFormatting sqref="Q7306">
    <cfRule type="expression" dxfId="0" priority="23">
      <formula>(#REF!&lt;&gt;"")*(#REF!&lt;&gt;"")</formula>
    </cfRule>
  </conditionalFormatting>
  <conditionalFormatting sqref="T7306">
    <cfRule type="expression" dxfId="5" priority="27">
      <formula>(#REF!&lt;&gt;"")*(#REF!&lt;&gt;"")</formula>
    </cfRule>
  </conditionalFormatting>
  <conditionalFormatting sqref="A7307">
    <cfRule type="expression" dxfId="0" priority="3">
      <formula>(#REF!&lt;&gt;"")*(#REF!&lt;&gt;"")</formula>
    </cfRule>
    <cfRule type="expression" dxfId="0" priority="5">
      <formula>(#REF!&lt;&gt;"")*(#REF!&lt;&gt;"")</formula>
    </cfRule>
    <cfRule type="expression" dxfId="0" priority="4">
      <formula>(#REF!&lt;&gt;"")*(#REF!&lt;&gt;"")</formula>
    </cfRule>
  </conditionalFormatting>
  <conditionalFormatting sqref="N7307">
    <cfRule type="expression" dxfId="0" priority="7">
      <formula>(#REF!&lt;&gt;"")*(#REF!&lt;&gt;"")</formula>
    </cfRule>
    <cfRule type="expression" dxfId="0" priority="6">
      <formula>(#REF!&lt;&gt;"")*(#REF!&lt;&gt;"")</formula>
    </cfRule>
  </conditionalFormatting>
  <conditionalFormatting sqref="P7307:Q7307">
    <cfRule type="expression" dxfId="1" priority="10">
      <formula>(#REF!&lt;&gt;"")*(#REF!&lt;&gt;"")</formula>
    </cfRule>
  </conditionalFormatting>
  <conditionalFormatting sqref="Q7307">
    <cfRule type="expression" dxfId="0" priority="8">
      <formula>(#REF!&lt;&gt;"")*(#REF!&lt;&gt;"")</formula>
    </cfRule>
  </conditionalFormatting>
  <conditionalFormatting sqref="T7307">
    <cfRule type="expression" dxfId="5" priority="12">
      <formula>(#REF!&lt;&gt;"")*(#REF!&lt;&gt;"")</formula>
    </cfRule>
  </conditionalFormatting>
  <conditionalFormatting sqref="A1147:A1148">
    <cfRule type="expression" dxfId="0" priority="4831">
      <formula>(#REF!&lt;&gt;"")*(#REF!&lt;&gt;"")</formula>
    </cfRule>
  </conditionalFormatting>
  <conditionalFormatting sqref="A3278:A3299">
    <cfRule type="expression" dxfId="0" priority="3173">
      <formula>(#REF!&lt;&gt;"")*(#REF!&lt;&gt;"")</formula>
    </cfRule>
  </conditionalFormatting>
  <conditionalFormatting sqref="A3333:A3334">
    <cfRule type="expression" dxfId="0" priority="3182">
      <formula>(#REF!&lt;&gt;"")*(#REF!&lt;&gt;"")</formula>
    </cfRule>
  </conditionalFormatting>
  <conditionalFormatting sqref="A3340:A3357">
    <cfRule type="expression" dxfId="0" priority="3241">
      <formula>(#REF!&lt;&gt;"")*(#REF!&lt;&gt;"")</formula>
    </cfRule>
  </conditionalFormatting>
  <conditionalFormatting sqref="A3360:A3362">
    <cfRule type="expression" dxfId="0" priority="3098">
      <formula>(#REF!&lt;&gt;"")*(#REF!&lt;&gt;"")</formula>
    </cfRule>
  </conditionalFormatting>
  <conditionalFormatting sqref="A3363:A3367">
    <cfRule type="expression" dxfId="0" priority="3051">
      <formula>(#REF!&lt;&gt;"")*(#REF!&lt;&gt;"")</formula>
    </cfRule>
  </conditionalFormatting>
  <conditionalFormatting sqref="A3373:A3374">
    <cfRule type="expression" dxfId="0" priority="2863">
      <formula>(#REF!&lt;&gt;"")*(#REF!&lt;&gt;"")</formula>
    </cfRule>
  </conditionalFormatting>
  <conditionalFormatting sqref="A3376:A3383">
    <cfRule type="expression" dxfId="0" priority="3093">
      <formula>(#REF!&lt;&gt;"")*(#REF!&lt;&gt;"")</formula>
    </cfRule>
  </conditionalFormatting>
  <conditionalFormatting sqref="A3384:A3391">
    <cfRule type="expression" dxfId="0" priority="3080">
      <formula>(#REF!&lt;&gt;"")*(#REF!&lt;&gt;"")</formula>
    </cfRule>
  </conditionalFormatting>
  <conditionalFormatting sqref="A3393:A3394">
    <cfRule type="expression" dxfId="0" priority="3061">
      <formula>(#REF!&lt;&gt;"")*(#REF!&lt;&gt;"")</formula>
    </cfRule>
  </conditionalFormatting>
  <conditionalFormatting sqref="A3441:A3442">
    <cfRule type="expression" dxfId="0" priority="2965">
      <formula>(#REF!&lt;&gt;"")*(#REF!&lt;&gt;"")</formula>
    </cfRule>
  </conditionalFormatting>
  <conditionalFormatting sqref="A3450:A3451">
    <cfRule type="expression" dxfId="0" priority="2872">
      <formula>(#REF!&lt;&gt;"")*(#REF!&lt;&gt;"")</formula>
    </cfRule>
  </conditionalFormatting>
  <conditionalFormatting sqref="A3486:A3487">
    <cfRule type="expression" dxfId="0" priority="2080">
      <formula>(#REF!&lt;&gt;"")*(#REF!&lt;&gt;"")</formula>
    </cfRule>
  </conditionalFormatting>
  <conditionalFormatting sqref="A3488:A3489">
    <cfRule type="expression" dxfId="0" priority="1547">
      <formula>(#REF!&lt;&gt;"")*(#REF!&lt;&gt;"")</formula>
    </cfRule>
  </conditionalFormatting>
  <conditionalFormatting sqref="A3514:A3515">
    <cfRule type="expression" dxfId="0" priority="872">
      <formula>(#REF!&lt;&gt;"")*(#REF!&lt;&gt;"")</formula>
    </cfRule>
  </conditionalFormatting>
  <conditionalFormatting sqref="A3529:A3530">
    <cfRule type="expression" dxfId="0" priority="1734">
      <formula>(#REF!&lt;&gt;"")*(#REF!&lt;&gt;"")</formula>
    </cfRule>
  </conditionalFormatting>
  <conditionalFormatting sqref="A3590:A3592">
    <cfRule type="expression" dxfId="0" priority="3248">
      <formula>(#REF!&lt;&gt;"")*(#REF!&lt;&gt;"")</formula>
    </cfRule>
  </conditionalFormatting>
  <conditionalFormatting sqref="A3788:A3789">
    <cfRule type="expression" dxfId="0" priority="3149">
      <formula>(#REF!&lt;&gt;"")*(#REF!&lt;&gt;"")</formula>
    </cfRule>
  </conditionalFormatting>
  <conditionalFormatting sqref="A3790:A3791">
    <cfRule type="expression" dxfId="0" priority="3074">
      <formula>(#REF!&lt;&gt;"")*(#REF!&lt;&gt;"")</formula>
    </cfRule>
  </conditionalFormatting>
  <conditionalFormatting sqref="A3977:A3978">
    <cfRule type="expression" dxfId="1" priority="2065">
      <formula>(#REF!&lt;&gt;"")*(A$1&lt;&gt;"")</formula>
    </cfRule>
  </conditionalFormatting>
  <conditionalFormatting sqref="A4214:A4216">
    <cfRule type="expression" dxfId="0" priority="2039">
      <formula>(#REF!&lt;&gt;"")*(#REF!&lt;&gt;"")</formula>
    </cfRule>
  </conditionalFormatting>
  <conditionalFormatting sqref="A4217:A4218">
    <cfRule type="expression" dxfId="0" priority="2035">
      <formula>(#REF!&lt;&gt;"")*(#REF!&lt;&gt;"")</formula>
    </cfRule>
  </conditionalFormatting>
  <conditionalFormatting sqref="A5701:A5702">
    <cfRule type="expression" dxfId="4" priority="395">
      <formula>(#REF!&lt;&gt;"")*(#REF!&lt;&gt;"")</formula>
    </cfRule>
  </conditionalFormatting>
  <conditionalFormatting sqref="A7289:A7290">
    <cfRule type="expression" dxfId="0" priority="74">
      <formula>(#REF!&lt;&gt;"")*(#REF!&lt;&gt;"")</formula>
    </cfRule>
  </conditionalFormatting>
  <conditionalFormatting sqref="A7292:A7295">
    <cfRule type="expression" dxfId="0" priority="66">
      <formula>(#REF!&lt;&gt;"")*(#REF!&lt;&gt;"")</formula>
    </cfRule>
  </conditionalFormatting>
  <conditionalFormatting sqref="C4149:C4150">
    <cfRule type="expression" dxfId="0" priority="2050">
      <formula>(#REF!&lt;&gt;"")*(#REF!&lt;&gt;"")</formula>
    </cfRule>
  </conditionalFormatting>
  <conditionalFormatting sqref="C4161:C4163">
    <cfRule type="expression" dxfId="0" priority="2042">
      <formula>(#REF!&lt;&gt;"")*(#REF!&lt;&gt;"")</formula>
    </cfRule>
  </conditionalFormatting>
  <conditionalFormatting sqref="C4217:C4218">
    <cfRule type="expression" dxfId="0" priority="2034">
      <formula>(#REF!&lt;&gt;"")*(#REF!&lt;&gt;"")</formula>
    </cfRule>
  </conditionalFormatting>
  <conditionalFormatting sqref="E2884:E2893">
    <cfRule type="expression" dxfId="1" priority="3342">
      <formula>(#REF!&lt;&gt;"")*(E$1&lt;&gt;"")</formula>
    </cfRule>
  </conditionalFormatting>
  <conditionalFormatting sqref="E2894:E2904">
    <cfRule type="expression" dxfId="1" priority="3341">
      <formula>(#REF!&lt;&gt;"")*(E$1&lt;&gt;"")</formula>
    </cfRule>
  </conditionalFormatting>
  <conditionalFormatting sqref="E2905:E2910">
    <cfRule type="expression" dxfId="1" priority="3340">
      <formula>(#REF!&lt;&gt;"")*(E$1&lt;&gt;"")</formula>
    </cfRule>
  </conditionalFormatting>
  <conditionalFormatting sqref="E3886:E3888">
    <cfRule type="expression" dxfId="0" priority="2127">
      <formula>(#REF!&lt;&gt;"")*(#REF!&lt;&gt;"")</formula>
    </cfRule>
    <cfRule type="expression" dxfId="0" priority="2128">
      <formula>(#REF!&lt;&gt;"")*(E$1&lt;&gt;"")</formula>
    </cfRule>
  </conditionalFormatting>
  <conditionalFormatting sqref="F1996:F1997">
    <cfRule type="expression" dxfId="0" priority="4259">
      <formula>(#REF!&lt;&gt;"")*(#REF!&lt;&gt;"")</formula>
    </cfRule>
  </conditionalFormatting>
  <conditionalFormatting sqref="F2690:F2701">
    <cfRule type="expression" dxfId="0" priority="3403">
      <formula>(#REF!&lt;&gt;"")*(F$1&lt;&gt;"")</formula>
    </cfRule>
  </conditionalFormatting>
  <conditionalFormatting sqref="F2706:F2707">
    <cfRule type="expression" dxfId="0" priority="3401">
      <formula>(#REF!&lt;&gt;"")*(F$1&lt;&gt;"")</formula>
    </cfRule>
  </conditionalFormatting>
  <conditionalFormatting sqref="G3876:G3877">
    <cfRule type="expression" dxfId="0" priority="3107">
      <formula>(#REF!&lt;&gt;"")*(#REF!&lt;&gt;"")</formula>
    </cfRule>
  </conditionalFormatting>
  <conditionalFormatting sqref="G3879:G3880">
    <cfRule type="expression" dxfId="0" priority="3058">
      <formula>(#REF!&lt;&gt;"")*(#REF!&lt;&gt;"")</formula>
    </cfRule>
  </conditionalFormatting>
  <conditionalFormatting sqref="G4675:G4676">
    <cfRule type="expression" dxfId="0" priority="1637">
      <formula>(#REF!&lt;&gt;"")*(#REF!&lt;&gt;"")</formula>
    </cfRule>
  </conditionalFormatting>
  <conditionalFormatting sqref="H806:H818">
    <cfRule type="expression" dxfId="0" priority="5091">
      <formula>(#REF!&lt;&gt;"")*(H$1&lt;&gt;"")</formula>
    </cfRule>
  </conditionalFormatting>
  <conditionalFormatting sqref="H1597:H1598">
    <cfRule type="expression" dxfId="0" priority="4455">
      <formula>(#REF!&lt;&gt;"")*(#REF!&lt;&gt;"")</formula>
    </cfRule>
  </conditionalFormatting>
  <conditionalFormatting sqref="H1934:H1936">
    <cfRule type="expression" dxfId="0" priority="4317">
      <formula>(#REF!&lt;&gt;"")*(H$1&lt;&gt;"")</formula>
    </cfRule>
  </conditionalFormatting>
  <conditionalFormatting sqref="H2565:H2582">
    <cfRule type="expression" dxfId="0" priority="3388">
      <formula>(#REF!&lt;&gt;"")*(H$1&lt;&gt;"")</formula>
    </cfRule>
  </conditionalFormatting>
  <conditionalFormatting sqref="H2599:H2611">
    <cfRule type="expression" dxfId="0" priority="3386">
      <formula>(#REF!&lt;&gt;"")*(H$1&lt;&gt;"")</formula>
    </cfRule>
  </conditionalFormatting>
  <conditionalFormatting sqref="H2720:H2728">
    <cfRule type="expression" dxfId="1" priority="3422">
      <formula>(#REF!&lt;&gt;"")*(H$1&lt;&gt;"")</formula>
    </cfRule>
  </conditionalFormatting>
  <conditionalFormatting sqref="H2729:H2738">
    <cfRule type="expression" dxfId="1" priority="3421">
      <formula>(#REF!&lt;&gt;"")*(H$1&lt;&gt;"")</formula>
    </cfRule>
  </conditionalFormatting>
  <conditionalFormatting sqref="H2739:H2749">
    <cfRule type="expression" dxfId="1" priority="3420">
      <formula>(#REF!&lt;&gt;"")*(H$1&lt;&gt;"")</formula>
    </cfRule>
  </conditionalFormatting>
  <conditionalFormatting sqref="H2750:H2760">
    <cfRule type="expression" dxfId="1" priority="3419">
      <formula>(#REF!&lt;&gt;"")*(H$1&lt;&gt;"")</formula>
    </cfRule>
  </conditionalFormatting>
  <conditionalFormatting sqref="H2761:H2769">
    <cfRule type="expression" dxfId="1" priority="3418">
      <formula>(#REF!&lt;&gt;"")*(H$1&lt;&gt;"")</formula>
    </cfRule>
  </conditionalFormatting>
  <conditionalFormatting sqref="H2770:H2780">
    <cfRule type="expression" dxfId="1" priority="3417">
      <formula>(#REF!&lt;&gt;"")*(H$1&lt;&gt;"")</formula>
    </cfRule>
  </conditionalFormatting>
  <conditionalFormatting sqref="H2804:H2813">
    <cfRule type="expression" dxfId="0" priority="3591">
      <formula>(#REF!&lt;&gt;"")*(H$1&lt;&gt;"")</formula>
    </cfRule>
  </conditionalFormatting>
  <conditionalFormatting sqref="H2824:H2839">
    <cfRule type="expression" dxfId="0" priority="3437">
      <formula>(#REF!&lt;&gt;"")*(H$1&lt;&gt;"")</formula>
    </cfRule>
  </conditionalFormatting>
  <conditionalFormatting sqref="H2847:H2877">
    <cfRule type="expression" dxfId="0" priority="3436">
      <formula>(#REF!&lt;&gt;"")*(#REF!&lt;&gt;"")</formula>
    </cfRule>
    <cfRule type="expression" dxfId="0" priority="3435">
      <formula>(#REF!&lt;&gt;"")*(#REF!&lt;&gt;"")</formula>
    </cfRule>
  </conditionalFormatting>
  <conditionalFormatting sqref="H2881:H2882">
    <cfRule type="expression" dxfId="1" priority="3269">
      <formula>(#REF!&lt;&gt;"")*(H$1&lt;&gt;"")</formula>
    </cfRule>
  </conditionalFormatting>
  <conditionalFormatting sqref="H2929:H2930">
    <cfRule type="expression" dxfId="1" priority="3523">
      <formula>(#REF!&lt;&gt;"")*(H$1&lt;&gt;"")</formula>
    </cfRule>
  </conditionalFormatting>
  <conditionalFormatting sqref="H2955:H2956">
    <cfRule type="expression" dxfId="1" priority="3306">
      <formula>(#REF!&lt;&gt;"")*(H$1&lt;&gt;"")</formula>
    </cfRule>
  </conditionalFormatting>
  <conditionalFormatting sqref="H3456:H3479">
    <cfRule type="expression" dxfId="0" priority="2195">
      <formula>(#REF!&lt;&gt;"")*(#REF!&lt;&gt;"")</formula>
    </cfRule>
    <cfRule type="expression" dxfId="0" priority="2194">
      <formula>(#REF!&lt;&gt;"")*(#REF!&lt;&gt;"")</formula>
    </cfRule>
    <cfRule type="expression" dxfId="0" priority="2193">
      <formula>(#REF!&lt;&gt;"")*(#REF!&lt;&gt;"")</formula>
    </cfRule>
    <cfRule type="expression" dxfId="0" priority="2192">
      <formula>(#REF!&lt;&gt;"")*(#REF!&lt;&gt;"")</formula>
    </cfRule>
    <cfRule type="expression" dxfId="0" priority="2191">
      <formula>(#REF!&lt;&gt;"")*(#REF!&lt;&gt;"")</formula>
    </cfRule>
  </conditionalFormatting>
  <conditionalFormatting sqref="H3490:H3506">
    <cfRule type="expression" dxfId="0" priority="2290">
      <formula>(#REF!&lt;&gt;"")*(#REF!&lt;&gt;"")</formula>
    </cfRule>
  </conditionalFormatting>
  <conditionalFormatting sqref="H3514:H3515">
    <cfRule type="expression" dxfId="0" priority="873">
      <formula>(#REF!&lt;&gt;"")*(#REF!&lt;&gt;"")</formula>
    </cfRule>
  </conditionalFormatting>
  <conditionalFormatting sqref="H3855:H3857">
    <cfRule type="expression" dxfId="0" priority="2666">
      <formula>(#REF!&lt;&gt;"")*(#REF!&lt;&gt;"")</formula>
    </cfRule>
  </conditionalFormatting>
  <conditionalFormatting sqref="H3860:H3885">
    <cfRule type="expression" dxfId="0" priority="2206">
      <formula>(#REF!&lt;&gt;"")*(#REF!&lt;&gt;"")</formula>
    </cfRule>
    <cfRule type="expression" dxfId="0" priority="2207">
      <formula>(#REF!&lt;&gt;"")*(H$1&lt;&gt;"")</formula>
    </cfRule>
  </conditionalFormatting>
  <conditionalFormatting sqref="H3879:H3880">
    <cfRule type="expression" dxfId="0" priority="3059">
      <formula>(#REF!&lt;&gt;"")*(#REF!&lt;&gt;"")</formula>
    </cfRule>
  </conditionalFormatting>
  <conditionalFormatting sqref="H3886:H3888">
    <cfRule type="expression" dxfId="0" priority="2125">
      <formula>(#REF!&lt;&gt;"")*(#REF!&lt;&gt;"")</formula>
    </cfRule>
    <cfRule type="expression" dxfId="0" priority="2126">
      <formula>(#REF!&lt;&gt;"")*(H$1&lt;&gt;"")</formula>
    </cfRule>
    <cfRule type="expression" dxfId="0" priority="2123">
      <formula>(#REF!&lt;&gt;"")*(#REF!&lt;&gt;"")</formula>
    </cfRule>
    <cfRule type="expression" dxfId="0" priority="2124">
      <formula>(#REF!&lt;&gt;"")*(H$1&lt;&gt;"")</formula>
    </cfRule>
  </conditionalFormatting>
  <conditionalFormatting sqref="H4304:H4336">
    <cfRule type="expression" dxfId="0" priority="1793">
      <formula>(#REF!&lt;&gt;"")*(#REF!&lt;&gt;"")</formula>
    </cfRule>
  </conditionalFormatting>
  <conditionalFormatting sqref="H5576:H5578">
    <cfRule type="expression" dxfId="1" priority="418">
      <formula>(#REF!&lt;&gt;"")*(H$1&lt;&gt;"")</formula>
    </cfRule>
  </conditionalFormatting>
  <conditionalFormatting sqref="H5678:H5680">
    <cfRule type="expression" dxfId="4" priority="462">
      <formula>(#REF!&lt;&gt;"")*(#REF!&lt;&gt;"")</formula>
    </cfRule>
  </conditionalFormatting>
  <conditionalFormatting sqref="H5693:H5700">
    <cfRule type="expression" dxfId="4" priority="442">
      <formula>(#REF!&lt;&gt;"")*(#REF!&lt;&gt;"")</formula>
    </cfRule>
  </conditionalFormatting>
  <conditionalFormatting sqref="H7273:H7275">
    <cfRule type="expression" dxfId="4" priority="253">
      <formula>(#REF!&lt;&gt;"")*(#REF!&lt;&gt;"")</formula>
    </cfRule>
  </conditionalFormatting>
  <conditionalFormatting sqref="J1463:J1464">
    <cfRule type="expression" dxfId="1" priority="4574">
      <formula>(#REF!&lt;&gt;"")*(J$1&lt;&gt;"")</formula>
    </cfRule>
  </conditionalFormatting>
  <conditionalFormatting sqref="J1481:J1482">
    <cfRule type="expression" dxfId="1" priority="4523">
      <formula>(#REF!&lt;&gt;"")*(J$1&lt;&gt;"")</formula>
    </cfRule>
  </conditionalFormatting>
  <conditionalFormatting sqref="J1751:J1752">
    <cfRule type="expression" dxfId="1" priority="4376">
      <formula>(#REF!&lt;&gt;"")*(J$1&lt;&gt;"")</formula>
    </cfRule>
  </conditionalFormatting>
  <conditionalFormatting sqref="J1922:J1925">
    <cfRule type="expression" dxfId="1" priority="4319">
      <formula>(#REF!&lt;&gt;"")*(J$1&lt;&gt;"")</formula>
    </cfRule>
  </conditionalFormatting>
  <conditionalFormatting sqref="J2035:J2037">
    <cfRule type="expression" dxfId="1" priority="4242">
      <formula>(#REF!&lt;&gt;"")*(J$1&lt;&gt;"")</formula>
    </cfRule>
  </conditionalFormatting>
  <conditionalFormatting sqref="J2038:J2042">
    <cfRule type="expression" dxfId="1" priority="4241">
      <formula>(#REF!&lt;&gt;"")*(J$1&lt;&gt;"")</formula>
    </cfRule>
  </conditionalFormatting>
  <conditionalFormatting sqref="J2154:J2155">
    <cfRule type="expression" dxfId="1" priority="4082">
      <formula>(#REF!&lt;&gt;"")*(J$1&lt;&gt;"")</formula>
    </cfRule>
  </conditionalFormatting>
  <conditionalFormatting sqref="J2210:J2217">
    <cfRule type="expression" dxfId="1" priority="3992">
      <formula>(#REF!&lt;&gt;"")*(J$1&lt;&gt;"")</formula>
    </cfRule>
  </conditionalFormatting>
  <conditionalFormatting sqref="J3208:J3209">
    <cfRule type="expression" dxfId="0" priority="2771">
      <formula>(#REF!&lt;&gt;"")*(#REF!&lt;&gt;"")</formula>
    </cfRule>
  </conditionalFormatting>
  <conditionalFormatting sqref="J3450:J3451">
    <cfRule type="expression" dxfId="0" priority="2874">
      <formula>(#REF!&lt;&gt;"")*(#REF!&lt;&gt;"")</formula>
    </cfRule>
  </conditionalFormatting>
  <conditionalFormatting sqref="J3529:J3530">
    <cfRule type="expression" dxfId="0" priority="1730">
      <formula>(#REF!&lt;&gt;"")*(#REF!&lt;&gt;"")</formula>
    </cfRule>
  </conditionalFormatting>
  <conditionalFormatting sqref="J4751:J4752">
    <cfRule type="expression" dxfId="0" priority="524">
      <formula>(#REF!&lt;&gt;"")*(#REF!&lt;&gt;"")</formula>
    </cfRule>
  </conditionalFormatting>
  <conditionalFormatting sqref="J5588:J5589">
    <cfRule type="expression" dxfId="1" priority="406">
      <formula>(#REF!&lt;&gt;"")*(J$1&lt;&gt;"")</formula>
    </cfRule>
  </conditionalFormatting>
  <conditionalFormatting sqref="K2880:K2882">
    <cfRule type="expression" dxfId="1" priority="3270">
      <formula>(#REF!&lt;&gt;"")*(K$1&lt;&gt;"")</formula>
    </cfRule>
  </conditionalFormatting>
  <conditionalFormatting sqref="K2887:K2888">
    <cfRule type="expression" dxfId="3" priority="3338">
      <formula>('C:\Users\wurui\Documents\计提\2023.4计提\[2023年4月IDC费用支付明细表-华北WM.xlsx]4月带宽'!#REF!&lt;&gt;"")*('C:\Users\wurui\Documents\计提\2023.4计提\[2023年4月IDC费用支付明细表-华北WM.xlsx]4月带宽'!#REF!&lt;&gt;"")</formula>
    </cfRule>
  </conditionalFormatting>
  <conditionalFormatting sqref="K2906:K2907">
    <cfRule type="expression" dxfId="3" priority="3716">
      <formula>('C:\Users\wurui\Documents\计提\2023.4计提\[2023年4月IDC费用支付明细表-华北WM.xlsx]4月带宽'!#REF!&lt;&gt;"")*('C:\Users\wurui\Documents\计提\2023.4计提\[2023年4月IDC费用支付明细表-华北WM.xlsx]4月带宽'!#REF!&lt;&gt;"")</formula>
    </cfRule>
  </conditionalFormatting>
  <conditionalFormatting sqref="K2936:K2938">
    <cfRule type="expression" dxfId="3" priority="3713">
      <formula>('C:\Users\wurui\Documents\计提\2023.4计提\[2023年4月IDC费用支付明细表-华北WM.xlsx]4月带宽'!#REF!&lt;&gt;"")*('C:\Users\wurui\Documents\计提\2023.4计提\[2023年4月IDC费用支付明细表-华北WM.xlsx]4月带宽'!#REF!&lt;&gt;"")</formula>
    </cfRule>
  </conditionalFormatting>
  <conditionalFormatting sqref="K3208:K3209">
    <cfRule type="expression" dxfId="0" priority="2770">
      <formula>(#REF!&lt;&gt;"")*(#REF!&lt;&gt;"")</formula>
    </cfRule>
  </conditionalFormatting>
  <conditionalFormatting sqref="K3450:K3451">
    <cfRule type="expression" dxfId="0" priority="2873">
      <formula>(#REF!&lt;&gt;"")*(#REF!&lt;&gt;"")</formula>
    </cfRule>
  </conditionalFormatting>
  <conditionalFormatting sqref="K3470:K3478">
    <cfRule type="expression" dxfId="0" priority="2481">
      <formula>(#REF!&lt;&gt;"")*(#REF!&lt;&gt;"")</formula>
    </cfRule>
  </conditionalFormatting>
  <conditionalFormatting sqref="K3479:K3485">
    <cfRule type="expression" dxfId="0" priority="2295">
      <formula>(#REF!&lt;&gt;"")*(#REF!&lt;&gt;"")</formula>
    </cfRule>
  </conditionalFormatting>
  <conditionalFormatting sqref="K3486:K3487">
    <cfRule type="expression" dxfId="0" priority="2081">
      <formula>(#REF!&lt;&gt;"")*(#REF!&lt;&gt;"")</formula>
    </cfRule>
  </conditionalFormatting>
  <conditionalFormatting sqref="K3488:K3489">
    <cfRule type="expression" dxfId="0" priority="1551">
      <formula>(#REF!&lt;&gt;"")*(#REF!&lt;&gt;"")</formula>
    </cfRule>
  </conditionalFormatting>
  <conditionalFormatting sqref="K3490:K3492">
    <cfRule type="expression" dxfId="0" priority="2286">
      <formula>(#REF!&lt;&gt;"")*(#REF!&lt;&gt;"")</formula>
    </cfRule>
  </conditionalFormatting>
  <conditionalFormatting sqref="K3493:K3501">
    <cfRule type="expression" dxfId="0" priority="2230">
      <formula>(#REF!&lt;&gt;"")*(#REF!&lt;&gt;"")</formula>
    </cfRule>
  </conditionalFormatting>
  <conditionalFormatting sqref="K3514:K3515">
    <cfRule type="expression" dxfId="0" priority="870">
      <formula>(#REF!&lt;&gt;"")*(#REF!&lt;&gt;"")</formula>
    </cfRule>
  </conditionalFormatting>
  <conditionalFormatting sqref="K3529:K3530">
    <cfRule type="expression" dxfId="0" priority="1732">
      <formula>(#REF!&lt;&gt;"")*(#REF!&lt;&gt;"")</formula>
    </cfRule>
  </conditionalFormatting>
  <conditionalFormatting sqref="K4446:K4448">
    <cfRule type="expression" dxfId="0" priority="1263">
      <formula>(#REF!&lt;&gt;"")*(#REF!&lt;&gt;"")</formula>
    </cfRule>
  </conditionalFormatting>
  <conditionalFormatting sqref="K5703:K5708">
    <cfRule type="expression" dxfId="4" priority="344">
      <formula>(#REF!&lt;&gt;"")*(#REF!&lt;&gt;"")</formula>
    </cfRule>
    <cfRule type="expression" dxfId="4" priority="345">
      <formula>(#REF!&lt;&gt;"")*(#REF!&lt;&gt;"")</formula>
    </cfRule>
    <cfRule type="expression" dxfId="4" priority="346">
      <formula>(#REF!&lt;&gt;"")*(#REF!&lt;&gt;"")</formula>
    </cfRule>
  </conditionalFormatting>
  <conditionalFormatting sqref="K5794:K5795">
    <cfRule type="expression" dxfId="4" priority="290">
      <formula>(#REF!&lt;&gt;"")*(#REF!&lt;&gt;"")</formula>
    </cfRule>
    <cfRule type="expression" dxfId="4" priority="291">
      <formula>(#REF!&lt;&gt;"")*(#REF!&lt;&gt;"")</formula>
    </cfRule>
  </conditionalFormatting>
  <conditionalFormatting sqref="L3404:L3405">
    <cfRule type="expression" dxfId="0" priority="1564">
      <formula>(#REF!&lt;&gt;"")*(#REF!&lt;&gt;"")</formula>
    </cfRule>
  </conditionalFormatting>
  <conditionalFormatting sqref="L3446:L3447">
    <cfRule type="expression" dxfId="0" priority="2921">
      <formula>(#REF!&lt;&gt;"")*(#REF!&lt;&gt;"")</formula>
    </cfRule>
  </conditionalFormatting>
  <conditionalFormatting sqref="L3491:L3492">
    <cfRule type="expression" dxfId="0" priority="2277">
      <formula>(#REF!&lt;&gt;"")*(#REF!&lt;&gt;"")</formula>
    </cfRule>
  </conditionalFormatting>
  <conditionalFormatting sqref="L3886:L3888">
    <cfRule type="expression" dxfId="0" priority="2130">
      <formula>(#REF!&lt;&gt;"")*(#REF!&lt;&gt;"")</formula>
    </cfRule>
  </conditionalFormatting>
  <conditionalFormatting sqref="L5703:L5708">
    <cfRule type="expression" dxfId="4" priority="381">
      <formula>(#REF!&lt;&gt;"")*(#REF!&lt;&gt;"")</formula>
    </cfRule>
  </conditionalFormatting>
  <conditionalFormatting sqref="L5786:L5787">
    <cfRule type="expression" dxfId="4" priority="306">
      <formula>(#REF!&lt;&gt;"")*(#REF!&lt;&gt;"")</formula>
    </cfRule>
  </conditionalFormatting>
  <conditionalFormatting sqref="M14:M24">
    <cfRule type="expression" dxfId="0" priority="4206">
      <formula>(#REF!&lt;&gt;"")*(#REF!&lt;&gt;"")</formula>
    </cfRule>
  </conditionalFormatting>
  <conditionalFormatting sqref="M725:M726">
    <cfRule type="expression" dxfId="0" priority="5018">
      <formula>(#REF!&lt;&gt;"")*(#REF!&lt;&gt;"")</formula>
    </cfRule>
  </conditionalFormatting>
  <conditionalFormatting sqref="M799:M800">
    <cfRule type="expression" dxfId="0" priority="5004">
      <formula>(#REF!&lt;&gt;"")*(#REF!&lt;&gt;"")</formula>
    </cfRule>
  </conditionalFormatting>
  <conditionalFormatting sqref="M890:M891">
    <cfRule type="expression" dxfId="0" priority="4951">
      <formula>(#REF!&lt;&gt;"")*(#REF!&lt;&gt;"")</formula>
    </cfRule>
  </conditionalFormatting>
  <conditionalFormatting sqref="M947:M948">
    <cfRule type="expression" dxfId="0" priority="4658">
      <formula>(#REF!&lt;&gt;"")*(#REF!&lt;&gt;"")</formula>
    </cfRule>
  </conditionalFormatting>
  <conditionalFormatting sqref="M968:M969">
    <cfRule type="expression" dxfId="0" priority="4952">
      <formula>(#REF!&lt;&gt;"")*(#REF!&lt;&gt;"")</formula>
    </cfRule>
  </conditionalFormatting>
  <conditionalFormatting sqref="M1156:M1158">
    <cfRule type="expression" dxfId="0" priority="4827">
      <formula>(#REF!&lt;&gt;"")*(#REF!&lt;&gt;"")</formula>
    </cfRule>
  </conditionalFormatting>
  <conditionalFormatting sqref="M1167:M1169">
    <cfRule type="expression" dxfId="0" priority="4825">
      <formula>(#REF!&lt;&gt;"")*(#REF!&lt;&gt;"")</formula>
    </cfRule>
  </conditionalFormatting>
  <conditionalFormatting sqref="M1205:M1206">
    <cfRule type="expression" dxfId="0" priority="4762">
      <formula>(#REF!&lt;&gt;"")*(#REF!&lt;&gt;"")</formula>
    </cfRule>
  </conditionalFormatting>
  <conditionalFormatting sqref="M1338:M1339">
    <cfRule type="expression" dxfId="0" priority="4654">
      <formula>(#REF!&lt;&gt;"")*(#REF!&lt;&gt;"")</formula>
    </cfRule>
  </conditionalFormatting>
  <conditionalFormatting sqref="M1440:M1441">
    <cfRule type="expression" dxfId="0" priority="4201">
      <formula>(#REF!&lt;&gt;"")*(#REF!&lt;&gt;"")</formula>
    </cfRule>
  </conditionalFormatting>
  <conditionalFormatting sqref="M1448:M1449">
    <cfRule type="expression" dxfId="0" priority="4595">
      <formula>($A1448&lt;&gt;"")*(#REF!&lt;&gt;"")</formula>
    </cfRule>
  </conditionalFormatting>
  <conditionalFormatting sqref="M1597:M1598">
    <cfRule type="expression" dxfId="0" priority="4453">
      <formula>(#REF!&lt;&gt;"")*(#REF!&lt;&gt;"")</formula>
    </cfRule>
  </conditionalFormatting>
  <conditionalFormatting sqref="M1934:M1936">
    <cfRule type="expression" dxfId="0" priority="4318">
      <formula>(#REF!&lt;&gt;"")*(#REF!&lt;&gt;"")</formula>
    </cfRule>
  </conditionalFormatting>
  <conditionalFormatting sqref="M2040:M2042">
    <cfRule type="expression" dxfId="0" priority="4239">
      <formula>(#REF!&lt;&gt;"")*(#REF!&lt;&gt;"")</formula>
    </cfRule>
  </conditionalFormatting>
  <conditionalFormatting sqref="M2154:M2155">
    <cfRule type="expression" dxfId="0" priority="4083">
      <formula>(#REF!&lt;&gt;"")*(#REF!&lt;&gt;"")</formula>
    </cfRule>
  </conditionalFormatting>
  <conditionalFormatting sqref="M2210:M2217">
    <cfRule type="expression" dxfId="0" priority="3993">
      <formula>(#REF!&lt;&gt;"")*(#REF!&lt;&gt;"")</formula>
    </cfRule>
  </conditionalFormatting>
  <conditionalFormatting sqref="M2846:M2848">
    <cfRule type="expression" dxfId="0" priority="3763">
      <formula>(#REF!&lt;&gt;"")*(#REF!&lt;&gt;"")</formula>
    </cfRule>
  </conditionalFormatting>
  <conditionalFormatting sqref="M2860:M2865">
    <cfRule type="expression" dxfId="0" priority="3773">
      <formula>(#REF!&lt;&gt;"")*(#REF!&lt;&gt;"")</formula>
    </cfRule>
  </conditionalFormatting>
  <conditionalFormatting sqref="M2874:M2875">
    <cfRule type="expression" dxfId="0" priority="3650">
      <formula>(#REF!&lt;&gt;"")*(#REF!&lt;&gt;"")</formula>
    </cfRule>
  </conditionalFormatting>
  <conditionalFormatting sqref="M2881:M2882">
    <cfRule type="expression" dxfId="3" priority="3265">
      <formula>('C:\Users\wurui\Documents\计提\2023.4计提\[2023年4月IDC费用支付明细表-华北WM.xlsx]4月带宽'!#REF!&lt;&gt;"")*('C:\Users\wurui\Documents\计提\2023.4计提\[2023年4月IDC费用支付明细表-华北WM.xlsx]4月带宽'!#REF!&lt;&gt;"")</formula>
    </cfRule>
  </conditionalFormatting>
  <conditionalFormatting sqref="M2922:M2923">
    <cfRule type="expression" dxfId="0" priority="3456">
      <formula>(#REF!&lt;&gt;"")*(#REF!&lt;&gt;"")</formula>
    </cfRule>
  </conditionalFormatting>
  <conditionalFormatting sqref="M3064:M3065">
    <cfRule type="expression" dxfId="0" priority="3477">
      <formula>(#REF!&lt;&gt;"")*(#REF!&lt;&gt;"")</formula>
    </cfRule>
  </conditionalFormatting>
  <conditionalFormatting sqref="M3120:M3121">
    <cfRule type="expression" dxfId="0" priority="3622">
      <formula>(#REF!&lt;&gt;"")*(#REF!&lt;&gt;"")</formula>
    </cfRule>
  </conditionalFormatting>
  <conditionalFormatting sqref="M3169:M3170">
    <cfRule type="expression" dxfId="0" priority="3282">
      <formula>(#REF!&lt;&gt;"")*(#REF!&lt;&gt;"")</formula>
    </cfRule>
  </conditionalFormatting>
  <conditionalFormatting sqref="M3197:M3200">
    <cfRule type="expression" dxfId="0" priority="3230">
      <formula>(#REF!&lt;&gt;"")*(#REF!&lt;&gt;"")</formula>
    </cfRule>
  </conditionalFormatting>
  <conditionalFormatting sqref="M3225:M3231">
    <cfRule type="expression" dxfId="0" priority="3102">
      <formula>(#REF!&lt;&gt;"")*(#REF!&lt;&gt;"")</formula>
    </cfRule>
  </conditionalFormatting>
  <conditionalFormatting sqref="M3278:M3299">
    <cfRule type="expression" dxfId="0" priority="3172">
      <formula>(#REF!&lt;&gt;"")*(#REF!&lt;&gt;"")</formula>
    </cfRule>
  </conditionalFormatting>
  <conditionalFormatting sqref="M3340:M3357">
    <cfRule type="expression" dxfId="0" priority="3194">
      <formula>(#REF!&lt;&gt;"")*(#REF!&lt;&gt;"")</formula>
    </cfRule>
  </conditionalFormatting>
  <conditionalFormatting sqref="M3360:M3362">
    <cfRule type="expression" dxfId="0" priority="3097">
      <formula>(#REF!&lt;&gt;"")*(#REF!&lt;&gt;"")</formula>
    </cfRule>
  </conditionalFormatting>
  <conditionalFormatting sqref="M3363:M3367">
    <cfRule type="expression" dxfId="0" priority="3050">
      <formula>(#REF!&lt;&gt;"")*(#REF!&lt;&gt;"")</formula>
    </cfRule>
  </conditionalFormatting>
  <conditionalFormatting sqref="M3373:M3374">
    <cfRule type="expression" dxfId="0" priority="2861">
      <formula>(#REF!&lt;&gt;"")*(#REF!&lt;&gt;"")</formula>
    </cfRule>
  </conditionalFormatting>
  <conditionalFormatting sqref="M3404:M3405">
    <cfRule type="expression" dxfId="0" priority="1562">
      <formula>(#REF!&lt;&gt;"")*(#REF!&lt;&gt;"")</formula>
    </cfRule>
  </conditionalFormatting>
  <conditionalFormatting sqref="M3488:M3489">
    <cfRule type="expression" dxfId="0" priority="1548">
      <formula>(#REF!&lt;&gt;"")*(#REF!&lt;&gt;"")</formula>
    </cfRule>
  </conditionalFormatting>
  <conditionalFormatting sqref="M3491:M3492">
    <cfRule type="expression" dxfId="0" priority="2274">
      <formula>(#REF!&lt;&gt;"")*(#REF!&lt;&gt;"")</formula>
    </cfRule>
  </conditionalFormatting>
  <conditionalFormatting sqref="M3645:M3646">
    <cfRule type="expression" dxfId="0" priority="2855">
      <formula>(#REF!&lt;&gt;"")*(#REF!&lt;&gt;"")</formula>
    </cfRule>
  </conditionalFormatting>
  <conditionalFormatting sqref="M3723:M3724">
    <cfRule type="expression" dxfId="0" priority="3226">
      <formula>(#REF!&lt;&gt;"")*(#REF!&lt;&gt;"")</formula>
    </cfRule>
  </conditionalFormatting>
  <conditionalFormatting sqref="M3732:M3735">
    <cfRule type="expression" dxfId="0" priority="2677">
      <formula>(#REF!&lt;&gt;"")*(#REF!&lt;&gt;"")</formula>
    </cfRule>
  </conditionalFormatting>
  <conditionalFormatting sqref="M3741:M3742">
    <cfRule type="expression" dxfId="0" priority="1695">
      <formula>(#REF!&lt;&gt;"")*(#REF!&lt;&gt;"")</formula>
    </cfRule>
  </conditionalFormatting>
  <conditionalFormatting sqref="M3860:M3861">
    <cfRule type="expression" dxfId="0" priority="3247">
      <formula>(#REF!&lt;&gt;"")*(#REF!&lt;&gt;"")</formula>
    </cfRule>
  </conditionalFormatting>
  <conditionalFormatting sqref="M3893:M3894">
    <cfRule type="expression" dxfId="0" priority="2629">
      <formula>(#REF!&lt;&gt;"")*(#REF!&lt;&gt;"")</formula>
    </cfRule>
  </conditionalFormatting>
  <conditionalFormatting sqref="M4021:M4024">
    <cfRule type="expression" dxfId="0" priority="2016">
      <formula>(#REF!&lt;&gt;"")*(#REF!&lt;&gt;"")</formula>
    </cfRule>
  </conditionalFormatting>
  <conditionalFormatting sqref="M4153:M4156">
    <cfRule type="expression" dxfId="0" priority="1909">
      <formula>(#REF!&lt;&gt;"")*(#REF!&lt;&gt;"")</formula>
    </cfRule>
  </conditionalFormatting>
  <conditionalFormatting sqref="M4174:M4175">
    <cfRule type="expression" dxfId="0" priority="1236">
      <formula>(#REF!&lt;&gt;"")*(#REF!&lt;&gt;"")</formula>
    </cfRule>
  </conditionalFormatting>
  <conditionalFormatting sqref="M4181:M4184">
    <cfRule type="expression" dxfId="0" priority="1826">
      <formula>(#REF!&lt;&gt;"")*(#REF!&lt;&gt;"")</formula>
    </cfRule>
  </conditionalFormatting>
  <conditionalFormatting sqref="M4617:M4618">
    <cfRule type="expression" dxfId="0" priority="1791">
      <formula>(#REF!&lt;&gt;"")*(#REF!&lt;&gt;"")</formula>
    </cfRule>
  </conditionalFormatting>
  <conditionalFormatting sqref="M5663:M5664">
    <cfRule type="expression" dxfId="4" priority="486">
      <formula>(#REF!&lt;&gt;"")*(#REF!&lt;&gt;"")</formula>
    </cfRule>
  </conditionalFormatting>
  <conditionalFormatting sqref="M5668:M5669">
    <cfRule type="expression" dxfId="4" priority="420">
      <formula>(#REF!&lt;&gt;"")*(#REF!&lt;&gt;"")</formula>
    </cfRule>
  </conditionalFormatting>
  <conditionalFormatting sqref="M5671:M5672">
    <cfRule type="expression" dxfId="4" priority="412">
      <formula>(#REF!&lt;&gt;"")*(#REF!&lt;&gt;"")</formula>
    </cfRule>
  </conditionalFormatting>
  <conditionalFormatting sqref="M5675:M5680">
    <cfRule type="expression" dxfId="4" priority="450">
      <formula>(#REF!&lt;&gt;"")*(#REF!&lt;&gt;"")</formula>
    </cfRule>
  </conditionalFormatting>
  <conditionalFormatting sqref="M5691:M5692">
    <cfRule type="expression" dxfId="4" priority="468">
      <formula>(#REF!&lt;&gt;"")*(#REF!&lt;&gt;"")</formula>
    </cfRule>
  </conditionalFormatting>
  <conditionalFormatting sqref="M5715:M5716">
    <cfRule type="expression" dxfId="4" priority="350">
      <formula>(#REF!&lt;&gt;"")*(#REF!&lt;&gt;"")</formula>
    </cfRule>
  </conditionalFormatting>
  <conditionalFormatting sqref="M7195:M7196">
    <cfRule type="expression" dxfId="4" priority="284">
      <formula>(#REF!&lt;&gt;"")*(#REF!&lt;&gt;"")</formula>
    </cfRule>
  </conditionalFormatting>
  <conditionalFormatting sqref="M7246:M7247">
    <cfRule type="expression" dxfId="4" priority="200">
      <formula>(#REF!&lt;&gt;"")*(#REF!&lt;&gt;"")</formula>
    </cfRule>
  </conditionalFormatting>
  <conditionalFormatting sqref="M7248:M7249">
    <cfRule type="expression" dxfId="4" priority="201">
      <formula>(#REF!&lt;&gt;"")*(#REF!&lt;&gt;"")</formula>
    </cfRule>
  </conditionalFormatting>
  <conditionalFormatting sqref="M7250:M7253">
    <cfRule type="expression" dxfId="4" priority="265">
      <formula>(#REF!&lt;&gt;"")*(#REF!&lt;&gt;"")</formula>
    </cfRule>
  </conditionalFormatting>
  <conditionalFormatting sqref="M7268:M7272">
    <cfRule type="expression" dxfId="4" priority="206">
      <formula>(#REF!&lt;&gt;"")*(#REF!&lt;&gt;"")</formula>
    </cfRule>
  </conditionalFormatting>
  <conditionalFormatting sqref="M7273:M7275">
    <cfRule type="expression" dxfId="4" priority="254">
      <formula>(#REF!&lt;&gt;"")*(#REF!&lt;&gt;"")</formula>
    </cfRule>
  </conditionalFormatting>
  <conditionalFormatting sqref="M7277:M7279">
    <cfRule type="expression" dxfId="4" priority="204">
      <formula>(#REF!&lt;&gt;"")*(#REF!&lt;&gt;"")</formula>
    </cfRule>
  </conditionalFormatting>
  <conditionalFormatting sqref="N1597:N1598">
    <cfRule type="expression" dxfId="0" priority="4448">
      <formula>(#REF!&lt;&gt;"")*(#REF!&lt;&gt;"")</formula>
    </cfRule>
    <cfRule type="expression" dxfId="0" priority="4447">
      <formula>(#REF!&lt;&gt;"")*(#REF!&lt;&gt;"")</formula>
    </cfRule>
  </conditionalFormatting>
  <conditionalFormatting sqref="N2911:N2912">
    <cfRule type="expression" dxfId="0" priority="3446">
      <formula>(#REF!&lt;&gt;"")*(N$1&lt;&gt;"")</formula>
    </cfRule>
  </conditionalFormatting>
  <conditionalFormatting sqref="N3194:N3196">
    <cfRule type="expression" dxfId="0" priority="2747">
      <formula>(#REF!&lt;&gt;"")*(#REF!&lt;&gt;"")</formula>
    </cfRule>
  </conditionalFormatting>
  <conditionalFormatting sqref="N3373:N3374">
    <cfRule type="expression" dxfId="0" priority="2862">
      <formula>(#REF!&lt;&gt;"")*(#REF!&lt;&gt;"")</formula>
    </cfRule>
  </conditionalFormatting>
  <conditionalFormatting sqref="N3384:N3391">
    <cfRule type="expression" dxfId="0" priority="3082">
      <formula>(#REF!&lt;&gt;"")*(#REF!&lt;&gt;"")</formula>
    </cfRule>
  </conditionalFormatting>
  <conditionalFormatting sqref="N3393:N3394">
    <cfRule type="expression" dxfId="0" priority="3063">
      <formula>(#REF!&lt;&gt;"")*(#REF!&lt;&gt;"")</formula>
    </cfRule>
  </conditionalFormatting>
  <conditionalFormatting sqref="N3402:N3405">
    <cfRule type="expression" dxfId="0" priority="1626">
      <formula>(#REF!&lt;&gt;"")*(#REF!&lt;&gt;"")</formula>
    </cfRule>
  </conditionalFormatting>
  <conditionalFormatting sqref="N3441:N3443">
    <cfRule type="expression" dxfId="0" priority="2945">
      <formula>(#REF!&lt;&gt;"")*(#REF!&lt;&gt;"")</formula>
    </cfRule>
  </conditionalFormatting>
  <conditionalFormatting sqref="N3454:N3455">
    <cfRule type="expression" dxfId="0" priority="650">
      <formula>(#REF!&lt;&gt;"")*(#REF!&lt;&gt;"")</formula>
    </cfRule>
  </conditionalFormatting>
  <conditionalFormatting sqref="N3479:N3480">
    <cfRule type="expression" dxfId="0" priority="2346">
      <formula>(#REF!&lt;&gt;"")*(#REF!&lt;&gt;"")</formula>
    </cfRule>
  </conditionalFormatting>
  <conditionalFormatting sqref="N3491:N3492">
    <cfRule type="expression" dxfId="0" priority="2270">
      <formula>(#REF!&lt;&gt;"")*(#REF!&lt;&gt;"")</formula>
    </cfRule>
  </conditionalFormatting>
  <conditionalFormatting sqref="N3513:N3514">
    <cfRule type="expression" dxfId="0" priority="1048">
      <formula>(#REF!&lt;&gt;"")*(#REF!&lt;&gt;"")</formula>
    </cfRule>
  </conditionalFormatting>
  <conditionalFormatting sqref="N3524:N3526">
    <cfRule type="expression" dxfId="0" priority="2111">
      <formula>(#REF!&lt;&gt;"")*(#REF!&lt;&gt;"")</formula>
    </cfRule>
  </conditionalFormatting>
  <conditionalFormatting sqref="N3529:N3530">
    <cfRule type="expression" dxfId="0" priority="1735">
      <formula>(#REF!&lt;&gt;"")*(#REF!&lt;&gt;"")</formula>
    </cfRule>
  </conditionalFormatting>
  <conditionalFormatting sqref="N3535:N3537">
    <cfRule type="expression" dxfId="0" priority="1597">
      <formula>(#REF!&lt;&gt;"")*(#REF!&lt;&gt;"")</formula>
    </cfRule>
  </conditionalFormatting>
  <conditionalFormatting sqref="N3552:N3554">
    <cfRule type="expression" dxfId="0" priority="1299">
      <formula>(#REF!&lt;&gt;"")*(#REF!&lt;&gt;"")</formula>
    </cfRule>
  </conditionalFormatting>
  <conditionalFormatting sqref="N3576:N3577">
    <cfRule type="expression" dxfId="0" priority="782">
      <formula>(#REF!&lt;&gt;"")*(#REF!&lt;&gt;"")</formula>
    </cfRule>
  </conditionalFormatting>
  <conditionalFormatting sqref="N3732:N3735">
    <cfRule type="expression" dxfId="0" priority="2676">
      <formula>(#REF!&lt;&gt;"")*(#REF!&lt;&gt;"")</formula>
    </cfRule>
  </conditionalFormatting>
  <conditionalFormatting sqref="N3736:N3737">
    <cfRule type="expression" dxfId="0" priority="2662">
      <formula>(#REF!&lt;&gt;"")*(#REF!&lt;&gt;"")</formula>
    </cfRule>
  </conditionalFormatting>
  <conditionalFormatting sqref="N3741:N3742">
    <cfRule type="expression" dxfId="0" priority="1700">
      <formula>(#REF!&lt;&gt;"")*(#REF!&lt;&gt;"")</formula>
    </cfRule>
  </conditionalFormatting>
  <conditionalFormatting sqref="N3886:N3888">
    <cfRule type="expression" dxfId="0" priority="2132">
      <formula>(#REF!&lt;&gt;"")*(#REF!&lt;&gt;"")</formula>
    </cfRule>
    <cfRule type="expression" dxfId="0" priority="2133">
      <formula>(#REF!&lt;&gt;"")*(N$1&lt;&gt;"")</formula>
    </cfRule>
  </conditionalFormatting>
  <conditionalFormatting sqref="N4174:N4175">
    <cfRule type="expression" dxfId="0" priority="1234">
      <formula>(#REF!&lt;&gt;"")*(#REF!&lt;&gt;"")</formula>
    </cfRule>
    <cfRule type="expression" dxfId="0" priority="1235">
      <formula>(#REF!&lt;&gt;"")*(#REF!&lt;&gt;"")</formula>
    </cfRule>
  </conditionalFormatting>
  <conditionalFormatting sqref="N4589:N4591">
    <cfRule type="expression" dxfId="0" priority="763">
      <formula>(#REF!&lt;&gt;"")*(#REF!&lt;&gt;"")</formula>
    </cfRule>
  </conditionalFormatting>
  <conditionalFormatting sqref="N4604:N4605">
    <cfRule type="expression" dxfId="0" priority="676">
      <formula>(#REF!&lt;&gt;"")*(#REF!&lt;&gt;"")</formula>
    </cfRule>
  </conditionalFormatting>
  <conditionalFormatting sqref="N4617:N4618">
    <cfRule type="expression" dxfId="0" priority="1414">
      <formula>(#REF!&lt;&gt;"")*(N$1&lt;&gt;"")</formula>
    </cfRule>
  </conditionalFormatting>
  <conditionalFormatting sqref="N7289:N7290">
    <cfRule type="expression" dxfId="0" priority="76">
      <formula>(#REF!&lt;&gt;"")*(#REF!&lt;&gt;"")</formula>
    </cfRule>
    <cfRule type="expression" dxfId="0" priority="75">
      <formula>(#REF!&lt;&gt;"")*(#REF!&lt;&gt;"")</formula>
    </cfRule>
  </conditionalFormatting>
  <conditionalFormatting sqref="N7292:N7295">
    <cfRule type="expression" dxfId="0" priority="68">
      <formula>(#REF!&lt;&gt;"")*(#REF!&lt;&gt;"")</formula>
    </cfRule>
    <cfRule type="expression" dxfId="0" priority="67">
      <formula>(#REF!&lt;&gt;"")*(#REF!&lt;&gt;"")</formula>
    </cfRule>
  </conditionalFormatting>
  <conditionalFormatting sqref="O411:O412">
    <cfRule type="expression" dxfId="1" priority="4519">
      <formula>(#REF!&lt;&gt;"")*(O$1&lt;&gt;"")</formula>
    </cfRule>
  </conditionalFormatting>
  <conditionalFormatting sqref="O723:O724">
    <cfRule type="expression" dxfId="0" priority="5013">
      <formula>(#REF!&lt;&gt;"")*(#REF!&lt;&gt;"")</formula>
    </cfRule>
  </conditionalFormatting>
  <conditionalFormatting sqref="O1597:O1598">
    <cfRule type="expression" dxfId="0" priority="4451">
      <formula>(#REF!&lt;&gt;"")*(#REF!&lt;&gt;"")</formula>
    </cfRule>
    <cfRule type="expression" dxfId="0" priority="4450">
      <formula>(#REF!&lt;&gt;"")*(#REF!&lt;&gt;"")</formula>
    </cfRule>
  </conditionalFormatting>
  <conditionalFormatting sqref="O2695:O2701">
    <cfRule type="expression" dxfId="0" priority="3556">
      <formula>(#REF!&lt;&gt;"")*(O$1&lt;&gt;"")</formula>
    </cfRule>
  </conditionalFormatting>
  <conditionalFormatting sqref="O3373:O3374">
    <cfRule type="expression" dxfId="0" priority="2864">
      <formula>(#REF!&lt;&gt;"")*(#REF!&lt;&gt;"")</formula>
    </cfRule>
  </conditionalFormatting>
  <conditionalFormatting sqref="O3404:O3405">
    <cfRule type="expression" dxfId="0" priority="1557">
      <formula>(#REF!&lt;&gt;"")*(#REF!&lt;&gt;"")</formula>
    </cfRule>
  </conditionalFormatting>
  <conditionalFormatting sqref="O3441:O3442">
    <cfRule type="expression" dxfId="0" priority="2943">
      <formula>(#REF!&lt;&gt;"")*(#REF!&lt;&gt;"")</formula>
    </cfRule>
  </conditionalFormatting>
  <conditionalFormatting sqref="O3479:O3480">
    <cfRule type="expression" dxfId="0" priority="2349">
      <formula>(#REF!&lt;&gt;"")*(#REF!&lt;&gt;"")</formula>
    </cfRule>
  </conditionalFormatting>
  <conditionalFormatting sqref="O3490:O3492">
    <cfRule type="expression" dxfId="0" priority="2284">
      <formula>(#REF!&lt;&gt;"")*(#REF!&lt;&gt;"")</formula>
    </cfRule>
  </conditionalFormatting>
  <conditionalFormatting sqref="O3505:O3506">
    <cfRule type="expression" dxfId="0" priority="2181">
      <formula>(#REF!&lt;&gt;"")*(#REF!&lt;&gt;"")</formula>
    </cfRule>
  </conditionalFormatting>
  <conditionalFormatting sqref="O3529:O3530">
    <cfRule type="expression" dxfId="0" priority="1729">
      <formula>(#REF!&lt;&gt;"")*(#REF!&lt;&gt;"")</formula>
    </cfRule>
  </conditionalFormatting>
  <conditionalFormatting sqref="O3539:O3540">
    <cfRule type="expression" dxfId="0" priority="1507">
      <formula>(#REF!&lt;&gt;"")*(#REF!&lt;&gt;"")</formula>
    </cfRule>
  </conditionalFormatting>
  <conditionalFormatting sqref="O3552:O3554">
    <cfRule type="expression" dxfId="0" priority="1296">
      <formula>(#REF!&lt;&gt;"")*(#REF!&lt;&gt;"")</formula>
    </cfRule>
  </conditionalFormatting>
  <conditionalFormatting sqref="O3576:O3578">
    <cfRule type="expression" dxfId="0" priority="779">
      <formula>(#REF!&lt;&gt;"")*(#REF!&lt;&gt;"")</formula>
    </cfRule>
  </conditionalFormatting>
  <conditionalFormatting sqref="O3586:O3587">
    <cfRule type="expression" dxfId="0" priority="530">
      <formula>(#REF!&lt;&gt;"")*(#REF!&lt;&gt;"")</formula>
    </cfRule>
  </conditionalFormatting>
  <conditionalFormatting sqref="O3741:O3742">
    <cfRule type="expression" dxfId="0" priority="1701">
      <formula>(#REF!&lt;&gt;"")*(#REF!&lt;&gt;"")</formula>
    </cfRule>
  </conditionalFormatting>
  <conditionalFormatting sqref="O3984:O3985">
    <cfRule type="expression" dxfId="1" priority="2025">
      <formula>(#REF!&lt;&gt;"")*(O$1&lt;&gt;"")</formula>
    </cfRule>
  </conditionalFormatting>
  <conditionalFormatting sqref="O4162:O4163">
    <cfRule type="expression" dxfId="0" priority="1856">
      <formula>(#REF!&lt;&gt;"")*(#REF!&lt;&gt;"")</formula>
    </cfRule>
    <cfRule type="expression" dxfId="0" priority="1855">
      <formula>(#REF!&lt;&gt;"")*(#REF!&lt;&gt;"")</formula>
    </cfRule>
  </conditionalFormatting>
  <conditionalFormatting sqref="O4448:O4449">
    <cfRule type="expression" dxfId="0" priority="858">
      <formula>(#REF!&lt;&gt;"")*(#REF!&lt;&gt;"")</formula>
    </cfRule>
  </conditionalFormatting>
  <conditionalFormatting sqref="O4590:O4591">
    <cfRule type="expression" dxfId="0" priority="661">
      <formula>(#REF!&lt;&gt;"")*(#REF!&lt;&gt;"")</formula>
    </cfRule>
  </conditionalFormatting>
  <conditionalFormatting sqref="O4604:O4605">
    <cfRule type="expression" dxfId="0" priority="672">
      <formula>(#REF!&lt;&gt;"")*(#REF!&lt;&gt;"")</formula>
    </cfRule>
  </conditionalFormatting>
  <conditionalFormatting sqref="P1720:P1723">
    <cfRule type="expression" dxfId="1" priority="4382">
      <formula>(#REF!&lt;&gt;"")*(#REF!&lt;&gt;"")</formula>
    </cfRule>
  </conditionalFormatting>
  <conditionalFormatting sqref="P1727:P1728">
    <cfRule type="expression" dxfId="1" priority="4379">
      <formula>(#REF!&lt;&gt;"")*(#REF!&lt;&gt;"")</formula>
    </cfRule>
  </conditionalFormatting>
  <conditionalFormatting sqref="P1751:P1752">
    <cfRule type="expression" dxfId="1" priority="4375">
      <formula>(#REF!&lt;&gt;"")*(#REF!&lt;&gt;"")</formula>
    </cfRule>
  </conditionalFormatting>
  <conditionalFormatting sqref="P2138:P2139">
    <cfRule type="expression" dxfId="1" priority="4113">
      <formula>(#REF!&lt;&gt;"")*(#REF!&lt;&gt;"")</formula>
    </cfRule>
  </conditionalFormatting>
  <conditionalFormatting sqref="P3363:P3367">
    <cfRule type="expression" dxfId="1" priority="3053">
      <formula>(#REF!&lt;&gt;"")*(#REF!&lt;&gt;"")</formula>
    </cfRule>
  </conditionalFormatting>
  <conditionalFormatting sqref="P3373:P3374">
    <cfRule type="expression" dxfId="1" priority="2865">
      <formula>(#REF!&lt;&gt;"")*(#REF!&lt;&gt;"")</formula>
    </cfRule>
  </conditionalFormatting>
  <conditionalFormatting sqref="P3376:P3383">
    <cfRule type="expression" dxfId="1" priority="3094">
      <formula>(#REF!&lt;&gt;"")*(#REF!&lt;&gt;"")</formula>
    </cfRule>
  </conditionalFormatting>
  <conditionalFormatting sqref="P3384:P3391">
    <cfRule type="expression" dxfId="1" priority="3081">
      <formula>(#REF!&lt;&gt;"")*(#REF!&lt;&gt;"")</formula>
    </cfRule>
  </conditionalFormatting>
  <conditionalFormatting sqref="P3393:P3394">
    <cfRule type="expression" dxfId="1" priority="3062">
      <formula>(#REF!&lt;&gt;"")*(#REF!&lt;&gt;"")</formula>
    </cfRule>
  </conditionalFormatting>
  <conditionalFormatting sqref="P3404:P3405">
    <cfRule type="expression" dxfId="1" priority="1556">
      <formula>(#REF!&lt;&gt;"")*(#REF!&lt;&gt;"")</formula>
    </cfRule>
  </conditionalFormatting>
  <conditionalFormatting sqref="P3441:P3442">
    <cfRule type="expression" dxfId="1" priority="2944">
      <formula>(#REF!&lt;&gt;"")*(#REF!&lt;&gt;"")</formula>
    </cfRule>
  </conditionalFormatting>
  <conditionalFormatting sqref="P3450:P3452">
    <cfRule type="expression" dxfId="1" priority="2869">
      <formula>(#REF!&lt;&gt;"")*(#REF!&lt;&gt;"")</formula>
    </cfRule>
  </conditionalFormatting>
  <conditionalFormatting sqref="P3505:P3506">
    <cfRule type="expression" dxfId="1" priority="2180">
      <formula>(#REF!&lt;&gt;"")*(#REF!&lt;&gt;"")</formula>
    </cfRule>
  </conditionalFormatting>
  <conditionalFormatting sqref="P3529:P3530">
    <cfRule type="expression" dxfId="1" priority="1728">
      <formula>(#REF!&lt;&gt;"")*(#REF!&lt;&gt;"")</formula>
    </cfRule>
  </conditionalFormatting>
  <conditionalFormatting sqref="P3539:P3540">
    <cfRule type="expression" dxfId="1" priority="1506">
      <formula>(#REF!&lt;&gt;"")*(#REF!&lt;&gt;"")</formula>
    </cfRule>
  </conditionalFormatting>
  <conditionalFormatting sqref="P3541:P3542">
    <cfRule type="expression" dxfId="1" priority="1496">
      <formula>(#REF!&lt;&gt;"")*(#REF!&lt;&gt;"")</formula>
    </cfRule>
  </conditionalFormatting>
  <conditionalFormatting sqref="P3552:P3554">
    <cfRule type="expression" dxfId="1" priority="1295">
      <formula>(#REF!&lt;&gt;"")*(#REF!&lt;&gt;"")</formula>
    </cfRule>
  </conditionalFormatting>
  <conditionalFormatting sqref="P3576:P3578">
    <cfRule type="expression" dxfId="1" priority="778">
      <formula>(#REF!&lt;&gt;"")*(#REF!&lt;&gt;"")</formula>
    </cfRule>
  </conditionalFormatting>
  <conditionalFormatting sqref="P3586:P3587">
    <cfRule type="expression" dxfId="1" priority="527">
      <formula>(#REF!&lt;&gt;"")*(#REF!&lt;&gt;"")</formula>
    </cfRule>
  </conditionalFormatting>
  <conditionalFormatting sqref="P4174:P4175">
    <cfRule type="expression" dxfId="0" priority="1238">
      <formula>(#REF!&lt;&gt;"")*(#REF!&lt;&gt;"")</formula>
    </cfRule>
    <cfRule type="expression" dxfId="1" priority="1237">
      <formula>(#REF!&lt;&gt;"")*(#REF!&lt;&gt;"")</formula>
    </cfRule>
  </conditionalFormatting>
  <conditionalFormatting sqref="P4448:P4449">
    <cfRule type="expression" dxfId="0" priority="857">
      <formula>(#REF!&lt;&gt;"")*(#REF!&lt;&gt;"")</formula>
    </cfRule>
    <cfRule type="expression" dxfId="1" priority="859">
      <formula>(#REF!&lt;&gt;"")*(#REF!&lt;&gt;"")</formula>
    </cfRule>
  </conditionalFormatting>
  <conditionalFormatting sqref="P4590:P4591">
    <cfRule type="expression" dxfId="0" priority="659">
      <formula>(#REF!&lt;&gt;"")*(#REF!&lt;&gt;"")</formula>
    </cfRule>
    <cfRule type="expression" dxfId="1" priority="660">
      <formula>(#REF!&lt;&gt;"")*(#REF!&lt;&gt;"")</formula>
    </cfRule>
  </conditionalFormatting>
  <conditionalFormatting sqref="P4595:P4599">
    <cfRule type="expression" dxfId="0" priority="745">
      <formula>(#REF!&lt;&gt;"")*(#REF!&lt;&gt;"")</formula>
    </cfRule>
    <cfRule type="expression" dxfId="1" priority="746">
      <formula>(#REF!&lt;&gt;"")*(#REF!&lt;&gt;"")</formula>
    </cfRule>
  </conditionalFormatting>
  <conditionalFormatting sqref="P4604:P4605">
    <cfRule type="expression" dxfId="0" priority="670">
      <formula>(#REF!&lt;&gt;"")*(#REF!&lt;&gt;"")</formula>
    </cfRule>
    <cfRule type="expression" dxfId="1" priority="671">
      <formula>(#REF!&lt;&gt;"")*(#REF!&lt;&gt;"")</formula>
    </cfRule>
  </conditionalFormatting>
  <conditionalFormatting sqref="P4751:P4752">
    <cfRule type="expression" dxfId="1" priority="1787">
      <formula>(#REF!&lt;&gt;"")*(Q$1&lt;&gt;"")</formula>
    </cfRule>
  </conditionalFormatting>
  <conditionalFormatting sqref="Q1025:Q1026">
    <cfRule type="expression" dxfId="0" priority="4874">
      <formula>($A1025&lt;&gt;"")*(#REF!&lt;&gt;"")</formula>
    </cfRule>
  </conditionalFormatting>
  <conditionalFormatting sqref="Q1040:Q1041">
    <cfRule type="expression" dxfId="0" priority="4897">
      <formula>($A1040&lt;&gt;"")*(#REF!&lt;&gt;"")</formula>
    </cfRule>
  </conditionalFormatting>
  <conditionalFormatting sqref="Q1147:Q1148">
    <cfRule type="expression" dxfId="0" priority="4833">
      <formula>(#REF!&lt;&gt;"")*(#REF!&lt;&gt;"")</formula>
    </cfRule>
  </conditionalFormatting>
  <conditionalFormatting sqref="Q1597:Q1598">
    <cfRule type="expression" dxfId="0" priority="4449">
      <formula>(#REF!&lt;&gt;"")*(#REF!&lt;&gt;"")</formula>
    </cfRule>
  </conditionalFormatting>
  <conditionalFormatting sqref="Q1662:Q1663">
    <cfRule type="expression" dxfId="0" priority="4389">
      <formula>(#REF!&lt;&gt;"")*(#REF!&lt;&gt;"")</formula>
    </cfRule>
  </conditionalFormatting>
  <conditionalFormatting sqref="Q2128:Q2129">
    <cfRule type="expression" dxfId="0" priority="4125">
      <formula>(#REF!&lt;&gt;"")*(#REF!&lt;&gt;"")</formula>
    </cfRule>
  </conditionalFormatting>
  <conditionalFormatting sqref="Q2138:Q2139">
    <cfRule type="expression" dxfId="1" priority="4114">
      <formula>(#REF!&lt;&gt;"")*(#REF!&lt;&gt;"")</formula>
    </cfRule>
  </conditionalFormatting>
  <conditionalFormatting sqref="Q2150:Q2151">
    <cfRule type="expression" dxfId="0" priority="4108">
      <formula>(#REF!&lt;&gt;"")*(#REF!&lt;&gt;"")</formula>
    </cfRule>
  </conditionalFormatting>
  <conditionalFormatting sqref="Q2163:Q2164">
    <cfRule type="expression" dxfId="0" priority="4018">
      <formula>(#REF!&lt;&gt;"")*(#REF!&lt;&gt;"")</formula>
    </cfRule>
  </conditionalFormatting>
  <conditionalFormatting sqref="Q2846:Q2849">
    <cfRule type="expression" dxfId="1" priority="3766">
      <formula>(#REF!&lt;&gt;"")*(#REF!&lt;&gt;"")</formula>
    </cfRule>
    <cfRule type="expression" dxfId="0" priority="3765">
      <formula>(#REF!&lt;&gt;"")*(#REF!&lt;&gt;"")</formula>
    </cfRule>
  </conditionalFormatting>
  <conditionalFormatting sqref="Q3194:Q3195">
    <cfRule type="expression" dxfId="1" priority="2744">
      <formula>(#REF!&lt;&gt;"")*(#REF!&lt;&gt;"")</formula>
    </cfRule>
  </conditionalFormatting>
  <conditionalFormatting sqref="Q3197:Q3200">
    <cfRule type="expression" dxfId="0" priority="3195">
      <formula>(#REF!&lt;&gt;"")*(#REF!&lt;&gt;"")</formula>
    </cfRule>
  </conditionalFormatting>
  <conditionalFormatting sqref="Q3340:Q3357">
    <cfRule type="expression" dxfId="1" priority="3117">
      <formula>(#REF!&lt;&gt;"")*(#REF!&lt;&gt;"")</formula>
    </cfRule>
  </conditionalFormatting>
  <conditionalFormatting sqref="Q3360:Q3362">
    <cfRule type="expression" dxfId="0" priority="3096">
      <formula>(#REF!&lt;&gt;"")*(#REF!&lt;&gt;"")</formula>
    </cfRule>
    <cfRule type="expression" dxfId="1" priority="3095">
      <formula>(#REF!&lt;&gt;"")*(#REF!&lt;&gt;"")</formula>
    </cfRule>
  </conditionalFormatting>
  <conditionalFormatting sqref="Q3363:Q3367">
    <cfRule type="expression" dxfId="0" priority="3049">
      <formula>(#REF!&lt;&gt;"")*(#REF!&lt;&gt;"")</formula>
    </cfRule>
    <cfRule type="expression" dxfId="1" priority="3048">
      <formula>(#REF!&lt;&gt;"")*(#REF!&lt;&gt;"")</formula>
    </cfRule>
  </conditionalFormatting>
  <conditionalFormatting sqref="Q3373:Q3374">
    <cfRule type="expression" dxfId="0" priority="2867">
      <formula>(#REF!&lt;&gt;"")*(#REF!&lt;&gt;"")</formula>
    </cfRule>
    <cfRule type="expression" dxfId="1" priority="2866">
      <formula>(#REF!&lt;&gt;"")*(#REF!&lt;&gt;"")</formula>
    </cfRule>
  </conditionalFormatting>
  <conditionalFormatting sqref="Q3376:Q3383">
    <cfRule type="expression" dxfId="0" priority="3092">
      <formula>(#REF!&lt;&gt;"")*(#REF!&lt;&gt;"")</formula>
    </cfRule>
    <cfRule type="expression" dxfId="1" priority="3091">
      <formula>(#REF!&lt;&gt;"")*(#REF!&lt;&gt;"")</formula>
    </cfRule>
  </conditionalFormatting>
  <conditionalFormatting sqref="Q3384:Q3391">
    <cfRule type="expression" dxfId="0" priority="3079">
      <formula>(#REF!&lt;&gt;"")*(#REF!&lt;&gt;"")</formula>
    </cfRule>
    <cfRule type="expression" dxfId="1" priority="3078">
      <formula>(#REF!&lt;&gt;"")*(#REF!&lt;&gt;"")</formula>
    </cfRule>
  </conditionalFormatting>
  <conditionalFormatting sqref="Q3393:Q3394">
    <cfRule type="expression" dxfId="0" priority="3060">
      <formula>(#REF!&lt;&gt;"")*(#REF!&lt;&gt;"")</formula>
    </cfRule>
  </conditionalFormatting>
  <conditionalFormatting sqref="Q3396:Q3397">
    <cfRule type="expression" dxfId="1" priority="3040">
      <formula>(#REF!&lt;&gt;"")*(#REF!&lt;&gt;"")</formula>
    </cfRule>
    <cfRule type="expression" dxfId="0" priority="3038">
      <formula>(#REF!&lt;&gt;"")*(#REF!&lt;&gt;"")</formula>
    </cfRule>
  </conditionalFormatting>
  <conditionalFormatting sqref="Q3402:Q3405">
    <cfRule type="expression" dxfId="0" priority="1628">
      <formula>(#REF!&lt;&gt;"")*(#REF!&lt;&gt;"")</formula>
    </cfRule>
    <cfRule type="expression" dxfId="1" priority="1629">
      <formula>(#REF!&lt;&gt;"")*(#REF!&lt;&gt;"")</formula>
    </cfRule>
  </conditionalFormatting>
  <conditionalFormatting sqref="Q3441:Q3442">
    <cfRule type="expression" dxfId="0" priority="2946">
      <formula>(#REF!&lt;&gt;"")*(#REF!&lt;&gt;"")</formula>
    </cfRule>
    <cfRule type="expression" dxfId="1" priority="2947">
      <formula>(#REF!&lt;&gt;"")*(#REF!&lt;&gt;"")</formula>
    </cfRule>
  </conditionalFormatting>
  <conditionalFormatting sqref="Q3450:Q3452">
    <cfRule type="expression" dxfId="0" priority="2870">
      <formula>(#REF!&lt;&gt;"")*(#REF!&lt;&gt;"")</formula>
    </cfRule>
    <cfRule type="expression" dxfId="1" priority="2871">
      <formula>(#REF!&lt;&gt;"")*(#REF!&lt;&gt;"")</formula>
    </cfRule>
  </conditionalFormatting>
  <conditionalFormatting sqref="Q3454:Q3455">
    <cfRule type="expression" dxfId="0" priority="651">
      <formula>(#REF!&lt;&gt;"")*(#REF!&lt;&gt;"")</formula>
    </cfRule>
    <cfRule type="expression" dxfId="1" priority="652">
      <formula>(#REF!&lt;&gt;"")*(#REF!&lt;&gt;"")</formula>
    </cfRule>
  </conditionalFormatting>
  <conditionalFormatting sqref="Q3479:Q3480">
    <cfRule type="expression" dxfId="0" priority="2347">
      <formula>(#REF!&lt;&gt;"")*(#REF!&lt;&gt;"")</formula>
    </cfRule>
    <cfRule type="expression" dxfId="1" priority="2348">
      <formula>(#REF!&lt;&gt;"")*(#REF!&lt;&gt;"")</formula>
    </cfRule>
  </conditionalFormatting>
  <conditionalFormatting sqref="Q3491:Q3492">
    <cfRule type="expression" dxfId="0" priority="2272">
      <formula>(#REF!&lt;&gt;"")*(#REF!&lt;&gt;"")</formula>
    </cfRule>
    <cfRule type="expression" dxfId="1" priority="2273">
      <formula>(#REF!&lt;&gt;"")*(#REF!&lt;&gt;"")</formula>
    </cfRule>
  </conditionalFormatting>
  <conditionalFormatting sqref="Q3513:Q3514">
    <cfRule type="expression" dxfId="0" priority="1055">
      <formula>(#REF!&lt;&gt;"")*(#REF!&lt;&gt;"")</formula>
    </cfRule>
    <cfRule type="expression" dxfId="1" priority="1054">
      <formula>(#REF!&lt;&gt;"")*(#REF!&lt;&gt;"")</formula>
    </cfRule>
  </conditionalFormatting>
  <conditionalFormatting sqref="Q3520:Q3521">
    <cfRule type="expression" dxfId="0" priority="2171">
      <formula>(#REF!&lt;&gt;"")*(#REF!&lt;&gt;"")</formula>
    </cfRule>
    <cfRule type="expression" dxfId="1" priority="2170">
      <formula>(#REF!&lt;&gt;"")*(#REF!&lt;&gt;"")</formula>
    </cfRule>
  </conditionalFormatting>
  <conditionalFormatting sqref="Q3522:Q3526">
    <cfRule type="expression" dxfId="0" priority="2153">
      <formula>(#REF!&lt;&gt;"")*(#REF!&lt;&gt;"")</formula>
    </cfRule>
    <cfRule type="expression" dxfId="1" priority="2152">
      <formula>(#REF!&lt;&gt;"")*(#REF!&lt;&gt;"")</formula>
    </cfRule>
  </conditionalFormatting>
  <conditionalFormatting sqref="Q3529:Q3530">
    <cfRule type="expression" dxfId="0" priority="1737">
      <formula>(#REF!&lt;&gt;"")*(#REF!&lt;&gt;"")</formula>
    </cfRule>
    <cfRule type="expression" dxfId="1" priority="1736">
      <formula>(#REF!&lt;&gt;"")*(#REF!&lt;&gt;"")</formula>
    </cfRule>
  </conditionalFormatting>
  <conditionalFormatting sqref="Q3535:Q3536">
    <cfRule type="expression" dxfId="0" priority="1599">
      <formula>(#REF!&lt;&gt;"")*(#REF!&lt;&gt;"")</formula>
    </cfRule>
    <cfRule type="expression" dxfId="1" priority="1598">
      <formula>(#REF!&lt;&gt;"")*(#REF!&lt;&gt;"")</formula>
    </cfRule>
  </conditionalFormatting>
  <conditionalFormatting sqref="Q3539:Q3540">
    <cfRule type="expression" dxfId="0" priority="1509">
      <formula>(#REF!&lt;&gt;"")*(#REF!&lt;&gt;"")</formula>
    </cfRule>
    <cfRule type="expression" dxfId="1" priority="1508">
      <formula>(#REF!&lt;&gt;"")*(#REF!&lt;&gt;"")</formula>
    </cfRule>
  </conditionalFormatting>
  <conditionalFormatting sqref="Q3541:Q3542">
    <cfRule type="expression" dxfId="0" priority="1499">
      <formula>(#REF!&lt;&gt;"")*(#REF!&lt;&gt;"")</formula>
    </cfRule>
    <cfRule type="expression" dxfId="1" priority="1498">
      <formula>(#REF!&lt;&gt;"")*(#REF!&lt;&gt;"")</formula>
    </cfRule>
  </conditionalFormatting>
  <conditionalFormatting sqref="Q3552:Q3554">
    <cfRule type="expression" dxfId="0" priority="1298">
      <formula>(#REF!&lt;&gt;"")*(#REF!&lt;&gt;"")</formula>
    </cfRule>
    <cfRule type="expression" dxfId="1" priority="1297">
      <formula>(#REF!&lt;&gt;"")*(#REF!&lt;&gt;"")</formula>
    </cfRule>
  </conditionalFormatting>
  <conditionalFormatting sqref="Q3734:Q3735">
    <cfRule type="expression" dxfId="0" priority="2672">
      <formula>(#REF!&lt;&gt;"")*(#REF!&lt;&gt;"")</formula>
    </cfRule>
  </conditionalFormatting>
  <conditionalFormatting sqref="Q3736:Q3737">
    <cfRule type="expression" dxfId="0" priority="2660">
      <formula>(#REF!&lt;&gt;"")*(#REF!&lt;&gt;"")</formula>
    </cfRule>
  </conditionalFormatting>
  <conditionalFormatting sqref="Q3741:Q3742">
    <cfRule type="expression" dxfId="0" priority="1698">
      <formula>(#REF!&lt;&gt;"")*(#REF!&lt;&gt;"")</formula>
    </cfRule>
  </conditionalFormatting>
  <conditionalFormatting sqref="Q4074:Q4075">
    <cfRule type="expression" dxfId="0" priority="1945">
      <formula>(#REF!&lt;&gt;"")*(#REF!&lt;&gt;"")</formula>
    </cfRule>
  </conditionalFormatting>
  <conditionalFormatting sqref="Q4090:Q4091">
    <cfRule type="expression" dxfId="0" priority="1962">
      <formula>(#REF!&lt;&gt;"")*(#REF!&lt;&gt;"")</formula>
    </cfRule>
  </conditionalFormatting>
  <conditionalFormatting sqref="Q4142:Q4143">
    <cfRule type="expression" dxfId="0" priority="1915">
      <formula>(#REF!&lt;&gt;"")*(#REF!&lt;&gt;"")</formula>
    </cfRule>
  </conditionalFormatting>
  <conditionalFormatting sqref="Q4174:Q4175">
    <cfRule type="expression" dxfId="0" priority="1225">
      <formula>(#REF!&lt;&gt;"")*(#REF!&lt;&gt;"")</formula>
    </cfRule>
    <cfRule type="expression" dxfId="1" priority="1226">
      <formula>(#REF!&lt;&gt;"")*(#REF!&lt;&gt;"")</formula>
    </cfRule>
    <cfRule type="expression" dxfId="0" priority="1224">
      <formula>(#REF!&lt;&gt;"")*(#REF!&lt;&gt;"")</formula>
    </cfRule>
  </conditionalFormatting>
  <conditionalFormatting sqref="Q4446:Q4449">
    <cfRule type="expression" dxfId="0" priority="1266">
      <formula>(#REF!&lt;&gt;"")*(#REF!&lt;&gt;"")</formula>
    </cfRule>
    <cfRule type="expression" dxfId="0" priority="1265">
      <formula>(#REF!&lt;&gt;"")*(#REF!&lt;&gt;"")</formula>
    </cfRule>
    <cfRule type="expression" dxfId="1" priority="1267">
      <formula>(#REF!&lt;&gt;"")*(#REF!&lt;&gt;"")</formula>
    </cfRule>
  </conditionalFormatting>
  <conditionalFormatting sqref="Q4590:Q4591">
    <cfRule type="expression" dxfId="0" priority="628">
      <formula>(#REF!&lt;&gt;"")*(#REF!&lt;&gt;"")</formula>
    </cfRule>
    <cfRule type="expression" dxfId="0" priority="627">
      <formula>(#REF!&lt;&gt;"")*(#REF!&lt;&gt;"")</formula>
    </cfRule>
    <cfRule type="expression" dxfId="1" priority="629">
      <formula>(#REF!&lt;&gt;"")*(#REF!&lt;&gt;"")</formula>
    </cfRule>
  </conditionalFormatting>
  <conditionalFormatting sqref="Q4604:Q4605">
    <cfRule type="expression" dxfId="0" priority="674">
      <formula>(#REF!&lt;&gt;"")*(#REF!&lt;&gt;"")</formula>
    </cfRule>
    <cfRule type="expression" dxfId="0" priority="673">
      <formula>(#REF!&lt;&gt;"")*(#REF!&lt;&gt;"")</formula>
    </cfRule>
    <cfRule type="expression" dxfId="1" priority="675">
      <formula>(#REF!&lt;&gt;"")*(#REF!&lt;&gt;"")</formula>
    </cfRule>
  </conditionalFormatting>
  <conditionalFormatting sqref="Q4751:Q4752">
    <cfRule type="expression" dxfId="0" priority="1786">
      <formula>(#REF!&lt;&gt;"")*(R$1&lt;&gt;"")</formula>
    </cfRule>
  </conditionalFormatting>
  <conditionalFormatting sqref="Q5701:Q5702">
    <cfRule type="expression" dxfId="4" priority="397">
      <formula>(#REF!&lt;&gt;"")*(#REF!&lt;&gt;"")</formula>
    </cfRule>
  </conditionalFormatting>
  <conditionalFormatting sqref="Q7289:Q7290">
    <cfRule type="expression" dxfId="0" priority="77">
      <formula>(#REF!&lt;&gt;"")*(#REF!&lt;&gt;"")</formula>
    </cfRule>
  </conditionalFormatting>
  <conditionalFormatting sqref="Q7292:Q7295">
    <cfRule type="expression" dxfId="0" priority="69">
      <formula>(#REF!&lt;&gt;"")*(#REF!&lt;&gt;"")</formula>
    </cfRule>
  </conditionalFormatting>
  <conditionalFormatting sqref="R1597:R1598">
    <cfRule type="expression" dxfId="0" priority="4458">
      <formula>(#REF!&lt;&gt;"")*(#REF!&lt;&gt;"")</formula>
    </cfRule>
  </conditionalFormatting>
  <conditionalFormatting sqref="R2789:R2791">
    <cfRule type="expression" dxfId="0" priority="3397">
      <formula>(#REF!&lt;&gt;"")*(R$1&lt;&gt;"")</formula>
    </cfRule>
  </conditionalFormatting>
  <conditionalFormatting sqref="R3402:R3405">
    <cfRule type="expression" dxfId="0" priority="1623">
      <formula>(#REF!&lt;&gt;"")*(#REF!&lt;&gt;"")</formula>
    </cfRule>
  </conditionalFormatting>
  <conditionalFormatting sqref="R3454:R3455">
    <cfRule type="expression" dxfId="0" priority="649">
      <formula>(#REF!&lt;&gt;"")*(#REF!&lt;&gt;"")</formula>
    </cfRule>
  </conditionalFormatting>
  <conditionalFormatting sqref="R4074:R4075">
    <cfRule type="expression" dxfId="0" priority="1944">
      <formula>(#REF!&lt;&gt;"")*(#REF!&lt;&gt;"")</formula>
    </cfRule>
  </conditionalFormatting>
  <conditionalFormatting sqref="R4142:R4143">
    <cfRule type="expression" dxfId="0" priority="1914">
      <formula>(#REF!&lt;&gt;"")*(#REF!&lt;&gt;"")</formula>
    </cfRule>
  </conditionalFormatting>
  <conditionalFormatting sqref="R4174:R4175">
    <cfRule type="expression" dxfId="0" priority="1223">
      <formula>(#REF!&lt;&gt;"")*(#REF!&lt;&gt;"")</formula>
    </cfRule>
  </conditionalFormatting>
  <conditionalFormatting sqref="R4217:R4218">
    <cfRule type="expression" dxfId="0" priority="1804">
      <formula>(#REF!&lt;&gt;"")*(#REF!&lt;&gt;"")</formula>
    </cfRule>
  </conditionalFormatting>
  <conditionalFormatting sqref="R4292:R4293">
    <cfRule type="expression" dxfId="0" priority="1168">
      <formula>(#REF!&lt;&gt;"")*(#REF!&lt;&gt;"")</formula>
    </cfRule>
  </conditionalFormatting>
  <conditionalFormatting sqref="R4446:R4449">
    <cfRule type="expression" dxfId="0" priority="1167">
      <formula>(#REF!&lt;&gt;"")*(#REF!&lt;&gt;"")</formula>
    </cfRule>
  </conditionalFormatting>
  <conditionalFormatting sqref="R4821:R4824">
    <cfRule type="expression" dxfId="0" priority="1782">
      <formula>(#REF!&lt;&gt;"")*(#REF!&lt;&gt;"")</formula>
    </cfRule>
  </conditionalFormatting>
  <conditionalFormatting sqref="T804:T805">
    <cfRule type="expression" dxfId="0" priority="4772">
      <formula>(#REF!&lt;&gt;"")*(#REF!&lt;&gt;"")</formula>
    </cfRule>
  </conditionalFormatting>
  <conditionalFormatting sqref="T1596:T1598">
    <cfRule type="expression" dxfId="0" priority="4475">
      <formula>(#REF!&lt;&gt;"")*(#REF!&lt;&gt;"")</formula>
    </cfRule>
  </conditionalFormatting>
  <conditionalFormatting sqref="T2858:T2859">
    <cfRule type="expression" dxfId="0" priority="3771">
      <formula>(#REF!&lt;&gt;"")*(#REF!&lt;&gt;"")</formula>
    </cfRule>
  </conditionalFormatting>
  <conditionalFormatting sqref="T3194:T3195">
    <cfRule type="expression" dxfId="0" priority="2743">
      <formula>(#REF!&lt;&gt;"")*(#REF!&lt;&gt;"")</formula>
    </cfRule>
  </conditionalFormatting>
  <conditionalFormatting sqref="T3373:T3374">
    <cfRule type="expression" dxfId="0" priority="2868">
      <formula>(#REF!&lt;&gt;"")*(#REF!&lt;&gt;"")</formula>
    </cfRule>
  </conditionalFormatting>
  <conditionalFormatting sqref="T3393:T3394">
    <cfRule type="expression" dxfId="0" priority="3090">
      <formula>(#REF!&lt;&gt;"")*(#REF!&lt;&gt;"")</formula>
    </cfRule>
  </conditionalFormatting>
  <conditionalFormatting sqref="T3396:T3400">
    <cfRule type="expression" dxfId="0" priority="3039">
      <formula>(#REF!&lt;&gt;"")*(#REF!&lt;&gt;"")</formula>
    </cfRule>
  </conditionalFormatting>
  <conditionalFormatting sqref="T3402:T3406">
    <cfRule type="expression" dxfId="0" priority="1635">
      <formula>(#REF!&lt;&gt;"")*(#REF!&lt;&gt;"")</formula>
    </cfRule>
  </conditionalFormatting>
  <conditionalFormatting sqref="T3485:T3489">
    <cfRule type="expression" dxfId="0" priority="2294">
      <formula>(#REF!&lt;&gt;"")*(#REF!&lt;&gt;"")</formula>
    </cfRule>
  </conditionalFormatting>
  <conditionalFormatting sqref="T3501:T3502">
    <cfRule type="expression" dxfId="0" priority="2231">
      <formula>(#REF!&lt;&gt;"")*(#REF!&lt;&gt;"")</formula>
    </cfRule>
  </conditionalFormatting>
  <conditionalFormatting sqref="T3506:T3517">
    <cfRule type="expression" dxfId="0" priority="2185">
      <formula>(#REF!&lt;&gt;"")*(#REF!&lt;&gt;"")</formula>
    </cfRule>
  </conditionalFormatting>
  <conditionalFormatting sqref="T3535:T3568">
    <cfRule type="expression" dxfId="0" priority="1600">
      <formula>(#REF!&lt;&gt;"")*(#REF!&lt;&gt;"")</formula>
    </cfRule>
  </conditionalFormatting>
  <conditionalFormatting sqref="T3569:T3573">
    <cfRule type="expression" dxfId="0" priority="833">
      <formula>(#REF!&lt;&gt;"")*(#REF!&lt;&gt;"")</formula>
    </cfRule>
  </conditionalFormatting>
  <conditionalFormatting sqref="T3645:T3646">
    <cfRule type="expression" dxfId="0" priority="2857">
      <formula>(#REF!&lt;&gt;"")*(#REF!&lt;&gt;"")</formula>
    </cfRule>
  </conditionalFormatting>
  <conditionalFormatting sqref="T3736:T3746">
    <cfRule type="expression" dxfId="0" priority="2665">
      <formula>(#REF!&lt;&gt;"")*(#REF!&lt;&gt;"")</formula>
    </cfRule>
  </conditionalFormatting>
  <conditionalFormatting sqref="T3874:T3875">
    <cfRule type="expression" dxfId="0" priority="3089">
      <formula>(#REF!&lt;&gt;"")*(#REF!&lt;&gt;"")</formula>
    </cfRule>
  </conditionalFormatting>
  <conditionalFormatting sqref="T4014:T4016">
    <cfRule type="expression" dxfId="0" priority="2022">
      <formula>(#REF!&lt;&gt;"")*(Y$1&lt;&gt;"")</formula>
    </cfRule>
  </conditionalFormatting>
  <conditionalFormatting sqref="T4088:T4089">
    <cfRule type="expression" dxfId="0" priority="1963">
      <formula>(#REF!&lt;&gt;"")*(#REF!&lt;&gt;"")</formula>
    </cfRule>
  </conditionalFormatting>
  <conditionalFormatting sqref="T4090:T4091">
    <cfRule type="expression" dxfId="0" priority="1961">
      <formula>(#REF!&lt;&gt;"")*(#REF!&lt;&gt;"")</formula>
    </cfRule>
  </conditionalFormatting>
  <conditionalFormatting sqref="T4150:T4151">
    <cfRule type="expression" dxfId="0" priority="1911">
      <formula>(#REF!&lt;&gt;"")*(#REF!&lt;&gt;"")</formula>
    </cfRule>
  </conditionalFormatting>
  <conditionalFormatting sqref="T4162:T4163">
    <cfRule type="expression" dxfId="0" priority="1854">
      <formula>(#REF!&lt;&gt;"")*(#REF!&lt;&gt;"")</formula>
    </cfRule>
  </conditionalFormatting>
  <conditionalFormatting sqref="T4217:T4218">
    <cfRule type="expression" dxfId="0" priority="1808">
      <formula>(#REF!&lt;&gt;"")*(#REF!&lt;&gt;"")</formula>
    </cfRule>
  </conditionalFormatting>
  <conditionalFormatting sqref="T4462:T4468">
    <cfRule type="expression" dxfId="0" priority="1798">
      <formula>(#REF!&lt;&gt;"")*(#REF!&lt;&gt;"")</formula>
    </cfRule>
  </conditionalFormatting>
  <conditionalFormatting sqref="T4595:T4597">
    <cfRule type="expression" dxfId="0" priority="754">
      <formula>(#REF!&lt;&gt;"")*(#REF!&lt;&gt;"")</formula>
    </cfRule>
  </conditionalFormatting>
  <conditionalFormatting sqref="T4598:T4600">
    <cfRule type="expression" dxfId="0" priority="730">
      <formula>(#REF!&lt;&gt;"")*(#REF!&lt;&gt;"")</formula>
    </cfRule>
  </conditionalFormatting>
  <conditionalFormatting sqref="T4601:T4602">
    <cfRule type="expression" dxfId="0" priority="706">
      <formula>(#REF!&lt;&gt;"")*(#REF!&lt;&gt;"")</formula>
    </cfRule>
  </conditionalFormatting>
  <conditionalFormatting sqref="T4617:T4618">
    <cfRule type="expression" dxfId="0" priority="1413">
      <formula>(#REF!&lt;&gt;"")*(#REF!&lt;&gt;"")</formula>
    </cfRule>
  </conditionalFormatting>
  <conditionalFormatting sqref="T4821:T4831">
    <cfRule type="expression" dxfId="0" priority="1574">
      <formula>(#REF!&lt;&gt;"")*(#REF!&lt;&gt;"")</formula>
    </cfRule>
  </conditionalFormatting>
  <conditionalFormatting sqref="T5183:T5189">
    <cfRule type="duplicateValues" dxfId="6" priority="496"/>
  </conditionalFormatting>
  <conditionalFormatting sqref="T5190:T5193">
    <cfRule type="duplicateValues" dxfId="6" priority="495"/>
  </conditionalFormatting>
  <conditionalFormatting sqref="T5701:T5703">
    <cfRule type="expression" dxfId="4" priority="401">
      <formula>(#REF!&lt;&gt;"")*(#REF!&lt;&gt;"")</formula>
    </cfRule>
  </conditionalFormatting>
  <conditionalFormatting sqref="T7278:T7279">
    <cfRule type="expression" dxfId="4" priority="274">
      <formula>(#REF!&lt;&gt;"")*(#REF!&lt;&gt;"")</formula>
    </cfRule>
  </conditionalFormatting>
  <conditionalFormatting sqref="T7289:T7290">
    <cfRule type="expression" dxfId="5" priority="81">
      <formula>(#REF!&lt;&gt;"")*(#REF!&lt;&gt;"")</formula>
    </cfRule>
  </conditionalFormatting>
  <conditionalFormatting sqref="T7292:T7295">
    <cfRule type="expression" dxfId="5" priority="73">
      <formula>(#REF!&lt;&gt;"")*(#REF!&lt;&gt;"")</formula>
    </cfRule>
  </conditionalFormatting>
  <conditionalFormatting sqref="U2851:U2852">
    <cfRule type="expression" dxfId="0" priority="3769">
      <formula>(#REF!&lt;&gt;"")*(#REF!&lt;&gt;"")</formula>
    </cfRule>
  </conditionalFormatting>
  <conditionalFormatting sqref="U4014:U4016">
    <cfRule type="expression" dxfId="0" priority="1801">
      <formula>(#REF!&lt;&gt;"")*(X$1&lt;&gt;"")</formula>
    </cfRule>
  </conditionalFormatting>
  <conditionalFormatting sqref="U4616:U4618">
    <cfRule type="expression" dxfId="1" priority="1790">
      <formula>(#REF!&lt;&gt;"")*(W$1&lt;&gt;"")</formula>
    </cfRule>
  </conditionalFormatting>
  <conditionalFormatting sqref="X2911:X2912">
    <cfRule type="expression" dxfId="0" priority="3449">
      <formula>(#REF!&lt;&gt;"")*(X$1&lt;&gt;"")</formula>
    </cfRule>
  </conditionalFormatting>
  <conditionalFormatting sqref="Y2529:Y2534">
    <cfRule type="expression" dxfId="1" priority="3434">
      <formula>(#REF!&lt;&gt;"")*(#REF!&lt;&gt;"")</formula>
    </cfRule>
  </conditionalFormatting>
  <conditionalFormatting sqref="Y2535:Y2536">
    <cfRule type="expression" dxfId="1" priority="3430">
      <formula>(#REF!&lt;&gt;"")*(#REF!&lt;&gt;"")</formula>
    </cfRule>
  </conditionalFormatting>
  <conditionalFormatting sqref="Y2537:Y2543">
    <cfRule type="expression" dxfId="1" priority="3433">
      <formula>(#REF!&lt;&gt;"")*(#REF!&lt;&gt;"")</formula>
    </cfRule>
  </conditionalFormatting>
  <conditionalFormatting sqref="Y2544:Y2549">
    <cfRule type="expression" dxfId="1" priority="3429">
      <formula>(#REF!&lt;&gt;"")*(#REF!&lt;&gt;"")</formula>
    </cfRule>
  </conditionalFormatting>
  <conditionalFormatting sqref="Y2550:Y2552">
    <cfRule type="expression" dxfId="1" priority="3432">
      <formula>(#REF!&lt;&gt;"")*(#REF!&lt;&gt;"")</formula>
    </cfRule>
  </conditionalFormatting>
  <conditionalFormatting sqref="Y2561:Y2562">
    <cfRule type="expression" dxfId="1" priority="3431">
      <formula>(#REF!&lt;&gt;"")*(#REF!&lt;&gt;"")</formula>
    </cfRule>
  </conditionalFormatting>
  <conditionalFormatting sqref="Y2843:Y2844">
    <cfRule type="expression" dxfId="1" priority="3427">
      <formula>(#REF!&lt;&gt;"")*(#REF!&lt;&gt;"")</formula>
    </cfRule>
  </conditionalFormatting>
  <conditionalFormatting sqref="M2:M3 M6:M13 T4677:T4749 E4677:H4744 C4677:C4744 A4677:A4744 J4685:R4744">
    <cfRule type="expression" dxfId="0" priority="5078">
      <formula>(#REF!&lt;&gt;"")*(#REF!&lt;&gt;"")</formula>
    </cfRule>
  </conditionalFormatting>
  <conditionalFormatting sqref="M826:M827 M831 Q1329 T122:U122 Q124:Q130 K124:K126 E124:F128 A124:A128 Q1333:Q1336 M1321 Q1321:R1321 Q1024 M1181:M1184 M1475:M1478 M1271:M1293 Q1270 M1227:M1235 M1159:M1160 M1044:M1045 M1632:M1633 M1647:M1648 M1635 M1340:M1348 M1317 Q1317 M1313:M1315 P1308:Q1308 M1305:M1308 A1295:A1296 C1295:C1296 E1295:H1295 M4:M5 M1584 M1295:R1295 M124:O126 T988:T995 T1152 T982 T984 T986 T1138 T1144:T1145 T1140 T1142 T1147:T1150 T1162 T1160 T1443:T1444 T1446 T1601:T1603 T1592 T1594 T1611:T1613 T1621 T1952:T1953 T1955 T1945 T1997:T1999 Q1758 M1542:M1548 Q1443:Q1444 E1443:H1444 M1443:O1444 M1442 M1436:M1439 Q862:Q863 Q450 M450 M2156 V1955:W1955 T1005:T1008 T1295:T1296 T1966 U1997 T1977:T1982 J1443:K1444 J1295:K1295">
    <cfRule type="expression" dxfId="0" priority="5075">
      <formula>(#REF!&lt;&gt;"")*(#REF!&lt;&gt;"")</formula>
    </cfRule>
  </conditionalFormatting>
  <conditionalFormatting sqref="N996:Q998 A984 M812 T812:U812 A986 Q1153:Q1155 M1153:M1154 P1153:P1154 Q1144 E1144:G1144 A1015 C1015 E1015:G1015 A988 C988 E988:G988 M984 K804 U804:U805 Q804 M803:M804 A1144:A1148 E991:G997 Q991:R993 C991:C997 A991:A999 E1020:H1020 J1015:K1015 A1001 A1003:A1005 A1020 Q1020 A1150 J988:K988 J991:K997 Q1629 A1152 C1152 Q858 M1144:O1144 M988:R988 M991:O993 M1015:R1015 M1020:O1020 J1144:K1144 T996:T999 T1001:T1004 T1015:T1018 M32:M36 Q32:Q36 Q30 M30 Q2039:Q2042 Q2044:Q2047 Q860:Q861 Q2096 Q2086:Q2089 T1009:T1011 M2162:M2164 J1020:K1020">
    <cfRule type="expression" dxfId="0" priority="5076">
      <formula>(#REF!&lt;&gt;"")*(#REF!&lt;&gt;"")</formula>
    </cfRule>
  </conditionalFormatting>
  <conditionalFormatting sqref="Q31 M31">
    <cfRule type="expression" dxfId="0" priority="4223">
      <formula>(#REF!&lt;&gt;"")*(#REF!&lt;&gt;"")</formula>
    </cfRule>
  </conditionalFormatting>
  <conditionalFormatting sqref="Q37 M37">
    <cfRule type="expression" dxfId="0" priority="4352">
      <formula>(#REF!&lt;&gt;"")*(#REF!&lt;&gt;"")</formula>
    </cfRule>
  </conditionalFormatting>
  <conditionalFormatting sqref="Q38 M38">
    <cfRule type="expression" dxfId="0" priority="4771">
      <formula>(#REF!&lt;&gt;"")*(#REF!&lt;&gt;"")</formula>
    </cfRule>
  </conditionalFormatting>
  <conditionalFormatting sqref="Q39 M39">
    <cfRule type="expression" dxfId="0" priority="4769">
      <formula>(#REF!&lt;&gt;"")*(#REF!&lt;&gt;"")</formula>
    </cfRule>
  </conditionalFormatting>
  <conditionalFormatting sqref="C1011:C1012 M1011:R1012 T1012 M893:M899 M875:M888 M476:M479 M949:M962 P1022:Q1023 M1006:O1010 E1006:H1006 A1006:A1012 Q1006:Q1010 P1006:P1009 R1006:R1009 C1006:C1009 M919:M946 M904 A1443:A1446 M730 Q1021 M1021:M1023 M40:M41 Q40:Q41 M906:M911 E1007:G1012 M732:M736 Q855 Q857 M749:M752 M738:M747 M754:M760 H1011:H1016 M1781:M1783 Q1781:Q1783 Q844:Q845 M762:M781 Q43:Q44 M43:M44 Q850:Q853 M964:M967 Q848 J1006:K1012">
    <cfRule type="expression" dxfId="0" priority="5077">
      <formula>(#REF!&lt;&gt;"")*(#REF!&lt;&gt;"")</formula>
    </cfRule>
  </conditionalFormatting>
  <conditionalFormatting sqref="Q42 M42">
    <cfRule type="expression" dxfId="0" priority="3994">
      <formula>(#REF!&lt;&gt;"")*(#REF!&lt;&gt;"")</formula>
    </cfRule>
  </conditionalFormatting>
  <conditionalFormatting sqref="O88:P89 P93:Q97">
    <cfRule type="expression" dxfId="1" priority="5070">
      <formula>(#REF!&lt;&gt;"")*(O$1&lt;&gt;"")</formula>
    </cfRule>
  </conditionalFormatting>
  <conditionalFormatting sqref="A806 J806:K806 M806 E806:G806 J459 P92 O844:P844 J844:K844 E844:G844 M844 A844 O807:R810 O836:P836 J836:K836 E836:G836 M836 A836 O806:P806 R806">
    <cfRule type="expression" dxfId="1" priority="5071">
      <formula>(#REF!&lt;&gt;"")*(A$1&lt;&gt;"")</formula>
    </cfRule>
  </conditionalFormatting>
  <conditionalFormatting sqref="P104:Q104 P116:Q117 Q836 P120:Q120 Q1247:Q1252 Q1629 P2134:Q2135">
    <cfRule type="expression" dxfId="1" priority="5069">
      <formula>(#REF!&lt;&gt;"")*(#REF!&lt;&gt;"")</formula>
    </cfRule>
  </conditionalFormatting>
  <conditionalFormatting sqref="P106:Q106 P111:Q111 P115:Q115">
    <cfRule type="expression" dxfId="1" priority="5062">
      <formula>(#REF!&lt;&gt;"")*(#REF!&lt;&gt;"")</formula>
    </cfRule>
  </conditionalFormatting>
  <conditionalFormatting sqref="M456 M403 Q403 N129:O130 T403:U403 M458 M473:M474 A122 E122:F122 K122 Q122 K127:K128 O127 T128:T130 M127 M128:O128 M122:O122 Q439:Q445">
    <cfRule type="expression" dxfId="0" priority="5074">
      <formula>(#REF!&lt;&gt;"")*(#REF!&lt;&gt;"")</formula>
    </cfRule>
  </conditionalFormatting>
  <conditionalFormatting sqref="P403:Q403 P996:Q999 P122:Q122 P540:Q540 P124:Q130 P1015:Q1015 P988:Q988 P529:Q530 Q1321 P1144:Q1148 P991:Q993 Q1024 P1001:Q1001 P1022:Q1023 P1020:Q1020 P1150:Q1150 Q1317 P1308:Q1308 P1295:Q1296 P1152:Q1155 P186:Q186 Q1758 P1443:Q1446 J1021 Q1021 P1750:P1752 P264:Q266 P1003:Q1012 Q860:Q861 Q855 Q857:Q858 V1955:W1955 Q844:Q845 Q850:Q853 Q848 P1299:Q1299 P4677:Q4744">
    <cfRule type="expression" dxfId="1" priority="5073">
      <formula>(#REF!&lt;&gt;"")*(#REF!&lt;&gt;"")</formula>
    </cfRule>
  </conditionalFormatting>
  <conditionalFormatting sqref="K807:K818 M461:M471 U123:U130 T123:T126 T1299:T1304 A1299">
    <cfRule type="expression" dxfId="0" priority="5093">
      <formula>(#REF!&lt;&gt;"")*(#REF!&lt;&gt;"")</formula>
    </cfRule>
  </conditionalFormatting>
  <conditionalFormatting sqref="A123 E123:F123 K123 O123 M123">
    <cfRule type="expression" dxfId="0" priority="4656">
      <formula>(#REF!&lt;&gt;"")*(#REF!&lt;&gt;"")</formula>
    </cfRule>
  </conditionalFormatting>
  <conditionalFormatting sqref="P187:Q191">
    <cfRule type="expression" dxfId="1" priority="5061">
      <formula>(#REF!&lt;&gt;"")*(#REF!&lt;&gt;"")</formula>
    </cfRule>
  </conditionalFormatting>
  <conditionalFormatting sqref="J456 O405 A812 J812 M812 E812:G812 O812:R812 J458 J473:J474 J476:J479 O804:P804 A804 J804:K804 E804:G804 A1247:A1252 M1247:M1252 E1247:G1252 J1247:K1252 O1247:P1252 J1227:J1235 A1629 M1629 E1629:G1629 J1465:J1470 A1758 J1758 M1758 E1758:G1758 J730 J1750:J1752 M1748:M1753 O1714:P1716 J1714:K1714 E1714:G1715 J1570 J603:J611 J264:J266 J1572:J1574 J1576:J1577 M1737:M1742 J732:J736 M1714:M1734 J2156 J749:J752 J738:J747 J754:J760 M1744 J2194:J2196 J615:J635 J637:J639">
    <cfRule type="expression" dxfId="1" priority="5072">
      <formula>(#REF!&lt;&gt;"")*(A$1&lt;&gt;"")</formula>
    </cfRule>
  </conditionalFormatting>
  <conditionalFormatting sqref="K808:K818 J762:J781 J461:J471 E848:G848 M848 J848:K848 A848 O848:P848 J641:J645">
    <cfRule type="expression" dxfId="1" priority="5092">
      <formula>(#REF!&lt;&gt;"")*(A$1&lt;&gt;"")</formula>
    </cfRule>
  </conditionalFormatting>
  <conditionalFormatting sqref="P534:Q537">
    <cfRule type="expression" dxfId="1" priority="5025">
      <formula>(#REF!&lt;&gt;"")*(#REF!&lt;&gt;"")</formula>
    </cfRule>
  </conditionalFormatting>
  <conditionalFormatting sqref="P542:Q548">
    <cfRule type="expression" dxfId="1" priority="5032">
      <formula>(#REF!&lt;&gt;"")*(#REF!&lt;&gt;"")</formula>
    </cfRule>
  </conditionalFormatting>
  <conditionalFormatting sqref="P549:Q554">
    <cfRule type="expression" dxfId="1" priority="5031">
      <formula>(#REF!&lt;&gt;"")*(#REF!&lt;&gt;"")</formula>
    </cfRule>
  </conditionalFormatting>
  <conditionalFormatting sqref="O795:R795 C794 A794 C789:C792 A789:A792 E789:H794 A784:A787 C784:C787 E782:H787 C782 A782 E1329:F1329 E1333:F1336 A1106:A1108 C1106:C1108 H1243:H1252 C1239:C1242 A1239:A1242 E1239:H1242 J1107:K1108 H1629 M1107:Q1107 M1239:R1242 M1108:R1108 M782:R787 M789:R794 H798:H800 H658 H802:H804 H821:H836 H843 H1401:H1435 H1440 J1239:K1242 J782:K787 J789:K794">
    <cfRule type="expression" dxfId="0" priority="5012">
      <formula>(#REF!&lt;&gt;"")*(A$1&lt;&gt;"")</formula>
    </cfRule>
  </conditionalFormatting>
  <conditionalFormatting sqref="K723:K724 Q723:Q724 A723:A724 E723:F724 T723:U724 M723:N724">
    <cfRule type="expression" dxfId="0" priority="5015">
      <formula>(#REF!&lt;&gt;"")*(#REF!&lt;&gt;"")</formula>
    </cfRule>
  </conditionalFormatting>
  <conditionalFormatting sqref="P723:Q724">
    <cfRule type="expression" dxfId="1" priority="5014">
      <formula>(#REF!&lt;&gt;"")*(#REF!&lt;&gt;"")</formula>
    </cfRule>
  </conditionalFormatting>
  <conditionalFormatting sqref="M806 H727:H728">
    <cfRule type="expression" dxfId="0" priority="5017">
      <formula>(#REF!&lt;&gt;"")*(#REF!&lt;&gt;"")</formula>
    </cfRule>
  </conditionalFormatting>
  <conditionalFormatting sqref="O727 J729">
    <cfRule type="expression" dxfId="1" priority="5019">
      <formula>(#REF!&lt;&gt;"")*(J$1&lt;&gt;"")</formula>
    </cfRule>
  </conditionalFormatting>
  <conditionalFormatting sqref="M727 Q727 K806">
    <cfRule type="expression" dxfId="0" priority="5016">
      <formula>(#REF!&lt;&gt;"")*(#REF!&lt;&gt;"")</formula>
    </cfRule>
  </conditionalFormatting>
  <conditionalFormatting sqref="Q728 M728:M729 K844 M844 U806 M970:M971 K836 Q836 M811 M917 M901 M1329 P1329:Q1329 H1329 H1333:H1336 P1333:Q1336 M1333:M1336 M865:M871 M829:M836 M2039:M2042 M2044:M2047 Q2125:Q2126 M2096 M2086:M2089 M1405:M1406 M2194:M2196">
    <cfRule type="expression" dxfId="0" priority="5020">
      <formula>(#REF!&lt;&gt;"")*(#REF!&lt;&gt;"")</formula>
    </cfRule>
  </conditionalFormatting>
  <conditionalFormatting sqref="A783 C783">
    <cfRule type="expression" dxfId="0" priority="5011">
      <formula>(#REF!&lt;&gt;"")*(A$1&lt;&gt;"")</formula>
    </cfRule>
  </conditionalFormatting>
  <conditionalFormatting sqref="A788 C788 E788:H788 M788:Q788 J788:K788">
    <cfRule type="expression" dxfId="0" priority="4963">
      <formula>(#REF!&lt;&gt;"")*(A$1&lt;&gt;"")</formula>
    </cfRule>
  </conditionalFormatting>
  <conditionalFormatting sqref="A793 C793">
    <cfRule type="expression" dxfId="0" priority="5010">
      <formula>(#REF!&lt;&gt;"")*(A$1&lt;&gt;"")</formula>
    </cfRule>
  </conditionalFormatting>
  <conditionalFormatting sqref="E795:G795 C795 A795 J795:K795 M795">
    <cfRule type="expression" dxfId="0" priority="4955">
      <formula>(#REF!&lt;&gt;"")*(A$1&lt;&gt;"")</formula>
    </cfRule>
  </conditionalFormatting>
  <conditionalFormatting sqref="E796:G796 C796 A796 J796:K796 M796">
    <cfRule type="expression" dxfId="0" priority="4210">
      <formula>(#REF!&lt;&gt;"")*(A$1&lt;&gt;"")</formula>
    </cfRule>
  </conditionalFormatting>
  <conditionalFormatting sqref="E797:G797 C797 A797 J797:K797 M797">
    <cfRule type="expression" dxfId="0" priority="4177">
      <formula>(#REF!&lt;&gt;"")*(A$1&lt;&gt;"")</formula>
    </cfRule>
  </conditionalFormatting>
  <conditionalFormatting sqref="Q802:Q803 M802 M813">
    <cfRule type="expression" dxfId="0" priority="5009">
      <formula>(#REF!&lt;&gt;"")*(#REF!&lt;&gt;"")</formula>
    </cfRule>
  </conditionalFormatting>
  <conditionalFormatting sqref="O805:P805 A805 J805:K805 E805:G805">
    <cfRule type="expression" dxfId="1" priority="4170">
      <formula>(#REF!&lt;&gt;"")*(A$1&lt;&gt;"")</formula>
    </cfRule>
  </conditionalFormatting>
  <conditionalFormatting sqref="K805 Q805 M805">
    <cfRule type="expression" dxfId="0" priority="4171">
      <formula>(#REF!&lt;&gt;"")*(#REF!&lt;&gt;"")</formula>
    </cfRule>
  </conditionalFormatting>
  <conditionalFormatting sqref="A807 J807:K807 M807 E807:G807 E809:G809 M809 J809 A809 K821">
    <cfRule type="expression" dxfId="1" priority="5002">
      <formula>(#REF!&lt;&gt;"")*(A$1&lt;&gt;"")</formula>
    </cfRule>
  </conditionalFormatting>
  <conditionalFormatting sqref="T807 M807 U807:U810 M809 T809 K821">
    <cfRule type="expression" dxfId="0" priority="5001">
      <formula>(#REF!&lt;&gt;"")*(#REF!&lt;&gt;"")</formula>
    </cfRule>
  </conditionalFormatting>
  <conditionalFormatting sqref="A808 J808 M808 E808:G808">
    <cfRule type="expression" dxfId="1" priority="4962">
      <formula>(#REF!&lt;&gt;"")*(A$1&lt;&gt;"")</formula>
    </cfRule>
  </conditionalFormatting>
  <conditionalFormatting sqref="T808 M808">
    <cfRule type="expression" dxfId="0" priority="4961">
      <formula>(#REF!&lt;&gt;"")*(#REF!&lt;&gt;"")</formula>
    </cfRule>
  </conditionalFormatting>
  <conditionalFormatting sqref="E810:G810 M810 J810 A810">
    <cfRule type="expression" dxfId="1" priority="4960">
      <formula>(#REF!&lt;&gt;"")*(A$1&lt;&gt;"")</formula>
    </cfRule>
  </conditionalFormatting>
  <conditionalFormatting sqref="M810 T810">
    <cfRule type="expression" dxfId="0" priority="4959">
      <formula>(#REF!&lt;&gt;"")*(#REF!&lt;&gt;"")</formula>
    </cfRule>
  </conditionalFormatting>
  <conditionalFormatting sqref="J836:K836 A836 E836:G836">
    <cfRule type="expression" dxfId="1" priority="4981">
      <formula>(#REF!&lt;&gt;"")*(A$1&lt;&gt;"")</formula>
    </cfRule>
  </conditionalFormatting>
  <conditionalFormatting sqref="Q836 K836">
    <cfRule type="expression" dxfId="0" priority="4979">
      <formula>(#REF!&lt;&gt;"")*(#REF!&lt;&gt;"")</formula>
    </cfRule>
  </conditionalFormatting>
  <conditionalFormatting sqref="J837:K837 E837:G837 M837 A837">
    <cfRule type="expression" dxfId="1" priority="4159">
      <formula>(#REF!&lt;&gt;"")*(A$1&lt;&gt;"")</formula>
    </cfRule>
  </conditionalFormatting>
  <conditionalFormatting sqref="J837:K837 A837 E837:G837">
    <cfRule type="expression" dxfId="1" priority="4155">
      <formula>(#REF!&lt;&gt;"")*(A$1&lt;&gt;"")</formula>
    </cfRule>
  </conditionalFormatting>
  <conditionalFormatting sqref="K837 Q837 M837">
    <cfRule type="expression" dxfId="0" priority="4157">
      <formula>(#REF!&lt;&gt;"")*(#REF!&lt;&gt;"")</formula>
    </cfRule>
  </conditionalFormatting>
  <conditionalFormatting sqref="Q837 K837">
    <cfRule type="expression" dxfId="0" priority="4153">
      <formula>(#REF!&lt;&gt;"")*(#REF!&lt;&gt;"")</formula>
    </cfRule>
  </conditionalFormatting>
  <conditionalFormatting sqref="J838:K838 E838:G838 M838 A838">
    <cfRule type="expression" dxfId="1" priority="4150">
      <formula>(#REF!&lt;&gt;"")*(A$1&lt;&gt;"")</formula>
    </cfRule>
  </conditionalFormatting>
  <conditionalFormatting sqref="J838:K838 A838 E838:G838">
    <cfRule type="expression" dxfId="1" priority="4147">
      <formula>(#REF!&lt;&gt;"")*(A$1&lt;&gt;"")</formula>
    </cfRule>
  </conditionalFormatting>
  <conditionalFormatting sqref="K838 M838">
    <cfRule type="expression" dxfId="0" priority="4149">
      <formula>(#REF!&lt;&gt;"")*(#REF!&lt;&gt;"")</formula>
    </cfRule>
  </conditionalFormatting>
  <conditionalFormatting sqref="J839:K839 E839:G839 M839 A839">
    <cfRule type="expression" dxfId="1" priority="4143">
      <formula>(#REF!&lt;&gt;"")*(A$1&lt;&gt;"")</formula>
    </cfRule>
  </conditionalFormatting>
  <conditionalFormatting sqref="J839:K839 A839 E839:G839">
    <cfRule type="expression" dxfId="1" priority="4140">
      <formula>(#REF!&lt;&gt;"")*(A$1&lt;&gt;"")</formula>
    </cfRule>
  </conditionalFormatting>
  <conditionalFormatting sqref="K839 M839">
    <cfRule type="expression" dxfId="0" priority="4142">
      <formula>(#REF!&lt;&gt;"")*(#REF!&lt;&gt;"")</formula>
    </cfRule>
  </conditionalFormatting>
  <conditionalFormatting sqref="J840:K840 E840:G840 M840 A840">
    <cfRule type="expression" dxfId="1" priority="4103">
      <formula>(#REF!&lt;&gt;"")*(A$1&lt;&gt;"")</formula>
    </cfRule>
  </conditionalFormatting>
  <conditionalFormatting sqref="J840:K840 A840 E840:G840">
    <cfRule type="expression" dxfId="1" priority="4100">
      <formula>(#REF!&lt;&gt;"")*(A$1&lt;&gt;"")</formula>
    </cfRule>
  </conditionalFormatting>
  <conditionalFormatting sqref="K840 M840">
    <cfRule type="expression" dxfId="0" priority="4102">
      <formula>(#REF!&lt;&gt;"")*(#REF!&lt;&gt;"")</formula>
    </cfRule>
  </conditionalFormatting>
  <conditionalFormatting sqref="J841 E841:G841 M841 A841">
    <cfRule type="expression" dxfId="1" priority="4096">
      <formula>(#REF!&lt;&gt;"")*(A$1&lt;&gt;"")</formula>
    </cfRule>
  </conditionalFormatting>
  <conditionalFormatting sqref="J841 A841 E841:G841">
    <cfRule type="expression" dxfId="1" priority="4093">
      <formula>(#REF!&lt;&gt;"")*(A$1&lt;&gt;"")</formula>
    </cfRule>
  </conditionalFormatting>
  <conditionalFormatting sqref="J842 E842:G842 M842 A842">
    <cfRule type="expression" dxfId="1" priority="4011">
      <formula>(#REF!&lt;&gt;"")*(A$1&lt;&gt;"")</formula>
    </cfRule>
  </conditionalFormatting>
  <conditionalFormatting sqref="J842 A842 E842:G842">
    <cfRule type="expression" dxfId="1" priority="4008">
      <formula>(#REF!&lt;&gt;"")*(A$1&lt;&gt;"")</formula>
    </cfRule>
  </conditionalFormatting>
  <conditionalFormatting sqref="A843 M843 E843:G843 J843:K843 O843:P843">
    <cfRule type="expression" dxfId="1" priority="4975">
      <formula>(#REF!&lt;&gt;"")*(A$1&lt;&gt;"")</formula>
    </cfRule>
  </conditionalFormatting>
  <conditionalFormatting sqref="K843 A843 E843:F843">
    <cfRule type="expression" dxfId="1" priority="4972">
      <formula>(#REF!&lt;&gt;"")*(A$1&lt;&gt;"")</formula>
    </cfRule>
  </conditionalFormatting>
  <conditionalFormatting sqref="G843 J843">
    <cfRule type="expression" dxfId="1" priority="4966">
      <formula>(#REF!&lt;&gt;"")*(G$1&lt;&gt;"")</formula>
    </cfRule>
  </conditionalFormatting>
  <conditionalFormatting sqref="Q843 M843 K843">
    <cfRule type="expression" dxfId="0" priority="4973">
      <formula>(#REF!&lt;&gt;"")*(#REF!&lt;&gt;"")</formula>
    </cfRule>
  </conditionalFormatting>
  <conditionalFormatting sqref="Q843 K843">
    <cfRule type="expression" dxfId="0" priority="4970">
      <formula>(#REF!&lt;&gt;"")*(#REF!&lt;&gt;"")</formula>
    </cfRule>
  </conditionalFormatting>
  <conditionalFormatting sqref="O845:P845 A845 J845:K845 M845 E845:G845">
    <cfRule type="expression" dxfId="1" priority="4982">
      <formula>(#REF!&lt;&gt;"")*(A$1&lt;&gt;"")</formula>
    </cfRule>
  </conditionalFormatting>
  <conditionalFormatting sqref="O846:P846 A846 J846:K846 M846 E846:G846">
    <cfRule type="expression" dxfId="1" priority="3958">
      <formula>(#REF!&lt;&gt;"")*(A$1&lt;&gt;"")</formula>
    </cfRule>
  </conditionalFormatting>
  <conditionalFormatting sqref="O847:P847 A847 J847:K847 M847 E847:G847">
    <cfRule type="expression" dxfId="1" priority="3955">
      <formula>(#REF!&lt;&gt;"")*(A$1&lt;&gt;"")</formula>
    </cfRule>
  </conditionalFormatting>
  <conditionalFormatting sqref="M913 M915">
    <cfRule type="expression" dxfId="0" priority="4780">
      <formula>(#REF!&lt;&gt;"")*(#REF!&lt;&gt;"")</formula>
    </cfRule>
  </conditionalFormatting>
  <conditionalFormatting sqref="N992:Q993 R1005 H1020 O1010:Q1010 Q982:Q983 R996:R997 A982:A984 C984 P984:R984 K984 K986 P986:R986 E986:G986 C986 A986 E982:G984 O983 T983 J982:K983 M982:O982 M983">
    <cfRule type="expression" dxfId="0" priority="4943">
      <formula>(#REF!&lt;&gt;"")*(#REF!&lt;&gt;"")</formula>
    </cfRule>
  </conditionalFormatting>
  <conditionalFormatting sqref="P982:Q983">
    <cfRule type="expression" dxfId="1" priority="4944">
      <formula>(#REF!&lt;&gt;"")*(#REF!&lt;&gt;"")</formula>
    </cfRule>
  </conditionalFormatting>
  <conditionalFormatting sqref="M983 N999:O999 E998:G999 Q999 Q1001 E1001:G1001 Q1003:Q1005 E1003:H1005 J1001:K1001 J998:K999 M996:M999 M1001:O1001 M1003:O1005 H1007:H1010 J1003:K1005">
    <cfRule type="expression" dxfId="0" priority="4942">
      <formula>(#REF!&lt;&gt;"")*(#REF!&lt;&gt;"")</formula>
    </cfRule>
  </conditionalFormatting>
  <conditionalFormatting sqref="Q984 E984:G984 E986:G986 Q986 J986:K986 J984:K984 M984:O984 M986:O986">
    <cfRule type="expression" dxfId="0" priority="4939">
      <formula>(#REF!&lt;&gt;"")*(#REF!&lt;&gt;"")</formula>
    </cfRule>
  </conditionalFormatting>
  <conditionalFormatting sqref="O991 N984:O984 N986:O986">
    <cfRule type="expression" dxfId="0" priority="4936">
      <formula>(#REF!&lt;&gt;"")*(#REF!&lt;&gt;"")</formula>
    </cfRule>
  </conditionalFormatting>
  <conditionalFormatting sqref="P984:Q984 P986:Q986">
    <cfRule type="expression" dxfId="1" priority="4940">
      <formula>(#REF!&lt;&gt;"")*(#REF!&lt;&gt;"")</formula>
    </cfRule>
  </conditionalFormatting>
  <conditionalFormatting sqref="A985 C985 E985:G985 P985:R985 K985">
    <cfRule type="expression" dxfId="0" priority="4701">
      <formula>(#REF!&lt;&gt;"")*(#REF!&lt;&gt;"")</formula>
    </cfRule>
  </conditionalFormatting>
  <conditionalFormatting sqref="Q985 E985:G985 O985 J985:K985 M985">
    <cfRule type="expression" dxfId="0" priority="4698">
      <formula>(#REF!&lt;&gt;"")*(#REF!&lt;&gt;"")</formula>
    </cfRule>
  </conditionalFormatting>
  <conditionalFormatting sqref="T1020 K1020 F1020:H1020 M986 T985 T987 M1020:R1020">
    <cfRule type="expression" dxfId="0" priority="4941">
      <formula>(#REF!&lt;&gt;"")*(#REF!&lt;&gt;"")</formula>
    </cfRule>
  </conditionalFormatting>
  <conditionalFormatting sqref="K987 P987:R987 E987:G987 C987 A987">
    <cfRule type="expression" dxfId="0" priority="4693">
      <formula>(#REF!&lt;&gt;"")*(#REF!&lt;&gt;"")</formula>
    </cfRule>
  </conditionalFormatting>
  <conditionalFormatting sqref="E987:G987 Q987 O987 J987:K987 M987">
    <cfRule type="expression" dxfId="0" priority="4690">
      <formula>(#REF!&lt;&gt;"")*(#REF!&lt;&gt;"")</formula>
    </cfRule>
  </conditionalFormatting>
  <conditionalFormatting sqref="K989 P989:R989 E989:G989 C989 A989">
    <cfRule type="expression" dxfId="0" priority="4565">
      <formula>(#REF!&lt;&gt;"")*(#REF!&lt;&gt;"")</formula>
    </cfRule>
  </conditionalFormatting>
  <conditionalFormatting sqref="E989:G989 Q989 O989 J989:K989 M989">
    <cfRule type="expression" dxfId="0" priority="4562">
      <formula>(#REF!&lt;&gt;"")*(#REF!&lt;&gt;"")</formula>
    </cfRule>
  </conditionalFormatting>
  <conditionalFormatting sqref="A990 C990 E990:G990 O990:R990 J990:K990 M990">
    <cfRule type="expression" dxfId="0" priority="4568">
      <formula>(#REF!&lt;&gt;"")*(#REF!&lt;&gt;"")</formula>
    </cfRule>
  </conditionalFormatting>
  <conditionalFormatting sqref="Q994 M994:N994">
    <cfRule type="expression" dxfId="0" priority="4893">
      <formula>(#REF!&lt;&gt;"")*(#REF!&lt;&gt;"")</formula>
    </cfRule>
  </conditionalFormatting>
  <conditionalFormatting sqref="Q995 M995:O995">
    <cfRule type="expression" dxfId="0" priority="4887">
      <formula>(#REF!&lt;&gt;"")*(#REF!&lt;&gt;"")</formula>
    </cfRule>
  </conditionalFormatting>
  <conditionalFormatting sqref="A1005 C1005 K1005 E1005:H1005 A997 M1005:Q1005">
    <cfRule type="expression" dxfId="0" priority="4938">
      <formula>(#REF!&lt;&gt;"")*(#REF!&lt;&gt;"")</formula>
    </cfRule>
  </conditionalFormatting>
  <conditionalFormatting sqref="C998 A998 G999 E998:G998 G1001 G1003:G1004">
    <cfRule type="expression" dxfId="0" priority="4930">
      <formula>(#REF!&lt;&gt;"")*(#REF!&lt;&gt;"")</formula>
    </cfRule>
  </conditionalFormatting>
  <conditionalFormatting sqref="R998:R999 R1001 R1003:R1004">
    <cfRule type="expression" dxfId="0" priority="4919">
      <formula>(#REF!&lt;&gt;"")*(#REF!&lt;&gt;"")</formula>
    </cfRule>
  </conditionalFormatting>
  <conditionalFormatting sqref="A999 E999:G999">
    <cfRule type="expression" dxfId="0" priority="4931">
      <formula>(#REF!&lt;&gt;"")*(#REF!&lt;&gt;"")</formula>
    </cfRule>
  </conditionalFormatting>
  <conditionalFormatting sqref="N999 N1001 N1003:O1004">
    <cfRule type="expression" dxfId="0" priority="4937">
      <formula>(#REF!&lt;&gt;"")*(#REF!&lt;&gt;"")</formula>
    </cfRule>
  </conditionalFormatting>
  <conditionalFormatting sqref="P1003:Q1004 Q999 Q1001 P1007:P1010">
    <cfRule type="expression" dxfId="0" priority="4935">
      <formula>(#REF!&lt;&gt;"")*(#REF!&lt;&gt;"")</formula>
    </cfRule>
  </conditionalFormatting>
  <conditionalFormatting sqref="T1000 A1000">
    <cfRule type="expression" dxfId="0" priority="4546">
      <formula>(#REF!&lt;&gt;"")*(#REF!&lt;&gt;"")</formula>
    </cfRule>
  </conditionalFormatting>
  <conditionalFormatting sqref="A1000 E1000:G1000">
    <cfRule type="expression" dxfId="0" priority="4541">
      <formula>(#REF!&lt;&gt;"")*(#REF!&lt;&gt;"")</formula>
    </cfRule>
  </conditionalFormatting>
  <conditionalFormatting sqref="E1000:G1000 Q1000 J1000:K1000 M1000:O1000">
    <cfRule type="expression" dxfId="0" priority="4544">
      <formula>(#REF!&lt;&gt;"")*(#REF!&lt;&gt;"")</formula>
    </cfRule>
  </conditionalFormatting>
  <conditionalFormatting sqref="C1003 A1001 E1001:G1001 E1003:G1004 A1003:A1004">
    <cfRule type="expression" dxfId="0" priority="4928">
      <formula>(#REF!&lt;&gt;"")*(#REF!&lt;&gt;"")</formula>
    </cfRule>
  </conditionalFormatting>
  <conditionalFormatting sqref="A1002 E1002:G1002">
    <cfRule type="expression" dxfId="0" priority="4529">
      <formula>(#REF!&lt;&gt;"")*(#REF!&lt;&gt;"")</formula>
    </cfRule>
  </conditionalFormatting>
  <conditionalFormatting sqref="Q1002 E1002:H1002 M1002:O1002 J1002:K1002">
    <cfRule type="expression" dxfId="0" priority="4533">
      <formula>(#REF!&lt;&gt;"")*(#REF!&lt;&gt;"")</formula>
    </cfRule>
  </conditionalFormatting>
  <conditionalFormatting sqref="H1004 H1007:H1010">
    <cfRule type="expression" dxfId="0" priority="4927">
      <formula>(#REF!&lt;&gt;"")*(#REF!&lt;&gt;"")</formula>
    </cfRule>
  </conditionalFormatting>
  <conditionalFormatting sqref="K1013 N1013:R1013 E1013:G1013 A1013 C1013">
    <cfRule type="expression" dxfId="0" priority="4881">
      <formula>(#REF!&lt;&gt;"")*(#REF!&lt;&gt;"")</formula>
    </cfRule>
  </conditionalFormatting>
  <conditionalFormatting sqref="E1013:G1013 Q1013 A1013 J1013:K1013 M1013:O1013">
    <cfRule type="expression" dxfId="0" priority="4880">
      <formula>(#REF!&lt;&gt;"")*(#REF!&lt;&gt;"")</formula>
    </cfRule>
  </conditionalFormatting>
  <conditionalFormatting sqref="T1013:T1014 M1013">
    <cfRule type="expression" dxfId="0" priority="4878">
      <formula>(#REF!&lt;&gt;"")*(#REF!&lt;&gt;"")</formula>
    </cfRule>
  </conditionalFormatting>
  <conditionalFormatting sqref="K1014 N1014:R1014 E1014:G1014 A1014 C1014">
    <cfRule type="expression" dxfId="0" priority="4554">
      <formula>(#REF!&lt;&gt;"")*(#REF!&lt;&gt;"")</formula>
    </cfRule>
  </conditionalFormatting>
  <conditionalFormatting sqref="E1014:G1014 Q1014 A1014 J1014:K1014 M1014:O1014">
    <cfRule type="expression" dxfId="0" priority="4553">
      <formula>(#REF!&lt;&gt;"")*(#REF!&lt;&gt;"")</formula>
    </cfRule>
  </conditionalFormatting>
  <conditionalFormatting sqref="A1016 C1016 E1016:G1016 O1016:R1016 J1016:K1016 M1016">
    <cfRule type="expression" dxfId="0" priority="4550">
      <formula>(#REF!&lt;&gt;"")*(#REF!&lt;&gt;"")</formula>
    </cfRule>
  </conditionalFormatting>
  <conditionalFormatting sqref="A1017 C1017 E1017:G1017 O1017:R1017 J1017:K1017 M1017">
    <cfRule type="expression" dxfId="0" priority="4215">
      <formula>(#REF!&lt;&gt;"")*(#REF!&lt;&gt;"")</formula>
    </cfRule>
  </conditionalFormatting>
  <conditionalFormatting sqref="A1018 C1018 E1018:G1018 O1018:Q1018 J1018:K1018 M1018">
    <cfRule type="expression" dxfId="0" priority="4194">
      <formula>(#REF!&lt;&gt;"")*(#REF!&lt;&gt;"")</formula>
    </cfRule>
  </conditionalFormatting>
  <conditionalFormatting sqref="A1019 C1019 E1019:G1019 O1019:Q1019 J1019:K1019 M1019">
    <cfRule type="expression" dxfId="0" priority="4187">
      <formula>(#REF!&lt;&gt;"")*(#REF!&lt;&gt;"")</formula>
    </cfRule>
  </conditionalFormatting>
  <conditionalFormatting sqref="C1020 E1020">
    <cfRule type="expression" dxfId="0" priority="4932">
      <formula>(#REF!&lt;&gt;"")*(#REF!&lt;&gt;"")</formula>
    </cfRule>
  </conditionalFormatting>
  <conditionalFormatting sqref="P1037:Q1037 M1037 P1035:R1035 Q1036 P1027:R1031 P1024 M1024 C1174:C1180 E1174:G1176 A1174:A1180 M1034:M1035 M1176:O1176 M1174:R1175 J1174:K1176 T1174:T1175 T1177:T1180 T1322:T1324 T1449 T1452 T1620 P1458 R1033 P1033 Q1033:Q1034 P1462:P1488 M1452:M1454 P1454 P1609:Q1609 M1607:M1609">
    <cfRule type="expression" dxfId="0" priority="4911">
      <formula>($A1024&lt;&gt;"")*(#REF!&lt;&gt;"")</formula>
    </cfRule>
  </conditionalFormatting>
  <conditionalFormatting sqref="P1024 P1174:Q1175 P1027:Q1031 P1458 P1033:Q1037 P1462:P1488 P1453:P1454 J1609 P1607:Q1609">
    <cfRule type="expression" dxfId="1" priority="4912">
      <formula>($A1024&lt;&gt;"")*(#REF!&lt;&gt;"")</formula>
    </cfRule>
  </conditionalFormatting>
  <conditionalFormatting sqref="Q1024 T1176 T1451">
    <cfRule type="expression" dxfId="0" priority="4907">
      <formula>(#REF!&lt;&gt;"")*(#REF!&lt;&gt;"")</formula>
    </cfRule>
  </conditionalFormatting>
  <conditionalFormatting sqref="P1025:Q1026">
    <cfRule type="expression" dxfId="0" priority="4873">
      <formula>($A1025&lt;&gt;"")*(#REF!&lt;&gt;"")</formula>
    </cfRule>
    <cfRule type="expression" dxfId="1" priority="4875">
      <formula>($A1025&lt;&gt;"")*(#REF!&lt;&gt;"")</formula>
    </cfRule>
  </conditionalFormatting>
  <conditionalFormatting sqref="R1037 R1026">
    <cfRule type="expression" dxfId="0" priority="4910">
      <formula>($A1026&lt;&gt;"")*(#REF!&lt;&gt;"")</formula>
    </cfRule>
  </conditionalFormatting>
  <conditionalFormatting sqref="M1031 M1033">
    <cfRule type="expression" dxfId="0" priority="4902">
      <formula>($A1031&lt;&gt;"")*(#REF!&lt;&gt;"")</formula>
    </cfRule>
  </conditionalFormatting>
  <conditionalFormatting sqref="P1038:Q1038 M1038">
    <cfRule type="expression" dxfId="0" priority="4035">
      <formula>($A1038&lt;&gt;"")*(#REF!&lt;&gt;"")</formula>
    </cfRule>
  </conditionalFormatting>
  <conditionalFormatting sqref="P1039:Q1039 M1039">
    <cfRule type="expression" dxfId="0" priority="4686">
      <formula>($A1039&lt;&gt;"")*(#REF!&lt;&gt;"")</formula>
    </cfRule>
  </conditionalFormatting>
  <conditionalFormatting sqref="P1040:R1041 M1040:M1041">
    <cfRule type="expression" dxfId="0" priority="4896">
      <formula>($A1040&lt;&gt;"")*(#REF!&lt;&gt;"")</formula>
    </cfRule>
  </conditionalFormatting>
  <conditionalFormatting sqref="P1040:Q1041">
    <cfRule type="expression" dxfId="1" priority="4898">
      <formula>($A1040&lt;&gt;"")*(#REF!&lt;&gt;"")</formula>
    </cfRule>
  </conditionalFormatting>
  <conditionalFormatting sqref="M1172:M1173 Q1165 M1165 O1163 Q1163 C1150 C1138 A1138 Q1138 E1138:G1138 M1111 U1110 M1105 Q1057:Q1058 T1057:U1058 E1152:G1152 Q1140 A1140 E1140:G1140 C1140 A1142 E1142:G1142 Q1142 C1145:C1146 O1146:R1146 T1139 T1143 T1146 Q1147:Q1148 E1150:G1150 Q1150 E1145:G1148 M1142:O1142 M1145:R1145 M1150:O1150 M1147:O1148 M1140:O1140 M1138:O1138 M1146 M1152:R1152 J1145:K1148 J1150:K1150 J1142:K1142 J1140:K1140 J1152:K1152 J1138:K1138">
    <cfRule type="expression" dxfId="0" priority="4868">
      <formula>(#REF!&lt;&gt;"")*(#REF!&lt;&gt;"")</formula>
    </cfRule>
  </conditionalFormatting>
  <conditionalFormatting sqref="Q1079:Q1080 K1057:K1058 E1057:F1058 A1057:A1058 M1057:N1058">
    <cfRule type="expression" dxfId="0" priority="4866">
      <formula>(#REF!&lt;&gt;"")*(#REF!&lt;&gt;"")</formula>
    </cfRule>
  </conditionalFormatting>
  <conditionalFormatting sqref="J1165 P1138:Q1138 P1057:Q1058 P1140:Q1140 P1142:Q1142">
    <cfRule type="expression" dxfId="1" priority="4865">
      <formula>(#REF!&lt;&gt;"")*(#REF!&lt;&gt;"")</formula>
    </cfRule>
  </conditionalFormatting>
  <conditionalFormatting sqref="P1064:Q1065">
    <cfRule type="expression" dxfId="1" priority="4862">
      <formula>(#REF!&lt;&gt;"")*(#REF!&lt;&gt;"")</formula>
    </cfRule>
  </conditionalFormatting>
  <conditionalFormatting sqref="Q1077 M1077:M1080">
    <cfRule type="expression" dxfId="0" priority="4867">
      <formula>(#REF!&lt;&gt;"")*(#REF!&lt;&gt;"")</formula>
    </cfRule>
  </conditionalFormatting>
  <conditionalFormatting sqref="Q1085 M1085">
    <cfRule type="expression" dxfId="0" priority="4845">
      <formula>(#REF!&lt;&gt;"")*(#REF!&lt;&gt;"")</formula>
    </cfRule>
  </conditionalFormatting>
  <conditionalFormatting sqref="A1127 O1110:R1110 J1105 J1089">
    <cfRule type="expression" dxfId="1" priority="4864">
      <formula>(#REF!&lt;&gt;"")*(A$1&lt;&gt;"")</formula>
    </cfRule>
  </conditionalFormatting>
  <conditionalFormatting sqref="E1106:G1107 M1106:R1106 J1106:K1106">
    <cfRule type="expression" dxfId="0" priority="4857">
      <formula>(#REF!&lt;&gt;"")*(E$1&lt;&gt;"")</formula>
    </cfRule>
  </conditionalFormatting>
  <conditionalFormatting sqref="A1109 E1109:G1109 J1109:K1109 M1109 O1109:Q1109">
    <cfRule type="expression" dxfId="1" priority="4852">
      <formula>(#REF!&lt;&gt;"")*(A$1&lt;&gt;"")</formula>
    </cfRule>
  </conditionalFormatting>
  <conditionalFormatting sqref="A1110 J1110:K1110 M1110 E1110:G1110">
    <cfRule type="expression" dxfId="1" priority="4855">
      <formula>(#REF!&lt;&gt;"")*(A$1&lt;&gt;"")</formula>
    </cfRule>
  </conditionalFormatting>
  <conditionalFormatting sqref="T1110 M1110 K1110">
    <cfRule type="expression" dxfId="0" priority="4854">
      <formula>(#REF!&lt;&gt;"")*(#REF!&lt;&gt;"")</formula>
    </cfRule>
  </conditionalFormatting>
  <conditionalFormatting sqref="A1112:A1114 J1112:K1114 M1112:M1114 E1112:G1114 O1112:R1114">
    <cfRule type="expression" dxfId="1" priority="4863">
      <formula>(#REF!&lt;&gt;"")*(A$1&lt;&gt;"")</formula>
    </cfRule>
  </conditionalFormatting>
  <conditionalFormatting sqref="M1112:M1114 K1112:K1114 T1112:U1114">
    <cfRule type="expression" dxfId="0" priority="4858">
      <formula>(#REF!&lt;&gt;"")*(#REF!&lt;&gt;"")</formula>
    </cfRule>
  </conditionalFormatting>
  <conditionalFormatting sqref="K1127 E1127:G1127 M1127">
    <cfRule type="expression" dxfId="1" priority="4848">
      <formula>(#REF!&lt;&gt;"")*(E$1&lt;&gt;"")</formula>
    </cfRule>
  </conditionalFormatting>
  <conditionalFormatting sqref="Q1161 A1138 K1138 Q1167:Q1169 K1140 A1140 M1140:R1140 M1138:R1138">
    <cfRule type="expression" dxfId="0" priority="4839">
      <formula>(#REF!&lt;&gt;"")*(#REF!&lt;&gt;"")</formula>
    </cfRule>
  </conditionalFormatting>
  <conditionalFormatting sqref="C1139 A1139 Q1139 E1139:G1139 M1139:O1139 J1139:K1139">
    <cfRule type="expression" dxfId="0" priority="4683">
      <formula>(#REF!&lt;&gt;"")*(#REF!&lt;&gt;"")</formula>
    </cfRule>
  </conditionalFormatting>
  <conditionalFormatting sqref="A1139 K1139 M1139:R1139">
    <cfRule type="expression" dxfId="0" priority="4681">
      <formula>(#REF!&lt;&gt;"")*(#REF!&lt;&gt;"")</formula>
    </cfRule>
  </conditionalFormatting>
  <conditionalFormatting sqref="Q1173 C1144 A1144 K1144 E1144:G1144 M1142 T1141 M1144:R1144">
    <cfRule type="expression" dxfId="0" priority="4842">
      <formula>(#REF!&lt;&gt;"")*(#REF!&lt;&gt;"")</formula>
    </cfRule>
  </conditionalFormatting>
  <conditionalFormatting sqref="Q1141 E1141:G1141 A1141 O1141 M1141 J1141:K1141">
    <cfRule type="expression" dxfId="0" priority="4675">
      <formula>(#REF!&lt;&gt;"")*(#REF!&lt;&gt;"")</formula>
    </cfRule>
  </conditionalFormatting>
  <conditionalFormatting sqref="O1141:R1141 A1141 C1141 E1141:G1141 K1141">
    <cfRule type="expression" dxfId="0" priority="4673">
      <formula>(#REF!&lt;&gt;"")*(#REF!&lt;&gt;"")</formula>
    </cfRule>
  </conditionalFormatting>
  <conditionalFormatting sqref="N1150:R1150 K1142 E1142:G1142 C1142 A1142 N1142:R1142">
    <cfRule type="expression" dxfId="0" priority="4844">
      <formula>(#REF!&lt;&gt;"")*(#REF!&lt;&gt;"")</formula>
    </cfRule>
  </conditionalFormatting>
  <conditionalFormatting sqref="Q1143 E1143:G1143 A1143 M1143:O1143 J1143:K1143">
    <cfRule type="expression" dxfId="0" priority="4679">
      <formula>(#REF!&lt;&gt;"")*(#REF!&lt;&gt;"")</formula>
    </cfRule>
  </conditionalFormatting>
  <conditionalFormatting sqref="A1143 K1143 E1143:G1143 M1143:R1143">
    <cfRule type="expression" dxfId="0" priority="4677">
      <formula>(#REF!&lt;&gt;"")*(#REF!&lt;&gt;"")</formula>
    </cfRule>
  </conditionalFormatting>
  <conditionalFormatting sqref="C1147:C1148 E1147:E1148">
    <cfRule type="expression" dxfId="0" priority="4838">
      <formula>(#REF!&lt;&gt;"")*(#REF!&lt;&gt;"")</formula>
    </cfRule>
  </conditionalFormatting>
  <conditionalFormatting sqref="N1147:Q1148 F1147:G1148">
    <cfRule type="expression" dxfId="0" priority="4832">
      <formula>(#REF!&lt;&gt;"")*(#REF!&lt;&gt;"")</formula>
    </cfRule>
  </conditionalFormatting>
  <conditionalFormatting sqref="K1147:K1148 M1147:M1148">
    <cfRule type="expression" dxfId="0" priority="4834">
      <formula>(#REF!&lt;&gt;"")*(#REF!&lt;&gt;"")</formula>
    </cfRule>
  </conditionalFormatting>
  <conditionalFormatting sqref="C1149 E1149">
    <cfRule type="expression" dxfId="0" priority="4507">
      <formula>(#REF!&lt;&gt;"")*(#REF!&lt;&gt;"")</formula>
    </cfRule>
  </conditionalFormatting>
  <conditionalFormatting sqref="Q1149 E1149:G1149 J1149:K1149 O1149 M1149">
    <cfRule type="expression" dxfId="0" priority="4508">
      <formula>(#REF!&lt;&gt;"")*(#REF!&lt;&gt;"")</formula>
    </cfRule>
  </conditionalFormatting>
  <conditionalFormatting sqref="F1149:G1149 O1149:Q1149">
    <cfRule type="expression" dxfId="0" priority="4504">
      <formula>(#REF!&lt;&gt;"")*(#REF!&lt;&gt;"")</formula>
    </cfRule>
  </conditionalFormatting>
  <conditionalFormatting sqref="K1149 M1149">
    <cfRule type="expression" dxfId="0" priority="4506">
      <formula>(#REF!&lt;&gt;"")*(#REF!&lt;&gt;"")</formula>
    </cfRule>
  </conditionalFormatting>
  <conditionalFormatting sqref="C1151 Q1151 E1151:G1151 A1151 M1151:O1151 J1151:K1151">
    <cfRule type="expression" dxfId="0" priority="4669">
      <formula>(#REF!&lt;&gt;"")*(#REF!&lt;&gt;"")</formula>
    </cfRule>
  </conditionalFormatting>
  <conditionalFormatting sqref="O1159:O1160 O1162 O1164 O1167 O1169">
    <cfRule type="expression" dxfId="0" priority="4840">
      <formula>(#REF!&lt;&gt;"")*(#REF!&lt;&gt;"")</formula>
    </cfRule>
  </conditionalFormatting>
  <conditionalFormatting sqref="M1164 M1162">
    <cfRule type="expression" dxfId="0" priority="4823">
      <formula>(#REF!&lt;&gt;"")*(#REF!&lt;&gt;"")</formula>
    </cfRule>
  </conditionalFormatting>
  <conditionalFormatting sqref="Q1167:Q1169 M1163">
    <cfRule type="expression" dxfId="0" priority="4837">
      <formula>(#REF!&lt;&gt;"")*(#REF!&lt;&gt;"")</formula>
    </cfRule>
  </conditionalFormatting>
  <conditionalFormatting sqref="J1167 J1172">
    <cfRule type="expression" dxfId="1" priority="4841">
      <formula>(#REF!&lt;&gt;"")*(#REF!&lt;&gt;"")</formula>
    </cfRule>
  </conditionalFormatting>
  <conditionalFormatting sqref="K1179:K1180 A1177 K1176 M1176:P1176 M1179:M1180">
    <cfRule type="expression" dxfId="0" priority="4815">
      <formula>($A1176&lt;&gt;"")*(#REF!&lt;&gt;"")</formula>
    </cfRule>
  </conditionalFormatting>
  <conditionalFormatting sqref="P1176 P1177:Q1180">
    <cfRule type="expression" dxfId="1" priority="4817">
      <formula>($A1176&lt;&gt;"")*(#REF!&lt;&gt;"")</formula>
    </cfRule>
  </conditionalFormatting>
  <conditionalFormatting sqref="Q1179:Q1180 E1177:G1180 M1177:R1178 M1179:O1180 J1177:K1180">
    <cfRule type="expression" dxfId="0" priority="4816">
      <formula>($A1177&lt;&gt;"")*(#REF!&lt;&gt;"")</formula>
    </cfRule>
  </conditionalFormatting>
  <conditionalFormatting sqref="N1179:O1180">
    <cfRule type="expression" dxfId="0" priority="4807">
      <formula>($A1179&lt;&gt;"")*(#REF!&lt;&gt;"")</formula>
    </cfRule>
  </conditionalFormatting>
  <conditionalFormatting sqref="P1179:R1180">
    <cfRule type="expression" dxfId="0" priority="4806">
      <formula>($A1179&lt;&gt;"")*(#REF!&lt;&gt;"")</formula>
    </cfRule>
  </conditionalFormatting>
  <conditionalFormatting sqref="Q1314 C1301:C1304 Q1304:Q1307 A1301:A1304 E1301:H1304 E1299:H1299 T1262:U1263 Q1263 N1263:O1263 Q1253:Q1254 M1187 Q1187 M1245:M1246 M1299:R1299 M1301:O1304 J1299:K1299 J1301:K1304">
    <cfRule type="expression" dxfId="0" priority="4765">
      <formula>(#REF!&lt;&gt;"")*(#REF!&lt;&gt;"")</formula>
    </cfRule>
  </conditionalFormatting>
  <conditionalFormatting sqref="M1188 Q1188">
    <cfRule type="expression" dxfId="0" priority="4653">
      <formula>(#REF!&lt;&gt;"")*(#REF!&lt;&gt;"")</formula>
    </cfRule>
  </conditionalFormatting>
  <conditionalFormatting sqref="M1189:M1190 Q1189:Q1190">
    <cfRule type="expression" dxfId="0" priority="4621">
      <formula>(#REF!&lt;&gt;"")*(#REF!&lt;&gt;"")</formula>
    </cfRule>
  </conditionalFormatting>
  <conditionalFormatting sqref="J1205:J1206 A1244 E1244:G1244 J1244:K1244 M1244 O1244:Q1244 J1265:J1266">
    <cfRule type="expression" dxfId="1" priority="4760">
      <formula>(#REF!&lt;&gt;"")*(A$1&lt;&gt;"")</formula>
    </cfRule>
  </conditionalFormatting>
  <conditionalFormatting sqref="M1237 H1236 E1236:F1236 A1236 Q1236:Q1237 K1236 T1236:U1236 M1236:O1236">
    <cfRule type="expression" dxfId="0" priority="4758">
      <formula>(#REF!&lt;&gt;"")*(#REF!&lt;&gt;"")</formula>
    </cfRule>
  </conditionalFormatting>
  <conditionalFormatting sqref="C1238 A1238">
    <cfRule type="expression" dxfId="0" priority="4755">
      <formula>(#REF!&lt;&gt;"")*(A$1&lt;&gt;"")</formula>
    </cfRule>
  </conditionalFormatting>
  <conditionalFormatting sqref="E1238:H1238 K1238 M1238:R1238">
    <cfRule type="expression" dxfId="0" priority="4756">
      <formula>(#REF!&lt;&gt;"")*(E$1&lt;&gt;"")</formula>
    </cfRule>
  </conditionalFormatting>
  <conditionalFormatting sqref="Q1243 M1243">
    <cfRule type="expression" dxfId="0" priority="4754">
      <formula>(#REF!&lt;&gt;"")*(#REF!&lt;&gt;"")</formula>
    </cfRule>
  </conditionalFormatting>
  <conditionalFormatting sqref="M1312 Q1312 P1301:R1302 E1296:H1296 T1244:U1244 M1244 K1244 P1303:Q1303 M1296:R1296 J1296:K1296">
    <cfRule type="expression" dxfId="0" priority="4764">
      <formula>(#REF!&lt;&gt;"")*(#REF!&lt;&gt;"")</formula>
    </cfRule>
  </conditionalFormatting>
  <conditionalFormatting sqref="J1315 Q1305:Q1307 J1305:J1306 P1301:Q1304 P1263:Q1263 Q1253:Q1254">
    <cfRule type="expression" dxfId="1" priority="4761">
      <formula>(#REF!&lt;&gt;"")*(#REF!&lt;&gt;"")</formula>
    </cfRule>
  </conditionalFormatting>
  <conditionalFormatting sqref="A1262 E1262:F1262 K1262 Q1262 M1262:O1262">
    <cfRule type="expression" dxfId="0" priority="4753">
      <formula>(#REF!&lt;&gt;"")*(#REF!&lt;&gt;"")</formula>
    </cfRule>
  </conditionalFormatting>
  <conditionalFormatting sqref="M1270 M1294">
    <cfRule type="expression" dxfId="0" priority="4759">
      <formula>(#REF!&lt;&gt;"")*(#REF!&lt;&gt;"")</formula>
    </cfRule>
  </conditionalFormatting>
  <conditionalFormatting sqref="R1310 E1296:H1296 N1304:R1304">
    <cfRule type="expression" dxfId="0" priority="4750">
      <formula>(#REF!&lt;&gt;"")*(#REF!&lt;&gt;"")</formula>
    </cfRule>
  </conditionalFormatting>
  <conditionalFormatting sqref="A1297:A1298 C1297:C1298 E1297:H1297 M1297:R1297 T1297:T1298 J1297:K1297">
    <cfRule type="expression" dxfId="0" priority="3789">
      <formula>(#REF!&lt;&gt;"")*(#REF!&lt;&gt;"")</formula>
    </cfRule>
  </conditionalFormatting>
  <conditionalFormatting sqref="P1297:Q1298">
    <cfRule type="expression" dxfId="1" priority="3788">
      <formula>(#REF!&lt;&gt;"")*(#REF!&lt;&gt;"")</formula>
    </cfRule>
  </conditionalFormatting>
  <conditionalFormatting sqref="E1298:H1298 M1298 O1298:R1298 J1298:K1298">
    <cfRule type="expression" dxfId="0" priority="3787">
      <formula>(#REF!&lt;&gt;"")*(#REF!&lt;&gt;"")</formula>
    </cfRule>
  </conditionalFormatting>
  <conditionalFormatting sqref="C1299 E1299">
    <cfRule type="expression" dxfId="0" priority="4745">
      <formula>(#REF!&lt;&gt;"")*(#REF!&lt;&gt;"")</formula>
    </cfRule>
  </conditionalFormatting>
  <conditionalFormatting sqref="A1300 C1300 N1300:R1300 E1300:H1300 K1300">
    <cfRule type="expression" dxfId="0" priority="4720">
      <formula>(#REF!&lt;&gt;"")*(#REF!&lt;&gt;"")</formula>
    </cfRule>
  </conditionalFormatting>
  <conditionalFormatting sqref="A1300 Q1300 E1300:H1300 M1300:O1300 J1300:K1300">
    <cfRule type="expression" dxfId="0" priority="4719">
      <formula>(#REF!&lt;&gt;"")*(#REF!&lt;&gt;"")</formula>
    </cfRule>
  </conditionalFormatting>
  <conditionalFormatting sqref="O1307 O1311 Q1310 H1322 O1313">
    <cfRule type="expression" dxfId="0" priority="4747">
      <formula>(#REF!&lt;&gt;"")*(#REF!&lt;&gt;"")</formula>
    </cfRule>
  </conditionalFormatting>
  <conditionalFormatting sqref="P1307 P1310:Q1310">
    <cfRule type="expression" dxfId="1" priority="4748">
      <formula>(#REF!&lt;&gt;"")*(#REF!&lt;&gt;"")</formula>
    </cfRule>
  </conditionalFormatting>
  <conditionalFormatting sqref="R1315 H1322">
    <cfRule type="expression" dxfId="0" priority="4746">
      <formula>(#REF!&lt;&gt;"")*(#REF!&lt;&gt;"")</formula>
    </cfRule>
  </conditionalFormatting>
  <conditionalFormatting sqref="E1323:H1324 E1322:G1322 C1322:C1324 A1322:A1324 Q1322:Q1323 M1322:O1323 M1324:R1324 J1322:K1324">
    <cfRule type="expression" dxfId="0" priority="4729">
      <formula>($A1322&lt;&gt;"")*(#REF!&lt;&gt;"")</formula>
    </cfRule>
  </conditionalFormatting>
  <conditionalFormatting sqref="P1322:Q1324">
    <cfRule type="expression" dxfId="1" priority="4730">
      <formula>($A1322&lt;&gt;"")*(#REF!&lt;&gt;"")</formula>
    </cfRule>
  </conditionalFormatting>
  <conditionalFormatting sqref="C1325:C1328 A1325:A1328 E1325:H1328 J1325:J1328">
    <cfRule type="expression" dxfId="0" priority="4659">
      <formula>(#REF!&lt;&gt;"")*(A$1&lt;&gt;"")</formula>
    </cfRule>
  </conditionalFormatting>
  <conditionalFormatting sqref="K1325:K1328 M1325:R1328">
    <cfRule type="expression" dxfId="0" priority="4660">
      <formula>(#REF!&lt;&gt;"")*(K$1&lt;&gt;"")</formula>
    </cfRule>
  </conditionalFormatting>
  <conditionalFormatting sqref="P1329:Q1329 P1333:Q1336">
    <cfRule type="expression" dxfId="1" priority="5068">
      <formula>(#REF!&lt;&gt;"")*(#REF!&lt;&gt;"")</formula>
    </cfRule>
  </conditionalFormatting>
  <conditionalFormatting sqref="M1330 P1330:Q1330 H1330">
    <cfRule type="expression" dxfId="0" priority="4650">
      <formula>(#REF!&lt;&gt;"")*(#REF!&lt;&gt;"")</formula>
    </cfRule>
  </conditionalFormatting>
  <conditionalFormatting sqref="M1331 P1331:Q1331 H1331">
    <cfRule type="expression" dxfId="0" priority="4646">
      <formula>(#REF!&lt;&gt;"")*(#REF!&lt;&gt;"")</formula>
    </cfRule>
  </conditionalFormatting>
  <conditionalFormatting sqref="M1332 P1332:Q1332 H1332">
    <cfRule type="expression" dxfId="0" priority="4642">
      <formula>(#REF!&lt;&gt;"")*(#REF!&lt;&gt;"")</formula>
    </cfRule>
  </conditionalFormatting>
  <conditionalFormatting sqref="H1337 Q1337 M1337">
    <cfRule type="expression" dxfId="0" priority="4638">
      <formula>(#REF!&lt;&gt;"")*(#REF!&lt;&gt;"")</formula>
    </cfRule>
  </conditionalFormatting>
  <conditionalFormatting sqref="E1445:H1445 M1473 R1447 M1447 Q1416 Q1349 M1349 M1445:R1445 H1446:H1452 J1445:K1445">
    <cfRule type="expression" dxfId="0" priority="4619">
      <formula>(#REF!&lt;&gt;"")*(#REF!&lt;&gt;"")</formula>
    </cfRule>
  </conditionalFormatting>
  <conditionalFormatting sqref="Q1350 M1350">
    <cfRule type="expression" dxfId="0" priority="4517">
      <formula>(#REF!&lt;&gt;"")*(#REF!&lt;&gt;"")</formula>
    </cfRule>
  </conditionalFormatting>
  <conditionalFormatting sqref="Q1351 M1351">
    <cfRule type="expression" dxfId="0" priority="4518">
      <formula>(#REF!&lt;&gt;"")*(#REF!&lt;&gt;"")</formula>
    </cfRule>
  </conditionalFormatting>
  <conditionalFormatting sqref="Q1352 M1352">
    <cfRule type="expression" dxfId="0" priority="4499">
      <formula>(#REF!&lt;&gt;"")*(#REF!&lt;&gt;"")</formula>
    </cfRule>
  </conditionalFormatting>
  <conditionalFormatting sqref="Q1353 M1353">
    <cfRule type="expression" dxfId="0" priority="4516">
      <formula>(#REF!&lt;&gt;"")*(#REF!&lt;&gt;"")</formula>
    </cfRule>
  </conditionalFormatting>
  <conditionalFormatting sqref="Q1354 M1354">
    <cfRule type="expression" dxfId="0" priority="4515">
      <formula>(#REF!&lt;&gt;"")*(#REF!&lt;&gt;"")</formula>
    </cfRule>
  </conditionalFormatting>
  <conditionalFormatting sqref="Q1355 M1355">
    <cfRule type="expression" dxfId="0" priority="4514">
      <formula>(#REF!&lt;&gt;"")*(#REF!&lt;&gt;"")</formula>
    </cfRule>
  </conditionalFormatting>
  <conditionalFormatting sqref="Q1356:Q1357 M1356:M1357">
    <cfRule type="expression" dxfId="0" priority="4513">
      <formula>(#REF!&lt;&gt;"")*(#REF!&lt;&gt;"")</formula>
    </cfRule>
  </conditionalFormatting>
  <conditionalFormatting sqref="Q1358 M1358">
    <cfRule type="expression" dxfId="0" priority="4498">
      <formula>(#REF!&lt;&gt;"")*(#REF!&lt;&gt;"")</formula>
    </cfRule>
  </conditionalFormatting>
  <conditionalFormatting sqref="Q1359 M1359">
    <cfRule type="expression" dxfId="0" priority="4497">
      <formula>(#REF!&lt;&gt;"")*(#REF!&lt;&gt;"")</formula>
    </cfRule>
  </conditionalFormatting>
  <conditionalFormatting sqref="J1433:J1434 J1385:J1387">
    <cfRule type="expression" dxfId="1" priority="4617">
      <formula>(#REF!&lt;&gt;"")*(J$1&lt;&gt;"")</formula>
    </cfRule>
  </conditionalFormatting>
  <conditionalFormatting sqref="P1447 Q1408:Q1416 P1393:Q1393 P1385:Q1387">
    <cfRule type="expression" dxfId="1" priority="4618">
      <formula>(#REF!&lt;&gt;"")*(#REF!&lt;&gt;"")</formula>
    </cfRule>
  </conditionalFormatting>
  <conditionalFormatting sqref="A1407 M1407 E1407:G1407 J1407:K1407 O1407:P1407">
    <cfRule type="expression" dxfId="1" priority="4613">
      <formula>(#REF!&lt;&gt;"")*(A$1&lt;&gt;"")</formula>
    </cfRule>
  </conditionalFormatting>
  <conditionalFormatting sqref="Q1407 M1407 K1407">
    <cfRule type="expression" dxfId="0" priority="4611">
      <formula>(#REF!&lt;&gt;"")*(#REF!&lt;&gt;"")</formula>
    </cfRule>
  </conditionalFormatting>
  <conditionalFormatting sqref="C1445:C1446 T1445 E1446:G1446 Q1408:Q1415 M1446:R1446 J1446:K1446">
    <cfRule type="expression" dxfId="0" priority="4620">
      <formula>(#REF!&lt;&gt;"")*(#REF!&lt;&gt;"")</formula>
    </cfRule>
  </conditionalFormatting>
  <conditionalFormatting sqref="N1443:R1443 A1443 K1443 C1443 E1443:H1443">
    <cfRule type="expression" dxfId="0" priority="4607">
      <formula>(#REF!&lt;&gt;"")*(#REF!&lt;&gt;"")</formula>
    </cfRule>
  </conditionalFormatting>
  <conditionalFormatting sqref="O1444:R1444 A1444 C1444 E1444:H1444 K1444">
    <cfRule type="expression" dxfId="0" priority="4610">
      <formula>(#REF!&lt;&gt;"")*(#REF!&lt;&gt;"")</formula>
    </cfRule>
  </conditionalFormatting>
  <conditionalFormatting sqref="P1453 T1450 T1448 M1457:M1458 P1456:R1457 Q1452 E1451:G1451 Q1448:Q1450 C1448:C1451 A1448:A1452 M1451:O1451 J1451:K1451 Q1458:R1458">
    <cfRule type="expression" dxfId="0" priority="4600">
      <formula>($A1448&lt;&gt;"")*(#REF!&lt;&gt;"")</formula>
    </cfRule>
  </conditionalFormatting>
  <conditionalFormatting sqref="N1449:O1449 A1448:A1450 K1448:K1450 P1451 E1448:G1450 M1450">
    <cfRule type="expression" dxfId="0" priority="4599">
      <formula>($A1448&lt;&gt;"")*(#REF!&lt;&gt;"")</formula>
    </cfRule>
  </conditionalFormatting>
  <conditionalFormatting sqref="E1452:G1452 J1452:K1452 E1448:G1450 M1452:O1452 M1448:O1450 J1448:K1450">
    <cfRule type="expression" dxfId="0" priority="4601">
      <formula>($A1448&lt;&gt;"")*(#REF!&lt;&gt;"")</formula>
    </cfRule>
  </conditionalFormatting>
  <conditionalFormatting sqref="P1451 P1456:Q1457 P1452:Q1452 P1448:Q1450 Q1458">
    <cfRule type="expression" dxfId="1" priority="4602">
      <formula>($A1448&lt;&gt;"")*(#REF!&lt;&gt;"")</formula>
    </cfRule>
  </conditionalFormatting>
  <conditionalFormatting sqref="M1459 Q1459:R1459">
    <cfRule type="expression" dxfId="0" priority="3944">
      <formula>($A1459&lt;&gt;"")*(#REF!&lt;&gt;"")</formula>
    </cfRule>
  </conditionalFormatting>
  <conditionalFormatting sqref="M1460 Q1460:R1460">
    <cfRule type="expression" dxfId="0" priority="3940">
      <formula>($A1460&lt;&gt;"")*(#REF!&lt;&gt;"")</formula>
    </cfRule>
  </conditionalFormatting>
  <conditionalFormatting sqref="N1472 E1472:F1472">
    <cfRule type="expression" dxfId="0" priority="4615">
      <formula>(#REF!&lt;&gt;"")*(E$1&lt;&gt;"")</formula>
    </cfRule>
  </conditionalFormatting>
  <conditionalFormatting sqref="M1472 Q1472">
    <cfRule type="expression" dxfId="0" priority="4573">
      <formula>(#REF!&lt;&gt;"")*(#REF!&lt;&gt;"")</formula>
    </cfRule>
  </conditionalFormatting>
  <conditionalFormatting sqref="P1596:Q1596 P1582:Q1582 P1611:Q1614 P1605:Q1605 J1604 Q1604 P1599:Q1603 P1592:Q1594 P1579:Q1580 P1560:Q1560">
    <cfRule type="expression" dxfId="1" priority="4492">
      <formula>(#REF!&lt;&gt;"")*(#REF!&lt;&gt;"")</formula>
    </cfRule>
  </conditionalFormatting>
  <conditionalFormatting sqref="M1564 Q1564">
    <cfRule type="expression" dxfId="0" priority="4029">
      <formula>(#REF!&lt;&gt;"")*(#REF!&lt;&gt;"")</formula>
    </cfRule>
  </conditionalFormatting>
  <conditionalFormatting sqref="E1602:H1602 A1599 E1599:H1599 C1599 Q1582 N1582:O1582 P1605:Q1605 Q1604 M1604:M1605 C1602 A1601:A1603 H1600 M1585:M1591 T1579:U1582 Q1579:Q1580 M1599:R1599 M1602:R1602 J1599:K1599 J1602:K1602">
    <cfRule type="expression" dxfId="0" priority="4495">
      <formula>(#REF!&lt;&gt;"")*(#REF!&lt;&gt;"")</formula>
    </cfRule>
  </conditionalFormatting>
  <conditionalFormatting sqref="N1579:O1580">
    <cfRule type="expression" dxfId="0" priority="4487">
      <formula>(#REF!&lt;&gt;"")*(#REF!&lt;&gt;"")</formula>
    </cfRule>
  </conditionalFormatting>
  <conditionalFormatting sqref="N1581:O1581 Q1581">
    <cfRule type="expression" dxfId="0" priority="4484">
      <formula>(#REF!&lt;&gt;"")*(#REF!&lt;&gt;"")</formula>
    </cfRule>
  </conditionalFormatting>
  <conditionalFormatting sqref="Q1596 A1596 C1596 E1596:H1596 Q1601 E1601:H1601 E1614:H1614 C1600 A1600 E1600:G1600 M1662:M1663 A1611:A1614 C1603 E1603:H1603 T1600 A1592:A1594 M1603:R1603 M1600:R1600 M1614:R1614 M1601:O1601 M1596:O1596 J1603:K1603 J1614:K1614 J1600:K1601 J1596:K1596">
    <cfRule type="expression" dxfId="0" priority="4494">
      <formula>(#REF!&lt;&gt;"")*(#REF!&lt;&gt;"")</formula>
    </cfRule>
  </conditionalFormatting>
  <conditionalFormatting sqref="A1592 C1592 K1592 E1592:G1592 M1592:Q1592">
    <cfRule type="expression" dxfId="0" priority="4473">
      <formula>(#REF!&lt;&gt;"")*(#REF!&lt;&gt;"")</formula>
    </cfRule>
  </conditionalFormatting>
  <conditionalFormatting sqref="M1616:M1617 T1615 M1610 Q1592:Q1594 E1592:H1594 T1593 M1592:O1594 J1592:K1594">
    <cfRule type="expression" dxfId="0" priority="4493">
      <formula>(#REF!&lt;&gt;"")*(#REF!&lt;&gt;"")</formula>
    </cfRule>
  </conditionalFormatting>
  <conditionalFormatting sqref="R1596 R1593:R1594 C1601 K1601 A1601 N1601:R1601 E1601:H1601">
    <cfRule type="expression" dxfId="0" priority="4482">
      <formula>(#REF!&lt;&gt;"")*(#REF!&lt;&gt;"")</formula>
    </cfRule>
  </conditionalFormatting>
  <conditionalFormatting sqref="K1596 C1593:C1594 E1593:H1594 A1593:A1594 K1593:K1594 M1593:Q1594">
    <cfRule type="expression" dxfId="0" priority="4480">
      <formula>(#REF!&lt;&gt;"")*(#REF!&lt;&gt;"")</formula>
    </cfRule>
  </conditionalFormatting>
  <conditionalFormatting sqref="M1601 H1594 T1599">
    <cfRule type="expression" dxfId="0" priority="4481">
      <formula>(#REF!&lt;&gt;"")*(#REF!&lt;&gt;"")</formula>
    </cfRule>
  </conditionalFormatting>
  <conditionalFormatting sqref="A1595 E1595:H1595 Q1595 M1595:O1595 J1595:K1595">
    <cfRule type="expression" dxfId="0" priority="4462">
      <formula>(#REF!&lt;&gt;"")*(#REF!&lt;&gt;"")</formula>
    </cfRule>
  </conditionalFormatting>
  <conditionalFormatting sqref="C1595 E1595:H1595 A1595 K1595 M1595:Q1595">
    <cfRule type="expression" dxfId="0" priority="4459">
      <formula>(#REF!&lt;&gt;"")*(#REF!&lt;&gt;"")</formula>
    </cfRule>
  </conditionalFormatting>
  <conditionalFormatting sqref="H1595 T1595">
    <cfRule type="expression" dxfId="0" priority="4460">
      <formula>(#REF!&lt;&gt;"")*(#REF!&lt;&gt;"")</formula>
    </cfRule>
  </conditionalFormatting>
  <conditionalFormatting sqref="Q1597:Q1598 E1597:H1598 A1597:A1598 O1597:O1598 M1597:M1598 J1597:K1598">
    <cfRule type="expression" dxfId="0" priority="4457">
      <formula>(#REF!&lt;&gt;"")*(#REF!&lt;&gt;"")</formula>
    </cfRule>
  </conditionalFormatting>
  <conditionalFormatting sqref="K1597:K1598 A1597:A1598 C1597:C1598 E1597:G1598">
    <cfRule type="expression" dxfId="0" priority="4454">
      <formula>(#REF!&lt;&gt;"")*(#REF!&lt;&gt;"")</formula>
    </cfRule>
  </conditionalFormatting>
  <conditionalFormatting sqref="P1597:Q1598">
    <cfRule type="expression" dxfId="1" priority="4456">
      <formula>(#REF!&lt;&gt;"")*(#REF!&lt;&gt;"")</formula>
    </cfRule>
    <cfRule type="expression" dxfId="0" priority="4452">
      <formula>(#REF!&lt;&gt;"")*(#REF!&lt;&gt;"")</formula>
    </cfRule>
  </conditionalFormatting>
  <conditionalFormatting sqref="Q1606 M1606">
    <cfRule type="expression" dxfId="0" priority="4405">
      <formula>($A1606&lt;&gt;"")*(#REF!&lt;&gt;"")</formula>
    </cfRule>
  </conditionalFormatting>
  <conditionalFormatting sqref="P1608 R1608 Q1607:Q1608 K1621 C1620 E1620:H1620 A1620 M1620:R1620 J1620:K1620">
    <cfRule type="expression" dxfId="0" priority="4468">
      <formula>($A1607&lt;&gt;"")*(#REF!&lt;&gt;"")</formula>
    </cfRule>
  </conditionalFormatting>
  <conditionalFormatting sqref="A1613 C1613 E1613:G1613 E1611:G1611">
    <cfRule type="expression" dxfId="0" priority="4441">
      <formula>(#REF!&lt;&gt;"")*(#REF!&lt;&gt;"")</formula>
    </cfRule>
  </conditionalFormatting>
  <conditionalFormatting sqref="Q1611:Q1613 E1611:H1613 M1611:O1613 J1611:K1613">
    <cfRule type="expression" dxfId="0" priority="4444">
      <formula>(#REF!&lt;&gt;"")*(#REF!&lt;&gt;"")</formula>
    </cfRule>
  </conditionalFormatting>
  <conditionalFormatting sqref="H1611:H1613 T1614">
    <cfRule type="expression" dxfId="0" priority="4443">
      <formula>(#REF!&lt;&gt;"")*(#REF!&lt;&gt;"")</formula>
    </cfRule>
  </conditionalFormatting>
  <conditionalFormatting sqref="K1611 K1613">
    <cfRule type="expression" dxfId="0" priority="4438">
      <formula>(#REF!&lt;&gt;"")*(#REF!&lt;&gt;"")</formula>
    </cfRule>
  </conditionalFormatting>
  <conditionalFormatting sqref="M1611 M1613">
    <cfRule type="expression" dxfId="0" priority="4436">
      <formula>(#REF!&lt;&gt;"")*(#REF!&lt;&gt;"")</formula>
    </cfRule>
  </conditionalFormatting>
  <conditionalFormatting sqref="R1611 R1613">
    <cfRule type="expression" dxfId="0" priority="4439">
      <formula>(#REF!&lt;&gt;"")*(#REF!&lt;&gt;"")</formula>
    </cfRule>
  </conditionalFormatting>
  <conditionalFormatting sqref="A1612 E1612:G1612">
    <cfRule type="expression" dxfId="0" priority="4432">
      <formula>(#REF!&lt;&gt;"")*(#REF!&lt;&gt;"")</formula>
    </cfRule>
  </conditionalFormatting>
  <conditionalFormatting sqref="M1618 C1614">
    <cfRule type="expression" dxfId="0" priority="4446">
      <formula>(#REF!&lt;&gt;"")*(#REF!&lt;&gt;"")</formula>
    </cfRule>
  </conditionalFormatting>
  <conditionalFormatting sqref="Q1615 E1615:H1615 A1615 O1615 M1615 J1615:K1615">
    <cfRule type="expression" dxfId="0" priority="4403">
      <formula>(#REF!&lt;&gt;"")*(#REF!&lt;&gt;"")</formula>
    </cfRule>
  </conditionalFormatting>
  <conditionalFormatting sqref="O1615:R1615 A1615 C1615 E1615:H1615 K1615">
    <cfRule type="expression" dxfId="0" priority="4401">
      <formula>(#REF!&lt;&gt;"")*(#REF!&lt;&gt;"")</formula>
    </cfRule>
  </conditionalFormatting>
  <conditionalFormatting sqref="A1621 C1621 M1621:R1621 E1621:H1621">
    <cfRule type="expression" dxfId="0" priority="4420">
      <formula>(#REF!&lt;&gt;"")*(#REF!&lt;&gt;"")</formula>
    </cfRule>
  </conditionalFormatting>
  <conditionalFormatting sqref="A1621 Q1621 E1621:H1621 M1621:O1621 J1621">
    <cfRule type="expression" dxfId="0" priority="4418">
      <formula>(#REF!&lt;&gt;"")*(#REF!&lt;&gt;"")</formula>
    </cfRule>
  </conditionalFormatting>
  <conditionalFormatting sqref="M1622 Q1622">
    <cfRule type="expression" dxfId="0" priority="4397">
      <formula>(#REF!&lt;&gt;"")*(#REF!&lt;&gt;"")</formula>
    </cfRule>
  </conditionalFormatting>
  <conditionalFormatting sqref="M1623 Q1623">
    <cfRule type="expression" dxfId="0" priority="4396">
      <formula>(#REF!&lt;&gt;"")*(#REF!&lt;&gt;"")</formula>
    </cfRule>
  </conditionalFormatting>
  <conditionalFormatting sqref="C1628 A1628 E1628:H1628 M1628:Q1628 J1628:K1628">
    <cfRule type="expression" dxfId="0" priority="4488">
      <formula>(#REF!&lt;&gt;"")*(A$1&lt;&gt;"")</formula>
    </cfRule>
  </conditionalFormatting>
  <conditionalFormatting sqref="J1629:K1629 O1629:P1629">
    <cfRule type="expression" dxfId="1" priority="4416">
      <formula>(#REF!&lt;&gt;"")*(J$1&lt;&gt;"")</formula>
    </cfRule>
  </conditionalFormatting>
  <conditionalFormatting sqref="M1629 K1629 M1631:O1631">
    <cfRule type="expression" dxfId="0" priority="4415">
      <formula>(#REF!&lt;&gt;"")*(#REF!&lt;&gt;"")</formula>
    </cfRule>
  </conditionalFormatting>
  <conditionalFormatting sqref="E1631:G1631 J1631">
    <cfRule type="expression" dxfId="0" priority="4412">
      <formula>(#REF!&lt;&gt;"")*(#REF!&lt;&gt;"")</formula>
    </cfRule>
  </conditionalFormatting>
  <conditionalFormatting sqref="A1640 M1640 E1640:G1640">
    <cfRule type="expression" dxfId="1" priority="4349">
      <formula>(#REF!&lt;&gt;"")*(A$1&lt;&gt;"")</formula>
    </cfRule>
  </conditionalFormatting>
  <conditionalFormatting sqref="J1640:K1640 O1640:P1640">
    <cfRule type="expression" dxfId="1" priority="4345">
      <formula>(#REF!&lt;&gt;"")*(J$1&lt;&gt;"")</formula>
    </cfRule>
  </conditionalFormatting>
  <conditionalFormatting sqref="A1641 M1641 E1641:G1641">
    <cfRule type="expression" dxfId="1" priority="4344">
      <formula>(#REF!&lt;&gt;"")*(A$1&lt;&gt;"")</formula>
    </cfRule>
  </conditionalFormatting>
  <conditionalFormatting sqref="J1641:K1641 O1641:P1641">
    <cfRule type="expression" dxfId="1" priority="4342">
      <formula>(#REF!&lt;&gt;"")*(J$1&lt;&gt;"")</formula>
    </cfRule>
  </conditionalFormatting>
  <conditionalFormatting sqref="Q1641 M1641 K1641">
    <cfRule type="expression" dxfId="0" priority="4340">
      <formula>(#REF!&lt;&gt;"")*(#REF!&lt;&gt;"")</formula>
    </cfRule>
  </conditionalFormatting>
  <conditionalFormatting sqref="E1650:F1650 A1650 K1650 M1650">
    <cfRule type="expression" dxfId="1" priority="4393">
      <formula>(#REF!&lt;&gt;"")*(A$1&lt;&gt;"")</formula>
    </cfRule>
  </conditionalFormatting>
  <conditionalFormatting sqref="O1650:Q1650 G1650:H1650">
    <cfRule type="expression" dxfId="1" priority="4392">
      <formula>(#REF!&lt;&gt;"")*(G$1&lt;&gt;"")</formula>
    </cfRule>
  </conditionalFormatting>
  <conditionalFormatting sqref="Q1651:Q1653 M1651:M1653">
    <cfRule type="expression" dxfId="0" priority="4391">
      <formula>(#REF!&lt;&gt;"")*(#REF!&lt;&gt;"")</formula>
    </cfRule>
  </conditionalFormatting>
  <conditionalFormatting sqref="Q1658 E1658:H1658 A1658 O1658 M1658 J1658:K1658">
    <cfRule type="expression" dxfId="0" priority="4073">
      <formula>(#REF!&lt;&gt;"")*(#REF!&lt;&gt;"")</formula>
    </cfRule>
  </conditionalFormatting>
  <conditionalFormatting sqref="O1658:Q1658 A1658 C1658 E1658:H1658 K1658">
    <cfRule type="expression" dxfId="0" priority="4071">
      <formula>(#REF!&lt;&gt;"")*(#REF!&lt;&gt;"")</formula>
    </cfRule>
  </conditionalFormatting>
  <conditionalFormatting sqref="Q1659 E1659:H1659 A1659 O1659 M1659 J1659:K1659">
    <cfRule type="expression" dxfId="0" priority="4067">
      <formula>(#REF!&lt;&gt;"")*(#REF!&lt;&gt;"")</formula>
    </cfRule>
  </conditionalFormatting>
  <conditionalFormatting sqref="O1659:Q1659 A1659 C1659 E1659:H1659 K1659">
    <cfRule type="expression" dxfId="0" priority="4065">
      <formula>(#REF!&lt;&gt;"")*(#REF!&lt;&gt;"")</formula>
    </cfRule>
  </conditionalFormatting>
  <conditionalFormatting sqref="Q1661 J1661">
    <cfRule type="expression" dxfId="1" priority="4031">
      <formula>(#REF!&lt;&gt;"")*(#REF!&lt;&gt;"")</formula>
    </cfRule>
  </conditionalFormatting>
  <conditionalFormatting sqref="Q1662 J1662">
    <cfRule type="expression" dxfId="1" priority="4388">
      <formula>(#REF!&lt;&gt;"")*(#REF!&lt;&gt;"")</formula>
    </cfRule>
  </conditionalFormatting>
  <conditionalFormatting sqref="J1748 M1756:M1757 J1716:K1716">
    <cfRule type="expression" dxfId="1" priority="4386">
      <formula>(#REF!&lt;&gt;"")*(J$1&lt;&gt;"")</formula>
    </cfRule>
  </conditionalFormatting>
  <conditionalFormatting sqref="P1748 P1726">
    <cfRule type="expression" dxfId="1" priority="4383">
      <formula>(#REF!&lt;&gt;"")*(#REF!&lt;&gt;"")</formula>
    </cfRule>
  </conditionalFormatting>
  <conditionalFormatting sqref="M2027:M2029 J2004 J1914:J1921 O1758:P1758 M2034:M2035">
    <cfRule type="expression" dxfId="1" priority="4323">
      <formula>(#REF!&lt;&gt;"")*(J$1&lt;&gt;"")</formula>
    </cfRule>
  </conditionalFormatting>
  <conditionalFormatting sqref="M1759 Q1759">
    <cfRule type="expression" dxfId="0" priority="4249">
      <formula>(#REF!&lt;&gt;"")*(#REF!&lt;&gt;"")</formula>
    </cfRule>
  </conditionalFormatting>
  <conditionalFormatting sqref="Q1767 M1767 Q1760:Q1765 M1760:M1765 A1951:A1952 Q1937:Q1940">
    <cfRule type="expression" dxfId="0" priority="4328">
      <formula>(#REF!&lt;&gt;"")*(#REF!&lt;&gt;"")</formula>
    </cfRule>
  </conditionalFormatting>
  <conditionalFormatting sqref="M1766 Q1766">
    <cfRule type="expression" dxfId="0" priority="4260">
      <formula>(#REF!&lt;&gt;"")*(#REF!&lt;&gt;"")</formula>
    </cfRule>
  </conditionalFormatting>
  <conditionalFormatting sqref="Q1896 M1896 A1955 E1955:H1955 Q1955 C1955 Q1941 Q1769:Q1779 M1769:M1779 Q1951:Q1952 E1951:H1952 M1951:O1952 M1955:O1955 J1951:J1952 J1955">
    <cfRule type="expression" dxfId="0" priority="4327">
      <formula>(#REF!&lt;&gt;"")*(#REF!&lt;&gt;"")</formula>
    </cfRule>
  </conditionalFormatting>
  <conditionalFormatting sqref="Q1780 M1780">
    <cfRule type="expression" dxfId="0" priority="4307">
      <formula>(#REF!&lt;&gt;"")*(#REF!&lt;&gt;"")</formula>
    </cfRule>
  </conditionalFormatting>
  <conditionalFormatting sqref="P1812:Q1817">
    <cfRule type="expression" dxfId="1" priority="4322">
      <formula>(#REF!&lt;&gt;"")*(#REF!&lt;&gt;"")</formula>
    </cfRule>
  </conditionalFormatting>
  <conditionalFormatting sqref="E1818:E1819 A1818:A1819 G1818:H1819 M1818:Q1819">
    <cfRule type="expression" dxfId="1" priority="4321">
      <formula>(#REF!&lt;&gt;"")*(A$1&lt;&gt;"")</formula>
    </cfRule>
  </conditionalFormatting>
  <conditionalFormatting sqref="P1955:Q1955 P2005:Q2005 P1998:Q1998 P1951:Q1953 Q1937:Q1941 P1843:Q1843">
    <cfRule type="expression" dxfId="1" priority="4324">
      <formula>(#REF!&lt;&gt;"")*(#REF!&lt;&gt;"")</formula>
    </cfRule>
  </conditionalFormatting>
  <conditionalFormatting sqref="M1890 Q1890">
    <cfRule type="expression" dxfId="0" priority="4325">
      <formula>(#REF!&lt;&gt;"")*(#REF!&lt;&gt;"")</formula>
    </cfRule>
  </conditionalFormatting>
  <conditionalFormatting sqref="M2025:M2026 M2020:M2021 M2000:M2001 C1998 A1998 E1998:G1998 M1994 M1987:M1988 Q1984 M1983:M1984 A1953 E1953:H1953 Q1953 A1945 E1945:H1945 C1945 M1892:M1895 Q1892:Q1895 M1953:O1953 M1998:R1998 J1998 J1953">
    <cfRule type="expression" dxfId="0" priority="4326">
      <formula>(#REF!&lt;&gt;"")*(#REF!&lt;&gt;"")</formula>
    </cfRule>
  </conditionalFormatting>
  <conditionalFormatting sqref="Q1945 M1945:O1945">
    <cfRule type="expression" dxfId="0" priority="4296">
      <formula>(#REF!&lt;&gt;"")*(#REF!&lt;&gt;"")</formula>
    </cfRule>
  </conditionalFormatting>
  <conditionalFormatting sqref="M1945 T1946">
    <cfRule type="expression" dxfId="0" priority="4294">
      <formula>(#REF!&lt;&gt;"")*(#REF!&lt;&gt;"")</formula>
    </cfRule>
  </conditionalFormatting>
  <conditionalFormatting sqref="E1946:H1946 Q1946 A1946 C1946 O1946 M1946 J1946">
    <cfRule type="expression" dxfId="0" priority="4276">
      <formula>(#REF!&lt;&gt;"")*(#REF!&lt;&gt;"")</formula>
    </cfRule>
  </conditionalFormatting>
  <conditionalFormatting sqref="A1946 O1946:Q1946 M1946">
    <cfRule type="expression" dxfId="0" priority="4274">
      <formula>(#REF!&lt;&gt;"")*(#REF!&lt;&gt;"")</formula>
    </cfRule>
  </conditionalFormatting>
  <conditionalFormatting sqref="E1947:H1947 Q1947 A1947 C1947 O1947 M1947 J1947">
    <cfRule type="expression" dxfId="0" priority="3936">
      <formula>(#REF!&lt;&gt;"")*(#REF!&lt;&gt;"")</formula>
    </cfRule>
  </conditionalFormatting>
  <conditionalFormatting sqref="A1947 O1947:Q1947 M1947">
    <cfRule type="expression" dxfId="0" priority="3934">
      <formula>(#REF!&lt;&gt;"")*(#REF!&lt;&gt;"")</formula>
    </cfRule>
  </conditionalFormatting>
  <conditionalFormatting sqref="E1949:H1949 Q1949 A1949 C1949 O1949 M1949 J1949">
    <cfRule type="expression" dxfId="0" priority="3928">
      <formula>(#REF!&lt;&gt;"")*(#REF!&lt;&gt;"")</formula>
    </cfRule>
  </conditionalFormatting>
  <conditionalFormatting sqref="A1949 O1949:Q1949 M1949">
    <cfRule type="expression" dxfId="0" priority="3926">
      <formula>(#REF!&lt;&gt;"")*(#REF!&lt;&gt;"")</formula>
    </cfRule>
  </conditionalFormatting>
  <conditionalFormatting sqref="A1951 C1951 N1951:R1951 E1951:H1951">
    <cfRule type="expression" dxfId="0" priority="4300">
      <formula>(#REF!&lt;&gt;"")*(#REF!&lt;&gt;"")</formula>
    </cfRule>
  </conditionalFormatting>
  <conditionalFormatting sqref="N1952:R1952 A1952 H1953 C1952 E1952:H1952 P1955:R1955">
    <cfRule type="expression" dxfId="0" priority="4305">
      <formula>(#REF!&lt;&gt;"")*(#REF!&lt;&gt;"")</formula>
    </cfRule>
  </conditionalFormatting>
  <conditionalFormatting sqref="A1953 E1953:G1953 M1953:R1953">
    <cfRule type="expression" dxfId="0" priority="4301">
      <formula>(#REF!&lt;&gt;"")*(#REF!&lt;&gt;"")</formula>
    </cfRule>
  </conditionalFormatting>
  <conditionalFormatting sqref="C1954 Q1954 E1954:H1954 A1954 M1954:O1954 J1954">
    <cfRule type="expression" dxfId="0" priority="4270">
      <formula>(#REF!&lt;&gt;"")*(#REF!&lt;&gt;"")</formula>
    </cfRule>
  </conditionalFormatting>
  <conditionalFormatting sqref="M1958 Q1958">
    <cfRule type="expression" dxfId="0" priority="4264">
      <formula>(#REF!&lt;&gt;"")*(#REF!&lt;&gt;"")</formula>
    </cfRule>
  </conditionalFormatting>
  <conditionalFormatting sqref="M1959 Q1959">
    <cfRule type="expression" dxfId="0" priority="4263">
      <formula>(#REF!&lt;&gt;"")*(#REF!&lt;&gt;"")</formula>
    </cfRule>
  </conditionalFormatting>
  <conditionalFormatting sqref="M1960 Q1960">
    <cfRule type="expression" dxfId="0" priority="4183">
      <formula>(#REF!&lt;&gt;"")*(#REF!&lt;&gt;"")</formula>
    </cfRule>
  </conditionalFormatting>
  <conditionalFormatting sqref="M1961 Q1961">
    <cfRule type="expression" dxfId="0" priority="4164">
      <formula>(#REF!&lt;&gt;"")*(#REF!&lt;&gt;"")</formula>
    </cfRule>
  </conditionalFormatting>
  <conditionalFormatting sqref="M1962 Q1962">
    <cfRule type="expression" dxfId="0" priority="4126">
      <formula>(#REF!&lt;&gt;"")*(#REF!&lt;&gt;"")</formula>
    </cfRule>
  </conditionalFormatting>
  <conditionalFormatting sqref="M1963 Q1963">
    <cfRule type="expression" dxfId="0" priority="4262">
      <formula>(#REF!&lt;&gt;"")*(#REF!&lt;&gt;"")</formula>
    </cfRule>
  </conditionalFormatting>
  <conditionalFormatting sqref="M1964 Q1964">
    <cfRule type="expression" dxfId="0" priority="4261">
      <formula>(#REF!&lt;&gt;"")*(#REF!&lt;&gt;"")</formula>
    </cfRule>
  </conditionalFormatting>
  <conditionalFormatting sqref="Q1986 P1983:Q1983 A1966 C1966 E1977:H1977 M1966:R1966 E1978:G1982 H1978:H1998 E1966:G1966 J1966 M1977:R1982 C1977:C1982 A1977:A1982 J1977:J1982">
    <cfRule type="expression" dxfId="0" priority="4290">
      <formula>(#REF!&lt;&gt;"")*(#REF!&lt;&gt;"")</formula>
    </cfRule>
  </conditionalFormatting>
  <conditionalFormatting sqref="Q1986 P1966:Q1966 P1977:Q1983">
    <cfRule type="expression" dxfId="1" priority="4289">
      <formula>(#REF!&lt;&gt;"")*(#REF!&lt;&gt;"")</formula>
    </cfRule>
  </conditionalFormatting>
  <conditionalFormatting sqref="A1967 C1967 N1967:Q1967 E1967:H1967">
    <cfRule type="expression" dxfId="0" priority="3918">
      <formula>(#REF!&lt;&gt;"")*(#REF!&lt;&gt;"")</formula>
    </cfRule>
  </conditionalFormatting>
  <conditionalFormatting sqref="Q1967 E1967:H1967 M1967:O1967 J1967">
    <cfRule type="expression" dxfId="0" priority="3921">
      <formula>(#REF!&lt;&gt;"")*(#REF!&lt;&gt;"")</formula>
    </cfRule>
  </conditionalFormatting>
  <conditionalFormatting sqref="A1968 C1968 Q1968 E1968:H1968">
    <cfRule type="expression" dxfId="0" priority="3911">
      <formula>(#REF!&lt;&gt;"")*(#REF!&lt;&gt;"")</formula>
    </cfRule>
  </conditionalFormatting>
  <conditionalFormatting sqref="Q1968 E1968:H1968 M1968 J1968">
    <cfRule type="expression" dxfId="0" priority="3914">
      <formula>(#REF!&lt;&gt;"")*(#REF!&lt;&gt;"")</formula>
    </cfRule>
  </conditionalFormatting>
  <conditionalFormatting sqref="A1969 C1969 Q1969 E1969:H1969">
    <cfRule type="expression" dxfId="0" priority="3897">
      <formula>(#REF!&lt;&gt;"")*(#REF!&lt;&gt;"")</formula>
    </cfRule>
  </conditionalFormatting>
  <conditionalFormatting sqref="Q1969 E1969:H1969 M1969 J1969">
    <cfRule type="expression" dxfId="0" priority="3900">
      <formula>(#REF!&lt;&gt;"")*(#REF!&lt;&gt;"")</formula>
    </cfRule>
  </conditionalFormatting>
  <conditionalFormatting sqref="A1970 C1970 Q1970 E1970:H1970">
    <cfRule type="expression" dxfId="0" priority="3884">
      <formula>(#REF!&lt;&gt;"")*(#REF!&lt;&gt;"")</formula>
    </cfRule>
  </conditionalFormatting>
  <conditionalFormatting sqref="Q1970 E1970:H1970 M1970 J1970">
    <cfRule type="expression" dxfId="0" priority="3887">
      <formula>(#REF!&lt;&gt;"")*(#REF!&lt;&gt;"")</formula>
    </cfRule>
  </conditionalFormatting>
  <conditionalFormatting sqref="A1971 C1971 Q1971 E1971:H1971">
    <cfRule type="expression" dxfId="0" priority="3871">
      <formula>(#REF!&lt;&gt;"")*(#REF!&lt;&gt;"")</formula>
    </cfRule>
  </conditionalFormatting>
  <conditionalFormatting sqref="Q1971 E1971:H1971 M1971 J1971">
    <cfRule type="expression" dxfId="0" priority="3874">
      <formula>(#REF!&lt;&gt;"")*(#REF!&lt;&gt;"")</formula>
    </cfRule>
  </conditionalFormatting>
  <conditionalFormatting sqref="A1972 C1972 Q1972 E1972:H1972">
    <cfRule type="expression" dxfId="0" priority="3858">
      <formula>(#REF!&lt;&gt;"")*(#REF!&lt;&gt;"")</formula>
    </cfRule>
  </conditionalFormatting>
  <conditionalFormatting sqref="Q1972 E1972:H1972 M1972 J1972">
    <cfRule type="expression" dxfId="0" priority="3861">
      <formula>(#REF!&lt;&gt;"")*(#REF!&lt;&gt;"")</formula>
    </cfRule>
  </conditionalFormatting>
  <conditionalFormatting sqref="A1973 C1973 Q1973 E1973:H1973">
    <cfRule type="expression" dxfId="0" priority="3845">
      <formula>(#REF!&lt;&gt;"")*(#REF!&lt;&gt;"")</formula>
    </cfRule>
  </conditionalFormatting>
  <conditionalFormatting sqref="Q1973 E1973:H1973 M1973 J1973">
    <cfRule type="expression" dxfId="0" priority="3848">
      <formula>(#REF!&lt;&gt;"")*(#REF!&lt;&gt;"")</formula>
    </cfRule>
  </conditionalFormatting>
  <conditionalFormatting sqref="A1974 C1974 Q1974 E1974:H1974">
    <cfRule type="expression" dxfId="0" priority="3832">
      <formula>(#REF!&lt;&gt;"")*(#REF!&lt;&gt;"")</formula>
    </cfRule>
  </conditionalFormatting>
  <conditionalFormatting sqref="Q1974 E1974:H1974 M1974 J1974">
    <cfRule type="expression" dxfId="0" priority="3835">
      <formula>(#REF!&lt;&gt;"")*(#REF!&lt;&gt;"")</formula>
    </cfRule>
  </conditionalFormatting>
  <conditionalFormatting sqref="A1975 C1975 Q1975 E1975:H1975">
    <cfRule type="expression" dxfId="0" priority="3819">
      <formula>(#REF!&lt;&gt;"")*(#REF!&lt;&gt;"")</formula>
    </cfRule>
  </conditionalFormatting>
  <conditionalFormatting sqref="Q1975 E1975:H1975 M1975 J1975">
    <cfRule type="expression" dxfId="0" priority="3822">
      <formula>(#REF!&lt;&gt;"")*(#REF!&lt;&gt;"")</formula>
    </cfRule>
  </conditionalFormatting>
  <conditionalFormatting sqref="A1979 C1979 N1979:Q1979 E1979:G1979">
    <cfRule type="expression" dxfId="0" priority="4283">
      <formula>(#REF!&lt;&gt;"")*(#REF!&lt;&gt;"")</formula>
    </cfRule>
  </conditionalFormatting>
  <conditionalFormatting sqref="J1984 Q1986">
    <cfRule type="expression" dxfId="1" priority="4287">
      <formula>(#REF!&lt;&gt;"")*(#REF!&lt;&gt;"")</formula>
    </cfRule>
  </conditionalFormatting>
  <conditionalFormatting sqref="Q1990 M1990">
    <cfRule type="expression" dxfId="0" priority="4248">
      <formula>(#REF!&lt;&gt;"")*(#REF!&lt;&gt;"")</formula>
    </cfRule>
  </conditionalFormatting>
  <conditionalFormatting sqref="Q1991 M1991">
    <cfRule type="expression" dxfId="0" priority="4250">
      <formula>(#REF!&lt;&gt;"")*(#REF!&lt;&gt;"")</formula>
    </cfRule>
  </conditionalFormatting>
  <conditionalFormatting sqref="G1997 N1997:O1997 A1997 E1997 Q1996:Q1997 M1996:M1997 T1996:U1996 J1997">
    <cfRule type="expression" dxfId="0" priority="4257">
      <formula>(#REF!&lt;&gt;"")*(#REF!&lt;&gt;"")</formula>
    </cfRule>
  </conditionalFormatting>
  <conditionalFormatting sqref="E1996 J1996 M1996:O1996">
    <cfRule type="expression" dxfId="0" priority="4256">
      <formula>(#REF!&lt;&gt;"")*(#REF!&lt;&gt;"")</formula>
    </cfRule>
  </conditionalFormatting>
  <conditionalFormatting sqref="P1996:Q1997">
    <cfRule type="expression" dxfId="1" priority="4258">
      <formula>(#REF!&lt;&gt;"")*(#REF!&lt;&gt;"")</formula>
    </cfRule>
  </conditionalFormatting>
  <conditionalFormatting sqref="C1999 A1999 E1999:H1999 O1999:R1999 M1999 H2000:H2021 J1999">
    <cfRule type="expression" dxfId="0" priority="4231">
      <formula>(#REF!&lt;&gt;"")*(#REF!&lt;&gt;"")</formula>
    </cfRule>
  </conditionalFormatting>
  <conditionalFormatting sqref="M2005 P2005:Q2005 Q2002 M2002">
    <cfRule type="expression" dxfId="0" priority="4253">
      <formula>(#REF!&lt;&gt;"")*(#REF!&lt;&gt;"")</formula>
    </cfRule>
  </conditionalFormatting>
  <conditionalFormatting sqref="J2027:J2028 J2031:J2034">
    <cfRule type="expression" dxfId="1" priority="4245">
      <formula>(#REF!&lt;&gt;"")*(J$1&lt;&gt;"")</formula>
    </cfRule>
  </conditionalFormatting>
  <conditionalFormatting sqref="M2090 M2093:M2094">
    <cfRule type="expression" dxfId="0" priority="4111">
      <formula>(#REF!&lt;&gt;"")*(#REF!&lt;&gt;"")</formula>
    </cfRule>
  </conditionalFormatting>
  <conditionalFormatting sqref="Q2090 Q2093:Q2094">
    <cfRule type="expression" dxfId="0" priority="4112">
      <formula>(#REF!&lt;&gt;"")*(#REF!&lt;&gt;"")</formula>
    </cfRule>
  </conditionalFormatting>
  <conditionalFormatting sqref="Q2131 Q2133">
    <cfRule type="expression" dxfId="0" priority="4124">
      <formula>(#REF!&lt;&gt;"")*(#REF!&lt;&gt;"")</formula>
    </cfRule>
  </conditionalFormatting>
  <conditionalFormatting sqref="E2242:H2242 A2242 C2242 J2242">
    <cfRule type="expression" dxfId="0" priority="3807">
      <formula>(#REF!&lt;&gt;"")*(#REF!&lt;&gt;"")</formula>
    </cfRule>
  </conditionalFormatting>
  <conditionalFormatting sqref="Q2242 M2242 O2242">
    <cfRule type="expression" dxfId="0" priority="3803">
      <formula>(#REF!&lt;&gt;"")*(#REF!&lt;&gt;"")</formula>
    </cfRule>
  </conditionalFormatting>
  <conditionalFormatting sqref="A2243 C2243 M2243:R2243 E2243:G2243 J2243">
    <cfRule type="expression" dxfId="0" priority="3797">
      <formula>(#REF!&lt;&gt;"")*(#REF!&lt;&gt;"")</formula>
    </cfRule>
  </conditionalFormatting>
  <conditionalFormatting sqref="J2399:J2400 L2570:M2570 L2575:M2575 A2573 E2573:G2573 J2573:R2573 L2582:M2582 A2576 E2576:G2576 J2576:R2576 J2583:R2583 J2579:R2581 K2578:R2578 A2561 E2564:G2568 O2598 A2597 E2597:G2597 J2593:R2594 J2597:O2597 O2603:O2607 L2598:M2598 L2571:N2571 J2708:K2709 E2708:G2709 G2716 J2716 E2716 P2719 F2803:G2803 F2727:G2742 A2727:A2742 C2561 F2561:G2561 C2792:C2793 A2792:A2793 F2792:G2793 J2741:O2741 F2563:G2563 A2843:A2844 G2843:G2844 C2843:C2844 J2824:R2839 E2824:E2839 A2824:A2839 G2824:G2839 C2824:C2839 K2561:R2561 E2612:H2619 J2707:R2707 M2708:R2709 K2793:R2793 R2840:R2841 J2792:R2792 C2612:C2619 G2621 J2727:L2740 N2731:R2732 J2742:L2742 N2742:O2742 N2747:R2747 J2744:L2778 C2744:C2778 A2744:A2778 F2744:G2778 E2578:G2581 A2578:A2581 J2564:R2568 G2627 C2621 C2627 A2621 A2627 K2627:O2627 C2596:C2598 A2707:A2709 C2707:C2709 R2595 A2612:A2619 C2803:C2812 G2804:G2812 A2803:A2812 E2804:E2812 J2803:R2812 E2583:G2583 A2583 C2578:C2583 P2695:R2697 L2596:M2596 M2588 C2601 L2601:M2601 R2779:R2788 L2603:M2607 C2603:C2607 C2588 A2588 E2588:G2588 E2593:G2594 A2593:A2594 C2593:C2594 K2563:R2563 C2563:C2568 A2563:A2568 R2799:R2802 C2716 A2630:A2697 C2630:C2697 C2719:C2742 E2719 G2719 C2575:C2576 L2621:R2621 J2695:N2697 J2630:R2694 J2621 N2727:O2730 Q2727:R2730 N2733:O2740 Q2733:R2742 N2744:O2746 Q2744:R2746 N2748:O2778 Q2748:R2778 Q2627:R2627 C2570:C2571 C2573 G2630:G2697 E2707 G2707 R2698:R2704 J2843:R2844 R2813:R2816 J2612:R2619">
    <cfRule type="expression" dxfId="0" priority="3783">
      <formula>(#REF!&lt;&gt;"")*(A$1&lt;&gt;"")</formula>
    </cfRule>
  </conditionalFormatting>
  <conditionalFormatting sqref="A2562 C2562 F2562:G2562 K2562:R2562">
    <cfRule type="expression" dxfId="0" priority="3522">
      <formula>(#REF!&lt;&gt;"")*(A$1&lt;&gt;"")</formula>
    </cfRule>
  </conditionalFormatting>
  <conditionalFormatting sqref="Y2841 Y2563">
    <cfRule type="expression" dxfId="1" priority="3428">
      <formula>(#REF!&lt;&gt;"")*(#REF!&lt;&gt;"")</formula>
    </cfRule>
  </conditionalFormatting>
  <conditionalFormatting sqref="E2569:G2569 J2569:R2569 C2569 A2569">
    <cfRule type="expression" dxfId="0" priority="3409">
      <formula>(#REF!&lt;&gt;"")*(A$1&lt;&gt;"")</formula>
    </cfRule>
  </conditionalFormatting>
  <conditionalFormatting sqref="L2572:M2572 C2572">
    <cfRule type="expression" dxfId="0" priority="3408">
      <formula>(#REF!&lt;&gt;"")*(C$1&lt;&gt;"")</formula>
    </cfRule>
  </conditionalFormatting>
  <conditionalFormatting sqref="A2574 E2574:G2574 J2574:R2574 C2574">
    <cfRule type="expression" dxfId="0" priority="3463">
      <formula>(#REF!&lt;&gt;"")*(A$1&lt;&gt;"")</formula>
    </cfRule>
  </conditionalFormatting>
  <conditionalFormatting sqref="A2577 E2577:G2577 C2577 J2577:R2577">
    <cfRule type="expression" dxfId="0" priority="3631">
      <formula>(#REF!&lt;&gt;"")*(A$1&lt;&gt;"")</formula>
    </cfRule>
  </conditionalFormatting>
  <conditionalFormatting sqref="H2583:H2589 H2593:H2598">
    <cfRule type="expression" dxfId="0" priority="3387">
      <formula>(#REF!&lt;&gt;"")*(H$1&lt;&gt;"")</formula>
    </cfRule>
  </conditionalFormatting>
  <conditionalFormatting sqref="J2584:R2584 E2584:G2584 A2584 C2584 R2585:R2587">
    <cfRule type="expression" dxfId="0" priority="3533">
      <formula>(#REF!&lt;&gt;"")*(A$1&lt;&gt;"")</formula>
    </cfRule>
  </conditionalFormatting>
  <conditionalFormatting sqref="J2585:M2585 E2585:G2585 A2585 C2585 O2585:Q2585">
    <cfRule type="expression" dxfId="0" priority="3406">
      <formula>(#REF!&lt;&gt;"")*(A$1&lt;&gt;"")</formula>
    </cfRule>
  </conditionalFormatting>
  <conditionalFormatting sqref="J2586:Q2586 E2586:G2586 A2586 C2586">
    <cfRule type="expression" dxfId="0" priority="3405">
      <formula>(#REF!&lt;&gt;"")*(A$1&lt;&gt;"")</formula>
    </cfRule>
  </conditionalFormatting>
  <conditionalFormatting sqref="J2587:Q2587 E2587:G2587 A2587 C2587">
    <cfRule type="expression" dxfId="0" priority="3404">
      <formula>(#REF!&lt;&gt;"")*(A$1&lt;&gt;"")</formula>
    </cfRule>
  </conditionalFormatting>
  <conditionalFormatting sqref="M2589 C2589 A2589 E2589:G2589">
    <cfRule type="expression" dxfId="0" priority="3532">
      <formula>(#REF!&lt;&gt;"")*(A$1&lt;&gt;"")</formula>
    </cfRule>
  </conditionalFormatting>
  <conditionalFormatting sqref="M2590 C2590 A2590 E2590:G2590 E2592:G2592 A2592 C2592 M2592">
    <cfRule type="expression" dxfId="0" priority="3293">
      <formula>(#REF!&lt;&gt;"")*(A$1&lt;&gt;"")</formula>
    </cfRule>
  </conditionalFormatting>
  <conditionalFormatting sqref="H2590 H2592">
    <cfRule type="expression" dxfId="0" priority="3291">
      <formula>(#REF!&lt;&gt;"")*(H$1&lt;&gt;"")</formula>
    </cfRule>
  </conditionalFormatting>
  <conditionalFormatting sqref="K2590:L2590 K2592:L2592">
    <cfRule type="expression" dxfId="0" priority="3292">
      <formula>(#REF!&lt;&gt;"")*(K$1&lt;&gt;"")</formula>
    </cfRule>
  </conditionalFormatting>
  <conditionalFormatting sqref="M2591 C2591 A2591 E2591:G2591">
    <cfRule type="expression" dxfId="0" priority="3281">
      <formula>(#REF!&lt;&gt;"")*(A$1&lt;&gt;"")</formula>
    </cfRule>
  </conditionalFormatting>
  <conditionalFormatting sqref="E2595:G2595 A2595 J2595:Q2595 C2595">
    <cfRule type="expression" dxfId="0" priority="3604">
      <formula>(#REF!&lt;&gt;"")*(A$1&lt;&gt;"")</formula>
    </cfRule>
  </conditionalFormatting>
  <conditionalFormatting sqref="O2599 L2599:M2599 C2599">
    <cfRule type="expression" dxfId="0" priority="3553">
      <formula>(#REF!&lt;&gt;"")*(C$1&lt;&gt;"")</formula>
    </cfRule>
  </conditionalFormatting>
  <conditionalFormatting sqref="O2600 L2600:M2600 C2600">
    <cfRule type="expression" dxfId="0" priority="3549">
      <formula>(#REF!&lt;&gt;"")*(C$1&lt;&gt;"")</formula>
    </cfRule>
  </conditionalFormatting>
  <conditionalFormatting sqref="C2602 L2602:M2602">
    <cfRule type="expression" dxfId="0" priority="3548">
      <formula>(#REF!&lt;&gt;"")*(C$1&lt;&gt;"")</formula>
    </cfRule>
  </conditionalFormatting>
  <conditionalFormatting sqref="C2608 L2608:M2608 O2608">
    <cfRule type="expression" dxfId="0" priority="3644">
      <formula>(#REF!&lt;&gt;"")*(C$1&lt;&gt;"")</formula>
    </cfRule>
  </conditionalFormatting>
  <conditionalFormatting sqref="O2609 L2609:M2609 C2609">
    <cfRule type="expression" dxfId="0" priority="3507">
      <formula>(#REF!&lt;&gt;"")*(C$1&lt;&gt;"")</formula>
    </cfRule>
  </conditionalFormatting>
  <conditionalFormatting sqref="C2610 L2610:M2610 O2610">
    <cfRule type="expression" dxfId="0" priority="3506">
      <formula>(#REF!&lt;&gt;"")*(C$1&lt;&gt;"")</formula>
    </cfRule>
  </conditionalFormatting>
  <conditionalFormatting sqref="C2611 L2611:M2611 O2611">
    <cfRule type="expression" dxfId="0" priority="3643">
      <formula>(#REF!&lt;&gt;"")*(C$1&lt;&gt;"")</formula>
    </cfRule>
  </conditionalFormatting>
  <conditionalFormatting sqref="E2620:H2620 C2620 A2620 J2620:R2620">
    <cfRule type="expression" dxfId="0" priority="3639">
      <formula>(#REF!&lt;&gt;"")*(A$1&lt;&gt;"")</formula>
    </cfRule>
  </conditionalFormatting>
  <conditionalFormatting sqref="F2621:F2622 F2624:F2628 F2630:F2689">
    <cfRule type="expression" dxfId="0" priority="3402">
      <formula>(#REF!&lt;&gt;"")*(F$1&lt;&gt;"")</formula>
    </cfRule>
  </conditionalFormatting>
  <conditionalFormatting sqref="H2621:H2622 H2624:H2628 H2630:H2702">
    <cfRule type="expression" dxfId="1" priority="3445">
      <formula>(#REF!&lt;&gt;"")*(H$1&lt;&gt;"")</formula>
    </cfRule>
  </conditionalFormatting>
  <conditionalFormatting sqref="A2622 C2622 J2622:L2622 N2622 P2622:Q2622">
    <cfRule type="expression" dxfId="0" priority="3503">
      <formula>(#REF!&lt;&gt;"")*(A$1&lt;&gt;"")</formula>
    </cfRule>
  </conditionalFormatting>
  <conditionalFormatting sqref="A2623 C2623 J2623:L2623 N2623 P2623:Q2623">
    <cfRule type="expression" dxfId="0" priority="3368">
      <formula>(#REF!&lt;&gt;"")*(A$1&lt;&gt;"")</formula>
    </cfRule>
  </conditionalFormatting>
  <conditionalFormatting sqref="K2624:K2625 G2624:G2625 C2624:C2625 A2624:A2625 M2624:R2625">
    <cfRule type="expression" dxfId="0" priority="3557">
      <formula>(#REF!&lt;&gt;"")*(A$1&lt;&gt;"")</formula>
    </cfRule>
  </conditionalFormatting>
  <conditionalFormatting sqref="K2626:R2626 G2626 C2626 A2626">
    <cfRule type="expression" dxfId="0" priority="3620">
      <formula>(#REF!&lt;&gt;"")*(A$1&lt;&gt;"")</formula>
    </cfRule>
  </conditionalFormatting>
  <conditionalFormatting sqref="G2628 C2628 A2628 K2628:O2628 Q2628:R2628">
    <cfRule type="expression" dxfId="0" priority="3505">
      <formula>(#REF!&lt;&gt;"")*(A$1&lt;&gt;"")</formula>
    </cfRule>
  </conditionalFormatting>
  <conditionalFormatting sqref="G2629 C2629 A2629 K2629:M2629 Q2629:R2629 O2629">
    <cfRule type="expression" dxfId="0" priority="3363">
      <formula>(#REF!&lt;&gt;"")*(A$1&lt;&gt;"")</formula>
    </cfRule>
  </conditionalFormatting>
  <conditionalFormatting sqref="A2698 C2698 J2698:L2698 N2698 P2698:Q2698">
    <cfRule type="expression" dxfId="0" priority="3603">
      <formula>(#REF!&lt;&gt;"")*(A$1&lt;&gt;"")</formula>
    </cfRule>
  </conditionalFormatting>
  <conditionalFormatting sqref="A2699 C2699 J2699:L2699 N2699 P2699:Q2699">
    <cfRule type="expression" dxfId="0" priority="3597">
      <formula>(#REF!&lt;&gt;"")*(A$1&lt;&gt;"")</formula>
    </cfRule>
  </conditionalFormatting>
  <conditionalFormatting sqref="A2700 C2700 J2700:L2700 N2700 P2700:Q2700">
    <cfRule type="expression" dxfId="0" priority="3595">
      <formula>(#REF!&lt;&gt;"")*(A$1&lt;&gt;"")</formula>
    </cfRule>
  </conditionalFormatting>
  <conditionalFormatting sqref="A2701 C2701 J2701:L2701 N2701 P2701:Q2701">
    <cfRule type="expression" dxfId="0" priority="3599">
      <formula>(#REF!&lt;&gt;"")*(A$1&lt;&gt;"")</formula>
    </cfRule>
  </conditionalFormatting>
  <conditionalFormatting sqref="A2702 C2702 J2702:L2702 N2702 P2702:Q2702">
    <cfRule type="expression" dxfId="0" priority="3552">
      <formula>(#REF!&lt;&gt;"")*(A$1&lt;&gt;"")</formula>
    </cfRule>
  </conditionalFormatting>
  <conditionalFormatting sqref="A2703 C2703 J2703:Q2703 G2703">
    <cfRule type="expression" dxfId="0" priority="3394">
      <formula>(#REF!&lt;&gt;"")*(A$1&lt;&gt;"")</formula>
    </cfRule>
  </conditionalFormatting>
  <conditionalFormatting sqref="A2704 C2704 J2704:L2704 N2704 P2704:Q2704">
    <cfRule type="expression" dxfId="0" priority="3392">
      <formula>(#REF!&lt;&gt;"")*(A$1&lt;&gt;"")</formula>
    </cfRule>
  </conditionalFormatting>
  <conditionalFormatting sqref="E2705:G2705 J2705:R2706 A2705:A2706 C2705:C2706 E2706 G2706">
    <cfRule type="expression" dxfId="0" priority="3601">
      <formula>(#REF!&lt;&gt;"")*(A$1&lt;&gt;"")</formula>
    </cfRule>
  </conditionalFormatting>
  <conditionalFormatting sqref="J2710:K2710 E2710:G2710 M2710:R2710 A2710 C2710">
    <cfRule type="expression" dxfId="0" priority="3514">
      <formula>(#REF!&lt;&gt;"")*(A$1&lt;&gt;"")</formula>
    </cfRule>
  </conditionalFormatting>
  <conditionalFormatting sqref="K2711 C2711 A2711 M2711:R2711 E2711:G2711">
    <cfRule type="expression" dxfId="0" priority="3491">
      <formula>(#REF!&lt;&gt;"")*(A$1&lt;&gt;"")</formula>
    </cfRule>
  </conditionalFormatting>
  <conditionalFormatting sqref="K2712 C2712 A2712 M2712 E2712:G2712 O2712:R2712">
    <cfRule type="expression" dxfId="0" priority="3490">
      <formula>(#REF!&lt;&gt;"")*(A$1&lt;&gt;"")</formula>
    </cfRule>
  </conditionalFormatting>
  <conditionalFormatting sqref="J2713:K2713 E2713:G2713 M2713:R2713 A2713 C2713">
    <cfRule type="expression" dxfId="0" priority="3352">
      <formula>(#REF!&lt;&gt;"")*(A$1&lt;&gt;"")</formula>
    </cfRule>
  </conditionalFormatting>
  <conditionalFormatting sqref="K2714 C2714 A2714 M2714 E2714:G2714 O2714:R2714 R2715">
    <cfRule type="expression" dxfId="0" priority="3351">
      <formula>(#REF!&lt;&gt;"")*(A$1&lt;&gt;"")</formula>
    </cfRule>
  </conditionalFormatting>
  <conditionalFormatting sqref="J2715 F2715:G2715 A2715 C2715 O2715:Q2715">
    <cfRule type="expression" dxfId="0" priority="3349">
      <formula>(#REF!&lt;&gt;"")*(A$1&lt;&gt;"")</formula>
    </cfRule>
  </conditionalFormatting>
  <conditionalFormatting sqref="P2717 C2717 E2717 G2717">
    <cfRule type="expression" dxfId="0" priority="3487">
      <formula>(#REF!&lt;&gt;"")*(C$1&lt;&gt;"")</formula>
    </cfRule>
  </conditionalFormatting>
  <conditionalFormatting sqref="G2718 J2718 E2718 C2718">
    <cfRule type="expression" dxfId="0" priority="3488">
      <formula>(#REF!&lt;&gt;"")*(C$1&lt;&gt;"")</formula>
    </cfRule>
  </conditionalFormatting>
  <conditionalFormatting sqref="F2743:G2743 A2743 C2743 J2743:L2743 N2743:O2743 Q2743:R2743">
    <cfRule type="expression" dxfId="0" priority="3632">
      <formula>(#REF!&lt;&gt;"")*(A$1&lt;&gt;"")</formula>
    </cfRule>
  </conditionalFormatting>
  <conditionalFormatting sqref="F2779:G2779 A2779 C2779 J2779:L2779 N2779:O2779 Q2779">
    <cfRule type="expression" dxfId="0" priority="3694">
      <formula>(#REF!&lt;&gt;"")*(A$1&lt;&gt;"")</formula>
    </cfRule>
  </conditionalFormatting>
  <conditionalFormatting sqref="F2780:G2780 A2780 C2780 J2780:L2780 N2780:O2780 Q2780">
    <cfRule type="expression" dxfId="0" priority="3689">
      <formula>(#REF!&lt;&gt;"")*(A$1&lt;&gt;"")</formula>
    </cfRule>
  </conditionalFormatting>
  <conditionalFormatting sqref="F2781:G2781 A2781 C2781 J2781:L2781 N2781:O2781 Q2781">
    <cfRule type="expression" dxfId="0" priority="3688">
      <formula>(#REF!&lt;&gt;"")*(A$1&lt;&gt;"")</formula>
    </cfRule>
  </conditionalFormatting>
  <conditionalFormatting sqref="H2781:H2788 H2790 H2792">
    <cfRule type="expression" dxfId="1" priority="3416">
      <formula>(#REF!&lt;&gt;"")*(H$1&lt;&gt;"")</formula>
    </cfRule>
  </conditionalFormatting>
  <conditionalFormatting sqref="F2782:G2782 A2782 C2782 J2782:L2782 N2782:O2782 Q2782">
    <cfRule type="expression" dxfId="0" priority="3662">
      <formula>(#REF!&lt;&gt;"")*(A$1&lt;&gt;"")</formula>
    </cfRule>
  </conditionalFormatting>
  <conditionalFormatting sqref="F2783:G2783 A2783 C2783 J2783:L2783 N2783:O2783 Q2783">
    <cfRule type="expression" dxfId="0" priority="3661">
      <formula>(#REF!&lt;&gt;"")*(A$1&lt;&gt;"")</formula>
    </cfRule>
  </conditionalFormatting>
  <conditionalFormatting sqref="F2784:G2785 A2784:A2785 C2784:C2785 J2784:L2785 N2784:O2785 Q2784:Q2785">
    <cfRule type="expression" dxfId="0" priority="3652">
      <formula>(#REF!&lt;&gt;"")*(A$1&lt;&gt;"")</formula>
    </cfRule>
  </conditionalFormatting>
  <conditionalFormatting sqref="F2786:G2786 A2786 C2786 J2786:L2786 N2786:O2786 Q2786">
    <cfRule type="expression" dxfId="0" priority="3615">
      <formula>(#REF!&lt;&gt;"")*(A$1&lt;&gt;"")</formula>
    </cfRule>
  </conditionalFormatting>
  <conditionalFormatting sqref="F2787:G2787 A2787 C2787 J2787:L2787 N2787:O2787 Q2787">
    <cfRule type="expression" dxfId="0" priority="3592">
      <formula>(#REF!&lt;&gt;"")*(A$1&lt;&gt;"")</formula>
    </cfRule>
  </conditionalFormatting>
  <conditionalFormatting sqref="F2788:G2788 A2788 C2788 J2788:L2788 N2788:O2788 Q2788">
    <cfRule type="expression" dxfId="0" priority="3578">
      <formula>(#REF!&lt;&gt;"")*(A$1&lt;&gt;"")</formula>
    </cfRule>
  </conditionalFormatting>
  <conditionalFormatting sqref="F2789:G2789 A2789 C2789 J2789:L2789 N2789:O2789 Q2789">
    <cfRule type="expression" dxfId="0" priority="3396">
      <formula>(#REF!&lt;&gt;"")*(A$1&lt;&gt;"")</formula>
    </cfRule>
  </conditionalFormatting>
  <conditionalFormatting sqref="F2790:G2790 A2790 C2790 J2790:L2790 N2790:O2790 Q2790">
    <cfRule type="expression" dxfId="0" priority="3516">
      <formula>(#REF!&lt;&gt;"")*(A$1&lt;&gt;"")</formula>
    </cfRule>
  </conditionalFormatting>
  <conditionalFormatting sqref="F2791:G2791 A2791 C2791 J2791:L2791 N2791:O2791 Q2791">
    <cfRule type="expression" dxfId="0" priority="3297">
      <formula>(#REF!&lt;&gt;"")*(A$1&lt;&gt;"")</formula>
    </cfRule>
  </conditionalFormatting>
  <conditionalFormatting sqref="C2794 A2794 F2794:G2794 K2794:R2794">
    <cfRule type="expression" dxfId="0" priority="3577">
      <formula>(#REF!&lt;&gt;"")*(A$1&lt;&gt;"")</formula>
    </cfRule>
  </conditionalFormatting>
  <conditionalFormatting sqref="C2795 A2795 F2795:G2795 K2795:R2795">
    <cfRule type="expression" dxfId="0" priority="3613">
      <formula>(#REF!&lt;&gt;"")*(A$1&lt;&gt;"")</formula>
    </cfRule>
  </conditionalFormatting>
  <conditionalFormatting sqref="C2796:C2797 A2796:A2797 F2796:G2797 K2796:R2797">
    <cfRule type="expression" dxfId="0" priority="3614">
      <formula>(#REF!&lt;&gt;"")*(A$1&lt;&gt;"")</formula>
    </cfRule>
  </conditionalFormatting>
  <conditionalFormatting sqref="J2949 J2951:M2952 K2953:M2953 J2954:M2954 K2955:M2956 K2936:M2950 K2929:M2931 A2928:A2930 Q2928:Q2931 O2928:O2931 E2928:G2930 K2933:K2935 E2936:G2956 A2936:A2956 O2936:O2956 Q2936:Q2956 J2880 A2922:A2924 Q2922:Q2924 O2922:O2924 E2922:G2924 A2910 F2910:G2910 K2910:M2910 O2910 Q2910 Q2906:Q2908 O2906:O2908 K2906:M2908 F2906:G2908 A2906:A2908 A2912 Q2912 O2912 G2912 F2895 F2889:G2894 O2889:O2898 Q2889:Q2898 A2889:A2898 F2896:G2898 A2917:A2920 Q2917:Q2920 O2917:O2920 E2917:G2920 K2917:M2920 K2889:M2898 K2887:K2888 E2880:G2882 A2880:A2882 O2880:O2882 Q2880:Q2882 L2880:M2882 O2798:O2802 G2798:G2802 C2798:C2802 K2798:M2802">
    <cfRule type="expression" dxfId="7" priority="3780">
      <formula>('C:\Users\wurui\Documents\计提\2023.4计提\[2023年4月IDC费用支付明细表-华北WM.xlsx]4月带宽'!#REF!&lt;&gt;"")*('C:\Users\wurui\Documents\计提\2023.4计提\[2023年4月IDC费用支付明细表-华北WM.xlsx]4月带宽'!#REF!&lt;&gt;"")</formula>
    </cfRule>
  </conditionalFormatting>
  <conditionalFormatting sqref="N2929:N2931 N2936:N2956 N2922:N2924 N2917 N2910 N2906:N2908 N2889:N2891 N2893:N2898 N2919 E2798:E2802 N2879:N2882">
    <cfRule type="expression" dxfId="3" priority="3781">
      <formula>('C:\Users\wurui\Documents\计提\2023.4计提\[2023年4月IDC费用支付明细表-华北WM.xlsx]4月带宽'!#REF!&lt;&gt;"")*('C:\Users\wurui\Documents\计提\2023.4计提\[2023年4月IDC费用支付明细表-华北WM.xlsx]4月带宽'!#REF!&lt;&gt;"")</formula>
    </cfRule>
  </conditionalFormatting>
  <conditionalFormatting sqref="P2798 R2798">
    <cfRule type="expression" dxfId="0" priority="3621">
      <formula>(#REF!&lt;&gt;"")*(P$1&lt;&gt;"")</formula>
    </cfRule>
  </conditionalFormatting>
  <conditionalFormatting sqref="C2813 G2813 A2813 E2813 J2813:Q2813">
    <cfRule type="expression" dxfId="0" priority="3687">
      <formula>(#REF!&lt;&gt;"")*(A$1&lt;&gt;"")</formula>
    </cfRule>
  </conditionalFormatting>
  <conditionalFormatting sqref="C2814 G2814 A2814 E2814 J2814:Q2814">
    <cfRule type="expression" dxfId="0" priority="3681">
      <formula>(#REF!&lt;&gt;"")*(A$1&lt;&gt;"")</formula>
    </cfRule>
  </conditionalFormatting>
  <conditionalFormatting sqref="H2814 H2817:H2818">
    <cfRule type="expression" dxfId="0" priority="3590">
      <formula>(#REF!&lt;&gt;"")*(H$1&lt;&gt;"")</formula>
    </cfRule>
  </conditionalFormatting>
  <conditionalFormatting sqref="C2815 G2815 A2815 E2815 J2815:Q2815">
    <cfRule type="expression" dxfId="0" priority="3424">
      <formula>(#REF!&lt;&gt;"")*(A$1&lt;&gt;"")</formula>
    </cfRule>
  </conditionalFormatting>
  <conditionalFormatting sqref="C2816 G2816 A2816 E2816 J2816:Q2816">
    <cfRule type="expression" dxfId="0" priority="3295">
      <formula>(#REF!&lt;&gt;"")*(A$1&lt;&gt;"")</formula>
    </cfRule>
  </conditionalFormatting>
  <conditionalFormatting sqref="J2817:R2817 E2817 A2817 G2817 C2817">
    <cfRule type="expression" dxfId="0" priority="3678">
      <formula>(#REF!&lt;&gt;"")*(A$1&lt;&gt;"")</formula>
    </cfRule>
  </conditionalFormatting>
  <conditionalFormatting sqref="J2818:K2818 E2818 A2818 G2818 C2818 M2818:R2818">
    <cfRule type="expression" dxfId="0" priority="3619">
      <formula>(#REF!&lt;&gt;"")*(A$1&lt;&gt;"")</formula>
    </cfRule>
  </conditionalFormatting>
  <conditionalFormatting sqref="J2819:K2819 E2819 A2819 G2819 C2819 M2819:R2819">
    <cfRule type="expression" dxfId="0" priority="3263">
      <formula>(#REF!&lt;&gt;"")*(A$1&lt;&gt;"")</formula>
    </cfRule>
  </conditionalFormatting>
  <conditionalFormatting sqref="J2820:K2820 E2820 A2820 G2820 C2820 M2820:R2820">
    <cfRule type="expression" dxfId="0" priority="3581">
      <formula>(#REF!&lt;&gt;"")*(A$1&lt;&gt;"")</formula>
    </cfRule>
  </conditionalFormatting>
  <conditionalFormatting sqref="J2821:K2821 E2821 A2821 G2821 C2821 M2821:R2821">
    <cfRule type="expression" dxfId="0" priority="3672">
      <formula>(#REF!&lt;&gt;"")*(A$1&lt;&gt;"")</formula>
    </cfRule>
  </conditionalFormatting>
  <conditionalFormatting sqref="J2822:N2822 E2822 A2822 G2822 C2822 P2822:R2822">
    <cfRule type="expression" dxfId="0" priority="3670">
      <formula>(#REF!&lt;&gt;"")*(A$1&lt;&gt;"")</formula>
    </cfRule>
  </conditionalFormatting>
  <conditionalFormatting sqref="J2823 A2823 C2823 L2823:N2823 P2823:R2823">
    <cfRule type="expression" dxfId="0" priority="3671">
      <formula>(#REF!&lt;&gt;"")*(A$1&lt;&gt;"")</formula>
    </cfRule>
  </conditionalFormatting>
  <conditionalFormatting sqref="A2840:A2841 C2840:C2841 L2840:Q2841 F2840:H2840 F2841:G2841">
    <cfRule type="expression" dxfId="0" priority="3690">
      <formula>(#REF!&lt;&gt;"")*(A$1&lt;&gt;"")</formula>
    </cfRule>
  </conditionalFormatting>
  <conditionalFormatting sqref="K2842:Q2842 A2842 C2842 G2842">
    <cfRule type="expression" dxfId="0" priority="3646">
      <formula>(#REF!&lt;&gt;"")*(A$1&lt;&gt;"")</formula>
    </cfRule>
  </conditionalFormatting>
  <conditionalFormatting sqref="C2848 A2846:A2853 F2846:H2846 A2858:A2859 J2846:O2846">
    <cfRule type="expression" dxfId="0" priority="3772">
      <formula>(#REF!&lt;&gt;"")*(#REF!&lt;&gt;"")</formula>
    </cfRule>
  </conditionalFormatting>
  <conditionalFormatting sqref="N2859:P2859 M2850:M2853 C2859 R2859 Q2858:R2858 A2846:A2847 P2848 A2858:A2859 F2859:G2859 F2847:G2847 K2847:P2847 M2858:M2859 J2859:L2859">
    <cfRule type="expression" dxfId="0" priority="3764">
      <formula>(#REF!&lt;&gt;"")*(#REF!&lt;&gt;"")</formula>
    </cfRule>
  </conditionalFormatting>
  <conditionalFormatting sqref="R2846:R2848 C2846:C2847 F2846:H2846 T2846:T2855 J2846:P2846">
    <cfRule type="expression" dxfId="0" priority="3770">
      <formula>(#REF!&lt;&gt;"")*(#REF!&lt;&gt;"")</formula>
    </cfRule>
  </conditionalFormatting>
  <conditionalFormatting sqref="P2850:Q2850 P2858:Q2858 P2851:P2853 P2859 P2846:P2849">
    <cfRule type="expression" dxfId="1" priority="3767">
      <formula>(#REF!&lt;&gt;"")*(#REF!&lt;&gt;"")</formula>
    </cfRule>
  </conditionalFormatting>
  <conditionalFormatting sqref="Q2858 C2851:C2853 R2851 K2847:O2847 F2847:G2853 K2851:P2851 K2850:Q2850 F2858:G2859 C2858 J2858:O2859 J2848:O2849 J2853:O2853 J2852:P2852">
    <cfRule type="expression" dxfId="0" priority="3768">
      <formula>(#REF!&lt;&gt;"")*(#REF!&lt;&gt;"")</formula>
    </cfRule>
  </conditionalFormatting>
  <conditionalFormatting sqref="M2849:M2852 R2849 F2853:G2853 N2853 P2853 K2853:L2853 K2858:L2858 N2858:P2858 F2858:G2858">
    <cfRule type="expression" dxfId="0" priority="3761">
      <formula>(#REF!&lt;&gt;"")*(#REF!&lt;&gt;"")</formula>
    </cfRule>
  </conditionalFormatting>
  <conditionalFormatting sqref="C2854 F2854:G2854 J2854:O2854">
    <cfRule type="expression" dxfId="0" priority="3751">
      <formula>(#REF!&lt;&gt;"")*(#REF!&lt;&gt;"")</formula>
    </cfRule>
  </conditionalFormatting>
  <conditionalFormatting sqref="F2854:G2854 N2854 P2854 K2854:L2854">
    <cfRule type="expression" dxfId="0" priority="3748">
      <formula>(#REF!&lt;&gt;"")*(#REF!&lt;&gt;"")</formula>
    </cfRule>
  </conditionalFormatting>
  <conditionalFormatting sqref="C2855 F2855:G2855 J2855:O2855">
    <cfRule type="expression" dxfId="0" priority="3744">
      <formula>(#REF!&lt;&gt;"")*(#REF!&lt;&gt;"")</formula>
    </cfRule>
  </conditionalFormatting>
  <conditionalFormatting sqref="F2855:G2855 N2855 P2855 K2855:L2855">
    <cfRule type="expression" dxfId="0" priority="3741">
      <formula>(#REF!&lt;&gt;"")*(#REF!&lt;&gt;"")</formula>
    </cfRule>
  </conditionalFormatting>
  <conditionalFormatting sqref="C2856 F2856:G2856 J2856:O2856">
    <cfRule type="expression" dxfId="0" priority="3736">
      <formula>(#REF!&lt;&gt;"")*(#REF!&lt;&gt;"")</formula>
    </cfRule>
  </conditionalFormatting>
  <conditionalFormatting sqref="F2856:G2856 N2856 P2856 K2856:L2856">
    <cfRule type="expression" dxfId="0" priority="3733">
      <formula>(#REF!&lt;&gt;"")*(#REF!&lt;&gt;"")</formula>
    </cfRule>
  </conditionalFormatting>
  <conditionalFormatting sqref="C2857 F2857:G2857 J2857:O2857">
    <cfRule type="expression" dxfId="0" priority="3728">
      <formula>(#REF!&lt;&gt;"")*(#REF!&lt;&gt;"")</formula>
    </cfRule>
  </conditionalFormatting>
  <conditionalFormatting sqref="F2857:G2857 N2857 P2857 K2857:L2857">
    <cfRule type="expression" dxfId="0" priority="3725">
      <formula>(#REF!&lt;&gt;"")*(#REF!&lt;&gt;"")</formula>
    </cfRule>
  </conditionalFormatting>
  <conditionalFormatting sqref="U2928:U2931 U2936:U2956 U2922:U2924 U2910 U2906:U2908 U2912 U2889:U2898 U2917:U2920 U2880:U2882">
    <cfRule type="expression" dxfId="7" priority="3782">
      <formula>('C:\Users\wurui\Documents\计提\2023.4计提\[2023年4月IDC费用支付明细表-华北WM.xlsx]4月带宽'!#REF!&lt;&gt;"")*('C:\Users\wurui\Documents\计提\2023.4计提\[2023年4月IDC费用支付明细表-华北WM.xlsx]4月带宽'!#REF!&lt;&gt;"")</formula>
    </cfRule>
  </conditionalFormatting>
  <conditionalFormatting sqref="M2913:M2915 M2932:M2934 M2883:M2884 M2886">
    <cfRule type="expression" dxfId="0" priority="3721">
      <formula>(#REF!&lt;&gt;"")*(#REF!&lt;&gt;"")</formula>
    </cfRule>
  </conditionalFormatting>
  <conditionalFormatting sqref="K2889 T2946">
    <cfRule type="expression" dxfId="3" priority="3705">
      <formula>('C:\Users\wurui\Documents\计提\2023.4计提\[2023年4月IDC费用支付明细表-华北WM.xlsx]4月带宽'!#REF!&lt;&gt;"")*('C:\Users\wurui\Documents\计提\2023.4计提\[2023年4月IDC费用支付明细表-华北WM.xlsx]4月带宽'!#REF!&lt;&gt;"")</formula>
    </cfRule>
  </conditionalFormatting>
  <conditionalFormatting sqref="T2889 M2889:M2891 T2891">
    <cfRule type="expression" dxfId="3" priority="3777">
      <formula>('C:\Users\wurui\Documents\计提\2023.4计提\[2023年4月IDC费用支付明细表-华北WM.xlsx]4月带宽'!#REF!&lt;&gt;"")*('C:\Users\wurui\Documents\计提\2023.4计提\[2023年4月IDC费用支付明细表-华北WM.xlsx]4月带宽'!#REF!&lt;&gt;"")</formula>
    </cfRule>
  </conditionalFormatting>
  <conditionalFormatting sqref="T2890 M2893 M2898">
    <cfRule type="expression" dxfId="3" priority="3775">
      <formula>('C:\Users\wurui\Documents\计提\2023.4计提\[2023年4月IDC费用支付明细表-华北WM.xlsx]4月带宽'!#REF!&lt;&gt;"")*('C:\Users\wurui\Documents\计提\2023.4计提\[2023年4月IDC费用支付明细表-华北WM.xlsx]4月带宽'!#REF!&lt;&gt;"")</formula>
    </cfRule>
  </conditionalFormatting>
  <conditionalFormatting sqref="M2899 M2901 M2903:M2904">
    <cfRule type="expression" dxfId="0" priority="3718">
      <formula>(#REF!&lt;&gt;"")*(#REF!&lt;&gt;"")</formula>
    </cfRule>
  </conditionalFormatting>
  <conditionalFormatting sqref="M2937 T2937 M2906:M2907 T2906:T2907 M2917 T2917 T2931 M2931">
    <cfRule type="expression" dxfId="3" priority="3779">
      <formula>('C:\Users\wurui\Documents\计提\2023.4计提\[2023年4月IDC费用支付明细表-华北WM.xlsx]4月带宽'!#REF!&lt;&gt;"")*('C:\Users\wurui\Documents\计提\2023.4计提\[2023年4月IDC费用支付明细表-华北WM.xlsx]4月带宽'!#REF!&lt;&gt;"")</formula>
    </cfRule>
  </conditionalFormatting>
  <conditionalFormatting sqref="T2908 M2908">
    <cfRule type="expression" dxfId="3" priority="3513">
      <formula>('C:\Users\wurui\Documents\计提\2023.4计提\[2023年4月IDC费用支付明细表-华北WM.xlsx]4月带宽'!#REF!&lt;&gt;"")*('C:\Users\wurui\Documents\计提\2023.4计提\[2023年4月IDC费用支付明细表-华北WM.xlsx]4月带宽'!#REF!&lt;&gt;"")</formula>
    </cfRule>
  </conditionalFormatting>
  <conditionalFormatting sqref="T2910 M2910">
    <cfRule type="expression" dxfId="3" priority="3511">
      <formula>('C:\Users\wurui\Documents\计提\2023.4计提\[2023年4月IDC费用支付明细表-华北WM.xlsx]4月带宽'!#REF!&lt;&gt;"")*('C:\Users\wurui\Documents\计提\2023.4计提\[2023年4月IDC费用支付明细表-华北WM.xlsx]4月带宽'!#REF!&lt;&gt;"")</formula>
    </cfRule>
  </conditionalFormatting>
  <conditionalFormatting sqref="M2918 T2918">
    <cfRule type="expression" dxfId="3" priority="3411">
      <formula>('C:\Users\wurui\Documents\计提\2023.4计提\[2023年4月IDC费用支付明细表-华北WM.xlsx]4月带宽'!#REF!&lt;&gt;"")*('C:\Users\wurui\Documents\计提\2023.4计提\[2023年4月IDC费用支付明细表-华北WM.xlsx]4月带宽'!#REF!&lt;&gt;"")</formula>
    </cfRule>
  </conditionalFormatting>
  <conditionalFormatting sqref="T2919 M2919">
    <cfRule type="expression" dxfId="3" priority="3462">
      <formula>('C:\Users\wurui\Documents\计提\2023.4计提\[2023年4月IDC费用支付明细表-华北WM.xlsx]4月带宽'!#REF!&lt;&gt;"")*('C:\Users\wurui\Documents\计提\2023.4计提\[2023年4月IDC费用支付明细表-华北WM.xlsx]4月带宽'!#REF!&lt;&gt;"")</formula>
    </cfRule>
  </conditionalFormatting>
  <conditionalFormatting sqref="T2920 M2920">
    <cfRule type="expression" dxfId="3" priority="3413">
      <formula>('C:\Users\wurui\Documents\计提\2023.4计提\[2023年4月IDC费用支付明细表-华北WM.xlsx]4月带宽'!#REF!&lt;&gt;"")*('C:\Users\wurui\Documents\计提\2023.4计提\[2023年4月IDC费用支付明细表-华北WM.xlsx]4月带宽'!#REF!&lt;&gt;"")</formula>
    </cfRule>
  </conditionalFormatting>
  <conditionalFormatting sqref="T2929 M2929">
    <cfRule type="expression" dxfId="3" priority="3529">
      <formula>('C:\Users\wurui\Documents\计提\2023.4计提\[2023年4月IDC费用支付明细表-华北WM.xlsx]4月带宽'!#REF!&lt;&gt;"")*('C:\Users\wurui\Documents\计提\2023.4计提\[2023年4月IDC费用支付明细表-华北WM.xlsx]4月带宽'!#REF!&lt;&gt;"")</formula>
    </cfRule>
  </conditionalFormatting>
  <conditionalFormatting sqref="T2930 M2930">
    <cfRule type="expression" dxfId="3" priority="3525">
      <formula>('C:\Users\wurui\Documents\计提\2023.4计提\[2023年4月IDC费用支付明细表-华北WM.xlsx]4月带宽'!#REF!&lt;&gt;"")*('C:\Users\wurui\Documents\计提\2023.4计提\[2023年4月IDC费用支付明细表-华北WM.xlsx]4月带宽'!#REF!&lt;&gt;"")</formula>
    </cfRule>
  </conditionalFormatting>
  <conditionalFormatting sqref="A2931 E2931:G2931">
    <cfRule type="expression" dxfId="1" priority="3527">
      <formula>(#REF!&lt;&gt;"")*(A$1&lt;&gt;"")</formula>
    </cfRule>
  </conditionalFormatting>
  <conditionalFormatting sqref="H2933:H2940 H2943 H2945">
    <cfRule type="expression" dxfId="1" priority="3384">
      <formula>(#REF!&lt;&gt;"")*(H$1&lt;&gt;"")</formula>
    </cfRule>
  </conditionalFormatting>
  <conditionalFormatting sqref="M2936 T2936">
    <cfRule type="expression" dxfId="3" priority="3774">
      <formula>('C:\Users\wurui\Documents\计提\2023.4计提\[2023年4月IDC费用支付明细表-华北WM.xlsx]4月带宽'!#REF!&lt;&gt;"")*('C:\Users\wurui\Documents\计提\2023.4计提\[2023年4月IDC费用支付明细表-华北WM.xlsx]4月带宽'!#REF!&lt;&gt;"")</formula>
    </cfRule>
  </conditionalFormatting>
  <conditionalFormatting sqref="M2938 T2938 T2940">
    <cfRule type="expression" dxfId="3" priority="3776">
      <formula>('C:\Users\wurui\Documents\计提\2023.4计提\[2023年4月IDC费用支付明细表-华北WM.xlsx]4月带宽'!#REF!&lt;&gt;"")*('C:\Users\wurui\Documents\计提\2023.4计提\[2023年4月IDC费用支付明细表-华北WM.xlsx]4月带宽'!#REF!&lt;&gt;"")</formula>
    </cfRule>
  </conditionalFormatting>
  <conditionalFormatting sqref="H2947 H2949">
    <cfRule type="expression" dxfId="1" priority="3383">
      <formula>(#REF!&lt;&gt;"")*(H$1&lt;&gt;"")</formula>
    </cfRule>
  </conditionalFormatting>
  <conditionalFormatting sqref="M2957:M2961 M2970">
    <cfRule type="expression" dxfId="0" priority="3712">
      <formula>(#REF!&lt;&gt;"")*(#REF!&lt;&gt;"")</formula>
    </cfRule>
  </conditionalFormatting>
  <conditionalFormatting sqref="M3156 M3073:M3074 M3081 M2973:M2975 M3014 M3113:M3114 M3006:M3012 M3163 M3137 M3149:M3151 M3172 M3043:M3047 M3083:M3085 M3117:M3118 M3124 M3177 M3025:M3027 M2987:M2990 M3129:M3130 M3139 M2977 M2979:M2982 M3036:M3037 M3053 M3070:M3071 M3061:M3063 M2984 M2993:M2999 M3159:M3161 M3050:M3051 M3016:M3019 M3066:M3068 M3126 M3057:M3059 M3145:M3147 M3089:M3096">
    <cfRule type="expression" dxfId="0" priority="3722">
      <formula>(#REF!&lt;&gt;"")*(#REF!&lt;&gt;"")</formula>
    </cfRule>
  </conditionalFormatting>
  <conditionalFormatting sqref="E2995:E2999 E3001:E3005">
    <cfRule type="expression" dxfId="0" priority="3648">
      <formula>(#REF!&lt;&gt;"")*(E$1&lt;&gt;"")</formula>
    </cfRule>
  </conditionalFormatting>
  <conditionalFormatting sqref="M3021 M3024">
    <cfRule type="expression" dxfId="0" priority="3608">
      <formula>(#REF!&lt;&gt;"")*(#REF!&lt;&gt;"")</formula>
    </cfRule>
  </conditionalFormatting>
  <conditionalFormatting sqref="T3021 T3024">
    <cfRule type="expression" dxfId="1" priority="3607">
      <formula>(#REF!&lt;&gt;"")*(#REF!&lt;&gt;"")</formula>
    </cfRule>
  </conditionalFormatting>
  <conditionalFormatting sqref="K3301:O3301 Q3277 T3301 Q3301 H3784 L3785:N3785 Q3760:Q3783 E3760:H3783 A3760:A3783 T3858 E3858:H3858 A3858 Q3858 A3786:A3787 E3786:H3787 Q3340:Q3357 G3340:G3357 H3854 E3213:H3224 A3213:A3224 Q3213:Q3224 T3213:T3224 K3277:O3277 T3277 L3788:N3789 C3891 A3891 K3891:L3891 Q3750 E3750:H3750 A3750 A3797:A3841 Q3796:Q3841 Q3671:Q3722 A3671:A3672 T3750:T3783 T3796:T3853 A3853 E3674:H3722 E3672:G3672 F3194:G3194 E3188:G3188 A3188 Q3188 E3186:G3186 A3186 Q3186 Q3190:Q3193 A3190:A3193 E3190:G3193 F3196:G3196 O3194:O3196 Q3196 T3196 J3196:M3196 J3190:O3193 J3186:O3186 J3188:O3188 J3194:M3194 E3182:G3184 H3182:H3196 E3853:H3853 T3671:T3722 T3647 Q3181:Q3184 T3181:T3193 A3181:A3184 E3181:H3181 A3674:A3722 N3673:O3673 E3797:H3841 E3891:G3891 E3843:H3848 Q3843:Q3849 A3843:A3848 E3671:H3671 N3849:O3849 O3852 Q3852:Q3853 A3752:A3758 E3752:H3758 Q3752:Q3758 H3672:H3673 J3752:O3758 J3671:O3672 J3843:O3848 J3796:O3841 J3181:O3184 J3853:O3853 J3674:O3722 J3750:O3750 J3213:O3224 J3786:N3787 J3858:O3858 J3760:O3783 J3784:N3784">
    <cfRule type="expression" dxfId="0" priority="3254">
      <formula>(#REF!&lt;&gt;"")*(#REF!&lt;&gt;"")</formula>
    </cfRule>
  </conditionalFormatting>
  <conditionalFormatting sqref="M3301 M3760:M3785 M3858 M3331:M3335 Q3333:Q3335 T3333:T3335 L3333:L3335 N3333:O3335 T3340:T3357 H3340:H3357 M3213:M3224 M3277 M3750 M3796:M3841 C3881 A3881 K3881:Q3881 E3413:G3416 A3413:A3416 L3411:O3414 Q3411:Q3431 L3424:O3431 L3432:N3432 L3433:M3437 Q3433:Q3437 L3438:L3442 L3444 M3853 J3413:K3416 T3407:T3452 M3181:M3184 M3188 M3186 M3190:M3194 M3196 L3416:O3416 L3415:N3415 L3882 T3879:T3889 A3662:A3666 E3662:F3666 E3648:F3652 A3648:A3652 A3654:A3658 E3654:F3658 E3660:F3660 A3660 T4619 E4619:G4619 T4753:T4784 A4661:A4674 C4661:C4674 C4469:C4581 A4469:A4581 E3881:H3881 M3843:M3848 A4617 C4617 J4684:Q4684 C4788:C4797 A4788:A4797 E4788:H4797 A4746 C4746 E4746:H4746 E4748:H4748 C4748 A4748 M3752:M3758 A4656:A4659 C4656:C4659 J4799:R4801 E4799:H4820 J4803:R4803 J4802:M4802 O4802:R4802 J4804:M4804 O4804:R4804 T4788:T4820 A4606:A4615 C4606:C4615 J4619:R4619 E4753:H4784 A4799:A4820 C4799:C4820 A4750:A4784 C4750:C4784 C4638:C4653 A4638:A4653 A4619:A4636 C4619:C4636 J4753:R4784 J4748:R4748 J4746:R4746 J4805:R4820 J4788:R4797 J4677:R4683 J3340:O3357">
    <cfRule type="expression" dxfId="0" priority="3253">
      <formula>(#REF!&lt;&gt;"")*(#REF!&lt;&gt;"")</formula>
    </cfRule>
  </conditionalFormatting>
  <conditionalFormatting sqref="P3277:Q3277 P3301:Q3301 P3760:Q3783 P3858:Q3858 P3333:Q3335 P3340:P3357 P3750:Q3750 P3796:Q3837 Q3633:Q3637 P3411:Q3431 Q3433:Q3437 P3671:Q3722 P3191:Q3191 Q3190 P3193:Q3193 Q3192 P3202:Q3208 P3188:Q3188 P3186:Q3186 P3213:Q3224 Q3209 P3196:Q3200 P3194:P3195 P3647:Q3647 P3181:Q3184 P4619:Q4619 P4753:Q4784 P4788:Q4797 P3843:Q3849 P3852:Q3853 P4746:Q4746 P4748:Q4748 P3752:Q3758 P4799:Q4820 P3839:Q3841 Q3838">
    <cfRule type="expression" dxfId="1" priority="3255">
      <formula>(#REF!&lt;&gt;"")*(#REF!&lt;&gt;"")</formula>
    </cfRule>
  </conditionalFormatting>
  <conditionalFormatting sqref="M3860:M3866 E3668:G3669 Q3358 A3358:A3359 A3375 T3375:T3391 K3872:R3873 K3869:M3871 K3868 T3876:T3878 N3360:O3362 M3890:M3891 L3408:L3409 Q3407:Q3409 M3407:O3409 L3417:L3418 L3450:O3452 T3729:T3735 A3729 T3453:T3455 A3453 Q3453 E3453:H3453 T3197:T3212 A3210 E3210:H3210 Q3210:R3210 A3668:A3669 J3863:L3863 J3864:K3864 A3865 L3420:N3423 A3417:A3418 M3417:O3417 Q3444:Q3446 M3444:O3444 C3882 A3882 K3882 M3882:Q3882 E3890:H3890 A3594 O3604 J3607:O3607 N3605:O3605 E3340:F3357 Q3647 Q3723:Q3724 Q3749 T3747:T3749 Q3747 E3197:H3197 Q3202:Q3209 L3207:L3209 H3198:H3209 E3619:H3619 T3617 A3626 T3626 A3628 A3630 T3628 T3630 T3632:T3644 Q3855:Q3857 A3301 L3331:O3331 A3305:A3321 L3303:O3303 A3323:A3330 Q3302:Q3332 T3302:T3332 N3304:O3330 T3241:T3276 E3241:H3276 Q3235:Q3276 A3749 E3796:F3796 H3796 E3784:G3784 E3785:H3785 C3863:C3867 G3747:H3747 G3301:H3301 G3749:H3749 E3759:H3759 Q3759 A3854:A3857 E3854:G3857 T3336:T3339 E3302:H3339 E3747:F3748 H3748 G3872:G3873 N3226:O3232 A3225:A3277 Q3225:Q3232 T3225:T3239 E3232:H3239 L3874:R3875 K3876:R3878 L3398 E3396:H3397 A3396:A3397 C3869:C3880 A3868:A3880 K3879:Q3880 T3278:T3300 Q3278:Q3300 E3278:H3300 N3370 N3369:O3369 T3372 M3369:M3370 Q3369:Q3370 Q3372 J3408:K3412 O3418:O3423 E3417:G3423 E3859:H3859 A3859 Q3859 E3358:H3394 O3372 T3358:T3370 O3432 H3408:H3451 J3417:K3439 A3420:A3440 Q3438:Q3440 M3441:M3442 J3440:J3445 A3632:A3639 J3645:O3645 J3646 E3441:G3452 A3723:A3725 T3723:T3727 A3596:A3605 E3591:G3607 O3606 A3607:A3615 O3608 J3608:M3608 E3610:H3617 O3616 A3617:A3619 O3618 O3625 Q3603:Q3619 O3627 O3629 Q3630:Q3637 O3631 A3197:A3206 E3198:G3206 M3198:O3209 J3198:L3206 A3187 E3187:G3187 O3187 J3187:M3187 A3185 E3185:G3185 O3185 J3185:M3185 A3189 E3189:G3189 O3189 J3189:M3189 E3207:E3209 J3195:M3195 E3194:E3196 Q3194:Q3195 E3401:G3401 O3726:O3728 Q3726:Q3733 E3725:H3732 L3735:M3735 T3890:T3892 Q3590:Q3601 E3590:H3590 N3590:O3603 O3730:O3737 E3733:G3736 E3788:H3793 L3211:O3212 H3211:H3212 E3211:E3212 N3883:Q3884 O3885:Q3885 Q3891:R3891 P3886:Q3888 E3647:H3647 A4299:A4350 C4299:C4350 F3872:F3880 F3882:G3882 F3863:G3867 J3865:L3865 N3863:R3871 F3869:G3871 T3854:T3857 J3854:O3857 P4652:R4653 A4219:A4290 C4219:C4290 C4294 E4294:H4294 A4294 E4620:H4620 E4638:G4650 E4219:H4290 J4638:R4650 E4621:G4636 H4621:H4651 O4079:O4080 T4068:U4069 L4291:R4291 A4149:A4158 Q4152:Q4158 H3891:H3892 H3591:H3608 H3645:H3646 P4451:R4461 Q3892:Q3894 A3621 E3621:H3621 Q3621 Q3623:Q3628 E3623:H3640 A3623:A3624 T3619:T3624 P4656:Q4674 R4656:R4676 C4354 A4354 C4352 A4352 A4356:A4442 C4356:C4442 T4638:T4676 T4219:T4461 T4469:T4594 L3454:M3454 E4469:H4581 T4152:T4159 Q3896:Q3897 L3589:N3589 T3589:T3615 T3574:T3587 L3577:L3587 A3578:A3587 M3578:N3587 E3578:H3587 R4750:R4752 E4750:E4752 H4750:H4752 T4620:T4636 P4616 K4616 M4616 T4603:T4616 Q4616:Q4618 A4450:A4466 C4450:C4466 P4179:Q4179 E4161:E4180 H4177:H4180 M4177:M4180 P4177:R4178 M4126:M4127 Q4126:Q4128 M4098 M4070:M4082 Q4070:Q4071 T3860:T3873 E3860:E3885 H3860:H3885 A3645:A3647 Q3639:Q3645 J3578:K3587 J4469:R4581 J3623:O3624 J3621:O3621 J4219:R4290 J4620:R4636 J4294:R4294 J3647:O3647 J3632:O3641 J3788:K3793 J3590:M3606 J3730:M3734 J3726:M3728 J3631:M3631 J3629:M3629 J3627:M3627 J3625:M3625 J3616:M3616 J3725:O3725 J3360:L3374 J3859:O3859 J3278:O3300 J3396:O3397 J3375:O3394 J3232:L3232 J3336:O3338 J3759:O3759 J3301 J3747:O3749 J3331:K3335 J3785:K3785 J3233:O3239 J3241:O3276 J3305:M3330 J3303:K3304 J3302:O3302 J3630:O3630 J3628:O3628 J3626:O3626 J3619:O3619 J3617:O3617 J3609:O3615 J3197:O3197 J3210:O3210 J3453:O3453 J3729:O3729 J3358:O3359 P4450:Q4450">
    <cfRule type="expression" dxfId="0" priority="3251">
      <formula>(#REF!&lt;&gt;"")*(#REF!&lt;&gt;"")</formula>
    </cfRule>
  </conditionalFormatting>
  <conditionalFormatting sqref="F3208:G3209">
    <cfRule type="expression" dxfId="0" priority="2774">
      <formula>(#REF!&lt;&gt;"")*(#REF!&lt;&gt;"")</formula>
    </cfRule>
  </conditionalFormatting>
  <conditionalFormatting sqref="P3358:Q3358 P3359:P3362 P3375 P3407:Q3409 P3444:Q3444 Q3445:Q3446 P3639:Q3639 P3729:Q3729 P3453:Q3453 P3210:Q3210 P3749:Q3749 P3747:Q3747 P3633:P3637 P3603:Q3605 P3607:Q3607 P3609:Q3615 P3617:Q3617 P3619:Q3619 P3626:Q3626 P3628:Q3628 P3630:Q3630 P3632:Q3632 P3302:Q3321 P3323:Q3331 P3235:Q3239 P3241:Q3276 Q3393:Q3394 P3396:P3397 P3369 Q3369:Q3370 P3372:Q3372 P4469:Q4581 P4652:Q4653 P4219:Q4291 P4620:Q4636 P4638:Q4650 P4294:Q4294 P4450:Q4461 P3621:Q3621 P3623:Q3624 P4656:Q4674 Y4785:Y4787 P4616 Q4616:Q4618 P4177:Q4179 Q4129:Q4131 P4072:Q4075 J4070:J4071 Q4070:Q4071">
    <cfRule type="expression" dxfId="1" priority="3252">
      <formula>(#REF!&lt;&gt;"")*(#REF!&lt;&gt;"")</formula>
    </cfRule>
  </conditionalFormatting>
  <conditionalFormatting sqref="E3225:H3225 J3225:O3225">
    <cfRule type="expression" dxfId="0" priority="3099">
      <formula>(#REF!&lt;&gt;"")*(#REF!&lt;&gt;"")</formula>
    </cfRule>
  </conditionalFormatting>
  <conditionalFormatting sqref="P3225:Q3232">
    <cfRule type="expression" dxfId="1" priority="3104">
      <formula>(#REF!&lt;&gt;"")*(#REF!&lt;&gt;"")</formula>
    </cfRule>
  </conditionalFormatting>
  <conditionalFormatting sqref="E3226:H3231 J3226:M3231">
    <cfRule type="expression" dxfId="0" priority="3103">
      <formula>(#REF!&lt;&gt;"")*(#REF!&lt;&gt;"")</formula>
    </cfRule>
  </conditionalFormatting>
  <conditionalFormatting sqref="E3240:H3240 J3240:O3240">
    <cfRule type="expression" dxfId="0" priority="3164">
      <formula>(#REF!&lt;&gt;"")*(#REF!&lt;&gt;"")</formula>
    </cfRule>
  </conditionalFormatting>
  <conditionalFormatting sqref="E3277:H3277 J3277">
    <cfRule type="expression" dxfId="0" priority="3189">
      <formula>(#REF!&lt;&gt;"")*(#REF!&lt;&gt;"")</formula>
    </cfRule>
  </conditionalFormatting>
  <conditionalFormatting sqref="P3278:Q3299">
    <cfRule type="expression" dxfId="1" priority="3174">
      <formula>(#REF!&lt;&gt;"")*(#REF!&lt;&gt;"")</formula>
    </cfRule>
  </conditionalFormatting>
  <conditionalFormatting sqref="N3363:O3367">
    <cfRule type="expression" dxfId="0" priority="3052">
      <formula>(#REF!&lt;&gt;"")*(#REF!&lt;&gt;"")</formula>
    </cfRule>
  </conditionalFormatting>
  <conditionalFormatting sqref="E3395:H3395 J3395:O3395">
    <cfRule type="expression" dxfId="0" priority="3045">
      <formula>(#REF!&lt;&gt;"")*(#REF!&lt;&gt;"")</formula>
    </cfRule>
  </conditionalFormatting>
  <conditionalFormatting sqref="E3398:H3398 J3398:K3398">
    <cfRule type="expression" dxfId="0" priority="2994">
      <formula>(#REF!&lt;&gt;"")*(#REF!&lt;&gt;"")</formula>
    </cfRule>
  </conditionalFormatting>
  <conditionalFormatting sqref="E3399:H3399 J3399:K3399">
    <cfRule type="expression" dxfId="0" priority="2835">
      <formula>(#REF!&lt;&gt;"")*(#REF!&lt;&gt;"")</formula>
    </cfRule>
  </conditionalFormatting>
  <conditionalFormatting sqref="E3400:H3400 J3400:K3400">
    <cfRule type="expression" dxfId="0" priority="2827">
      <formula>(#REF!&lt;&gt;"")*(#REF!&lt;&gt;"")</formula>
    </cfRule>
  </conditionalFormatting>
  <conditionalFormatting sqref="E3407:H3407 J3407:L3407">
    <cfRule type="expression" dxfId="0" priority="3037">
      <formula>(#REF!&lt;&gt;"")*(#REF!&lt;&gt;"")</formula>
    </cfRule>
  </conditionalFormatting>
  <conditionalFormatting sqref="E3424:G3425">
    <cfRule type="expression" dxfId="0" priority="3015">
      <formula>(#REF!&lt;&gt;"")*(#REF!&lt;&gt;"")</formula>
    </cfRule>
  </conditionalFormatting>
  <conditionalFormatting sqref="E3432:G3435">
    <cfRule type="expression" dxfId="0" priority="2986">
      <formula>(#REF!&lt;&gt;"")*(#REF!&lt;&gt;"")</formula>
    </cfRule>
  </conditionalFormatting>
  <conditionalFormatting sqref="A3454 E3454:H3454 J3454:K3454">
    <cfRule type="expression" dxfId="0" priority="653">
      <formula>(#REF!&lt;&gt;"")*(#REF!&lt;&gt;"")</formula>
    </cfRule>
  </conditionalFormatting>
  <conditionalFormatting sqref="A3455 E3455:H3455 J3455:K3455">
    <cfRule type="expression" dxfId="0" priority="577">
      <formula>(#REF!&lt;&gt;"")*(#REF!&lt;&gt;"")</formula>
    </cfRule>
  </conditionalFormatting>
  <conditionalFormatting sqref="Q3485:Q3486 L3485:O3485 L3480:M3480 T3469:T3484 A3456 Q3456 L3456:O3456 E3456:H3485 N3486:O3486 J3456 J3485">
    <cfRule type="expression" dxfId="0" priority="2608">
      <formula>(#REF!&lt;&gt;"")*(#REF!&lt;&gt;"")</formula>
    </cfRule>
  </conditionalFormatting>
  <conditionalFormatting sqref="T3461:T3467 T3456:T3458">
    <cfRule type="expression" dxfId="0" priority="2610">
      <formula>(#REF!&lt;&gt;"")*(#REF!&lt;&gt;"")</formula>
    </cfRule>
  </conditionalFormatting>
  <conditionalFormatting sqref="H3457 J3457">
    <cfRule type="expression" dxfId="0" priority="2606">
      <formula>(#REF!&lt;&gt;"")*(#REF!&lt;&gt;"")</formula>
    </cfRule>
  </conditionalFormatting>
  <conditionalFormatting sqref="H3458 J3458">
    <cfRule type="expression" dxfId="0" priority="2597">
      <formula>(#REF!&lt;&gt;"")*(#REF!&lt;&gt;"")</formula>
    </cfRule>
  </conditionalFormatting>
  <conditionalFormatting sqref="H3459 J3459">
    <cfRule type="expression" dxfId="0" priority="2588">
      <formula>(#REF!&lt;&gt;"")*(#REF!&lt;&gt;"")</formula>
    </cfRule>
  </conditionalFormatting>
  <conditionalFormatting sqref="H3460 J3460">
    <cfRule type="expression" dxfId="0" priority="2581">
      <formula>(#REF!&lt;&gt;"")*(#REF!&lt;&gt;"")</formula>
    </cfRule>
  </conditionalFormatting>
  <conditionalFormatting sqref="H3461 J3461">
    <cfRule type="expression" dxfId="0" priority="2574">
      <formula>(#REF!&lt;&gt;"")*(#REF!&lt;&gt;"")</formula>
    </cfRule>
  </conditionalFormatting>
  <conditionalFormatting sqref="H3462 J3462">
    <cfRule type="expression" dxfId="0" priority="2565">
      <formula>(#REF!&lt;&gt;"")*(#REF!&lt;&gt;"")</formula>
    </cfRule>
  </conditionalFormatting>
  <conditionalFormatting sqref="H3463 J3463">
    <cfRule type="expression" dxfId="0" priority="2556">
      <formula>(#REF!&lt;&gt;"")*(#REF!&lt;&gt;"")</formula>
    </cfRule>
  </conditionalFormatting>
  <conditionalFormatting sqref="H3464 J3464">
    <cfRule type="expression" dxfId="0" priority="2547">
      <formula>(#REF!&lt;&gt;"")*(#REF!&lt;&gt;"")</formula>
    </cfRule>
  </conditionalFormatting>
  <conditionalFormatting sqref="H3465 J3465">
    <cfRule type="expression" dxfId="0" priority="2538">
      <formula>(#REF!&lt;&gt;"")*(#REF!&lt;&gt;"")</formula>
    </cfRule>
  </conditionalFormatting>
  <conditionalFormatting sqref="H3466 J3466">
    <cfRule type="expression" dxfId="0" priority="2529">
      <formula>(#REF!&lt;&gt;"")*(#REF!&lt;&gt;"")</formula>
    </cfRule>
  </conditionalFormatting>
  <conditionalFormatting sqref="H3467 J3467">
    <cfRule type="expression" dxfId="0" priority="2520">
      <formula>(#REF!&lt;&gt;"")*(#REF!&lt;&gt;"")</formula>
    </cfRule>
  </conditionalFormatting>
  <conditionalFormatting sqref="P3485:Q3486">
    <cfRule type="expression" dxfId="1" priority="2293">
      <formula>(#REF!&lt;&gt;"")*(#REF!&lt;&gt;"")</formula>
    </cfRule>
  </conditionalFormatting>
  <conditionalFormatting sqref="E3486:H3487 L3486:M3486 L3487 J3486:J3487">
    <cfRule type="expression" dxfId="0" priority="2082">
      <formula>(#REF!&lt;&gt;"")*(#REF!&lt;&gt;"")</formula>
    </cfRule>
  </conditionalFormatting>
  <conditionalFormatting sqref="Q3487 N3487:O3487">
    <cfRule type="expression" dxfId="0" priority="1555">
      <formula>(#REF!&lt;&gt;"")*(#REF!&lt;&gt;"")</formula>
    </cfRule>
  </conditionalFormatting>
  <conditionalFormatting sqref="E3488:H3489 L3488:L3489 J3488:J3489">
    <cfRule type="expression" dxfId="0" priority="1552">
      <formula>(#REF!&lt;&gt;"")*(#REF!&lt;&gt;"")</formula>
    </cfRule>
  </conditionalFormatting>
  <conditionalFormatting sqref="Q3488 N3488:O3488">
    <cfRule type="expression" dxfId="0" priority="1550">
      <formula>(#REF!&lt;&gt;"")*(#REF!&lt;&gt;"")</formula>
    </cfRule>
  </conditionalFormatting>
  <conditionalFormatting sqref="A3495 A3499 Q3495:Q3502 E3495:H3501 L3495:O3501 T3490:T3500 E3490:G3494 N3502 J3495:J3501">
    <cfRule type="expression" dxfId="0" priority="2291">
      <formula>(#REF!&lt;&gt;"")*(#REF!&lt;&gt;"")</formula>
    </cfRule>
  </conditionalFormatting>
  <conditionalFormatting sqref="P3495:Q3495 P3499:Q3499">
    <cfRule type="expression" dxfId="1" priority="2262">
      <formula>(#REF!&lt;&gt;"")*(#REF!&lt;&gt;"")</formula>
    </cfRule>
  </conditionalFormatting>
  <conditionalFormatting sqref="A3501:A3503 A3518">
    <cfRule type="expression" dxfId="0" priority="2232">
      <formula>(#REF!&lt;&gt;"")*(#REF!&lt;&gt;"")</formula>
    </cfRule>
  </conditionalFormatting>
  <conditionalFormatting sqref="P3501:Q3501 Q3502">
    <cfRule type="expression" dxfId="1" priority="2233">
      <formula>(#REF!&lt;&gt;"")*(#REF!&lt;&gt;"")</formula>
    </cfRule>
  </conditionalFormatting>
  <conditionalFormatting sqref="E3502:H3502 L3502:M3502 J3502">
    <cfRule type="expression" dxfId="0" priority="2229">
      <formula>(#REF!&lt;&gt;"")*(#REF!&lt;&gt;"")</formula>
    </cfRule>
  </conditionalFormatting>
  <conditionalFormatting sqref="O3502:O3503 O3518">
    <cfRule type="expression" dxfId="0" priority="2222">
      <formula>(#REF!&lt;&gt;"")*(#REF!&lt;&gt;"")</formula>
    </cfRule>
  </conditionalFormatting>
  <conditionalFormatting sqref="P3502:P3503 P3518">
    <cfRule type="expression" dxfId="1" priority="2221">
      <formula>(#REF!&lt;&gt;"")*(#REF!&lt;&gt;"")</formula>
    </cfRule>
  </conditionalFormatting>
  <conditionalFormatting sqref="E3503:H3503 L3503:M3503 L3518:M3518 H3518:H3553 J3503">
    <cfRule type="expression" dxfId="0" priority="2224">
      <formula>(#REF!&lt;&gt;"")*(#REF!&lt;&gt;"")</formula>
    </cfRule>
  </conditionalFormatting>
  <conditionalFormatting sqref="K3503 K3518">
    <cfRule type="expression" dxfId="0" priority="2223">
      <formula>(#REF!&lt;&gt;"")*(#REF!&lt;&gt;"")</formula>
    </cfRule>
  </conditionalFormatting>
  <conditionalFormatting sqref="Q3503 N3503 N3518 Q3518:Q3519 N3505 Q3505">
    <cfRule type="expression" dxfId="0" priority="2227">
      <formula>(#REF!&lt;&gt;"")*(#REF!&lt;&gt;"")</formula>
    </cfRule>
  </conditionalFormatting>
  <conditionalFormatting sqref="Q3503 Q3518:Q3519 Q3505">
    <cfRule type="expression" dxfId="1" priority="2226">
      <formula>(#REF!&lt;&gt;"")*(#REF!&lt;&gt;"")</formula>
    </cfRule>
  </conditionalFormatting>
  <conditionalFormatting sqref="T3503 T3518:T3532 T3505">
    <cfRule type="expression" dxfId="0" priority="2225">
      <formula>(#REF!&lt;&gt;"")*(#REF!&lt;&gt;"")</formula>
    </cfRule>
  </conditionalFormatting>
  <conditionalFormatting sqref="E3504:H3504 L3504:M3504 J3504">
    <cfRule type="expression" dxfId="0" priority="2097">
      <formula>(#REF!&lt;&gt;"")*(#REF!&lt;&gt;"")</formula>
    </cfRule>
  </conditionalFormatting>
  <conditionalFormatting sqref="E3505:H3505 L3505:M3505 J3505">
    <cfRule type="expression" dxfId="0" priority="2189">
      <formula>(#REF!&lt;&gt;"")*(#REF!&lt;&gt;"")</formula>
    </cfRule>
  </conditionalFormatting>
  <conditionalFormatting sqref="E3506:H3506 L3506:M3506 J3506">
    <cfRule type="expression" dxfId="0" priority="2183">
      <formula>(#REF!&lt;&gt;"")*(#REF!&lt;&gt;"")</formula>
    </cfRule>
  </conditionalFormatting>
  <conditionalFormatting sqref="Q3506 N3506">
    <cfRule type="expression" dxfId="0" priority="2187">
      <formula>(#REF!&lt;&gt;"")*(#REF!&lt;&gt;"")</formula>
    </cfRule>
  </conditionalFormatting>
  <conditionalFormatting sqref="E3507:H3507 L3507:M3507 J3507">
    <cfRule type="expression" dxfId="0" priority="1777">
      <formula>(#REF!&lt;&gt;"")*(#REF!&lt;&gt;"")</formula>
    </cfRule>
  </conditionalFormatting>
  <conditionalFormatting sqref="Q3507 N3507">
    <cfRule type="expression" dxfId="0" priority="1780">
      <formula>(#REF!&lt;&gt;"")*(#REF!&lt;&gt;"")</formula>
    </cfRule>
  </conditionalFormatting>
  <conditionalFormatting sqref="E3508:H3508 L3508:M3508 J3508">
    <cfRule type="expression" dxfId="0" priority="1687">
      <formula>(#REF!&lt;&gt;"")*(#REF!&lt;&gt;"")</formula>
    </cfRule>
  </conditionalFormatting>
  <conditionalFormatting sqref="Q3508 N3508">
    <cfRule type="expression" dxfId="0" priority="1690">
      <formula>(#REF!&lt;&gt;"")*(#REF!&lt;&gt;"")</formula>
    </cfRule>
  </conditionalFormatting>
  <conditionalFormatting sqref="E3509:H3509 L3509:M3509 J3509">
    <cfRule type="expression" dxfId="0" priority="1679">
      <formula>(#REF!&lt;&gt;"")*(#REF!&lt;&gt;"")</formula>
    </cfRule>
  </conditionalFormatting>
  <conditionalFormatting sqref="Q3509 N3509">
    <cfRule type="expression" dxfId="0" priority="1682">
      <formula>(#REF!&lt;&gt;"")*(#REF!&lt;&gt;"")</formula>
    </cfRule>
  </conditionalFormatting>
  <conditionalFormatting sqref="E3510:H3510 L3510:M3510 J3510">
    <cfRule type="expression" dxfId="0" priority="1542">
      <formula>(#REF!&lt;&gt;"")*(#REF!&lt;&gt;"")</formula>
    </cfRule>
  </conditionalFormatting>
  <conditionalFormatting sqref="E3511:H3511 L3511:M3511 J3511">
    <cfRule type="expression" dxfId="0" priority="1395">
      <formula>(#REF!&lt;&gt;"")*(#REF!&lt;&gt;"")</formula>
    </cfRule>
  </conditionalFormatting>
  <conditionalFormatting sqref="E3512:H3512 L3512:M3512 J3512">
    <cfRule type="expression" dxfId="0" priority="1116">
      <formula>(#REF!&lt;&gt;"")*(#REF!&lt;&gt;"")</formula>
    </cfRule>
  </conditionalFormatting>
  <conditionalFormatting sqref="E3513:H3513 L3513:M3515 J3513">
    <cfRule type="expression" dxfId="0" priority="1052">
      <formula>(#REF!&lt;&gt;"")*(#REF!&lt;&gt;"")</formula>
    </cfRule>
  </conditionalFormatting>
  <conditionalFormatting sqref="E3514:H3515 J3514:J3515">
    <cfRule type="expression" dxfId="0" priority="871">
      <formula>(#REF!&lt;&gt;"")*(#REF!&lt;&gt;"")</formula>
    </cfRule>
  </conditionalFormatting>
  <conditionalFormatting sqref="E3516:H3516 J3516">
    <cfRule type="expression" dxfId="0" priority="571">
      <formula>(#REF!&lt;&gt;"")*(#REF!&lt;&gt;"")</formula>
    </cfRule>
  </conditionalFormatting>
  <conditionalFormatting sqref="E3517:H3517 J3517">
    <cfRule type="expression" dxfId="0" priority="560">
      <formula>(#REF!&lt;&gt;"")*(#REF!&lt;&gt;"")</formula>
    </cfRule>
  </conditionalFormatting>
  <conditionalFormatting sqref="E3529:G3530">
    <cfRule type="expression" dxfId="0" priority="1731">
      <formula>(#REF!&lt;&gt;"")*(#REF!&lt;&gt;"")</formula>
    </cfRule>
  </conditionalFormatting>
  <conditionalFormatting sqref="L3529:M3530">
    <cfRule type="expression" dxfId="0" priority="1733">
      <formula>(#REF!&lt;&gt;"")*(#REF!&lt;&gt;"")</formula>
    </cfRule>
  </conditionalFormatting>
  <conditionalFormatting sqref="L3535:M3539">
    <cfRule type="expression" dxfId="0" priority="1595">
      <formula>(#REF!&lt;&gt;"")*(#REF!&lt;&gt;"")</formula>
    </cfRule>
  </conditionalFormatting>
  <conditionalFormatting sqref="Q3569 Q3571 Q3573">
    <cfRule type="expression" dxfId="0" priority="832">
      <formula>(#REF!&lt;&gt;"")*(#REF!&lt;&gt;"")</formula>
    </cfRule>
    <cfRule type="expression" dxfId="1" priority="831">
      <formula>(#REF!&lt;&gt;"")*(#REF!&lt;&gt;"")</formula>
    </cfRule>
  </conditionalFormatting>
  <conditionalFormatting sqref="Q3576:Q3580 Q3584">
    <cfRule type="expression" dxfId="0" priority="781">
      <formula>(#REF!&lt;&gt;"")*(#REF!&lt;&gt;"")</formula>
    </cfRule>
    <cfRule type="expression" dxfId="1" priority="780">
      <formula>(#REF!&lt;&gt;"")*(#REF!&lt;&gt;"")</formula>
    </cfRule>
  </conditionalFormatting>
  <conditionalFormatting sqref="Q3586:Q3587 Q3589">
    <cfRule type="expression" dxfId="0" priority="529">
      <formula>(#REF!&lt;&gt;"")*(#REF!&lt;&gt;"")</formula>
    </cfRule>
    <cfRule type="expression" dxfId="1" priority="528">
      <formula>(#REF!&lt;&gt;"")*(#REF!&lt;&gt;"")</formula>
    </cfRule>
  </conditionalFormatting>
  <conditionalFormatting sqref="T3588 A3588 E3588:H3588 L3588:N3588 J3588">
    <cfRule type="expression" dxfId="0" priority="506">
      <formula>(#REF!&lt;&gt;"")*(#REF!&lt;&gt;"")</formula>
    </cfRule>
  </conditionalFormatting>
  <conditionalFormatting sqref="E3589:G3589 A3589 J3589:K3589">
    <cfRule type="expression" dxfId="0" priority="526">
      <formula>(#REF!&lt;&gt;"")*(#REF!&lt;&gt;"")</formula>
    </cfRule>
  </conditionalFormatting>
  <conditionalFormatting sqref="P3590:Q3601">
    <cfRule type="expression" dxfId="1" priority="3193">
      <formula>(#REF!&lt;&gt;"")*(#REF!&lt;&gt;"")</formula>
    </cfRule>
  </conditionalFormatting>
  <conditionalFormatting sqref="H3609 H3648:H3666">
    <cfRule type="expression" dxfId="0" priority="3141">
      <formula>(#REF!&lt;&gt;"")*(#REF!&lt;&gt;"")</formula>
    </cfRule>
  </conditionalFormatting>
  <conditionalFormatting sqref="E3618:H3618 J3618:M3618">
    <cfRule type="expression" dxfId="0" priority="2803">
      <formula>(#REF!&lt;&gt;"")*(#REF!&lt;&gt;"")</formula>
    </cfRule>
  </conditionalFormatting>
  <conditionalFormatting sqref="E3620:H3620 A3620 J3620:M3620">
    <cfRule type="expression" dxfId="0" priority="1062">
      <formula>(#REF!&lt;&gt;"")*(#REF!&lt;&gt;"")</formula>
    </cfRule>
  </conditionalFormatting>
  <conditionalFormatting sqref="N3620:O3620 Q3620">
    <cfRule type="expression" dxfId="0" priority="1060">
      <formula>(#REF!&lt;&gt;"")*(#REF!&lt;&gt;"")</formula>
    </cfRule>
  </conditionalFormatting>
  <conditionalFormatting sqref="A3622 E3622:H3622 Q3622 J3622:M3622">
    <cfRule type="expression" dxfId="0" priority="1058">
      <formula>(#REF!&lt;&gt;"")*(#REF!&lt;&gt;"")</formula>
    </cfRule>
  </conditionalFormatting>
  <conditionalFormatting sqref="P3640:Q3644">
    <cfRule type="expression" dxfId="1" priority="2654">
      <formula>(#REF!&lt;&gt;"")*(#REF!&lt;&gt;"")</formula>
    </cfRule>
  </conditionalFormatting>
  <conditionalFormatting sqref="J3644:M3644 O3644">
    <cfRule type="expression" dxfId="0" priority="2635">
      <formula>(#REF!&lt;&gt;"")*(#REF!&lt;&gt;"")</formula>
    </cfRule>
  </conditionalFormatting>
  <conditionalFormatting sqref="T3666:T3669 O3666:O3669 Q3662:Q3669 Q3648:Q3652 Q3654:Q3660">
    <cfRule type="expression" dxfId="0" priority="3250">
      <formula>(#REF!&lt;&gt;"")*(#REF!&lt;&gt;"")</formula>
    </cfRule>
  </conditionalFormatting>
  <conditionalFormatting sqref="T3648:T3649 O3648:O3649">
    <cfRule type="expression" dxfId="0" priority="3224">
      <formula>(#REF!&lt;&gt;"")*(#REF!&lt;&gt;"")</formula>
    </cfRule>
  </conditionalFormatting>
  <conditionalFormatting sqref="Q3650:Q3652 Q3662:Q3669 P3648:Q3649 Q3654:Q3660">
    <cfRule type="expression" dxfId="1" priority="3225">
      <formula>(#REF!&lt;&gt;"")*(#REF!&lt;&gt;"")</formula>
    </cfRule>
  </conditionalFormatting>
  <conditionalFormatting sqref="Q3650 T3650 O3650">
    <cfRule type="expression" dxfId="0" priority="3222">
      <formula>(#REF!&lt;&gt;"")*(#REF!&lt;&gt;"")</formula>
    </cfRule>
  </conditionalFormatting>
  <conditionalFormatting sqref="P3650:Q3650 P3662:Q3662">
    <cfRule type="expression" dxfId="1" priority="3223">
      <formula>(#REF!&lt;&gt;"")*(#REF!&lt;&gt;"")</formula>
    </cfRule>
  </conditionalFormatting>
  <conditionalFormatting sqref="Q3651 T3651 O3651 Q3662 O3662 T3662">
    <cfRule type="expression" dxfId="0" priority="3220">
      <formula>(#REF!&lt;&gt;"")*(#REF!&lt;&gt;"")</formula>
    </cfRule>
  </conditionalFormatting>
  <conditionalFormatting sqref="Q3652 T3652 O3652">
    <cfRule type="expression" dxfId="0" priority="3218">
      <formula>(#REF!&lt;&gt;"")*(#REF!&lt;&gt;"")</formula>
    </cfRule>
  </conditionalFormatting>
  <conditionalFormatting sqref="E3653:F3653 A3653">
    <cfRule type="expression" dxfId="0" priority="2117">
      <formula>(#REF!&lt;&gt;"")*(#REF!&lt;&gt;"")</formula>
    </cfRule>
  </conditionalFormatting>
  <conditionalFormatting sqref="Q3653 T3653 O3653">
    <cfRule type="expression" dxfId="0" priority="2113">
      <formula>(#REF!&lt;&gt;"")*(#REF!&lt;&gt;"")</formula>
    </cfRule>
  </conditionalFormatting>
  <conditionalFormatting sqref="Q3654 T3654 O3654">
    <cfRule type="expression" dxfId="0" priority="3216">
      <formula>(#REF!&lt;&gt;"")*(#REF!&lt;&gt;"")</formula>
    </cfRule>
  </conditionalFormatting>
  <conditionalFormatting sqref="Q3655 T3655 O3655">
    <cfRule type="expression" dxfId="0" priority="3214">
      <formula>(#REF!&lt;&gt;"")*(#REF!&lt;&gt;"")</formula>
    </cfRule>
  </conditionalFormatting>
  <conditionalFormatting sqref="Q3658:Q3659 T3658:T3659 O3658">
    <cfRule type="expression" dxfId="0" priority="3210">
      <formula>(#REF!&lt;&gt;"")*(#REF!&lt;&gt;"")</formula>
    </cfRule>
  </conditionalFormatting>
  <conditionalFormatting sqref="P3658:Q3658 Q3659">
    <cfRule type="expression" dxfId="1" priority="3211">
      <formula>(#REF!&lt;&gt;"")*(#REF!&lt;&gt;"")</formula>
    </cfRule>
  </conditionalFormatting>
  <conditionalFormatting sqref="A3659 E3659:F3659">
    <cfRule type="expression" dxfId="0" priority="2085">
      <formula>(#REF!&lt;&gt;"")*(#REF!&lt;&gt;"")</formula>
    </cfRule>
  </conditionalFormatting>
  <conditionalFormatting sqref="Q3660 T3660 O3660">
    <cfRule type="expression" dxfId="0" priority="3208">
      <formula>(#REF!&lt;&gt;"")*(#REF!&lt;&gt;"")</formula>
    </cfRule>
  </conditionalFormatting>
  <conditionalFormatting sqref="E3661:F3661 A3661">
    <cfRule type="expression" dxfId="0" priority="2122">
      <formula>(#REF!&lt;&gt;"")*(#REF!&lt;&gt;"")</formula>
    </cfRule>
  </conditionalFormatting>
  <conditionalFormatting sqref="Q3661 T3661 O3661">
    <cfRule type="expression" dxfId="0" priority="2118">
      <formula>(#REF!&lt;&gt;"")*(#REF!&lt;&gt;"")</formula>
    </cfRule>
  </conditionalFormatting>
  <conditionalFormatting sqref="Q3663 T3663">
    <cfRule type="expression" dxfId="0" priority="3206">
      <formula>(#REF!&lt;&gt;"")*(#REF!&lt;&gt;"")</formula>
    </cfRule>
  </conditionalFormatting>
  <conditionalFormatting sqref="Q3664:Q3665 T3664:T3665 O3664:O3665">
    <cfRule type="expression" dxfId="0" priority="3204">
      <formula>(#REF!&lt;&gt;"")*(#REF!&lt;&gt;"")</formula>
    </cfRule>
  </conditionalFormatting>
  <conditionalFormatting sqref="P3664:Q3665">
    <cfRule type="expression" dxfId="1" priority="3205">
      <formula>(#REF!&lt;&gt;"")*(#REF!&lt;&gt;"")</formula>
    </cfRule>
  </conditionalFormatting>
  <conditionalFormatting sqref="Q3666 P3667:Q3669">
    <cfRule type="expression" dxfId="1" priority="3203">
      <formula>(#REF!&lt;&gt;"")*(#REF!&lt;&gt;"")</formula>
    </cfRule>
  </conditionalFormatting>
  <conditionalFormatting sqref="E3670 Q3670">
    <cfRule type="expression" dxfId="0" priority="2092">
      <formula>(#REF!&lt;&gt;"")*(#REF!&lt;&gt;"")</formula>
    </cfRule>
  </conditionalFormatting>
  <conditionalFormatting sqref="G3670:H3670 J3670:O3670">
    <cfRule type="expression" dxfId="0" priority="2088">
      <formula>(#REF!&lt;&gt;"")*(#REF!&lt;&gt;"")</formula>
    </cfRule>
  </conditionalFormatting>
  <conditionalFormatting sqref="A3673 E3673:H3673 J3673:M3673">
    <cfRule type="expression" dxfId="0" priority="2623">
      <formula>(#REF!&lt;&gt;"")*(#REF!&lt;&gt;"")</formula>
    </cfRule>
  </conditionalFormatting>
  <conditionalFormatting sqref="E3723:H3724 J3723:O3724">
    <cfRule type="expression" dxfId="0" priority="3227">
      <formula>(#REF!&lt;&gt;"")*(#REF!&lt;&gt;"")</formula>
    </cfRule>
  </conditionalFormatting>
  <conditionalFormatting sqref="P3723:Q3724">
    <cfRule type="expression" dxfId="1" priority="3228">
      <formula>(#REF!&lt;&gt;"")*(#REF!&lt;&gt;"")</formula>
    </cfRule>
  </conditionalFormatting>
  <conditionalFormatting sqref="P3732:Q3733">
    <cfRule type="expression" dxfId="1" priority="2679">
      <formula>(#REF!&lt;&gt;"")*(#REF!&lt;&gt;"")</formula>
    </cfRule>
  </conditionalFormatting>
  <conditionalFormatting sqref="P3734:Q3735">
    <cfRule type="expression" dxfId="1" priority="2673">
      <formula>(#REF!&lt;&gt;"")*(#REF!&lt;&gt;"")</formula>
    </cfRule>
  </conditionalFormatting>
  <conditionalFormatting sqref="P3736:Q3737">
    <cfRule type="expression" dxfId="1" priority="2661">
      <formula>(#REF!&lt;&gt;"")*(#REF!&lt;&gt;"")</formula>
    </cfRule>
  </conditionalFormatting>
  <conditionalFormatting sqref="L3741:M3742">
    <cfRule type="expression" dxfId="0" priority="1696">
      <formula>(#REF!&lt;&gt;"")*(#REF!&lt;&gt;"")</formula>
    </cfRule>
  </conditionalFormatting>
  <conditionalFormatting sqref="P3741:Q3742">
    <cfRule type="expression" dxfId="1" priority="1699">
      <formula>(#REF!&lt;&gt;"")*(#REF!&lt;&gt;"")</formula>
    </cfRule>
  </conditionalFormatting>
  <conditionalFormatting sqref="A3744 A3746">
    <cfRule type="expression" dxfId="0" priority="1460">
      <formula>(#REF!&lt;&gt;"")*(#REF!&lt;&gt;"")</formula>
    </cfRule>
  </conditionalFormatting>
  <conditionalFormatting sqref="E3751:H3751 A3751 J3751:M3751">
    <cfRule type="expression" dxfId="0" priority="1065">
      <formula>(#REF!&lt;&gt;"")*(#REF!&lt;&gt;"")</formula>
    </cfRule>
  </conditionalFormatting>
  <conditionalFormatting sqref="Q3751 N3751:O3751">
    <cfRule type="expression" dxfId="0" priority="1063">
      <formula>(#REF!&lt;&gt;"")*(#REF!&lt;&gt;"")</formula>
    </cfRule>
  </conditionalFormatting>
  <conditionalFormatting sqref="L3790:N3791">
    <cfRule type="expression" dxfId="0" priority="3075">
      <formula>(#REF!&lt;&gt;"")*(#REF!&lt;&gt;"")</formula>
    </cfRule>
  </conditionalFormatting>
  <conditionalFormatting sqref="L3793:N3793 L3795:N3795 N3794">
    <cfRule type="expression" dxfId="0" priority="2656">
      <formula>(#REF!&lt;&gt;"")*(#REF!&lt;&gt;"")</formula>
    </cfRule>
  </conditionalFormatting>
  <conditionalFormatting sqref="E3794:H3794 J3794:K3794">
    <cfRule type="expression" dxfId="0" priority="853">
      <formula>(#REF!&lt;&gt;"")*(#REF!&lt;&gt;"")</formula>
    </cfRule>
  </conditionalFormatting>
  <conditionalFormatting sqref="E3795:G3795 J3795:K3795">
    <cfRule type="expression" dxfId="0" priority="856">
      <formula>(#REF!&lt;&gt;"")*(#REF!&lt;&gt;"")</formula>
    </cfRule>
  </conditionalFormatting>
  <conditionalFormatting sqref="A3842 E3842:H3842 J3842:N3842">
    <cfRule type="expression" dxfId="0" priority="1588">
      <formula>(#REF!&lt;&gt;"")*(#REF!&lt;&gt;"")</formula>
    </cfRule>
  </conditionalFormatting>
  <conditionalFormatting sqref="E3849:G3849 A3849 J3849:M3849">
    <cfRule type="expression" dxfId="0" priority="1109">
      <formula>(#REF!&lt;&gt;"")*(#REF!&lt;&gt;"")</formula>
    </cfRule>
  </conditionalFormatting>
  <conditionalFormatting sqref="E3850:H3850 A3850 J3850:M3850">
    <cfRule type="expression" dxfId="0" priority="1107">
      <formula>(#REF!&lt;&gt;"")*(#REF!&lt;&gt;"")</formula>
    </cfRule>
  </conditionalFormatting>
  <conditionalFormatting sqref="Q3850 N3850:N3851">
    <cfRule type="expression" dxfId="0" priority="1103">
      <formula>(#REF!&lt;&gt;"")*(#REF!&lt;&gt;"")</formula>
    </cfRule>
  </conditionalFormatting>
  <conditionalFormatting sqref="E3851:H3851 A3851 J3851:M3851">
    <cfRule type="expression" dxfId="0" priority="1100">
      <formula>(#REF!&lt;&gt;"")*(#REF!&lt;&gt;"")</formula>
    </cfRule>
  </conditionalFormatting>
  <conditionalFormatting sqref="E3852:H3852 A3852 J3852:M3852">
    <cfRule type="expression" dxfId="0" priority="1111">
      <formula>(#REF!&lt;&gt;"")*(#REF!&lt;&gt;"")</formula>
    </cfRule>
  </conditionalFormatting>
  <conditionalFormatting sqref="P3855:Q3857">
    <cfRule type="expression" dxfId="1" priority="3192">
      <formula>(#REF!&lt;&gt;"")*(#REF!&lt;&gt;"")</formula>
    </cfRule>
  </conditionalFormatting>
  <conditionalFormatting sqref="C3860:C3861 Q3863:Q3888 P3866:P3876 Q3890:R3890 C3890 Q3891:Q3892 A3890:A3891 N3883:O3884 O3885:P3885 Q3860:R3862 P3878:P3884 P3886:P3888 E3890:H3890 E3891:G3891 H3891:H3892 N4616 A3860:A3882 E3883:E3885 E3860:H3882 H3883:H3885 J3860:P3864 J3890:O3891 J3865:O3882">
    <cfRule type="expression" dxfId="0" priority="3256">
      <formula>(#REF!&lt;&gt;"")*(A$1&lt;&gt;"")</formula>
    </cfRule>
  </conditionalFormatting>
  <conditionalFormatting sqref="Q3892 P3860:Q3888 P3890:Q3891 H4619 O4616 H4616 J4616:M4616">
    <cfRule type="expression" dxfId="1" priority="3257">
      <formula>(#REF!&lt;&gt;"")*(H$1&lt;&gt;"")</formula>
    </cfRule>
  </conditionalFormatting>
  <conditionalFormatting sqref="C3868 E3868:G3868">
    <cfRule type="expression" dxfId="0" priority="3110">
      <formula>(#REF!&lt;&gt;"")*(#REF!&lt;&gt;"")</formula>
    </cfRule>
  </conditionalFormatting>
  <conditionalFormatting sqref="C3883 A3883 K3883 M3883 E3883:H3883">
    <cfRule type="expression" dxfId="0" priority="2614">
      <formula>(#REF!&lt;&gt;"")*(#REF!&lt;&gt;"")</formula>
    </cfRule>
  </conditionalFormatting>
  <conditionalFormatting sqref="E3883:H3883 A3883 J3883:M3883">
    <cfRule type="expression" dxfId="0" priority="2616">
      <formula>(#REF!&lt;&gt;"")*(A$1&lt;&gt;"")</formula>
    </cfRule>
  </conditionalFormatting>
  <conditionalFormatting sqref="C3884 A3884 K3884 M3884 E3884:H3884">
    <cfRule type="expression" dxfId="0" priority="2611">
      <formula>(#REF!&lt;&gt;"")*(#REF!&lt;&gt;"")</formula>
    </cfRule>
  </conditionalFormatting>
  <conditionalFormatting sqref="E3884:H3884 A3884 J3884:M3884">
    <cfRule type="expression" dxfId="0" priority="2613">
      <formula>(#REF!&lt;&gt;"")*(A$1&lt;&gt;"")</formula>
    </cfRule>
  </conditionalFormatting>
  <conditionalFormatting sqref="C3885 A3885 K3885 M3885 E3885:H3885">
    <cfRule type="expression" dxfId="0" priority="2208">
      <formula>(#REF!&lt;&gt;"")*(#REF!&lt;&gt;"")</formula>
    </cfRule>
  </conditionalFormatting>
  <conditionalFormatting sqref="E3885:H3885 A3885 J3885:M3885">
    <cfRule type="expression" dxfId="0" priority="2210">
      <formula>(#REF!&lt;&gt;"")*(A$1&lt;&gt;"")</formula>
    </cfRule>
  </conditionalFormatting>
  <conditionalFormatting sqref="C3886:C3888 A3886:A3888 K3886:K3888 M3886:M3888 E3886:H3888">
    <cfRule type="expression" dxfId="0" priority="2129">
      <formula>(#REF!&lt;&gt;"")*(#REF!&lt;&gt;"")</formula>
    </cfRule>
  </conditionalFormatting>
  <conditionalFormatting sqref="E3886:H3888 A3886:A3888 J3886:M3888">
    <cfRule type="expression" dxfId="0" priority="2131">
      <formula>(#REF!&lt;&gt;"")*(A$1&lt;&gt;"")</formula>
    </cfRule>
  </conditionalFormatting>
  <conditionalFormatting sqref="O3886:O3888 E3886:E3888 H3886:H3888">
    <cfRule type="expression" dxfId="0" priority="2134">
      <formula>(#REF!&lt;&gt;"")*(#REF!&lt;&gt;"")</formula>
    </cfRule>
    <cfRule type="expression" dxfId="0" priority="2135">
      <formula>(#REF!&lt;&gt;"")*(E$1&lt;&gt;"")</formula>
    </cfRule>
  </conditionalFormatting>
  <conditionalFormatting sqref="C3889 A3889 K3889 M3889 E3889:H3889">
    <cfRule type="expression" dxfId="0" priority="939">
      <formula>(#REF!&lt;&gt;"")*(#REF!&lt;&gt;"")</formula>
    </cfRule>
  </conditionalFormatting>
  <conditionalFormatting sqref="E3889:H3889 A3889 J3889:M3889">
    <cfRule type="expression" dxfId="0" priority="941">
      <formula>(#REF!&lt;&gt;"")*(A$1&lt;&gt;"")</formula>
    </cfRule>
  </conditionalFormatting>
  <conditionalFormatting sqref="O3889 E3889 H3889">
    <cfRule type="expression" dxfId="0" priority="944">
      <formula>(#REF!&lt;&gt;"")*(#REF!&lt;&gt;"")</formula>
    </cfRule>
    <cfRule type="expression" dxfId="0" priority="945">
      <formula>(#REF!&lt;&gt;"")*(E$1&lt;&gt;"")</formula>
    </cfRule>
  </conditionalFormatting>
  <conditionalFormatting sqref="C3892 A3892 K3892:L3892 E3892:G3892">
    <cfRule type="expression" dxfId="0" priority="2216">
      <formula>(#REF!&lt;&gt;"")*(#REF!&lt;&gt;"")</formula>
    </cfRule>
  </conditionalFormatting>
  <conditionalFormatting sqref="E3892:G3892 A3892 J3892:O3892">
    <cfRule type="expression" dxfId="0" priority="2217">
      <formula>(#REF!&lt;&gt;"")*(A$1&lt;&gt;"")</formula>
    </cfRule>
  </conditionalFormatting>
  <conditionalFormatting sqref="A3893 T3893:T3895 F3896:F3897 A3897 E3897 T3896:U3897 H3896 C4142:C4147 A4142:A4147 A4161:A4163 Q4165:R4165 M4164:M4165 P4169:R4169 M4169:N4169 T4142:T4146 K4157:R4158 N4156:P4156 R4156 T4149 E4142:G4147 E4149:G4150 K4152:R4152 J4151:M4151 O4151:R4151 T4161:T4163 F4161:G4163 P4162:P4168 P4172 E4152:G4158 C4152:C4158 J4162:N4163 J4161:P4161 Q4161:R4163 N4153:O4155 K4153:M4156 J4152:J4158 J4149:R4150 J4142:Q4145 R4144 J4146:R4147 E3893:H3893 L3894:O3894 J3893:O3893 J3896:O3897">
    <cfRule type="expression" dxfId="0" priority="2630">
      <formula>(#REF!&lt;&gt;"")*(#REF!&lt;&gt;"")</formula>
    </cfRule>
  </conditionalFormatting>
  <conditionalFormatting sqref="P3893:Q3894 P4169:Q4169 P4149:Q4150 P4142:Q4147 P4152:Q4158 P4180">
    <cfRule type="expression" dxfId="1" priority="2631">
      <formula>(#REF!&lt;&gt;"")*(#REF!&lt;&gt;"")</formula>
    </cfRule>
  </conditionalFormatting>
  <conditionalFormatting sqref="A3894 E3894:G3894 J3894:K3894">
    <cfRule type="expression" dxfId="0" priority="867">
      <formula>(#REF!&lt;&gt;"")*(#REF!&lt;&gt;"")</formula>
    </cfRule>
  </conditionalFormatting>
  <conditionalFormatting sqref="A3895 E3895:G3895 J3895:K3895">
    <cfRule type="expression" dxfId="0" priority="508">
      <formula>(#REF!&lt;&gt;"")*(#REF!&lt;&gt;"")</formula>
    </cfRule>
  </conditionalFormatting>
  <conditionalFormatting sqref="P3896:Q3897">
    <cfRule type="expression" dxfId="1" priority="2628">
      <formula>(#REF!&lt;&gt;"")*(#REF!&lt;&gt;"")</formula>
    </cfRule>
  </conditionalFormatting>
  <conditionalFormatting sqref="A4018 A3901:A3903">
    <cfRule type="expression" dxfId="1" priority="2064">
      <formula>(#REF!&lt;&gt;"")*(A$1&lt;&gt;"")</formula>
    </cfRule>
  </conditionalFormatting>
  <conditionalFormatting sqref="O3978:Q3978 K3978:M3978 E3978:G3978 O3901:Q3902 J3925:J3935">
    <cfRule type="expression" dxfId="1" priority="2033">
      <formula>(#REF!&lt;&gt;"")*(E$1&lt;&gt;"")</formula>
    </cfRule>
  </conditionalFormatting>
  <conditionalFormatting sqref="O4018:Q4018 J4018:K4018 M4018 E4018:G4018 E3901:F3903 K3901:M3903 G3901:G3902">
    <cfRule type="expression" dxfId="1" priority="2032">
      <formula>(#REF!&lt;&gt;"")*(E$1&lt;&gt;"")</formula>
    </cfRule>
  </conditionalFormatting>
  <conditionalFormatting sqref="O3903:Q3903 G3903:H3903">
    <cfRule type="expression" dxfId="1" priority="2031">
      <formula>(#REF!&lt;&gt;"")*(G$1&lt;&gt;"")</formula>
    </cfRule>
  </conditionalFormatting>
  <conditionalFormatting sqref="M4129 Q4129 Q4121 M4114 Q4109 Q4073:Q4077 P4072:Q4072 E4065:H4066 E4058:H4059 T4058:T4059 T4065:T4066 M4047:M4055 M4037:M4045 M4018:M4020 T4017 E4017:G4017 J4017:O4017 Q4017:Q4018 Q3937:Q3938 N3937:O3938 T3937:T3938 Q4112:Q4114 Q4117 M4117 J4058:R4059 J4065:R4066">
    <cfRule type="expression" dxfId="0" priority="2030">
      <formula>(#REF!&lt;&gt;"")*(#REF!&lt;&gt;"")</formula>
    </cfRule>
  </conditionalFormatting>
  <conditionalFormatting sqref="J4130 Q4134 J4120:J4121 Q4136:Q4138 Q4140 P4061:Q4066 P4058:Q4059 P4017:Q4017 P3937:P3939 Q3937:Q3938">
    <cfRule type="expression" dxfId="1" priority="2029">
      <formula>(#REF!&lt;&gt;"")*(#REF!&lt;&gt;"")</formula>
    </cfRule>
  </conditionalFormatting>
  <conditionalFormatting sqref="U4017 U3937:U3938">
    <cfRule type="expression" dxfId="0" priority="1803">
      <formula>(#REF!&lt;&gt;"")*(#REF!&lt;&gt;"")</formula>
    </cfRule>
  </conditionalFormatting>
  <conditionalFormatting sqref="K3974 K3977:Q3977 E3977 G3977">
    <cfRule type="expression" dxfId="1" priority="2028">
      <formula>(#REF!&lt;&gt;"")*(E$1&lt;&gt;"")</formula>
    </cfRule>
  </conditionalFormatting>
  <conditionalFormatting sqref="P4014:Q4014 N4014 K4014:L4014 E4014:G4014">
    <cfRule type="expression" dxfId="0" priority="2020">
      <formula>(#REF!&lt;&gt;"")*(E$1&lt;&gt;"")</formula>
    </cfRule>
  </conditionalFormatting>
  <conditionalFormatting sqref="P4015:Q4015 N4015 K4015:L4015 E4015:G4015">
    <cfRule type="expression" dxfId="0" priority="2007">
      <formula>(#REF!&lt;&gt;"")*(E$1&lt;&gt;"")</formula>
    </cfRule>
  </conditionalFormatting>
  <conditionalFormatting sqref="P4016:Q4016 N4016 K4016:L4016 E4016:G4016">
    <cfRule type="expression" dxfId="0" priority="2003">
      <formula>(#REF!&lt;&gt;"")*(E$1&lt;&gt;"")</formula>
    </cfRule>
  </conditionalFormatting>
  <conditionalFormatting sqref="C4065:C4066 A4061:A4066 C4058:C4059 A4058:A4059 A4017">
    <cfRule type="expression" dxfId="0" priority="2063">
      <formula>(#REF!&lt;&gt;"")*(#REF!&lt;&gt;"")</formula>
    </cfRule>
  </conditionalFormatting>
  <conditionalFormatting sqref="T4018 K4018 M4030 M4033:M4034">
    <cfRule type="expression" dxfId="0" priority="2023">
      <formula>(#REF!&lt;&gt;"")*(#REF!&lt;&gt;"")</formula>
    </cfRule>
  </conditionalFormatting>
  <conditionalFormatting sqref="A4060 C4060">
    <cfRule type="expression" dxfId="0" priority="2053">
      <formula>(#REF!&lt;&gt;"")*(#REF!&lt;&gt;"")</formula>
    </cfRule>
  </conditionalFormatting>
  <conditionalFormatting sqref="N4060:O4060 E4060:H4060 K4060:L4060 Q4060:R4060">
    <cfRule type="expression" dxfId="0" priority="1983">
      <formula>(#REF!&lt;&gt;"")*(#REF!&lt;&gt;"")</formula>
    </cfRule>
  </conditionalFormatting>
  <conditionalFormatting sqref="E4060:H4060 Q4060 J4060:O4060">
    <cfRule type="expression" dxfId="0" priority="1982">
      <formula>(#REF!&lt;&gt;"")*(#REF!&lt;&gt;"")</formula>
    </cfRule>
  </conditionalFormatting>
  <conditionalFormatting sqref="T4060 M4060">
    <cfRule type="expression" dxfId="0" priority="1980">
      <formula>(#REF!&lt;&gt;"")*(#REF!&lt;&gt;"")</formula>
    </cfRule>
  </conditionalFormatting>
  <conditionalFormatting sqref="C4061 A4061">
    <cfRule type="expression" dxfId="0" priority="2058">
      <formula>(#REF!&lt;&gt;"")*(#REF!&lt;&gt;"")</formula>
    </cfRule>
  </conditionalFormatting>
  <conditionalFormatting sqref="M4085 M4130:M4131 Q4130:Q4131 O4094:O4095 Q4094:Q4095 M4087 M4068 K4068 Q4061:Q4064 E4061:H4064 T4062:T4063 E4068:G4068 J4061:O4064">
    <cfRule type="expression" dxfId="0" priority="1999">
      <formula>(#REF!&lt;&gt;"")*(#REF!&lt;&gt;"")</formula>
    </cfRule>
  </conditionalFormatting>
  <conditionalFormatting sqref="R4141 E4066:G4066 K4061:L4061 E4061:H4061 N4061:R4061">
    <cfRule type="expression" dxfId="0" priority="1998">
      <formula>(#REF!&lt;&gt;"")*(#REF!&lt;&gt;"")</formula>
    </cfRule>
  </conditionalFormatting>
  <conditionalFormatting sqref="M4128 Q4137:Q4138 Q4134 Q4132 Q4136:R4136 Q4140 M4061">
    <cfRule type="expression" dxfId="0" priority="1997">
      <formula>(#REF!&lt;&gt;"")*(#REF!&lt;&gt;"")</formula>
    </cfRule>
  </conditionalFormatting>
  <conditionalFormatting sqref="C4062 A4062">
    <cfRule type="expression" dxfId="0" priority="2054">
      <formula>(#REF!&lt;&gt;"")*(#REF!&lt;&gt;"")</formula>
    </cfRule>
  </conditionalFormatting>
  <conditionalFormatting sqref="K4062:R4062 E4062:G4062">
    <cfRule type="expression" dxfId="0" priority="1985">
      <formula>(#REF!&lt;&gt;"")*(#REF!&lt;&gt;"")</formula>
    </cfRule>
  </conditionalFormatting>
  <conditionalFormatting sqref="C4063 A4063">
    <cfRule type="expression" dxfId="0" priority="2055">
      <formula>(#REF!&lt;&gt;"")*(#REF!&lt;&gt;"")</formula>
    </cfRule>
  </conditionalFormatting>
  <conditionalFormatting sqref="K4063 O4063:Q4063 E4063:G4063">
    <cfRule type="expression" dxfId="0" priority="1991">
      <formula>(#REF!&lt;&gt;"")*(#REF!&lt;&gt;"")</formula>
    </cfRule>
  </conditionalFormatting>
  <conditionalFormatting sqref="E4064:G4064 K4064:L4064">
    <cfRule type="expression" dxfId="0" priority="1996">
      <formula>(#REF!&lt;&gt;"")*(#REF!&lt;&gt;"")</formula>
    </cfRule>
  </conditionalFormatting>
  <conditionalFormatting sqref="E4067:H4067 H4068 J4067:N4067">
    <cfRule type="expression" dxfId="0" priority="1976">
      <formula>(#REF!&lt;&gt;"")*(#REF!&lt;&gt;"")</formula>
    </cfRule>
  </conditionalFormatting>
  <conditionalFormatting sqref="O4076:O4077 R4076 O4085 O4090:O4091 O4105 O4113:O4114 O4107 O4118:O4119 O4125 O4127 O4109 J4068:N4068">
    <cfRule type="expression" dxfId="0" priority="1977">
      <formula>(#REF!&lt;&gt;"")*(#REF!&lt;&gt;"")</formula>
    </cfRule>
  </conditionalFormatting>
  <conditionalFormatting sqref="M4069 K4069 E4069:G4069">
    <cfRule type="expression" dxfId="0" priority="1076">
      <formula>(#REF!&lt;&gt;"")*(#REF!&lt;&gt;"")</formula>
    </cfRule>
  </conditionalFormatting>
  <conditionalFormatting sqref="Q4077 P4073:Q4073 Q4109 M4109 Q4106 M4105:M4106 Q4120 Q4122:Q4124 M4122:M4124 M4112 Q4112">
    <cfRule type="expression" dxfId="0" priority="1969">
      <formula>(#REF!&lt;&gt;"")*(#REF!&lt;&gt;"")</formula>
    </cfRule>
  </conditionalFormatting>
  <conditionalFormatting sqref="P4074:Q4075">
    <cfRule type="expression" dxfId="0" priority="1948">
      <formula>(#REF!&lt;&gt;"")*(#REF!&lt;&gt;"")</formula>
    </cfRule>
  </conditionalFormatting>
  <conditionalFormatting sqref="P4141 Q4076:Q4077 J4106:J4107 J4128 J4109 J4123:J4124 J4117">
    <cfRule type="expression" dxfId="1" priority="1970">
      <formula>(#REF!&lt;&gt;"")*(#REF!&lt;&gt;"")</formula>
    </cfRule>
  </conditionalFormatting>
  <conditionalFormatting sqref="M4088:M4089 Q4088 Q4092">
    <cfRule type="expression" dxfId="0" priority="1964">
      <formula>(#REF!&lt;&gt;"")*(#REF!&lt;&gt;"")</formula>
    </cfRule>
  </conditionalFormatting>
  <conditionalFormatting sqref="M4094:M4095 M4090:M4091">
    <cfRule type="expression" dxfId="0" priority="1950">
      <formula>(#REF!&lt;&gt;"")*(#REF!&lt;&gt;"")</formula>
    </cfRule>
  </conditionalFormatting>
  <conditionalFormatting sqref="O4096 Q4096">
    <cfRule type="expression" dxfId="0" priority="1648">
      <formula>(#REF!&lt;&gt;"")*(#REF!&lt;&gt;"")</formula>
    </cfRule>
  </conditionalFormatting>
  <conditionalFormatting sqref="O4097 Q4097">
    <cfRule type="expression" dxfId="0" priority="1186">
      <formula>(#REF!&lt;&gt;"")*(#REF!&lt;&gt;"")</formula>
    </cfRule>
  </conditionalFormatting>
  <conditionalFormatting sqref="Q4125 Q4107 Q4118 M4118 Q4120">
    <cfRule type="expression" dxfId="0" priority="1968">
      <formula>(#REF!&lt;&gt;"")*(#REF!&lt;&gt;"")</formula>
    </cfRule>
  </conditionalFormatting>
  <conditionalFormatting sqref="Q4107 M4107">
    <cfRule type="expression" dxfId="0" priority="1940">
      <formula>(#REF!&lt;&gt;"")*(#REF!&lt;&gt;"")</formula>
    </cfRule>
  </conditionalFormatting>
  <conditionalFormatting sqref="Q4108 M4108">
    <cfRule type="expression" dxfId="0" priority="1895">
      <formula>(#REF!&lt;&gt;"")*(#REF!&lt;&gt;"")</formula>
    </cfRule>
  </conditionalFormatting>
  <conditionalFormatting sqref="Q4110 M4110">
    <cfRule type="expression" dxfId="0" priority="1217">
      <formula>(#REF!&lt;&gt;"")*(#REF!&lt;&gt;"")</formula>
    </cfRule>
  </conditionalFormatting>
  <conditionalFormatting sqref="Q4111 M4111">
    <cfRule type="expression" dxfId="0" priority="1090">
      <formula>(#REF!&lt;&gt;"")*(#REF!&lt;&gt;"")</formula>
    </cfRule>
  </conditionalFormatting>
  <conditionalFormatting sqref="M4115 Q4115">
    <cfRule type="expression" dxfId="0" priority="1214">
      <formula>(#REF!&lt;&gt;"")*(#REF!&lt;&gt;"")</formula>
    </cfRule>
  </conditionalFormatting>
  <conditionalFormatting sqref="M4116 Q4116">
    <cfRule type="expression" dxfId="0" priority="1216">
      <formula>(#REF!&lt;&gt;"")*(#REF!&lt;&gt;"")</formula>
    </cfRule>
  </conditionalFormatting>
  <conditionalFormatting sqref="M4121 R4121">
    <cfRule type="expression" dxfId="0" priority="1942">
      <formula>(#REF!&lt;&gt;"")*(#REF!&lt;&gt;"")</formula>
    </cfRule>
  </conditionalFormatting>
  <conditionalFormatting sqref="M4136:M4138 M4140">
    <cfRule type="expression" dxfId="0" priority="1972">
      <formula>(#REF!&lt;&gt;"")*(#REF!&lt;&gt;"")</formula>
    </cfRule>
  </conditionalFormatting>
  <conditionalFormatting sqref="R4138 R4140">
    <cfRule type="expression" dxfId="0" priority="1966">
      <formula>(#REF!&lt;&gt;"")*(#REF!&lt;&gt;"")</formula>
    </cfRule>
  </conditionalFormatting>
  <conditionalFormatting sqref="A4148 C4148">
    <cfRule type="expression" dxfId="0" priority="2045">
      <formula>(#REF!&lt;&gt;"")*(#REF!&lt;&gt;"")</formula>
    </cfRule>
  </conditionalFormatting>
  <conditionalFormatting sqref="Q4148 E4148:G4148 J4148:O4148">
    <cfRule type="expression" dxfId="0" priority="1904">
      <formula>(#REF!&lt;&gt;"")*(#REF!&lt;&gt;"")</formula>
    </cfRule>
  </conditionalFormatting>
  <conditionalFormatting sqref="K4148:L4148 N4148:R4148 E4148:G4148">
    <cfRule type="expression" dxfId="0" priority="1902">
      <formula>(#REF!&lt;&gt;"")*(#REF!&lt;&gt;"")</formula>
    </cfRule>
  </conditionalFormatting>
  <conditionalFormatting sqref="N4153:R4155">
    <cfRule type="expression" dxfId="0" priority="1907">
      <formula>(#REF!&lt;&gt;"")*(#REF!&lt;&gt;"")</formula>
    </cfRule>
  </conditionalFormatting>
  <conditionalFormatting sqref="Q4159 A4159">
    <cfRule type="expression" dxfId="0" priority="1212">
      <formula>(#REF!&lt;&gt;"")*(#REF!&lt;&gt;"")</formula>
    </cfRule>
  </conditionalFormatting>
  <conditionalFormatting sqref="C4159 E4159:H4159 M4159:R4159 J4159:K4159">
    <cfRule type="expression" dxfId="0" priority="1210">
      <formula>(#REF!&lt;&gt;"")*(#REF!&lt;&gt;"")</formula>
    </cfRule>
  </conditionalFormatting>
  <conditionalFormatting sqref="A4160 C4160">
    <cfRule type="expression" dxfId="0" priority="2041">
      <formula>(#REF!&lt;&gt;"")*(#REF!&lt;&gt;"")</formula>
    </cfRule>
  </conditionalFormatting>
  <conditionalFormatting sqref="M4160:R4160 E4160:H4160 T4160 H4161:H4176">
    <cfRule type="expression" dxfId="0" priority="1861">
      <formula>(#REF!&lt;&gt;"")*(#REF!&lt;&gt;"")</formula>
    </cfRule>
  </conditionalFormatting>
  <conditionalFormatting sqref="Q4160 E4160:H4160 M4160:O4160 H4161:H4176 J4160">
    <cfRule type="expression" dxfId="0" priority="1859">
      <formula>(#REF!&lt;&gt;"")*(#REF!&lt;&gt;"")</formula>
    </cfRule>
  </conditionalFormatting>
  <conditionalFormatting sqref="F4161:G4163">
    <cfRule type="expression" dxfId="0" priority="1863">
      <formula>(#REF!&lt;&gt;"")*(#REF!&lt;&gt;"")</formula>
    </cfRule>
  </conditionalFormatting>
  <conditionalFormatting sqref="P4161:Q4165">
    <cfRule type="expression" dxfId="1" priority="1919">
      <formula>(#REF!&lt;&gt;"")*(#REF!&lt;&gt;"")</formula>
    </cfRule>
  </conditionalFormatting>
  <conditionalFormatting sqref="P4170:R4170 M4170:N4170">
    <cfRule type="expression" dxfId="0" priority="1221">
      <formula>(#REF!&lt;&gt;"")*(#REF!&lt;&gt;"")</formula>
    </cfRule>
  </conditionalFormatting>
  <conditionalFormatting sqref="P4171:Q4171 M4171:N4171">
    <cfRule type="expression" dxfId="0" priority="1207">
      <formula>(#REF!&lt;&gt;"")*(#REF!&lt;&gt;"")</formula>
    </cfRule>
  </conditionalFormatting>
  <conditionalFormatting sqref="P4212:Q4212 P4189:Q4189">
    <cfRule type="expression" dxfId="1" priority="1825">
      <formula>(#REF!&lt;&gt;"")*(#REF!&lt;&gt;"")</formula>
    </cfRule>
  </conditionalFormatting>
  <conditionalFormatting sqref="A4214 C4214">
    <cfRule type="expression" dxfId="0" priority="2037">
      <formula>(#REF!&lt;&gt;"")*(#REF!&lt;&gt;"")</formula>
    </cfRule>
  </conditionalFormatting>
  <conditionalFormatting sqref="T4214:T4215 E4214:H4216 Q4214:Q4216 J4214:O4216">
    <cfRule type="expression" dxfId="0" priority="1818">
      <formula>(#REF!&lt;&gt;"")*(#REF!&lt;&gt;"")</formula>
    </cfRule>
  </conditionalFormatting>
  <conditionalFormatting sqref="K4214:L4214 E4214:H4214">
    <cfRule type="expression" dxfId="0" priority="1815">
      <formula>(#REF!&lt;&gt;"")*(#REF!&lt;&gt;"")</formula>
    </cfRule>
  </conditionalFormatting>
  <conditionalFormatting sqref="P4214:Q4216">
    <cfRule type="expression" dxfId="1" priority="1819">
      <formula>(#REF!&lt;&gt;"")*(#REF!&lt;&gt;"")</formula>
    </cfRule>
  </conditionalFormatting>
  <conditionalFormatting sqref="C4215 A4215">
    <cfRule type="expression" dxfId="0" priority="2038">
      <formula>(#REF!&lt;&gt;"")*(#REF!&lt;&gt;"")</formula>
    </cfRule>
  </conditionalFormatting>
  <conditionalFormatting sqref="N4215:R4215 E4215:H4215 K4215:L4215 L4216">
    <cfRule type="expression" dxfId="0" priority="1817">
      <formula>(#REF!&lt;&gt;"")*(#REF!&lt;&gt;"")</formula>
    </cfRule>
  </conditionalFormatting>
  <conditionalFormatting sqref="A4216 C4216">
    <cfRule type="expression" dxfId="0" priority="2036">
      <formula>(#REF!&lt;&gt;"")*(#REF!&lt;&gt;"")</formula>
    </cfRule>
  </conditionalFormatting>
  <conditionalFormatting sqref="K4216:L4216 E4216:H4216">
    <cfRule type="expression" dxfId="0" priority="1814">
      <formula>(#REF!&lt;&gt;"")*(#REF!&lt;&gt;"")</formula>
    </cfRule>
  </conditionalFormatting>
  <conditionalFormatting sqref="Q4217:Q4218 E4217:H4218 J4217:O4218">
    <cfRule type="expression" dxfId="0" priority="1806">
      <formula>(#REF!&lt;&gt;"")*(#REF!&lt;&gt;"")</formula>
    </cfRule>
  </conditionalFormatting>
  <conditionalFormatting sqref="P4217:Q4218">
    <cfRule type="expression" dxfId="1" priority="1807">
      <formula>(#REF!&lt;&gt;"")*(#REF!&lt;&gt;"")</formula>
    </cfRule>
    <cfRule type="expression" dxfId="0" priority="1805">
      <formula>(#REF!&lt;&gt;"")*(#REF!&lt;&gt;"")</formula>
    </cfRule>
  </conditionalFormatting>
  <conditionalFormatting sqref="A4291 E4291:H4291 C4291 J4291:K4291">
    <cfRule type="expression" dxfId="0" priority="1430">
      <formula>(#REF!&lt;&gt;"")*(#REF!&lt;&gt;"")</formula>
    </cfRule>
  </conditionalFormatting>
  <conditionalFormatting sqref="A4292:A4293 E4292:H4293 C4292:C4293 J4292:K4293">
    <cfRule type="expression" dxfId="0" priority="1255">
      <formula>(#REF!&lt;&gt;"")*(#REF!&lt;&gt;"")</formula>
    </cfRule>
  </conditionalFormatting>
  <conditionalFormatting sqref="L4292:Q4293">
    <cfRule type="expression" dxfId="0" priority="1256">
      <formula>(#REF!&lt;&gt;"")*(#REF!&lt;&gt;"")</formula>
    </cfRule>
  </conditionalFormatting>
  <conditionalFormatting sqref="P4292:Q4293">
    <cfRule type="expression" dxfId="1" priority="1257">
      <formula>(#REF!&lt;&gt;"")*(#REF!&lt;&gt;"")</formula>
    </cfRule>
  </conditionalFormatting>
  <conditionalFormatting sqref="Q4295 E4295:H4295 J4295:O4295">
    <cfRule type="expression" dxfId="0" priority="1640">
      <formula>(#REF!&lt;&gt;"")*(#REF!&lt;&gt;"")</formula>
    </cfRule>
  </conditionalFormatting>
  <conditionalFormatting sqref="A4467:A4468 A4296:A4298">
    <cfRule type="expression" dxfId="0" priority="1800">
      <formula>(#REF!&lt;&gt;"")*(#REF!&lt;&gt;"")</formula>
    </cfRule>
  </conditionalFormatting>
  <conditionalFormatting sqref="C4467:C4468 C4296:C4298">
    <cfRule type="expression" dxfId="0" priority="1799">
      <formula>(#REF!&lt;&gt;"")*(#REF!&lt;&gt;"")</formula>
    </cfRule>
  </conditionalFormatting>
  <conditionalFormatting sqref="Q4462:Q4468 Q4606:Q4615 E4606:H4615 E4304:G4336 E4337:H4350 E4652:H4653 L4660:O4660 E4661:H4674 Q4296:Q4352 Q4651 E4651:G4651 E4354:H4354 E4352:G4352 J4352:O4352 L4443:O4443 L4444:N4444 Q4445 E4656:H4659 Q4354 Q4356:Q4443 E4356:H4442 E4296:H4303 E4450:H4468 J4450:O4468 J4356:O4442 J4656:O4659 J4354:O4354 J4661:O4674 J4651:O4653 J4296:O4350 J4606:O4615">
    <cfRule type="expression" dxfId="0" priority="1796">
      <formula>(#REF!&lt;&gt;"")*(#REF!&lt;&gt;"")</formula>
    </cfRule>
  </conditionalFormatting>
  <conditionalFormatting sqref="P4462:Q4468 P4606:Q4615 P4651:Q4651 Q4445 P4296:Q4352 P4354:Q4354 P4356:Q4443">
    <cfRule type="expression" dxfId="0" priority="1795">
      <formula>(#REF!&lt;&gt;"")*(#REF!&lt;&gt;"")</formula>
    </cfRule>
    <cfRule type="expression" dxfId="1" priority="1797">
      <formula>(#REF!&lt;&gt;"")*(#REF!&lt;&gt;"")</formula>
    </cfRule>
  </conditionalFormatting>
  <conditionalFormatting sqref="R4462:R4468 R4606:R4615 R4651 R4354 R4296:R4352 R4356:R4443">
    <cfRule type="expression" dxfId="0" priority="1794">
      <formula>(#REF!&lt;&gt;"")*(#REF!&lt;&gt;"")</formula>
    </cfRule>
  </conditionalFormatting>
  <conditionalFormatting sqref="C4351 A4351">
    <cfRule type="expression" dxfId="0" priority="881">
      <formula>(#REF!&lt;&gt;"")*(#REF!&lt;&gt;"")</formula>
    </cfRule>
  </conditionalFormatting>
  <conditionalFormatting sqref="E4351:G4351 J4351:O4351">
    <cfRule type="expression" dxfId="0" priority="880">
      <formula>(#REF!&lt;&gt;"")*(#REF!&lt;&gt;"")</formula>
    </cfRule>
  </conditionalFormatting>
  <conditionalFormatting sqref="A4353 C4353">
    <cfRule type="expression" dxfId="0" priority="887">
      <formula>(#REF!&lt;&gt;"")*(#REF!&lt;&gt;"")</formula>
    </cfRule>
  </conditionalFormatting>
  <conditionalFormatting sqref="Q4353 E4353:G4353 J4353:O4353">
    <cfRule type="expression" dxfId="0" priority="885">
      <formula>(#REF!&lt;&gt;"")*(#REF!&lt;&gt;"")</formula>
    </cfRule>
  </conditionalFormatting>
  <conditionalFormatting sqref="C4355 A4355">
    <cfRule type="expression" dxfId="0" priority="878">
      <formula>(#REF!&lt;&gt;"")*(#REF!&lt;&gt;"")</formula>
    </cfRule>
  </conditionalFormatting>
  <conditionalFormatting sqref="E4355:H4355 Q4355 J4355:O4355">
    <cfRule type="expression" dxfId="0" priority="876">
      <formula>(#REF!&lt;&gt;"")*(#REF!&lt;&gt;"")</formula>
    </cfRule>
  </conditionalFormatting>
  <conditionalFormatting sqref="A4443 C4443">
    <cfRule type="expression" dxfId="0" priority="1583">
      <formula>(#REF!&lt;&gt;"")*(#REF!&lt;&gt;"")</formula>
    </cfRule>
  </conditionalFormatting>
  <conditionalFormatting sqref="E4443:H4443 K4444 J4443:K4443">
    <cfRule type="expression" dxfId="0" priority="1582">
      <formula>(#REF!&lt;&gt;"")*(#REF!&lt;&gt;"")</formula>
    </cfRule>
  </conditionalFormatting>
  <conditionalFormatting sqref="A4444 C4444">
    <cfRule type="expression" dxfId="0" priority="1442">
      <formula>(#REF!&lt;&gt;"")*(#REF!&lt;&gt;"")</formula>
    </cfRule>
  </conditionalFormatting>
  <conditionalFormatting sqref="E4444:H4444 J4444">
    <cfRule type="expression" dxfId="0" priority="1441">
      <formula>(#REF!&lt;&gt;"")*(#REF!&lt;&gt;"")</formula>
    </cfRule>
  </conditionalFormatting>
  <conditionalFormatting sqref="A4445 C4445">
    <cfRule type="expression" dxfId="0" priority="1435">
      <formula>(#REF!&lt;&gt;"")*(#REF!&lt;&gt;"")</formula>
    </cfRule>
  </conditionalFormatting>
  <conditionalFormatting sqref="E4445:H4445 J4445">
    <cfRule type="expression" dxfId="0" priority="1434">
      <formula>(#REF!&lt;&gt;"")*(#REF!&lt;&gt;"")</formula>
    </cfRule>
  </conditionalFormatting>
  <conditionalFormatting sqref="A4446 C4446">
    <cfRule type="expression" dxfId="0" priority="1262">
      <formula>(#REF!&lt;&gt;"")*(#REF!&lt;&gt;"")</formula>
    </cfRule>
  </conditionalFormatting>
  <conditionalFormatting sqref="E4446:H4446 J4446">
    <cfRule type="expression" dxfId="0" priority="1261">
      <formula>(#REF!&lt;&gt;"")*(#REF!&lt;&gt;"")</formula>
    </cfRule>
  </conditionalFormatting>
  <conditionalFormatting sqref="L4446:N4449">
    <cfRule type="expression" dxfId="0" priority="1264">
      <formula>(#REF!&lt;&gt;"")*(#REF!&lt;&gt;"")</formula>
    </cfRule>
  </conditionalFormatting>
  <conditionalFormatting sqref="A4447 C4447">
    <cfRule type="expression" dxfId="0" priority="866">
      <formula>(#REF!&lt;&gt;"")*(#REF!&lt;&gt;"")</formula>
    </cfRule>
  </conditionalFormatting>
  <conditionalFormatting sqref="E4447:H4447 J4447">
    <cfRule type="expression" dxfId="0" priority="865">
      <formula>(#REF!&lt;&gt;"")*(#REF!&lt;&gt;"")</formula>
    </cfRule>
  </conditionalFormatting>
  <conditionalFormatting sqref="A4448 C4448">
    <cfRule type="expression" dxfId="0" priority="864">
      <formula>(#REF!&lt;&gt;"")*(#REF!&lt;&gt;"")</formula>
    </cfRule>
  </conditionalFormatting>
  <conditionalFormatting sqref="E4448:H4448 J4448">
    <cfRule type="expression" dxfId="0" priority="863">
      <formula>(#REF!&lt;&gt;"")*(#REF!&lt;&gt;"")</formula>
    </cfRule>
  </conditionalFormatting>
  <conditionalFormatting sqref="A4449 C4449">
    <cfRule type="expression" dxfId="0" priority="625">
      <formula>(#REF!&lt;&gt;"")*(#REF!&lt;&gt;"")</formula>
    </cfRule>
  </conditionalFormatting>
  <conditionalFormatting sqref="E4449:H4449 J4449">
    <cfRule type="expression" dxfId="0" priority="624">
      <formula>(#REF!&lt;&gt;"")*(#REF!&lt;&gt;"")</formula>
    </cfRule>
  </conditionalFormatting>
  <conditionalFormatting sqref="C4582 A4582">
    <cfRule type="expression" dxfId="0" priority="1743">
      <formula>(#REF!&lt;&gt;"")*(#REF!&lt;&gt;"")</formula>
    </cfRule>
  </conditionalFormatting>
  <conditionalFormatting sqref="E4582:H4582 Q4582 O4582 J4582:M4582">
    <cfRule type="expression" dxfId="0" priority="1741">
      <formula>(#REF!&lt;&gt;"")*(#REF!&lt;&gt;"")</formula>
    </cfRule>
  </conditionalFormatting>
  <conditionalFormatting sqref="C4583 A4583">
    <cfRule type="expression" dxfId="0" priority="1717">
      <formula>(#REF!&lt;&gt;"")*(#REF!&lt;&gt;"")</formula>
    </cfRule>
  </conditionalFormatting>
  <conditionalFormatting sqref="E4583:H4583 O4583 J4583:M4583">
    <cfRule type="expression" dxfId="0" priority="1715">
      <formula>(#REF!&lt;&gt;"")*(#REF!&lt;&gt;"")</formula>
    </cfRule>
  </conditionalFormatting>
  <conditionalFormatting sqref="C4584 A4584">
    <cfRule type="expression" dxfId="0" priority="1458">
      <formula>(#REF!&lt;&gt;"")*(#REF!&lt;&gt;"")</formula>
    </cfRule>
  </conditionalFormatting>
  <conditionalFormatting sqref="E4584:H4584 O4584 J4584:M4584">
    <cfRule type="expression" dxfId="0" priority="1456">
      <formula>(#REF!&lt;&gt;"")*(#REF!&lt;&gt;"")</formula>
    </cfRule>
  </conditionalFormatting>
  <conditionalFormatting sqref="C4585 A4585">
    <cfRule type="expression" dxfId="0" priority="1450">
      <formula>(#REF!&lt;&gt;"")*(#REF!&lt;&gt;"")</formula>
    </cfRule>
  </conditionalFormatting>
  <conditionalFormatting sqref="E4585:H4585 O4585 J4585:M4585">
    <cfRule type="expression" dxfId="0" priority="1448">
      <formula>(#REF!&lt;&gt;"")*(#REF!&lt;&gt;"")</formula>
    </cfRule>
  </conditionalFormatting>
  <conditionalFormatting sqref="C4586 A4586">
    <cfRule type="expression" dxfId="0" priority="1275">
      <formula>(#REF!&lt;&gt;"")*(#REF!&lt;&gt;"")</formula>
    </cfRule>
  </conditionalFormatting>
  <conditionalFormatting sqref="E4586:H4586 O4586 J4586:M4586">
    <cfRule type="expression" dxfId="0" priority="1273">
      <formula>(#REF!&lt;&gt;"")*(#REF!&lt;&gt;"")</formula>
    </cfRule>
  </conditionalFormatting>
  <conditionalFormatting sqref="C4587 A4587">
    <cfRule type="expression" dxfId="0" priority="932">
      <formula>(#REF!&lt;&gt;"")*(#REF!&lt;&gt;"")</formula>
    </cfRule>
  </conditionalFormatting>
  <conditionalFormatting sqref="E4587:H4587 J4587:M4587">
    <cfRule type="expression" dxfId="0" priority="931">
      <formula>(#REF!&lt;&gt;"")*(#REF!&lt;&gt;"")</formula>
    </cfRule>
  </conditionalFormatting>
  <conditionalFormatting sqref="C4588 A4588">
    <cfRule type="expression" dxfId="0" priority="766">
      <formula>(#REF!&lt;&gt;"")*(#REF!&lt;&gt;"")</formula>
    </cfRule>
  </conditionalFormatting>
  <conditionalFormatting sqref="E4588:H4588 J4588:M4588">
    <cfRule type="expression" dxfId="0" priority="765">
      <formula>(#REF!&lt;&gt;"")*(#REF!&lt;&gt;"")</formula>
    </cfRule>
  </conditionalFormatting>
  <conditionalFormatting sqref="C4589 A4589">
    <cfRule type="expression" dxfId="0" priority="762">
      <formula>(#REF!&lt;&gt;"")*(#REF!&lt;&gt;"")</formula>
    </cfRule>
  </conditionalFormatting>
  <conditionalFormatting sqref="E4589:H4589 L4590:M4591 J4589:M4589">
    <cfRule type="expression" dxfId="0" priority="761">
      <formula>(#REF!&lt;&gt;"")*(#REF!&lt;&gt;"")</formula>
    </cfRule>
  </conditionalFormatting>
  <conditionalFormatting sqref="C4590 A4590">
    <cfRule type="expression" dxfId="0" priority="663">
      <formula>(#REF!&lt;&gt;"")*(#REF!&lt;&gt;"")</formula>
    </cfRule>
  </conditionalFormatting>
  <conditionalFormatting sqref="E4590:H4590 J4590:K4590">
    <cfRule type="expression" dxfId="0" priority="662">
      <formula>(#REF!&lt;&gt;"")*(#REF!&lt;&gt;"")</formula>
    </cfRule>
  </conditionalFormatting>
  <conditionalFormatting sqref="C4591 A4591">
    <cfRule type="expression" dxfId="0" priority="623">
      <formula>(#REF!&lt;&gt;"")*(#REF!&lt;&gt;"")</formula>
    </cfRule>
  </conditionalFormatting>
  <conditionalFormatting sqref="E4591:H4591 J4591:K4591">
    <cfRule type="expression" dxfId="0" priority="622">
      <formula>(#REF!&lt;&gt;"")*(#REF!&lt;&gt;"")</formula>
    </cfRule>
  </conditionalFormatting>
  <conditionalFormatting sqref="C4592 A4592">
    <cfRule type="expression" dxfId="0" priority="613">
      <formula>(#REF!&lt;&gt;"")*(#REF!&lt;&gt;"")</formula>
    </cfRule>
  </conditionalFormatting>
  <conditionalFormatting sqref="E4592:H4592 J4592:K4592">
    <cfRule type="expression" dxfId="0" priority="612">
      <formula>(#REF!&lt;&gt;"")*(#REF!&lt;&gt;"")</formula>
    </cfRule>
  </conditionalFormatting>
  <conditionalFormatting sqref="C4593 A4593">
    <cfRule type="expression" dxfId="0" priority="603">
      <formula>(#REF!&lt;&gt;"")*(#REF!&lt;&gt;"")</formula>
    </cfRule>
  </conditionalFormatting>
  <conditionalFormatting sqref="E4593:H4593 J4593:K4593">
    <cfRule type="expression" dxfId="0" priority="602">
      <formula>(#REF!&lt;&gt;"")*(#REF!&lt;&gt;"")</formula>
    </cfRule>
  </conditionalFormatting>
  <conditionalFormatting sqref="C4594 A4594">
    <cfRule type="expression" dxfId="0" priority="593">
      <formula>(#REF!&lt;&gt;"")*(#REF!&lt;&gt;"")</formula>
    </cfRule>
  </conditionalFormatting>
  <conditionalFormatting sqref="E4594:H4594 J4594:K4594">
    <cfRule type="expression" dxfId="0" priority="592">
      <formula>(#REF!&lt;&gt;"")*(#REF!&lt;&gt;"")</formula>
    </cfRule>
  </conditionalFormatting>
  <conditionalFormatting sqref="C4595 A4595">
    <cfRule type="expression" dxfId="0" priority="753">
      <formula>(#REF!&lt;&gt;"")*(#REF!&lt;&gt;"")</formula>
    </cfRule>
  </conditionalFormatting>
  <conditionalFormatting sqref="E4595:H4595 K4596:K4600 H4596:H4605 J4595:M4595">
    <cfRule type="expression" dxfId="0" priority="752">
      <formula>(#REF!&lt;&gt;"")*(#REF!&lt;&gt;"")</formula>
    </cfRule>
  </conditionalFormatting>
  <conditionalFormatting sqref="C4596 A4596">
    <cfRule type="expression" dxfId="0" priority="744">
      <formula>(#REF!&lt;&gt;"")*(#REF!&lt;&gt;"")</formula>
    </cfRule>
  </conditionalFormatting>
  <conditionalFormatting sqref="E4596:G4596 L4596:M4596 J4596">
    <cfRule type="expression" dxfId="0" priority="743">
      <formula>(#REF!&lt;&gt;"")*(#REF!&lt;&gt;"")</formula>
    </cfRule>
  </conditionalFormatting>
  <conditionalFormatting sqref="C4597 A4597">
    <cfRule type="expression" dxfId="0" priority="737">
      <formula>(#REF!&lt;&gt;"")*(#REF!&lt;&gt;"")</formula>
    </cfRule>
  </conditionalFormatting>
  <conditionalFormatting sqref="E4597:G4597 L4597:M4597 J4597">
    <cfRule type="expression" dxfId="0" priority="736">
      <formula>(#REF!&lt;&gt;"")*(#REF!&lt;&gt;"")</formula>
    </cfRule>
  </conditionalFormatting>
  <conditionalFormatting sqref="C4598 A4598">
    <cfRule type="expression" dxfId="0" priority="729">
      <formula>(#REF!&lt;&gt;"")*(#REF!&lt;&gt;"")</formula>
    </cfRule>
  </conditionalFormatting>
  <conditionalFormatting sqref="E4598:G4598 L4598:M4598 J4598">
    <cfRule type="expression" dxfId="0" priority="728">
      <formula>(#REF!&lt;&gt;"")*(#REF!&lt;&gt;"")</formula>
    </cfRule>
  </conditionalFormatting>
  <conditionalFormatting sqref="C4599 A4599">
    <cfRule type="expression" dxfId="0" priority="713">
      <formula>(#REF!&lt;&gt;"")*(#REF!&lt;&gt;"")</formula>
    </cfRule>
  </conditionalFormatting>
  <conditionalFormatting sqref="E4599:G4599 L4599:M4599 J4599">
    <cfRule type="expression" dxfId="0" priority="712">
      <formula>(#REF!&lt;&gt;"")*(#REF!&lt;&gt;"")</formula>
    </cfRule>
  </conditionalFormatting>
  <conditionalFormatting sqref="C4600 A4600">
    <cfRule type="expression" dxfId="0" priority="722">
      <formula>(#REF!&lt;&gt;"")*(#REF!&lt;&gt;"")</formula>
    </cfRule>
  </conditionalFormatting>
  <conditionalFormatting sqref="E4600:G4600 L4600:M4600 J4600">
    <cfRule type="expression" dxfId="0" priority="721">
      <formula>(#REF!&lt;&gt;"")*(#REF!&lt;&gt;"")</formula>
    </cfRule>
  </conditionalFormatting>
  <conditionalFormatting sqref="A4601 C4601">
    <cfRule type="expression" dxfId="0" priority="705">
      <formula>(#REF!&lt;&gt;"")*(#REF!&lt;&gt;"")</formula>
    </cfRule>
  </conditionalFormatting>
  <conditionalFormatting sqref="E4601:G4601 J4601:M4601">
    <cfRule type="expression" dxfId="0" priority="704">
      <formula>(#REF!&lt;&gt;"")*(#REF!&lt;&gt;"")</formula>
    </cfRule>
  </conditionalFormatting>
  <conditionalFormatting sqref="A4602 C4602">
    <cfRule type="expression" dxfId="0" priority="696">
      <formula>(#REF!&lt;&gt;"")*(#REF!&lt;&gt;"")</formula>
    </cfRule>
  </conditionalFormatting>
  <conditionalFormatting sqref="E4602:G4602 J4602:M4602">
    <cfRule type="expression" dxfId="0" priority="695">
      <formula>(#REF!&lt;&gt;"")*(#REF!&lt;&gt;"")</formula>
    </cfRule>
  </conditionalFormatting>
  <conditionalFormatting sqref="A4603 C4603">
    <cfRule type="expression" dxfId="0" priority="687">
      <formula>(#REF!&lt;&gt;"")*(#REF!&lt;&gt;"")</formula>
    </cfRule>
  </conditionalFormatting>
  <conditionalFormatting sqref="E4603:G4603 J4603:M4603">
    <cfRule type="expression" dxfId="0" priority="686">
      <formula>(#REF!&lt;&gt;"")*(#REF!&lt;&gt;"")</formula>
    </cfRule>
  </conditionalFormatting>
  <conditionalFormatting sqref="A4604:A4605 C4604:C4605">
    <cfRule type="expression" dxfId="0" priority="678">
      <formula>(#REF!&lt;&gt;"")*(#REF!&lt;&gt;"")</formula>
    </cfRule>
  </conditionalFormatting>
  <conditionalFormatting sqref="E4604:G4605 J4604:M4605">
    <cfRule type="expression" dxfId="0" priority="677">
      <formula>(#REF!&lt;&gt;"")*(#REF!&lt;&gt;"")</formula>
    </cfRule>
  </conditionalFormatting>
  <conditionalFormatting sqref="A4616 C4616">
    <cfRule type="expression" dxfId="0" priority="1646">
      <formula>(#REF!&lt;&gt;"")*(#REF!&lt;&gt;"")</formula>
    </cfRule>
  </conditionalFormatting>
  <conditionalFormatting sqref="O4617:P4618 L4617:M4618 E4617:G4617">
    <cfRule type="expression" dxfId="1" priority="1792">
      <formula>(#REF!&lt;&gt;"")*(E$1&lt;&gt;"")</formula>
    </cfRule>
  </conditionalFormatting>
  <conditionalFormatting sqref="A4618 C4618">
    <cfRule type="expression" dxfId="0" priority="1412">
      <formula>(#REF!&lt;&gt;"")*(#REF!&lt;&gt;"")</formula>
    </cfRule>
  </conditionalFormatting>
  <conditionalFormatting sqref="A4637 C4637">
    <cfRule type="expression" dxfId="0" priority="1421">
      <formula>(#REF!&lt;&gt;"")*(#REF!&lt;&gt;"")</formula>
    </cfRule>
  </conditionalFormatting>
  <conditionalFormatting sqref="T4637 E4637:G4637 J4637:Q4637">
    <cfRule type="expression" dxfId="0" priority="1419">
      <formula>(#REF!&lt;&gt;"")*(#REF!&lt;&gt;"")</formula>
    </cfRule>
  </conditionalFormatting>
  <conditionalFormatting sqref="C4654:C4655 A4654:A4655">
    <cfRule type="expression" dxfId="0" priority="899">
      <formula>(#REF!&lt;&gt;"")*(#REF!&lt;&gt;"")</formula>
    </cfRule>
  </conditionalFormatting>
  <conditionalFormatting sqref="E4654:H4655 J4654:O4655">
    <cfRule type="expression" dxfId="0" priority="896">
      <formula>(#REF!&lt;&gt;"")*(#REF!&lt;&gt;"")</formula>
    </cfRule>
  </conditionalFormatting>
  <conditionalFormatting sqref="P4654:R4655">
    <cfRule type="expression" dxfId="0" priority="897">
      <formula>(#REF!&lt;&gt;"")*(#REF!&lt;&gt;"")</formula>
    </cfRule>
  </conditionalFormatting>
  <conditionalFormatting sqref="P4654:Q4655">
    <cfRule type="expression" dxfId="1" priority="898">
      <formula>(#REF!&lt;&gt;"")*(#REF!&lt;&gt;"")</formula>
    </cfRule>
  </conditionalFormatting>
  <conditionalFormatting sqref="C4660 A4660">
    <cfRule type="expression" dxfId="0" priority="1655">
      <formula>(#REF!&lt;&gt;"")*(#REF!&lt;&gt;"")</formula>
    </cfRule>
  </conditionalFormatting>
  <conditionalFormatting sqref="E4660:H4660 K4660">
    <cfRule type="expression" dxfId="0" priority="1654">
      <formula>(#REF!&lt;&gt;"")*(#REF!&lt;&gt;"")</formula>
    </cfRule>
  </conditionalFormatting>
  <conditionalFormatting sqref="A4675:A4676 C4675:C4676">
    <cfRule type="expression" dxfId="0" priority="1652">
      <formula>(#REF!&lt;&gt;"")*(#REF!&lt;&gt;"")</formula>
    </cfRule>
  </conditionalFormatting>
  <conditionalFormatting sqref="Q4675:Q4676 E4675:F4676 H4675:H4676 J4675:O4676">
    <cfRule type="expression" dxfId="0" priority="1650">
      <formula>(#REF!&lt;&gt;"")*(#REF!&lt;&gt;"")</formula>
    </cfRule>
  </conditionalFormatting>
  <conditionalFormatting sqref="P4675:Q4676">
    <cfRule type="expression" dxfId="0" priority="1649">
      <formula>(#REF!&lt;&gt;"")*(#REF!&lt;&gt;"")</formula>
    </cfRule>
    <cfRule type="expression" dxfId="1" priority="1651">
      <formula>(#REF!&lt;&gt;"")*(#REF!&lt;&gt;"")</formula>
    </cfRule>
  </conditionalFormatting>
  <conditionalFormatting sqref="E4745:H4745 C4745 A4745 J4745:R4745">
    <cfRule type="expression" dxfId="0" priority="1072">
      <formula>(#REF!&lt;&gt;"")*(#REF!&lt;&gt;"")</formula>
    </cfRule>
  </conditionalFormatting>
  <conditionalFormatting sqref="A4747 C4747 E4747:H4747 O4747:R4747 J4747:M4747">
    <cfRule type="expression" dxfId="0" priority="1070">
      <formula>(#REF!&lt;&gt;"")*(#REF!&lt;&gt;"")</formula>
    </cfRule>
  </conditionalFormatting>
  <conditionalFormatting sqref="E4749:H4749 C4749 A4749 O4749:R4749 J4749:M4749">
    <cfRule type="expression" dxfId="0" priority="1067">
      <formula>(#REF!&lt;&gt;"")*(#REF!&lt;&gt;"")</formula>
    </cfRule>
  </conditionalFormatting>
  <conditionalFormatting sqref="J4785:L4785 N4785 F4750:F4752 K4750:L4752 N4750:N4752">
    <cfRule type="expression" dxfId="1" priority="1789">
      <formula>(#REF!&lt;&gt;"")*(G$1&lt;&gt;"")</formula>
    </cfRule>
  </conditionalFormatting>
  <conditionalFormatting sqref="C4785 A4785">
    <cfRule type="expression" dxfId="0" priority="1199">
      <formula>(#REF!&lt;&gt;"")*(#REF!&lt;&gt;"")</formula>
    </cfRule>
  </conditionalFormatting>
  <conditionalFormatting sqref="C4786 A4786">
    <cfRule type="expression" dxfId="0" priority="1192">
      <formula>(#REF!&lt;&gt;"")*(#REF!&lt;&gt;"")</formula>
    </cfRule>
  </conditionalFormatting>
  <conditionalFormatting sqref="J4786:L4786 P4786">
    <cfRule type="expression" dxfId="1" priority="1194">
      <formula>(#REF!&lt;&gt;"")*(K$1&lt;&gt;"")</formula>
    </cfRule>
  </conditionalFormatting>
  <conditionalFormatting sqref="C4787 A4787">
    <cfRule type="expression" dxfId="0" priority="1197">
      <formula>(#REF!&lt;&gt;"")*(#REF!&lt;&gt;"")</formula>
    </cfRule>
  </conditionalFormatting>
  <conditionalFormatting sqref="J4787:L4787 P4787 N4787">
    <cfRule type="expression" dxfId="1" priority="1784">
      <formula>(#REF!&lt;&gt;"")*(K$1&lt;&gt;"")</formula>
    </cfRule>
  </conditionalFormatting>
  <conditionalFormatting sqref="C4798 A4798 E4798:H4798 J4798:Q4798">
    <cfRule type="expression" dxfId="0" priority="894">
      <formula>(#REF!&lt;&gt;"")*(#REF!&lt;&gt;"")</formula>
    </cfRule>
  </conditionalFormatting>
  <conditionalFormatting sqref="A4821:A4825 C4821:C4825 C4827 A4827 A4829 C4829 C4831 A4831">
    <cfRule type="expression" dxfId="0" priority="1577">
      <formula>(#REF!&lt;&gt;"")*(#REF!&lt;&gt;"")</formula>
    </cfRule>
  </conditionalFormatting>
  <conditionalFormatting sqref="E4827:H4827 E4829:H4829 E4831:H4831 E4821:H4825 R4826:R4832 J4821:Q4824 J4831:Q4831 J4829:Q4829 J4827:Q4827 J4825:R4825">
    <cfRule type="expression" dxfId="0" priority="1575">
      <formula>(#REF!&lt;&gt;"")*(#REF!&lt;&gt;"")</formula>
    </cfRule>
  </conditionalFormatting>
  <conditionalFormatting sqref="P4821:Q4825 P4827:Q4827 P4829:Q4829 P4831:Q4831">
    <cfRule type="expression" dxfId="1" priority="1576">
      <formula>(#REF!&lt;&gt;"")*(#REF!&lt;&gt;"")</formula>
    </cfRule>
  </conditionalFormatting>
  <conditionalFormatting sqref="A4826 C4826">
    <cfRule type="expression" dxfId="0" priority="917">
      <formula>(#REF!&lt;&gt;"")*(#REF!&lt;&gt;"")</formula>
    </cfRule>
  </conditionalFormatting>
  <conditionalFormatting sqref="E4826:H4826 J4826:Q4826">
    <cfRule type="expression" dxfId="0" priority="915">
      <formula>(#REF!&lt;&gt;"")*(#REF!&lt;&gt;"")</formula>
    </cfRule>
  </conditionalFormatting>
  <conditionalFormatting sqref="C4828 A4828">
    <cfRule type="expression" dxfId="0" priority="914">
      <formula>(#REF!&lt;&gt;"")*(#REF!&lt;&gt;"")</formula>
    </cfRule>
  </conditionalFormatting>
  <conditionalFormatting sqref="E4828:H4828 O4828:P4828 J4828:M4828">
    <cfRule type="expression" dxfId="0" priority="912">
      <formula>(#REF!&lt;&gt;"")*(#REF!&lt;&gt;"")</formula>
    </cfRule>
  </conditionalFormatting>
  <conditionalFormatting sqref="A4830 C4830">
    <cfRule type="expression" dxfId="0" priority="911">
      <formula>(#REF!&lt;&gt;"")*(#REF!&lt;&gt;"")</formula>
    </cfRule>
  </conditionalFormatting>
  <conditionalFormatting sqref="E4830:H4830 O4830:P4830 J4830:M4830">
    <cfRule type="expression" dxfId="0" priority="909">
      <formula>(#REF!&lt;&gt;"")*(#REF!&lt;&gt;"")</formula>
    </cfRule>
  </conditionalFormatting>
  <conditionalFormatting sqref="C4832 A4832">
    <cfRule type="expression" dxfId="0" priority="908">
      <formula>(#REF!&lt;&gt;"")*(#REF!&lt;&gt;"")</formula>
    </cfRule>
  </conditionalFormatting>
  <conditionalFormatting sqref="E4832:H4832 O4832:P4832 J4832:M4832">
    <cfRule type="expression" dxfId="0" priority="906">
      <formula>(#REF!&lt;&gt;"")*(#REF!&lt;&gt;"")</formula>
    </cfRule>
  </conditionalFormatting>
  <conditionalFormatting sqref="J5577:J5578 J5580 H5585:H5589 J5583:J5584">
    <cfRule type="expression" dxfId="1" priority="415">
      <formula>(#REF!&lt;&gt;"")*(H$1&lt;&gt;"")</formula>
    </cfRule>
  </conditionalFormatting>
  <conditionalFormatting sqref="H5577:H5578 H5580 H5587:H5589 H5583:H5584">
    <cfRule type="expression" dxfId="1" priority="417">
      <formula>(#REF!&lt;&gt;"")*(H$1&lt;&gt;"")</formula>
    </cfRule>
  </conditionalFormatting>
  <conditionalFormatting sqref="M5661:M5667 M5606 M5590 M5592">
    <cfRule type="expression" dxfId="4" priority="494">
      <formula>(#REF!&lt;&gt;"")*(#REF!&lt;&gt;"")</formula>
    </cfRule>
  </conditionalFormatting>
  <conditionalFormatting sqref="O5703:Q5703 N5704:Q5705 N5701:Q5702 L5699 M5651:M5652 Q5652 H5651:H5653 H5658 O5677:P5677 O5674:P5675 O5660:P5660">
    <cfRule type="expression" dxfId="4" priority="452">
      <formula>(#REF!&lt;&gt;"")*(#REF!&lt;&gt;"")</formula>
    </cfRule>
  </conditionalFormatting>
  <conditionalFormatting sqref="H5656 H5660">
    <cfRule type="expression" dxfId="4" priority="492">
      <formula>(#REF!&lt;&gt;"")*(#REF!&lt;&gt;"")</formula>
    </cfRule>
  </conditionalFormatting>
  <conditionalFormatting sqref="K5660 U5660 Q5660 M5658 M5660">
    <cfRule type="expression" dxfId="4" priority="493">
      <formula>(#REF!&lt;&gt;"")*(#REF!&lt;&gt;"")</formula>
    </cfRule>
  </conditionalFormatting>
  <conditionalFormatting sqref="Q5659 M5659">
    <cfRule type="expression" dxfId="4" priority="426">
      <formula>(#REF!&lt;&gt;"")*(#REF!&lt;&gt;"")</formula>
    </cfRule>
  </conditionalFormatting>
  <conditionalFormatting sqref="A5660 E5660:G5660 J5660:K5660">
    <cfRule type="expression" dxfId="4" priority="491">
      <formula>(#REF!&lt;&gt;"")*(#REF!&lt;&gt;"")</formula>
    </cfRule>
  </conditionalFormatting>
  <conditionalFormatting sqref="A5674 E5674:G5674 M5674 J5674:K5674">
    <cfRule type="expression" dxfId="4" priority="482">
      <formula>(#REF!&lt;&gt;"")*(#REF!&lt;&gt;"")</formula>
    </cfRule>
  </conditionalFormatting>
  <conditionalFormatting sqref="L5700 M7254:M7256 H5793:H5794 E5701:G5702 P5701:Q5702 A5701:A5702 H5675:H5692">
    <cfRule type="expression" dxfId="4" priority="453">
      <formula>(#REF!&lt;&gt;"")*(#REF!&lt;&gt;"")</formula>
    </cfRule>
  </conditionalFormatting>
  <conditionalFormatting sqref="A5677 J5677:K5677 E5677:G5677 J5675 A5675">
    <cfRule type="expression" dxfId="4" priority="476">
      <formula>(#REF!&lt;&gt;"")*(#REF!&lt;&gt;"")</formula>
    </cfRule>
  </conditionalFormatting>
  <conditionalFormatting sqref="K5677 T5677:U5677">
    <cfRule type="expression" dxfId="4" priority="477">
      <formula>(#REF!&lt;&gt;"")*(#REF!&lt;&gt;"")</formula>
    </cfRule>
  </conditionalFormatting>
  <conditionalFormatting sqref="P5678:Q5680 E5678:G5680 J5678:K5679 A5680 J5680">
    <cfRule type="expression" dxfId="4" priority="461">
      <formula>(#REF!&lt;&gt;"")*(#REF!&lt;&gt;"")</formula>
    </cfRule>
  </conditionalFormatting>
  <conditionalFormatting sqref="T5678 K5678 U5678:U5680 T5680">
    <cfRule type="expression" dxfId="4" priority="459">
      <formula>(#REF!&lt;&gt;"")*(#REF!&lt;&gt;"")</formula>
    </cfRule>
  </conditionalFormatting>
  <conditionalFormatting sqref="T5679 K5679">
    <cfRule type="expression" dxfId="4" priority="457">
      <formula>(#REF!&lt;&gt;"")*(#REF!&lt;&gt;"")</formula>
    </cfRule>
  </conditionalFormatting>
  <conditionalFormatting sqref="E5681:G5681 J5681 A5681">
    <cfRule type="expression" dxfId="1" priority="445">
      <formula>(#REF!&lt;&gt;"")*(#REF!&lt;&gt;"")</formula>
    </cfRule>
  </conditionalFormatting>
  <conditionalFormatting sqref="M5700 H5698:H5700">
    <cfRule type="expression" dxfId="4" priority="456">
      <formula>(#REF!&lt;&gt;"")*(#REF!&lt;&gt;"")</formula>
    </cfRule>
  </conditionalFormatting>
  <conditionalFormatting sqref="C5701:C5702 E5701:E5702">
    <cfRule type="expression" dxfId="4" priority="400">
      <formula>(#REF!&lt;&gt;"")*(#REF!&lt;&gt;"")</formula>
    </cfRule>
  </conditionalFormatting>
  <conditionalFormatting sqref="C5704 Q5701:Q5702 E5704:G5704 Q5704 M5701:O5702 L5704:O5704 J5701:K5702 J5704">
    <cfRule type="expression" dxfId="4" priority="402">
      <formula>(#REF!&lt;&gt;"")*(#REF!&lt;&gt;"")</formula>
    </cfRule>
  </conditionalFormatting>
  <conditionalFormatting sqref="F5701:G5702">
    <cfRule type="expression" dxfId="4" priority="396">
      <formula>(#REF!&lt;&gt;"")*(#REF!&lt;&gt;"")</formula>
    </cfRule>
  </conditionalFormatting>
  <conditionalFormatting sqref="K5701:K5702 M5701:M5702">
    <cfRule type="expression" dxfId="4" priority="398">
      <formula>(#REF!&lt;&gt;"")*(#REF!&lt;&gt;"")</formula>
    </cfRule>
  </conditionalFormatting>
  <conditionalFormatting sqref="C5703 E5703">
    <cfRule type="expression" dxfId="4" priority="386">
      <formula>(#REF!&lt;&gt;"")*(#REF!&lt;&gt;"")</formula>
    </cfRule>
  </conditionalFormatting>
  <conditionalFormatting sqref="Q5703 E5703:G5703 J5703 O5703 L5704:L5708 L5703:M5703">
    <cfRule type="expression" dxfId="4" priority="387">
      <formula>(#REF!&lt;&gt;"")*(#REF!&lt;&gt;"")</formula>
    </cfRule>
  </conditionalFormatting>
  <conditionalFormatting sqref="L5703:M5703 L5704:L5708">
    <cfRule type="expression" dxfId="4" priority="385">
      <formula>(#REF!&lt;&gt;"")*(#REF!&lt;&gt;"")</formula>
    </cfRule>
  </conditionalFormatting>
  <conditionalFormatting sqref="C5705 Q5705 E5705:G5705 A5705 L5705:O5705 J5705">
    <cfRule type="expression" dxfId="4" priority="394">
      <formula>(#REF!&lt;&gt;"")*(#REF!&lt;&gt;"")</formula>
    </cfRule>
  </conditionalFormatting>
  <conditionalFormatting sqref="M5706:M5707 Q5706:Q5707">
    <cfRule type="expression" dxfId="4" priority="390">
      <formula>(#REF!&lt;&gt;"")*(#REF!&lt;&gt;"")</formula>
    </cfRule>
  </conditionalFormatting>
  <conditionalFormatting sqref="C5709 E5709">
    <cfRule type="expression" dxfId="4" priority="341">
      <formula>(#REF!&lt;&gt;"")*(#REF!&lt;&gt;"")</formula>
    </cfRule>
  </conditionalFormatting>
  <conditionalFormatting sqref="E5709:G5709 M5709 J5709:K5709">
    <cfRule type="expression" dxfId="4" priority="342">
      <formula>(#REF!&lt;&gt;"")*(#REF!&lt;&gt;"")</formula>
    </cfRule>
  </conditionalFormatting>
  <conditionalFormatting sqref="K5709 M5709">
    <cfRule type="expression" dxfId="4" priority="340">
      <formula>(#REF!&lt;&gt;"")*(#REF!&lt;&gt;"")</formula>
    </cfRule>
  </conditionalFormatting>
  <conditionalFormatting sqref="P5718:Q5718 M5718 M5722:M5726">
    <cfRule type="expression" dxfId="4" priority="378">
      <formula>(#REF!&lt;&gt;"")*(#REF!&lt;&gt;"")</formula>
    </cfRule>
  </conditionalFormatting>
  <conditionalFormatting sqref="Q5720 O5721:O5722">
    <cfRule type="expression" dxfId="4" priority="373">
      <formula>(#REF!&lt;&gt;"")*(#REF!&lt;&gt;"")</formula>
    </cfRule>
  </conditionalFormatting>
  <conditionalFormatting sqref="Q5724 Q5726:Q5727">
    <cfRule type="expression" dxfId="4" priority="362">
      <formula>(#REF!&lt;&gt;"")*(#REF!&lt;&gt;"")</formula>
    </cfRule>
    <cfRule type="expression" dxfId="4" priority="363">
      <formula>(#REF!&lt;&gt;"")*(#REF!&lt;&gt;"")</formula>
    </cfRule>
  </conditionalFormatting>
  <conditionalFormatting sqref="M5744 Q5744 M5740:M5741">
    <cfRule type="expression" dxfId="4" priority="337">
      <formula>(#REF!&lt;&gt;"")*(#REF!&lt;&gt;"")</formula>
    </cfRule>
  </conditionalFormatting>
  <conditionalFormatting sqref="J5758 J5755">
    <cfRule type="expression" dxfId="4" priority="325">
      <formula>(#REF!&lt;&gt;"")*(#REF!&lt;&gt;"")</formula>
    </cfRule>
  </conditionalFormatting>
  <conditionalFormatting sqref="A5784 K5784 K5786 A5786">
    <cfRule type="expression" dxfId="4" priority="319">
      <formula>(#REF!&lt;&gt;"")*(#REF!&lt;&gt;"")</formula>
    </cfRule>
  </conditionalFormatting>
  <conditionalFormatting sqref="C5784 A5784 Q5784 E5784:G5784 Q5786 A5786 E5786:G5786 C5786 A5788 E5788:G5788 Q5788 T5784:T5786 M5786:O5786 M5784:O5784 J5788:O5788 J5786:K5786 J5784:K5784">
    <cfRule type="expression" dxfId="4" priority="323">
      <formula>(#REF!&lt;&gt;"")*(#REF!&lt;&gt;"")</formula>
    </cfRule>
  </conditionalFormatting>
  <conditionalFormatting sqref="O5787:Q5787 K5785:Q5785 M5786:Q5786 M5784:Q5784 N5788:Q5788">
    <cfRule type="expression" dxfId="4" priority="301">
      <formula>(#REF!&lt;&gt;"")*(#REF!&lt;&gt;"")</formula>
    </cfRule>
  </conditionalFormatting>
  <conditionalFormatting sqref="P5784:Q5784 P5786:Q5786 P5788:Q5788">
    <cfRule type="expression" dxfId="4" priority="322">
      <formula>(#REF!&lt;&gt;"")*(#REF!&lt;&gt;"")</formula>
    </cfRule>
  </conditionalFormatting>
  <conditionalFormatting sqref="C5785 A5785 Q5785 E5785:G5785 J5785:O5785">
    <cfRule type="expression" dxfId="4" priority="316">
      <formula>(#REF!&lt;&gt;"")*(#REF!&lt;&gt;"")</formula>
    </cfRule>
  </conditionalFormatting>
  <conditionalFormatting sqref="A5787 C5787 E5787:G5787 K5787">
    <cfRule type="expression" dxfId="4" priority="310">
      <formula>(#REF!&lt;&gt;"")*(#REF!&lt;&gt;"")</formula>
    </cfRule>
  </conditionalFormatting>
  <conditionalFormatting sqref="Q5787 E5787:G5787 A5787 O5787 M5787 J5787:K5787">
    <cfRule type="expression" dxfId="4" priority="312">
      <formula>(#REF!&lt;&gt;"")*(#REF!&lt;&gt;"")</formula>
    </cfRule>
  </conditionalFormatting>
  <conditionalFormatting sqref="M5788 T5787:T5788">
    <cfRule type="expression" dxfId="4" priority="320">
      <formula>(#REF!&lt;&gt;"")*(#REF!&lt;&gt;"")</formula>
    </cfRule>
  </conditionalFormatting>
  <conditionalFormatting sqref="K5788:L5788 E5788:G5788 C5788 A5788">
    <cfRule type="expression" dxfId="4" priority="321">
      <formula>(#REF!&lt;&gt;"")*(#REF!&lt;&gt;"")</formula>
    </cfRule>
  </conditionalFormatting>
  <conditionalFormatting sqref="E7197:H7197 A7197 C7197 J7197:K7197">
    <cfRule type="expression" dxfId="4" priority="286">
      <formula>(#REF!&lt;&gt;"")*(#REF!&lt;&gt;"")</formula>
    </cfRule>
  </conditionalFormatting>
  <conditionalFormatting sqref="N7280:Q7281 O7278:Q7278 M7279:Q7279 M7197:Q7197">
    <cfRule type="expression" dxfId="4" priority="283">
      <formula>(#REF!&lt;&gt;"")*(#REF!&lt;&gt;"")</formula>
    </cfRule>
  </conditionalFormatting>
  <conditionalFormatting sqref="J7199 J7202">
    <cfRule type="expression" dxfId="4" priority="287">
      <formula>(#REF!&lt;&gt;"")*(#REF!&lt;&gt;"")</formula>
    </cfRule>
  </conditionalFormatting>
  <conditionalFormatting sqref="M7218:M7219 M7260:M7262">
    <cfRule type="expression" dxfId="4" priority="273">
      <formula>(#REF!&lt;&gt;"")*(#REF!&lt;&gt;"")</formula>
    </cfRule>
  </conditionalFormatting>
  <conditionalFormatting sqref="M7221:M7223 M7258">
    <cfRule type="expression" dxfId="4" priority="276">
      <formula>(#REF!&lt;&gt;"")*(#REF!&lt;&gt;"")</formula>
    </cfRule>
  </conditionalFormatting>
  <conditionalFormatting sqref="A7280 E7280:H7280 Q7280 A7276 E7276:H7276 C7276 N7280:O7280 J7280:K7280">
    <cfRule type="expression" dxfId="4" priority="262">
      <formula>(#REF!&lt;&gt;"")*(#REF!&lt;&gt;"")</formula>
    </cfRule>
  </conditionalFormatting>
  <conditionalFormatting sqref="T7280 J7276 T7282">
    <cfRule type="expression" dxfId="4" priority="252">
      <formula>(#REF!&lt;&gt;"")*(#REF!&lt;&gt;"")</formula>
    </cfRule>
  </conditionalFormatting>
  <conditionalFormatting sqref="M7276 T7276">
    <cfRule type="expression" dxfId="4" priority="244">
      <formula>(#REF!&lt;&gt;"")*(#REF!&lt;&gt;"")</formula>
    </cfRule>
  </conditionalFormatting>
  <conditionalFormatting sqref="Q7276 M7276:O7276">
    <cfRule type="expression" dxfId="4" priority="246">
      <formula>(#REF!&lt;&gt;"")*(#REF!&lt;&gt;"")</formula>
    </cfRule>
  </conditionalFormatting>
  <conditionalFormatting sqref="A7277 E7277:H7277 C7277 J7277">
    <cfRule type="expression" dxfId="4" priority="219">
      <formula>(#REF!&lt;&gt;"")*(#REF!&lt;&gt;"")</formula>
    </cfRule>
  </conditionalFormatting>
  <conditionalFormatting sqref="L7277:M7277 O7277">
    <cfRule type="expression" dxfId="4" priority="216">
      <formula>(#REF!&lt;&gt;"")*(#REF!&lt;&gt;"")</formula>
    </cfRule>
  </conditionalFormatting>
  <conditionalFormatting sqref="K7278 A7278 M7278">
    <cfRule type="expression" dxfId="4" priority="239">
      <formula>(#REF!&lt;&gt;"")*(#REF!&lt;&gt;"")</formula>
    </cfRule>
  </conditionalFormatting>
  <conditionalFormatting sqref="Q7278 A7278 E7278:H7278 C7278 O7278 M7278 J7278:K7278">
    <cfRule type="expression" dxfId="4" priority="241">
      <formula>(#REF!&lt;&gt;"")*(#REF!&lt;&gt;"")</formula>
    </cfRule>
  </conditionalFormatting>
  <conditionalFormatting sqref="A7279 E7279:H7279 C7279">
    <cfRule type="expression" dxfId="4" priority="227">
      <formula>(#REF!&lt;&gt;"")*(#REF!&lt;&gt;"")</formula>
    </cfRule>
  </conditionalFormatting>
  <conditionalFormatting sqref="A7280 K7280 E7280:G7280">
    <cfRule type="expression" dxfId="4" priority="249">
      <formula>(#REF!&lt;&gt;"")*(#REF!&lt;&gt;"")</formula>
    </cfRule>
  </conditionalFormatting>
  <conditionalFormatting sqref="H7280 P7282:Q7282">
    <cfRule type="expression" dxfId="4" priority="251">
      <formula>(#REF!&lt;&gt;"")*(#REF!&lt;&gt;"")</formula>
    </cfRule>
  </conditionalFormatting>
  <conditionalFormatting sqref="C7281 Q7281 E7281:H7281 A7281 N7281:O7281 J7281:K7281">
    <cfRule type="expression" dxfId="4" priority="234">
      <formula>(#REF!&lt;&gt;"")*(#REF!&lt;&gt;"")</formula>
    </cfRule>
  </conditionalFormatting>
  <conditionalFormatting sqref="A7282 E7282:H7282 Q7282 C7282 N7282:O7282 J7282:K7282">
    <cfRule type="expression" dxfId="4" priority="263">
      <formula>(#REF!&lt;&gt;"")*(#REF!&lt;&gt;"")</formula>
    </cfRule>
  </conditionalFormatting>
  <conditionalFormatting sqref="Q7285 O7285 M7285 A7285:H7285 J7285">
    <cfRule type="expression" dxfId="0" priority="187">
      <formula>(#REF!&lt;&gt;"")*(#REF!&lt;&gt;"")</formula>
    </cfRule>
  </conditionalFormatting>
  <conditionalFormatting sqref="B7285 O7285:Q7285 M7285">
    <cfRule type="expression" dxfId="0" priority="185">
      <formula>(#REF!&lt;&gt;"")*(#REF!&lt;&gt;"")</formula>
    </cfRule>
  </conditionalFormatting>
  <conditionalFormatting sqref="Q7286 O7286 M7286 A7286:H7286 J7286">
    <cfRule type="expression" dxfId="0" priority="180">
      <formula>(#REF!&lt;&gt;"")*(#REF!&lt;&gt;"")</formula>
    </cfRule>
  </conditionalFormatting>
  <conditionalFormatting sqref="B7286 O7286:Q7286 M7286">
    <cfRule type="expression" dxfId="0" priority="178">
      <formula>(#REF!&lt;&gt;"")*(#REF!&lt;&gt;"")</formula>
    </cfRule>
  </conditionalFormatting>
  <conditionalFormatting sqref="Q7287 A7287:H7287">
    <cfRule type="expression" dxfId="0" priority="170">
      <formula>(#REF!&lt;&gt;"")*(#REF!&lt;&gt;"")</formula>
    </cfRule>
  </conditionalFormatting>
  <conditionalFormatting sqref="Q7287 M7287 E7287:H7287 J7287">
    <cfRule type="expression" dxfId="0" priority="173">
      <formula>(#REF!&lt;&gt;"")*(#REF!&lt;&gt;"")</formula>
    </cfRule>
  </conditionalFormatting>
  <conditionalFormatting sqref="Q7289:Q7290 O7289:O7290 M7289:M7290 A7289:H7290 J7289:J7290">
    <cfRule type="expression" dxfId="0" priority="80">
      <formula>(#REF!&lt;&gt;"")*(#REF!&lt;&gt;"")</formula>
    </cfRule>
  </conditionalFormatting>
  <conditionalFormatting sqref="B7289:B7290 O7289:Q7290 M7289:M7290">
    <cfRule type="expression" dxfId="0" priority="78">
      <formula>(#REF!&lt;&gt;"")*(#REF!&lt;&gt;"")</formula>
    </cfRule>
  </conditionalFormatting>
  <conditionalFormatting sqref="P7289:Q7290">
    <cfRule type="expression" dxfId="1" priority="79">
      <formula>(#REF!&lt;&gt;"")*(#REF!&lt;&gt;"")</formula>
    </cfRule>
  </conditionalFormatting>
  <conditionalFormatting sqref="Q7292:Q7295 O7292:O7295 M7292:M7295 A7292:H7295 J7292:J7295">
    <cfRule type="expression" dxfId="0" priority="72">
      <formula>(#REF!&lt;&gt;"")*(#REF!&lt;&gt;"")</formula>
    </cfRule>
  </conditionalFormatting>
  <conditionalFormatting sqref="B7292:B7295 O7292:Q7295 M7292:M7295">
    <cfRule type="expression" dxfId="0" priority="70">
      <formula>(#REF!&lt;&gt;"")*(#REF!&lt;&gt;"")</formula>
    </cfRule>
  </conditionalFormatting>
  <conditionalFormatting sqref="P7292:Q7295">
    <cfRule type="expression" dxfId="1" priority="71">
      <formula>(#REF!&lt;&gt;"")*(#REF!&lt;&gt;"")</formula>
    </cfRule>
  </conditionalFormatting>
  <conditionalFormatting sqref="Q7296 O7296 M7296 A7296:H7296 J7296 J7301:J7304 A7301:H7304 M7301:M7304 O7301:O7304 Q7301:Q7304">
    <cfRule type="expression" dxfId="0" priority="43">
      <formula>(#REF!&lt;&gt;"")*(#REF!&lt;&gt;"")</formula>
    </cfRule>
  </conditionalFormatting>
  <conditionalFormatting sqref="A7296 A7301:A7304">
    <cfRule type="expression" dxfId="0" priority="37">
      <formula>(#REF!&lt;&gt;"")*(#REF!&lt;&gt;"")</formula>
    </cfRule>
  </conditionalFormatting>
  <conditionalFormatting sqref="B7296 O7296:Q7296 M7296 M7301:M7304 O7301:Q7304 B7301:B7304">
    <cfRule type="expression" dxfId="0" priority="41">
      <formula>(#REF!&lt;&gt;"")*(#REF!&lt;&gt;"")</formula>
    </cfRule>
  </conditionalFormatting>
  <conditionalFormatting sqref="N7296 N7301:N7304">
    <cfRule type="expression" dxfId="0" priority="39">
      <formula>(#REF!&lt;&gt;"")*(#REF!&lt;&gt;"")</formula>
    </cfRule>
    <cfRule type="expression" dxfId="0" priority="38">
      <formula>(#REF!&lt;&gt;"")*(#REF!&lt;&gt;"")</formula>
    </cfRule>
  </conditionalFormatting>
  <conditionalFormatting sqref="P7296:Q7296 P7301:Q7304">
    <cfRule type="expression" dxfId="1" priority="42">
      <formula>(#REF!&lt;&gt;"")*(#REF!&lt;&gt;"")</formula>
    </cfRule>
  </conditionalFormatting>
  <conditionalFormatting sqref="Q7296 Q7301:Q7304">
    <cfRule type="expression" dxfId="0" priority="40">
      <formula>(#REF!&lt;&gt;"")*(#REF!&lt;&gt;"")</formula>
    </cfRule>
  </conditionalFormatting>
  <conditionalFormatting sqref="T7296 T7301:T7304">
    <cfRule type="expression" dxfId="5" priority="44">
      <formula>(#REF!&lt;&gt;"")*(#REF!&lt;&gt;"")</formula>
    </cfRule>
  </conditionalFormatting>
  <conditionalFormatting sqref="J7305 M7305 O7305 Q7305 A7305:H7305">
    <cfRule type="expression" dxfId="0" priority="35">
      <formula>(#REF!&lt;&gt;"")*(#REF!&lt;&gt;"")</formula>
    </cfRule>
  </conditionalFormatting>
  <conditionalFormatting sqref="M7305 O7305:Q7305 B7305">
    <cfRule type="expression" dxfId="0" priority="33">
      <formula>(#REF!&lt;&gt;"")*(#REF!&lt;&gt;"")</formula>
    </cfRule>
  </conditionalFormatting>
  <conditionalFormatting sqref="J7306 M7306 O7306 Q7306 A7306:H7306">
    <cfRule type="expression" dxfId="0" priority="26">
      <formula>(#REF!&lt;&gt;"")*(#REF!&lt;&gt;"")</formula>
    </cfRule>
  </conditionalFormatting>
  <conditionalFormatting sqref="M7306 O7306:Q7306 B7306">
    <cfRule type="expression" dxfId="0" priority="24">
      <formula>(#REF!&lt;&gt;"")*(#REF!&lt;&gt;"")</formula>
    </cfRule>
  </conditionalFormatting>
  <conditionalFormatting sqref="J7307 M7307 O7307 Q7307 A7307:H7307">
    <cfRule type="expression" dxfId="0" priority="11">
      <formula>(#REF!&lt;&gt;"")*(#REF!&lt;&gt;"")</formula>
    </cfRule>
  </conditionalFormatting>
  <conditionalFormatting sqref="M7307 O7307:Q7307 B7307">
    <cfRule type="expression" dxfId="0" priority="9">
      <formula>(#REF!&lt;&gt;"")*(#REF!&lt;&gt;"")</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AM53"/>
  <sheetViews>
    <sheetView workbookViewId="0">
      <selection activeCell="F54" sqref="F54"/>
    </sheetView>
  </sheetViews>
  <sheetFormatPr defaultColWidth="9" defaultRowHeight="14"/>
  <cols>
    <col min="1" max="1" width="19.5833333333333" style="82" customWidth="1"/>
    <col min="2" max="2" width="19" style="82" customWidth="1"/>
    <col min="3" max="3" width="23.0833333333333" style="82" customWidth="1"/>
    <col min="4" max="4" width="6.58333333333333" style="82" customWidth="1"/>
    <col min="5" max="5" width="7.91666666666667" style="82" customWidth="1"/>
    <col min="6" max="6" width="12.4166666666667" style="82" customWidth="1"/>
    <col min="7" max="7" width="13.4166666666667" style="82" customWidth="1"/>
    <col min="8" max="8" width="5.25" style="82" customWidth="1"/>
    <col min="9" max="9" width="11.75" style="82" customWidth="1"/>
    <col min="10" max="10" width="5.25" style="82" customWidth="1"/>
    <col min="11" max="11" width="12" style="82" customWidth="1"/>
    <col min="12" max="12" width="6.58333333333333" style="82" customWidth="1"/>
    <col min="13" max="13" width="18.1666666666667" style="82" customWidth="1"/>
    <col min="14" max="14" width="10.5833333333333" style="82" customWidth="1"/>
    <col min="15" max="15" width="18.0833333333333" style="82" customWidth="1"/>
    <col min="16" max="16" width="12.5833333333333" style="82" customWidth="1"/>
    <col min="17" max="18" width="12.4166666666667" style="82" customWidth="1"/>
    <col min="19" max="19" width="5.25" style="82" customWidth="1"/>
    <col min="20" max="20" width="6.58333333333333" style="82" customWidth="1"/>
    <col min="21" max="21" width="8" style="82" customWidth="1"/>
    <col min="22" max="22" width="6.58333333333333" style="82" customWidth="1"/>
    <col min="23" max="23" width="13.25" style="82" customWidth="1"/>
    <col min="24" max="24" width="6.58333333333333" style="82" customWidth="1"/>
    <col min="25" max="25" width="12.4166666666667" style="82" customWidth="1"/>
    <col min="26" max="26" width="6.58333333333333" style="82" customWidth="1"/>
    <col min="27" max="27" width="29.8333333333333" style="82" customWidth="1"/>
    <col min="28" max="28" width="50" style="82" customWidth="1"/>
    <col min="29" max="30" width="24.3333333333333" style="82" customWidth="1"/>
    <col min="31" max="32" width="6.58333333333333" style="82" customWidth="1"/>
    <col min="33" max="33" width="7.91666666666667" style="82" customWidth="1"/>
    <col min="34" max="34" width="6.58333333333333" style="82" customWidth="1"/>
    <col min="35" max="35" width="16.25" style="82" customWidth="1"/>
    <col min="36" max="36" width="24.4166666666667" style="82" customWidth="1"/>
    <col min="37" max="37" width="6.41666666666667" style="82" customWidth="1"/>
    <col min="38" max="38" width="6.58333333333333" style="82" customWidth="1"/>
    <col min="39" max="39" width="5.25" style="82" customWidth="1"/>
    <col min="40" max="16384" width="8.66666666666667" style="82"/>
  </cols>
  <sheetData>
    <row r="1" spans="1:39">
      <c r="A1" s="83" t="s">
        <v>9746</v>
      </c>
      <c r="B1" s="84" t="s">
        <v>9747</v>
      </c>
      <c r="C1" s="84" t="s">
        <v>9748</v>
      </c>
      <c r="D1" s="83" t="s">
        <v>9749</v>
      </c>
      <c r="E1" s="83" t="s">
        <v>9750</v>
      </c>
      <c r="F1" s="83" t="s">
        <v>9751</v>
      </c>
      <c r="G1" s="83" t="s">
        <v>9752</v>
      </c>
      <c r="H1" s="83" t="s">
        <v>9753</v>
      </c>
      <c r="I1" s="83" t="s">
        <v>9754</v>
      </c>
      <c r="J1" s="83" t="s">
        <v>9755</v>
      </c>
      <c r="K1" s="83" t="s">
        <v>9756</v>
      </c>
      <c r="L1" s="83" t="s">
        <v>9757</v>
      </c>
      <c r="M1" s="83" t="s">
        <v>9758</v>
      </c>
      <c r="N1" s="83" t="s">
        <v>9759</v>
      </c>
      <c r="O1" s="83" t="s">
        <v>9760</v>
      </c>
      <c r="P1" s="83" t="s">
        <v>9761</v>
      </c>
      <c r="Q1" s="83" t="s">
        <v>9762</v>
      </c>
      <c r="R1" s="83" t="s">
        <v>24</v>
      </c>
      <c r="S1" s="83" t="s">
        <v>9763</v>
      </c>
      <c r="T1" s="83" t="s">
        <v>9764</v>
      </c>
      <c r="U1" s="83" t="s">
        <v>9765</v>
      </c>
      <c r="V1" s="83" t="s">
        <v>9766</v>
      </c>
      <c r="W1" s="83" t="s">
        <v>9767</v>
      </c>
      <c r="X1" s="83" t="s">
        <v>9768</v>
      </c>
      <c r="Y1" s="83" t="s">
        <v>9769</v>
      </c>
      <c r="Z1" s="83" t="s">
        <v>9770</v>
      </c>
      <c r="AA1" s="83" t="s">
        <v>9771</v>
      </c>
      <c r="AB1" s="83" t="s">
        <v>9772</v>
      </c>
      <c r="AC1" s="83" t="s">
        <v>9773</v>
      </c>
      <c r="AD1" s="83" t="s">
        <v>9773</v>
      </c>
      <c r="AE1" s="83" t="s">
        <v>9750</v>
      </c>
      <c r="AF1" s="83" t="s">
        <v>9774</v>
      </c>
      <c r="AG1" s="83" t="s">
        <v>9775</v>
      </c>
      <c r="AH1" s="83" t="s">
        <v>9776</v>
      </c>
      <c r="AI1" s="83" t="s">
        <v>9777</v>
      </c>
      <c r="AJ1" s="83" t="s">
        <v>9774</v>
      </c>
      <c r="AK1" s="83" t="s">
        <v>9778</v>
      </c>
      <c r="AL1" s="83" t="s">
        <v>9779</v>
      </c>
      <c r="AM1" s="83" t="s">
        <v>9780</v>
      </c>
    </row>
    <row r="2" hidden="1" spans="1:39">
      <c r="A2" s="82" t="s">
        <v>6979</v>
      </c>
      <c r="B2" s="82" t="str">
        <f>VLOOKUP(A2,'202304非带宽'!H:H,1,FALSE)</f>
        <v>182315IDC00162</v>
      </c>
      <c r="D2" s="82" t="s">
        <v>9781</v>
      </c>
      <c r="E2" s="82" t="s">
        <v>9782</v>
      </c>
      <c r="F2" s="82" t="s">
        <v>9783</v>
      </c>
      <c r="G2" s="82" t="s">
        <v>9784</v>
      </c>
      <c r="H2" s="82" t="s">
        <v>9785</v>
      </c>
      <c r="I2" s="82" t="s">
        <v>9786</v>
      </c>
      <c r="J2" s="82" t="s">
        <v>6301</v>
      </c>
      <c r="K2" s="82" t="s">
        <v>9787</v>
      </c>
      <c r="L2" s="82" t="s">
        <v>9788</v>
      </c>
      <c r="M2" s="82" t="s">
        <v>9789</v>
      </c>
      <c r="N2" s="82" t="s">
        <v>9790</v>
      </c>
      <c r="O2" s="82" t="s">
        <v>9791</v>
      </c>
      <c r="P2" s="82" t="s">
        <v>9792</v>
      </c>
      <c r="Q2" s="82" t="s">
        <v>9793</v>
      </c>
      <c r="R2" s="82" t="s">
        <v>9794</v>
      </c>
      <c r="S2" s="82" t="s">
        <v>1355</v>
      </c>
      <c r="T2" s="82" t="s">
        <v>9795</v>
      </c>
      <c r="U2" s="82" t="s">
        <v>1355</v>
      </c>
      <c r="V2" s="82" t="s">
        <v>1355</v>
      </c>
      <c r="W2" s="82" t="s">
        <v>9796</v>
      </c>
      <c r="X2" s="82" t="s">
        <v>9797</v>
      </c>
      <c r="Y2" s="82" t="s">
        <v>9798</v>
      </c>
      <c r="Z2" s="82" t="s">
        <v>9788</v>
      </c>
      <c r="AA2" s="82" t="s">
        <v>9799</v>
      </c>
      <c r="AB2" s="82" t="s">
        <v>9800</v>
      </c>
      <c r="AC2" s="82" t="s">
        <v>9801</v>
      </c>
      <c r="AD2" s="82" t="s">
        <v>9801</v>
      </c>
      <c r="AE2" s="82" t="s">
        <v>9802</v>
      </c>
      <c r="AF2" s="82" t="s">
        <v>1355</v>
      </c>
      <c r="AG2" s="82" t="s">
        <v>4867</v>
      </c>
      <c r="AH2" s="82" t="s">
        <v>9802</v>
      </c>
      <c r="AI2" s="82" t="s">
        <v>9802</v>
      </c>
      <c r="AJ2" s="82" t="s">
        <v>1355</v>
      </c>
      <c r="AK2" s="82" t="s">
        <v>9803</v>
      </c>
      <c r="AL2" s="82" t="s">
        <v>1355</v>
      </c>
      <c r="AM2" s="82" t="s">
        <v>1355</v>
      </c>
    </row>
    <row r="3" spans="1:39">
      <c r="A3" s="82" t="s">
        <v>9804</v>
      </c>
      <c r="B3" s="82" t="e">
        <f>VLOOKUP(A3,'202304非带宽'!H:H,1,FALSE)</f>
        <v>#N/A</v>
      </c>
      <c r="C3" s="81" t="s">
        <v>9805</v>
      </c>
      <c r="D3" s="82" t="s">
        <v>9781</v>
      </c>
      <c r="E3" s="82" t="s">
        <v>9806</v>
      </c>
      <c r="F3" s="82" t="s">
        <v>9807</v>
      </c>
      <c r="G3" s="82" t="s">
        <v>9784</v>
      </c>
      <c r="H3" s="82" t="s">
        <v>9785</v>
      </c>
      <c r="I3" s="82" t="s">
        <v>9786</v>
      </c>
      <c r="J3" s="82" t="s">
        <v>28</v>
      </c>
      <c r="K3" s="82" t="s">
        <v>9787</v>
      </c>
      <c r="L3" s="82" t="s">
        <v>9788</v>
      </c>
      <c r="M3" s="82" t="s">
        <v>9789</v>
      </c>
      <c r="N3" s="82" t="s">
        <v>9790</v>
      </c>
      <c r="O3" s="82" t="s">
        <v>9808</v>
      </c>
      <c r="P3" s="82" t="s">
        <v>9809</v>
      </c>
      <c r="Q3" s="82" t="s">
        <v>9810</v>
      </c>
      <c r="R3" s="82" t="s">
        <v>9811</v>
      </c>
      <c r="S3" s="82" t="s">
        <v>1355</v>
      </c>
      <c r="T3" s="82" t="s">
        <v>6901</v>
      </c>
      <c r="U3" s="82" t="s">
        <v>1355</v>
      </c>
      <c r="V3" s="82" t="s">
        <v>1355</v>
      </c>
      <c r="W3" s="82" t="s">
        <v>1355</v>
      </c>
      <c r="X3" s="82" t="s">
        <v>1355</v>
      </c>
      <c r="Y3" s="82" t="s">
        <v>9812</v>
      </c>
      <c r="Z3" s="82" t="s">
        <v>9802</v>
      </c>
      <c r="AA3" s="82" t="s">
        <v>1355</v>
      </c>
      <c r="AB3" s="82" t="s">
        <v>1355</v>
      </c>
      <c r="AC3" s="82" t="s">
        <v>9813</v>
      </c>
      <c r="AD3" s="82" t="s">
        <v>9813</v>
      </c>
      <c r="AE3" s="82" t="s">
        <v>9788</v>
      </c>
      <c r="AF3" s="82" t="s">
        <v>1355</v>
      </c>
      <c r="AG3" s="82" t="s">
        <v>4867</v>
      </c>
      <c r="AH3" s="82" t="s">
        <v>9802</v>
      </c>
      <c r="AI3" s="82" t="s">
        <v>9802</v>
      </c>
      <c r="AJ3" s="82" t="s">
        <v>9814</v>
      </c>
      <c r="AK3" s="82" t="s">
        <v>9803</v>
      </c>
      <c r="AL3" s="82" t="s">
        <v>1355</v>
      </c>
      <c r="AM3" s="82" t="s">
        <v>1355</v>
      </c>
    </row>
    <row r="4" hidden="1" spans="1:39">
      <c r="A4" s="82" t="s">
        <v>8072</v>
      </c>
      <c r="B4" s="82" t="str">
        <f>VLOOKUP(A4,'202304非带宽'!H:H,1,FALSE)</f>
        <v>182315IDC00160</v>
      </c>
      <c r="D4" s="82" t="s">
        <v>9781</v>
      </c>
      <c r="E4" s="82" t="s">
        <v>9782</v>
      </c>
      <c r="F4" s="82" t="s">
        <v>9807</v>
      </c>
      <c r="G4" s="82" t="s">
        <v>9784</v>
      </c>
      <c r="H4" s="82" t="s">
        <v>9785</v>
      </c>
      <c r="I4" s="82" t="s">
        <v>9786</v>
      </c>
      <c r="J4" s="82" t="s">
        <v>28</v>
      </c>
      <c r="K4" s="82" t="s">
        <v>9787</v>
      </c>
      <c r="L4" s="82" t="s">
        <v>9788</v>
      </c>
      <c r="M4" s="82" t="s">
        <v>9789</v>
      </c>
      <c r="N4" s="82" t="s">
        <v>9790</v>
      </c>
      <c r="O4" s="82" t="s">
        <v>9815</v>
      </c>
      <c r="P4" s="82" t="s">
        <v>9816</v>
      </c>
      <c r="Q4" s="82" t="s">
        <v>9810</v>
      </c>
      <c r="R4" s="82" t="s">
        <v>9811</v>
      </c>
      <c r="S4" s="82" t="s">
        <v>1355</v>
      </c>
      <c r="T4" s="82" t="s">
        <v>9795</v>
      </c>
      <c r="U4" s="82" t="s">
        <v>1355</v>
      </c>
      <c r="V4" s="82" t="s">
        <v>1355</v>
      </c>
      <c r="W4" s="82" t="s">
        <v>9817</v>
      </c>
      <c r="X4" s="82" t="s">
        <v>9797</v>
      </c>
      <c r="Y4" s="82" t="s">
        <v>9812</v>
      </c>
      <c r="Z4" s="82" t="s">
        <v>9802</v>
      </c>
      <c r="AA4" s="82" t="s">
        <v>1355</v>
      </c>
      <c r="AB4" s="82" t="s">
        <v>9804</v>
      </c>
      <c r="AC4" s="82" t="s">
        <v>9813</v>
      </c>
      <c r="AD4" s="82" t="s">
        <v>9813</v>
      </c>
      <c r="AE4" s="82" t="s">
        <v>9802</v>
      </c>
      <c r="AF4" s="82" t="s">
        <v>1355</v>
      </c>
      <c r="AG4" s="82" t="s">
        <v>9818</v>
      </c>
      <c r="AH4" s="82" t="s">
        <v>9802</v>
      </c>
      <c r="AI4" s="82" t="s">
        <v>9802</v>
      </c>
      <c r="AJ4" s="82" t="s">
        <v>1355</v>
      </c>
      <c r="AK4" s="82" t="s">
        <v>9803</v>
      </c>
      <c r="AL4" s="82" t="s">
        <v>1355</v>
      </c>
      <c r="AM4" s="82" t="s">
        <v>1355</v>
      </c>
    </row>
    <row r="5" hidden="1" spans="1:39">
      <c r="A5" s="82" t="s">
        <v>2362</v>
      </c>
      <c r="B5" s="82" t="str">
        <f>VLOOKUP(A5,'202304非带宽'!H:H,1,FALSE)</f>
        <v>182315IDC00158</v>
      </c>
      <c r="D5" s="82" t="s">
        <v>9781</v>
      </c>
      <c r="E5" s="82" t="s">
        <v>9782</v>
      </c>
      <c r="F5" s="82" t="s">
        <v>9807</v>
      </c>
      <c r="G5" s="82" t="s">
        <v>9784</v>
      </c>
      <c r="H5" s="82" t="s">
        <v>9819</v>
      </c>
      <c r="I5" s="82" t="s">
        <v>9786</v>
      </c>
      <c r="J5" s="82" t="s">
        <v>642</v>
      </c>
      <c r="K5" s="82" t="s">
        <v>9787</v>
      </c>
      <c r="L5" s="82" t="s">
        <v>9788</v>
      </c>
      <c r="M5" s="82" t="s">
        <v>9789</v>
      </c>
      <c r="N5" s="82" t="s">
        <v>9790</v>
      </c>
      <c r="O5" s="82" t="s">
        <v>9820</v>
      </c>
      <c r="P5" s="82" t="s">
        <v>9821</v>
      </c>
      <c r="Q5" s="82" t="s">
        <v>9822</v>
      </c>
      <c r="R5" s="82" t="s">
        <v>5242</v>
      </c>
      <c r="S5" s="82" t="s">
        <v>1355</v>
      </c>
      <c r="T5" s="82" t="s">
        <v>9795</v>
      </c>
      <c r="U5" s="82" t="s">
        <v>1355</v>
      </c>
      <c r="V5" s="82" t="s">
        <v>1355</v>
      </c>
      <c r="W5" s="82" t="s">
        <v>9823</v>
      </c>
      <c r="X5" s="82" t="s">
        <v>9797</v>
      </c>
      <c r="Y5" s="82" t="s">
        <v>9824</v>
      </c>
      <c r="Z5" s="82" t="s">
        <v>9802</v>
      </c>
      <c r="AA5" s="82" t="s">
        <v>1355</v>
      </c>
      <c r="AB5" s="82" t="s">
        <v>9825</v>
      </c>
      <c r="AC5" s="82" t="s">
        <v>9813</v>
      </c>
      <c r="AD5" s="82" t="s">
        <v>9813</v>
      </c>
      <c r="AE5" s="82" t="s">
        <v>9802</v>
      </c>
      <c r="AF5" s="82" t="s">
        <v>1355</v>
      </c>
      <c r="AG5" s="82" t="s">
        <v>9818</v>
      </c>
      <c r="AH5" s="82" t="s">
        <v>9802</v>
      </c>
      <c r="AI5" s="82" t="s">
        <v>9802</v>
      </c>
      <c r="AJ5" s="82" t="s">
        <v>1355</v>
      </c>
      <c r="AK5" s="82" t="s">
        <v>9803</v>
      </c>
      <c r="AL5" s="82" t="s">
        <v>1355</v>
      </c>
      <c r="AM5" s="82" t="s">
        <v>1355</v>
      </c>
    </row>
    <row r="6" spans="1:39">
      <c r="A6" s="82" t="s">
        <v>9826</v>
      </c>
      <c r="B6" s="82" t="e">
        <f>VLOOKUP(A6,'202304非带宽'!H:H,1,FALSE)</f>
        <v>#N/A</v>
      </c>
      <c r="C6" s="81" t="s">
        <v>9827</v>
      </c>
      <c r="D6" s="82" t="s">
        <v>9781</v>
      </c>
      <c r="E6" s="82" t="s">
        <v>9806</v>
      </c>
      <c r="F6" s="82" t="s">
        <v>9807</v>
      </c>
      <c r="G6" s="82" t="s">
        <v>9784</v>
      </c>
      <c r="H6" s="82" t="s">
        <v>9828</v>
      </c>
      <c r="I6" s="82" t="s">
        <v>9787</v>
      </c>
      <c r="J6" s="82" t="s">
        <v>9828</v>
      </c>
      <c r="K6" s="82" t="s">
        <v>9787</v>
      </c>
      <c r="L6" s="82" t="s">
        <v>9802</v>
      </c>
      <c r="M6" s="82" t="s">
        <v>9789</v>
      </c>
      <c r="N6" s="82" t="s">
        <v>9790</v>
      </c>
      <c r="O6" s="82" t="s">
        <v>9829</v>
      </c>
      <c r="P6" s="82" t="s">
        <v>9830</v>
      </c>
      <c r="Q6" s="82" t="s">
        <v>9831</v>
      </c>
      <c r="R6" s="82" t="s">
        <v>9832</v>
      </c>
      <c r="S6" s="82" t="s">
        <v>1355</v>
      </c>
      <c r="T6" s="82" t="s">
        <v>9795</v>
      </c>
      <c r="U6" s="82" t="s">
        <v>1355</v>
      </c>
      <c r="V6" s="82" t="s">
        <v>1355</v>
      </c>
      <c r="W6" s="82" t="s">
        <v>9833</v>
      </c>
      <c r="X6" s="82" t="s">
        <v>9797</v>
      </c>
      <c r="Y6" s="82" t="s">
        <v>9798</v>
      </c>
      <c r="Z6" s="82" t="s">
        <v>9802</v>
      </c>
      <c r="AA6" s="82" t="s">
        <v>1355</v>
      </c>
      <c r="AB6" s="82" t="s">
        <v>1355</v>
      </c>
      <c r="AC6" s="82" t="s">
        <v>9834</v>
      </c>
      <c r="AD6" s="82" t="s">
        <v>9834</v>
      </c>
      <c r="AE6" s="82" t="s">
        <v>9788</v>
      </c>
      <c r="AF6" s="82" t="s">
        <v>1355</v>
      </c>
      <c r="AG6" s="82" t="s">
        <v>4867</v>
      </c>
      <c r="AH6" s="82" t="s">
        <v>9802</v>
      </c>
      <c r="AI6" s="82" t="s">
        <v>9802</v>
      </c>
      <c r="AJ6" s="82" t="s">
        <v>9835</v>
      </c>
      <c r="AK6" s="82" t="s">
        <v>9803</v>
      </c>
      <c r="AL6" s="82" t="s">
        <v>1355</v>
      </c>
      <c r="AM6" s="82" t="s">
        <v>1355</v>
      </c>
    </row>
    <row r="7" spans="1:39">
      <c r="A7" s="82" t="s">
        <v>9836</v>
      </c>
      <c r="B7" s="82" t="e">
        <f>VLOOKUP(A7,'202304非带宽'!H:H,1,FALSE)</f>
        <v>#N/A</v>
      </c>
      <c r="C7" s="81" t="s">
        <v>9827</v>
      </c>
      <c r="D7" s="82" t="s">
        <v>9781</v>
      </c>
      <c r="E7" s="82" t="s">
        <v>9806</v>
      </c>
      <c r="F7" s="82" t="s">
        <v>9837</v>
      </c>
      <c r="G7" s="82" t="s">
        <v>9784</v>
      </c>
      <c r="H7" s="82" t="s">
        <v>9828</v>
      </c>
      <c r="I7" s="82" t="s">
        <v>9787</v>
      </c>
      <c r="J7" s="82" t="s">
        <v>9828</v>
      </c>
      <c r="K7" s="82" t="s">
        <v>9787</v>
      </c>
      <c r="L7" s="82" t="s">
        <v>9802</v>
      </c>
      <c r="M7" s="82" t="s">
        <v>9789</v>
      </c>
      <c r="N7" s="82" t="s">
        <v>9790</v>
      </c>
      <c r="O7" s="82" t="s">
        <v>9838</v>
      </c>
      <c r="P7" s="82" t="s">
        <v>9839</v>
      </c>
      <c r="Q7" s="82" t="s">
        <v>9798</v>
      </c>
      <c r="R7" s="82" t="s">
        <v>9840</v>
      </c>
      <c r="S7" s="82" t="s">
        <v>1355</v>
      </c>
      <c r="T7" s="82" t="s">
        <v>9795</v>
      </c>
      <c r="U7" s="82" t="s">
        <v>1355</v>
      </c>
      <c r="V7" s="82" t="s">
        <v>1355</v>
      </c>
      <c r="W7" s="82" t="s">
        <v>9841</v>
      </c>
      <c r="X7" s="82" t="s">
        <v>9797</v>
      </c>
      <c r="Y7" s="82" t="s">
        <v>9798</v>
      </c>
      <c r="Z7" s="82" t="s">
        <v>9802</v>
      </c>
      <c r="AA7" s="82" t="s">
        <v>1355</v>
      </c>
      <c r="AB7" s="82" t="s">
        <v>1355</v>
      </c>
      <c r="AC7" s="82" t="s">
        <v>9834</v>
      </c>
      <c r="AD7" s="82" t="s">
        <v>9834</v>
      </c>
      <c r="AE7" s="82" t="s">
        <v>9788</v>
      </c>
      <c r="AF7" s="82" t="s">
        <v>1355</v>
      </c>
      <c r="AG7" s="82" t="s">
        <v>4867</v>
      </c>
      <c r="AH7" s="82" t="s">
        <v>9802</v>
      </c>
      <c r="AI7" s="82" t="s">
        <v>9802</v>
      </c>
      <c r="AJ7" s="82" t="s">
        <v>9842</v>
      </c>
      <c r="AK7" s="82" t="s">
        <v>9803</v>
      </c>
      <c r="AL7" s="82" t="s">
        <v>1355</v>
      </c>
      <c r="AM7" s="82" t="s">
        <v>1355</v>
      </c>
    </row>
    <row r="8" hidden="1" spans="1:39">
      <c r="A8" s="82" t="s">
        <v>8529</v>
      </c>
      <c r="B8" s="82" t="str">
        <f>VLOOKUP(A8,'202304非带宽'!H:H,1,FALSE)</f>
        <v>182315IDC00150</v>
      </c>
      <c r="D8" s="82" t="s">
        <v>9781</v>
      </c>
      <c r="E8" s="82" t="s">
        <v>9782</v>
      </c>
      <c r="F8" s="82" t="s">
        <v>9837</v>
      </c>
      <c r="G8" s="82" t="s">
        <v>9784</v>
      </c>
      <c r="H8" s="82" t="s">
        <v>9785</v>
      </c>
      <c r="I8" s="82" t="s">
        <v>9786</v>
      </c>
      <c r="J8" s="82" t="s">
        <v>28</v>
      </c>
      <c r="K8" s="82" t="s">
        <v>9787</v>
      </c>
      <c r="L8" s="82" t="s">
        <v>9788</v>
      </c>
      <c r="M8" s="82" t="s">
        <v>9789</v>
      </c>
      <c r="N8" s="82" t="s">
        <v>9790</v>
      </c>
      <c r="O8" s="82" t="s">
        <v>9843</v>
      </c>
      <c r="P8" s="82" t="s">
        <v>9844</v>
      </c>
      <c r="Q8" s="82" t="s">
        <v>9810</v>
      </c>
      <c r="R8" s="82" t="s">
        <v>9794</v>
      </c>
      <c r="S8" s="82" t="s">
        <v>1355</v>
      </c>
      <c r="T8" s="82" t="s">
        <v>9795</v>
      </c>
      <c r="U8" s="82" t="s">
        <v>1355</v>
      </c>
      <c r="V8" s="82" t="s">
        <v>1355</v>
      </c>
      <c r="W8" s="82" t="s">
        <v>9845</v>
      </c>
      <c r="X8" s="82" t="s">
        <v>9797</v>
      </c>
      <c r="Y8" s="82" t="s">
        <v>9783</v>
      </c>
      <c r="Z8" s="82" t="s">
        <v>9802</v>
      </c>
      <c r="AA8" s="82" t="s">
        <v>1355</v>
      </c>
      <c r="AB8" s="82" t="s">
        <v>9846</v>
      </c>
      <c r="AC8" s="82" t="s">
        <v>9813</v>
      </c>
      <c r="AD8" s="82" t="s">
        <v>9813</v>
      </c>
      <c r="AE8" s="82" t="s">
        <v>9802</v>
      </c>
      <c r="AF8" s="82" t="s">
        <v>1355</v>
      </c>
      <c r="AG8" s="82" t="s">
        <v>9818</v>
      </c>
      <c r="AH8" s="82" t="s">
        <v>9802</v>
      </c>
      <c r="AI8" s="82" t="s">
        <v>9802</v>
      </c>
      <c r="AJ8" s="82" t="s">
        <v>1355</v>
      </c>
      <c r="AK8" s="82" t="s">
        <v>9803</v>
      </c>
      <c r="AL8" s="82" t="s">
        <v>1355</v>
      </c>
      <c r="AM8" s="82" t="s">
        <v>1355</v>
      </c>
    </row>
    <row r="9" hidden="1" spans="1:39">
      <c r="A9" s="82" t="s">
        <v>5416</v>
      </c>
      <c r="B9" s="82" t="str">
        <f>VLOOKUP(A9,'202304非带宽'!H:H,1,FALSE)</f>
        <v>182315IDC00155</v>
      </c>
      <c r="D9" s="82" t="s">
        <v>9781</v>
      </c>
      <c r="E9" s="82" t="s">
        <v>9782</v>
      </c>
      <c r="F9" s="82" t="s">
        <v>9837</v>
      </c>
      <c r="G9" s="82" t="s">
        <v>9784</v>
      </c>
      <c r="H9" s="82" t="s">
        <v>9847</v>
      </c>
      <c r="I9" s="82" t="s">
        <v>9786</v>
      </c>
      <c r="J9" s="82" t="s">
        <v>3939</v>
      </c>
      <c r="K9" s="82" t="s">
        <v>9787</v>
      </c>
      <c r="L9" s="82" t="s">
        <v>9788</v>
      </c>
      <c r="M9" s="82" t="s">
        <v>9789</v>
      </c>
      <c r="N9" s="82" t="s">
        <v>9790</v>
      </c>
      <c r="O9" s="82" t="s">
        <v>9848</v>
      </c>
      <c r="P9" s="82" t="s">
        <v>9849</v>
      </c>
      <c r="Q9" s="82" t="s">
        <v>9822</v>
      </c>
      <c r="R9" s="82" t="s">
        <v>9850</v>
      </c>
      <c r="S9" s="82" t="s">
        <v>1355</v>
      </c>
      <c r="T9" s="82" t="s">
        <v>9795</v>
      </c>
      <c r="U9" s="82" t="s">
        <v>1355</v>
      </c>
      <c r="V9" s="82" t="s">
        <v>1355</v>
      </c>
      <c r="W9" s="82" t="s">
        <v>9851</v>
      </c>
      <c r="X9" s="82" t="s">
        <v>9797</v>
      </c>
      <c r="Y9" s="82" t="s">
        <v>9783</v>
      </c>
      <c r="Z9" s="82" t="s">
        <v>9802</v>
      </c>
      <c r="AA9" s="82" t="s">
        <v>1355</v>
      </c>
      <c r="AB9" s="82" t="s">
        <v>9852</v>
      </c>
      <c r="AC9" s="82" t="s">
        <v>9813</v>
      </c>
      <c r="AD9" s="82" t="s">
        <v>9813</v>
      </c>
      <c r="AE9" s="82" t="s">
        <v>9802</v>
      </c>
      <c r="AF9" s="82" t="s">
        <v>1355</v>
      </c>
      <c r="AG9" s="82" t="s">
        <v>9818</v>
      </c>
      <c r="AH9" s="82" t="s">
        <v>9802</v>
      </c>
      <c r="AI9" s="82" t="s">
        <v>9802</v>
      </c>
      <c r="AJ9" s="82" t="s">
        <v>1355</v>
      </c>
      <c r="AK9" s="82" t="s">
        <v>9803</v>
      </c>
      <c r="AL9" s="82" t="s">
        <v>1355</v>
      </c>
      <c r="AM9" s="82" t="s">
        <v>1355</v>
      </c>
    </row>
    <row r="10" hidden="1" spans="1:39">
      <c r="A10" s="82" t="s">
        <v>5825</v>
      </c>
      <c r="B10" s="82" t="str">
        <f>VLOOKUP(A10,'202304非带宽'!H:H,1,FALSE)</f>
        <v>182315IDC00157</v>
      </c>
      <c r="D10" s="82" t="s">
        <v>9781</v>
      </c>
      <c r="E10" s="82" t="s">
        <v>9782</v>
      </c>
      <c r="F10" s="82" t="s">
        <v>9837</v>
      </c>
      <c r="G10" s="82" t="s">
        <v>9784</v>
      </c>
      <c r="H10" s="82" t="s">
        <v>9847</v>
      </c>
      <c r="I10" s="82" t="s">
        <v>9786</v>
      </c>
      <c r="J10" s="82" t="s">
        <v>3939</v>
      </c>
      <c r="K10" s="82" t="s">
        <v>9787</v>
      </c>
      <c r="L10" s="82" t="s">
        <v>9788</v>
      </c>
      <c r="M10" s="82" t="s">
        <v>9789</v>
      </c>
      <c r="N10" s="82" t="s">
        <v>9790</v>
      </c>
      <c r="O10" s="82" t="s">
        <v>9853</v>
      </c>
      <c r="P10" s="82" t="s">
        <v>9854</v>
      </c>
      <c r="Q10" s="82" t="s">
        <v>9822</v>
      </c>
      <c r="R10" s="82" t="s">
        <v>9850</v>
      </c>
      <c r="S10" s="82" t="s">
        <v>1355</v>
      </c>
      <c r="T10" s="82" t="s">
        <v>9795</v>
      </c>
      <c r="U10" s="82" t="s">
        <v>1355</v>
      </c>
      <c r="V10" s="82" t="s">
        <v>1355</v>
      </c>
      <c r="W10" s="82" t="s">
        <v>9855</v>
      </c>
      <c r="X10" s="82" t="s">
        <v>9797</v>
      </c>
      <c r="Y10" s="82" t="s">
        <v>9812</v>
      </c>
      <c r="Z10" s="82" t="s">
        <v>9802</v>
      </c>
      <c r="AA10" s="82" t="s">
        <v>1355</v>
      </c>
      <c r="AB10" s="82" t="s">
        <v>9856</v>
      </c>
      <c r="AC10" s="82" t="s">
        <v>9813</v>
      </c>
      <c r="AD10" s="82" t="s">
        <v>9813</v>
      </c>
      <c r="AE10" s="82" t="s">
        <v>9802</v>
      </c>
      <c r="AF10" s="82" t="s">
        <v>1355</v>
      </c>
      <c r="AG10" s="82" t="s">
        <v>9818</v>
      </c>
      <c r="AH10" s="82" t="s">
        <v>9802</v>
      </c>
      <c r="AI10" s="82" t="s">
        <v>9802</v>
      </c>
      <c r="AJ10" s="82" t="s">
        <v>1355</v>
      </c>
      <c r="AK10" s="82" t="s">
        <v>9803</v>
      </c>
      <c r="AL10" s="82" t="s">
        <v>1355</v>
      </c>
      <c r="AM10" s="82" t="s">
        <v>1355</v>
      </c>
    </row>
    <row r="11" hidden="1" spans="1:39">
      <c r="A11" s="82" t="s">
        <v>5986</v>
      </c>
      <c r="B11" s="82" t="str">
        <f>VLOOKUP(A11,'202304非带宽'!H:H,1,FALSE)</f>
        <v>182315IDC00156</v>
      </c>
      <c r="D11" s="82" t="s">
        <v>9781</v>
      </c>
      <c r="E11" s="82" t="s">
        <v>9782</v>
      </c>
      <c r="F11" s="82" t="s">
        <v>9837</v>
      </c>
      <c r="G11" s="82" t="s">
        <v>9784</v>
      </c>
      <c r="H11" s="82" t="s">
        <v>9847</v>
      </c>
      <c r="I11" s="82" t="s">
        <v>9786</v>
      </c>
      <c r="J11" s="82" t="s">
        <v>3939</v>
      </c>
      <c r="K11" s="82" t="s">
        <v>9787</v>
      </c>
      <c r="L11" s="82" t="s">
        <v>9788</v>
      </c>
      <c r="M11" s="82" t="s">
        <v>9789</v>
      </c>
      <c r="N11" s="82" t="s">
        <v>9790</v>
      </c>
      <c r="O11" s="82" t="s">
        <v>9857</v>
      </c>
      <c r="P11" s="82" t="s">
        <v>9858</v>
      </c>
      <c r="Q11" s="82" t="s">
        <v>9822</v>
      </c>
      <c r="R11" s="82" t="s">
        <v>9850</v>
      </c>
      <c r="S11" s="82" t="s">
        <v>1355</v>
      </c>
      <c r="T11" s="82" t="s">
        <v>9795</v>
      </c>
      <c r="U11" s="82" t="s">
        <v>1355</v>
      </c>
      <c r="V11" s="82" t="s">
        <v>1355</v>
      </c>
      <c r="W11" s="82" t="s">
        <v>9859</v>
      </c>
      <c r="X11" s="82" t="s">
        <v>9797</v>
      </c>
      <c r="Y11" s="82" t="s">
        <v>9783</v>
      </c>
      <c r="Z11" s="82" t="s">
        <v>9802</v>
      </c>
      <c r="AA11" s="82" t="s">
        <v>1355</v>
      </c>
      <c r="AB11" s="82" t="s">
        <v>9860</v>
      </c>
      <c r="AC11" s="82" t="s">
        <v>9813</v>
      </c>
      <c r="AD11" s="82" t="s">
        <v>9813</v>
      </c>
      <c r="AE11" s="82" t="s">
        <v>9802</v>
      </c>
      <c r="AF11" s="82" t="s">
        <v>1355</v>
      </c>
      <c r="AG11" s="82" t="s">
        <v>9818</v>
      </c>
      <c r="AH11" s="82" t="s">
        <v>9802</v>
      </c>
      <c r="AI11" s="82" t="s">
        <v>9802</v>
      </c>
      <c r="AJ11" s="82" t="s">
        <v>1355</v>
      </c>
      <c r="AK11" s="82" t="s">
        <v>9803</v>
      </c>
      <c r="AL11" s="82" t="s">
        <v>1355</v>
      </c>
      <c r="AM11" s="82" t="s">
        <v>1355</v>
      </c>
    </row>
    <row r="12" s="81" customFormat="1" spans="1:39">
      <c r="A12" s="81" t="s">
        <v>9861</v>
      </c>
      <c r="B12" s="81" t="e">
        <f>VLOOKUP(A12,'202304非带宽'!H:H,1,FALSE)</f>
        <v>#N/A</v>
      </c>
      <c r="C12" s="81" t="s">
        <v>9862</v>
      </c>
      <c r="D12" s="81" t="s">
        <v>9781</v>
      </c>
      <c r="E12" s="81" t="s">
        <v>9782</v>
      </c>
      <c r="F12" s="81" t="s">
        <v>9837</v>
      </c>
      <c r="G12" s="81" t="s">
        <v>9784</v>
      </c>
      <c r="H12" s="81" t="s">
        <v>9819</v>
      </c>
      <c r="I12" s="81" t="s">
        <v>9786</v>
      </c>
      <c r="J12" s="81" t="s">
        <v>9863</v>
      </c>
      <c r="K12" s="81" t="s">
        <v>9787</v>
      </c>
      <c r="L12" s="81" t="s">
        <v>9788</v>
      </c>
      <c r="M12" s="81" t="s">
        <v>9789</v>
      </c>
      <c r="N12" s="81" t="s">
        <v>9790</v>
      </c>
      <c r="O12" s="81" t="s">
        <v>9864</v>
      </c>
      <c r="P12" s="81" t="s">
        <v>9865</v>
      </c>
      <c r="Q12" s="81" t="s">
        <v>9822</v>
      </c>
      <c r="R12" s="81" t="s">
        <v>9794</v>
      </c>
      <c r="S12" s="81" t="s">
        <v>1355</v>
      </c>
      <c r="T12" s="81" t="s">
        <v>9795</v>
      </c>
      <c r="U12" s="81" t="s">
        <v>1355</v>
      </c>
      <c r="V12" s="81" t="s">
        <v>1355</v>
      </c>
      <c r="W12" s="81" t="s">
        <v>9866</v>
      </c>
      <c r="X12" s="81" t="s">
        <v>9797</v>
      </c>
      <c r="Y12" s="81" t="s">
        <v>9783</v>
      </c>
      <c r="Z12" s="81" t="s">
        <v>9788</v>
      </c>
      <c r="AA12" s="81" t="s">
        <v>9867</v>
      </c>
      <c r="AB12" s="81" t="s">
        <v>9868</v>
      </c>
      <c r="AC12" s="81" t="s">
        <v>9813</v>
      </c>
      <c r="AD12" s="81" t="s">
        <v>9813</v>
      </c>
      <c r="AE12" s="81" t="s">
        <v>9802</v>
      </c>
      <c r="AF12" s="81" t="s">
        <v>1355</v>
      </c>
      <c r="AG12" s="81" t="s">
        <v>4867</v>
      </c>
      <c r="AH12" s="81" t="s">
        <v>9802</v>
      </c>
      <c r="AI12" s="81" t="s">
        <v>9802</v>
      </c>
      <c r="AJ12" s="81" t="s">
        <v>1355</v>
      </c>
      <c r="AK12" s="81" t="s">
        <v>9803</v>
      </c>
      <c r="AL12" s="81" t="s">
        <v>1355</v>
      </c>
      <c r="AM12" s="81" t="s">
        <v>1355</v>
      </c>
    </row>
    <row r="13" hidden="1" spans="1:39">
      <c r="A13" s="82" t="s">
        <v>5818</v>
      </c>
      <c r="B13" s="82" t="str">
        <f>VLOOKUP(A13,'202304非带宽'!H:H,1,FALSE)</f>
        <v>182315IDC00140</v>
      </c>
      <c r="D13" s="82" t="s">
        <v>9781</v>
      </c>
      <c r="E13" s="82" t="s">
        <v>9782</v>
      </c>
      <c r="F13" s="82" t="s">
        <v>9869</v>
      </c>
      <c r="G13" s="82" t="s">
        <v>9784</v>
      </c>
      <c r="H13" s="82" t="s">
        <v>9847</v>
      </c>
      <c r="I13" s="82" t="s">
        <v>9786</v>
      </c>
      <c r="J13" s="82" t="s">
        <v>3939</v>
      </c>
      <c r="K13" s="82" t="s">
        <v>9787</v>
      </c>
      <c r="L13" s="82" t="s">
        <v>9788</v>
      </c>
      <c r="M13" s="82" t="s">
        <v>9789</v>
      </c>
      <c r="N13" s="82" t="s">
        <v>9790</v>
      </c>
      <c r="O13" s="82" t="s">
        <v>9870</v>
      </c>
      <c r="P13" s="82" t="s">
        <v>9871</v>
      </c>
      <c r="Q13" s="82" t="s">
        <v>9822</v>
      </c>
      <c r="R13" s="82" t="s">
        <v>9850</v>
      </c>
      <c r="S13" s="82" t="s">
        <v>1355</v>
      </c>
      <c r="T13" s="82" t="s">
        <v>9795</v>
      </c>
      <c r="U13" s="82" t="s">
        <v>1355</v>
      </c>
      <c r="V13" s="82" t="s">
        <v>1355</v>
      </c>
      <c r="W13" s="82" t="s">
        <v>9872</v>
      </c>
      <c r="X13" s="82" t="s">
        <v>9797</v>
      </c>
      <c r="Y13" s="82" t="s">
        <v>9783</v>
      </c>
      <c r="Z13" s="82" t="s">
        <v>9802</v>
      </c>
      <c r="AA13" s="82" t="s">
        <v>1355</v>
      </c>
      <c r="AB13" s="82" t="s">
        <v>9873</v>
      </c>
      <c r="AC13" s="82" t="s">
        <v>9813</v>
      </c>
      <c r="AD13" s="82" t="s">
        <v>9813</v>
      </c>
      <c r="AE13" s="82" t="s">
        <v>9802</v>
      </c>
      <c r="AF13" s="82" t="s">
        <v>1355</v>
      </c>
      <c r="AG13" s="82" t="s">
        <v>9818</v>
      </c>
      <c r="AH13" s="82" t="s">
        <v>9802</v>
      </c>
      <c r="AI13" s="82" t="s">
        <v>9802</v>
      </c>
      <c r="AJ13" s="82" t="s">
        <v>1355</v>
      </c>
      <c r="AK13" s="82" t="s">
        <v>9803</v>
      </c>
      <c r="AL13" s="82" t="s">
        <v>1355</v>
      </c>
      <c r="AM13" s="82" t="s">
        <v>1355</v>
      </c>
    </row>
    <row r="14" hidden="1" spans="1:39">
      <c r="A14" s="82" t="s">
        <v>5327</v>
      </c>
      <c r="B14" s="82" t="str">
        <f>VLOOKUP(A14,'202304非带宽'!H:H,1,FALSE)</f>
        <v>182315IDC00149</v>
      </c>
      <c r="D14" s="82" t="s">
        <v>9781</v>
      </c>
      <c r="E14" s="82" t="s">
        <v>9782</v>
      </c>
      <c r="F14" s="82" t="s">
        <v>9869</v>
      </c>
      <c r="G14" s="82" t="s">
        <v>9784</v>
      </c>
      <c r="H14" s="82" t="s">
        <v>9847</v>
      </c>
      <c r="I14" s="82" t="s">
        <v>9786</v>
      </c>
      <c r="J14" s="82" t="s">
        <v>3939</v>
      </c>
      <c r="K14" s="82" t="s">
        <v>9787</v>
      </c>
      <c r="L14" s="82" t="s">
        <v>9788</v>
      </c>
      <c r="M14" s="82" t="s">
        <v>9789</v>
      </c>
      <c r="N14" s="82" t="s">
        <v>9790</v>
      </c>
      <c r="O14" s="82" t="s">
        <v>9874</v>
      </c>
      <c r="P14" s="82" t="s">
        <v>9875</v>
      </c>
      <c r="Q14" s="82" t="s">
        <v>9822</v>
      </c>
      <c r="R14" s="82" t="s">
        <v>9850</v>
      </c>
      <c r="S14" s="82" t="s">
        <v>1355</v>
      </c>
      <c r="T14" s="82" t="s">
        <v>9795</v>
      </c>
      <c r="U14" s="82" t="s">
        <v>1355</v>
      </c>
      <c r="V14" s="82" t="s">
        <v>1355</v>
      </c>
      <c r="W14" s="82" t="s">
        <v>9876</v>
      </c>
      <c r="X14" s="82" t="s">
        <v>9797</v>
      </c>
      <c r="Y14" s="82" t="s">
        <v>9783</v>
      </c>
      <c r="Z14" s="82" t="s">
        <v>9802</v>
      </c>
      <c r="AA14" s="82" t="s">
        <v>1355</v>
      </c>
      <c r="AB14" s="82" t="s">
        <v>9877</v>
      </c>
      <c r="AC14" s="82" t="s">
        <v>9813</v>
      </c>
      <c r="AD14" s="82" t="s">
        <v>9813</v>
      </c>
      <c r="AE14" s="82" t="s">
        <v>9802</v>
      </c>
      <c r="AF14" s="82" t="s">
        <v>1355</v>
      </c>
      <c r="AG14" s="82" t="s">
        <v>9818</v>
      </c>
      <c r="AH14" s="82" t="s">
        <v>9802</v>
      </c>
      <c r="AI14" s="82" t="s">
        <v>9802</v>
      </c>
      <c r="AJ14" s="82" t="s">
        <v>1355</v>
      </c>
      <c r="AK14" s="82" t="s">
        <v>9803</v>
      </c>
      <c r="AL14" s="82" t="s">
        <v>1355</v>
      </c>
      <c r="AM14" s="82" t="s">
        <v>1355</v>
      </c>
    </row>
    <row r="15" hidden="1" spans="1:39">
      <c r="A15" s="82" t="s">
        <v>5289</v>
      </c>
      <c r="B15" s="82" t="str">
        <f>VLOOKUP(A15,'202304非带宽'!H:H,1,FALSE)</f>
        <v>182315IDC00139</v>
      </c>
      <c r="D15" s="82" t="s">
        <v>9781</v>
      </c>
      <c r="E15" s="82" t="s">
        <v>9782</v>
      </c>
      <c r="F15" s="82" t="s">
        <v>9878</v>
      </c>
      <c r="G15" s="82" t="s">
        <v>9784</v>
      </c>
      <c r="H15" s="82" t="s">
        <v>9847</v>
      </c>
      <c r="I15" s="82" t="s">
        <v>9786</v>
      </c>
      <c r="J15" s="82" t="s">
        <v>3939</v>
      </c>
      <c r="K15" s="82" t="s">
        <v>9787</v>
      </c>
      <c r="L15" s="82" t="s">
        <v>9788</v>
      </c>
      <c r="M15" s="82" t="s">
        <v>9789</v>
      </c>
      <c r="N15" s="82" t="s">
        <v>9790</v>
      </c>
      <c r="O15" s="82" t="s">
        <v>9879</v>
      </c>
      <c r="P15" s="82" t="s">
        <v>9880</v>
      </c>
      <c r="Q15" s="82" t="s">
        <v>9822</v>
      </c>
      <c r="R15" s="82" t="s">
        <v>9850</v>
      </c>
      <c r="S15" s="82" t="s">
        <v>1355</v>
      </c>
      <c r="T15" s="82" t="s">
        <v>9795</v>
      </c>
      <c r="U15" s="82" t="s">
        <v>1355</v>
      </c>
      <c r="V15" s="82" t="s">
        <v>1355</v>
      </c>
      <c r="W15" s="82" t="s">
        <v>9881</v>
      </c>
      <c r="X15" s="82" t="s">
        <v>9797</v>
      </c>
      <c r="Y15" s="82" t="s">
        <v>9812</v>
      </c>
      <c r="Z15" s="82" t="s">
        <v>9802</v>
      </c>
      <c r="AA15" s="82" t="s">
        <v>1355</v>
      </c>
      <c r="AB15" s="82" t="s">
        <v>9882</v>
      </c>
      <c r="AC15" s="82" t="s">
        <v>9813</v>
      </c>
      <c r="AD15" s="82" t="s">
        <v>9813</v>
      </c>
      <c r="AE15" s="82" t="s">
        <v>9802</v>
      </c>
      <c r="AF15" s="82" t="s">
        <v>1355</v>
      </c>
      <c r="AG15" s="82" t="s">
        <v>9818</v>
      </c>
      <c r="AH15" s="82" t="s">
        <v>9802</v>
      </c>
      <c r="AI15" s="82" t="s">
        <v>9802</v>
      </c>
      <c r="AJ15" s="82" t="s">
        <v>1355</v>
      </c>
      <c r="AK15" s="82" t="s">
        <v>9803</v>
      </c>
      <c r="AL15" s="82" t="s">
        <v>1355</v>
      </c>
      <c r="AM15" s="82" t="s">
        <v>1355</v>
      </c>
    </row>
    <row r="16" hidden="1" spans="1:39">
      <c r="A16" s="82" t="s">
        <v>8552</v>
      </c>
      <c r="B16" s="82" t="str">
        <f>VLOOKUP(A16,'202304非带宽'!H:H,1,FALSE)</f>
        <v>182315IDC00138</v>
      </c>
      <c r="D16" s="82" t="s">
        <v>9781</v>
      </c>
      <c r="E16" s="82" t="s">
        <v>9782</v>
      </c>
      <c r="F16" s="82" t="s">
        <v>9883</v>
      </c>
      <c r="G16" s="82" t="s">
        <v>9784</v>
      </c>
      <c r="H16" s="82" t="s">
        <v>9785</v>
      </c>
      <c r="I16" s="82" t="s">
        <v>9786</v>
      </c>
      <c r="J16" s="82" t="s">
        <v>7585</v>
      </c>
      <c r="K16" s="82" t="s">
        <v>9787</v>
      </c>
      <c r="L16" s="82" t="s">
        <v>9788</v>
      </c>
      <c r="M16" s="82" t="s">
        <v>9789</v>
      </c>
      <c r="N16" s="82" t="s">
        <v>9790</v>
      </c>
      <c r="O16" s="82" t="s">
        <v>9884</v>
      </c>
      <c r="P16" s="82" t="s">
        <v>9885</v>
      </c>
      <c r="Q16" s="82" t="s">
        <v>9793</v>
      </c>
      <c r="R16" s="82" t="s">
        <v>9886</v>
      </c>
      <c r="S16" s="82" t="s">
        <v>1355</v>
      </c>
      <c r="T16" s="82" t="s">
        <v>9795</v>
      </c>
      <c r="U16" s="82" t="s">
        <v>1355</v>
      </c>
      <c r="V16" s="82" t="s">
        <v>1355</v>
      </c>
      <c r="W16" s="82" t="s">
        <v>9887</v>
      </c>
      <c r="X16" s="82" t="s">
        <v>9797</v>
      </c>
      <c r="Y16" s="82" t="s">
        <v>9888</v>
      </c>
      <c r="Z16" s="82" t="s">
        <v>9802</v>
      </c>
      <c r="AA16" s="82" t="s">
        <v>1355</v>
      </c>
      <c r="AB16" s="82" t="s">
        <v>9889</v>
      </c>
      <c r="AC16" s="82" t="s">
        <v>9813</v>
      </c>
      <c r="AD16" s="82" t="s">
        <v>9813</v>
      </c>
      <c r="AE16" s="82" t="s">
        <v>9802</v>
      </c>
      <c r="AF16" s="82" t="s">
        <v>1355</v>
      </c>
      <c r="AG16" s="82" t="s">
        <v>9818</v>
      </c>
      <c r="AH16" s="82" t="s">
        <v>9802</v>
      </c>
      <c r="AI16" s="82" t="s">
        <v>9802</v>
      </c>
      <c r="AJ16" s="82" t="s">
        <v>1355</v>
      </c>
      <c r="AK16" s="82" t="s">
        <v>9803</v>
      </c>
      <c r="AL16" s="82" t="s">
        <v>1355</v>
      </c>
      <c r="AM16" s="82" t="s">
        <v>1355</v>
      </c>
    </row>
    <row r="17" hidden="1" spans="1:39">
      <c r="A17" s="82" t="s">
        <v>8574</v>
      </c>
      <c r="B17" s="82" t="str">
        <f>VLOOKUP(A17,'202304非带宽'!H:H,1,FALSE)</f>
        <v>182315IDC00137</v>
      </c>
      <c r="D17" s="82" t="s">
        <v>9781</v>
      </c>
      <c r="E17" s="82" t="s">
        <v>9782</v>
      </c>
      <c r="F17" s="82" t="s">
        <v>9883</v>
      </c>
      <c r="G17" s="82" t="s">
        <v>9784</v>
      </c>
      <c r="H17" s="82" t="s">
        <v>9785</v>
      </c>
      <c r="I17" s="82" t="s">
        <v>9786</v>
      </c>
      <c r="J17" s="82" t="s">
        <v>7585</v>
      </c>
      <c r="K17" s="82" t="s">
        <v>9787</v>
      </c>
      <c r="L17" s="82" t="s">
        <v>9788</v>
      </c>
      <c r="M17" s="82" t="s">
        <v>9789</v>
      </c>
      <c r="N17" s="82" t="s">
        <v>9790</v>
      </c>
      <c r="O17" s="82" t="s">
        <v>9884</v>
      </c>
      <c r="P17" s="82" t="s">
        <v>9890</v>
      </c>
      <c r="Q17" s="82" t="s">
        <v>9831</v>
      </c>
      <c r="R17" s="82" t="s">
        <v>9891</v>
      </c>
      <c r="S17" s="82" t="s">
        <v>1355</v>
      </c>
      <c r="T17" s="82" t="s">
        <v>9795</v>
      </c>
      <c r="U17" s="82" t="s">
        <v>1355</v>
      </c>
      <c r="V17" s="82" t="s">
        <v>1355</v>
      </c>
      <c r="W17" s="82" t="s">
        <v>9892</v>
      </c>
      <c r="X17" s="82" t="s">
        <v>9797</v>
      </c>
      <c r="Y17" s="82" t="s">
        <v>9888</v>
      </c>
      <c r="Z17" s="82" t="s">
        <v>9802</v>
      </c>
      <c r="AA17" s="82" t="s">
        <v>1355</v>
      </c>
      <c r="AB17" s="82" t="s">
        <v>9889</v>
      </c>
      <c r="AC17" s="82" t="s">
        <v>9813</v>
      </c>
      <c r="AD17" s="82" t="s">
        <v>9813</v>
      </c>
      <c r="AE17" s="82" t="s">
        <v>9802</v>
      </c>
      <c r="AF17" s="82" t="s">
        <v>1355</v>
      </c>
      <c r="AG17" s="82" t="s">
        <v>9818</v>
      </c>
      <c r="AH17" s="82" t="s">
        <v>9802</v>
      </c>
      <c r="AI17" s="82" t="s">
        <v>9802</v>
      </c>
      <c r="AJ17" s="82" t="s">
        <v>1355</v>
      </c>
      <c r="AK17" s="82" t="s">
        <v>9803</v>
      </c>
      <c r="AL17" s="82" t="s">
        <v>1355</v>
      </c>
      <c r="AM17" s="82" t="s">
        <v>1355</v>
      </c>
    </row>
    <row r="18" s="81" customFormat="1" spans="1:39">
      <c r="A18" s="81" t="s">
        <v>9893</v>
      </c>
      <c r="B18" s="81" t="e">
        <f>VLOOKUP(A18,'202304非带宽'!H:H,1,FALSE)</f>
        <v>#N/A</v>
      </c>
      <c r="C18" s="81" t="s">
        <v>9862</v>
      </c>
      <c r="D18" s="81" t="s">
        <v>9781</v>
      </c>
      <c r="E18" s="81" t="s">
        <v>9782</v>
      </c>
      <c r="F18" s="81" t="s">
        <v>9894</v>
      </c>
      <c r="G18" s="81" t="s">
        <v>9784</v>
      </c>
      <c r="H18" s="81" t="s">
        <v>9819</v>
      </c>
      <c r="I18" s="81" t="s">
        <v>9786</v>
      </c>
      <c r="J18" s="81" t="s">
        <v>28</v>
      </c>
      <c r="K18" s="81" t="s">
        <v>9787</v>
      </c>
      <c r="L18" s="81" t="s">
        <v>9788</v>
      </c>
      <c r="M18" s="81" t="s">
        <v>9789</v>
      </c>
      <c r="N18" s="81" t="s">
        <v>9790</v>
      </c>
      <c r="O18" s="81" t="s">
        <v>9895</v>
      </c>
      <c r="P18" s="81" t="s">
        <v>9896</v>
      </c>
      <c r="Q18" s="81" t="s">
        <v>9810</v>
      </c>
      <c r="R18" s="81" t="s">
        <v>9811</v>
      </c>
      <c r="S18" s="81" t="s">
        <v>1355</v>
      </c>
      <c r="T18" s="81" t="s">
        <v>9795</v>
      </c>
      <c r="U18" s="81" t="s">
        <v>1355</v>
      </c>
      <c r="V18" s="81" t="s">
        <v>1355</v>
      </c>
      <c r="W18" s="81" t="s">
        <v>9897</v>
      </c>
      <c r="X18" s="81" t="s">
        <v>9797</v>
      </c>
      <c r="Y18" s="81" t="s">
        <v>9783</v>
      </c>
      <c r="Z18" s="81" t="s">
        <v>9788</v>
      </c>
      <c r="AA18" s="81" t="s">
        <v>9898</v>
      </c>
      <c r="AB18" s="81" t="s">
        <v>9899</v>
      </c>
      <c r="AC18" s="81" t="s">
        <v>9813</v>
      </c>
      <c r="AD18" s="81" t="s">
        <v>9813</v>
      </c>
      <c r="AE18" s="81" t="s">
        <v>9802</v>
      </c>
      <c r="AF18" s="81" t="s">
        <v>1355</v>
      </c>
      <c r="AG18" s="81" t="s">
        <v>4867</v>
      </c>
      <c r="AH18" s="81" t="s">
        <v>9802</v>
      </c>
      <c r="AI18" s="81" t="s">
        <v>9802</v>
      </c>
      <c r="AJ18" s="81" t="s">
        <v>1355</v>
      </c>
      <c r="AK18" s="81" t="s">
        <v>9803</v>
      </c>
      <c r="AL18" s="81" t="s">
        <v>1355</v>
      </c>
      <c r="AM18" s="81" t="s">
        <v>1355</v>
      </c>
    </row>
    <row r="19" hidden="1" spans="1:39">
      <c r="A19" s="82" t="s">
        <v>9094</v>
      </c>
      <c r="B19" s="82" t="str">
        <f>VLOOKUP(A19,'202304非带宽'!H:H,1,FALSE)</f>
        <v>182315IDC00136</v>
      </c>
      <c r="D19" s="82" t="s">
        <v>9781</v>
      </c>
      <c r="E19" s="82" t="s">
        <v>9782</v>
      </c>
      <c r="F19" s="82" t="s">
        <v>9894</v>
      </c>
      <c r="G19" s="82" t="s">
        <v>9784</v>
      </c>
      <c r="H19" s="82" t="s">
        <v>9785</v>
      </c>
      <c r="I19" s="82" t="s">
        <v>9786</v>
      </c>
      <c r="J19" s="82" t="s">
        <v>7585</v>
      </c>
      <c r="K19" s="82" t="s">
        <v>9787</v>
      </c>
      <c r="L19" s="82" t="s">
        <v>9788</v>
      </c>
      <c r="M19" s="82" t="s">
        <v>9789</v>
      </c>
      <c r="N19" s="82" t="s">
        <v>9790</v>
      </c>
      <c r="O19" s="82" t="s">
        <v>9900</v>
      </c>
      <c r="P19" s="82" t="s">
        <v>9901</v>
      </c>
      <c r="Q19" s="82" t="s">
        <v>9831</v>
      </c>
      <c r="R19" s="82" t="s">
        <v>9891</v>
      </c>
      <c r="S19" s="82" t="s">
        <v>1355</v>
      </c>
      <c r="T19" s="82" t="s">
        <v>9795</v>
      </c>
      <c r="U19" s="82" t="s">
        <v>1355</v>
      </c>
      <c r="V19" s="82" t="s">
        <v>1355</v>
      </c>
      <c r="W19" s="82" t="s">
        <v>9902</v>
      </c>
      <c r="X19" s="82" t="s">
        <v>9797</v>
      </c>
      <c r="Y19" s="82" t="s">
        <v>9888</v>
      </c>
      <c r="Z19" s="82" t="s">
        <v>9802</v>
      </c>
      <c r="AA19" s="82" t="s">
        <v>1355</v>
      </c>
      <c r="AB19" s="82" t="s">
        <v>9903</v>
      </c>
      <c r="AC19" s="82" t="s">
        <v>9813</v>
      </c>
      <c r="AD19" s="82" t="s">
        <v>9813</v>
      </c>
      <c r="AE19" s="82" t="s">
        <v>9802</v>
      </c>
      <c r="AF19" s="82" t="s">
        <v>1355</v>
      </c>
      <c r="AG19" s="82" t="s">
        <v>9818</v>
      </c>
      <c r="AH19" s="82" t="s">
        <v>9802</v>
      </c>
      <c r="AI19" s="82" t="s">
        <v>9802</v>
      </c>
      <c r="AJ19" s="82" t="s">
        <v>1355</v>
      </c>
      <c r="AK19" s="82" t="s">
        <v>9803</v>
      </c>
      <c r="AL19" s="82" t="s">
        <v>1355</v>
      </c>
      <c r="AM19" s="82" t="s">
        <v>1355</v>
      </c>
    </row>
    <row r="20" hidden="1" spans="1:39">
      <c r="A20" s="82" t="s">
        <v>8163</v>
      </c>
      <c r="B20" s="82" t="str">
        <f>VLOOKUP(A20,'202304非带宽'!H:H,1,FALSE)</f>
        <v>182315IDC00135</v>
      </c>
      <c r="D20" s="82" t="s">
        <v>9781</v>
      </c>
      <c r="E20" s="82" t="s">
        <v>9782</v>
      </c>
      <c r="F20" s="82" t="s">
        <v>9894</v>
      </c>
      <c r="G20" s="82" t="s">
        <v>9784</v>
      </c>
      <c r="H20" s="82" t="s">
        <v>9785</v>
      </c>
      <c r="I20" s="82" t="s">
        <v>9786</v>
      </c>
      <c r="J20" s="82" t="s">
        <v>7585</v>
      </c>
      <c r="K20" s="82" t="s">
        <v>9787</v>
      </c>
      <c r="L20" s="82" t="s">
        <v>9788</v>
      </c>
      <c r="M20" s="82" t="s">
        <v>9789</v>
      </c>
      <c r="N20" s="82" t="s">
        <v>9790</v>
      </c>
      <c r="O20" s="82" t="s">
        <v>9904</v>
      </c>
      <c r="P20" s="82" t="s">
        <v>9905</v>
      </c>
      <c r="Q20" s="82" t="s">
        <v>9906</v>
      </c>
      <c r="R20" s="82" t="s">
        <v>9907</v>
      </c>
      <c r="S20" s="82" t="s">
        <v>1355</v>
      </c>
      <c r="T20" s="82" t="s">
        <v>9795</v>
      </c>
      <c r="U20" s="82" t="s">
        <v>1355</v>
      </c>
      <c r="V20" s="82" t="s">
        <v>1355</v>
      </c>
      <c r="W20" s="82" t="s">
        <v>9908</v>
      </c>
      <c r="X20" s="82" t="s">
        <v>9797</v>
      </c>
      <c r="Y20" s="82" t="s">
        <v>9888</v>
      </c>
      <c r="Z20" s="82" t="s">
        <v>9802</v>
      </c>
      <c r="AA20" s="82" t="s">
        <v>1355</v>
      </c>
      <c r="AB20" s="82" t="s">
        <v>9909</v>
      </c>
      <c r="AC20" s="82" t="s">
        <v>9813</v>
      </c>
      <c r="AD20" s="82" t="s">
        <v>9813</v>
      </c>
      <c r="AE20" s="82" t="s">
        <v>9802</v>
      </c>
      <c r="AF20" s="82" t="s">
        <v>1355</v>
      </c>
      <c r="AG20" s="82" t="s">
        <v>9818</v>
      </c>
      <c r="AH20" s="82" t="s">
        <v>9802</v>
      </c>
      <c r="AI20" s="82" t="s">
        <v>9802</v>
      </c>
      <c r="AJ20" s="82" t="s">
        <v>1355</v>
      </c>
      <c r="AK20" s="82" t="s">
        <v>9803</v>
      </c>
      <c r="AL20" s="82" t="s">
        <v>1355</v>
      </c>
      <c r="AM20" s="82" t="s">
        <v>1355</v>
      </c>
    </row>
    <row r="21" spans="1:39">
      <c r="A21" s="82" t="s">
        <v>9910</v>
      </c>
      <c r="B21" s="82" t="e">
        <f>VLOOKUP(A21,'202304非带宽'!H:H,1,FALSE)</f>
        <v>#N/A</v>
      </c>
      <c r="C21" s="81" t="s">
        <v>9827</v>
      </c>
      <c r="D21" s="82" t="s">
        <v>9781</v>
      </c>
      <c r="E21" s="82" t="s">
        <v>9782</v>
      </c>
      <c r="F21" s="82" t="s">
        <v>9911</v>
      </c>
      <c r="G21" s="82" t="s">
        <v>9784</v>
      </c>
      <c r="H21" s="82" t="s">
        <v>9828</v>
      </c>
      <c r="I21" s="82" t="s">
        <v>9787</v>
      </c>
      <c r="J21" s="82" t="s">
        <v>9828</v>
      </c>
      <c r="K21" s="82" t="s">
        <v>9787</v>
      </c>
      <c r="L21" s="82" t="s">
        <v>9802</v>
      </c>
      <c r="M21" s="82" t="s">
        <v>9912</v>
      </c>
      <c r="N21" s="82" t="s">
        <v>9790</v>
      </c>
      <c r="O21" s="82" t="s">
        <v>9913</v>
      </c>
      <c r="P21" s="82" t="s">
        <v>9914</v>
      </c>
      <c r="Q21" s="82" t="s">
        <v>4983</v>
      </c>
      <c r="R21" s="82" t="s">
        <v>9907</v>
      </c>
      <c r="S21" s="82" t="s">
        <v>1355</v>
      </c>
      <c r="T21" s="82" t="s">
        <v>9795</v>
      </c>
      <c r="U21" s="82" t="s">
        <v>1355</v>
      </c>
      <c r="V21" s="82" t="s">
        <v>1355</v>
      </c>
      <c r="W21" s="82" t="s">
        <v>9915</v>
      </c>
      <c r="X21" s="82" t="s">
        <v>9797</v>
      </c>
      <c r="Y21" s="82" t="s">
        <v>9869</v>
      </c>
      <c r="Z21" s="82" t="s">
        <v>9788</v>
      </c>
      <c r="AA21" s="82" t="s">
        <v>9916</v>
      </c>
      <c r="AB21" s="82" t="s">
        <v>9917</v>
      </c>
      <c r="AC21" s="82" t="s">
        <v>9834</v>
      </c>
      <c r="AD21" s="82" t="s">
        <v>9834</v>
      </c>
      <c r="AE21" s="82" t="s">
        <v>9802</v>
      </c>
      <c r="AF21" s="82" t="s">
        <v>1355</v>
      </c>
      <c r="AG21" s="82" t="s">
        <v>4867</v>
      </c>
      <c r="AH21" s="82" t="s">
        <v>9802</v>
      </c>
      <c r="AI21" s="82" t="s">
        <v>9802</v>
      </c>
      <c r="AJ21" s="82" t="s">
        <v>1355</v>
      </c>
      <c r="AK21" s="82" t="s">
        <v>9918</v>
      </c>
      <c r="AL21" s="82" t="s">
        <v>1355</v>
      </c>
      <c r="AM21" s="82" t="s">
        <v>1355</v>
      </c>
    </row>
    <row r="22" s="81" customFormat="1" spans="1:39">
      <c r="A22" s="81" t="s">
        <v>9919</v>
      </c>
      <c r="B22" s="81" t="e">
        <f>VLOOKUP(A22,'202304非带宽'!H:H,1,FALSE)</f>
        <v>#N/A</v>
      </c>
      <c r="C22" s="81" t="s">
        <v>9827</v>
      </c>
      <c r="D22" s="81" t="s">
        <v>9781</v>
      </c>
      <c r="E22" s="81" t="s">
        <v>9782</v>
      </c>
      <c r="F22" s="81" t="s">
        <v>9920</v>
      </c>
      <c r="G22" s="81" t="s">
        <v>9784</v>
      </c>
      <c r="H22" s="81" t="s">
        <v>9828</v>
      </c>
      <c r="I22" s="81" t="s">
        <v>9787</v>
      </c>
      <c r="J22" s="81" t="s">
        <v>9828</v>
      </c>
      <c r="K22" s="81" t="s">
        <v>9787</v>
      </c>
      <c r="L22" s="81" t="s">
        <v>9802</v>
      </c>
      <c r="M22" s="81" t="s">
        <v>9789</v>
      </c>
      <c r="N22" s="81" t="s">
        <v>9790</v>
      </c>
      <c r="O22" s="81" t="s">
        <v>9921</v>
      </c>
      <c r="P22" s="81" t="s">
        <v>9922</v>
      </c>
      <c r="Q22" s="81" t="s">
        <v>9923</v>
      </c>
      <c r="R22" s="81" t="s">
        <v>9924</v>
      </c>
      <c r="S22" s="81" t="s">
        <v>1355</v>
      </c>
      <c r="T22" s="81" t="s">
        <v>9795</v>
      </c>
      <c r="U22" s="81" t="s">
        <v>1355</v>
      </c>
      <c r="V22" s="81" t="s">
        <v>1355</v>
      </c>
      <c r="W22" s="81" t="s">
        <v>9833</v>
      </c>
      <c r="X22" s="81" t="s">
        <v>9797</v>
      </c>
      <c r="Y22" s="81" t="s">
        <v>9798</v>
      </c>
      <c r="Z22" s="81" t="s">
        <v>9802</v>
      </c>
      <c r="AA22" s="81" t="s">
        <v>1355</v>
      </c>
      <c r="AB22" s="81" t="s">
        <v>1355</v>
      </c>
      <c r="AC22" s="81" t="s">
        <v>9834</v>
      </c>
      <c r="AD22" s="81" t="s">
        <v>9834</v>
      </c>
      <c r="AE22" s="81" t="s">
        <v>9802</v>
      </c>
      <c r="AF22" s="81" t="s">
        <v>1355</v>
      </c>
      <c r="AG22" s="81" t="s">
        <v>4867</v>
      </c>
      <c r="AH22" s="81" t="s">
        <v>9802</v>
      </c>
      <c r="AI22" s="81" t="s">
        <v>9802</v>
      </c>
      <c r="AJ22" s="81" t="s">
        <v>1355</v>
      </c>
      <c r="AK22" s="81" t="s">
        <v>9803</v>
      </c>
      <c r="AL22" s="81" t="s">
        <v>1355</v>
      </c>
      <c r="AM22" s="81" t="s">
        <v>1355</v>
      </c>
    </row>
    <row r="23" s="81" customFormat="1" spans="1:39">
      <c r="A23" s="81" t="s">
        <v>9925</v>
      </c>
      <c r="B23" s="81" t="e">
        <f>VLOOKUP(A23,'202304非带宽'!H:H,1,FALSE)</f>
        <v>#N/A</v>
      </c>
      <c r="C23" s="81" t="s">
        <v>9926</v>
      </c>
      <c r="D23" s="81" t="s">
        <v>9781</v>
      </c>
      <c r="E23" s="81" t="s">
        <v>9782</v>
      </c>
      <c r="F23" s="81" t="s">
        <v>9927</v>
      </c>
      <c r="G23" s="81" t="s">
        <v>9784</v>
      </c>
      <c r="H23" s="81" t="s">
        <v>9819</v>
      </c>
      <c r="I23" s="81" t="s">
        <v>9786</v>
      </c>
      <c r="J23" s="81" t="s">
        <v>28</v>
      </c>
      <c r="K23" s="81" t="s">
        <v>9787</v>
      </c>
      <c r="L23" s="81" t="s">
        <v>9788</v>
      </c>
      <c r="M23" s="81" t="s">
        <v>9789</v>
      </c>
      <c r="N23" s="81" t="s">
        <v>9790</v>
      </c>
      <c r="O23" s="81" t="s">
        <v>9928</v>
      </c>
      <c r="P23" s="81" t="s">
        <v>9929</v>
      </c>
      <c r="Q23" s="81" t="s">
        <v>9930</v>
      </c>
      <c r="R23" s="81" t="s">
        <v>9931</v>
      </c>
      <c r="S23" s="81" t="s">
        <v>1355</v>
      </c>
      <c r="T23" s="81" t="s">
        <v>9795</v>
      </c>
      <c r="U23" s="81" t="s">
        <v>1355</v>
      </c>
      <c r="V23" s="81" t="s">
        <v>1355</v>
      </c>
      <c r="W23" s="81" t="s">
        <v>9932</v>
      </c>
      <c r="X23" s="81" t="s">
        <v>9797</v>
      </c>
      <c r="Y23" s="81" t="s">
        <v>9837</v>
      </c>
      <c r="Z23" s="81" t="s">
        <v>9788</v>
      </c>
      <c r="AA23" s="81" t="s">
        <v>9916</v>
      </c>
      <c r="AB23" s="81" t="s">
        <v>9933</v>
      </c>
      <c r="AC23" s="81" t="s">
        <v>9813</v>
      </c>
      <c r="AD23" s="81" t="s">
        <v>9813</v>
      </c>
      <c r="AE23" s="81" t="s">
        <v>9802</v>
      </c>
      <c r="AF23" s="81" t="s">
        <v>1355</v>
      </c>
      <c r="AG23" s="81" t="s">
        <v>4867</v>
      </c>
      <c r="AH23" s="81" t="s">
        <v>9802</v>
      </c>
      <c r="AI23" s="81" t="s">
        <v>9802</v>
      </c>
      <c r="AJ23" s="81" t="s">
        <v>1355</v>
      </c>
      <c r="AK23" s="81" t="s">
        <v>9803</v>
      </c>
      <c r="AL23" s="81" t="s">
        <v>1355</v>
      </c>
      <c r="AM23" s="81" t="s">
        <v>1355</v>
      </c>
    </row>
    <row r="24" spans="1:39">
      <c r="A24" s="82" t="s">
        <v>9934</v>
      </c>
      <c r="B24" s="82" t="e">
        <f>VLOOKUP(A24,'202304非带宽'!H:H,1,FALSE)</f>
        <v>#N/A</v>
      </c>
      <c r="C24" s="82" t="s">
        <v>9935</v>
      </c>
      <c r="D24" s="82" t="s">
        <v>9781</v>
      </c>
      <c r="E24" s="82" t="s">
        <v>9806</v>
      </c>
      <c r="F24" s="82" t="s">
        <v>9927</v>
      </c>
      <c r="G24" s="82" t="s">
        <v>9784</v>
      </c>
      <c r="H24" s="82" t="s">
        <v>9936</v>
      </c>
      <c r="I24" s="82" t="s">
        <v>9786</v>
      </c>
      <c r="J24" s="82" t="s">
        <v>7655</v>
      </c>
      <c r="K24" s="82" t="s">
        <v>9787</v>
      </c>
      <c r="L24" s="82" t="s">
        <v>9802</v>
      </c>
      <c r="M24" s="82" t="s">
        <v>9789</v>
      </c>
      <c r="N24" s="82" t="s">
        <v>9790</v>
      </c>
      <c r="O24" s="82" t="s">
        <v>9937</v>
      </c>
      <c r="P24" s="82" t="s">
        <v>9938</v>
      </c>
      <c r="Q24" s="82" t="s">
        <v>9810</v>
      </c>
      <c r="R24" s="82" t="s">
        <v>9811</v>
      </c>
      <c r="S24" s="82" t="s">
        <v>1355</v>
      </c>
      <c r="T24" s="82" t="s">
        <v>9795</v>
      </c>
      <c r="U24" s="82" t="s">
        <v>1355</v>
      </c>
      <c r="V24" s="82" t="s">
        <v>1355</v>
      </c>
      <c r="W24" s="82" t="s">
        <v>9939</v>
      </c>
      <c r="X24" s="82" t="s">
        <v>9797</v>
      </c>
      <c r="Y24" s="82" t="s">
        <v>9869</v>
      </c>
      <c r="Z24" s="82" t="s">
        <v>9802</v>
      </c>
      <c r="AA24" s="82" t="s">
        <v>1355</v>
      </c>
      <c r="AB24" s="82" t="s">
        <v>1355</v>
      </c>
      <c r="AC24" s="82" t="s">
        <v>9834</v>
      </c>
      <c r="AD24" s="82" t="s">
        <v>9834</v>
      </c>
      <c r="AE24" s="82" t="s">
        <v>9788</v>
      </c>
      <c r="AF24" s="82" t="s">
        <v>1355</v>
      </c>
      <c r="AG24" s="82" t="s">
        <v>4867</v>
      </c>
      <c r="AH24" s="82" t="s">
        <v>9802</v>
      </c>
      <c r="AI24" s="82" t="s">
        <v>9802</v>
      </c>
      <c r="AJ24" s="82" t="s">
        <v>9940</v>
      </c>
      <c r="AK24" s="82" t="s">
        <v>9803</v>
      </c>
      <c r="AL24" s="82" t="s">
        <v>1355</v>
      </c>
      <c r="AM24" s="82" t="s">
        <v>1355</v>
      </c>
    </row>
    <row r="25" hidden="1" spans="1:39">
      <c r="A25" s="82" t="s">
        <v>7304</v>
      </c>
      <c r="B25" s="82" t="str">
        <f>VLOOKUP(A25,'202304非带宽'!H:H,1,FALSE)</f>
        <v>182315IDC00128</v>
      </c>
      <c r="D25" s="82" t="s">
        <v>9781</v>
      </c>
      <c r="E25" s="82" t="s">
        <v>9782</v>
      </c>
      <c r="F25" s="82" t="s">
        <v>9941</v>
      </c>
      <c r="G25" s="82" t="s">
        <v>9784</v>
      </c>
      <c r="H25" s="82" t="s">
        <v>9785</v>
      </c>
      <c r="I25" s="82" t="s">
        <v>9786</v>
      </c>
      <c r="J25" s="82" t="s">
        <v>6301</v>
      </c>
      <c r="K25" s="82" t="s">
        <v>9787</v>
      </c>
      <c r="L25" s="82" t="s">
        <v>9788</v>
      </c>
      <c r="M25" s="82" t="s">
        <v>9789</v>
      </c>
      <c r="N25" s="82" t="s">
        <v>9790</v>
      </c>
      <c r="O25" s="82" t="s">
        <v>9942</v>
      </c>
      <c r="P25" s="82" t="s">
        <v>9943</v>
      </c>
      <c r="Q25" s="82" t="s">
        <v>9822</v>
      </c>
      <c r="R25" s="82" t="s">
        <v>9850</v>
      </c>
      <c r="S25" s="82" t="s">
        <v>1355</v>
      </c>
      <c r="T25" s="82" t="s">
        <v>9795</v>
      </c>
      <c r="U25" s="82" t="s">
        <v>1355</v>
      </c>
      <c r="V25" s="82" t="s">
        <v>1355</v>
      </c>
      <c r="W25" s="82" t="s">
        <v>9944</v>
      </c>
      <c r="X25" s="82" t="s">
        <v>9797</v>
      </c>
      <c r="Y25" s="82" t="s">
        <v>9869</v>
      </c>
      <c r="Z25" s="82" t="s">
        <v>9802</v>
      </c>
      <c r="AA25" s="82" t="s">
        <v>1355</v>
      </c>
      <c r="AB25" s="82" t="s">
        <v>9945</v>
      </c>
      <c r="AC25" s="82" t="s">
        <v>9813</v>
      </c>
      <c r="AD25" s="82" t="s">
        <v>9813</v>
      </c>
      <c r="AE25" s="82" t="s">
        <v>9802</v>
      </c>
      <c r="AF25" s="82" t="s">
        <v>1355</v>
      </c>
      <c r="AG25" s="82" t="s">
        <v>9818</v>
      </c>
      <c r="AH25" s="82" t="s">
        <v>9802</v>
      </c>
      <c r="AI25" s="82" t="s">
        <v>9802</v>
      </c>
      <c r="AJ25" s="82" t="s">
        <v>1355</v>
      </c>
      <c r="AK25" s="82" t="s">
        <v>9803</v>
      </c>
      <c r="AL25" s="82" t="s">
        <v>1355</v>
      </c>
      <c r="AM25" s="82" t="s">
        <v>1355</v>
      </c>
    </row>
    <row r="26" hidden="1" spans="1:39">
      <c r="A26" s="82" t="s">
        <v>9004</v>
      </c>
      <c r="B26" s="82" t="str">
        <f>VLOOKUP(A26,'202304非带宽'!H:H,1,FALSE)</f>
        <v>182315IDC00127</v>
      </c>
      <c r="D26" s="82" t="s">
        <v>9781</v>
      </c>
      <c r="E26" s="82" t="s">
        <v>9782</v>
      </c>
      <c r="F26" s="82" t="s">
        <v>9946</v>
      </c>
      <c r="G26" s="82" t="s">
        <v>9784</v>
      </c>
      <c r="H26" s="82" t="s">
        <v>9785</v>
      </c>
      <c r="I26" s="82" t="s">
        <v>9786</v>
      </c>
      <c r="J26" s="82" t="s">
        <v>7585</v>
      </c>
      <c r="K26" s="82" t="s">
        <v>9787</v>
      </c>
      <c r="L26" s="82" t="s">
        <v>9788</v>
      </c>
      <c r="M26" s="82" t="s">
        <v>9789</v>
      </c>
      <c r="N26" s="82" t="s">
        <v>9790</v>
      </c>
      <c r="O26" s="82" t="s">
        <v>9947</v>
      </c>
      <c r="P26" s="82" t="s">
        <v>9948</v>
      </c>
      <c r="Q26" s="82" t="s">
        <v>9793</v>
      </c>
      <c r="R26" s="82" t="s">
        <v>9949</v>
      </c>
      <c r="S26" s="82" t="s">
        <v>1355</v>
      </c>
      <c r="T26" s="82" t="s">
        <v>9795</v>
      </c>
      <c r="U26" s="82" t="s">
        <v>1355</v>
      </c>
      <c r="V26" s="82" t="s">
        <v>1355</v>
      </c>
      <c r="W26" s="82" t="s">
        <v>9950</v>
      </c>
      <c r="X26" s="82" t="s">
        <v>9797</v>
      </c>
      <c r="Y26" s="82" t="s">
        <v>9869</v>
      </c>
      <c r="Z26" s="82" t="s">
        <v>9802</v>
      </c>
      <c r="AA26" s="82" t="s">
        <v>1355</v>
      </c>
      <c r="AB26" s="82" t="s">
        <v>9951</v>
      </c>
      <c r="AC26" s="82" t="s">
        <v>9813</v>
      </c>
      <c r="AD26" s="82" t="s">
        <v>9813</v>
      </c>
      <c r="AE26" s="82" t="s">
        <v>9802</v>
      </c>
      <c r="AF26" s="82" t="s">
        <v>1355</v>
      </c>
      <c r="AG26" s="82" t="s">
        <v>9818</v>
      </c>
      <c r="AH26" s="82" t="s">
        <v>9802</v>
      </c>
      <c r="AI26" s="82" t="s">
        <v>9802</v>
      </c>
      <c r="AJ26" s="82" t="s">
        <v>1355</v>
      </c>
      <c r="AK26" s="82" t="s">
        <v>9803</v>
      </c>
      <c r="AL26" s="82" t="s">
        <v>1355</v>
      </c>
      <c r="AM26" s="82" t="s">
        <v>1355</v>
      </c>
    </row>
    <row r="27" hidden="1" spans="1:39">
      <c r="A27" s="82" t="s">
        <v>9001</v>
      </c>
      <c r="B27" s="82" t="str">
        <f>VLOOKUP(A27,'202304非带宽'!H:H,1,FALSE)</f>
        <v>182315IDC00125</v>
      </c>
      <c r="D27" s="82" t="s">
        <v>9781</v>
      </c>
      <c r="E27" s="82" t="s">
        <v>9782</v>
      </c>
      <c r="F27" s="82" t="s">
        <v>9952</v>
      </c>
      <c r="G27" s="82" t="s">
        <v>9784</v>
      </c>
      <c r="H27" s="82" t="s">
        <v>9785</v>
      </c>
      <c r="I27" s="82" t="s">
        <v>9786</v>
      </c>
      <c r="J27" s="82" t="s">
        <v>7585</v>
      </c>
      <c r="K27" s="82" t="s">
        <v>9787</v>
      </c>
      <c r="L27" s="82" t="s">
        <v>9788</v>
      </c>
      <c r="M27" s="82" t="s">
        <v>9789</v>
      </c>
      <c r="N27" s="82" t="s">
        <v>9790</v>
      </c>
      <c r="O27" s="82" t="s">
        <v>9947</v>
      </c>
      <c r="P27" s="82" t="s">
        <v>9953</v>
      </c>
      <c r="Q27" s="82" t="s">
        <v>9793</v>
      </c>
      <c r="R27" s="82" t="s">
        <v>9907</v>
      </c>
      <c r="S27" s="82" t="s">
        <v>1355</v>
      </c>
      <c r="T27" s="82" t="s">
        <v>9795</v>
      </c>
      <c r="U27" s="82" t="s">
        <v>1355</v>
      </c>
      <c r="V27" s="82" t="s">
        <v>1355</v>
      </c>
      <c r="W27" s="82" t="s">
        <v>9954</v>
      </c>
      <c r="X27" s="82" t="s">
        <v>9797</v>
      </c>
      <c r="Y27" s="82" t="s">
        <v>9869</v>
      </c>
      <c r="Z27" s="82" t="s">
        <v>9802</v>
      </c>
      <c r="AA27" s="82" t="s">
        <v>1355</v>
      </c>
      <c r="AB27" s="82" t="s">
        <v>9951</v>
      </c>
      <c r="AC27" s="82" t="s">
        <v>9813</v>
      </c>
      <c r="AD27" s="82" t="s">
        <v>9813</v>
      </c>
      <c r="AE27" s="82" t="s">
        <v>9802</v>
      </c>
      <c r="AF27" s="82" t="s">
        <v>1355</v>
      </c>
      <c r="AG27" s="82" t="s">
        <v>9818</v>
      </c>
      <c r="AH27" s="82" t="s">
        <v>9802</v>
      </c>
      <c r="AI27" s="82" t="s">
        <v>9802</v>
      </c>
      <c r="AJ27" s="82" t="s">
        <v>1355</v>
      </c>
      <c r="AK27" s="82" t="s">
        <v>9803</v>
      </c>
      <c r="AL27" s="82" t="s">
        <v>1355</v>
      </c>
      <c r="AM27" s="82" t="s">
        <v>1355</v>
      </c>
    </row>
    <row r="28" spans="1:39">
      <c r="A28" s="82" t="s">
        <v>9955</v>
      </c>
      <c r="B28" s="82" t="e">
        <f>VLOOKUP(A28,'202304非带宽'!H:H,1,FALSE)</f>
        <v>#N/A</v>
      </c>
      <c r="C28" s="81" t="s">
        <v>9827</v>
      </c>
      <c r="D28" s="82" t="s">
        <v>9781</v>
      </c>
      <c r="E28" s="82" t="s">
        <v>9782</v>
      </c>
      <c r="F28" s="82" t="s">
        <v>9952</v>
      </c>
      <c r="G28" s="82" t="s">
        <v>9784</v>
      </c>
      <c r="H28" s="82" t="s">
        <v>9828</v>
      </c>
      <c r="I28" s="82" t="s">
        <v>9787</v>
      </c>
      <c r="J28" s="82" t="s">
        <v>9828</v>
      </c>
      <c r="K28" s="82" t="s">
        <v>9787</v>
      </c>
      <c r="L28" s="82" t="s">
        <v>9802</v>
      </c>
      <c r="M28" s="82" t="s">
        <v>9789</v>
      </c>
      <c r="N28" s="82" t="s">
        <v>9790</v>
      </c>
      <c r="O28" s="82" t="s">
        <v>9956</v>
      </c>
      <c r="P28" s="82" t="s">
        <v>9957</v>
      </c>
      <c r="Q28" s="82" t="s">
        <v>9783</v>
      </c>
      <c r="R28" s="82" t="s">
        <v>9958</v>
      </c>
      <c r="S28" s="82" t="s">
        <v>1355</v>
      </c>
      <c r="T28" s="82" t="s">
        <v>9795</v>
      </c>
      <c r="U28" s="82" t="s">
        <v>1355</v>
      </c>
      <c r="V28" s="82" t="s">
        <v>1355</v>
      </c>
      <c r="W28" s="82" t="s">
        <v>9833</v>
      </c>
      <c r="X28" s="82" t="s">
        <v>9797</v>
      </c>
      <c r="Y28" s="82" t="s">
        <v>9783</v>
      </c>
      <c r="Z28" s="82" t="s">
        <v>9802</v>
      </c>
      <c r="AA28" s="82" t="s">
        <v>1355</v>
      </c>
      <c r="AB28" s="82" t="s">
        <v>1355</v>
      </c>
      <c r="AC28" s="82" t="s">
        <v>9834</v>
      </c>
      <c r="AD28" s="82" t="s">
        <v>9834</v>
      </c>
      <c r="AE28" s="82" t="s">
        <v>9802</v>
      </c>
      <c r="AF28" s="82" t="s">
        <v>1355</v>
      </c>
      <c r="AG28" s="82" t="s">
        <v>4867</v>
      </c>
      <c r="AH28" s="82" t="s">
        <v>9802</v>
      </c>
      <c r="AI28" s="82" t="s">
        <v>9802</v>
      </c>
      <c r="AJ28" s="82" t="s">
        <v>1355</v>
      </c>
      <c r="AK28" s="82" t="s">
        <v>9803</v>
      </c>
      <c r="AL28" s="82" t="s">
        <v>1355</v>
      </c>
      <c r="AM28" s="82" t="s">
        <v>1355</v>
      </c>
    </row>
    <row r="29" s="81" customFormat="1" spans="1:39">
      <c r="A29" s="81" t="s">
        <v>9959</v>
      </c>
      <c r="B29" s="81" t="e">
        <f>VLOOKUP(A29,'202304非带宽'!H:H,1,FALSE)</f>
        <v>#N/A</v>
      </c>
      <c r="C29" s="81" t="s">
        <v>9935</v>
      </c>
      <c r="D29" s="81" t="s">
        <v>9781</v>
      </c>
      <c r="E29" s="81" t="s">
        <v>9782</v>
      </c>
      <c r="F29" s="81" t="s">
        <v>9952</v>
      </c>
      <c r="G29" s="81" t="s">
        <v>9784</v>
      </c>
      <c r="H29" s="81" t="s">
        <v>9936</v>
      </c>
      <c r="I29" s="81" t="s">
        <v>9786</v>
      </c>
      <c r="J29" s="81" t="s">
        <v>7655</v>
      </c>
      <c r="K29" s="81" t="s">
        <v>9787</v>
      </c>
      <c r="L29" s="81" t="s">
        <v>9788</v>
      </c>
      <c r="M29" s="81" t="s">
        <v>9960</v>
      </c>
      <c r="N29" s="81" t="s">
        <v>9790</v>
      </c>
      <c r="O29" s="81" t="s">
        <v>9961</v>
      </c>
      <c r="P29" s="81" t="s">
        <v>9962</v>
      </c>
      <c r="Q29" s="81" t="s">
        <v>9810</v>
      </c>
      <c r="R29" s="81" t="s">
        <v>9963</v>
      </c>
      <c r="S29" s="81" t="s">
        <v>1355</v>
      </c>
      <c r="T29" s="81" t="s">
        <v>9795</v>
      </c>
      <c r="U29" s="81" t="s">
        <v>1355</v>
      </c>
      <c r="V29" s="81" t="s">
        <v>1355</v>
      </c>
      <c r="W29" s="81" t="s">
        <v>9841</v>
      </c>
      <c r="X29" s="81" t="s">
        <v>9797</v>
      </c>
      <c r="Y29" s="81" t="s">
        <v>9837</v>
      </c>
      <c r="Z29" s="81" t="s">
        <v>9802</v>
      </c>
      <c r="AA29" s="81" t="s">
        <v>1355</v>
      </c>
      <c r="AB29" s="81" t="s">
        <v>1355</v>
      </c>
      <c r="AC29" s="81" t="s">
        <v>9834</v>
      </c>
      <c r="AD29" s="81" t="s">
        <v>9834</v>
      </c>
      <c r="AE29" s="81" t="s">
        <v>9802</v>
      </c>
      <c r="AF29" s="81" t="s">
        <v>1355</v>
      </c>
      <c r="AG29" s="81" t="s">
        <v>4867</v>
      </c>
      <c r="AH29" s="81" t="s">
        <v>9802</v>
      </c>
      <c r="AI29" s="81" t="s">
        <v>9802</v>
      </c>
      <c r="AJ29" s="81" t="s">
        <v>1355</v>
      </c>
      <c r="AK29" s="81" t="s">
        <v>9803</v>
      </c>
      <c r="AL29" s="81" t="s">
        <v>1355</v>
      </c>
      <c r="AM29" s="81" t="s">
        <v>1355</v>
      </c>
    </row>
    <row r="30" hidden="1" spans="1:39">
      <c r="A30" s="82" t="s">
        <v>8813</v>
      </c>
      <c r="B30" s="82" t="str">
        <f>VLOOKUP(A30,'202304非带宽'!H:H,1,FALSE)</f>
        <v>182315IDC00123</v>
      </c>
      <c r="D30" s="82" t="s">
        <v>9781</v>
      </c>
      <c r="E30" s="82" t="s">
        <v>9782</v>
      </c>
      <c r="F30" s="82" t="s">
        <v>9952</v>
      </c>
      <c r="G30" s="82" t="s">
        <v>9784</v>
      </c>
      <c r="H30" s="82" t="s">
        <v>9785</v>
      </c>
      <c r="I30" s="82" t="s">
        <v>9786</v>
      </c>
      <c r="J30" s="82" t="s">
        <v>7655</v>
      </c>
      <c r="K30" s="82" t="s">
        <v>9787</v>
      </c>
      <c r="L30" s="82" t="s">
        <v>9788</v>
      </c>
      <c r="M30" s="82" t="s">
        <v>9789</v>
      </c>
      <c r="N30" s="82" t="s">
        <v>9790</v>
      </c>
      <c r="O30" s="82" t="s">
        <v>9964</v>
      </c>
      <c r="P30" s="82" t="s">
        <v>9965</v>
      </c>
      <c r="Q30" s="82" t="s">
        <v>9822</v>
      </c>
      <c r="R30" s="82" t="s">
        <v>9794</v>
      </c>
      <c r="S30" s="82" t="s">
        <v>1355</v>
      </c>
      <c r="T30" s="82" t="s">
        <v>9795</v>
      </c>
      <c r="U30" s="82" t="s">
        <v>1355</v>
      </c>
      <c r="V30" s="82" t="s">
        <v>1355</v>
      </c>
      <c r="W30" s="82" t="s">
        <v>9966</v>
      </c>
      <c r="X30" s="82" t="s">
        <v>9797</v>
      </c>
      <c r="Y30" s="82" t="s">
        <v>9869</v>
      </c>
      <c r="Z30" s="82" t="s">
        <v>9802</v>
      </c>
      <c r="AA30" s="82" t="s">
        <v>1355</v>
      </c>
      <c r="AB30" s="82" t="s">
        <v>1355</v>
      </c>
      <c r="AC30" s="82" t="s">
        <v>9813</v>
      </c>
      <c r="AD30" s="82" t="s">
        <v>9813</v>
      </c>
      <c r="AE30" s="82" t="s">
        <v>9802</v>
      </c>
      <c r="AF30" s="82" t="s">
        <v>1355</v>
      </c>
      <c r="AG30" s="82" t="s">
        <v>4867</v>
      </c>
      <c r="AH30" s="82" t="s">
        <v>9802</v>
      </c>
      <c r="AI30" s="82" t="s">
        <v>9802</v>
      </c>
      <c r="AJ30" s="82" t="s">
        <v>1355</v>
      </c>
      <c r="AK30" s="82" t="s">
        <v>9803</v>
      </c>
      <c r="AL30" s="82" t="s">
        <v>1355</v>
      </c>
      <c r="AM30" s="82" t="s">
        <v>1355</v>
      </c>
    </row>
    <row r="31" spans="1:39">
      <c r="A31" s="82" t="s">
        <v>9933</v>
      </c>
      <c r="B31" s="82" t="e">
        <f>VLOOKUP(A31,'202304非带宽'!H:H,1,FALSE)</f>
        <v>#N/A</v>
      </c>
      <c r="C31" s="81" t="s">
        <v>9805</v>
      </c>
      <c r="D31" s="82" t="s">
        <v>9781</v>
      </c>
      <c r="E31" s="82" t="s">
        <v>9806</v>
      </c>
      <c r="F31" s="82" t="s">
        <v>9967</v>
      </c>
      <c r="G31" s="82" t="s">
        <v>9784</v>
      </c>
      <c r="H31" s="82" t="s">
        <v>9819</v>
      </c>
      <c r="I31" s="82" t="s">
        <v>9786</v>
      </c>
      <c r="J31" s="82" t="s">
        <v>28</v>
      </c>
      <c r="K31" s="82" t="s">
        <v>9787</v>
      </c>
      <c r="L31" s="82" t="s">
        <v>9788</v>
      </c>
      <c r="M31" s="82" t="s">
        <v>9789</v>
      </c>
      <c r="N31" s="82" t="s">
        <v>9790</v>
      </c>
      <c r="O31" s="82" t="s">
        <v>9928</v>
      </c>
      <c r="P31" s="82" t="s">
        <v>9968</v>
      </c>
      <c r="Q31" s="82" t="s">
        <v>9930</v>
      </c>
      <c r="R31" s="82" t="s">
        <v>9931</v>
      </c>
      <c r="S31" s="82" t="s">
        <v>1355</v>
      </c>
      <c r="T31" s="82" t="s">
        <v>6901</v>
      </c>
      <c r="U31" s="82" t="s">
        <v>1355</v>
      </c>
      <c r="V31" s="82" t="s">
        <v>1355</v>
      </c>
      <c r="W31" s="82" t="s">
        <v>1355</v>
      </c>
      <c r="X31" s="82" t="s">
        <v>1355</v>
      </c>
      <c r="Y31" s="82" t="s">
        <v>9837</v>
      </c>
      <c r="Z31" s="82" t="s">
        <v>9802</v>
      </c>
      <c r="AA31" s="82" t="s">
        <v>1355</v>
      </c>
      <c r="AB31" s="82" t="s">
        <v>1355</v>
      </c>
      <c r="AC31" s="82" t="s">
        <v>9813</v>
      </c>
      <c r="AD31" s="82" t="s">
        <v>9813</v>
      </c>
      <c r="AE31" s="82" t="s">
        <v>9788</v>
      </c>
      <c r="AF31" s="82" t="s">
        <v>1355</v>
      </c>
      <c r="AG31" s="82" t="s">
        <v>4867</v>
      </c>
      <c r="AH31" s="82" t="s">
        <v>9802</v>
      </c>
      <c r="AI31" s="82" t="s">
        <v>9802</v>
      </c>
      <c r="AJ31" s="82" t="s">
        <v>9814</v>
      </c>
      <c r="AK31" s="82" t="s">
        <v>9803</v>
      </c>
      <c r="AL31" s="82" t="s">
        <v>1355</v>
      </c>
      <c r="AM31" s="82" t="s">
        <v>1355</v>
      </c>
    </row>
    <row r="32" spans="1:39">
      <c r="A32" s="82" t="s">
        <v>9969</v>
      </c>
      <c r="B32" s="82" t="e">
        <f>VLOOKUP(A32,'202304非带宽'!H:H,1,FALSE)</f>
        <v>#N/A</v>
      </c>
      <c r="C32" s="81" t="s">
        <v>9827</v>
      </c>
      <c r="D32" s="82" t="s">
        <v>9781</v>
      </c>
      <c r="E32" s="82" t="s">
        <v>9782</v>
      </c>
      <c r="F32" s="82" t="s">
        <v>9970</v>
      </c>
      <c r="G32" s="82" t="s">
        <v>9784</v>
      </c>
      <c r="H32" s="82" t="s">
        <v>9828</v>
      </c>
      <c r="I32" s="82" t="s">
        <v>9787</v>
      </c>
      <c r="J32" s="82" t="s">
        <v>9828</v>
      </c>
      <c r="K32" s="82" t="s">
        <v>9787</v>
      </c>
      <c r="L32" s="82" t="s">
        <v>9802</v>
      </c>
      <c r="M32" s="82" t="s">
        <v>9971</v>
      </c>
      <c r="N32" s="82" t="s">
        <v>9790</v>
      </c>
      <c r="O32" s="82" t="s">
        <v>9972</v>
      </c>
      <c r="P32" s="82" t="s">
        <v>9973</v>
      </c>
      <c r="Q32" s="82" t="s">
        <v>9810</v>
      </c>
      <c r="R32" s="82" t="s">
        <v>9974</v>
      </c>
      <c r="S32" s="82" t="s">
        <v>1355</v>
      </c>
      <c r="T32" s="82" t="s">
        <v>9795</v>
      </c>
      <c r="U32" s="82" t="s">
        <v>1355</v>
      </c>
      <c r="V32" s="82" t="s">
        <v>1355</v>
      </c>
      <c r="W32" s="82" t="s">
        <v>9833</v>
      </c>
      <c r="X32" s="82" t="s">
        <v>9797</v>
      </c>
      <c r="Y32" s="82" t="s">
        <v>9869</v>
      </c>
      <c r="Z32" s="82" t="s">
        <v>9788</v>
      </c>
      <c r="AA32" s="82" t="s">
        <v>9975</v>
      </c>
      <c r="AB32" s="82" t="s">
        <v>9976</v>
      </c>
      <c r="AC32" s="82" t="s">
        <v>9834</v>
      </c>
      <c r="AD32" s="82" t="s">
        <v>9834</v>
      </c>
      <c r="AE32" s="82" t="s">
        <v>9802</v>
      </c>
      <c r="AF32" s="82" t="s">
        <v>1355</v>
      </c>
      <c r="AG32" s="82" t="s">
        <v>4867</v>
      </c>
      <c r="AH32" s="82" t="s">
        <v>9802</v>
      </c>
      <c r="AI32" s="82" t="s">
        <v>9802</v>
      </c>
      <c r="AJ32" s="82" t="s">
        <v>1355</v>
      </c>
      <c r="AK32" s="82" t="s">
        <v>9803</v>
      </c>
      <c r="AL32" s="82" t="s">
        <v>1355</v>
      </c>
      <c r="AM32" s="82" t="s">
        <v>1355</v>
      </c>
    </row>
    <row r="33" hidden="1" spans="1:39">
      <c r="A33" s="82" t="s">
        <v>9585</v>
      </c>
      <c r="B33" s="82" t="str">
        <f>VLOOKUP(A33,'202304非带宽'!H:H,1,FALSE)</f>
        <v>182315IDC00117</v>
      </c>
      <c r="D33" s="82" t="s">
        <v>9781</v>
      </c>
      <c r="E33" s="82" t="s">
        <v>9782</v>
      </c>
      <c r="F33" s="82" t="s">
        <v>9970</v>
      </c>
      <c r="G33" s="82" t="s">
        <v>9784</v>
      </c>
      <c r="H33" s="82" t="s">
        <v>9785</v>
      </c>
      <c r="I33" s="82" t="s">
        <v>9786</v>
      </c>
      <c r="J33" s="82" t="s">
        <v>642</v>
      </c>
      <c r="K33" s="82" t="s">
        <v>9787</v>
      </c>
      <c r="L33" s="82" t="s">
        <v>9788</v>
      </c>
      <c r="M33" s="82" t="s">
        <v>9789</v>
      </c>
      <c r="N33" s="82" t="s">
        <v>9790</v>
      </c>
      <c r="O33" s="82" t="s">
        <v>9977</v>
      </c>
      <c r="P33" s="82" t="s">
        <v>9978</v>
      </c>
      <c r="Q33" s="82" t="s">
        <v>9822</v>
      </c>
      <c r="R33" s="82" t="s">
        <v>9850</v>
      </c>
      <c r="S33" s="82" t="s">
        <v>1355</v>
      </c>
      <c r="T33" s="82" t="s">
        <v>9795</v>
      </c>
      <c r="U33" s="82" t="s">
        <v>1355</v>
      </c>
      <c r="V33" s="82" t="s">
        <v>1355</v>
      </c>
      <c r="W33" s="82" t="s">
        <v>9979</v>
      </c>
      <c r="X33" s="82" t="s">
        <v>9797</v>
      </c>
      <c r="Y33" s="82" t="s">
        <v>9837</v>
      </c>
      <c r="Z33" s="82" t="s">
        <v>9802</v>
      </c>
      <c r="AA33" s="82" t="s">
        <v>1355</v>
      </c>
      <c r="AB33" s="82" t="s">
        <v>9980</v>
      </c>
      <c r="AC33" s="82" t="s">
        <v>9813</v>
      </c>
      <c r="AD33" s="82" t="s">
        <v>9813</v>
      </c>
      <c r="AE33" s="82" t="s">
        <v>9802</v>
      </c>
      <c r="AF33" s="82" t="s">
        <v>1355</v>
      </c>
      <c r="AG33" s="82" t="s">
        <v>9818</v>
      </c>
      <c r="AH33" s="82" t="s">
        <v>9802</v>
      </c>
      <c r="AI33" s="82" t="s">
        <v>9802</v>
      </c>
      <c r="AJ33" s="82" t="s">
        <v>1355</v>
      </c>
      <c r="AK33" s="82" t="s">
        <v>9803</v>
      </c>
      <c r="AL33" s="82" t="s">
        <v>1355</v>
      </c>
      <c r="AM33" s="82" t="s">
        <v>1355</v>
      </c>
    </row>
    <row r="34" hidden="1" spans="1:39">
      <c r="A34" s="82" t="s">
        <v>1899</v>
      </c>
      <c r="B34" s="82" t="str">
        <f>VLOOKUP(A34,'202304非带宽'!H:H,1,FALSE)</f>
        <v>182315IDC00116</v>
      </c>
      <c r="D34" s="82" t="s">
        <v>9781</v>
      </c>
      <c r="E34" s="82" t="s">
        <v>9782</v>
      </c>
      <c r="F34" s="82" t="s">
        <v>9970</v>
      </c>
      <c r="G34" s="82" t="s">
        <v>9784</v>
      </c>
      <c r="H34" s="82" t="s">
        <v>9819</v>
      </c>
      <c r="I34" s="82" t="s">
        <v>9786</v>
      </c>
      <c r="J34" s="82" t="s">
        <v>9981</v>
      </c>
      <c r="K34" s="82" t="s">
        <v>9787</v>
      </c>
      <c r="L34" s="82" t="s">
        <v>9788</v>
      </c>
      <c r="M34" s="82" t="s">
        <v>9789</v>
      </c>
      <c r="N34" s="82" t="s">
        <v>9790</v>
      </c>
      <c r="O34" s="82" t="s">
        <v>9982</v>
      </c>
      <c r="P34" s="82" t="s">
        <v>9983</v>
      </c>
      <c r="Q34" s="82" t="s">
        <v>9793</v>
      </c>
      <c r="R34" s="82" t="s">
        <v>9886</v>
      </c>
      <c r="S34" s="82" t="s">
        <v>1355</v>
      </c>
      <c r="T34" s="82" t="s">
        <v>9795</v>
      </c>
      <c r="U34" s="82" t="s">
        <v>1355</v>
      </c>
      <c r="V34" s="82" t="s">
        <v>1355</v>
      </c>
      <c r="W34" s="82" t="s">
        <v>9984</v>
      </c>
      <c r="X34" s="82" t="s">
        <v>9797</v>
      </c>
      <c r="Y34" s="82" t="s">
        <v>9952</v>
      </c>
      <c r="Z34" s="82" t="s">
        <v>9802</v>
      </c>
      <c r="AA34" s="82" t="s">
        <v>1355</v>
      </c>
      <c r="AB34" s="82" t="s">
        <v>1355</v>
      </c>
      <c r="AC34" s="82" t="s">
        <v>9985</v>
      </c>
      <c r="AD34" s="82" t="s">
        <v>9985</v>
      </c>
      <c r="AE34" s="82" t="s">
        <v>9802</v>
      </c>
      <c r="AF34" s="82" t="s">
        <v>1355</v>
      </c>
      <c r="AG34" s="82" t="s">
        <v>4867</v>
      </c>
      <c r="AH34" s="82" t="s">
        <v>9802</v>
      </c>
      <c r="AI34" s="82" t="s">
        <v>9802</v>
      </c>
      <c r="AJ34" s="82" t="s">
        <v>1355</v>
      </c>
      <c r="AK34" s="82" t="s">
        <v>9803</v>
      </c>
      <c r="AL34" s="82" t="s">
        <v>1355</v>
      </c>
      <c r="AM34" s="82" t="s">
        <v>1355</v>
      </c>
    </row>
    <row r="35" hidden="1" spans="1:39">
      <c r="A35" s="82" t="s">
        <v>9696</v>
      </c>
      <c r="B35" s="82" t="str">
        <f>VLOOKUP(A35,'202304非带宽'!H:H,1,FALSE)</f>
        <v>182315IDC00118</v>
      </c>
      <c r="D35" s="82" t="s">
        <v>9781</v>
      </c>
      <c r="E35" s="82" t="s">
        <v>9782</v>
      </c>
      <c r="F35" s="82" t="s">
        <v>9970</v>
      </c>
      <c r="G35" s="82" t="s">
        <v>9784</v>
      </c>
      <c r="H35" s="82" t="s">
        <v>9785</v>
      </c>
      <c r="I35" s="82" t="s">
        <v>9786</v>
      </c>
      <c r="J35" s="82" t="s">
        <v>642</v>
      </c>
      <c r="K35" s="82" t="s">
        <v>9787</v>
      </c>
      <c r="L35" s="82" t="s">
        <v>9788</v>
      </c>
      <c r="M35" s="82" t="s">
        <v>9789</v>
      </c>
      <c r="N35" s="82" t="s">
        <v>9790</v>
      </c>
      <c r="O35" s="82" t="s">
        <v>9986</v>
      </c>
      <c r="P35" s="82" t="s">
        <v>9987</v>
      </c>
      <c r="Q35" s="82" t="s">
        <v>9822</v>
      </c>
      <c r="R35" s="82" t="s">
        <v>9850</v>
      </c>
      <c r="S35" s="82" t="s">
        <v>1355</v>
      </c>
      <c r="T35" s="82" t="s">
        <v>9795</v>
      </c>
      <c r="U35" s="82" t="s">
        <v>1355</v>
      </c>
      <c r="V35" s="82" t="s">
        <v>1355</v>
      </c>
      <c r="W35" s="82" t="s">
        <v>9988</v>
      </c>
      <c r="X35" s="82" t="s">
        <v>9797</v>
      </c>
      <c r="Y35" s="82" t="s">
        <v>9837</v>
      </c>
      <c r="Z35" s="82" t="s">
        <v>9802</v>
      </c>
      <c r="AA35" s="82" t="s">
        <v>1355</v>
      </c>
      <c r="AB35" s="82" t="s">
        <v>9989</v>
      </c>
      <c r="AC35" s="82" t="s">
        <v>9813</v>
      </c>
      <c r="AD35" s="82" t="s">
        <v>9813</v>
      </c>
      <c r="AE35" s="82" t="s">
        <v>9802</v>
      </c>
      <c r="AF35" s="82" t="s">
        <v>1355</v>
      </c>
      <c r="AG35" s="82" t="s">
        <v>9818</v>
      </c>
      <c r="AH35" s="82" t="s">
        <v>9802</v>
      </c>
      <c r="AI35" s="82" t="s">
        <v>9802</v>
      </c>
      <c r="AJ35" s="82" t="s">
        <v>1355</v>
      </c>
      <c r="AK35" s="82" t="s">
        <v>9803</v>
      </c>
      <c r="AL35" s="82" t="s">
        <v>1355</v>
      </c>
      <c r="AM35" s="82" t="s">
        <v>1355</v>
      </c>
    </row>
    <row r="36" spans="1:39">
      <c r="A36" s="82" t="s">
        <v>9990</v>
      </c>
      <c r="B36" s="82" t="e">
        <f>VLOOKUP(A36,'202304非带宽'!H:H,1,FALSE)</f>
        <v>#N/A</v>
      </c>
      <c r="C36" s="81" t="s">
        <v>9827</v>
      </c>
      <c r="D36" s="82" t="s">
        <v>9781</v>
      </c>
      <c r="E36" s="82" t="s">
        <v>9782</v>
      </c>
      <c r="F36" s="82" t="s">
        <v>9970</v>
      </c>
      <c r="G36" s="82" t="s">
        <v>9784</v>
      </c>
      <c r="H36" s="82" t="s">
        <v>9828</v>
      </c>
      <c r="I36" s="82" t="s">
        <v>9787</v>
      </c>
      <c r="J36" s="82" t="s">
        <v>9828</v>
      </c>
      <c r="K36" s="82" t="s">
        <v>9787</v>
      </c>
      <c r="L36" s="82" t="s">
        <v>9802</v>
      </c>
      <c r="M36" s="82" t="s">
        <v>9789</v>
      </c>
      <c r="N36" s="82" t="s">
        <v>9790</v>
      </c>
      <c r="O36" s="82" t="s">
        <v>9972</v>
      </c>
      <c r="P36" s="82" t="s">
        <v>9991</v>
      </c>
      <c r="Q36" s="82" t="s">
        <v>9831</v>
      </c>
      <c r="R36" s="82" t="s">
        <v>9891</v>
      </c>
      <c r="S36" s="82" t="s">
        <v>1355</v>
      </c>
      <c r="T36" s="82" t="s">
        <v>9795</v>
      </c>
      <c r="U36" s="82" t="s">
        <v>1355</v>
      </c>
      <c r="V36" s="82" t="s">
        <v>1355</v>
      </c>
      <c r="W36" s="82" t="s">
        <v>9833</v>
      </c>
      <c r="X36" s="82" t="s">
        <v>9797</v>
      </c>
      <c r="Y36" s="82" t="s">
        <v>9869</v>
      </c>
      <c r="Z36" s="82" t="s">
        <v>9788</v>
      </c>
      <c r="AA36" s="82" t="s">
        <v>9867</v>
      </c>
      <c r="AB36" s="82" t="s">
        <v>9992</v>
      </c>
      <c r="AC36" s="82" t="s">
        <v>9834</v>
      </c>
      <c r="AD36" s="82" t="s">
        <v>9834</v>
      </c>
      <c r="AE36" s="82" t="s">
        <v>9802</v>
      </c>
      <c r="AF36" s="82" t="s">
        <v>1355</v>
      </c>
      <c r="AG36" s="82" t="s">
        <v>4867</v>
      </c>
      <c r="AH36" s="82" t="s">
        <v>9802</v>
      </c>
      <c r="AI36" s="82" t="s">
        <v>9802</v>
      </c>
      <c r="AJ36" s="82" t="s">
        <v>1355</v>
      </c>
      <c r="AK36" s="82" t="s">
        <v>9803</v>
      </c>
      <c r="AL36" s="82" t="s">
        <v>1355</v>
      </c>
      <c r="AM36" s="82" t="s">
        <v>1355</v>
      </c>
    </row>
    <row r="37" spans="1:39">
      <c r="A37" s="82" t="s">
        <v>9993</v>
      </c>
      <c r="B37" s="82" t="e">
        <f>VLOOKUP(A37,'202304非带宽'!H:H,1,FALSE)</f>
        <v>#N/A</v>
      </c>
      <c r="C37" s="82" t="s">
        <v>9862</v>
      </c>
      <c r="D37" s="82" t="s">
        <v>9781</v>
      </c>
      <c r="E37" s="82" t="s">
        <v>9782</v>
      </c>
      <c r="F37" s="82" t="s">
        <v>9831</v>
      </c>
      <c r="G37" s="82" t="s">
        <v>9784</v>
      </c>
      <c r="H37" s="82" t="s">
        <v>9819</v>
      </c>
      <c r="I37" s="82" t="s">
        <v>9786</v>
      </c>
      <c r="J37" s="82" t="s">
        <v>9863</v>
      </c>
      <c r="K37" s="82" t="s">
        <v>9787</v>
      </c>
      <c r="L37" s="82" t="s">
        <v>9788</v>
      </c>
      <c r="M37" s="82" t="s">
        <v>9789</v>
      </c>
      <c r="N37" s="82" t="s">
        <v>9790</v>
      </c>
      <c r="O37" s="82" t="s">
        <v>9994</v>
      </c>
      <c r="P37" s="82" t="s">
        <v>9995</v>
      </c>
      <c r="Q37" s="82" t="s">
        <v>9822</v>
      </c>
      <c r="R37" s="82" t="s">
        <v>9794</v>
      </c>
      <c r="S37" s="82" t="s">
        <v>1355</v>
      </c>
      <c r="T37" s="82" t="s">
        <v>9795</v>
      </c>
      <c r="U37" s="82" t="s">
        <v>1355</v>
      </c>
      <c r="V37" s="82" t="s">
        <v>1355</v>
      </c>
      <c r="W37" s="82" t="s">
        <v>9996</v>
      </c>
      <c r="X37" s="82" t="s">
        <v>9797</v>
      </c>
      <c r="Y37" s="82" t="s">
        <v>9911</v>
      </c>
      <c r="Z37" s="82" t="s">
        <v>9788</v>
      </c>
      <c r="AA37" s="82" t="s">
        <v>9898</v>
      </c>
      <c r="AB37" s="82" t="s">
        <v>9997</v>
      </c>
      <c r="AC37" s="82" t="s">
        <v>9813</v>
      </c>
      <c r="AD37" s="82" t="s">
        <v>9813</v>
      </c>
      <c r="AE37" s="82" t="s">
        <v>9802</v>
      </c>
      <c r="AF37" s="82" t="s">
        <v>1355</v>
      </c>
      <c r="AG37" s="82" t="s">
        <v>4867</v>
      </c>
      <c r="AH37" s="82" t="s">
        <v>9802</v>
      </c>
      <c r="AI37" s="82" t="s">
        <v>9802</v>
      </c>
      <c r="AJ37" s="82" t="s">
        <v>1355</v>
      </c>
      <c r="AK37" s="82" t="s">
        <v>9803</v>
      </c>
      <c r="AL37" s="82" t="s">
        <v>1355</v>
      </c>
      <c r="AM37" s="82" t="s">
        <v>1355</v>
      </c>
    </row>
    <row r="38" hidden="1" spans="1:39">
      <c r="A38" s="82" t="s">
        <v>2465</v>
      </c>
      <c r="B38" s="82" t="str">
        <f>VLOOKUP(A38,'202304非带宽'!H:H,1,FALSE)</f>
        <v>182315IDC00113</v>
      </c>
      <c r="D38" s="82" t="s">
        <v>9781</v>
      </c>
      <c r="E38" s="82" t="s">
        <v>9782</v>
      </c>
      <c r="F38" s="82" t="s">
        <v>9998</v>
      </c>
      <c r="G38" s="82" t="s">
        <v>9784</v>
      </c>
      <c r="H38" s="82" t="s">
        <v>9819</v>
      </c>
      <c r="I38" s="82" t="s">
        <v>9786</v>
      </c>
      <c r="J38" s="82" t="s">
        <v>951</v>
      </c>
      <c r="K38" s="82" t="s">
        <v>9787</v>
      </c>
      <c r="L38" s="82" t="s">
        <v>9788</v>
      </c>
      <c r="M38" s="82" t="s">
        <v>9789</v>
      </c>
      <c r="N38" s="82" t="s">
        <v>9790</v>
      </c>
      <c r="O38" s="82" t="s">
        <v>9999</v>
      </c>
      <c r="P38" s="82" t="s">
        <v>10000</v>
      </c>
      <c r="Q38" s="82" t="s">
        <v>10001</v>
      </c>
      <c r="R38" s="82" t="s">
        <v>9850</v>
      </c>
      <c r="S38" s="82" t="s">
        <v>1355</v>
      </c>
      <c r="T38" s="82" t="s">
        <v>9795</v>
      </c>
      <c r="U38" s="82" t="s">
        <v>1355</v>
      </c>
      <c r="V38" s="82" t="s">
        <v>1355</v>
      </c>
      <c r="W38" s="82" t="s">
        <v>10002</v>
      </c>
      <c r="X38" s="82" t="s">
        <v>9797</v>
      </c>
      <c r="Y38" s="82" t="s">
        <v>9967</v>
      </c>
      <c r="Z38" s="82" t="s">
        <v>9802</v>
      </c>
      <c r="AA38" s="82" t="s">
        <v>1355</v>
      </c>
      <c r="AB38" s="82" t="s">
        <v>9825</v>
      </c>
      <c r="AC38" s="82" t="s">
        <v>9813</v>
      </c>
      <c r="AD38" s="82" t="s">
        <v>9813</v>
      </c>
      <c r="AE38" s="82" t="s">
        <v>9802</v>
      </c>
      <c r="AF38" s="82" t="s">
        <v>1355</v>
      </c>
      <c r="AG38" s="82" t="s">
        <v>9818</v>
      </c>
      <c r="AH38" s="82" t="s">
        <v>9802</v>
      </c>
      <c r="AI38" s="82" t="s">
        <v>9802</v>
      </c>
      <c r="AJ38" s="82" t="s">
        <v>1355</v>
      </c>
      <c r="AK38" s="82" t="s">
        <v>9803</v>
      </c>
      <c r="AL38" s="82" t="s">
        <v>1355</v>
      </c>
      <c r="AM38" s="82" t="s">
        <v>1355</v>
      </c>
    </row>
    <row r="39" hidden="1" spans="1:39">
      <c r="A39" s="82" t="s">
        <v>9003</v>
      </c>
      <c r="B39" s="82" t="str">
        <f>VLOOKUP(A39,'202304非带宽'!H:H,1,FALSE)</f>
        <v>182315IDC00108</v>
      </c>
      <c r="D39" s="82" t="s">
        <v>9781</v>
      </c>
      <c r="E39" s="82" t="s">
        <v>9782</v>
      </c>
      <c r="F39" s="82" t="s">
        <v>10003</v>
      </c>
      <c r="G39" s="82" t="s">
        <v>9784</v>
      </c>
      <c r="H39" s="82" t="s">
        <v>9785</v>
      </c>
      <c r="I39" s="82" t="s">
        <v>9786</v>
      </c>
      <c r="J39" s="82" t="s">
        <v>7585</v>
      </c>
      <c r="K39" s="82" t="s">
        <v>9787</v>
      </c>
      <c r="L39" s="82" t="s">
        <v>9788</v>
      </c>
      <c r="M39" s="82" t="s">
        <v>9789</v>
      </c>
      <c r="N39" s="82" t="s">
        <v>9790</v>
      </c>
      <c r="O39" s="82" t="s">
        <v>9947</v>
      </c>
      <c r="P39" s="82" t="s">
        <v>10004</v>
      </c>
      <c r="Q39" s="82" t="s">
        <v>9793</v>
      </c>
      <c r="R39" s="82" t="s">
        <v>9907</v>
      </c>
      <c r="S39" s="82" t="s">
        <v>1355</v>
      </c>
      <c r="T39" s="82" t="s">
        <v>9795</v>
      </c>
      <c r="U39" s="82" t="s">
        <v>1355</v>
      </c>
      <c r="V39" s="82" t="s">
        <v>1355</v>
      </c>
      <c r="W39" s="82" t="s">
        <v>10005</v>
      </c>
      <c r="X39" s="82" t="s">
        <v>9797</v>
      </c>
      <c r="Y39" s="82" t="s">
        <v>9869</v>
      </c>
      <c r="Z39" s="82" t="s">
        <v>9802</v>
      </c>
      <c r="AA39" s="82" t="s">
        <v>1355</v>
      </c>
      <c r="AB39" s="82" t="s">
        <v>9951</v>
      </c>
      <c r="AC39" s="82" t="s">
        <v>9813</v>
      </c>
      <c r="AD39" s="82" t="s">
        <v>9813</v>
      </c>
      <c r="AE39" s="82" t="s">
        <v>9802</v>
      </c>
      <c r="AF39" s="82" t="s">
        <v>1355</v>
      </c>
      <c r="AG39" s="82" t="s">
        <v>9818</v>
      </c>
      <c r="AH39" s="82" t="s">
        <v>9802</v>
      </c>
      <c r="AI39" s="82" t="s">
        <v>9802</v>
      </c>
      <c r="AJ39" s="82" t="s">
        <v>1355</v>
      </c>
      <c r="AK39" s="82" t="s">
        <v>9803</v>
      </c>
      <c r="AL39" s="82" t="s">
        <v>1355</v>
      </c>
      <c r="AM39" s="82" t="s">
        <v>1355</v>
      </c>
    </row>
    <row r="40" spans="1:39">
      <c r="A40" s="82" t="s">
        <v>10006</v>
      </c>
      <c r="B40" s="82" t="e">
        <f>VLOOKUP(A40,'202304非带宽'!H:H,1,FALSE)</f>
        <v>#N/A</v>
      </c>
      <c r="C40" s="82" t="s">
        <v>9862</v>
      </c>
      <c r="D40" s="82" t="s">
        <v>9781</v>
      </c>
      <c r="E40" s="82" t="s">
        <v>9782</v>
      </c>
      <c r="F40" s="82" t="s">
        <v>10007</v>
      </c>
      <c r="G40" s="82" t="s">
        <v>9784</v>
      </c>
      <c r="H40" s="82" t="s">
        <v>9819</v>
      </c>
      <c r="I40" s="82" t="s">
        <v>9786</v>
      </c>
      <c r="J40" s="82" t="s">
        <v>9863</v>
      </c>
      <c r="K40" s="82" t="s">
        <v>9787</v>
      </c>
      <c r="L40" s="82" t="s">
        <v>9788</v>
      </c>
      <c r="M40" s="82" t="s">
        <v>9789</v>
      </c>
      <c r="N40" s="82" t="s">
        <v>9790</v>
      </c>
      <c r="O40" s="82" t="s">
        <v>10008</v>
      </c>
      <c r="P40" s="82" t="s">
        <v>10009</v>
      </c>
      <c r="Q40" s="82" t="s">
        <v>10010</v>
      </c>
      <c r="R40" s="82" t="s">
        <v>10011</v>
      </c>
      <c r="S40" s="82" t="s">
        <v>1355</v>
      </c>
      <c r="T40" s="82" t="s">
        <v>9795</v>
      </c>
      <c r="U40" s="82" t="s">
        <v>1355</v>
      </c>
      <c r="V40" s="82" t="s">
        <v>1355</v>
      </c>
      <c r="W40" s="82" t="s">
        <v>10012</v>
      </c>
      <c r="X40" s="82" t="s">
        <v>9797</v>
      </c>
      <c r="Y40" s="82" t="s">
        <v>9967</v>
      </c>
      <c r="Z40" s="82" t="s">
        <v>9802</v>
      </c>
      <c r="AA40" s="82" t="s">
        <v>1355</v>
      </c>
      <c r="AB40" s="82" t="s">
        <v>1355</v>
      </c>
      <c r="AC40" s="82" t="s">
        <v>9813</v>
      </c>
      <c r="AD40" s="82" t="s">
        <v>9813</v>
      </c>
      <c r="AE40" s="82" t="s">
        <v>9802</v>
      </c>
      <c r="AF40" s="82" t="s">
        <v>1355</v>
      </c>
      <c r="AG40" s="82" t="s">
        <v>4867</v>
      </c>
      <c r="AH40" s="82" t="s">
        <v>9802</v>
      </c>
      <c r="AI40" s="82" t="s">
        <v>9802</v>
      </c>
      <c r="AJ40" s="82" t="s">
        <v>1355</v>
      </c>
      <c r="AK40" s="82" t="s">
        <v>9803</v>
      </c>
      <c r="AL40" s="82" t="s">
        <v>1355</v>
      </c>
      <c r="AM40" s="82" t="s">
        <v>1355</v>
      </c>
    </row>
    <row r="41" spans="1:39">
      <c r="A41" s="82" t="s">
        <v>10013</v>
      </c>
      <c r="B41" s="82" t="e">
        <f>VLOOKUP(A41,'202304非带宽'!H:H,1,FALSE)</f>
        <v>#N/A</v>
      </c>
      <c r="C41" s="82" t="s">
        <v>9862</v>
      </c>
      <c r="D41" s="82" t="s">
        <v>9781</v>
      </c>
      <c r="E41" s="82" t="s">
        <v>9782</v>
      </c>
      <c r="F41" s="82" t="s">
        <v>10007</v>
      </c>
      <c r="G41" s="82" t="s">
        <v>9784</v>
      </c>
      <c r="H41" s="82" t="s">
        <v>9819</v>
      </c>
      <c r="I41" s="82" t="s">
        <v>9786</v>
      </c>
      <c r="J41" s="82" t="s">
        <v>9863</v>
      </c>
      <c r="K41" s="82" t="s">
        <v>9787</v>
      </c>
      <c r="L41" s="82" t="s">
        <v>9788</v>
      </c>
      <c r="M41" s="82" t="s">
        <v>9789</v>
      </c>
      <c r="N41" s="82" t="s">
        <v>9790</v>
      </c>
      <c r="O41" s="82" t="s">
        <v>10014</v>
      </c>
      <c r="P41" s="82" t="s">
        <v>10015</v>
      </c>
      <c r="Q41" s="82" t="s">
        <v>9822</v>
      </c>
      <c r="R41" s="82" t="s">
        <v>9794</v>
      </c>
      <c r="S41" s="82" t="s">
        <v>1355</v>
      </c>
      <c r="T41" s="82" t="s">
        <v>9795</v>
      </c>
      <c r="U41" s="82" t="s">
        <v>1355</v>
      </c>
      <c r="V41" s="82" t="s">
        <v>1355</v>
      </c>
      <c r="W41" s="82" t="s">
        <v>10016</v>
      </c>
      <c r="X41" s="82" t="s">
        <v>9797</v>
      </c>
      <c r="Y41" s="82" t="s">
        <v>10017</v>
      </c>
      <c r="Z41" s="82" t="s">
        <v>9788</v>
      </c>
      <c r="AA41" s="82" t="s">
        <v>9898</v>
      </c>
      <c r="AB41" s="82" t="s">
        <v>10018</v>
      </c>
      <c r="AC41" s="82" t="s">
        <v>9813</v>
      </c>
      <c r="AD41" s="82" t="s">
        <v>9813</v>
      </c>
      <c r="AE41" s="82" t="s">
        <v>9802</v>
      </c>
      <c r="AF41" s="82" t="s">
        <v>1355</v>
      </c>
      <c r="AG41" s="82" t="s">
        <v>4867</v>
      </c>
      <c r="AH41" s="82" t="s">
        <v>9802</v>
      </c>
      <c r="AI41" s="82" t="s">
        <v>9802</v>
      </c>
      <c r="AJ41" s="82" t="s">
        <v>1355</v>
      </c>
      <c r="AK41" s="82" t="s">
        <v>9803</v>
      </c>
      <c r="AL41" s="82" t="s">
        <v>1355</v>
      </c>
      <c r="AM41" s="82" t="s">
        <v>1355</v>
      </c>
    </row>
    <row r="42" spans="1:39">
      <c r="A42" s="82" t="s">
        <v>10019</v>
      </c>
      <c r="B42" s="82" t="e">
        <f>VLOOKUP(A42,'202304非带宽'!H:H,1,FALSE)</f>
        <v>#N/A</v>
      </c>
      <c r="C42" s="81" t="s">
        <v>9805</v>
      </c>
      <c r="D42" s="82" t="s">
        <v>9781</v>
      </c>
      <c r="E42" s="82" t="s">
        <v>9782</v>
      </c>
      <c r="F42" s="82" t="s">
        <v>10020</v>
      </c>
      <c r="G42" s="82" t="s">
        <v>9784</v>
      </c>
      <c r="H42" s="82" t="s">
        <v>9819</v>
      </c>
      <c r="I42" s="82" t="s">
        <v>9786</v>
      </c>
      <c r="J42" s="82" t="s">
        <v>9863</v>
      </c>
      <c r="K42" s="82" t="s">
        <v>9787</v>
      </c>
      <c r="L42" s="82" t="s">
        <v>9788</v>
      </c>
      <c r="M42" s="82" t="s">
        <v>9789</v>
      </c>
      <c r="N42" s="82" t="s">
        <v>9790</v>
      </c>
      <c r="O42" s="82" t="s">
        <v>10021</v>
      </c>
      <c r="P42" s="82" t="s">
        <v>10022</v>
      </c>
      <c r="Q42" s="82" t="s">
        <v>9822</v>
      </c>
      <c r="R42" s="82" t="s">
        <v>10023</v>
      </c>
      <c r="S42" s="82" t="s">
        <v>1355</v>
      </c>
      <c r="T42" s="82" t="s">
        <v>9795</v>
      </c>
      <c r="U42" s="82" t="s">
        <v>1355</v>
      </c>
      <c r="V42" s="82" t="s">
        <v>1355</v>
      </c>
      <c r="W42" s="82" t="s">
        <v>10024</v>
      </c>
      <c r="X42" s="82" t="s">
        <v>9797</v>
      </c>
      <c r="Y42" s="82" t="s">
        <v>9967</v>
      </c>
      <c r="Z42" s="82" t="s">
        <v>9802</v>
      </c>
      <c r="AA42" s="82" t="s">
        <v>1355</v>
      </c>
      <c r="AB42" s="82" t="s">
        <v>1355</v>
      </c>
      <c r="AC42" s="82" t="s">
        <v>9813</v>
      </c>
      <c r="AD42" s="82" t="s">
        <v>9813</v>
      </c>
      <c r="AE42" s="82" t="s">
        <v>9802</v>
      </c>
      <c r="AF42" s="82" t="s">
        <v>1355</v>
      </c>
      <c r="AG42" s="82" t="s">
        <v>4867</v>
      </c>
      <c r="AH42" s="82" t="s">
        <v>9802</v>
      </c>
      <c r="AI42" s="82" t="s">
        <v>9802</v>
      </c>
      <c r="AJ42" s="82" t="s">
        <v>1355</v>
      </c>
      <c r="AK42" s="82" t="s">
        <v>9803</v>
      </c>
      <c r="AL42" s="82" t="s">
        <v>1355</v>
      </c>
      <c r="AM42" s="82" t="s">
        <v>1355</v>
      </c>
    </row>
    <row r="43" hidden="1" spans="1:39">
      <c r="A43" s="82" t="s">
        <v>5138</v>
      </c>
      <c r="B43" s="82" t="str">
        <f>VLOOKUP(A43,'202304非带宽'!H:H,1,FALSE)</f>
        <v>182315IDC00097</v>
      </c>
      <c r="D43" s="82" t="s">
        <v>9781</v>
      </c>
      <c r="E43" s="82" t="s">
        <v>9782</v>
      </c>
      <c r="F43" s="82" t="s">
        <v>10025</v>
      </c>
      <c r="G43" s="82" t="s">
        <v>9784</v>
      </c>
      <c r="H43" s="82" t="s">
        <v>9847</v>
      </c>
      <c r="I43" s="82" t="s">
        <v>9786</v>
      </c>
      <c r="J43" s="82" t="s">
        <v>3939</v>
      </c>
      <c r="K43" s="82" t="s">
        <v>9787</v>
      </c>
      <c r="L43" s="82" t="s">
        <v>9788</v>
      </c>
      <c r="M43" s="82" t="s">
        <v>9789</v>
      </c>
      <c r="N43" s="82" t="s">
        <v>9790</v>
      </c>
      <c r="O43" s="82" t="s">
        <v>10026</v>
      </c>
      <c r="P43" s="82" t="s">
        <v>10027</v>
      </c>
      <c r="Q43" s="82" t="s">
        <v>10010</v>
      </c>
      <c r="R43" s="82" t="s">
        <v>10011</v>
      </c>
      <c r="S43" s="82" t="s">
        <v>1355</v>
      </c>
      <c r="T43" s="82" t="s">
        <v>9795</v>
      </c>
      <c r="U43" s="82" t="s">
        <v>1355</v>
      </c>
      <c r="V43" s="82" t="s">
        <v>1355</v>
      </c>
      <c r="W43" s="82" t="s">
        <v>10028</v>
      </c>
      <c r="X43" s="82" t="s">
        <v>9797</v>
      </c>
      <c r="Y43" s="82" t="s">
        <v>9837</v>
      </c>
      <c r="Z43" s="82" t="s">
        <v>9788</v>
      </c>
      <c r="AA43" s="82" t="s">
        <v>10029</v>
      </c>
      <c r="AB43" s="82" t="s">
        <v>10030</v>
      </c>
      <c r="AC43" s="82" t="s">
        <v>9813</v>
      </c>
      <c r="AD43" s="82" t="s">
        <v>9813</v>
      </c>
      <c r="AE43" s="82" t="s">
        <v>9802</v>
      </c>
      <c r="AF43" s="82" t="s">
        <v>1355</v>
      </c>
      <c r="AG43" s="82" t="s">
        <v>4867</v>
      </c>
      <c r="AH43" s="82" t="s">
        <v>9802</v>
      </c>
      <c r="AI43" s="82" t="s">
        <v>9802</v>
      </c>
      <c r="AJ43" s="82" t="s">
        <v>1355</v>
      </c>
      <c r="AK43" s="82" t="s">
        <v>9803</v>
      </c>
      <c r="AL43" s="82" t="s">
        <v>1355</v>
      </c>
      <c r="AM43" s="82" t="s">
        <v>1355</v>
      </c>
    </row>
    <row r="44" hidden="1" spans="1:39">
      <c r="A44" s="82" t="s">
        <v>3245</v>
      </c>
      <c r="B44" s="82" t="str">
        <f>VLOOKUP(A44,'202304非带宽'!H:H,1,FALSE)</f>
        <v>182315IDC00094</v>
      </c>
      <c r="D44" s="82" t="s">
        <v>9781</v>
      </c>
      <c r="E44" s="82" t="s">
        <v>9782</v>
      </c>
      <c r="F44" s="82" t="s">
        <v>10031</v>
      </c>
      <c r="G44" s="82" t="s">
        <v>9784</v>
      </c>
      <c r="H44" s="82" t="s">
        <v>10032</v>
      </c>
      <c r="I44" s="82" t="s">
        <v>9786</v>
      </c>
      <c r="J44" s="82" t="s">
        <v>85</v>
      </c>
      <c r="K44" s="82" t="s">
        <v>9787</v>
      </c>
      <c r="L44" s="82" t="s">
        <v>9788</v>
      </c>
      <c r="M44" s="82" t="s">
        <v>9789</v>
      </c>
      <c r="N44" s="82" t="s">
        <v>9790</v>
      </c>
      <c r="O44" s="82" t="s">
        <v>10033</v>
      </c>
      <c r="P44" s="82" t="s">
        <v>10034</v>
      </c>
      <c r="Q44" s="82" t="s">
        <v>9930</v>
      </c>
      <c r="R44" s="82" t="s">
        <v>10035</v>
      </c>
      <c r="S44" s="82" t="s">
        <v>1355</v>
      </c>
      <c r="T44" s="82" t="s">
        <v>9795</v>
      </c>
      <c r="U44" s="82" t="s">
        <v>1355</v>
      </c>
      <c r="V44" s="82" t="s">
        <v>1355</v>
      </c>
      <c r="W44" s="82" t="s">
        <v>10036</v>
      </c>
      <c r="X44" s="82" t="s">
        <v>9797</v>
      </c>
      <c r="Y44" s="82" t="s">
        <v>9967</v>
      </c>
      <c r="Z44" s="82" t="s">
        <v>9802</v>
      </c>
      <c r="AA44" s="82" t="s">
        <v>1355</v>
      </c>
      <c r="AB44" s="82" t="s">
        <v>1355</v>
      </c>
      <c r="AC44" s="82" t="s">
        <v>9801</v>
      </c>
      <c r="AD44" s="82" t="s">
        <v>9801</v>
      </c>
      <c r="AE44" s="82" t="s">
        <v>9802</v>
      </c>
      <c r="AF44" s="82" t="s">
        <v>1355</v>
      </c>
      <c r="AG44" s="82" t="s">
        <v>4867</v>
      </c>
      <c r="AH44" s="82" t="s">
        <v>9802</v>
      </c>
      <c r="AI44" s="82" t="s">
        <v>9802</v>
      </c>
      <c r="AJ44" s="82" t="s">
        <v>1355</v>
      </c>
      <c r="AK44" s="82" t="s">
        <v>9803</v>
      </c>
      <c r="AL44" s="82" t="s">
        <v>1355</v>
      </c>
      <c r="AM44" s="82" t="s">
        <v>1355</v>
      </c>
    </row>
    <row r="45" spans="1:39">
      <c r="A45" s="82" t="s">
        <v>10037</v>
      </c>
      <c r="B45" s="82" t="e">
        <f>VLOOKUP(A45,'202304非带宽'!H:H,1,FALSE)</f>
        <v>#N/A</v>
      </c>
      <c r="C45" s="82" t="s">
        <v>9862</v>
      </c>
      <c r="D45" s="82" t="s">
        <v>9781</v>
      </c>
      <c r="E45" s="82" t="s">
        <v>9782</v>
      </c>
      <c r="F45" s="82" t="s">
        <v>10038</v>
      </c>
      <c r="G45" s="82" t="s">
        <v>9784</v>
      </c>
      <c r="H45" s="82" t="s">
        <v>9819</v>
      </c>
      <c r="I45" s="82" t="s">
        <v>9786</v>
      </c>
      <c r="J45" s="82" t="s">
        <v>28</v>
      </c>
      <c r="K45" s="82" t="s">
        <v>9787</v>
      </c>
      <c r="L45" s="82" t="s">
        <v>9788</v>
      </c>
      <c r="M45" s="82" t="s">
        <v>9789</v>
      </c>
      <c r="N45" s="82" t="s">
        <v>9790</v>
      </c>
      <c r="O45" s="82" t="s">
        <v>10039</v>
      </c>
      <c r="P45" s="82" t="s">
        <v>10040</v>
      </c>
      <c r="Q45" s="82" t="s">
        <v>9793</v>
      </c>
      <c r="R45" s="82" t="s">
        <v>9886</v>
      </c>
      <c r="S45" s="82" t="s">
        <v>1355</v>
      </c>
      <c r="T45" s="82" t="s">
        <v>9795</v>
      </c>
      <c r="U45" s="82" t="s">
        <v>1355</v>
      </c>
      <c r="V45" s="82" t="s">
        <v>1355</v>
      </c>
      <c r="W45" s="82" t="s">
        <v>10041</v>
      </c>
      <c r="X45" s="82" t="s">
        <v>9797</v>
      </c>
      <c r="Y45" s="82" t="s">
        <v>9807</v>
      </c>
      <c r="Z45" s="82" t="s">
        <v>9802</v>
      </c>
      <c r="AA45" s="82" t="s">
        <v>1355</v>
      </c>
      <c r="AB45" s="82" t="s">
        <v>1355</v>
      </c>
      <c r="AC45" s="82" t="s">
        <v>9813</v>
      </c>
      <c r="AD45" s="82" t="s">
        <v>9813</v>
      </c>
      <c r="AE45" s="82" t="s">
        <v>9802</v>
      </c>
      <c r="AF45" s="82" t="s">
        <v>1355</v>
      </c>
      <c r="AG45" s="82" t="s">
        <v>4867</v>
      </c>
      <c r="AH45" s="82" t="s">
        <v>9802</v>
      </c>
      <c r="AI45" s="82" t="s">
        <v>9802</v>
      </c>
      <c r="AJ45" s="82" t="s">
        <v>1355</v>
      </c>
      <c r="AK45" s="82" t="s">
        <v>9803</v>
      </c>
      <c r="AL45" s="82" t="s">
        <v>1355</v>
      </c>
      <c r="AM45" s="82" t="s">
        <v>1355</v>
      </c>
    </row>
    <row r="46" hidden="1" spans="1:39">
      <c r="A46" s="82" t="s">
        <v>7275</v>
      </c>
      <c r="B46" s="82" t="str">
        <f>VLOOKUP(A46,'202304非带宽'!H:H,1,FALSE)</f>
        <v>182315IDC00084</v>
      </c>
      <c r="D46" s="82" t="s">
        <v>9781</v>
      </c>
      <c r="E46" s="82" t="s">
        <v>9782</v>
      </c>
      <c r="F46" s="82" t="s">
        <v>10042</v>
      </c>
      <c r="G46" s="82" t="s">
        <v>9784</v>
      </c>
      <c r="H46" s="82" t="s">
        <v>9785</v>
      </c>
      <c r="I46" s="82" t="s">
        <v>9786</v>
      </c>
      <c r="J46" s="82" t="s">
        <v>6301</v>
      </c>
      <c r="K46" s="82" t="s">
        <v>9787</v>
      </c>
      <c r="L46" s="82" t="s">
        <v>9802</v>
      </c>
      <c r="M46" s="82" t="s">
        <v>9789</v>
      </c>
      <c r="N46" s="82" t="s">
        <v>9790</v>
      </c>
      <c r="O46" s="82" t="s">
        <v>10043</v>
      </c>
      <c r="P46" s="82" t="s">
        <v>10044</v>
      </c>
      <c r="Q46" s="82" t="s">
        <v>9822</v>
      </c>
      <c r="R46" s="82" t="s">
        <v>9850</v>
      </c>
      <c r="S46" s="82" t="s">
        <v>1355</v>
      </c>
      <c r="T46" s="82" t="s">
        <v>9795</v>
      </c>
      <c r="U46" s="82" t="s">
        <v>1355</v>
      </c>
      <c r="V46" s="82" t="s">
        <v>1355</v>
      </c>
      <c r="W46" s="82" t="s">
        <v>10045</v>
      </c>
      <c r="X46" s="82" t="s">
        <v>9797</v>
      </c>
      <c r="Y46" s="82" t="s">
        <v>9798</v>
      </c>
      <c r="Z46" s="82" t="s">
        <v>9802</v>
      </c>
      <c r="AA46" s="82" t="s">
        <v>1355</v>
      </c>
      <c r="AB46" s="82" t="s">
        <v>9825</v>
      </c>
      <c r="AC46" s="82" t="s">
        <v>9813</v>
      </c>
      <c r="AD46" s="82" t="s">
        <v>9813</v>
      </c>
      <c r="AE46" s="82" t="s">
        <v>9802</v>
      </c>
      <c r="AF46" s="82" t="s">
        <v>1355</v>
      </c>
      <c r="AG46" s="82" t="s">
        <v>9818</v>
      </c>
      <c r="AH46" s="82" t="s">
        <v>9802</v>
      </c>
      <c r="AI46" s="82" t="s">
        <v>9802</v>
      </c>
      <c r="AJ46" s="82" t="s">
        <v>1355</v>
      </c>
      <c r="AK46" s="82" t="s">
        <v>9803</v>
      </c>
      <c r="AL46" s="82" t="s">
        <v>1355</v>
      </c>
      <c r="AM46" s="82" t="s">
        <v>1355</v>
      </c>
    </row>
    <row r="47" hidden="1" spans="1:39">
      <c r="A47" s="82" t="s">
        <v>2380</v>
      </c>
      <c r="B47" s="82" t="str">
        <f>VLOOKUP(A47,'202304非带宽'!H:H,1,FALSE)</f>
        <v>182315IDC00076</v>
      </c>
      <c r="D47" s="82" t="s">
        <v>9781</v>
      </c>
      <c r="E47" s="82" t="s">
        <v>9782</v>
      </c>
      <c r="F47" s="82" t="s">
        <v>10046</v>
      </c>
      <c r="G47" s="82" t="s">
        <v>9784</v>
      </c>
      <c r="H47" s="82" t="s">
        <v>9819</v>
      </c>
      <c r="I47" s="82" t="s">
        <v>9786</v>
      </c>
      <c r="J47" s="82" t="s">
        <v>642</v>
      </c>
      <c r="K47" s="82" t="s">
        <v>9787</v>
      </c>
      <c r="L47" s="82" t="s">
        <v>9788</v>
      </c>
      <c r="M47" s="82" t="s">
        <v>9789</v>
      </c>
      <c r="N47" s="82" t="s">
        <v>9790</v>
      </c>
      <c r="O47" s="82" t="s">
        <v>10047</v>
      </c>
      <c r="P47" s="82" t="s">
        <v>10048</v>
      </c>
      <c r="Q47" s="82" t="s">
        <v>9822</v>
      </c>
      <c r="R47" s="82" t="s">
        <v>9850</v>
      </c>
      <c r="S47" s="82" t="s">
        <v>1355</v>
      </c>
      <c r="T47" s="82" t="s">
        <v>9795</v>
      </c>
      <c r="U47" s="82" t="s">
        <v>1355</v>
      </c>
      <c r="V47" s="82" t="s">
        <v>1355</v>
      </c>
      <c r="W47" s="82" t="s">
        <v>10049</v>
      </c>
      <c r="X47" s="82" t="s">
        <v>9797</v>
      </c>
      <c r="Y47" s="82" t="s">
        <v>9970</v>
      </c>
      <c r="Z47" s="82" t="s">
        <v>9802</v>
      </c>
      <c r="AA47" s="82" t="s">
        <v>1355</v>
      </c>
      <c r="AB47" s="82" t="s">
        <v>9825</v>
      </c>
      <c r="AC47" s="82" t="s">
        <v>9813</v>
      </c>
      <c r="AD47" s="82" t="s">
        <v>9813</v>
      </c>
      <c r="AE47" s="82" t="s">
        <v>9802</v>
      </c>
      <c r="AF47" s="82" t="s">
        <v>1355</v>
      </c>
      <c r="AG47" s="82" t="s">
        <v>9818</v>
      </c>
      <c r="AH47" s="82" t="s">
        <v>9802</v>
      </c>
      <c r="AI47" s="82" t="s">
        <v>9802</v>
      </c>
      <c r="AJ47" s="82" t="s">
        <v>1355</v>
      </c>
      <c r="AK47" s="82" t="s">
        <v>9803</v>
      </c>
      <c r="AL47" s="82" t="s">
        <v>1355</v>
      </c>
      <c r="AM47" s="82" t="s">
        <v>1355</v>
      </c>
    </row>
    <row r="48" hidden="1" spans="1:39">
      <c r="A48" s="82" t="s">
        <v>2334</v>
      </c>
      <c r="B48" s="82" t="str">
        <f>VLOOKUP(A48,'202304非带宽'!H:H,1,FALSE)</f>
        <v>182315IDC00075</v>
      </c>
      <c r="D48" s="82" t="s">
        <v>9781</v>
      </c>
      <c r="E48" s="82" t="s">
        <v>9782</v>
      </c>
      <c r="F48" s="82" t="s">
        <v>10046</v>
      </c>
      <c r="G48" s="82" t="s">
        <v>9784</v>
      </c>
      <c r="H48" s="82" t="s">
        <v>9819</v>
      </c>
      <c r="I48" s="82" t="s">
        <v>9786</v>
      </c>
      <c r="J48" s="82" t="s">
        <v>642</v>
      </c>
      <c r="K48" s="82" t="s">
        <v>9787</v>
      </c>
      <c r="L48" s="82" t="s">
        <v>9788</v>
      </c>
      <c r="M48" s="82" t="s">
        <v>9789</v>
      </c>
      <c r="N48" s="82" t="s">
        <v>9790</v>
      </c>
      <c r="O48" s="82" t="s">
        <v>10050</v>
      </c>
      <c r="P48" s="82" t="s">
        <v>10051</v>
      </c>
      <c r="Q48" s="82" t="s">
        <v>9822</v>
      </c>
      <c r="R48" s="82" t="s">
        <v>9850</v>
      </c>
      <c r="S48" s="82" t="s">
        <v>1355</v>
      </c>
      <c r="T48" s="82" t="s">
        <v>9795</v>
      </c>
      <c r="U48" s="82" t="s">
        <v>1355</v>
      </c>
      <c r="V48" s="82" t="s">
        <v>1355</v>
      </c>
      <c r="W48" s="82" t="s">
        <v>10052</v>
      </c>
      <c r="X48" s="82" t="s">
        <v>9797</v>
      </c>
      <c r="Y48" s="82" t="s">
        <v>9970</v>
      </c>
      <c r="Z48" s="82" t="s">
        <v>9802</v>
      </c>
      <c r="AA48" s="82" t="s">
        <v>1355</v>
      </c>
      <c r="AB48" s="82" t="s">
        <v>9825</v>
      </c>
      <c r="AC48" s="82" t="s">
        <v>9813</v>
      </c>
      <c r="AD48" s="82" t="s">
        <v>9813</v>
      </c>
      <c r="AE48" s="82" t="s">
        <v>9802</v>
      </c>
      <c r="AF48" s="82" t="s">
        <v>1355</v>
      </c>
      <c r="AG48" s="82" t="s">
        <v>9818</v>
      </c>
      <c r="AH48" s="82" t="s">
        <v>9802</v>
      </c>
      <c r="AI48" s="82" t="s">
        <v>9802</v>
      </c>
      <c r="AJ48" s="82" t="s">
        <v>1355</v>
      </c>
      <c r="AK48" s="82" t="s">
        <v>9803</v>
      </c>
      <c r="AL48" s="82" t="s">
        <v>1355</v>
      </c>
      <c r="AM48" s="82" t="s">
        <v>1355</v>
      </c>
    </row>
    <row r="49" hidden="1" spans="1:39">
      <c r="A49" s="82" t="s">
        <v>2370</v>
      </c>
      <c r="B49" s="82" t="str">
        <f>VLOOKUP(A49,'202304非带宽'!H:H,1,FALSE)</f>
        <v>182315IDC00077</v>
      </c>
      <c r="D49" s="82" t="s">
        <v>9781</v>
      </c>
      <c r="E49" s="82" t="s">
        <v>9782</v>
      </c>
      <c r="F49" s="82" t="s">
        <v>10046</v>
      </c>
      <c r="G49" s="82" t="s">
        <v>9784</v>
      </c>
      <c r="H49" s="82" t="s">
        <v>9819</v>
      </c>
      <c r="I49" s="82" t="s">
        <v>9786</v>
      </c>
      <c r="J49" s="82" t="s">
        <v>642</v>
      </c>
      <c r="K49" s="82" t="s">
        <v>9787</v>
      </c>
      <c r="L49" s="82" t="s">
        <v>9788</v>
      </c>
      <c r="M49" s="82" t="s">
        <v>9789</v>
      </c>
      <c r="N49" s="82" t="s">
        <v>9790</v>
      </c>
      <c r="O49" s="82" t="s">
        <v>9820</v>
      </c>
      <c r="P49" s="82" t="s">
        <v>10053</v>
      </c>
      <c r="Q49" s="82" t="s">
        <v>9822</v>
      </c>
      <c r="R49" s="82" t="s">
        <v>9850</v>
      </c>
      <c r="S49" s="82" t="s">
        <v>1355</v>
      </c>
      <c r="T49" s="82" t="s">
        <v>9795</v>
      </c>
      <c r="U49" s="82" t="s">
        <v>1355</v>
      </c>
      <c r="V49" s="82" t="s">
        <v>1355</v>
      </c>
      <c r="W49" s="82" t="s">
        <v>10054</v>
      </c>
      <c r="X49" s="82" t="s">
        <v>9797</v>
      </c>
      <c r="Y49" s="82" t="s">
        <v>9970</v>
      </c>
      <c r="Z49" s="82" t="s">
        <v>9802</v>
      </c>
      <c r="AA49" s="82" t="s">
        <v>1355</v>
      </c>
      <c r="AB49" s="82" t="s">
        <v>9825</v>
      </c>
      <c r="AC49" s="82" t="s">
        <v>9813</v>
      </c>
      <c r="AD49" s="82" t="s">
        <v>9813</v>
      </c>
      <c r="AE49" s="82" t="s">
        <v>9802</v>
      </c>
      <c r="AF49" s="82" t="s">
        <v>1355</v>
      </c>
      <c r="AG49" s="82" t="s">
        <v>9818</v>
      </c>
      <c r="AH49" s="82" t="s">
        <v>9802</v>
      </c>
      <c r="AI49" s="82" t="s">
        <v>9802</v>
      </c>
      <c r="AJ49" s="82" t="s">
        <v>1355</v>
      </c>
      <c r="AK49" s="82" t="s">
        <v>9803</v>
      </c>
      <c r="AL49" s="82" t="s">
        <v>1355</v>
      </c>
      <c r="AM49" s="82" t="s">
        <v>1355</v>
      </c>
    </row>
    <row r="50" hidden="1" spans="1:39">
      <c r="A50" s="82" t="s">
        <v>5959</v>
      </c>
      <c r="B50" s="82" t="str">
        <f>VLOOKUP(A50,'202304非带宽'!H:H,1,FALSE)</f>
        <v>182315IDC00071</v>
      </c>
      <c r="D50" s="82" t="s">
        <v>9781</v>
      </c>
      <c r="E50" s="82" t="s">
        <v>9782</v>
      </c>
      <c r="F50" s="82" t="s">
        <v>10055</v>
      </c>
      <c r="G50" s="82" t="s">
        <v>9784</v>
      </c>
      <c r="H50" s="82" t="s">
        <v>9847</v>
      </c>
      <c r="I50" s="82" t="s">
        <v>9786</v>
      </c>
      <c r="J50" s="82" t="s">
        <v>3939</v>
      </c>
      <c r="K50" s="82" t="s">
        <v>9787</v>
      </c>
      <c r="L50" s="82" t="s">
        <v>9788</v>
      </c>
      <c r="M50" s="82" t="s">
        <v>9789</v>
      </c>
      <c r="N50" s="82" t="s">
        <v>9790</v>
      </c>
      <c r="O50" s="82" t="s">
        <v>9853</v>
      </c>
      <c r="P50" s="82" t="s">
        <v>10056</v>
      </c>
      <c r="Q50" s="82" t="s">
        <v>10010</v>
      </c>
      <c r="R50" s="82" t="s">
        <v>10057</v>
      </c>
      <c r="S50" s="82" t="s">
        <v>1355</v>
      </c>
      <c r="T50" s="82" t="s">
        <v>9795</v>
      </c>
      <c r="U50" s="82" t="s">
        <v>1355</v>
      </c>
      <c r="V50" s="82" t="s">
        <v>1355</v>
      </c>
      <c r="W50" s="82" t="s">
        <v>10058</v>
      </c>
      <c r="X50" s="82" t="s">
        <v>9797</v>
      </c>
      <c r="Y50" s="82" t="s">
        <v>9783</v>
      </c>
      <c r="Z50" s="82" t="s">
        <v>9802</v>
      </c>
      <c r="AA50" s="82" t="s">
        <v>1355</v>
      </c>
      <c r="AB50" s="82" t="s">
        <v>1355</v>
      </c>
      <c r="AC50" s="82" t="s">
        <v>9801</v>
      </c>
      <c r="AD50" s="82" t="s">
        <v>9801</v>
      </c>
      <c r="AE50" s="82" t="s">
        <v>9802</v>
      </c>
      <c r="AF50" s="82" t="s">
        <v>1355</v>
      </c>
      <c r="AG50" s="82" t="s">
        <v>4867</v>
      </c>
      <c r="AH50" s="82" t="s">
        <v>9802</v>
      </c>
      <c r="AI50" s="82" t="s">
        <v>9802</v>
      </c>
      <c r="AJ50" s="82" t="s">
        <v>1355</v>
      </c>
      <c r="AK50" s="82" t="s">
        <v>9803</v>
      </c>
      <c r="AL50" s="82" t="s">
        <v>1355</v>
      </c>
      <c r="AM50" s="82" t="s">
        <v>1355</v>
      </c>
    </row>
    <row r="51" hidden="1" spans="1:39">
      <c r="A51" s="82" t="s">
        <v>9677</v>
      </c>
      <c r="B51" s="82" t="str">
        <f>VLOOKUP(A51,'202304非带宽'!H:H,1,FALSE)</f>
        <v>182315IDC00069</v>
      </c>
      <c r="D51" s="82" t="s">
        <v>9781</v>
      </c>
      <c r="E51" s="82" t="s">
        <v>9782</v>
      </c>
      <c r="F51" s="82" t="s">
        <v>10055</v>
      </c>
      <c r="G51" s="82" t="s">
        <v>9784</v>
      </c>
      <c r="H51" s="82" t="s">
        <v>9785</v>
      </c>
      <c r="I51" s="82" t="s">
        <v>9786</v>
      </c>
      <c r="J51" s="82" t="s">
        <v>642</v>
      </c>
      <c r="K51" s="82" t="s">
        <v>9787</v>
      </c>
      <c r="L51" s="82" t="s">
        <v>9788</v>
      </c>
      <c r="M51" s="82" t="s">
        <v>9789</v>
      </c>
      <c r="N51" s="82" t="s">
        <v>9790</v>
      </c>
      <c r="O51" s="82" t="s">
        <v>10059</v>
      </c>
      <c r="P51" s="82" t="s">
        <v>10060</v>
      </c>
      <c r="Q51" s="82" t="s">
        <v>9822</v>
      </c>
      <c r="R51" s="82" t="s">
        <v>9850</v>
      </c>
      <c r="S51" s="82" t="s">
        <v>1355</v>
      </c>
      <c r="T51" s="82" t="s">
        <v>9795</v>
      </c>
      <c r="U51" s="82" t="s">
        <v>1355</v>
      </c>
      <c r="V51" s="82" t="s">
        <v>1355</v>
      </c>
      <c r="W51" s="82" t="s">
        <v>10061</v>
      </c>
      <c r="X51" s="82" t="s">
        <v>9797</v>
      </c>
      <c r="Y51" s="82" t="s">
        <v>9837</v>
      </c>
      <c r="Z51" s="82" t="s">
        <v>9802</v>
      </c>
      <c r="AA51" s="82" t="s">
        <v>1355</v>
      </c>
      <c r="AB51" s="82" t="s">
        <v>9825</v>
      </c>
      <c r="AC51" s="82" t="s">
        <v>9813</v>
      </c>
      <c r="AD51" s="82" t="s">
        <v>9813</v>
      </c>
      <c r="AE51" s="82" t="s">
        <v>9802</v>
      </c>
      <c r="AF51" s="82" t="s">
        <v>1355</v>
      </c>
      <c r="AG51" s="82" t="s">
        <v>9818</v>
      </c>
      <c r="AH51" s="82" t="s">
        <v>9802</v>
      </c>
      <c r="AI51" s="82" t="s">
        <v>9802</v>
      </c>
      <c r="AJ51" s="82" t="s">
        <v>1355</v>
      </c>
      <c r="AK51" s="82" t="s">
        <v>9803</v>
      </c>
      <c r="AL51" s="82" t="s">
        <v>1355</v>
      </c>
      <c r="AM51" s="82" t="s">
        <v>1355</v>
      </c>
    </row>
    <row r="52" spans="1:39">
      <c r="A52" s="82" t="s">
        <v>10062</v>
      </c>
      <c r="B52" s="82" t="e">
        <f>VLOOKUP(A52,'202304非带宽'!H:H,1,FALSE)</f>
        <v>#N/A</v>
      </c>
      <c r="C52" s="82" t="s">
        <v>9862</v>
      </c>
      <c r="D52" s="82" t="s">
        <v>9781</v>
      </c>
      <c r="E52" s="82" t="s">
        <v>9782</v>
      </c>
      <c r="F52" s="82" t="s">
        <v>10063</v>
      </c>
      <c r="G52" s="82" t="s">
        <v>9784</v>
      </c>
      <c r="H52" s="82" t="s">
        <v>9847</v>
      </c>
      <c r="I52" s="82" t="s">
        <v>9786</v>
      </c>
      <c r="J52" s="82" t="s">
        <v>3038</v>
      </c>
      <c r="K52" s="82" t="s">
        <v>9787</v>
      </c>
      <c r="L52" s="82" t="s">
        <v>9788</v>
      </c>
      <c r="M52" s="82" t="s">
        <v>9789</v>
      </c>
      <c r="N52" s="82" t="s">
        <v>9790</v>
      </c>
      <c r="O52" s="82" t="s">
        <v>10064</v>
      </c>
      <c r="P52" s="82" t="s">
        <v>10065</v>
      </c>
      <c r="Q52" s="82" t="s">
        <v>10066</v>
      </c>
      <c r="R52" s="82" t="s">
        <v>9949</v>
      </c>
      <c r="S52" s="82" t="s">
        <v>1355</v>
      </c>
      <c r="T52" s="82" t="s">
        <v>9795</v>
      </c>
      <c r="U52" s="82" t="s">
        <v>1355</v>
      </c>
      <c r="V52" s="82" t="s">
        <v>1355</v>
      </c>
      <c r="W52" s="82" t="s">
        <v>10067</v>
      </c>
      <c r="X52" s="82" t="s">
        <v>9797</v>
      </c>
      <c r="Y52" s="82" t="s">
        <v>9967</v>
      </c>
      <c r="Z52" s="82" t="s">
        <v>9802</v>
      </c>
      <c r="AA52" s="82" t="s">
        <v>1355</v>
      </c>
      <c r="AB52" s="82" t="s">
        <v>1355</v>
      </c>
      <c r="AC52" s="82" t="s">
        <v>9985</v>
      </c>
      <c r="AD52" s="82" t="s">
        <v>9985</v>
      </c>
      <c r="AE52" s="82" t="s">
        <v>9802</v>
      </c>
      <c r="AF52" s="82" t="s">
        <v>1355</v>
      </c>
      <c r="AG52" s="82" t="s">
        <v>4867</v>
      </c>
      <c r="AH52" s="82" t="s">
        <v>9802</v>
      </c>
      <c r="AI52" s="82" t="s">
        <v>9802</v>
      </c>
      <c r="AJ52" s="82" t="s">
        <v>1355</v>
      </c>
      <c r="AK52" s="82" t="s">
        <v>9803</v>
      </c>
      <c r="AL52" s="82" t="s">
        <v>1355</v>
      </c>
      <c r="AM52" s="82" t="s">
        <v>1355</v>
      </c>
    </row>
    <row r="53" hidden="1" spans="1:39">
      <c r="A53" s="82" t="s">
        <v>2992</v>
      </c>
      <c r="B53" s="82" t="str">
        <f>VLOOKUP(A53,'202304非带宽'!H:H,1,FALSE)</f>
        <v>182215IDC00667</v>
      </c>
      <c r="D53" s="82" t="s">
        <v>9781</v>
      </c>
      <c r="E53" s="82" t="s">
        <v>9782</v>
      </c>
      <c r="F53" s="82" t="s">
        <v>10068</v>
      </c>
      <c r="G53" s="82" t="s">
        <v>9784</v>
      </c>
      <c r="H53" s="82" t="s">
        <v>9819</v>
      </c>
      <c r="I53" s="82" t="s">
        <v>9786</v>
      </c>
      <c r="J53" s="82" t="s">
        <v>85</v>
      </c>
      <c r="K53" s="82" t="s">
        <v>9787</v>
      </c>
      <c r="L53" s="82" t="s">
        <v>9788</v>
      </c>
      <c r="M53" s="82" t="s">
        <v>9789</v>
      </c>
      <c r="N53" s="82" t="s">
        <v>9790</v>
      </c>
      <c r="O53" s="82" t="s">
        <v>10069</v>
      </c>
      <c r="P53" s="82" t="s">
        <v>10070</v>
      </c>
      <c r="Q53" s="82" t="s">
        <v>10010</v>
      </c>
      <c r="R53" s="82" t="s">
        <v>10011</v>
      </c>
      <c r="S53" s="82" t="s">
        <v>1355</v>
      </c>
      <c r="T53" s="82" t="s">
        <v>9795</v>
      </c>
      <c r="U53" s="82" t="s">
        <v>1355</v>
      </c>
      <c r="V53" s="82" t="s">
        <v>1355</v>
      </c>
      <c r="W53" s="82" t="s">
        <v>10071</v>
      </c>
      <c r="X53" s="82" t="s">
        <v>9797</v>
      </c>
      <c r="Y53" s="82" t="s">
        <v>9920</v>
      </c>
      <c r="Z53" s="82" t="s">
        <v>9802</v>
      </c>
      <c r="AA53" s="82" t="s">
        <v>1355</v>
      </c>
      <c r="AB53" s="82" t="s">
        <v>1355</v>
      </c>
      <c r="AC53" s="82" t="s">
        <v>9801</v>
      </c>
      <c r="AD53" s="82" t="s">
        <v>9801</v>
      </c>
      <c r="AE53" s="82" t="s">
        <v>9802</v>
      </c>
      <c r="AF53" s="82" t="s">
        <v>1355</v>
      </c>
      <c r="AG53" s="82" t="s">
        <v>4867</v>
      </c>
      <c r="AH53" s="82" t="s">
        <v>9802</v>
      </c>
      <c r="AI53" s="82" t="s">
        <v>9802</v>
      </c>
      <c r="AJ53" s="82" t="s">
        <v>1355</v>
      </c>
      <c r="AK53" s="82" t="s">
        <v>9803</v>
      </c>
      <c r="AL53" s="82" t="s">
        <v>1355</v>
      </c>
      <c r="AM53" s="82" t="s">
        <v>1355</v>
      </c>
    </row>
  </sheetData>
  <autoFilter ref="A1:AM53">
    <filterColumn colId="1">
      <customFilters>
        <customFilter operator="equal" val="#N/A"/>
      </customFilters>
    </filterColumn>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C20:F25"/>
  <sheetViews>
    <sheetView workbookViewId="0">
      <selection activeCell="G34" sqref="G34"/>
    </sheetView>
  </sheetViews>
  <sheetFormatPr defaultColWidth="9" defaultRowHeight="14" outlineLevelCol="5"/>
  <cols>
    <col min="3" max="3" width="17.3333333333333" customWidth="1"/>
    <col min="4" max="4" width="19.3333333333333" customWidth="1"/>
    <col min="5" max="5" width="12.8333333333333" customWidth="1"/>
    <col min="6" max="6" width="14.0833333333333" customWidth="1"/>
  </cols>
  <sheetData>
    <row r="20" spans="3:4">
      <c r="C20" s="74"/>
      <c r="D20" s="75" t="s">
        <v>10072</v>
      </c>
    </row>
    <row r="21" spans="3:5">
      <c r="C21" s="76" t="s">
        <v>10073</v>
      </c>
      <c r="D21" s="77">
        <v>345434357.08</v>
      </c>
      <c r="E21" s="78"/>
    </row>
    <row r="22" spans="3:4">
      <c r="C22" s="74" t="s">
        <v>10074</v>
      </c>
      <c r="D22" s="79">
        <f>SUM('202304非带宽'!R:R)</f>
        <v>345326182.74</v>
      </c>
    </row>
    <row r="23" spans="3:4">
      <c r="C23" s="74" t="s">
        <v>10075</v>
      </c>
      <c r="D23" s="79">
        <v>108174.34</v>
      </c>
    </row>
    <row r="24" spans="3:4">
      <c r="C24" s="76" t="s">
        <v>10076</v>
      </c>
      <c r="D24" s="77">
        <f>SUM(D22:D23)</f>
        <v>345434357.08</v>
      </c>
    </row>
    <row r="25" spans="3:6">
      <c r="C25" s="76" t="s">
        <v>10077</v>
      </c>
      <c r="D25" s="77">
        <f>D21-D24</f>
        <v>0</v>
      </c>
      <c r="F25" s="80"/>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71"/>
  <sheetViews>
    <sheetView topLeftCell="A76" workbookViewId="0">
      <selection activeCell="P23" sqref="P23"/>
    </sheetView>
  </sheetViews>
  <sheetFormatPr defaultColWidth="9" defaultRowHeight="14"/>
  <cols>
    <col min="8" max="8" width="17.6666666666667" customWidth="1"/>
    <col min="14" max="14" width="10" customWidth="1"/>
    <col min="16" max="16" width="10.8333333333333" customWidth="1"/>
    <col min="18" max="18" width="10.8333333333333" customWidth="1"/>
  </cols>
  <sheetData>
    <row r="1" s="1" customFormat="1" spans="1:2">
      <c r="A1" s="6" t="s">
        <v>10078</v>
      </c>
      <c r="B1" s="6" t="s">
        <v>10079</v>
      </c>
    </row>
    <row r="3" s="2" customFormat="1" ht="15" customHeight="1" spans="1:25">
      <c r="A3" s="7" t="s">
        <v>0</v>
      </c>
      <c r="B3" s="7" t="s">
        <v>1</v>
      </c>
      <c r="C3" s="7" t="s">
        <v>2</v>
      </c>
      <c r="D3" s="8" t="s">
        <v>3</v>
      </c>
      <c r="E3" s="9" t="s">
        <v>4</v>
      </c>
      <c r="F3" s="7" t="s">
        <v>5</v>
      </c>
      <c r="G3" s="7" t="s">
        <v>6</v>
      </c>
      <c r="H3" s="10" t="s">
        <v>7</v>
      </c>
      <c r="I3" s="26" t="s">
        <v>8</v>
      </c>
      <c r="J3" s="27" t="s">
        <v>9</v>
      </c>
      <c r="K3" s="27" t="s">
        <v>10</v>
      </c>
      <c r="L3" s="27" t="s">
        <v>11</v>
      </c>
      <c r="M3" s="27" t="s">
        <v>12</v>
      </c>
      <c r="N3" s="28" t="s">
        <v>13</v>
      </c>
      <c r="O3" s="27" t="s">
        <v>14</v>
      </c>
      <c r="P3" s="29" t="s">
        <v>15</v>
      </c>
      <c r="Q3" s="29" t="s">
        <v>16</v>
      </c>
      <c r="R3" s="29" t="s">
        <v>17</v>
      </c>
      <c r="S3" s="53" t="s">
        <v>18</v>
      </c>
      <c r="T3" s="54" t="s">
        <v>19</v>
      </c>
      <c r="U3" s="55" t="s">
        <v>20</v>
      </c>
      <c r="V3" s="56" t="s">
        <v>21</v>
      </c>
      <c r="W3" s="57" t="s">
        <v>22</v>
      </c>
      <c r="X3" s="28" t="s">
        <v>23</v>
      </c>
      <c r="Y3" s="28" t="s">
        <v>24</v>
      </c>
    </row>
    <row r="4" s="3" customFormat="1" ht="15" customHeight="1" spans="1:25">
      <c r="A4" s="11" t="s">
        <v>444</v>
      </c>
      <c r="B4" s="11" t="s">
        <v>6300</v>
      </c>
      <c r="C4" s="11" t="s">
        <v>3237</v>
      </c>
      <c r="D4" s="12" t="s">
        <v>6301</v>
      </c>
      <c r="E4" s="13" t="s">
        <v>6936</v>
      </c>
      <c r="F4" s="11" t="s">
        <v>6937</v>
      </c>
      <c r="G4" s="11" t="s">
        <v>67</v>
      </c>
      <c r="H4" s="14" t="s">
        <v>7216</v>
      </c>
      <c r="I4" s="30" t="e">
        <v>#N/A</v>
      </c>
      <c r="J4" s="31" t="s">
        <v>67</v>
      </c>
      <c r="K4" s="11" t="s">
        <v>7217</v>
      </c>
      <c r="L4" s="32"/>
      <c r="M4" s="33"/>
      <c r="N4" s="34">
        <v>42278</v>
      </c>
      <c r="O4" s="35" t="s">
        <v>71</v>
      </c>
      <c r="P4" s="36">
        <v>120000</v>
      </c>
      <c r="Q4" s="58">
        <v>1</v>
      </c>
      <c r="R4" s="59">
        <v>120000</v>
      </c>
      <c r="S4" s="31">
        <v>202303</v>
      </c>
      <c r="T4" s="60"/>
      <c r="U4" s="61"/>
      <c r="V4" s="61"/>
      <c r="W4" s="61"/>
      <c r="X4" s="34"/>
      <c r="Y4" s="34"/>
    </row>
    <row r="6" ht="15" customHeight="1"/>
    <row r="7" s="4" customFormat="1" ht="15" customHeight="1" spans="1:25">
      <c r="A7" s="15" t="s">
        <v>0</v>
      </c>
      <c r="B7" s="15" t="s">
        <v>1</v>
      </c>
      <c r="C7" s="15" t="s">
        <v>2</v>
      </c>
      <c r="D7" s="15" t="s">
        <v>3</v>
      </c>
      <c r="E7" s="15" t="s">
        <v>4</v>
      </c>
      <c r="F7" s="15" t="s">
        <v>5</v>
      </c>
      <c r="G7" s="15" t="s">
        <v>6</v>
      </c>
      <c r="H7" s="16" t="s">
        <v>7</v>
      </c>
      <c r="I7" s="26" t="s">
        <v>8</v>
      </c>
      <c r="J7" s="37" t="s">
        <v>9</v>
      </c>
      <c r="K7" s="37" t="s">
        <v>10</v>
      </c>
      <c r="L7" s="37" t="s">
        <v>11</v>
      </c>
      <c r="M7" s="37" t="s">
        <v>12</v>
      </c>
      <c r="N7" s="38" t="s">
        <v>13</v>
      </c>
      <c r="O7" s="37" t="s">
        <v>14</v>
      </c>
      <c r="P7" s="39" t="s">
        <v>15</v>
      </c>
      <c r="Q7" s="39" t="s">
        <v>16</v>
      </c>
      <c r="R7" s="39" t="s">
        <v>17</v>
      </c>
      <c r="S7" s="62" t="s">
        <v>18</v>
      </c>
      <c r="T7" s="62" t="s">
        <v>19</v>
      </c>
      <c r="U7" s="63" t="s">
        <v>20</v>
      </c>
      <c r="V7" s="64" t="s">
        <v>21</v>
      </c>
      <c r="W7" s="65" t="s">
        <v>22</v>
      </c>
      <c r="X7" s="38" t="s">
        <v>23</v>
      </c>
      <c r="Y7" s="38" t="s">
        <v>24</v>
      </c>
    </row>
    <row r="8" s="4" customFormat="1" ht="15" customHeight="1" spans="1:25">
      <c r="A8" s="17" t="s">
        <v>444</v>
      </c>
      <c r="B8" s="17" t="s">
        <v>6300</v>
      </c>
      <c r="C8" s="17" t="s">
        <v>3237</v>
      </c>
      <c r="D8" s="15" t="s">
        <v>6301</v>
      </c>
      <c r="E8" s="18" t="s">
        <v>6936</v>
      </c>
      <c r="F8" s="17" t="s">
        <v>6937</v>
      </c>
      <c r="G8" s="17" t="s">
        <v>67</v>
      </c>
      <c r="H8" s="19" t="s">
        <v>7216</v>
      </c>
      <c r="I8" s="40" t="e">
        <v>#N/A</v>
      </c>
      <c r="J8" s="41" t="s">
        <v>67</v>
      </c>
      <c r="K8" s="17" t="s">
        <v>7217</v>
      </c>
      <c r="L8" s="42"/>
      <c r="M8" s="43"/>
      <c r="N8" s="44">
        <v>42278</v>
      </c>
      <c r="O8" s="15" t="s">
        <v>71</v>
      </c>
      <c r="P8" s="45">
        <v>0</v>
      </c>
      <c r="Q8" s="66">
        <v>1</v>
      </c>
      <c r="R8" s="67">
        <v>0</v>
      </c>
      <c r="S8" s="41">
        <v>202304</v>
      </c>
      <c r="T8" s="68" t="s">
        <v>7218</v>
      </c>
      <c r="U8" s="69"/>
      <c r="V8" s="69"/>
      <c r="W8" s="69"/>
      <c r="X8" s="44"/>
      <c r="Y8" s="44"/>
    </row>
    <row r="32" s="1" customFormat="1" spans="1:1">
      <c r="A32" s="20" t="s">
        <v>10080</v>
      </c>
    </row>
    <row r="33" s="1" customFormat="1" spans="1:1">
      <c r="A33" s="20" t="s">
        <v>10081</v>
      </c>
    </row>
    <row r="34" s="4" customFormat="1" ht="15" customHeight="1" spans="1:25">
      <c r="A34" s="15" t="s">
        <v>0</v>
      </c>
      <c r="B34" s="15" t="s">
        <v>1</v>
      </c>
      <c r="C34" s="15" t="s">
        <v>2</v>
      </c>
      <c r="D34" s="15" t="s">
        <v>3</v>
      </c>
      <c r="E34" s="15" t="s">
        <v>4</v>
      </c>
      <c r="F34" s="15" t="s">
        <v>5</v>
      </c>
      <c r="G34" s="15" t="s">
        <v>6</v>
      </c>
      <c r="H34" s="16" t="s">
        <v>7</v>
      </c>
      <c r="I34" s="26" t="s">
        <v>8</v>
      </c>
      <c r="J34" s="37" t="s">
        <v>9</v>
      </c>
      <c r="K34" s="37" t="s">
        <v>10</v>
      </c>
      <c r="L34" s="37" t="s">
        <v>11</v>
      </c>
      <c r="M34" s="37" t="s">
        <v>12</v>
      </c>
      <c r="N34" s="38" t="s">
        <v>13</v>
      </c>
      <c r="O34" s="37" t="s">
        <v>14</v>
      </c>
      <c r="P34" s="39" t="s">
        <v>15</v>
      </c>
      <c r="Q34" s="39" t="s">
        <v>16</v>
      </c>
      <c r="R34" s="39" t="s">
        <v>17</v>
      </c>
      <c r="S34" s="62" t="s">
        <v>18</v>
      </c>
      <c r="T34" s="53" t="s">
        <v>19</v>
      </c>
      <c r="U34" s="63" t="s">
        <v>20</v>
      </c>
      <c r="V34" s="64" t="s">
        <v>21</v>
      </c>
      <c r="W34" s="65" t="s">
        <v>22</v>
      </c>
      <c r="X34" s="38" t="s">
        <v>23</v>
      </c>
      <c r="Y34" s="38" t="s">
        <v>24</v>
      </c>
    </row>
    <row r="35" s="5" customFormat="1" ht="15" customHeight="1" spans="1:25">
      <c r="A35" s="21" t="s">
        <v>25</v>
      </c>
      <c r="B35" s="22" t="s">
        <v>7422</v>
      </c>
      <c r="C35" s="22" t="s">
        <v>44</v>
      </c>
      <c r="D35" s="22" t="s">
        <v>7585</v>
      </c>
      <c r="E35" s="23" t="s">
        <v>8131</v>
      </c>
      <c r="F35" s="24" t="s">
        <v>8132</v>
      </c>
      <c r="G35" s="24" t="s">
        <v>88</v>
      </c>
      <c r="H35" s="25" t="s">
        <v>8163</v>
      </c>
      <c r="I35" s="46" t="str">
        <f>VLOOKUP(H35,'合同高级查询数据-4月返'!A:A,1,FALSE)</f>
        <v>182315IDC00135</v>
      </c>
      <c r="J35" s="47" t="s">
        <v>162</v>
      </c>
      <c r="K35" s="22" t="s">
        <v>296</v>
      </c>
      <c r="L35" s="48" t="s">
        <v>8156</v>
      </c>
      <c r="M35" s="49" t="s">
        <v>8157</v>
      </c>
      <c r="N35" s="50">
        <v>45009</v>
      </c>
      <c r="O35" s="51" t="s">
        <v>702</v>
      </c>
      <c r="P35" s="52">
        <v>3300</v>
      </c>
      <c r="Q35" s="70">
        <v>4</v>
      </c>
      <c r="R35" s="52">
        <f t="shared" ref="R35" si="0">ROUND(P35*Q35,2)</f>
        <v>13200</v>
      </c>
      <c r="S35" s="47">
        <v>202304</v>
      </c>
      <c r="T35" s="71" t="s">
        <v>8164</v>
      </c>
      <c r="U35" s="22"/>
      <c r="V35" s="72"/>
      <c r="W35" s="22"/>
      <c r="X35" s="50">
        <v>45009</v>
      </c>
      <c r="Y35" s="73">
        <v>45199</v>
      </c>
    </row>
    <row r="71" s="1" customFormat="1" spans="1:1">
      <c r="A71" s="6" t="s">
        <v>10082</v>
      </c>
    </row>
  </sheetData>
  <conditionalFormatting sqref="H8">
    <cfRule type="expression" dxfId="4" priority="1">
      <formula>(#REF!&lt;&gt;"")*(#REF!&lt;&gt;"")</formula>
    </cfRule>
  </conditionalFormatting>
  <conditionalFormatting sqref="M8">
    <cfRule type="expression" dxfId="4" priority="2">
      <formula>(#REF!&lt;&gt;"")*(#REF!&lt;&gt;"")</formula>
    </cfRule>
  </conditionalFormatting>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BAIDU</Company>
  <Application>Microsoft Excel</Application>
  <HeadingPairs>
    <vt:vector size="2" baseType="variant">
      <vt:variant>
        <vt:lpstr>工作表</vt:lpstr>
      </vt:variant>
      <vt:variant>
        <vt:i4>4</vt:i4>
      </vt:variant>
    </vt:vector>
  </HeadingPairs>
  <TitlesOfParts>
    <vt:vector size="4" baseType="lpstr">
      <vt:lpstr>202304非带宽</vt:lpstr>
      <vt:lpstr>合同高级查询数据-4月返</vt:lpstr>
      <vt:lpstr>非带宽金额核对</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Wu,Rui</dc:creator>
  <cp:lastModifiedBy>姜旭</cp:lastModifiedBy>
  <dcterms:created xsi:type="dcterms:W3CDTF">2023-04-27T10:38:00Z</dcterms:created>
  <dcterms:modified xsi:type="dcterms:W3CDTF">2023-05-05T14:05:19Z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E98EE84671144AACA0E2735777DCDDFD_12</vt:lpwstr>
  </property>
  <property fmtid="{D5CDD505-2E9C-101B-9397-08002B2CF9AE}" pid="3" name="KSOProductBuildVer">
    <vt:lpwstr>2052-11.1.0.14036</vt:lpwstr>
  </property>
</Properties>
</file>